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joshro\Desktop\"/>
    </mc:Choice>
  </mc:AlternateContent>
  <xr:revisionPtr revIDLastSave="0" documentId="13_ncr:1_{B4651B65-8140-4995-9C4E-FC3F8B80FB0E}" xr6:coauthVersionLast="44" xr6:coauthVersionMax="44" xr10:uidLastSave="{00000000-0000-0000-0000-000000000000}"/>
  <bookViews>
    <workbookView xWindow="6480" yWindow="255" windowWidth="31260" windowHeight="20580" tabRatio="851" xr2:uid="{00000000-000D-0000-FFFF-FFFF00000000}"/>
  </bookViews>
  <sheets>
    <sheet name="JR_WorkingUberonMapping" sheetId="23" r:id="rId1"/>
    <sheet name="Mouse_ARA" sheetId="3" r:id="rId2"/>
    <sheet name="DevMouse" sheetId="2" r:id="rId3"/>
    <sheet name="Human_BrainSpan" sheetId="4" r:id="rId4"/>
    <sheet name="HBA" sheetId="5" r:id="rId5"/>
    <sheet name="NonHumanPrimate" sheetId="6" r:id="rId6"/>
  </sheets>
  <externalReferences>
    <externalReference r:id="rId7"/>
  </externalReferences>
  <definedNames>
    <definedName name="_xlnm._FilterDatabase" localSheetId="0" hidden="1">JR_WorkingUberonMapping!$A$2:$M$8583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23" l="1"/>
  <c r="M3" i="23"/>
  <c r="F4" i="23"/>
  <c r="M4" i="23"/>
  <c r="F5" i="23"/>
  <c r="M5" i="23"/>
  <c r="F6" i="23"/>
  <c r="M6" i="23"/>
  <c r="F7" i="23"/>
  <c r="M7" i="23"/>
  <c r="F8" i="23"/>
  <c r="M8" i="23"/>
  <c r="F9" i="23"/>
  <c r="M9" i="23"/>
  <c r="F10" i="23"/>
  <c r="M10" i="23"/>
  <c r="F11" i="23"/>
  <c r="M11" i="23"/>
  <c r="F12" i="23"/>
  <c r="M12" i="23"/>
  <c r="F13" i="23"/>
  <c r="M13" i="23"/>
  <c r="F14" i="23"/>
  <c r="M14" i="23"/>
  <c r="F15" i="23"/>
  <c r="M15" i="23"/>
  <c r="F16" i="23"/>
  <c r="M16" i="23"/>
  <c r="F17" i="23"/>
  <c r="M17" i="23"/>
  <c r="F18" i="23"/>
  <c r="M18" i="23"/>
  <c r="F19" i="23"/>
  <c r="M19" i="23"/>
  <c r="F20" i="23"/>
  <c r="M20" i="23"/>
  <c r="F21" i="23"/>
  <c r="M21" i="23"/>
  <c r="F22" i="23"/>
  <c r="M22" i="23"/>
  <c r="F23" i="23"/>
  <c r="M23" i="23"/>
  <c r="F24" i="23"/>
  <c r="M24" i="23"/>
  <c r="F25" i="23"/>
  <c r="M25" i="23"/>
  <c r="F26" i="23"/>
  <c r="M26" i="23"/>
  <c r="F27" i="23"/>
  <c r="M27" i="23"/>
  <c r="F28" i="23"/>
  <c r="M28" i="23"/>
  <c r="F29" i="23"/>
  <c r="M29" i="23"/>
  <c r="F30" i="23"/>
  <c r="M30" i="23"/>
  <c r="F31" i="23"/>
  <c r="M31" i="23"/>
  <c r="F32" i="23"/>
  <c r="M32" i="23"/>
  <c r="F33" i="23"/>
  <c r="M33" i="23"/>
  <c r="F34" i="23"/>
  <c r="M34" i="23"/>
  <c r="F35" i="23"/>
  <c r="M35" i="23"/>
  <c r="F36" i="23"/>
  <c r="M36" i="23"/>
  <c r="F37" i="23"/>
  <c r="M37" i="23"/>
  <c r="F38" i="23"/>
  <c r="M38" i="23"/>
  <c r="F39" i="23"/>
  <c r="M39" i="23"/>
  <c r="F40" i="23"/>
  <c r="M40" i="23"/>
  <c r="F41" i="23"/>
  <c r="M41" i="23"/>
  <c r="F42" i="23"/>
  <c r="M42" i="23"/>
  <c r="F43" i="23"/>
  <c r="M43" i="23"/>
  <c r="F44" i="23"/>
  <c r="M44" i="23"/>
  <c r="F45" i="23"/>
  <c r="M45" i="23"/>
  <c r="F46" i="23"/>
  <c r="M46" i="23"/>
  <c r="F47" i="23"/>
  <c r="M47" i="23"/>
  <c r="F48" i="23"/>
  <c r="M48" i="23"/>
  <c r="F49" i="23"/>
  <c r="M49" i="23"/>
  <c r="F50" i="23"/>
  <c r="M50" i="23"/>
  <c r="F51" i="23"/>
  <c r="M51" i="23"/>
  <c r="F52" i="23"/>
  <c r="M52" i="23"/>
  <c r="F53" i="23"/>
  <c r="M53" i="23"/>
  <c r="F54" i="23"/>
  <c r="M54" i="23"/>
  <c r="F55" i="23"/>
  <c r="M55" i="23"/>
  <c r="F56" i="23"/>
  <c r="M56" i="23"/>
  <c r="F57" i="23"/>
  <c r="M57" i="23"/>
  <c r="F58" i="23"/>
  <c r="M58" i="23"/>
  <c r="F59" i="23"/>
  <c r="M59" i="23"/>
  <c r="F60" i="23"/>
  <c r="M60" i="23"/>
  <c r="F61" i="23"/>
  <c r="M61" i="23"/>
  <c r="F62" i="23"/>
  <c r="M62" i="23"/>
  <c r="F63" i="23"/>
  <c r="M63" i="23"/>
  <c r="F64" i="23"/>
  <c r="M64" i="23"/>
  <c r="F65" i="23"/>
  <c r="M65" i="23"/>
  <c r="F66" i="23"/>
  <c r="M66" i="23"/>
  <c r="F67" i="23"/>
  <c r="M67" i="23"/>
  <c r="F68" i="23"/>
  <c r="M68" i="23"/>
  <c r="F69" i="23"/>
  <c r="M69" i="23"/>
  <c r="F70" i="23"/>
  <c r="M70" i="23"/>
  <c r="F71" i="23"/>
  <c r="M71" i="23"/>
  <c r="F72" i="23"/>
  <c r="M72" i="23"/>
  <c r="F73" i="23"/>
  <c r="M73" i="23"/>
  <c r="F74" i="23"/>
  <c r="M74" i="23"/>
  <c r="F75" i="23"/>
  <c r="M75" i="23"/>
  <c r="F76" i="23"/>
  <c r="M76" i="23"/>
  <c r="F77" i="23"/>
  <c r="M77" i="23"/>
  <c r="F78" i="23"/>
  <c r="M78" i="23"/>
  <c r="F79" i="23"/>
  <c r="M79" i="23"/>
  <c r="F80" i="23"/>
  <c r="M80" i="23"/>
  <c r="F81" i="23"/>
  <c r="M81" i="23"/>
  <c r="F82" i="23"/>
  <c r="M82" i="23"/>
  <c r="F83" i="23"/>
  <c r="M83" i="23"/>
  <c r="F84" i="23"/>
  <c r="M84" i="23"/>
  <c r="F85" i="23"/>
  <c r="M85" i="23"/>
  <c r="F86" i="23"/>
  <c r="M86" i="23"/>
  <c r="F87" i="23"/>
  <c r="M87" i="23"/>
  <c r="F88" i="23"/>
  <c r="M88" i="23"/>
  <c r="F89" i="23"/>
  <c r="M89" i="23"/>
  <c r="F90" i="23"/>
  <c r="M90" i="23"/>
  <c r="F91" i="23"/>
  <c r="M91" i="23"/>
  <c r="F92" i="23"/>
  <c r="M92" i="23"/>
  <c r="F93" i="23"/>
  <c r="M93" i="23"/>
  <c r="F94" i="23"/>
  <c r="M94" i="23"/>
  <c r="F95" i="23"/>
  <c r="M95" i="23"/>
  <c r="F96" i="23"/>
  <c r="M96" i="23"/>
  <c r="F97" i="23"/>
  <c r="M97" i="23"/>
  <c r="F98" i="23"/>
  <c r="M98" i="23"/>
  <c r="F99" i="23"/>
  <c r="M99" i="23"/>
  <c r="F100" i="23"/>
  <c r="M100" i="23"/>
  <c r="F101" i="23"/>
  <c r="M101" i="23"/>
  <c r="F102" i="23"/>
  <c r="M102" i="23"/>
  <c r="F103" i="23"/>
  <c r="M103" i="23"/>
  <c r="F104" i="23"/>
  <c r="M104" i="23"/>
  <c r="F105" i="23"/>
  <c r="M105" i="23"/>
  <c r="F106" i="23"/>
  <c r="M106" i="23"/>
  <c r="F107" i="23"/>
  <c r="M107" i="23"/>
  <c r="F108" i="23"/>
  <c r="M108" i="23"/>
  <c r="F109" i="23"/>
  <c r="M109" i="23"/>
  <c r="F110" i="23"/>
  <c r="M110" i="23"/>
  <c r="F111" i="23"/>
  <c r="M111" i="23"/>
  <c r="F112" i="23"/>
  <c r="M112" i="23"/>
  <c r="F113" i="23"/>
  <c r="M113" i="23"/>
  <c r="F114" i="23"/>
  <c r="M114" i="23"/>
  <c r="F115" i="23"/>
  <c r="M115" i="23"/>
  <c r="F116" i="23"/>
  <c r="M116" i="23"/>
  <c r="F117" i="23"/>
  <c r="M117" i="23"/>
  <c r="F118" i="23"/>
  <c r="M118" i="23"/>
  <c r="F119" i="23"/>
  <c r="M119" i="23"/>
  <c r="F120" i="23"/>
  <c r="M120" i="23"/>
  <c r="F121" i="23"/>
  <c r="M121" i="23"/>
  <c r="F122" i="23"/>
  <c r="M122" i="23"/>
  <c r="F123" i="23"/>
  <c r="M123" i="23"/>
  <c r="F124" i="23"/>
  <c r="M124" i="23"/>
  <c r="F125" i="23"/>
  <c r="M125" i="23"/>
  <c r="F126" i="23"/>
  <c r="M126" i="23"/>
  <c r="F127" i="23"/>
  <c r="M127" i="23"/>
  <c r="F128" i="23"/>
  <c r="M128" i="23"/>
  <c r="F129" i="23"/>
  <c r="M129" i="23"/>
  <c r="F130" i="23"/>
  <c r="M130" i="23"/>
  <c r="F131" i="23"/>
  <c r="M131" i="23"/>
  <c r="F132" i="23"/>
  <c r="M132" i="23"/>
  <c r="F133" i="23"/>
  <c r="M133" i="23"/>
  <c r="F134" i="23"/>
  <c r="M134" i="23"/>
  <c r="F135" i="23"/>
  <c r="M135" i="23"/>
  <c r="F136" i="23"/>
  <c r="M136" i="23"/>
  <c r="F137" i="23"/>
  <c r="M137" i="23"/>
  <c r="F138" i="23"/>
  <c r="M138" i="23"/>
  <c r="F139" i="23"/>
  <c r="M139" i="23"/>
  <c r="F140" i="23"/>
  <c r="M140" i="23"/>
  <c r="F141" i="23"/>
  <c r="M141" i="23"/>
  <c r="F142" i="23"/>
  <c r="M142" i="23"/>
  <c r="F143" i="23"/>
  <c r="M143" i="23"/>
  <c r="F144" i="23"/>
  <c r="M144" i="23"/>
  <c r="F145" i="23"/>
  <c r="M145" i="23"/>
  <c r="F146" i="23"/>
  <c r="M146" i="23"/>
  <c r="F147" i="23"/>
  <c r="M147" i="23"/>
  <c r="F148" i="23"/>
  <c r="M148" i="23"/>
  <c r="F149" i="23"/>
  <c r="M149" i="23"/>
  <c r="F150" i="23"/>
  <c r="M150" i="23"/>
  <c r="F151" i="23"/>
  <c r="M151" i="23"/>
  <c r="F152" i="23"/>
  <c r="M152" i="23"/>
  <c r="F153" i="23"/>
  <c r="M153" i="23"/>
  <c r="F154" i="23"/>
  <c r="M154" i="23"/>
  <c r="F155" i="23"/>
  <c r="M155" i="23"/>
  <c r="F156" i="23"/>
  <c r="M156" i="23"/>
  <c r="F157" i="23"/>
  <c r="M157" i="23"/>
  <c r="F158" i="23"/>
  <c r="M158" i="23"/>
  <c r="F159" i="23"/>
  <c r="M159" i="23"/>
  <c r="F160" i="23"/>
  <c r="M160" i="23"/>
  <c r="F161" i="23"/>
  <c r="M161" i="23"/>
  <c r="F162" i="23"/>
  <c r="M162" i="23"/>
  <c r="F163" i="23"/>
  <c r="M163" i="23"/>
  <c r="F164" i="23"/>
  <c r="M164" i="23"/>
  <c r="F165" i="23"/>
  <c r="M165" i="23"/>
  <c r="F166" i="23"/>
  <c r="M166" i="23"/>
  <c r="F167" i="23"/>
  <c r="M167" i="23"/>
  <c r="F168" i="23"/>
  <c r="M168" i="23"/>
  <c r="F169" i="23"/>
  <c r="M169" i="23"/>
  <c r="F170" i="23"/>
  <c r="M170" i="23"/>
  <c r="F171" i="23"/>
  <c r="M171" i="23"/>
  <c r="F172" i="23"/>
  <c r="M172" i="23"/>
  <c r="F173" i="23"/>
  <c r="M173" i="23"/>
  <c r="F174" i="23"/>
  <c r="M174" i="23"/>
  <c r="F175" i="23"/>
  <c r="M175" i="23"/>
  <c r="F176" i="23"/>
  <c r="M176" i="23"/>
  <c r="F177" i="23"/>
  <c r="M177" i="23"/>
  <c r="F178" i="23"/>
  <c r="M178" i="23"/>
  <c r="F179" i="23"/>
  <c r="M179" i="23"/>
  <c r="F180" i="23"/>
  <c r="M180" i="23"/>
  <c r="F181" i="23"/>
  <c r="M181" i="23"/>
  <c r="F182" i="23"/>
  <c r="M182" i="23"/>
  <c r="F183" i="23"/>
  <c r="M183" i="23"/>
  <c r="F184" i="23"/>
  <c r="M184" i="23"/>
  <c r="F185" i="23"/>
  <c r="M185" i="23"/>
  <c r="F186" i="23"/>
  <c r="M186" i="23"/>
  <c r="F187" i="23"/>
  <c r="M187" i="23"/>
  <c r="F188" i="23"/>
  <c r="M188" i="23"/>
  <c r="F189" i="23"/>
  <c r="M189" i="23"/>
  <c r="F190" i="23"/>
  <c r="M190" i="23"/>
  <c r="F191" i="23"/>
  <c r="M191" i="23"/>
  <c r="F192" i="23"/>
  <c r="M192" i="23"/>
  <c r="F193" i="23"/>
  <c r="M193" i="23"/>
  <c r="F194" i="23"/>
  <c r="M194" i="23"/>
  <c r="F195" i="23"/>
  <c r="M195" i="23"/>
  <c r="F196" i="23"/>
  <c r="M196" i="23"/>
  <c r="F197" i="23"/>
  <c r="M197" i="23"/>
  <c r="F198" i="23"/>
  <c r="M198" i="23"/>
  <c r="F199" i="23"/>
  <c r="M199" i="23"/>
  <c r="F200" i="23"/>
  <c r="M200" i="23"/>
  <c r="F201" i="23"/>
  <c r="M201" i="23"/>
  <c r="F202" i="23"/>
  <c r="M202" i="23"/>
  <c r="F203" i="23"/>
  <c r="M203" i="23"/>
  <c r="F204" i="23"/>
  <c r="M204" i="23"/>
  <c r="F205" i="23"/>
  <c r="M205" i="23"/>
  <c r="F206" i="23"/>
  <c r="M206" i="23"/>
  <c r="F207" i="23"/>
  <c r="M207" i="23"/>
  <c r="F208" i="23"/>
  <c r="M208" i="23"/>
  <c r="F209" i="23"/>
  <c r="M209" i="23"/>
  <c r="F210" i="23"/>
  <c r="M210" i="23"/>
  <c r="F211" i="23"/>
  <c r="M211" i="23"/>
  <c r="F212" i="23"/>
  <c r="M212" i="23"/>
  <c r="F213" i="23"/>
  <c r="M213" i="23"/>
  <c r="F214" i="23"/>
  <c r="M214" i="23"/>
  <c r="F215" i="23"/>
  <c r="M215" i="23"/>
  <c r="F216" i="23"/>
  <c r="M216" i="23"/>
  <c r="F217" i="23"/>
  <c r="M217" i="23"/>
  <c r="F218" i="23"/>
  <c r="M218" i="23"/>
  <c r="F219" i="23"/>
  <c r="M219" i="23"/>
  <c r="F220" i="23"/>
  <c r="M220" i="23"/>
  <c r="F221" i="23"/>
  <c r="M221" i="23"/>
  <c r="F222" i="23"/>
  <c r="M222" i="23"/>
  <c r="F223" i="23"/>
  <c r="M223" i="23"/>
  <c r="F224" i="23"/>
  <c r="M224" i="23"/>
  <c r="F225" i="23"/>
  <c r="M225" i="23"/>
  <c r="F226" i="23"/>
  <c r="M226" i="23"/>
  <c r="F227" i="23"/>
  <c r="M227" i="23"/>
  <c r="F228" i="23"/>
  <c r="M228" i="23"/>
  <c r="F229" i="23"/>
  <c r="M229" i="23"/>
  <c r="F230" i="23"/>
  <c r="M230" i="23"/>
  <c r="F231" i="23"/>
  <c r="M231" i="23"/>
  <c r="F232" i="23"/>
  <c r="M232" i="23"/>
  <c r="F233" i="23"/>
  <c r="M233" i="23"/>
  <c r="F234" i="23"/>
  <c r="M234" i="23"/>
  <c r="F235" i="23"/>
  <c r="M235" i="23"/>
  <c r="F236" i="23"/>
  <c r="M236" i="23"/>
  <c r="F237" i="23"/>
  <c r="M237" i="23"/>
  <c r="F238" i="23"/>
  <c r="M238" i="23"/>
  <c r="F239" i="23"/>
  <c r="M239" i="23"/>
  <c r="F240" i="23"/>
  <c r="M240" i="23"/>
  <c r="F241" i="23"/>
  <c r="M241" i="23"/>
  <c r="F242" i="23"/>
  <c r="M242" i="23"/>
  <c r="F243" i="23"/>
  <c r="M243" i="23"/>
  <c r="F244" i="23"/>
  <c r="M244" i="23"/>
  <c r="F245" i="23"/>
  <c r="M245" i="23"/>
  <c r="F246" i="23"/>
  <c r="M246" i="23"/>
  <c r="F247" i="23"/>
  <c r="M247" i="23"/>
  <c r="F248" i="23"/>
  <c r="M248" i="23"/>
  <c r="F249" i="23"/>
  <c r="M249" i="23"/>
  <c r="F250" i="23"/>
  <c r="M250" i="23"/>
  <c r="F251" i="23"/>
  <c r="M251" i="23"/>
  <c r="F252" i="23"/>
  <c r="M252" i="23"/>
  <c r="F253" i="23"/>
  <c r="M253" i="23"/>
  <c r="F254" i="23"/>
  <c r="M254" i="23"/>
  <c r="F255" i="23"/>
  <c r="M255" i="23"/>
  <c r="F256" i="23"/>
  <c r="M256" i="23"/>
  <c r="F257" i="23"/>
  <c r="M257" i="23"/>
  <c r="F258" i="23"/>
  <c r="M258" i="23"/>
  <c r="F259" i="23"/>
  <c r="M259" i="23"/>
  <c r="F260" i="23"/>
  <c r="M260" i="23"/>
  <c r="F261" i="23"/>
  <c r="M261" i="23"/>
  <c r="F262" i="23"/>
  <c r="M262" i="23"/>
  <c r="F263" i="23"/>
  <c r="M263" i="23"/>
  <c r="F264" i="23"/>
  <c r="M264" i="23"/>
  <c r="F265" i="23"/>
  <c r="M265" i="23"/>
  <c r="F266" i="23"/>
  <c r="M266" i="23"/>
  <c r="F267" i="23"/>
  <c r="M267" i="23"/>
  <c r="F268" i="23"/>
  <c r="M268" i="23"/>
  <c r="F269" i="23"/>
  <c r="M269" i="23"/>
  <c r="F270" i="23"/>
  <c r="M270" i="23"/>
  <c r="F271" i="23"/>
  <c r="M271" i="23"/>
  <c r="F272" i="23"/>
  <c r="M272" i="23"/>
  <c r="F273" i="23"/>
  <c r="M273" i="23"/>
  <c r="F274" i="23"/>
  <c r="M274" i="23"/>
  <c r="F275" i="23"/>
  <c r="M275" i="23"/>
  <c r="F276" i="23"/>
  <c r="M276" i="23"/>
  <c r="F277" i="23"/>
  <c r="M277" i="23"/>
  <c r="F278" i="23"/>
  <c r="M278" i="23"/>
  <c r="F279" i="23"/>
  <c r="M279" i="23"/>
  <c r="F280" i="23"/>
  <c r="M280" i="23"/>
  <c r="F281" i="23"/>
  <c r="M281" i="23"/>
  <c r="F282" i="23"/>
  <c r="M282" i="23"/>
  <c r="F283" i="23"/>
  <c r="M283" i="23"/>
  <c r="F284" i="23"/>
  <c r="M284" i="23"/>
  <c r="F285" i="23"/>
  <c r="M285" i="23"/>
  <c r="F286" i="23"/>
  <c r="M286" i="23"/>
  <c r="F287" i="23"/>
  <c r="M287" i="23"/>
  <c r="F288" i="23"/>
  <c r="M288" i="23"/>
  <c r="F289" i="23"/>
  <c r="M289" i="23"/>
  <c r="F290" i="23"/>
  <c r="M290" i="23"/>
  <c r="F291" i="23"/>
  <c r="M291" i="23"/>
  <c r="F292" i="23"/>
  <c r="M292" i="23"/>
  <c r="F293" i="23"/>
  <c r="M293" i="23"/>
  <c r="F294" i="23"/>
  <c r="M294" i="23"/>
  <c r="F295" i="23"/>
  <c r="M295" i="23"/>
  <c r="F296" i="23"/>
  <c r="M296" i="23"/>
  <c r="F297" i="23"/>
  <c r="M297" i="23"/>
  <c r="F298" i="23"/>
  <c r="M298" i="23"/>
  <c r="F299" i="23"/>
  <c r="M299" i="23"/>
  <c r="F300" i="23"/>
  <c r="M300" i="23"/>
  <c r="F301" i="23"/>
  <c r="M301" i="23"/>
  <c r="F302" i="23"/>
  <c r="M302" i="23"/>
  <c r="F303" i="23"/>
  <c r="M303" i="23"/>
  <c r="F304" i="23"/>
  <c r="M304" i="23"/>
  <c r="F305" i="23"/>
  <c r="M305" i="23"/>
  <c r="F306" i="23"/>
  <c r="M306" i="23"/>
  <c r="F307" i="23"/>
  <c r="M307" i="23"/>
  <c r="F308" i="23"/>
  <c r="M308" i="23"/>
  <c r="F309" i="23"/>
  <c r="M309" i="23"/>
  <c r="F310" i="23"/>
  <c r="M310" i="23"/>
  <c r="F311" i="23"/>
  <c r="M311" i="23"/>
  <c r="F312" i="23"/>
  <c r="M312" i="23"/>
  <c r="F313" i="23"/>
  <c r="M313" i="23"/>
  <c r="F314" i="23"/>
  <c r="M314" i="23"/>
  <c r="F315" i="23"/>
  <c r="M315" i="23"/>
  <c r="F316" i="23"/>
  <c r="M316" i="23"/>
  <c r="F317" i="23"/>
  <c r="M317" i="23"/>
  <c r="F318" i="23"/>
  <c r="M318" i="23"/>
  <c r="F319" i="23"/>
  <c r="M319" i="23"/>
  <c r="F320" i="23"/>
  <c r="M320" i="23"/>
  <c r="F321" i="23"/>
  <c r="M321" i="23"/>
  <c r="F322" i="23"/>
  <c r="M322" i="23"/>
  <c r="F323" i="23"/>
  <c r="M323" i="23"/>
  <c r="F324" i="23"/>
  <c r="M324" i="23"/>
  <c r="F325" i="23"/>
  <c r="M325" i="23"/>
  <c r="F326" i="23"/>
  <c r="M326" i="23"/>
  <c r="F327" i="23"/>
  <c r="M327" i="23"/>
  <c r="F328" i="23"/>
  <c r="M328" i="23"/>
  <c r="F329" i="23"/>
  <c r="M329" i="23"/>
  <c r="F330" i="23"/>
  <c r="M330" i="23"/>
  <c r="F331" i="23"/>
  <c r="M331" i="23"/>
  <c r="F332" i="23"/>
  <c r="M332" i="23"/>
  <c r="F333" i="23"/>
  <c r="M333" i="23"/>
  <c r="F334" i="23"/>
  <c r="M334" i="23"/>
  <c r="F335" i="23"/>
  <c r="M335" i="23"/>
  <c r="F336" i="23"/>
  <c r="M336" i="23"/>
  <c r="F337" i="23"/>
  <c r="M337" i="23"/>
  <c r="F338" i="23"/>
  <c r="M338" i="23"/>
  <c r="F339" i="23"/>
  <c r="M339" i="23"/>
  <c r="F340" i="23"/>
  <c r="M340" i="23"/>
  <c r="F341" i="23"/>
  <c r="M341" i="23"/>
  <c r="F342" i="23"/>
  <c r="M342" i="23"/>
  <c r="F343" i="23"/>
  <c r="M343" i="23"/>
  <c r="F344" i="23"/>
  <c r="M344" i="23"/>
  <c r="F345" i="23"/>
  <c r="M345" i="23"/>
  <c r="F346" i="23"/>
  <c r="M346" i="23"/>
  <c r="F347" i="23"/>
  <c r="M347" i="23"/>
  <c r="F348" i="23"/>
  <c r="M348" i="23"/>
  <c r="F349" i="23"/>
  <c r="M349" i="23"/>
  <c r="F350" i="23"/>
  <c r="M350" i="23"/>
  <c r="F351" i="23"/>
  <c r="M351" i="23"/>
  <c r="F352" i="23"/>
  <c r="M352" i="23"/>
  <c r="F353" i="23"/>
  <c r="M353" i="23"/>
  <c r="F354" i="23"/>
  <c r="M354" i="23"/>
  <c r="F355" i="23"/>
  <c r="M355" i="23"/>
  <c r="F356" i="23"/>
  <c r="M356" i="23"/>
  <c r="F357" i="23"/>
  <c r="M357" i="23"/>
  <c r="F358" i="23"/>
  <c r="M358" i="23"/>
  <c r="F359" i="23"/>
  <c r="M359" i="23"/>
  <c r="F360" i="23"/>
  <c r="M360" i="23"/>
  <c r="F361" i="23"/>
  <c r="M361" i="23"/>
  <c r="F362" i="23"/>
  <c r="M362" i="23"/>
  <c r="F363" i="23"/>
  <c r="M363" i="23"/>
  <c r="F364" i="23"/>
  <c r="M364" i="23"/>
  <c r="F365" i="23"/>
  <c r="M365" i="23"/>
  <c r="F366" i="23"/>
  <c r="M366" i="23"/>
  <c r="F367" i="23"/>
  <c r="M367" i="23"/>
  <c r="F368" i="23"/>
  <c r="M368" i="23"/>
  <c r="F369" i="23"/>
  <c r="M369" i="23"/>
  <c r="F370" i="23"/>
  <c r="M370" i="23"/>
  <c r="F371" i="23"/>
  <c r="M371" i="23"/>
  <c r="F372" i="23"/>
  <c r="M372" i="23"/>
  <c r="F373" i="23"/>
  <c r="M373" i="23"/>
  <c r="F374" i="23"/>
  <c r="M374" i="23"/>
  <c r="F375" i="23"/>
  <c r="M375" i="23"/>
  <c r="F376" i="23"/>
  <c r="M376" i="23"/>
  <c r="F377" i="23"/>
  <c r="M377" i="23"/>
  <c r="F378" i="23"/>
  <c r="M378" i="23"/>
  <c r="F379" i="23"/>
  <c r="M379" i="23"/>
  <c r="F380" i="23"/>
  <c r="M380" i="23"/>
  <c r="F381" i="23"/>
  <c r="M381" i="23"/>
  <c r="F382" i="23"/>
  <c r="M382" i="23"/>
  <c r="F383" i="23"/>
  <c r="M383" i="23"/>
  <c r="F384" i="23"/>
  <c r="M384" i="23"/>
  <c r="F385" i="23"/>
  <c r="M385" i="23"/>
  <c r="F386" i="23"/>
  <c r="M386" i="23"/>
  <c r="F387" i="23"/>
  <c r="M387" i="23"/>
  <c r="F388" i="23"/>
  <c r="M388" i="23"/>
  <c r="F389" i="23"/>
  <c r="M389" i="23"/>
  <c r="F390" i="23"/>
  <c r="M390" i="23"/>
  <c r="F391" i="23"/>
  <c r="M391" i="23"/>
  <c r="F392" i="23"/>
  <c r="M392" i="23"/>
  <c r="F393" i="23"/>
  <c r="M393" i="23"/>
  <c r="F394" i="23"/>
  <c r="M394" i="23"/>
  <c r="F395" i="23"/>
  <c r="M395" i="23"/>
  <c r="F396" i="23"/>
  <c r="M396" i="23"/>
  <c r="F397" i="23"/>
  <c r="M397" i="23"/>
  <c r="F398" i="23"/>
  <c r="M398" i="23"/>
  <c r="F399" i="23"/>
  <c r="M399" i="23"/>
  <c r="F400" i="23"/>
  <c r="M400" i="23"/>
  <c r="F401" i="23"/>
  <c r="M401" i="23"/>
  <c r="F402" i="23"/>
  <c r="M402" i="23"/>
  <c r="F403" i="23"/>
  <c r="M403" i="23"/>
  <c r="F404" i="23"/>
  <c r="M404" i="23"/>
  <c r="F405" i="23"/>
  <c r="M405" i="23"/>
  <c r="F406" i="23"/>
  <c r="M406" i="23"/>
  <c r="F407" i="23"/>
  <c r="M407" i="23"/>
  <c r="F408" i="23"/>
  <c r="M408" i="23"/>
  <c r="F409" i="23"/>
  <c r="M409" i="23"/>
  <c r="F410" i="23"/>
  <c r="M410" i="23"/>
  <c r="F411" i="23"/>
  <c r="M411" i="23"/>
  <c r="F412" i="23"/>
  <c r="M412" i="23"/>
  <c r="F413" i="23"/>
  <c r="M413" i="23"/>
  <c r="F414" i="23"/>
  <c r="M414" i="23"/>
  <c r="F415" i="23"/>
  <c r="M415" i="23"/>
  <c r="F416" i="23"/>
  <c r="M416" i="23"/>
  <c r="F417" i="23"/>
  <c r="M417" i="23"/>
  <c r="F418" i="23"/>
  <c r="M418" i="23"/>
  <c r="F419" i="23"/>
  <c r="M419" i="23"/>
  <c r="F420" i="23"/>
  <c r="M420" i="23"/>
  <c r="F421" i="23"/>
  <c r="M421" i="23"/>
  <c r="F422" i="23"/>
  <c r="M422" i="23"/>
  <c r="F423" i="23"/>
  <c r="M423" i="23"/>
  <c r="F424" i="23"/>
  <c r="M424" i="23"/>
  <c r="F425" i="23"/>
  <c r="M425" i="23"/>
  <c r="F426" i="23"/>
  <c r="M426" i="23"/>
  <c r="F427" i="23"/>
  <c r="M427" i="23"/>
  <c r="F428" i="23"/>
  <c r="M428" i="23"/>
  <c r="F429" i="23"/>
  <c r="M429" i="23"/>
  <c r="F430" i="23"/>
  <c r="M430" i="23"/>
  <c r="F431" i="23"/>
  <c r="M431" i="23"/>
  <c r="F432" i="23"/>
  <c r="M432" i="23"/>
  <c r="F433" i="23"/>
  <c r="M433" i="23"/>
  <c r="F434" i="23"/>
  <c r="M434" i="23"/>
  <c r="F435" i="23"/>
  <c r="M435" i="23"/>
  <c r="F436" i="23"/>
  <c r="M436" i="23"/>
  <c r="F437" i="23"/>
  <c r="M437" i="23"/>
  <c r="F438" i="23"/>
  <c r="M438" i="23"/>
  <c r="F439" i="23"/>
  <c r="M439" i="23"/>
  <c r="F440" i="23"/>
  <c r="M440" i="23"/>
  <c r="F441" i="23"/>
  <c r="M441" i="23"/>
  <c r="F442" i="23"/>
  <c r="M442" i="23"/>
  <c r="F443" i="23"/>
  <c r="M443" i="23"/>
  <c r="F444" i="23"/>
  <c r="M444" i="23"/>
  <c r="F445" i="23"/>
  <c r="M445" i="23"/>
  <c r="F446" i="23"/>
  <c r="M446" i="23"/>
  <c r="F447" i="23"/>
  <c r="M447" i="23"/>
  <c r="F448" i="23"/>
  <c r="M448" i="23"/>
  <c r="F449" i="23"/>
  <c r="M449" i="23"/>
  <c r="F450" i="23"/>
  <c r="M450" i="23"/>
  <c r="F451" i="23"/>
  <c r="M451" i="23"/>
  <c r="F452" i="23"/>
  <c r="M452" i="23"/>
  <c r="F453" i="23"/>
  <c r="M453" i="23"/>
  <c r="F454" i="23"/>
  <c r="M454" i="23"/>
  <c r="F455" i="23"/>
  <c r="M455" i="23"/>
  <c r="F456" i="23"/>
  <c r="M456" i="23"/>
  <c r="F457" i="23"/>
  <c r="M457" i="23"/>
  <c r="F458" i="23"/>
  <c r="M458" i="23"/>
  <c r="F459" i="23"/>
  <c r="M459" i="23"/>
  <c r="F460" i="23"/>
  <c r="M460" i="23"/>
  <c r="F461" i="23"/>
  <c r="M461" i="23"/>
  <c r="F462" i="23"/>
  <c r="M462" i="23"/>
  <c r="F463" i="23"/>
  <c r="M463" i="23"/>
  <c r="F464" i="23"/>
  <c r="M464" i="23"/>
  <c r="F465" i="23"/>
  <c r="M465" i="23"/>
  <c r="F466" i="23"/>
  <c r="M466" i="23"/>
  <c r="F467" i="23"/>
  <c r="M467" i="23"/>
  <c r="F468" i="23"/>
  <c r="M468" i="23"/>
  <c r="F469" i="23"/>
  <c r="M469" i="23"/>
  <c r="F470" i="23"/>
  <c r="M470" i="23"/>
  <c r="F471" i="23"/>
  <c r="M471" i="23"/>
  <c r="F472" i="23"/>
  <c r="M472" i="23"/>
  <c r="F473" i="23"/>
  <c r="M473" i="23"/>
  <c r="F474" i="23"/>
  <c r="M474" i="23"/>
  <c r="F475" i="23"/>
  <c r="M475" i="23"/>
  <c r="F476" i="23"/>
  <c r="M476" i="23"/>
  <c r="F477" i="23"/>
  <c r="M477" i="23"/>
  <c r="F478" i="23"/>
  <c r="M478" i="23"/>
  <c r="F479" i="23"/>
  <c r="M479" i="23"/>
  <c r="F480" i="23"/>
  <c r="M480" i="23"/>
  <c r="F481" i="23"/>
  <c r="M481" i="23"/>
  <c r="F482" i="23"/>
  <c r="M482" i="23"/>
  <c r="F483" i="23"/>
  <c r="M483" i="23"/>
  <c r="F484" i="23"/>
  <c r="M484" i="23"/>
  <c r="F485" i="23"/>
  <c r="M485" i="23"/>
  <c r="F486" i="23"/>
  <c r="M486" i="23"/>
  <c r="F487" i="23"/>
  <c r="M487" i="23"/>
  <c r="F488" i="23"/>
  <c r="M488" i="23"/>
  <c r="F489" i="23"/>
  <c r="M489" i="23"/>
  <c r="F490" i="23"/>
  <c r="M490" i="23"/>
  <c r="F491" i="23"/>
  <c r="M491" i="23"/>
  <c r="F492" i="23"/>
  <c r="M492" i="23"/>
  <c r="F493" i="23"/>
  <c r="M493" i="23"/>
  <c r="F494" i="23"/>
  <c r="M494" i="23"/>
  <c r="F495" i="23"/>
  <c r="M495" i="23"/>
  <c r="F496" i="23"/>
  <c r="M496" i="23"/>
  <c r="F497" i="23"/>
  <c r="M497" i="23"/>
  <c r="F498" i="23"/>
  <c r="M498" i="23"/>
  <c r="F499" i="23"/>
  <c r="M499" i="23"/>
  <c r="F500" i="23"/>
  <c r="M500" i="23"/>
  <c r="F501" i="23"/>
  <c r="M501" i="23"/>
  <c r="F502" i="23"/>
  <c r="M502" i="23"/>
  <c r="F503" i="23"/>
  <c r="M503" i="23"/>
  <c r="F504" i="23"/>
  <c r="M504" i="23"/>
  <c r="F505" i="23"/>
  <c r="M505" i="23"/>
  <c r="F506" i="23"/>
  <c r="M506" i="23"/>
  <c r="F507" i="23"/>
  <c r="M507" i="23"/>
  <c r="F508" i="23"/>
  <c r="M508" i="23"/>
  <c r="F509" i="23"/>
  <c r="M509" i="23"/>
  <c r="F510" i="23"/>
  <c r="M510" i="23"/>
  <c r="F511" i="23"/>
  <c r="M511" i="23"/>
  <c r="F512" i="23"/>
  <c r="M512" i="23"/>
  <c r="F513" i="23"/>
  <c r="M513" i="23"/>
  <c r="F514" i="23"/>
  <c r="M514" i="23"/>
  <c r="F515" i="23"/>
  <c r="M515" i="23"/>
  <c r="F516" i="23"/>
  <c r="M516" i="23"/>
  <c r="F517" i="23"/>
  <c r="M517" i="23"/>
  <c r="F518" i="23"/>
  <c r="M518" i="23"/>
  <c r="F519" i="23"/>
  <c r="M519" i="23"/>
  <c r="F520" i="23"/>
  <c r="M520" i="23"/>
  <c r="F521" i="23"/>
  <c r="M521" i="23"/>
  <c r="F522" i="23"/>
  <c r="M522" i="23"/>
  <c r="F523" i="23"/>
  <c r="M523" i="23"/>
  <c r="F524" i="23"/>
  <c r="M524" i="23"/>
  <c r="F525" i="23"/>
  <c r="M525" i="23"/>
  <c r="F526" i="23"/>
  <c r="M526" i="23"/>
  <c r="F527" i="23"/>
  <c r="M527" i="23"/>
  <c r="F528" i="23"/>
  <c r="M528" i="23"/>
  <c r="F529" i="23"/>
  <c r="M529" i="23"/>
  <c r="F530" i="23"/>
  <c r="M530" i="23"/>
  <c r="F531" i="23"/>
  <c r="M531" i="23"/>
  <c r="F532" i="23"/>
  <c r="M532" i="23"/>
  <c r="F533" i="23"/>
  <c r="M533" i="23"/>
  <c r="F534" i="23"/>
  <c r="M534" i="23"/>
  <c r="F535" i="23"/>
  <c r="M535" i="23"/>
  <c r="F536" i="23"/>
  <c r="M536" i="23"/>
  <c r="F537" i="23"/>
  <c r="M537" i="23"/>
  <c r="F538" i="23"/>
  <c r="M538" i="23"/>
  <c r="F539" i="23"/>
  <c r="M539" i="23"/>
  <c r="F540" i="23"/>
  <c r="M540" i="23"/>
  <c r="F541" i="23"/>
  <c r="M541" i="23"/>
  <c r="F542" i="23"/>
  <c r="M542" i="23"/>
  <c r="F543" i="23"/>
  <c r="M543" i="23"/>
  <c r="F544" i="23"/>
  <c r="M544" i="23"/>
  <c r="F545" i="23"/>
  <c r="M545" i="23"/>
  <c r="F546" i="23"/>
  <c r="M546" i="23"/>
  <c r="F547" i="23"/>
  <c r="M547" i="23"/>
  <c r="F548" i="23"/>
  <c r="M548" i="23"/>
  <c r="F549" i="23"/>
  <c r="M549" i="23"/>
  <c r="F550" i="23"/>
  <c r="M550" i="23"/>
  <c r="F551" i="23"/>
  <c r="M551" i="23"/>
  <c r="F552" i="23"/>
  <c r="M552" i="23"/>
  <c r="F553" i="23"/>
  <c r="M553" i="23"/>
  <c r="F554" i="23"/>
  <c r="M554" i="23"/>
  <c r="F555" i="23"/>
  <c r="M555" i="23"/>
  <c r="F556" i="23"/>
  <c r="M556" i="23"/>
  <c r="F557" i="23"/>
  <c r="M557" i="23"/>
  <c r="F558" i="23"/>
  <c r="M558" i="23"/>
  <c r="F559" i="23"/>
  <c r="M559" i="23"/>
  <c r="F560" i="23"/>
  <c r="M560" i="23"/>
  <c r="F561" i="23"/>
  <c r="M561" i="23"/>
  <c r="F562" i="23"/>
  <c r="M562" i="23"/>
  <c r="F563" i="23"/>
  <c r="M563" i="23"/>
  <c r="F564" i="23"/>
  <c r="M564" i="23"/>
  <c r="F565" i="23"/>
  <c r="M565" i="23"/>
  <c r="F566" i="23"/>
  <c r="M566" i="23"/>
  <c r="F567" i="23"/>
  <c r="M567" i="23"/>
  <c r="F568" i="23"/>
  <c r="M568" i="23"/>
  <c r="F569" i="23"/>
  <c r="M569" i="23"/>
  <c r="F570" i="23"/>
  <c r="M570" i="23"/>
  <c r="F571" i="23"/>
  <c r="M571" i="23"/>
  <c r="F572" i="23"/>
  <c r="M572" i="23"/>
  <c r="F573" i="23"/>
  <c r="M573" i="23"/>
  <c r="F574" i="23"/>
  <c r="M574" i="23"/>
  <c r="F575" i="23"/>
  <c r="M575" i="23"/>
  <c r="F576" i="23"/>
  <c r="M576" i="23"/>
  <c r="F577" i="23"/>
  <c r="M577" i="23"/>
  <c r="F578" i="23"/>
  <c r="M578" i="23"/>
  <c r="F579" i="23"/>
  <c r="M579" i="23"/>
  <c r="F580" i="23"/>
  <c r="M580" i="23"/>
  <c r="F581" i="23"/>
  <c r="M581" i="23"/>
  <c r="F582" i="23"/>
  <c r="M582" i="23"/>
  <c r="F583" i="23"/>
  <c r="M583" i="23"/>
  <c r="F584" i="23"/>
  <c r="M584" i="23"/>
  <c r="F585" i="23"/>
  <c r="M585" i="23"/>
  <c r="F586" i="23"/>
  <c r="M586" i="23"/>
  <c r="F587" i="23"/>
  <c r="M587" i="23"/>
  <c r="F588" i="23"/>
  <c r="M588" i="23"/>
  <c r="F589" i="23"/>
  <c r="M589" i="23"/>
  <c r="F590" i="23"/>
  <c r="M590" i="23"/>
  <c r="F591" i="23"/>
  <c r="M591" i="23"/>
  <c r="F592" i="23"/>
  <c r="M592" i="23"/>
  <c r="F593" i="23"/>
  <c r="M593" i="23"/>
  <c r="F594" i="23"/>
  <c r="M594" i="23"/>
  <c r="F595" i="23"/>
  <c r="M595" i="23"/>
  <c r="F596" i="23"/>
  <c r="M596" i="23"/>
  <c r="F597" i="23"/>
  <c r="M597" i="23"/>
  <c r="F598" i="23"/>
  <c r="M598" i="23"/>
  <c r="F599" i="23"/>
  <c r="M599" i="23"/>
  <c r="F600" i="23"/>
  <c r="M600" i="23"/>
  <c r="F601" i="23"/>
  <c r="M601" i="23"/>
  <c r="F602" i="23"/>
  <c r="M602" i="23"/>
  <c r="F603" i="23"/>
  <c r="M603" i="23"/>
  <c r="F604" i="23"/>
  <c r="M604" i="23"/>
  <c r="F605" i="23"/>
  <c r="M605" i="23"/>
  <c r="F606" i="23"/>
  <c r="M606" i="23"/>
  <c r="F607" i="23"/>
  <c r="M607" i="23"/>
  <c r="F608" i="23"/>
  <c r="M608" i="23"/>
  <c r="F609" i="23"/>
  <c r="M609" i="23"/>
  <c r="F610" i="23"/>
  <c r="M610" i="23"/>
  <c r="F611" i="23"/>
  <c r="M611" i="23"/>
  <c r="F612" i="23"/>
  <c r="M612" i="23"/>
  <c r="F613" i="23"/>
  <c r="M613" i="23"/>
  <c r="F614" i="23"/>
  <c r="M614" i="23"/>
  <c r="F615" i="23"/>
  <c r="M615" i="23"/>
  <c r="F616" i="23"/>
  <c r="M616" i="23"/>
  <c r="F617" i="23"/>
  <c r="M617" i="23"/>
  <c r="F618" i="23"/>
  <c r="M618" i="23"/>
  <c r="F619" i="23"/>
  <c r="M619" i="23"/>
  <c r="F620" i="23"/>
  <c r="M620" i="23"/>
  <c r="F621" i="23"/>
  <c r="M621" i="23"/>
  <c r="F622" i="23"/>
  <c r="M622" i="23"/>
  <c r="F623" i="23"/>
  <c r="M623" i="23"/>
  <c r="F624" i="23"/>
  <c r="M624" i="23"/>
  <c r="F625" i="23"/>
  <c r="M625" i="23"/>
  <c r="F626" i="23"/>
  <c r="M626" i="23"/>
  <c r="F627" i="23"/>
  <c r="M627" i="23"/>
  <c r="F628" i="23"/>
  <c r="M628" i="23"/>
  <c r="F629" i="23"/>
  <c r="M629" i="23"/>
  <c r="F630" i="23"/>
  <c r="M630" i="23"/>
  <c r="F631" i="23"/>
  <c r="M631" i="23"/>
  <c r="F632" i="23"/>
  <c r="M632" i="23"/>
  <c r="F633" i="23"/>
  <c r="M633" i="23"/>
  <c r="F634" i="23"/>
  <c r="M634" i="23"/>
  <c r="F635" i="23"/>
  <c r="M635" i="23"/>
  <c r="F636" i="23"/>
  <c r="M636" i="23"/>
  <c r="F637" i="23"/>
  <c r="M637" i="23"/>
  <c r="F638" i="23"/>
  <c r="M638" i="23"/>
  <c r="F639" i="23"/>
  <c r="M639" i="23"/>
  <c r="F640" i="23"/>
  <c r="M640" i="23"/>
  <c r="F641" i="23"/>
  <c r="M641" i="23"/>
  <c r="F642" i="23"/>
  <c r="M642" i="23"/>
  <c r="F643" i="23"/>
  <c r="M643" i="23"/>
  <c r="F644" i="23"/>
  <c r="M644" i="23"/>
  <c r="F645" i="23"/>
  <c r="M645" i="23"/>
  <c r="F646" i="23"/>
  <c r="M646" i="23"/>
  <c r="F647" i="23"/>
  <c r="M647" i="23"/>
  <c r="F648" i="23"/>
  <c r="M648" i="23"/>
  <c r="F649" i="23"/>
  <c r="M649" i="23"/>
  <c r="F650" i="23"/>
  <c r="M650" i="23"/>
  <c r="F651" i="23"/>
  <c r="M651" i="23"/>
  <c r="F652" i="23"/>
  <c r="M652" i="23"/>
  <c r="F653" i="23"/>
  <c r="M653" i="23"/>
  <c r="F654" i="23"/>
  <c r="M654" i="23"/>
  <c r="F655" i="23"/>
  <c r="M655" i="23"/>
  <c r="F656" i="23"/>
  <c r="M656" i="23"/>
  <c r="F657" i="23"/>
  <c r="M657" i="23"/>
  <c r="F658" i="23"/>
  <c r="M658" i="23"/>
  <c r="F659" i="23"/>
  <c r="M659" i="23"/>
  <c r="F660" i="23"/>
  <c r="M660" i="23"/>
  <c r="F661" i="23"/>
  <c r="M661" i="23"/>
  <c r="F662" i="23"/>
  <c r="M662" i="23"/>
  <c r="F663" i="23"/>
  <c r="M663" i="23"/>
  <c r="F664" i="23"/>
  <c r="M664" i="23"/>
  <c r="F665" i="23"/>
  <c r="M665" i="23"/>
  <c r="F666" i="23"/>
  <c r="M666" i="23"/>
  <c r="F667" i="23"/>
  <c r="M667" i="23"/>
  <c r="F668" i="23"/>
  <c r="M668" i="23"/>
  <c r="F669" i="23"/>
  <c r="M669" i="23"/>
  <c r="F670" i="23"/>
  <c r="M670" i="23"/>
  <c r="F671" i="23"/>
  <c r="M671" i="23"/>
  <c r="F672" i="23"/>
  <c r="M672" i="23"/>
  <c r="F673" i="23"/>
  <c r="M673" i="23"/>
  <c r="F674" i="23"/>
  <c r="M674" i="23"/>
  <c r="F675" i="23"/>
  <c r="M675" i="23"/>
  <c r="F676" i="23"/>
  <c r="M676" i="23"/>
  <c r="F677" i="23"/>
  <c r="M677" i="23"/>
  <c r="F678" i="23"/>
  <c r="M678" i="23"/>
  <c r="F679" i="23"/>
  <c r="M679" i="23"/>
  <c r="F680" i="23"/>
  <c r="M680" i="23"/>
  <c r="F681" i="23"/>
  <c r="M681" i="23"/>
  <c r="F682" i="23"/>
  <c r="M682" i="23"/>
  <c r="F683" i="23"/>
  <c r="M683" i="23"/>
  <c r="F684" i="23"/>
  <c r="M684" i="23"/>
  <c r="F685" i="23"/>
  <c r="M685" i="23"/>
  <c r="F686" i="23"/>
  <c r="M686" i="23"/>
  <c r="F687" i="23"/>
  <c r="M687" i="23"/>
  <c r="F688" i="23"/>
  <c r="M688" i="23"/>
  <c r="F689" i="23"/>
  <c r="M689" i="23"/>
  <c r="F690" i="23"/>
  <c r="M690" i="23"/>
  <c r="F691" i="23"/>
  <c r="M691" i="23"/>
  <c r="F692" i="23"/>
  <c r="M692" i="23"/>
  <c r="F693" i="23"/>
  <c r="M693" i="23"/>
  <c r="F694" i="23"/>
  <c r="M694" i="23"/>
  <c r="F695" i="23"/>
  <c r="M695" i="23"/>
  <c r="F696" i="23"/>
  <c r="M696" i="23"/>
  <c r="F697" i="23"/>
  <c r="M697" i="23"/>
  <c r="F698" i="23"/>
  <c r="M698" i="23"/>
  <c r="F699" i="23"/>
  <c r="M699" i="23"/>
  <c r="F700" i="23"/>
  <c r="M700" i="23"/>
  <c r="F701" i="23"/>
  <c r="M701" i="23"/>
  <c r="F702" i="23"/>
  <c r="M702" i="23"/>
  <c r="F703" i="23"/>
  <c r="M703" i="23"/>
  <c r="F704" i="23"/>
  <c r="M704" i="23"/>
  <c r="F705" i="23"/>
  <c r="M705" i="23"/>
  <c r="F706" i="23"/>
  <c r="M706" i="23"/>
  <c r="F707" i="23"/>
  <c r="M707" i="23"/>
  <c r="F708" i="23"/>
  <c r="M708" i="23"/>
  <c r="F709" i="23"/>
  <c r="M709" i="23"/>
  <c r="F710" i="23"/>
  <c r="M710" i="23"/>
  <c r="F711" i="23"/>
  <c r="M711" i="23"/>
  <c r="F712" i="23"/>
  <c r="M712" i="23"/>
  <c r="F713" i="23"/>
  <c r="M713" i="23"/>
  <c r="F714" i="23"/>
  <c r="M714" i="23"/>
  <c r="F715" i="23"/>
  <c r="M715" i="23"/>
  <c r="F716" i="23"/>
  <c r="M716" i="23"/>
  <c r="F717" i="23"/>
  <c r="M717" i="23"/>
  <c r="F718" i="23"/>
  <c r="M718" i="23"/>
  <c r="F719" i="23"/>
  <c r="M719" i="23"/>
  <c r="F720" i="23"/>
  <c r="M720" i="23"/>
  <c r="F721" i="23"/>
  <c r="M721" i="23"/>
  <c r="F722" i="23"/>
  <c r="M722" i="23"/>
  <c r="F723" i="23"/>
  <c r="M723" i="23"/>
  <c r="F724" i="23"/>
  <c r="M724" i="23"/>
  <c r="F725" i="23"/>
  <c r="M725" i="23"/>
  <c r="F726" i="23"/>
  <c r="M726" i="23"/>
  <c r="F727" i="23"/>
  <c r="M727" i="23"/>
  <c r="F728" i="23"/>
  <c r="M728" i="23"/>
  <c r="F729" i="23"/>
  <c r="M729" i="23"/>
  <c r="F730" i="23"/>
  <c r="M730" i="23"/>
  <c r="F731" i="23"/>
  <c r="M731" i="23"/>
  <c r="F732" i="23"/>
  <c r="M732" i="23"/>
  <c r="F733" i="23"/>
  <c r="M733" i="23"/>
  <c r="F734" i="23"/>
  <c r="M734" i="23"/>
  <c r="F735" i="23"/>
  <c r="M735" i="23"/>
  <c r="F736" i="23"/>
  <c r="M736" i="23"/>
  <c r="F737" i="23"/>
  <c r="M737" i="23"/>
  <c r="F738" i="23"/>
  <c r="M738" i="23"/>
  <c r="F739" i="23"/>
  <c r="M739" i="23"/>
  <c r="F740" i="23"/>
  <c r="M740" i="23"/>
  <c r="F741" i="23"/>
  <c r="M741" i="23"/>
  <c r="F742" i="23"/>
  <c r="M742" i="23"/>
  <c r="F743" i="23"/>
  <c r="M743" i="23"/>
  <c r="F744" i="23"/>
  <c r="M744" i="23"/>
  <c r="F745" i="23"/>
  <c r="M745" i="23"/>
  <c r="F746" i="23"/>
  <c r="M746" i="23"/>
  <c r="F747" i="23"/>
  <c r="M747" i="23"/>
  <c r="F748" i="23"/>
  <c r="M748" i="23"/>
  <c r="F749" i="23"/>
  <c r="M749" i="23"/>
  <c r="F750" i="23"/>
  <c r="M750" i="23"/>
  <c r="F751" i="23"/>
  <c r="M751" i="23"/>
  <c r="F752" i="23"/>
  <c r="M752" i="23"/>
  <c r="F753" i="23"/>
  <c r="M753" i="23"/>
  <c r="F754" i="23"/>
  <c r="M754" i="23"/>
  <c r="F755" i="23"/>
  <c r="M755" i="23"/>
  <c r="F756" i="23"/>
  <c r="M756" i="23"/>
  <c r="F757" i="23"/>
  <c r="M757" i="23"/>
  <c r="F758" i="23"/>
  <c r="M758" i="23"/>
  <c r="F759" i="23"/>
  <c r="M759" i="23"/>
  <c r="F760" i="23"/>
  <c r="M760" i="23"/>
  <c r="F761" i="23"/>
  <c r="M761" i="23"/>
  <c r="F762" i="23"/>
  <c r="M762" i="23"/>
  <c r="F763" i="23"/>
  <c r="M763" i="23"/>
  <c r="F764" i="23"/>
  <c r="M764" i="23"/>
  <c r="F765" i="23"/>
  <c r="M765" i="23"/>
  <c r="F766" i="23"/>
  <c r="M766" i="23"/>
  <c r="F767" i="23"/>
  <c r="M767" i="23"/>
  <c r="F768" i="23"/>
  <c r="M768" i="23"/>
  <c r="F769" i="23"/>
  <c r="M769" i="23"/>
  <c r="F770" i="23"/>
  <c r="M770" i="23"/>
  <c r="F771" i="23"/>
  <c r="M771" i="23"/>
  <c r="F772" i="23"/>
  <c r="M772" i="23"/>
  <c r="F773" i="23"/>
  <c r="M773" i="23"/>
  <c r="F774" i="23"/>
  <c r="M774" i="23"/>
  <c r="F775" i="23"/>
  <c r="M775" i="23"/>
  <c r="F776" i="23"/>
  <c r="M776" i="23"/>
  <c r="F777" i="23"/>
  <c r="M777" i="23"/>
  <c r="F778" i="23"/>
  <c r="M778" i="23"/>
  <c r="F779" i="23"/>
  <c r="M779" i="23"/>
  <c r="F780" i="23"/>
  <c r="M780" i="23"/>
  <c r="F781" i="23"/>
  <c r="M781" i="23"/>
  <c r="F782" i="23"/>
  <c r="M782" i="23"/>
  <c r="F783" i="23"/>
  <c r="M783" i="23"/>
  <c r="F784" i="23"/>
  <c r="M784" i="23"/>
  <c r="F785" i="23"/>
  <c r="M785" i="23"/>
  <c r="F786" i="23"/>
  <c r="M786" i="23"/>
  <c r="F787" i="23"/>
  <c r="M787" i="23"/>
  <c r="F788" i="23"/>
  <c r="M788" i="23"/>
  <c r="F789" i="23"/>
  <c r="M789" i="23"/>
  <c r="F790" i="23"/>
  <c r="M790" i="23"/>
  <c r="F791" i="23"/>
  <c r="M791" i="23"/>
  <c r="F792" i="23"/>
  <c r="M792" i="23"/>
  <c r="F793" i="23"/>
  <c r="M793" i="23"/>
  <c r="F794" i="23"/>
  <c r="M794" i="23"/>
  <c r="F795" i="23"/>
  <c r="M795" i="23"/>
  <c r="F796" i="23"/>
  <c r="M796" i="23"/>
  <c r="F797" i="23"/>
  <c r="M797" i="23"/>
  <c r="F798" i="23"/>
  <c r="M798" i="23"/>
  <c r="F799" i="23"/>
  <c r="M799" i="23"/>
  <c r="F800" i="23"/>
  <c r="M800" i="23"/>
  <c r="F801" i="23"/>
  <c r="M801" i="23"/>
  <c r="F802" i="23"/>
  <c r="M802" i="23"/>
  <c r="F803" i="23"/>
  <c r="M803" i="23"/>
  <c r="F804" i="23"/>
  <c r="M804" i="23"/>
  <c r="F805" i="23"/>
  <c r="M805" i="23"/>
  <c r="F806" i="23"/>
  <c r="M806" i="23"/>
  <c r="F807" i="23"/>
  <c r="M807" i="23"/>
  <c r="F808" i="23"/>
  <c r="M808" i="23"/>
  <c r="F809" i="23"/>
  <c r="M809" i="23"/>
  <c r="F810" i="23"/>
  <c r="M810" i="23"/>
  <c r="F811" i="23"/>
  <c r="M811" i="23"/>
  <c r="F812" i="23"/>
  <c r="M812" i="23"/>
  <c r="F813" i="23"/>
  <c r="M813" i="23"/>
  <c r="F814" i="23"/>
  <c r="M814" i="23"/>
  <c r="F815" i="23"/>
  <c r="M815" i="23"/>
  <c r="F816" i="23"/>
  <c r="M816" i="23"/>
  <c r="F817" i="23"/>
  <c r="M817" i="23"/>
  <c r="F818" i="23"/>
  <c r="M818" i="23"/>
  <c r="F819" i="23"/>
  <c r="M819" i="23"/>
  <c r="F820" i="23"/>
  <c r="M820" i="23"/>
  <c r="F821" i="23"/>
  <c r="M821" i="23"/>
  <c r="F822" i="23"/>
  <c r="M822" i="23"/>
  <c r="F823" i="23"/>
  <c r="M823" i="23"/>
  <c r="F824" i="23"/>
  <c r="M824" i="23"/>
  <c r="F825" i="23"/>
  <c r="M825" i="23"/>
  <c r="F826" i="23"/>
  <c r="M826" i="23"/>
  <c r="F827" i="23"/>
  <c r="M827" i="23"/>
  <c r="F828" i="23"/>
  <c r="M828" i="23"/>
  <c r="F829" i="23"/>
  <c r="M829" i="23"/>
  <c r="F830" i="23"/>
  <c r="M830" i="23"/>
  <c r="F831" i="23"/>
  <c r="M831" i="23"/>
  <c r="F832" i="23"/>
  <c r="M832" i="23"/>
  <c r="F833" i="23"/>
  <c r="M833" i="23"/>
  <c r="F834" i="23"/>
  <c r="M834" i="23"/>
  <c r="F835" i="23"/>
  <c r="M835" i="23"/>
  <c r="F836" i="23"/>
  <c r="M836" i="23"/>
  <c r="F837" i="23"/>
  <c r="M837" i="23"/>
  <c r="F838" i="23"/>
  <c r="M838" i="23"/>
  <c r="F839" i="23"/>
  <c r="M839" i="23"/>
  <c r="F840" i="23"/>
  <c r="M840" i="23"/>
  <c r="F841" i="23"/>
  <c r="M841" i="23"/>
  <c r="F842" i="23"/>
  <c r="M842" i="23"/>
  <c r="F843" i="23"/>
  <c r="M843" i="23"/>
  <c r="F844" i="23"/>
  <c r="M844" i="23"/>
  <c r="F845" i="23"/>
  <c r="M845" i="23"/>
  <c r="F846" i="23"/>
  <c r="M846" i="23"/>
  <c r="F847" i="23"/>
  <c r="M847" i="23"/>
  <c r="F848" i="23"/>
  <c r="M848" i="23"/>
  <c r="F849" i="23"/>
  <c r="M849" i="23"/>
  <c r="F850" i="23"/>
  <c r="M850" i="23"/>
  <c r="F851" i="23"/>
  <c r="M851" i="23"/>
  <c r="F852" i="23"/>
  <c r="M852" i="23"/>
  <c r="F853" i="23"/>
  <c r="M853" i="23"/>
  <c r="F854" i="23"/>
  <c r="M854" i="23"/>
  <c r="F855" i="23"/>
  <c r="M855" i="23"/>
  <c r="F856" i="23"/>
  <c r="M856" i="23"/>
  <c r="F857" i="23"/>
  <c r="M857" i="23"/>
  <c r="F858" i="23"/>
  <c r="M858" i="23"/>
  <c r="F859" i="23"/>
  <c r="M859" i="23"/>
  <c r="F860" i="23"/>
  <c r="M860" i="23"/>
  <c r="F861" i="23"/>
  <c r="M861" i="23"/>
  <c r="F862" i="23"/>
  <c r="M862" i="23"/>
  <c r="F863" i="23"/>
  <c r="M863" i="23"/>
  <c r="F864" i="23"/>
  <c r="M864" i="23"/>
  <c r="F865" i="23"/>
  <c r="M865" i="23"/>
  <c r="F866" i="23"/>
  <c r="M866" i="23"/>
  <c r="F867" i="23"/>
  <c r="M867" i="23"/>
  <c r="F868" i="23"/>
  <c r="M868" i="23"/>
  <c r="F869" i="23"/>
  <c r="M869" i="23"/>
  <c r="F870" i="23"/>
  <c r="M870" i="23"/>
  <c r="F871" i="23"/>
  <c r="M871" i="23"/>
  <c r="F872" i="23"/>
  <c r="M872" i="23"/>
  <c r="F873" i="23"/>
  <c r="M873" i="23"/>
  <c r="F874" i="23"/>
  <c r="M874" i="23"/>
  <c r="F875" i="23"/>
  <c r="M875" i="23"/>
  <c r="F876" i="23"/>
  <c r="M876" i="23"/>
  <c r="F877" i="23"/>
  <c r="M877" i="23"/>
  <c r="F878" i="23"/>
  <c r="M878" i="23"/>
  <c r="F879" i="23"/>
  <c r="M879" i="23"/>
  <c r="F880" i="23"/>
  <c r="M880" i="23"/>
  <c r="F881" i="23"/>
  <c r="M881" i="23"/>
  <c r="F882" i="23"/>
  <c r="M882" i="23"/>
  <c r="F883" i="23"/>
  <c r="M883" i="23"/>
  <c r="F884" i="23"/>
  <c r="M884" i="23"/>
  <c r="F885" i="23"/>
  <c r="M885" i="23"/>
  <c r="F886" i="23"/>
  <c r="M886" i="23"/>
  <c r="F887" i="23"/>
  <c r="M887" i="23"/>
  <c r="F888" i="23"/>
  <c r="M888" i="23"/>
  <c r="F889" i="23"/>
  <c r="M889" i="23"/>
  <c r="F890" i="23"/>
  <c r="M890" i="23"/>
  <c r="F891" i="23"/>
  <c r="M891" i="23"/>
  <c r="F892" i="23"/>
  <c r="M892" i="23"/>
  <c r="F893" i="23"/>
  <c r="M893" i="23"/>
  <c r="F894" i="23"/>
  <c r="M894" i="23"/>
  <c r="F895" i="23"/>
  <c r="M895" i="23"/>
  <c r="F896" i="23"/>
  <c r="M896" i="23"/>
  <c r="F897" i="23"/>
  <c r="M897" i="23"/>
  <c r="F898" i="23"/>
  <c r="M898" i="23"/>
  <c r="F899" i="23"/>
  <c r="M899" i="23"/>
  <c r="F900" i="23"/>
  <c r="M900" i="23"/>
  <c r="F901" i="23"/>
  <c r="M901" i="23"/>
  <c r="F902" i="23"/>
  <c r="M902" i="23"/>
  <c r="F903" i="23"/>
  <c r="M903" i="23"/>
  <c r="F904" i="23"/>
  <c r="M904" i="23"/>
  <c r="F905" i="23"/>
  <c r="M905" i="23"/>
  <c r="F906" i="23"/>
  <c r="M906" i="23"/>
  <c r="F907" i="23"/>
  <c r="M907" i="23"/>
  <c r="F908" i="23"/>
  <c r="M908" i="23"/>
  <c r="F909" i="23"/>
  <c r="M909" i="23"/>
  <c r="F910" i="23"/>
  <c r="M910" i="23"/>
  <c r="F911" i="23"/>
  <c r="M911" i="23"/>
  <c r="F912" i="23"/>
  <c r="M912" i="23"/>
  <c r="F913" i="23"/>
  <c r="M913" i="23"/>
  <c r="F914" i="23"/>
  <c r="M914" i="23"/>
  <c r="F915" i="23"/>
  <c r="M915" i="23"/>
  <c r="F916" i="23"/>
  <c r="M916" i="23"/>
  <c r="F917" i="23"/>
  <c r="M917" i="23"/>
  <c r="F918" i="23"/>
  <c r="M918" i="23"/>
  <c r="F919" i="23"/>
  <c r="M919" i="23"/>
  <c r="F920" i="23"/>
  <c r="M920" i="23"/>
  <c r="F921" i="23"/>
  <c r="M921" i="23"/>
  <c r="F922" i="23"/>
  <c r="M922" i="23"/>
  <c r="F923" i="23"/>
  <c r="M923" i="23"/>
  <c r="F924" i="23"/>
  <c r="M924" i="23"/>
  <c r="F925" i="23"/>
  <c r="M925" i="23"/>
  <c r="F926" i="23"/>
  <c r="M926" i="23"/>
  <c r="F927" i="23"/>
  <c r="M927" i="23"/>
  <c r="F928" i="23"/>
  <c r="M928" i="23"/>
  <c r="F929" i="23"/>
  <c r="M929" i="23"/>
  <c r="F930" i="23"/>
  <c r="M930" i="23"/>
  <c r="F931" i="23"/>
  <c r="M931" i="23"/>
  <c r="F932" i="23"/>
  <c r="M932" i="23"/>
  <c r="F933" i="23"/>
  <c r="M933" i="23"/>
  <c r="F934" i="23"/>
  <c r="M934" i="23"/>
  <c r="F935" i="23"/>
  <c r="M935" i="23"/>
  <c r="F936" i="23"/>
  <c r="M936" i="23"/>
  <c r="F937" i="23"/>
  <c r="M937" i="23"/>
  <c r="F938" i="23"/>
  <c r="M938" i="23"/>
  <c r="F939" i="23"/>
  <c r="M939" i="23"/>
  <c r="F940" i="23"/>
  <c r="M940" i="23"/>
  <c r="F941" i="23"/>
  <c r="M941" i="23"/>
  <c r="F942" i="23"/>
  <c r="M942" i="23"/>
  <c r="F943" i="23"/>
  <c r="M943" i="23"/>
  <c r="F944" i="23"/>
  <c r="M944" i="23"/>
  <c r="F945" i="23"/>
  <c r="M945" i="23"/>
  <c r="F946" i="23"/>
  <c r="M946" i="23"/>
  <c r="F947" i="23"/>
  <c r="M947" i="23"/>
  <c r="F948" i="23"/>
  <c r="M948" i="23"/>
  <c r="F949" i="23"/>
  <c r="M949" i="23"/>
  <c r="F950" i="23"/>
  <c r="M950" i="23"/>
  <c r="F951" i="23"/>
  <c r="M951" i="23"/>
  <c r="F952" i="23"/>
  <c r="M952" i="23"/>
  <c r="F953" i="23"/>
  <c r="M953" i="23"/>
  <c r="F954" i="23"/>
  <c r="M954" i="23"/>
  <c r="F955" i="23"/>
  <c r="M955" i="23"/>
  <c r="F956" i="23"/>
  <c r="M956" i="23"/>
  <c r="F957" i="23"/>
  <c r="M957" i="23"/>
  <c r="F958" i="23"/>
  <c r="M958" i="23"/>
  <c r="F959" i="23"/>
  <c r="M959" i="23"/>
  <c r="F960" i="23"/>
  <c r="M960" i="23"/>
  <c r="F961" i="23"/>
  <c r="M961" i="23"/>
  <c r="F962" i="23"/>
  <c r="M962" i="23"/>
  <c r="F963" i="23"/>
  <c r="M963" i="23"/>
  <c r="F964" i="23"/>
  <c r="M964" i="23"/>
  <c r="F965" i="23"/>
  <c r="M965" i="23"/>
  <c r="F966" i="23"/>
  <c r="M966" i="23"/>
  <c r="F967" i="23"/>
  <c r="M967" i="23"/>
  <c r="F968" i="23"/>
  <c r="M968" i="23"/>
  <c r="F969" i="23"/>
  <c r="M969" i="23"/>
  <c r="F970" i="23"/>
  <c r="M970" i="23"/>
  <c r="F971" i="23"/>
  <c r="M971" i="23"/>
  <c r="F972" i="23"/>
  <c r="M972" i="23"/>
  <c r="F973" i="23"/>
  <c r="M973" i="23"/>
  <c r="F974" i="23"/>
  <c r="M974" i="23"/>
  <c r="F975" i="23"/>
  <c r="M975" i="23"/>
  <c r="F976" i="23"/>
  <c r="M976" i="23"/>
  <c r="F977" i="23"/>
  <c r="M977" i="23"/>
  <c r="F978" i="23"/>
  <c r="M978" i="23"/>
  <c r="F979" i="23"/>
  <c r="M979" i="23"/>
  <c r="F980" i="23"/>
  <c r="M980" i="23"/>
  <c r="F981" i="23"/>
  <c r="M981" i="23"/>
  <c r="F982" i="23"/>
  <c r="M982" i="23"/>
  <c r="F983" i="23"/>
  <c r="M983" i="23"/>
  <c r="F984" i="23"/>
  <c r="M984" i="23"/>
  <c r="F985" i="23"/>
  <c r="M985" i="23"/>
  <c r="F986" i="23"/>
  <c r="M986" i="23"/>
  <c r="F987" i="23"/>
  <c r="M987" i="23"/>
  <c r="F988" i="23"/>
  <c r="M988" i="23"/>
  <c r="F989" i="23"/>
  <c r="M989" i="23"/>
  <c r="F990" i="23"/>
  <c r="M990" i="23"/>
  <c r="F991" i="23"/>
  <c r="M991" i="23"/>
  <c r="F992" i="23"/>
  <c r="M992" i="23"/>
  <c r="F993" i="23"/>
  <c r="M993" i="23"/>
  <c r="F994" i="23"/>
  <c r="M994" i="23"/>
  <c r="F995" i="23"/>
  <c r="M995" i="23"/>
  <c r="F996" i="23"/>
  <c r="M996" i="23"/>
  <c r="F997" i="23"/>
  <c r="M997" i="23"/>
  <c r="F998" i="23"/>
  <c r="M998" i="23"/>
  <c r="F999" i="23"/>
  <c r="M999" i="23"/>
  <c r="F1000" i="23"/>
  <c r="M1000" i="23"/>
  <c r="F1001" i="23"/>
  <c r="M1001" i="23"/>
  <c r="F1002" i="23"/>
  <c r="M1002" i="23"/>
  <c r="F1003" i="23"/>
  <c r="M1003" i="23"/>
  <c r="F1004" i="23"/>
  <c r="M1004" i="23"/>
  <c r="F1005" i="23"/>
  <c r="M1005" i="23"/>
  <c r="F1006" i="23"/>
  <c r="M1006" i="23"/>
  <c r="F1007" i="23"/>
  <c r="M1007" i="23"/>
  <c r="F1008" i="23"/>
  <c r="M1008" i="23"/>
  <c r="F1009" i="23"/>
  <c r="M1009" i="23"/>
  <c r="F1010" i="23"/>
  <c r="M1010" i="23"/>
  <c r="F1011" i="23"/>
  <c r="M1011" i="23"/>
  <c r="F1012" i="23"/>
  <c r="M1012" i="23"/>
  <c r="F1013" i="23"/>
  <c r="M1013" i="23"/>
  <c r="F1014" i="23"/>
  <c r="M1014" i="23"/>
  <c r="F1015" i="23"/>
  <c r="M1015" i="23"/>
  <c r="F1016" i="23"/>
  <c r="M1016" i="23"/>
  <c r="F1017" i="23"/>
  <c r="M1017" i="23"/>
  <c r="F1018" i="23"/>
  <c r="M1018" i="23"/>
  <c r="F1019" i="23"/>
  <c r="M1019" i="23"/>
  <c r="F1020" i="23"/>
  <c r="M1020" i="23"/>
  <c r="F1021" i="23"/>
  <c r="M1021" i="23"/>
  <c r="F1022" i="23"/>
  <c r="M1022" i="23"/>
  <c r="F1023" i="23"/>
  <c r="M1023" i="23"/>
  <c r="F1024" i="23"/>
  <c r="M1024" i="23"/>
  <c r="F1025" i="23"/>
  <c r="M1025" i="23"/>
  <c r="F1026" i="23"/>
  <c r="M1026" i="23"/>
  <c r="F1027" i="23"/>
  <c r="M1027" i="23"/>
  <c r="F1028" i="23"/>
  <c r="M1028" i="23"/>
  <c r="F1029" i="23"/>
  <c r="M1029" i="23"/>
  <c r="F1030" i="23"/>
  <c r="M1030" i="23"/>
  <c r="F1031" i="23"/>
  <c r="M1031" i="23"/>
  <c r="F1032" i="23"/>
  <c r="M1032" i="23"/>
  <c r="F1033" i="23"/>
  <c r="M1033" i="23"/>
  <c r="F1034" i="23"/>
  <c r="M1034" i="23"/>
  <c r="F1035" i="23"/>
  <c r="M1035" i="23"/>
  <c r="F1036" i="23"/>
  <c r="M1036" i="23"/>
  <c r="F1037" i="23"/>
  <c r="M1037" i="23"/>
  <c r="F1038" i="23"/>
  <c r="M1038" i="23"/>
  <c r="F1039" i="23"/>
  <c r="M1039" i="23"/>
  <c r="F1040" i="23"/>
  <c r="M1040" i="23"/>
  <c r="F1041" i="23"/>
  <c r="M1041" i="23"/>
  <c r="F1042" i="23"/>
  <c r="M1042" i="23"/>
  <c r="F1043" i="23"/>
  <c r="M1043" i="23"/>
  <c r="F1044" i="23"/>
  <c r="M1044" i="23"/>
  <c r="F1045" i="23"/>
  <c r="M1045" i="23"/>
  <c r="F1046" i="23"/>
  <c r="M1046" i="23"/>
  <c r="F1047" i="23"/>
  <c r="M1047" i="23"/>
  <c r="F1048" i="23"/>
  <c r="M1048" i="23"/>
  <c r="F1049" i="23"/>
  <c r="M1049" i="23"/>
  <c r="F1050" i="23"/>
  <c r="M1050" i="23"/>
  <c r="F1051" i="23"/>
  <c r="M1051" i="23"/>
  <c r="F1052" i="23"/>
  <c r="M1052" i="23"/>
  <c r="F1053" i="23"/>
  <c r="M1053" i="23"/>
  <c r="F1054" i="23"/>
  <c r="M1054" i="23"/>
  <c r="F1055" i="23"/>
  <c r="M1055" i="23"/>
  <c r="F1056" i="23"/>
  <c r="M1056" i="23"/>
  <c r="F1057" i="23"/>
  <c r="M1057" i="23"/>
  <c r="F1058" i="23"/>
  <c r="M1058" i="23"/>
  <c r="F1059" i="23"/>
  <c r="M1059" i="23"/>
  <c r="F1060" i="23"/>
  <c r="M1060" i="23"/>
  <c r="F1061" i="23"/>
  <c r="M1061" i="23"/>
  <c r="F1062" i="23"/>
  <c r="M1062" i="23"/>
  <c r="F1063" i="23"/>
  <c r="M1063" i="23"/>
  <c r="F1064" i="23"/>
  <c r="M1064" i="23"/>
  <c r="F1065" i="23"/>
  <c r="M1065" i="23"/>
  <c r="F1066" i="23"/>
  <c r="M1066" i="23"/>
  <c r="F1067" i="23"/>
  <c r="M1067" i="23"/>
  <c r="F1068" i="23"/>
  <c r="M1068" i="23"/>
  <c r="F1069" i="23"/>
  <c r="M1069" i="23"/>
  <c r="F1070" i="23"/>
  <c r="M1070" i="23"/>
  <c r="F1071" i="23"/>
  <c r="M1071" i="23"/>
  <c r="F1072" i="23"/>
  <c r="M1072" i="23"/>
  <c r="F1073" i="23"/>
  <c r="M1073" i="23"/>
  <c r="F1074" i="23"/>
  <c r="M1074" i="23"/>
  <c r="F1075" i="23"/>
  <c r="M1075" i="23"/>
  <c r="F1076" i="23"/>
  <c r="M1076" i="23"/>
  <c r="F1077" i="23"/>
  <c r="M1077" i="23"/>
  <c r="F1078" i="23"/>
  <c r="M1078" i="23"/>
  <c r="F1079" i="23"/>
  <c r="M1079" i="23"/>
  <c r="F1080" i="23"/>
  <c r="M1080" i="23"/>
  <c r="F1081" i="23"/>
  <c r="M1081" i="23"/>
  <c r="F1082" i="23"/>
  <c r="M1082" i="23"/>
  <c r="F1083" i="23"/>
  <c r="M1083" i="23"/>
  <c r="F1084" i="23"/>
  <c r="M1084" i="23"/>
  <c r="F1085" i="23"/>
  <c r="M1085" i="23"/>
  <c r="F1086" i="23"/>
  <c r="M1086" i="23"/>
  <c r="F1087" i="23"/>
  <c r="M1087" i="23"/>
  <c r="F1088" i="23"/>
  <c r="M1088" i="23"/>
  <c r="F1089" i="23"/>
  <c r="M1089" i="23"/>
  <c r="F1090" i="23"/>
  <c r="M1090" i="23"/>
  <c r="F1091" i="23"/>
  <c r="M1091" i="23"/>
  <c r="F1092" i="23"/>
  <c r="M1092" i="23"/>
  <c r="F1093" i="23"/>
  <c r="M1093" i="23"/>
  <c r="F1094" i="23"/>
  <c r="M1094" i="23"/>
  <c r="F1095" i="23"/>
  <c r="M1095" i="23"/>
  <c r="F1096" i="23"/>
  <c r="M1096" i="23"/>
  <c r="F1097" i="23"/>
  <c r="M1097" i="23"/>
  <c r="F1098" i="23"/>
  <c r="M1098" i="23"/>
  <c r="F1099" i="23"/>
  <c r="M1099" i="23"/>
  <c r="F1100" i="23"/>
  <c r="M1100" i="23"/>
  <c r="F1101" i="23"/>
  <c r="M1101" i="23"/>
  <c r="F1102" i="23"/>
  <c r="M1102" i="23"/>
  <c r="F1103" i="23"/>
  <c r="M1103" i="23"/>
  <c r="F1104" i="23"/>
  <c r="M1104" i="23"/>
  <c r="F1105" i="23"/>
  <c r="M1105" i="23"/>
  <c r="F1106" i="23"/>
  <c r="M1106" i="23"/>
  <c r="F1107" i="23"/>
  <c r="M1107" i="23"/>
  <c r="F1108" i="23"/>
  <c r="M1108" i="23"/>
  <c r="F1109" i="23"/>
  <c r="M1109" i="23"/>
  <c r="F1110" i="23"/>
  <c r="M1110" i="23"/>
  <c r="F1111" i="23"/>
  <c r="M1111" i="23"/>
  <c r="F1112" i="23"/>
  <c r="M1112" i="23"/>
  <c r="F1113" i="23"/>
  <c r="M1113" i="23"/>
  <c r="F1114" i="23"/>
  <c r="M1114" i="23"/>
  <c r="F1115" i="23"/>
  <c r="M1115" i="23"/>
  <c r="F1116" i="23"/>
  <c r="M1116" i="23"/>
  <c r="F1117" i="23"/>
  <c r="M1117" i="23"/>
  <c r="F1118" i="23"/>
  <c r="M1118" i="23"/>
  <c r="F1119" i="23"/>
  <c r="M1119" i="23"/>
  <c r="F1120" i="23"/>
  <c r="M1120" i="23"/>
  <c r="F1121" i="23"/>
  <c r="M1121" i="23"/>
  <c r="F1122" i="23"/>
  <c r="M1122" i="23"/>
  <c r="F1123" i="23"/>
  <c r="M1123" i="23"/>
  <c r="F1124" i="23"/>
  <c r="M1124" i="23"/>
  <c r="F1125" i="23"/>
  <c r="M1125" i="23"/>
  <c r="F1126" i="23"/>
  <c r="M1126" i="23"/>
  <c r="F1127" i="23"/>
  <c r="M1127" i="23"/>
  <c r="F1128" i="23"/>
  <c r="M1128" i="23"/>
  <c r="F1129" i="23"/>
  <c r="M1129" i="23"/>
  <c r="F1130" i="23"/>
  <c r="M1130" i="23"/>
  <c r="F1131" i="23"/>
  <c r="M1131" i="23"/>
  <c r="F1132" i="23"/>
  <c r="M1132" i="23"/>
  <c r="F1133" i="23"/>
  <c r="M1133" i="23"/>
  <c r="F1134" i="23"/>
  <c r="M1134" i="23"/>
  <c r="F1135" i="23"/>
  <c r="M1135" i="23"/>
  <c r="F1136" i="23"/>
  <c r="M1136" i="23"/>
  <c r="F1137" i="23"/>
  <c r="M1137" i="23"/>
  <c r="F1138" i="23"/>
  <c r="M1138" i="23"/>
  <c r="F1139" i="23"/>
  <c r="M1139" i="23"/>
  <c r="F1140" i="23"/>
  <c r="M1140" i="23"/>
  <c r="F1141" i="23"/>
  <c r="M1141" i="23"/>
  <c r="F1142" i="23"/>
  <c r="M1142" i="23"/>
  <c r="F1143" i="23"/>
  <c r="M1143" i="23"/>
  <c r="F1144" i="23"/>
  <c r="M1144" i="23"/>
  <c r="F1145" i="23"/>
  <c r="M1145" i="23"/>
  <c r="F1146" i="23"/>
  <c r="M1146" i="23"/>
  <c r="F1147" i="23"/>
  <c r="M1147" i="23"/>
  <c r="F1148" i="23"/>
  <c r="M1148" i="23"/>
  <c r="F1149" i="23"/>
  <c r="M1149" i="23"/>
  <c r="F1150" i="23"/>
  <c r="M1150" i="23"/>
  <c r="F1151" i="23"/>
  <c r="M1151" i="23"/>
  <c r="F1152" i="23"/>
  <c r="M1152" i="23"/>
  <c r="F1153" i="23"/>
  <c r="M1153" i="23"/>
  <c r="F1154" i="23"/>
  <c r="M1154" i="23"/>
  <c r="F1155" i="23"/>
  <c r="M1155" i="23"/>
  <c r="F1156" i="23"/>
  <c r="M1156" i="23"/>
  <c r="F1157" i="23"/>
  <c r="M1157" i="23"/>
  <c r="F1158" i="23"/>
  <c r="M1158" i="23"/>
  <c r="F1159" i="23"/>
  <c r="M1159" i="23"/>
  <c r="F1160" i="23"/>
  <c r="M1160" i="23"/>
  <c r="F1161" i="23"/>
  <c r="M1161" i="23"/>
  <c r="F1162" i="23"/>
  <c r="M1162" i="23"/>
  <c r="F1163" i="23"/>
  <c r="M1163" i="23"/>
  <c r="F1164" i="23"/>
  <c r="M1164" i="23"/>
  <c r="F1165" i="23"/>
  <c r="M1165" i="23"/>
  <c r="F1166" i="23"/>
  <c r="M1166" i="23"/>
  <c r="F1167" i="23"/>
  <c r="M1167" i="23"/>
  <c r="F1168" i="23"/>
  <c r="M1168" i="23"/>
  <c r="F1169" i="23"/>
  <c r="M1169" i="23"/>
  <c r="F1170" i="23"/>
  <c r="M1170" i="23"/>
  <c r="F1171" i="23"/>
  <c r="M1171" i="23"/>
  <c r="F1172" i="23"/>
  <c r="M1172" i="23"/>
  <c r="F1173" i="23"/>
  <c r="M1173" i="23"/>
  <c r="F1174" i="23"/>
  <c r="M1174" i="23"/>
  <c r="F1175" i="23"/>
  <c r="M1175" i="23"/>
  <c r="F1176" i="23"/>
  <c r="M1176" i="23"/>
  <c r="F1177" i="23"/>
  <c r="M1177" i="23"/>
  <c r="F1178" i="23"/>
  <c r="M1178" i="23"/>
  <c r="F1179" i="23"/>
  <c r="M1179" i="23"/>
  <c r="F1180" i="23"/>
  <c r="M1180" i="23"/>
  <c r="F1181" i="23"/>
  <c r="M1181" i="23"/>
  <c r="F1182" i="23"/>
  <c r="M1182" i="23"/>
  <c r="F1183" i="23"/>
  <c r="M1183" i="23"/>
  <c r="F1184" i="23"/>
  <c r="M1184" i="23"/>
  <c r="F1185" i="23"/>
  <c r="M1185" i="23"/>
  <c r="F1186" i="23"/>
  <c r="M1186" i="23"/>
  <c r="F1187" i="23"/>
  <c r="M1187" i="23"/>
  <c r="F1188" i="23"/>
  <c r="M1188" i="23"/>
  <c r="F1189" i="23"/>
  <c r="M1189" i="23"/>
  <c r="F1190" i="23"/>
  <c r="M1190" i="23"/>
  <c r="F1191" i="23"/>
  <c r="M1191" i="23"/>
  <c r="F1192" i="23"/>
  <c r="M1192" i="23"/>
  <c r="F1193" i="23"/>
  <c r="M1193" i="23"/>
  <c r="F1194" i="23"/>
  <c r="M1194" i="23"/>
  <c r="F1195" i="23"/>
  <c r="M1195" i="23"/>
  <c r="F1196" i="23"/>
  <c r="M1196" i="23"/>
  <c r="F1197" i="23"/>
  <c r="M1197" i="23"/>
  <c r="F1198" i="23"/>
  <c r="M1198" i="23"/>
  <c r="F1199" i="23"/>
  <c r="M1199" i="23"/>
  <c r="F1200" i="23"/>
  <c r="M1200" i="23"/>
  <c r="F1201" i="23"/>
  <c r="M1201" i="23"/>
  <c r="F1202" i="23"/>
  <c r="M1202" i="23"/>
  <c r="F1203" i="23"/>
  <c r="M1203" i="23"/>
  <c r="F1204" i="23"/>
  <c r="M1204" i="23"/>
  <c r="F1205" i="23"/>
  <c r="M1205" i="23"/>
  <c r="F1206" i="23"/>
  <c r="M1206" i="23"/>
  <c r="F1207" i="23"/>
  <c r="M1207" i="23"/>
  <c r="F1208" i="23"/>
  <c r="M1208" i="23"/>
  <c r="F1209" i="23"/>
  <c r="M1209" i="23"/>
  <c r="F1210" i="23"/>
  <c r="M1210" i="23"/>
  <c r="F1211" i="23"/>
  <c r="M1211" i="23"/>
  <c r="F1212" i="23"/>
  <c r="M1212" i="23"/>
  <c r="F1213" i="23"/>
  <c r="M1213" i="23"/>
  <c r="F1214" i="23"/>
  <c r="M1214" i="23"/>
  <c r="F1215" i="23"/>
  <c r="M1215" i="23"/>
  <c r="F1216" i="23"/>
  <c r="M1216" i="23"/>
  <c r="F1217" i="23"/>
  <c r="M1217" i="23"/>
  <c r="F1218" i="23"/>
  <c r="M1218" i="23"/>
  <c r="F1219" i="23"/>
  <c r="M1219" i="23"/>
  <c r="F1220" i="23"/>
  <c r="M1220" i="23"/>
  <c r="F1221" i="23"/>
  <c r="M1221" i="23"/>
  <c r="F1222" i="23"/>
  <c r="M1222" i="23"/>
  <c r="F1223" i="23"/>
  <c r="M1223" i="23"/>
  <c r="F1224" i="23"/>
  <c r="M1224" i="23"/>
  <c r="F1225" i="23"/>
  <c r="M1225" i="23"/>
  <c r="F1226" i="23"/>
  <c r="M1226" i="23"/>
  <c r="F1227" i="23"/>
  <c r="M1227" i="23"/>
  <c r="F1228" i="23"/>
  <c r="M1228" i="23"/>
  <c r="F1229" i="23"/>
  <c r="M1229" i="23"/>
  <c r="F1230" i="23"/>
  <c r="M1230" i="23"/>
  <c r="F1231" i="23"/>
  <c r="M1231" i="23"/>
  <c r="F1232" i="23"/>
  <c r="M1232" i="23"/>
  <c r="F1233" i="23"/>
  <c r="M1233" i="23"/>
  <c r="F1234" i="23"/>
  <c r="M1234" i="23"/>
  <c r="F1235" i="23"/>
  <c r="M1235" i="23"/>
  <c r="F1236" i="23"/>
  <c r="M1236" i="23"/>
  <c r="F1237" i="23"/>
  <c r="M1237" i="23"/>
  <c r="F1238" i="23"/>
  <c r="M1238" i="23"/>
  <c r="F1239" i="23"/>
  <c r="M1239" i="23"/>
  <c r="F1240" i="23"/>
  <c r="M1240" i="23"/>
  <c r="F1241" i="23"/>
  <c r="M1241" i="23"/>
  <c r="F1242" i="23"/>
  <c r="M1242" i="23"/>
  <c r="F1243" i="23"/>
  <c r="M1243" i="23"/>
  <c r="F1244" i="23"/>
  <c r="M1244" i="23"/>
  <c r="F1245" i="23"/>
  <c r="M1245" i="23"/>
  <c r="F1246" i="23"/>
  <c r="M1246" i="23"/>
  <c r="F1247" i="23"/>
  <c r="M1247" i="23"/>
  <c r="F1248" i="23"/>
  <c r="M1248" i="23"/>
  <c r="F1249" i="23"/>
  <c r="M1249" i="23"/>
  <c r="F1250" i="23"/>
  <c r="M1250" i="23"/>
  <c r="F1251" i="23"/>
  <c r="M1251" i="23"/>
  <c r="F1252" i="23"/>
  <c r="M1252" i="23"/>
  <c r="F1253" i="23"/>
  <c r="M1253" i="23"/>
  <c r="F1254" i="23"/>
  <c r="M1254" i="23"/>
  <c r="F1255" i="23"/>
  <c r="M1255" i="23"/>
  <c r="F1256" i="23"/>
  <c r="M1256" i="23"/>
  <c r="F1257" i="23"/>
  <c r="M1257" i="23"/>
  <c r="F1258" i="23"/>
  <c r="M1258" i="23"/>
  <c r="F1259" i="23"/>
  <c r="M1259" i="23"/>
  <c r="F1260" i="23"/>
  <c r="M1260" i="23"/>
  <c r="F1261" i="23"/>
  <c r="M1261" i="23"/>
  <c r="F1262" i="23"/>
  <c r="M1262" i="23"/>
  <c r="F1263" i="23"/>
  <c r="M1263" i="23"/>
  <c r="F1264" i="23"/>
  <c r="M1264" i="23"/>
  <c r="F1265" i="23"/>
  <c r="M1265" i="23"/>
  <c r="F1266" i="23"/>
  <c r="M1266" i="23"/>
  <c r="F1267" i="23"/>
  <c r="M1267" i="23"/>
  <c r="F1268" i="23"/>
  <c r="M1268" i="23"/>
  <c r="F1269" i="23"/>
  <c r="M1269" i="23"/>
  <c r="F1270" i="23"/>
  <c r="M1270" i="23"/>
  <c r="F1271" i="23"/>
  <c r="M1271" i="23"/>
  <c r="F1272" i="23"/>
  <c r="M1272" i="23"/>
  <c r="F1273" i="23"/>
  <c r="M1273" i="23"/>
  <c r="F1274" i="23"/>
  <c r="M1274" i="23"/>
  <c r="F1275" i="23"/>
  <c r="M1275" i="23"/>
  <c r="F1276" i="23"/>
  <c r="M1276" i="23"/>
  <c r="F1277" i="23"/>
  <c r="M1277" i="23"/>
  <c r="F1278" i="23"/>
  <c r="M1278" i="23"/>
  <c r="F1279" i="23"/>
  <c r="M1279" i="23"/>
  <c r="F1280" i="23"/>
  <c r="M1280" i="23"/>
  <c r="F1281" i="23"/>
  <c r="M1281" i="23"/>
  <c r="F1282" i="23"/>
  <c r="M1282" i="23"/>
  <c r="F1283" i="23"/>
  <c r="M1283" i="23"/>
  <c r="F1284" i="23"/>
  <c r="M1284" i="23"/>
  <c r="F1285" i="23"/>
  <c r="M1285" i="23"/>
  <c r="F1286" i="23"/>
  <c r="M1286" i="23"/>
  <c r="F1287" i="23"/>
  <c r="M1287" i="23"/>
  <c r="F1288" i="23"/>
  <c r="M1288" i="23"/>
  <c r="F1289" i="23"/>
  <c r="M1289" i="23"/>
  <c r="F1290" i="23"/>
  <c r="M1290" i="23"/>
  <c r="F1291" i="23"/>
  <c r="M1291" i="23"/>
  <c r="F1292" i="23"/>
  <c r="M1292" i="23"/>
  <c r="F1293" i="23"/>
  <c r="M1293" i="23"/>
  <c r="F1294" i="23"/>
  <c r="M1294" i="23"/>
  <c r="F1295" i="23"/>
  <c r="M1295" i="23"/>
  <c r="F1296" i="23"/>
  <c r="M1296" i="23"/>
  <c r="F1297" i="23"/>
  <c r="M1297" i="23"/>
  <c r="F1298" i="23"/>
  <c r="M1298" i="23"/>
  <c r="F1299" i="23"/>
  <c r="M1299" i="23"/>
  <c r="F1300" i="23"/>
  <c r="M1300" i="23"/>
  <c r="F1301" i="23"/>
  <c r="M1301" i="23"/>
  <c r="F1302" i="23"/>
  <c r="M1302" i="23"/>
  <c r="F1303" i="23"/>
  <c r="M1303" i="23"/>
  <c r="F1304" i="23"/>
  <c r="M1304" i="23"/>
  <c r="F1305" i="23"/>
  <c r="M1305" i="23"/>
  <c r="F1306" i="23"/>
  <c r="M1306" i="23"/>
  <c r="F1307" i="23"/>
  <c r="M1307" i="23"/>
  <c r="F1308" i="23"/>
  <c r="M1308" i="23"/>
  <c r="F1309" i="23"/>
  <c r="M1309" i="23"/>
  <c r="F1310" i="23"/>
  <c r="M1310" i="23"/>
  <c r="F1311" i="23"/>
  <c r="M1311" i="23"/>
  <c r="F1312" i="23"/>
  <c r="M1312" i="23"/>
  <c r="F1313" i="23"/>
  <c r="M1313" i="23"/>
  <c r="F1314" i="23"/>
  <c r="M1314" i="23"/>
  <c r="F1315" i="23"/>
  <c r="M1315" i="23"/>
  <c r="F1316" i="23"/>
  <c r="M1316" i="23"/>
  <c r="F1317" i="23"/>
  <c r="M1317" i="23"/>
  <c r="F1318" i="23"/>
  <c r="M1318" i="23"/>
  <c r="F1319" i="23"/>
  <c r="M1319" i="23"/>
  <c r="F1320" i="23"/>
  <c r="M1320" i="23"/>
  <c r="F1321" i="23"/>
  <c r="M1321" i="23"/>
  <c r="F1322" i="23"/>
  <c r="M1322" i="23"/>
  <c r="F1323" i="23"/>
  <c r="M1323" i="23"/>
  <c r="F1324" i="23"/>
  <c r="M1324" i="23"/>
  <c r="F1325" i="23"/>
  <c r="M1325" i="23"/>
  <c r="F1326" i="23"/>
  <c r="M1326" i="23"/>
  <c r="F1327" i="23"/>
  <c r="M1327" i="23"/>
  <c r="F1328" i="23"/>
  <c r="M1328" i="23"/>
  <c r="F1329" i="23"/>
  <c r="M1329" i="23"/>
  <c r="F1330" i="23"/>
  <c r="M1330" i="23"/>
  <c r="F1331" i="23"/>
  <c r="M1331" i="23"/>
  <c r="F1332" i="23"/>
  <c r="M1332" i="23"/>
  <c r="F1333" i="23"/>
  <c r="M1333" i="23"/>
  <c r="F1334" i="23"/>
  <c r="M1334" i="23"/>
  <c r="F1335" i="23"/>
  <c r="M1335" i="23"/>
  <c r="F1336" i="23"/>
  <c r="M1336" i="23"/>
  <c r="F1337" i="23"/>
  <c r="M1337" i="23"/>
  <c r="F1338" i="23"/>
  <c r="M1338" i="23"/>
  <c r="F1339" i="23"/>
  <c r="M1339" i="23"/>
  <c r="F1340" i="23"/>
  <c r="M1340" i="23"/>
  <c r="F1341" i="23"/>
  <c r="M1341" i="23"/>
  <c r="F1342" i="23"/>
  <c r="M1342" i="23"/>
  <c r="F1343" i="23"/>
  <c r="M1343" i="23"/>
  <c r="F1344" i="23"/>
  <c r="M1344" i="23"/>
  <c r="F1345" i="23"/>
  <c r="M1345" i="23"/>
  <c r="F1346" i="23"/>
  <c r="M1346" i="23"/>
  <c r="F1347" i="23"/>
  <c r="M1347" i="23"/>
  <c r="F1348" i="23"/>
  <c r="M1348" i="23"/>
  <c r="F1349" i="23"/>
  <c r="M1349" i="23"/>
  <c r="F1350" i="23"/>
  <c r="M1350" i="23"/>
  <c r="F1351" i="23"/>
  <c r="M1351" i="23"/>
  <c r="F1352" i="23"/>
  <c r="M1352" i="23"/>
  <c r="F1353" i="23"/>
  <c r="M1353" i="23"/>
  <c r="F1354" i="23"/>
  <c r="M1354" i="23"/>
  <c r="F1355" i="23"/>
  <c r="M1355" i="23"/>
  <c r="F1356" i="23"/>
  <c r="M1356" i="23"/>
  <c r="F1357" i="23"/>
  <c r="M1357" i="23"/>
  <c r="F1358" i="23"/>
  <c r="M1358" i="23"/>
  <c r="F1359" i="23"/>
  <c r="M1359" i="23"/>
  <c r="F1360" i="23"/>
  <c r="M1360" i="23"/>
  <c r="F1361" i="23"/>
  <c r="M1361" i="23"/>
  <c r="F1362" i="23"/>
  <c r="M1362" i="23"/>
  <c r="F1363" i="23"/>
  <c r="M1363" i="23"/>
  <c r="F1364" i="23"/>
  <c r="M1364" i="23"/>
  <c r="F1365" i="23"/>
  <c r="M1365" i="23"/>
  <c r="F1366" i="23"/>
  <c r="M1366" i="23"/>
  <c r="F1367" i="23"/>
  <c r="M1367" i="23"/>
  <c r="F1368" i="23"/>
  <c r="M1368" i="23"/>
  <c r="F1369" i="23"/>
  <c r="M1369" i="23"/>
  <c r="F1370" i="23"/>
  <c r="M1370" i="23"/>
  <c r="F1371" i="23"/>
  <c r="M1371" i="23"/>
  <c r="F1372" i="23"/>
  <c r="M1372" i="23"/>
  <c r="F1373" i="23"/>
  <c r="M1373" i="23"/>
  <c r="F1374" i="23"/>
  <c r="M1374" i="23"/>
  <c r="F1375" i="23"/>
  <c r="M1375" i="23"/>
  <c r="F1376" i="23"/>
  <c r="M1376" i="23"/>
  <c r="F1377" i="23"/>
  <c r="M1377" i="23"/>
  <c r="F1378" i="23"/>
  <c r="M1378" i="23"/>
  <c r="F1379" i="23"/>
  <c r="M1379" i="23"/>
  <c r="F1380" i="23"/>
  <c r="M1380" i="23"/>
  <c r="F1381" i="23"/>
  <c r="M1381" i="23"/>
  <c r="F1382" i="23"/>
  <c r="M1382" i="23"/>
  <c r="F1383" i="23"/>
  <c r="M1383" i="23"/>
  <c r="F1384" i="23"/>
  <c r="M1384" i="23"/>
  <c r="F1385" i="23"/>
  <c r="M1385" i="23"/>
  <c r="F1386" i="23"/>
  <c r="M1386" i="23"/>
  <c r="F1387" i="23"/>
  <c r="M1387" i="23"/>
  <c r="F1388" i="23"/>
  <c r="M1388" i="23"/>
  <c r="F1389" i="23"/>
  <c r="M1389" i="23"/>
  <c r="F1390" i="23"/>
  <c r="M1390" i="23"/>
  <c r="F1391" i="23"/>
  <c r="M1391" i="23"/>
  <c r="F1392" i="23"/>
  <c r="M1392" i="23"/>
  <c r="F1393" i="23"/>
  <c r="M1393" i="23"/>
  <c r="F1394" i="23"/>
  <c r="M1394" i="23"/>
  <c r="F1395" i="23"/>
  <c r="M1395" i="23"/>
  <c r="F1396" i="23"/>
  <c r="M1396" i="23"/>
  <c r="F1397" i="23"/>
  <c r="M1397" i="23"/>
  <c r="F1398" i="23"/>
  <c r="M1398" i="23"/>
  <c r="F1399" i="23"/>
  <c r="M1399" i="23"/>
  <c r="F1400" i="23"/>
  <c r="M1400" i="23"/>
  <c r="F1401" i="23"/>
  <c r="M1401" i="23"/>
  <c r="F1402" i="23"/>
  <c r="M1402" i="23"/>
  <c r="F1403" i="23"/>
  <c r="M1403" i="23"/>
  <c r="F1404" i="23"/>
  <c r="M1404" i="23"/>
  <c r="F1405" i="23"/>
  <c r="M1405" i="23"/>
  <c r="F1406" i="23"/>
  <c r="M1406" i="23"/>
  <c r="F1407" i="23"/>
  <c r="M1407" i="23"/>
  <c r="F1408" i="23"/>
  <c r="M1408" i="23"/>
  <c r="F1409" i="23"/>
  <c r="M1409" i="23"/>
  <c r="F1410" i="23"/>
  <c r="M1410" i="23"/>
  <c r="F1411" i="23"/>
  <c r="M1411" i="23"/>
  <c r="F1412" i="23"/>
  <c r="M1412" i="23"/>
  <c r="F1413" i="23"/>
  <c r="M1413" i="23"/>
  <c r="F1414" i="23"/>
  <c r="M1414" i="23"/>
  <c r="F1415" i="23"/>
  <c r="M1415" i="23"/>
  <c r="F1416" i="23"/>
  <c r="M1416" i="23"/>
  <c r="F1417" i="23"/>
  <c r="M1417" i="23"/>
  <c r="F1418" i="23"/>
  <c r="M1418" i="23"/>
  <c r="F1419" i="23"/>
  <c r="M1419" i="23"/>
  <c r="F1420" i="23"/>
  <c r="M1420" i="23"/>
  <c r="F1421" i="23"/>
  <c r="M1421" i="23"/>
  <c r="F1422" i="23"/>
  <c r="M1422" i="23"/>
  <c r="F1423" i="23"/>
  <c r="M1423" i="23"/>
  <c r="F1424" i="23"/>
  <c r="M1424" i="23"/>
  <c r="F1425" i="23"/>
  <c r="M1425" i="23"/>
  <c r="F1426" i="23"/>
  <c r="M1426" i="23"/>
  <c r="F1427" i="23"/>
  <c r="M1427" i="23"/>
  <c r="F1428" i="23"/>
  <c r="M1428" i="23"/>
  <c r="F1429" i="23"/>
  <c r="M1429" i="23"/>
  <c r="F1430" i="23"/>
  <c r="M1430" i="23"/>
  <c r="F1431" i="23"/>
  <c r="M1431" i="23"/>
  <c r="F1432" i="23"/>
  <c r="M1432" i="23"/>
  <c r="F1433" i="23"/>
  <c r="M1433" i="23"/>
  <c r="F1434" i="23"/>
  <c r="M1434" i="23"/>
  <c r="F1435" i="23"/>
  <c r="M1435" i="23"/>
  <c r="F1436" i="23"/>
  <c r="M1436" i="23"/>
  <c r="F1437" i="23"/>
  <c r="M1437" i="23"/>
  <c r="F1438" i="23"/>
  <c r="M1438" i="23"/>
  <c r="F1439" i="23"/>
  <c r="M1439" i="23"/>
  <c r="F1440" i="23"/>
  <c r="M1440" i="23"/>
  <c r="F1441" i="23"/>
  <c r="M1441" i="23"/>
  <c r="F1442" i="23"/>
  <c r="M1442" i="23"/>
  <c r="F1443" i="23"/>
  <c r="M1443" i="23"/>
  <c r="F1444" i="23"/>
  <c r="M1444" i="23"/>
  <c r="F1445" i="23"/>
  <c r="M1445" i="23"/>
  <c r="F1446" i="23"/>
  <c r="M1446" i="23"/>
  <c r="F1447" i="23"/>
  <c r="M1447" i="23"/>
  <c r="F1448" i="23"/>
  <c r="M1448" i="23"/>
  <c r="F1449" i="23"/>
  <c r="M1449" i="23"/>
  <c r="F1450" i="23"/>
  <c r="M1450" i="23"/>
  <c r="F1451" i="23"/>
  <c r="M1451" i="23"/>
  <c r="F1452" i="23"/>
  <c r="M1452" i="23"/>
  <c r="F1453" i="23"/>
  <c r="M1453" i="23"/>
  <c r="F1454" i="23"/>
  <c r="M1454" i="23"/>
  <c r="F1455" i="23"/>
  <c r="M1455" i="23"/>
  <c r="F1456" i="23"/>
  <c r="M1456" i="23"/>
  <c r="F1457" i="23"/>
  <c r="M1457" i="23"/>
  <c r="F1458" i="23"/>
  <c r="M1458" i="23"/>
  <c r="F1459" i="23"/>
  <c r="M1459" i="23"/>
  <c r="F1460" i="23"/>
  <c r="M1460" i="23"/>
  <c r="F1461" i="23"/>
  <c r="M1461" i="23"/>
  <c r="F1462" i="23"/>
  <c r="M1462" i="23"/>
  <c r="F1463" i="23"/>
  <c r="M1463" i="23"/>
  <c r="F1464" i="23"/>
  <c r="M1464" i="23"/>
  <c r="F1465" i="23"/>
  <c r="M1465" i="23"/>
  <c r="F1466" i="23"/>
  <c r="M1466" i="23"/>
  <c r="F1467" i="23"/>
  <c r="M1467" i="23"/>
  <c r="F1468" i="23"/>
  <c r="M1468" i="23"/>
  <c r="F1469" i="23"/>
  <c r="M1469" i="23"/>
  <c r="F1470" i="23"/>
  <c r="M1470" i="23"/>
  <c r="F1471" i="23"/>
  <c r="M1471" i="23"/>
  <c r="F1472" i="23"/>
  <c r="M1472" i="23"/>
  <c r="F1473" i="23"/>
  <c r="M1473" i="23"/>
  <c r="F1474" i="23"/>
  <c r="M1474" i="23"/>
  <c r="F1475" i="23"/>
  <c r="M1475" i="23"/>
  <c r="F1476" i="23"/>
  <c r="M1476" i="23"/>
  <c r="F1477" i="23"/>
  <c r="M1477" i="23"/>
  <c r="F1478" i="23"/>
  <c r="M1478" i="23"/>
  <c r="F1479" i="23"/>
  <c r="M1479" i="23"/>
  <c r="F1480" i="23"/>
  <c r="M1480" i="23"/>
  <c r="F1481" i="23"/>
  <c r="M1481" i="23"/>
  <c r="F1482" i="23"/>
  <c r="M1482" i="23"/>
  <c r="F1483" i="23"/>
  <c r="M1483" i="23"/>
  <c r="F1484" i="23"/>
  <c r="M1484" i="23"/>
  <c r="F1485" i="23"/>
  <c r="M1485" i="23"/>
  <c r="F1486" i="23"/>
  <c r="M1486" i="23"/>
  <c r="F1487" i="23"/>
  <c r="M1487" i="23"/>
  <c r="F1488" i="23"/>
  <c r="M1488" i="23"/>
  <c r="F1489" i="23"/>
  <c r="M1489" i="23"/>
  <c r="F1490" i="23"/>
  <c r="M1490" i="23"/>
  <c r="F1491" i="23"/>
  <c r="M1491" i="23"/>
  <c r="F1492" i="23"/>
  <c r="M1492" i="23"/>
  <c r="F1493" i="23"/>
  <c r="M1493" i="23"/>
  <c r="F1494" i="23"/>
  <c r="M1494" i="23"/>
  <c r="F1495" i="23"/>
  <c r="M1495" i="23"/>
  <c r="F1496" i="23"/>
  <c r="M1496" i="23"/>
  <c r="F1497" i="23"/>
  <c r="M1497" i="23"/>
  <c r="F1498" i="23"/>
  <c r="M1498" i="23"/>
  <c r="F1499" i="23"/>
  <c r="M1499" i="23"/>
  <c r="F1500" i="23"/>
  <c r="M1500" i="23"/>
  <c r="F1501" i="23"/>
  <c r="M1501" i="23"/>
  <c r="F1502" i="23"/>
  <c r="M1502" i="23"/>
  <c r="F1503" i="23"/>
  <c r="M1503" i="23"/>
  <c r="F1504" i="23"/>
  <c r="M1504" i="23"/>
  <c r="F1505" i="23"/>
  <c r="M1505" i="23"/>
  <c r="F1506" i="23"/>
  <c r="M1506" i="23"/>
  <c r="F1507" i="23"/>
  <c r="M1507" i="23"/>
  <c r="F1508" i="23"/>
  <c r="M1508" i="23"/>
  <c r="F1509" i="23"/>
  <c r="M1509" i="23"/>
  <c r="F1510" i="23"/>
  <c r="M1510" i="23"/>
  <c r="F1511" i="23"/>
  <c r="M1511" i="23"/>
  <c r="F1512" i="23"/>
  <c r="M1512" i="23"/>
  <c r="F1513" i="23"/>
  <c r="M1513" i="23"/>
  <c r="F1514" i="23"/>
  <c r="M1514" i="23"/>
  <c r="F1515" i="23"/>
  <c r="M1515" i="23"/>
  <c r="F1516" i="23"/>
  <c r="M1516" i="23"/>
  <c r="F1517" i="23"/>
  <c r="M1517" i="23"/>
  <c r="F1518" i="23"/>
  <c r="M1518" i="23"/>
  <c r="F1519" i="23"/>
  <c r="M1519" i="23"/>
  <c r="F1520" i="23"/>
  <c r="M1520" i="23"/>
  <c r="F1521" i="23"/>
  <c r="M1521" i="23"/>
  <c r="F1522" i="23"/>
  <c r="M1522" i="23"/>
  <c r="F1523" i="23"/>
  <c r="M1523" i="23"/>
  <c r="F1524" i="23"/>
  <c r="M1524" i="23"/>
  <c r="F1525" i="23"/>
  <c r="M1525" i="23"/>
  <c r="F1526" i="23"/>
  <c r="M1526" i="23"/>
  <c r="F1527" i="23"/>
  <c r="M1527" i="23"/>
  <c r="F1528" i="23"/>
  <c r="M1528" i="23"/>
  <c r="F1529" i="23"/>
  <c r="M1529" i="23"/>
  <c r="F1530" i="23"/>
  <c r="M1530" i="23"/>
  <c r="F1531" i="23"/>
  <c r="M1531" i="23"/>
  <c r="F1532" i="23"/>
  <c r="M1532" i="23"/>
  <c r="F1533" i="23"/>
  <c r="M1533" i="23"/>
  <c r="F1534" i="23"/>
  <c r="M1534" i="23"/>
  <c r="F1535" i="23"/>
  <c r="M1535" i="23"/>
  <c r="F1536" i="23"/>
  <c r="M1536" i="23"/>
  <c r="F1537" i="23"/>
  <c r="M1537" i="23"/>
  <c r="F1538" i="23"/>
  <c r="M1538" i="23"/>
  <c r="F1539" i="23"/>
  <c r="M1539" i="23"/>
  <c r="F1540" i="23"/>
  <c r="M1540" i="23"/>
  <c r="F1541" i="23"/>
  <c r="M1541" i="23"/>
  <c r="F1542" i="23"/>
  <c r="M1542" i="23"/>
  <c r="F1543" i="23"/>
  <c r="M1543" i="23"/>
  <c r="F1544" i="23"/>
  <c r="M1544" i="23"/>
  <c r="F1545" i="23"/>
  <c r="M1545" i="23"/>
  <c r="F1546" i="23"/>
  <c r="M1546" i="23"/>
  <c r="F1547" i="23"/>
  <c r="M1547" i="23"/>
  <c r="F1548" i="23"/>
  <c r="M1548" i="23"/>
  <c r="F1549" i="23"/>
  <c r="M1549" i="23"/>
  <c r="F1550" i="23"/>
  <c r="M1550" i="23"/>
  <c r="F1551" i="23"/>
  <c r="M1551" i="23"/>
  <c r="F1552" i="23"/>
  <c r="M1552" i="23"/>
  <c r="F1553" i="23"/>
  <c r="M1553" i="23"/>
  <c r="F1554" i="23"/>
  <c r="M1554" i="23"/>
  <c r="F1555" i="23"/>
  <c r="M1555" i="23"/>
  <c r="F1556" i="23"/>
  <c r="M1556" i="23"/>
  <c r="F1557" i="23"/>
  <c r="M1557" i="23"/>
  <c r="F1558" i="23"/>
  <c r="M1558" i="23"/>
  <c r="F1559" i="23"/>
  <c r="M1559" i="23"/>
  <c r="F1560" i="23"/>
  <c r="M1560" i="23"/>
  <c r="F1561" i="23"/>
  <c r="M1561" i="23"/>
  <c r="F1562" i="23"/>
  <c r="M1562" i="23"/>
  <c r="F1563" i="23"/>
  <c r="M1563" i="23"/>
  <c r="F1564" i="23"/>
  <c r="M1564" i="23"/>
  <c r="F1565" i="23"/>
  <c r="M1565" i="23"/>
  <c r="F1566" i="23"/>
  <c r="M1566" i="23"/>
  <c r="F1567" i="23"/>
  <c r="M1567" i="23"/>
  <c r="F1568" i="23"/>
  <c r="M1568" i="23"/>
  <c r="F1569" i="23"/>
  <c r="M1569" i="23"/>
  <c r="F1570" i="23"/>
  <c r="M1570" i="23"/>
  <c r="F1571" i="23"/>
  <c r="M1571" i="23"/>
  <c r="F1572" i="23"/>
  <c r="M1572" i="23"/>
  <c r="F1573" i="23"/>
  <c r="M1573" i="23"/>
  <c r="F1574" i="23"/>
  <c r="M1574" i="23"/>
  <c r="F1575" i="23"/>
  <c r="M1575" i="23"/>
  <c r="F1576" i="23"/>
  <c r="M1576" i="23"/>
  <c r="F1577" i="23"/>
  <c r="M1577" i="23"/>
  <c r="F1578" i="23"/>
  <c r="M1578" i="23"/>
  <c r="F1579" i="23"/>
  <c r="M1579" i="23"/>
  <c r="F1580" i="23"/>
  <c r="M1580" i="23"/>
  <c r="F1581" i="23"/>
  <c r="M1581" i="23"/>
  <c r="F1582" i="23"/>
  <c r="M1582" i="23"/>
  <c r="F1583" i="23"/>
  <c r="M1583" i="23"/>
  <c r="F1584" i="23"/>
  <c r="M1584" i="23"/>
  <c r="F1585" i="23"/>
  <c r="M1585" i="23"/>
  <c r="F1586" i="23"/>
  <c r="M1586" i="23"/>
  <c r="F1587" i="23"/>
  <c r="M1587" i="23"/>
  <c r="F1588" i="23"/>
  <c r="M1588" i="23"/>
  <c r="F1589" i="23"/>
  <c r="M1589" i="23"/>
  <c r="F1590" i="23"/>
  <c r="M1590" i="23"/>
  <c r="F1591" i="23"/>
  <c r="M1591" i="23"/>
  <c r="F1592" i="23"/>
  <c r="M1592" i="23"/>
  <c r="F1593" i="23"/>
  <c r="M1593" i="23"/>
  <c r="F1594" i="23"/>
  <c r="M1594" i="23"/>
  <c r="F1595" i="23"/>
  <c r="M1595" i="23"/>
  <c r="F1596" i="23"/>
  <c r="M1596" i="23"/>
  <c r="F1597" i="23"/>
  <c r="M1597" i="23"/>
  <c r="F1598" i="23"/>
  <c r="M1598" i="23"/>
  <c r="F1599" i="23"/>
  <c r="M1599" i="23"/>
  <c r="F1600" i="23"/>
  <c r="M1600" i="23"/>
  <c r="F1601" i="23"/>
  <c r="M1601" i="23"/>
  <c r="F1602" i="23"/>
  <c r="M1602" i="23"/>
  <c r="F1603" i="23"/>
  <c r="M1603" i="23"/>
  <c r="F1604" i="23"/>
  <c r="M1604" i="23"/>
  <c r="F1605" i="23"/>
  <c r="M1605" i="23"/>
  <c r="F1606" i="23"/>
  <c r="M1606" i="23"/>
  <c r="F1607" i="23"/>
  <c r="M1607" i="23"/>
  <c r="F1608" i="23"/>
  <c r="M1608" i="23"/>
  <c r="F1609" i="23"/>
  <c r="M1609" i="23"/>
  <c r="F1610" i="23"/>
  <c r="M1610" i="23"/>
  <c r="F1611" i="23"/>
  <c r="M1611" i="23"/>
  <c r="F1612" i="23"/>
  <c r="M1612" i="23"/>
  <c r="F1613" i="23"/>
  <c r="M1613" i="23"/>
  <c r="F1614" i="23"/>
  <c r="M1614" i="23"/>
  <c r="F1615" i="23"/>
  <c r="M1615" i="23"/>
  <c r="F1616" i="23"/>
  <c r="M1616" i="23"/>
  <c r="F1617" i="23"/>
  <c r="M1617" i="23"/>
  <c r="F1618" i="23"/>
  <c r="M1618" i="23"/>
  <c r="F1619" i="23"/>
  <c r="M1619" i="23"/>
  <c r="F1620" i="23"/>
  <c r="M1620" i="23"/>
  <c r="F1621" i="23"/>
  <c r="M1621" i="23"/>
  <c r="F1622" i="23"/>
  <c r="M1622" i="23"/>
  <c r="F1623" i="23"/>
  <c r="M1623" i="23"/>
  <c r="F1624" i="23"/>
  <c r="M1624" i="23"/>
  <c r="F1625" i="23"/>
  <c r="M1625" i="23"/>
  <c r="F1626" i="23"/>
  <c r="M1626" i="23"/>
  <c r="F1627" i="23"/>
  <c r="M1627" i="23"/>
  <c r="F1628" i="23"/>
  <c r="M1628" i="23"/>
  <c r="F1629" i="23"/>
  <c r="M1629" i="23"/>
  <c r="F1630" i="23"/>
  <c r="M1630" i="23"/>
  <c r="F1631" i="23"/>
  <c r="M1631" i="23"/>
  <c r="F1632" i="23"/>
  <c r="M1632" i="23"/>
  <c r="F1633" i="23"/>
  <c r="M1633" i="23"/>
  <c r="F1634" i="23"/>
  <c r="M1634" i="23"/>
  <c r="F1635" i="23"/>
  <c r="M1635" i="23"/>
  <c r="F1636" i="23"/>
  <c r="M1636" i="23"/>
  <c r="F1637" i="23"/>
  <c r="M1637" i="23"/>
  <c r="F1638" i="23"/>
  <c r="M1638" i="23"/>
  <c r="F1639" i="23"/>
  <c r="M1639" i="23"/>
  <c r="F1640" i="23"/>
  <c r="M1640" i="23"/>
  <c r="F1641" i="23"/>
  <c r="M1641" i="23"/>
  <c r="F1642" i="23"/>
  <c r="M1642" i="23"/>
  <c r="F1643" i="23"/>
  <c r="M1643" i="23"/>
  <c r="F1644" i="23"/>
  <c r="M1644" i="23"/>
  <c r="F1645" i="23"/>
  <c r="M1645" i="23"/>
  <c r="F1646" i="23"/>
  <c r="M1646" i="23"/>
  <c r="F1647" i="23"/>
  <c r="M1647" i="23"/>
  <c r="F1648" i="23"/>
  <c r="M1648" i="23"/>
  <c r="F1649" i="23"/>
  <c r="M1649" i="23"/>
  <c r="F1650" i="23"/>
  <c r="M1650" i="23"/>
  <c r="F1651" i="23"/>
  <c r="M1651" i="23"/>
  <c r="F1652" i="23"/>
  <c r="M1652" i="23"/>
  <c r="F1653" i="23"/>
  <c r="M1653" i="23"/>
  <c r="F1654" i="23"/>
  <c r="M1654" i="23"/>
  <c r="F1655" i="23"/>
  <c r="M1655" i="23"/>
  <c r="F1656" i="23"/>
  <c r="M1656" i="23"/>
  <c r="F1657" i="23"/>
  <c r="M1657" i="23"/>
  <c r="F1658" i="23"/>
  <c r="M1658" i="23"/>
  <c r="F1659" i="23"/>
  <c r="M1659" i="23"/>
  <c r="F1660" i="23"/>
  <c r="M1660" i="23"/>
  <c r="F1661" i="23"/>
  <c r="M1661" i="23"/>
  <c r="F1662" i="23"/>
  <c r="M1662" i="23"/>
  <c r="F1663" i="23"/>
  <c r="M1663" i="23"/>
  <c r="F1664" i="23"/>
  <c r="M1664" i="23"/>
  <c r="F1665" i="23"/>
  <c r="M1665" i="23"/>
  <c r="F1666" i="23"/>
  <c r="M1666" i="23"/>
  <c r="F1667" i="23"/>
  <c r="M1667" i="23"/>
  <c r="F1668" i="23"/>
  <c r="M1668" i="23"/>
  <c r="F1669" i="23"/>
  <c r="M1669" i="23"/>
  <c r="F1670" i="23"/>
  <c r="M1670" i="23"/>
  <c r="F1671" i="23"/>
  <c r="M1671" i="23"/>
  <c r="F1672" i="23"/>
  <c r="M1672" i="23"/>
  <c r="F1673" i="23"/>
  <c r="M1673" i="23"/>
  <c r="F1674" i="23"/>
  <c r="M1674" i="23"/>
  <c r="F1675" i="23"/>
  <c r="M1675" i="23"/>
  <c r="F1676" i="23"/>
  <c r="M1676" i="23"/>
  <c r="F1677" i="23"/>
  <c r="M1677" i="23"/>
  <c r="F1678" i="23"/>
  <c r="M1678" i="23"/>
  <c r="F1679" i="23"/>
  <c r="M1679" i="23"/>
  <c r="F1680" i="23"/>
  <c r="M1680" i="23"/>
  <c r="F1681" i="23"/>
  <c r="M1681" i="23"/>
  <c r="F1682" i="23"/>
  <c r="M1682" i="23"/>
  <c r="F1683" i="23"/>
  <c r="M1683" i="23"/>
  <c r="F1684" i="23"/>
  <c r="M1684" i="23"/>
  <c r="F1685" i="23"/>
  <c r="M1685" i="23"/>
  <c r="F1686" i="23"/>
  <c r="M1686" i="23"/>
  <c r="F1687" i="23"/>
  <c r="M1687" i="23"/>
  <c r="F1688" i="23"/>
  <c r="M1688" i="23"/>
  <c r="F1689" i="23"/>
  <c r="M1689" i="23"/>
  <c r="F1690" i="23"/>
  <c r="M1690" i="23"/>
  <c r="F1691" i="23"/>
  <c r="M1691" i="23"/>
  <c r="F1692" i="23"/>
  <c r="M1692" i="23"/>
  <c r="F1693" i="23"/>
  <c r="M1693" i="23"/>
  <c r="F1694" i="23"/>
  <c r="M1694" i="23"/>
  <c r="F1695" i="23"/>
  <c r="M1695" i="23"/>
  <c r="F1696" i="23"/>
  <c r="M1696" i="23"/>
  <c r="F1697" i="23"/>
  <c r="M1697" i="23"/>
  <c r="F1698" i="23"/>
  <c r="M1698" i="23"/>
  <c r="F1699" i="23"/>
  <c r="M1699" i="23"/>
  <c r="F1700" i="23"/>
  <c r="M1700" i="23"/>
  <c r="F1701" i="23"/>
  <c r="M1701" i="23"/>
  <c r="F1702" i="23"/>
  <c r="M1702" i="23"/>
  <c r="F1703" i="23"/>
  <c r="M1703" i="23"/>
  <c r="F1704" i="23"/>
  <c r="M1704" i="23"/>
  <c r="F1705" i="23"/>
  <c r="M1705" i="23"/>
  <c r="F1706" i="23"/>
  <c r="M1706" i="23"/>
  <c r="F1707" i="23"/>
  <c r="M1707" i="23"/>
  <c r="F1708" i="23"/>
  <c r="M1708" i="23"/>
  <c r="F1709" i="23"/>
  <c r="M1709" i="23"/>
  <c r="F1710" i="23"/>
  <c r="M1710" i="23"/>
  <c r="F1711" i="23"/>
  <c r="M1711" i="23"/>
  <c r="F1712" i="23"/>
  <c r="M1712" i="23"/>
  <c r="F1713" i="23"/>
  <c r="M1713" i="23"/>
  <c r="F1714" i="23"/>
  <c r="M1714" i="23"/>
  <c r="F1715" i="23"/>
  <c r="M1715" i="23"/>
  <c r="F1716" i="23"/>
  <c r="M1716" i="23"/>
  <c r="F1717" i="23"/>
  <c r="M1717" i="23"/>
  <c r="F1718" i="23"/>
  <c r="M1718" i="23"/>
  <c r="F1719" i="23"/>
  <c r="M1719" i="23"/>
  <c r="F1720" i="23"/>
  <c r="M1720" i="23"/>
  <c r="F1721" i="23"/>
  <c r="M1721" i="23"/>
  <c r="F1722" i="23"/>
  <c r="M1722" i="23"/>
  <c r="F1723" i="23"/>
  <c r="M1723" i="23"/>
  <c r="F1724" i="23"/>
  <c r="M1724" i="23"/>
  <c r="F1725" i="23"/>
  <c r="M1725" i="23"/>
  <c r="F1726" i="23"/>
  <c r="M1726" i="23"/>
  <c r="F1727" i="23"/>
  <c r="M1727" i="23"/>
  <c r="F1728" i="23"/>
  <c r="M1728" i="23"/>
  <c r="F1729" i="23"/>
  <c r="M1729" i="23"/>
  <c r="F1730" i="23"/>
  <c r="M1730" i="23"/>
  <c r="F1731" i="23"/>
  <c r="M1731" i="23"/>
  <c r="F1732" i="23"/>
  <c r="M1732" i="23"/>
  <c r="F1733" i="23"/>
  <c r="M1733" i="23"/>
  <c r="F1734" i="23"/>
  <c r="M1734" i="23"/>
  <c r="F1735" i="23"/>
  <c r="M1735" i="23"/>
  <c r="F1736" i="23"/>
  <c r="M1736" i="23"/>
  <c r="F1737" i="23"/>
  <c r="M1737" i="23"/>
  <c r="F1738" i="23"/>
  <c r="M1738" i="23"/>
  <c r="F1739" i="23"/>
  <c r="M1739" i="23"/>
  <c r="F1740" i="23"/>
  <c r="M1740" i="23"/>
  <c r="F1741" i="23"/>
  <c r="M1741" i="23"/>
  <c r="F1742" i="23"/>
  <c r="M1742" i="23"/>
  <c r="F1743" i="23"/>
  <c r="M1743" i="23"/>
  <c r="F1744" i="23"/>
  <c r="M1744" i="23"/>
  <c r="F1745" i="23"/>
  <c r="M1745" i="23"/>
  <c r="F1746" i="23"/>
  <c r="M1746" i="23"/>
  <c r="F1747" i="23"/>
  <c r="M1747" i="23"/>
  <c r="F1748" i="23"/>
  <c r="M1748" i="23"/>
  <c r="F1749" i="23"/>
  <c r="M1749" i="23"/>
  <c r="F1750" i="23"/>
  <c r="M1750" i="23"/>
  <c r="F1751" i="23"/>
  <c r="M1751" i="23"/>
  <c r="F1752" i="23"/>
  <c r="M1752" i="23"/>
  <c r="F1753" i="23"/>
  <c r="M1753" i="23"/>
  <c r="F1754" i="23"/>
  <c r="M1754" i="23"/>
  <c r="F1755" i="23"/>
  <c r="M1755" i="23"/>
  <c r="F1756" i="23"/>
  <c r="M1756" i="23"/>
  <c r="F1757" i="23"/>
  <c r="M1757" i="23"/>
  <c r="F1758" i="23"/>
  <c r="M1758" i="23"/>
  <c r="F1759" i="23"/>
  <c r="M1759" i="23"/>
  <c r="F1760" i="23"/>
  <c r="M1760" i="23"/>
  <c r="F1761" i="23"/>
  <c r="M1761" i="23"/>
  <c r="F1762" i="23"/>
  <c r="M1762" i="23"/>
  <c r="F1763" i="23"/>
  <c r="M1763" i="23"/>
  <c r="F1764" i="23"/>
  <c r="M1764" i="23"/>
  <c r="F1765" i="23"/>
  <c r="M1765" i="23"/>
  <c r="F1766" i="23"/>
  <c r="M1766" i="23"/>
  <c r="F1767" i="23"/>
  <c r="M1767" i="23"/>
  <c r="F1768" i="23"/>
  <c r="M1768" i="23"/>
  <c r="F1769" i="23"/>
  <c r="M1769" i="23"/>
  <c r="F1770" i="23"/>
  <c r="M1770" i="23"/>
  <c r="F1771" i="23"/>
  <c r="M1771" i="23"/>
  <c r="F1772" i="23"/>
  <c r="M1772" i="23"/>
  <c r="F1773" i="23"/>
  <c r="M1773" i="23"/>
  <c r="F1774" i="23"/>
  <c r="M1774" i="23"/>
  <c r="F1775" i="23"/>
  <c r="M1775" i="23"/>
  <c r="F1776" i="23"/>
  <c r="M1776" i="23"/>
  <c r="F1777" i="23"/>
  <c r="M1777" i="23"/>
  <c r="F1778" i="23"/>
  <c r="M1778" i="23"/>
  <c r="F1779" i="23"/>
  <c r="M1779" i="23"/>
  <c r="F1780" i="23"/>
  <c r="M1780" i="23"/>
  <c r="F1781" i="23"/>
  <c r="M1781" i="23"/>
  <c r="F1782" i="23"/>
  <c r="M1782" i="23"/>
  <c r="F1783" i="23"/>
  <c r="M1783" i="23"/>
  <c r="F1784" i="23"/>
  <c r="M1784" i="23"/>
  <c r="F1785" i="23"/>
  <c r="M1785" i="23"/>
  <c r="F1786" i="23"/>
  <c r="M1786" i="23"/>
  <c r="F1787" i="23"/>
  <c r="M1787" i="23"/>
  <c r="F1788" i="23"/>
  <c r="M1788" i="23"/>
  <c r="F1789" i="23"/>
  <c r="M1789" i="23"/>
  <c r="F1790" i="23"/>
  <c r="M1790" i="23"/>
  <c r="F1791" i="23"/>
  <c r="M1791" i="23"/>
  <c r="F1792" i="23"/>
  <c r="M1792" i="23"/>
  <c r="F1793" i="23"/>
  <c r="M1793" i="23"/>
  <c r="F1794" i="23"/>
  <c r="M1794" i="23"/>
  <c r="F1795" i="23"/>
  <c r="M1795" i="23"/>
  <c r="F1796" i="23"/>
  <c r="M1796" i="23"/>
  <c r="F1797" i="23"/>
  <c r="M1797" i="23"/>
  <c r="F1798" i="23"/>
  <c r="M1798" i="23"/>
  <c r="F1799" i="23"/>
  <c r="M1799" i="23"/>
  <c r="F1800" i="23"/>
  <c r="M1800" i="23"/>
  <c r="F1801" i="23"/>
  <c r="M1801" i="23"/>
  <c r="F1802" i="23"/>
  <c r="M1802" i="23"/>
  <c r="F1803" i="23"/>
  <c r="M1803" i="23"/>
  <c r="F1804" i="23"/>
  <c r="M1804" i="23"/>
  <c r="F1805" i="23"/>
  <c r="M1805" i="23"/>
  <c r="F1806" i="23"/>
  <c r="M1806" i="23"/>
  <c r="F1807" i="23"/>
  <c r="M1807" i="23"/>
  <c r="F1808" i="23"/>
  <c r="M1808" i="23"/>
  <c r="F1809" i="23"/>
  <c r="M1809" i="23"/>
  <c r="F1810" i="23"/>
  <c r="M1810" i="23"/>
  <c r="F1811" i="23"/>
  <c r="M1811" i="23"/>
  <c r="F1812" i="23"/>
  <c r="M1812" i="23"/>
  <c r="F1813" i="23"/>
  <c r="M1813" i="23"/>
  <c r="F1814" i="23"/>
  <c r="M1814" i="23"/>
  <c r="F1815" i="23"/>
  <c r="M1815" i="23"/>
  <c r="F1816" i="23"/>
  <c r="M1816" i="23"/>
  <c r="F1817" i="23"/>
  <c r="M1817" i="23"/>
  <c r="F1818" i="23"/>
  <c r="M1818" i="23"/>
  <c r="F1819" i="23"/>
  <c r="M1819" i="23"/>
  <c r="F1820" i="23"/>
  <c r="M1820" i="23"/>
  <c r="F1821" i="23"/>
  <c r="M1821" i="23"/>
  <c r="F1822" i="23"/>
  <c r="M1822" i="23"/>
  <c r="F1823" i="23"/>
  <c r="M1823" i="23"/>
  <c r="F1824" i="23"/>
  <c r="M1824" i="23"/>
  <c r="F1825" i="23"/>
  <c r="M1825" i="23"/>
  <c r="F1826" i="23"/>
  <c r="M1826" i="23"/>
  <c r="F1827" i="23"/>
  <c r="M1827" i="23"/>
  <c r="F1828" i="23"/>
  <c r="M1828" i="23"/>
  <c r="F1829" i="23"/>
  <c r="M1829" i="23"/>
  <c r="F1830" i="23"/>
  <c r="M1830" i="23"/>
  <c r="F1831" i="23"/>
  <c r="M1831" i="23"/>
  <c r="F1832" i="23"/>
  <c r="M1832" i="23"/>
  <c r="F1833" i="23"/>
  <c r="M1833" i="23"/>
  <c r="F1834" i="23"/>
  <c r="M1834" i="23"/>
  <c r="F1835" i="23"/>
  <c r="M1835" i="23"/>
  <c r="F1836" i="23"/>
  <c r="M1836" i="23"/>
  <c r="F1837" i="23"/>
  <c r="M1837" i="23"/>
  <c r="F1838" i="23"/>
  <c r="M1838" i="23"/>
  <c r="F1839" i="23"/>
  <c r="M1839" i="23"/>
  <c r="F1840" i="23"/>
  <c r="M1840" i="23"/>
  <c r="F1841" i="23"/>
  <c r="M1841" i="23"/>
  <c r="F1842" i="23"/>
  <c r="M1842" i="23"/>
  <c r="F1843" i="23"/>
  <c r="M1843" i="23"/>
  <c r="F1844" i="23"/>
  <c r="M1844" i="23"/>
  <c r="F1845" i="23"/>
  <c r="M1845" i="23"/>
  <c r="F1846" i="23"/>
  <c r="M1846" i="23"/>
  <c r="F1847" i="23"/>
  <c r="M1847" i="23"/>
  <c r="F1848" i="23"/>
  <c r="M1848" i="23"/>
  <c r="F1849" i="23"/>
  <c r="M1849" i="23"/>
  <c r="F1850" i="23"/>
  <c r="M1850" i="23"/>
  <c r="F1851" i="23"/>
  <c r="M1851" i="23"/>
  <c r="F1852" i="23"/>
  <c r="M1852" i="23"/>
  <c r="F1853" i="23"/>
  <c r="M1853" i="23"/>
  <c r="F1854" i="23"/>
  <c r="M1854" i="23"/>
  <c r="F1855" i="23"/>
  <c r="M1855" i="23"/>
  <c r="F1856" i="23"/>
  <c r="M1856" i="23"/>
  <c r="F1857" i="23"/>
  <c r="M1857" i="23"/>
  <c r="F1858" i="23"/>
  <c r="M1858" i="23"/>
  <c r="F1859" i="23"/>
  <c r="M1859" i="23"/>
  <c r="F1860" i="23"/>
  <c r="M1860" i="23"/>
  <c r="F1861" i="23"/>
  <c r="M1861" i="23"/>
  <c r="F1862" i="23"/>
  <c r="M1862" i="23"/>
  <c r="F1863" i="23"/>
  <c r="M1863" i="23"/>
  <c r="F1864" i="23"/>
  <c r="M1864" i="23"/>
  <c r="F1865" i="23"/>
  <c r="M1865" i="23"/>
  <c r="F1866" i="23"/>
  <c r="M1866" i="23"/>
  <c r="F1867" i="23"/>
  <c r="M1867" i="23"/>
  <c r="F1868" i="23"/>
  <c r="M1868" i="23"/>
  <c r="F1869" i="23"/>
  <c r="M1869" i="23"/>
  <c r="F1870" i="23"/>
  <c r="M1870" i="23"/>
  <c r="F1871" i="23"/>
  <c r="M1871" i="23"/>
  <c r="F1872" i="23"/>
  <c r="M1872" i="23"/>
  <c r="F1873" i="23"/>
  <c r="M1873" i="23"/>
  <c r="F1874" i="23"/>
  <c r="M1874" i="23"/>
  <c r="F1875" i="23"/>
  <c r="M1875" i="23"/>
  <c r="F1876" i="23"/>
  <c r="M1876" i="23"/>
  <c r="F1877" i="23"/>
  <c r="M1877" i="23"/>
  <c r="F1878" i="23"/>
  <c r="M1878" i="23"/>
  <c r="F1879" i="23"/>
  <c r="M1879" i="23"/>
  <c r="F1880" i="23"/>
  <c r="M1880" i="23"/>
  <c r="F1881" i="23"/>
  <c r="M1881" i="23"/>
  <c r="F1882" i="23"/>
  <c r="M1882" i="23"/>
  <c r="F1883" i="23"/>
  <c r="M1883" i="23"/>
  <c r="F1884" i="23"/>
  <c r="M1884" i="23"/>
  <c r="F1885" i="23"/>
  <c r="M1885" i="23"/>
  <c r="F1886" i="23"/>
  <c r="M1886" i="23"/>
  <c r="F1887" i="23"/>
  <c r="M1887" i="23"/>
  <c r="F1888" i="23"/>
  <c r="M1888" i="23"/>
  <c r="F1889" i="23"/>
  <c r="M1889" i="23"/>
  <c r="F1890" i="23"/>
  <c r="M1890" i="23"/>
  <c r="F1891" i="23"/>
  <c r="M1891" i="23"/>
  <c r="F1892" i="23"/>
  <c r="M1892" i="23"/>
  <c r="F1893" i="23"/>
  <c r="M1893" i="23"/>
  <c r="F1894" i="23"/>
  <c r="M1894" i="23"/>
  <c r="F1895" i="23"/>
  <c r="M1895" i="23"/>
  <c r="F1896" i="23"/>
  <c r="M1896" i="23"/>
  <c r="F1897" i="23"/>
  <c r="M1897" i="23"/>
  <c r="F1898" i="23"/>
  <c r="M1898" i="23"/>
  <c r="F1899" i="23"/>
  <c r="M1899" i="23"/>
  <c r="F1900" i="23"/>
  <c r="M1900" i="23"/>
  <c r="F1901" i="23"/>
  <c r="M1901" i="23"/>
  <c r="F1902" i="23"/>
  <c r="M1902" i="23"/>
  <c r="F1903" i="23"/>
  <c r="M1903" i="23"/>
  <c r="F1904" i="23"/>
  <c r="M1904" i="23"/>
  <c r="F1905" i="23"/>
  <c r="M1905" i="23"/>
  <c r="F1906" i="23"/>
  <c r="M1906" i="23"/>
  <c r="F1907" i="23"/>
  <c r="M1907" i="23"/>
  <c r="F1908" i="23"/>
  <c r="M1908" i="23"/>
  <c r="F1909" i="23"/>
  <c r="M1909" i="23"/>
  <c r="F1910" i="23"/>
  <c r="M1910" i="23"/>
  <c r="F1911" i="23"/>
  <c r="M1911" i="23"/>
  <c r="F1912" i="23"/>
  <c r="M1912" i="23"/>
  <c r="F1913" i="23"/>
  <c r="M1913" i="23"/>
  <c r="F1914" i="23"/>
  <c r="M1914" i="23"/>
  <c r="F1915" i="23"/>
  <c r="M1915" i="23"/>
  <c r="F1916" i="23"/>
  <c r="M1916" i="23"/>
  <c r="F1917" i="23"/>
  <c r="M1917" i="23"/>
  <c r="F1918" i="23"/>
  <c r="M1918" i="23"/>
  <c r="F1919" i="23"/>
  <c r="M1919" i="23"/>
  <c r="F1920" i="23"/>
  <c r="M1920" i="23"/>
  <c r="F1921" i="23"/>
  <c r="M1921" i="23"/>
  <c r="F1922" i="23"/>
  <c r="M1922" i="23"/>
  <c r="F1923" i="23"/>
  <c r="M1923" i="23"/>
  <c r="F1924" i="23"/>
  <c r="M1924" i="23"/>
  <c r="F1925" i="23"/>
  <c r="M1925" i="23"/>
  <c r="F1926" i="23"/>
  <c r="M1926" i="23"/>
  <c r="F1927" i="23"/>
  <c r="M1927" i="23"/>
  <c r="F1928" i="23"/>
  <c r="M1928" i="23"/>
  <c r="F1929" i="23"/>
  <c r="M1929" i="23"/>
  <c r="F1930" i="23"/>
  <c r="M1930" i="23"/>
  <c r="F1931" i="23"/>
  <c r="M1931" i="23"/>
  <c r="F1932" i="23"/>
  <c r="M1932" i="23"/>
  <c r="F1933" i="23"/>
  <c r="M1933" i="23"/>
  <c r="F1934" i="23"/>
  <c r="M1934" i="23"/>
  <c r="F1935" i="23"/>
  <c r="M1935" i="23"/>
  <c r="F1936" i="23"/>
  <c r="M1936" i="23"/>
  <c r="F1937" i="23"/>
  <c r="M1937" i="23"/>
  <c r="F1938" i="23"/>
  <c r="M1938" i="23"/>
  <c r="F1939" i="23"/>
  <c r="M1939" i="23"/>
  <c r="F1940" i="23"/>
  <c r="M1940" i="23"/>
  <c r="F1941" i="23"/>
  <c r="M1941" i="23"/>
  <c r="F1942" i="23"/>
  <c r="M1942" i="23"/>
  <c r="F1943" i="23"/>
  <c r="M1943" i="23"/>
  <c r="F1944" i="23"/>
  <c r="M1944" i="23"/>
  <c r="F1945" i="23"/>
  <c r="M1945" i="23"/>
  <c r="F1946" i="23"/>
  <c r="M1946" i="23"/>
  <c r="F1947" i="23"/>
  <c r="M1947" i="23"/>
  <c r="F1948" i="23"/>
  <c r="M1948" i="23"/>
  <c r="F1949" i="23"/>
  <c r="M1949" i="23"/>
  <c r="F1950" i="23"/>
  <c r="M1950" i="23"/>
  <c r="F1951" i="23"/>
  <c r="M1951" i="23"/>
  <c r="F1952" i="23"/>
  <c r="M1952" i="23"/>
  <c r="F1953" i="23"/>
  <c r="M1953" i="23"/>
  <c r="F1954" i="23"/>
  <c r="M1954" i="23"/>
  <c r="F1955" i="23"/>
  <c r="M1955" i="23"/>
  <c r="F1956" i="23"/>
  <c r="M1956" i="23"/>
  <c r="F1957" i="23"/>
  <c r="M1957" i="23"/>
  <c r="F1958" i="23"/>
  <c r="M1958" i="23"/>
  <c r="F1959" i="23"/>
  <c r="M1959" i="23"/>
  <c r="F1960" i="23"/>
  <c r="M1960" i="23"/>
  <c r="F1961" i="23"/>
  <c r="M1961" i="23"/>
  <c r="F1962" i="23"/>
  <c r="M1962" i="23"/>
  <c r="F1963" i="23"/>
  <c r="M1963" i="23"/>
  <c r="F1964" i="23"/>
  <c r="M1964" i="23"/>
  <c r="F1965" i="23"/>
  <c r="M1965" i="23"/>
  <c r="F1966" i="23"/>
  <c r="M1966" i="23"/>
  <c r="F1967" i="23"/>
  <c r="M1967" i="23"/>
  <c r="F1968" i="23"/>
  <c r="M1968" i="23"/>
  <c r="F1969" i="23"/>
  <c r="M1969" i="23"/>
  <c r="F1970" i="23"/>
  <c r="M1970" i="23"/>
  <c r="F1971" i="23"/>
  <c r="M1971" i="23"/>
  <c r="F1972" i="23"/>
  <c r="M1972" i="23"/>
  <c r="F1973" i="23"/>
  <c r="M1973" i="23"/>
  <c r="F1974" i="23"/>
  <c r="M1974" i="23"/>
  <c r="F1975" i="23"/>
  <c r="M1975" i="23"/>
  <c r="F1976" i="23"/>
  <c r="M1976" i="23"/>
  <c r="F1977" i="23"/>
  <c r="M1977" i="23"/>
  <c r="F1978" i="23"/>
  <c r="M1978" i="23"/>
  <c r="F1979" i="23"/>
  <c r="M1979" i="23"/>
  <c r="F1980" i="23"/>
  <c r="M1980" i="23"/>
  <c r="F1981" i="23"/>
  <c r="M1981" i="23"/>
  <c r="F1982" i="23"/>
  <c r="M1982" i="23"/>
  <c r="F1983" i="23"/>
  <c r="M1983" i="23"/>
  <c r="F1984" i="23"/>
  <c r="M1984" i="23"/>
  <c r="F1985" i="23"/>
  <c r="M1985" i="23"/>
  <c r="F1986" i="23"/>
  <c r="M1986" i="23"/>
  <c r="F1987" i="23"/>
  <c r="M1987" i="23"/>
  <c r="F1988" i="23"/>
  <c r="M1988" i="23"/>
  <c r="F1989" i="23"/>
  <c r="M1989" i="23"/>
  <c r="F1990" i="23"/>
  <c r="M1990" i="23"/>
  <c r="F1991" i="23"/>
  <c r="M1991" i="23"/>
  <c r="F1992" i="23"/>
  <c r="M1992" i="23"/>
  <c r="F1993" i="23"/>
  <c r="M1993" i="23"/>
  <c r="F1994" i="23"/>
  <c r="M1994" i="23"/>
  <c r="F1995" i="23"/>
  <c r="M1995" i="23"/>
  <c r="F1996" i="23"/>
  <c r="M1996" i="23"/>
  <c r="F1997" i="23"/>
  <c r="M1997" i="23"/>
  <c r="F1998" i="23"/>
  <c r="M1998" i="23"/>
  <c r="F1999" i="23"/>
  <c r="M1999" i="23"/>
  <c r="F2000" i="23"/>
  <c r="M2000" i="23"/>
  <c r="F2001" i="23"/>
  <c r="M2001" i="23"/>
  <c r="F2002" i="23"/>
  <c r="M2002" i="23"/>
  <c r="F2003" i="23"/>
  <c r="M2003" i="23"/>
  <c r="F2004" i="23"/>
  <c r="M2004" i="23"/>
  <c r="F2005" i="23"/>
  <c r="M2005" i="23"/>
  <c r="F2006" i="23"/>
  <c r="M2006" i="23"/>
  <c r="F2007" i="23"/>
  <c r="M2007" i="23"/>
  <c r="F2008" i="23"/>
  <c r="M2008" i="23"/>
  <c r="F2009" i="23"/>
  <c r="M2009" i="23"/>
  <c r="F2010" i="23"/>
  <c r="M2010" i="23"/>
  <c r="F2011" i="23"/>
  <c r="M2011" i="23"/>
  <c r="F2012" i="23"/>
  <c r="M2012" i="23"/>
  <c r="F2013" i="23"/>
  <c r="M2013" i="23"/>
  <c r="F2014" i="23"/>
  <c r="M2014" i="23"/>
  <c r="F2015" i="23"/>
  <c r="M2015" i="23"/>
  <c r="F2016" i="23"/>
  <c r="M2016" i="23"/>
  <c r="F2017" i="23"/>
  <c r="M2017" i="23"/>
  <c r="F2018" i="23"/>
  <c r="M2018" i="23"/>
  <c r="F2019" i="23"/>
  <c r="M2019" i="23"/>
  <c r="F2020" i="23"/>
  <c r="M2020" i="23"/>
  <c r="F2021" i="23"/>
  <c r="M2021" i="23"/>
  <c r="F2022" i="23"/>
  <c r="M2022" i="23"/>
  <c r="F2023" i="23"/>
  <c r="M2023" i="23"/>
  <c r="F2024" i="23"/>
  <c r="M2024" i="23"/>
  <c r="F2025" i="23"/>
  <c r="M2025" i="23"/>
  <c r="F2026" i="23"/>
  <c r="M2026" i="23"/>
  <c r="F2027" i="23"/>
  <c r="M2027" i="23"/>
  <c r="F2028" i="23"/>
  <c r="M2028" i="23"/>
  <c r="F2029" i="23"/>
  <c r="M2029" i="23"/>
  <c r="F2030" i="23"/>
  <c r="M2030" i="23"/>
  <c r="F2031" i="23"/>
  <c r="M2031" i="23"/>
  <c r="F2032" i="23"/>
  <c r="M2032" i="23"/>
  <c r="F2033" i="23"/>
  <c r="M2033" i="23"/>
  <c r="F2034" i="23"/>
  <c r="M2034" i="23"/>
  <c r="F2035" i="23"/>
  <c r="M2035" i="23"/>
  <c r="F2036" i="23"/>
  <c r="M2036" i="23"/>
  <c r="F2037" i="23"/>
  <c r="M2037" i="23"/>
  <c r="F2038" i="23"/>
  <c r="M2038" i="23"/>
  <c r="F2039" i="23"/>
  <c r="M2039" i="23"/>
  <c r="F2040" i="23"/>
  <c r="M2040" i="23"/>
  <c r="F2041" i="23"/>
  <c r="M2041" i="23"/>
  <c r="F2042" i="23"/>
  <c r="M2042" i="23"/>
  <c r="F2043" i="23"/>
  <c r="M2043" i="23"/>
  <c r="F2044" i="23"/>
  <c r="M2044" i="23"/>
  <c r="F2045" i="23"/>
  <c r="M2045" i="23"/>
  <c r="F2046" i="23"/>
  <c r="M2046" i="23"/>
  <c r="F2047" i="23"/>
  <c r="M2047" i="23"/>
  <c r="F2048" i="23"/>
  <c r="M2048" i="23"/>
  <c r="F2049" i="23"/>
  <c r="M2049" i="23"/>
  <c r="F2050" i="23"/>
  <c r="M2050" i="23"/>
  <c r="F2051" i="23"/>
  <c r="M2051" i="23"/>
  <c r="F2052" i="23"/>
  <c r="M2052" i="23"/>
  <c r="F2053" i="23"/>
  <c r="M2053" i="23"/>
  <c r="F2054" i="23"/>
  <c r="M2054" i="23"/>
  <c r="F2055" i="23"/>
  <c r="M2055" i="23"/>
  <c r="F2056" i="23"/>
  <c r="M2056" i="23"/>
  <c r="F2057" i="23"/>
  <c r="M2057" i="23"/>
  <c r="F2058" i="23"/>
  <c r="M2058" i="23"/>
  <c r="F2059" i="23"/>
  <c r="M2059" i="23"/>
  <c r="F2060" i="23"/>
  <c r="M2060" i="23"/>
  <c r="F2061" i="23"/>
  <c r="M2061" i="23"/>
  <c r="F2062" i="23"/>
  <c r="M2062" i="23"/>
  <c r="F2063" i="23"/>
  <c r="M2063" i="23"/>
  <c r="F2064" i="23"/>
  <c r="M2064" i="23"/>
  <c r="F2065" i="23"/>
  <c r="M2065" i="23"/>
  <c r="F2066" i="23"/>
  <c r="M2066" i="23"/>
  <c r="F2067" i="23"/>
  <c r="M2067" i="23"/>
  <c r="F2068" i="23"/>
  <c r="M2068" i="23"/>
  <c r="F2069" i="23"/>
  <c r="M2069" i="23"/>
  <c r="F2070" i="23"/>
  <c r="M2070" i="23"/>
  <c r="F2071" i="23"/>
  <c r="M2071" i="23"/>
  <c r="F2072" i="23"/>
  <c r="M2072" i="23"/>
  <c r="F2073" i="23"/>
  <c r="M2073" i="23"/>
  <c r="F2074" i="23"/>
  <c r="M2074" i="23"/>
  <c r="F2075" i="23"/>
  <c r="M2075" i="23"/>
  <c r="F2076" i="23"/>
  <c r="M2076" i="23"/>
  <c r="F2077" i="23"/>
  <c r="M2077" i="23"/>
  <c r="F2078" i="23"/>
  <c r="M2078" i="23"/>
  <c r="F2079" i="23"/>
  <c r="M2079" i="23"/>
  <c r="F2080" i="23"/>
  <c r="M2080" i="23"/>
  <c r="F2081" i="23"/>
  <c r="M2081" i="23"/>
  <c r="F2082" i="23"/>
  <c r="M2082" i="23"/>
  <c r="F2083" i="23"/>
  <c r="M2083" i="23"/>
  <c r="F2084" i="23"/>
  <c r="M2084" i="23"/>
  <c r="F2085" i="23"/>
  <c r="M2085" i="23"/>
  <c r="F2086" i="23"/>
  <c r="M2086" i="23"/>
  <c r="F2087" i="23"/>
  <c r="M2087" i="23"/>
  <c r="F2088" i="23"/>
  <c r="M2088" i="23"/>
  <c r="F2089" i="23"/>
  <c r="M2089" i="23"/>
  <c r="F2090" i="23"/>
  <c r="M2090" i="23"/>
  <c r="F2091" i="23"/>
  <c r="M2091" i="23"/>
  <c r="F2092" i="23"/>
  <c r="M2092" i="23"/>
  <c r="F2093" i="23"/>
  <c r="M2093" i="23"/>
  <c r="F2094" i="23"/>
  <c r="M2094" i="23"/>
  <c r="F2095" i="23"/>
  <c r="M2095" i="23"/>
  <c r="F2096" i="23"/>
  <c r="M2096" i="23"/>
  <c r="F2097" i="23"/>
  <c r="M2097" i="23"/>
  <c r="F2098" i="23"/>
  <c r="M2098" i="23"/>
  <c r="F2099" i="23"/>
  <c r="M2099" i="23"/>
  <c r="F2100" i="23"/>
  <c r="M2100" i="23"/>
  <c r="F2101" i="23"/>
  <c r="M2101" i="23"/>
  <c r="F2102" i="23"/>
  <c r="M2102" i="23"/>
  <c r="F2103" i="23"/>
  <c r="M2103" i="23"/>
  <c r="F2104" i="23"/>
  <c r="M2104" i="23"/>
  <c r="F2105" i="23"/>
  <c r="M2105" i="23"/>
  <c r="F2106" i="23"/>
  <c r="M2106" i="23"/>
  <c r="F2107" i="23"/>
  <c r="M2107" i="23"/>
  <c r="F2108" i="23"/>
  <c r="M2108" i="23"/>
  <c r="F2109" i="23"/>
  <c r="M2109" i="23"/>
  <c r="F2110" i="23"/>
  <c r="M2110" i="23"/>
  <c r="F2111" i="23"/>
  <c r="M2111" i="23"/>
  <c r="F2112" i="23"/>
  <c r="M2112" i="23"/>
  <c r="F2113" i="23"/>
  <c r="M2113" i="23"/>
  <c r="F2114" i="23"/>
  <c r="M2114" i="23"/>
  <c r="F2115" i="23"/>
  <c r="M2115" i="23"/>
  <c r="F2116" i="23"/>
  <c r="M2116" i="23"/>
  <c r="F2117" i="23"/>
  <c r="M2117" i="23"/>
  <c r="F2118" i="23"/>
  <c r="M2118" i="23"/>
  <c r="F2119" i="23"/>
  <c r="M2119" i="23"/>
  <c r="F2120" i="23"/>
  <c r="M2120" i="23"/>
  <c r="F2121" i="23"/>
  <c r="M2121" i="23"/>
  <c r="F2122" i="23"/>
  <c r="M2122" i="23"/>
  <c r="F2123" i="23"/>
  <c r="M2123" i="23"/>
  <c r="F2124" i="23"/>
  <c r="M2124" i="23"/>
  <c r="F2125" i="23"/>
  <c r="M2125" i="23"/>
  <c r="F2126" i="23"/>
  <c r="M2126" i="23"/>
  <c r="F2127" i="23"/>
  <c r="M2127" i="23"/>
  <c r="F2128" i="23"/>
  <c r="M2128" i="23"/>
  <c r="F2129" i="23"/>
  <c r="M2129" i="23"/>
  <c r="F2130" i="23"/>
  <c r="M2130" i="23"/>
  <c r="F2131" i="23"/>
  <c r="M2131" i="23"/>
  <c r="F2132" i="23"/>
  <c r="M2132" i="23"/>
  <c r="F2133" i="23"/>
  <c r="M2133" i="23"/>
  <c r="F2134" i="23"/>
  <c r="M2134" i="23"/>
  <c r="F2135" i="23"/>
  <c r="M2135" i="23"/>
  <c r="F2136" i="23"/>
  <c r="M2136" i="23"/>
  <c r="F2137" i="23"/>
  <c r="M2137" i="23"/>
  <c r="F2138" i="23"/>
  <c r="M2138" i="23"/>
  <c r="F2139" i="23"/>
  <c r="M2139" i="23"/>
  <c r="F2140" i="23"/>
  <c r="M2140" i="23"/>
  <c r="F2141" i="23"/>
  <c r="M2141" i="23"/>
  <c r="F2142" i="23"/>
  <c r="M2142" i="23"/>
  <c r="F2143" i="23"/>
  <c r="M2143" i="23"/>
  <c r="F2144" i="23"/>
  <c r="M2144" i="23"/>
  <c r="F2145" i="23"/>
  <c r="M2145" i="23"/>
  <c r="F2146" i="23"/>
  <c r="M2146" i="23"/>
  <c r="F2147" i="23"/>
  <c r="M2147" i="23"/>
  <c r="F2148" i="23"/>
  <c r="M2148" i="23"/>
  <c r="F2149" i="23"/>
  <c r="M2149" i="23"/>
  <c r="F2150" i="23"/>
  <c r="M2150" i="23"/>
  <c r="F2151" i="23"/>
  <c r="M2151" i="23"/>
  <c r="F2152" i="23"/>
  <c r="M2152" i="23"/>
  <c r="F2153" i="23"/>
  <c r="M2153" i="23"/>
  <c r="F2154" i="23"/>
  <c r="M2154" i="23"/>
  <c r="F2155" i="23"/>
  <c r="M2155" i="23"/>
  <c r="F2156" i="23"/>
  <c r="M2156" i="23"/>
  <c r="F2157" i="23"/>
  <c r="M2157" i="23"/>
  <c r="F2158" i="23"/>
  <c r="M2158" i="23"/>
  <c r="F2159" i="23"/>
  <c r="M2159" i="23"/>
  <c r="F2160" i="23"/>
  <c r="M2160" i="23"/>
  <c r="F2161" i="23"/>
  <c r="M2161" i="23"/>
  <c r="F2162" i="23"/>
  <c r="M2162" i="23"/>
  <c r="F2163" i="23"/>
  <c r="M2163" i="23"/>
  <c r="F2164" i="23"/>
  <c r="M2164" i="23"/>
  <c r="F2165" i="23"/>
  <c r="M2165" i="23"/>
  <c r="F2166" i="23"/>
  <c r="M2166" i="23"/>
  <c r="F2167" i="23"/>
  <c r="M2167" i="23"/>
  <c r="F2168" i="23"/>
  <c r="M2168" i="23"/>
  <c r="F2169" i="23"/>
  <c r="M2169" i="23"/>
  <c r="F2170" i="23"/>
  <c r="M2170" i="23"/>
  <c r="F2171" i="23"/>
  <c r="M2171" i="23"/>
  <c r="F2172" i="23"/>
  <c r="M2172" i="23"/>
  <c r="F2173" i="23"/>
  <c r="M2173" i="23"/>
  <c r="F2174" i="23"/>
  <c r="M2174" i="23"/>
  <c r="F2175" i="23"/>
  <c r="M2175" i="23"/>
  <c r="F2176" i="23"/>
  <c r="M2176" i="23"/>
  <c r="F2177" i="23"/>
  <c r="M2177" i="23"/>
  <c r="F2178" i="23"/>
  <c r="M2178" i="23"/>
  <c r="F2179" i="23"/>
  <c r="M2179" i="23"/>
  <c r="F2180" i="23"/>
  <c r="M2180" i="23"/>
  <c r="F2181" i="23"/>
  <c r="M2181" i="23"/>
  <c r="F2182" i="23"/>
  <c r="M2182" i="23"/>
  <c r="F2183" i="23"/>
  <c r="M2183" i="23"/>
  <c r="F2184" i="23"/>
  <c r="M2184" i="23"/>
  <c r="F2185" i="23"/>
  <c r="M2185" i="23"/>
  <c r="F2186" i="23"/>
  <c r="M2186" i="23"/>
  <c r="F2187" i="23"/>
  <c r="M2187" i="23"/>
  <c r="F2188" i="23"/>
  <c r="M2188" i="23"/>
  <c r="F2189" i="23"/>
  <c r="M2189" i="23"/>
  <c r="F2190" i="23"/>
  <c r="M2190" i="23"/>
  <c r="F2191" i="23"/>
  <c r="M2191" i="23"/>
  <c r="F2192" i="23"/>
  <c r="M2192" i="23"/>
  <c r="F2193" i="23"/>
  <c r="M2193" i="23"/>
  <c r="F2194" i="23"/>
  <c r="M2194" i="23"/>
  <c r="F2195" i="23"/>
  <c r="M2195" i="23"/>
  <c r="F2196" i="23"/>
  <c r="M2196" i="23"/>
  <c r="F2197" i="23"/>
  <c r="M2197" i="23"/>
  <c r="F2198" i="23"/>
  <c r="M2198" i="23"/>
  <c r="F2199" i="23"/>
  <c r="M2199" i="23"/>
  <c r="F2200" i="23"/>
  <c r="M2200" i="23"/>
  <c r="F2201" i="23"/>
  <c r="M2201" i="23"/>
  <c r="F2202" i="23"/>
  <c r="M2202" i="23"/>
  <c r="F2203" i="23"/>
  <c r="M2203" i="23"/>
  <c r="F2204" i="23"/>
  <c r="M2204" i="23"/>
  <c r="F2205" i="23"/>
  <c r="M2205" i="23"/>
  <c r="F2206" i="23"/>
  <c r="M2206" i="23"/>
  <c r="F2207" i="23"/>
  <c r="M2207" i="23"/>
  <c r="F2208" i="23"/>
  <c r="M2208" i="23"/>
  <c r="F2209" i="23"/>
  <c r="M2209" i="23"/>
  <c r="F2210" i="23"/>
  <c r="M2210" i="23"/>
  <c r="F2211" i="23"/>
  <c r="M2211" i="23"/>
  <c r="F2212" i="23"/>
  <c r="M2212" i="23"/>
  <c r="F2213" i="23"/>
  <c r="M2213" i="23"/>
  <c r="F2214" i="23"/>
  <c r="M2214" i="23"/>
  <c r="F2215" i="23"/>
  <c r="M2215" i="23"/>
  <c r="F2216" i="23"/>
  <c r="M2216" i="23"/>
  <c r="F2217" i="23"/>
  <c r="M2217" i="23"/>
  <c r="F2218" i="23"/>
  <c r="M2218" i="23"/>
  <c r="F2219" i="23"/>
  <c r="M2219" i="23"/>
  <c r="F2220" i="23"/>
  <c r="M2220" i="23"/>
  <c r="F2221" i="23"/>
  <c r="M2221" i="23"/>
  <c r="F2222" i="23"/>
  <c r="M2222" i="23"/>
  <c r="F2223" i="23"/>
  <c r="M2223" i="23"/>
  <c r="F2224" i="23"/>
  <c r="M2224" i="23"/>
  <c r="F2225" i="23"/>
  <c r="M2225" i="23"/>
  <c r="F2226" i="23"/>
  <c r="M2226" i="23"/>
  <c r="F2227" i="23"/>
  <c r="M2227" i="23"/>
  <c r="F2228" i="23"/>
  <c r="M2228" i="23"/>
  <c r="F2229" i="23"/>
  <c r="M2229" i="23"/>
  <c r="F2230" i="23"/>
  <c r="M2230" i="23"/>
  <c r="F2231" i="23"/>
  <c r="M2231" i="23"/>
  <c r="F2232" i="23"/>
  <c r="M2232" i="23"/>
  <c r="F2233" i="23"/>
  <c r="M2233" i="23"/>
  <c r="F2234" i="23"/>
  <c r="M2234" i="23"/>
  <c r="F2235" i="23"/>
  <c r="M2235" i="23"/>
  <c r="F2236" i="23"/>
  <c r="M2236" i="23"/>
  <c r="F2237" i="23"/>
  <c r="M2237" i="23"/>
  <c r="F2238" i="23"/>
  <c r="M2238" i="23"/>
  <c r="F2239" i="23"/>
  <c r="M2239" i="23"/>
  <c r="F2240" i="23"/>
  <c r="M2240" i="23"/>
  <c r="F2241" i="23"/>
  <c r="M2241" i="23"/>
  <c r="F2242" i="23"/>
  <c r="M2242" i="23"/>
  <c r="F2243" i="23"/>
  <c r="M2243" i="23"/>
  <c r="F2244" i="23"/>
  <c r="M2244" i="23"/>
  <c r="F2245" i="23"/>
  <c r="M2245" i="23"/>
  <c r="F2246" i="23"/>
  <c r="M2246" i="23"/>
  <c r="F2247" i="23"/>
  <c r="M2247" i="23"/>
  <c r="F2248" i="23"/>
  <c r="M2248" i="23"/>
  <c r="F2249" i="23"/>
  <c r="M2249" i="23"/>
  <c r="F2250" i="23"/>
  <c r="M2250" i="23"/>
  <c r="F2251" i="23"/>
  <c r="M2251" i="23"/>
  <c r="F2252" i="23"/>
  <c r="M2252" i="23"/>
  <c r="F2253" i="23"/>
  <c r="M2253" i="23"/>
  <c r="F2254" i="23"/>
  <c r="M2254" i="23"/>
  <c r="F2255" i="23"/>
  <c r="M2255" i="23"/>
  <c r="F2256" i="23"/>
  <c r="M2256" i="23"/>
  <c r="F2257" i="23"/>
  <c r="M2257" i="23"/>
  <c r="F2258" i="23"/>
  <c r="M2258" i="23"/>
  <c r="F2259" i="23"/>
  <c r="M2259" i="23"/>
  <c r="F2260" i="23"/>
  <c r="M2260" i="23"/>
  <c r="F2261" i="23"/>
  <c r="M2261" i="23"/>
  <c r="F2262" i="23"/>
  <c r="M2262" i="23"/>
  <c r="F2263" i="23"/>
  <c r="M2263" i="23"/>
  <c r="F2264" i="23"/>
  <c r="M2264" i="23"/>
  <c r="F2265" i="23"/>
  <c r="M2265" i="23"/>
  <c r="F2266" i="23"/>
  <c r="M2266" i="23"/>
  <c r="F2267" i="23"/>
  <c r="M2267" i="23"/>
  <c r="F2268" i="23"/>
  <c r="M2268" i="23"/>
  <c r="F2269" i="23"/>
  <c r="M2269" i="23"/>
  <c r="F2270" i="23"/>
  <c r="M2270" i="23"/>
  <c r="F2271" i="23"/>
  <c r="M2271" i="23"/>
  <c r="F2272" i="23"/>
  <c r="M2272" i="23"/>
  <c r="F2273" i="23"/>
  <c r="M2273" i="23"/>
  <c r="F2274" i="23"/>
  <c r="M2274" i="23"/>
  <c r="F2275" i="23"/>
  <c r="M2275" i="23"/>
  <c r="F2276" i="23"/>
  <c r="M2276" i="23"/>
  <c r="F2277" i="23"/>
  <c r="M2277" i="23"/>
  <c r="F2278" i="23"/>
  <c r="M2278" i="23"/>
  <c r="F2279" i="23"/>
  <c r="M2279" i="23"/>
  <c r="F2280" i="23"/>
  <c r="M2280" i="23"/>
  <c r="F2281" i="23"/>
  <c r="M2281" i="23"/>
  <c r="F2282" i="23"/>
  <c r="M2282" i="23"/>
  <c r="F2283" i="23"/>
  <c r="M2283" i="23"/>
  <c r="F2284" i="23"/>
  <c r="M2284" i="23"/>
  <c r="F2285" i="23"/>
  <c r="M2285" i="23"/>
  <c r="F2286" i="23"/>
  <c r="M2286" i="23"/>
  <c r="F2287" i="23"/>
  <c r="M2287" i="23"/>
  <c r="F2288" i="23"/>
  <c r="M2288" i="23"/>
  <c r="F2289" i="23"/>
  <c r="M2289" i="23"/>
  <c r="F2290" i="23"/>
  <c r="M2290" i="23"/>
  <c r="F2291" i="23"/>
  <c r="M2291" i="23"/>
  <c r="F2292" i="23"/>
  <c r="M2292" i="23"/>
  <c r="F2293" i="23"/>
  <c r="M2293" i="23"/>
  <c r="F2294" i="23"/>
  <c r="M2294" i="23"/>
  <c r="F2295" i="23"/>
  <c r="M2295" i="23"/>
  <c r="F2296" i="23"/>
  <c r="M2296" i="23"/>
  <c r="F2297" i="23"/>
  <c r="M2297" i="23"/>
  <c r="F2298" i="23"/>
  <c r="M2298" i="23"/>
  <c r="F2299" i="23"/>
  <c r="M2299" i="23"/>
  <c r="F2300" i="23"/>
  <c r="M2300" i="23"/>
  <c r="F2301" i="23"/>
  <c r="M2301" i="23"/>
  <c r="F2302" i="23"/>
  <c r="M2302" i="23"/>
  <c r="F2303" i="23"/>
  <c r="M2303" i="23"/>
  <c r="F2304" i="23"/>
  <c r="M2304" i="23"/>
  <c r="F2305" i="23"/>
  <c r="M2305" i="23"/>
  <c r="F2306" i="23"/>
  <c r="M2306" i="23"/>
  <c r="F2307" i="23"/>
  <c r="M2307" i="23"/>
  <c r="F2308" i="23"/>
  <c r="M2308" i="23"/>
  <c r="F2309" i="23"/>
  <c r="M2309" i="23"/>
  <c r="F2310" i="23"/>
  <c r="M2310" i="23"/>
  <c r="F2311" i="23"/>
  <c r="M2311" i="23"/>
  <c r="F2312" i="23"/>
  <c r="M2312" i="23"/>
  <c r="F2313" i="23"/>
  <c r="M2313" i="23"/>
  <c r="F2314" i="23"/>
  <c r="M2314" i="23"/>
  <c r="F2315" i="23"/>
  <c r="M2315" i="23"/>
  <c r="F2316" i="23"/>
  <c r="M2316" i="23"/>
  <c r="F2317" i="23"/>
  <c r="M2317" i="23"/>
  <c r="F2318" i="23"/>
  <c r="M2318" i="23"/>
  <c r="F2319" i="23"/>
  <c r="M2319" i="23"/>
  <c r="F2320" i="23"/>
  <c r="M2320" i="23"/>
  <c r="F2321" i="23"/>
  <c r="M2321" i="23"/>
  <c r="F2322" i="23"/>
  <c r="M2322" i="23"/>
  <c r="F2323" i="23"/>
  <c r="M2323" i="23"/>
  <c r="F2324" i="23"/>
  <c r="M2324" i="23"/>
  <c r="F2325" i="23"/>
  <c r="M2325" i="23"/>
  <c r="F2326" i="23"/>
  <c r="M2326" i="23"/>
  <c r="F2327" i="23"/>
  <c r="M2327" i="23"/>
  <c r="F2328" i="23"/>
  <c r="M2328" i="23"/>
  <c r="F2329" i="23"/>
  <c r="M2329" i="23"/>
  <c r="F2330" i="23"/>
  <c r="M2330" i="23"/>
  <c r="F2331" i="23"/>
  <c r="M2331" i="23"/>
  <c r="F2332" i="23"/>
  <c r="M2332" i="23"/>
  <c r="F2333" i="23"/>
  <c r="M2333" i="23"/>
  <c r="F2334" i="23"/>
  <c r="M2334" i="23"/>
  <c r="F2335" i="23"/>
  <c r="M2335" i="23"/>
  <c r="F2336" i="23"/>
  <c r="M2336" i="23"/>
  <c r="F2337" i="23"/>
  <c r="M2337" i="23"/>
  <c r="F2338" i="23"/>
  <c r="M2338" i="23"/>
  <c r="F2339" i="23"/>
  <c r="M2339" i="23"/>
  <c r="F2340" i="23"/>
  <c r="M2340" i="23"/>
  <c r="F2341" i="23"/>
  <c r="M2341" i="23"/>
  <c r="F2342" i="23"/>
  <c r="M2342" i="23"/>
  <c r="F2343" i="23"/>
  <c r="M2343" i="23"/>
  <c r="F2344" i="23"/>
  <c r="M2344" i="23"/>
  <c r="F2345" i="23"/>
  <c r="M2345" i="23"/>
  <c r="F2346" i="23"/>
  <c r="M2346" i="23"/>
  <c r="F2347" i="23"/>
  <c r="M2347" i="23"/>
  <c r="F2348" i="23"/>
  <c r="M2348" i="23"/>
  <c r="F2349" i="23"/>
  <c r="M2349" i="23"/>
  <c r="F2350" i="23"/>
  <c r="M2350" i="23"/>
  <c r="F2351" i="23"/>
  <c r="M2351" i="23"/>
  <c r="F2352" i="23"/>
  <c r="M2352" i="23"/>
  <c r="F2353" i="23"/>
  <c r="M2353" i="23"/>
  <c r="F2354" i="23"/>
  <c r="M2354" i="23"/>
  <c r="F2355" i="23"/>
  <c r="M2355" i="23"/>
  <c r="F2356" i="23"/>
  <c r="M2356" i="23"/>
  <c r="F2357" i="23"/>
  <c r="M2357" i="23"/>
  <c r="F2358" i="23"/>
  <c r="M2358" i="23"/>
  <c r="F2359" i="23"/>
  <c r="M2359" i="23"/>
  <c r="F2360" i="23"/>
  <c r="M2360" i="23"/>
  <c r="F2361" i="23"/>
  <c r="M2361" i="23"/>
  <c r="F2362" i="23"/>
  <c r="M2362" i="23"/>
  <c r="F2363" i="23"/>
  <c r="M2363" i="23"/>
  <c r="F2364" i="23"/>
  <c r="M2364" i="23"/>
  <c r="F2365" i="23"/>
  <c r="M2365" i="23"/>
  <c r="F2366" i="23"/>
  <c r="M2366" i="23"/>
  <c r="F2367" i="23"/>
  <c r="M2367" i="23"/>
  <c r="F2368" i="23"/>
  <c r="M2368" i="23"/>
  <c r="F2369" i="23"/>
  <c r="M2369" i="23"/>
  <c r="F2370" i="23"/>
  <c r="M2370" i="23"/>
  <c r="F2371" i="23"/>
  <c r="M2371" i="23"/>
  <c r="F2372" i="23"/>
  <c r="M2372" i="23"/>
  <c r="F2373" i="23"/>
  <c r="M2373" i="23"/>
  <c r="F2374" i="23"/>
  <c r="M2374" i="23"/>
  <c r="F2375" i="23"/>
  <c r="M2375" i="23"/>
  <c r="F2376" i="23"/>
  <c r="M2376" i="23"/>
  <c r="F2377" i="23"/>
  <c r="M2377" i="23"/>
  <c r="F2378" i="23"/>
  <c r="M2378" i="23"/>
  <c r="F2379" i="23"/>
  <c r="M2379" i="23"/>
  <c r="F2380" i="23"/>
  <c r="M2380" i="23"/>
  <c r="F2381" i="23"/>
  <c r="M2381" i="23"/>
  <c r="F2382" i="23"/>
  <c r="M2382" i="23"/>
  <c r="F2383" i="23"/>
  <c r="M2383" i="23"/>
  <c r="F2384" i="23"/>
  <c r="M2384" i="23"/>
  <c r="F2385" i="23"/>
  <c r="M2385" i="23"/>
  <c r="F2386" i="23"/>
  <c r="M2386" i="23"/>
  <c r="F2387" i="23"/>
  <c r="M2387" i="23"/>
  <c r="F2388" i="23"/>
  <c r="M2388" i="23"/>
  <c r="F2389" i="23"/>
  <c r="M2389" i="23"/>
  <c r="F2390" i="23"/>
  <c r="M2390" i="23"/>
  <c r="F2391" i="23"/>
  <c r="M2391" i="23"/>
  <c r="F2392" i="23"/>
  <c r="M2392" i="23"/>
  <c r="F2393" i="23"/>
  <c r="M2393" i="23"/>
  <c r="F2394" i="23"/>
  <c r="M2394" i="23"/>
  <c r="F2395" i="23"/>
  <c r="M2395" i="23"/>
  <c r="F2396" i="23"/>
  <c r="M2396" i="23"/>
  <c r="F2397" i="23"/>
  <c r="M2397" i="23"/>
  <c r="F2398" i="23"/>
  <c r="M2398" i="23"/>
  <c r="F2399" i="23"/>
  <c r="M2399" i="23"/>
  <c r="F2400" i="23"/>
  <c r="M2400" i="23"/>
  <c r="F2401" i="23"/>
  <c r="M2401" i="23"/>
  <c r="F2402" i="23"/>
  <c r="M2402" i="23"/>
  <c r="F2403" i="23"/>
  <c r="M2403" i="23"/>
  <c r="F2404" i="23"/>
  <c r="M2404" i="23"/>
  <c r="F2405" i="23"/>
  <c r="M2405" i="23"/>
  <c r="F2406" i="23"/>
  <c r="M2406" i="23"/>
  <c r="F2407" i="23"/>
  <c r="M2407" i="23"/>
  <c r="F2408" i="23"/>
  <c r="M2408" i="23"/>
  <c r="F2409" i="23"/>
  <c r="M2409" i="23"/>
  <c r="F2410" i="23"/>
  <c r="M2410" i="23"/>
  <c r="F2411" i="23"/>
  <c r="M2411" i="23"/>
  <c r="F2412" i="23"/>
  <c r="M2412" i="23"/>
  <c r="F2413" i="23"/>
  <c r="M2413" i="23"/>
  <c r="F2414" i="23"/>
  <c r="M2414" i="23"/>
  <c r="F2415" i="23"/>
  <c r="M2415" i="23"/>
  <c r="F2416" i="23"/>
  <c r="M2416" i="23"/>
  <c r="F2417" i="23"/>
  <c r="M2417" i="23"/>
  <c r="F2418" i="23"/>
  <c r="M2418" i="23"/>
  <c r="F2419" i="23"/>
  <c r="M2419" i="23"/>
  <c r="F2420" i="23"/>
  <c r="M2420" i="23"/>
  <c r="F2421" i="23"/>
  <c r="M2421" i="23"/>
  <c r="F2422" i="23"/>
  <c r="M2422" i="23"/>
  <c r="F2423" i="23"/>
  <c r="M2423" i="23"/>
  <c r="F2424" i="23"/>
  <c r="M2424" i="23"/>
  <c r="F2425" i="23"/>
  <c r="M2425" i="23"/>
  <c r="F2426" i="23"/>
  <c r="M2426" i="23"/>
  <c r="F2427" i="23"/>
  <c r="M2427" i="23"/>
  <c r="F2428" i="23"/>
  <c r="M2428" i="23"/>
  <c r="F2429" i="23"/>
  <c r="M2429" i="23"/>
  <c r="F2430" i="23"/>
  <c r="M2430" i="23"/>
  <c r="F2431" i="23"/>
  <c r="M2431" i="23"/>
  <c r="F2432" i="23"/>
  <c r="M2432" i="23"/>
  <c r="F2433" i="23"/>
  <c r="M2433" i="23"/>
  <c r="F2434" i="23"/>
  <c r="M2434" i="23"/>
  <c r="F2435" i="23"/>
  <c r="M2435" i="23"/>
  <c r="F2436" i="23"/>
  <c r="M2436" i="23"/>
  <c r="F2437" i="23"/>
  <c r="M2437" i="23"/>
  <c r="F2438" i="23"/>
  <c r="M2438" i="23"/>
  <c r="F2439" i="23"/>
  <c r="M2439" i="23"/>
  <c r="F2440" i="23"/>
  <c r="M2440" i="23"/>
  <c r="F2441" i="23"/>
  <c r="M2441" i="23"/>
  <c r="F2442" i="23"/>
  <c r="M2442" i="23"/>
  <c r="F2443" i="23"/>
  <c r="M2443" i="23"/>
  <c r="F2444" i="23"/>
  <c r="M2444" i="23"/>
  <c r="F2445" i="23"/>
  <c r="M2445" i="23"/>
  <c r="F2446" i="23"/>
  <c r="M2446" i="23"/>
  <c r="F2447" i="23"/>
  <c r="M2447" i="23"/>
  <c r="F2448" i="23"/>
  <c r="M2448" i="23"/>
  <c r="F2449" i="23"/>
  <c r="M2449" i="23"/>
  <c r="F2450" i="23"/>
  <c r="M2450" i="23"/>
  <c r="F2451" i="23"/>
  <c r="M2451" i="23"/>
  <c r="F2452" i="23"/>
  <c r="M2452" i="23"/>
  <c r="F2453" i="23"/>
  <c r="M2453" i="23"/>
  <c r="F2454" i="23"/>
  <c r="M2454" i="23"/>
  <c r="F2455" i="23"/>
  <c r="M2455" i="23"/>
  <c r="F2456" i="23"/>
  <c r="M2456" i="23"/>
  <c r="F2457" i="23"/>
  <c r="M2457" i="23"/>
  <c r="F2458" i="23"/>
  <c r="M2458" i="23"/>
  <c r="F2459" i="23"/>
  <c r="M2459" i="23"/>
  <c r="F2460" i="23"/>
  <c r="M2460" i="23"/>
  <c r="F2461" i="23"/>
  <c r="M2461" i="23"/>
  <c r="F2462" i="23"/>
  <c r="M2462" i="23"/>
  <c r="F2463" i="23"/>
  <c r="M2463" i="23"/>
  <c r="F2464" i="23"/>
  <c r="M2464" i="23"/>
  <c r="F2465" i="23"/>
  <c r="M2465" i="23"/>
  <c r="F2466" i="23"/>
  <c r="M2466" i="23"/>
  <c r="F2467" i="23"/>
  <c r="M2467" i="23"/>
  <c r="F2468" i="23"/>
  <c r="M2468" i="23"/>
  <c r="F2469" i="23"/>
  <c r="M2469" i="23"/>
  <c r="F2470" i="23"/>
  <c r="M2470" i="23"/>
  <c r="F2471" i="23"/>
  <c r="M2471" i="23"/>
  <c r="F2472" i="23"/>
  <c r="M2472" i="23"/>
  <c r="F2473" i="23"/>
  <c r="M2473" i="23"/>
  <c r="F2474" i="23"/>
  <c r="M2474" i="23"/>
  <c r="F2475" i="23"/>
  <c r="M2475" i="23"/>
  <c r="F2476" i="23"/>
  <c r="M2476" i="23"/>
  <c r="F2477" i="23"/>
  <c r="M2477" i="23"/>
  <c r="F2478" i="23"/>
  <c r="M2478" i="23"/>
  <c r="F2479" i="23"/>
  <c r="M2479" i="23"/>
  <c r="F2480" i="23"/>
  <c r="M2480" i="23"/>
  <c r="F2481" i="23"/>
  <c r="M2481" i="23"/>
  <c r="F2482" i="23"/>
  <c r="M2482" i="23"/>
  <c r="F2483" i="23"/>
  <c r="M2483" i="23"/>
  <c r="F2484" i="23"/>
  <c r="M2484" i="23"/>
  <c r="F2485" i="23"/>
  <c r="M2485" i="23"/>
  <c r="F2486" i="23"/>
  <c r="M2486" i="23"/>
  <c r="F2487" i="23"/>
  <c r="M2487" i="23"/>
  <c r="F2488" i="23"/>
  <c r="M2488" i="23"/>
  <c r="F2489" i="23"/>
  <c r="M2489" i="23"/>
  <c r="F2490" i="23"/>
  <c r="M2490" i="23"/>
  <c r="F2491" i="23"/>
  <c r="M2491" i="23"/>
  <c r="F2492" i="23"/>
  <c r="M2492" i="23"/>
  <c r="F2493" i="23"/>
  <c r="M2493" i="23"/>
  <c r="F2494" i="23"/>
  <c r="M2494" i="23"/>
  <c r="F2495" i="23"/>
  <c r="M2495" i="23"/>
  <c r="F2496" i="23"/>
  <c r="M2496" i="23"/>
  <c r="F2497" i="23"/>
  <c r="M2497" i="23"/>
  <c r="F2498" i="23"/>
  <c r="M2498" i="23"/>
  <c r="F2499" i="23"/>
  <c r="M2499" i="23"/>
  <c r="F2500" i="23"/>
  <c r="M2500" i="23"/>
  <c r="F2501" i="23"/>
  <c r="M2501" i="23"/>
  <c r="F2502" i="23"/>
  <c r="M2502" i="23"/>
  <c r="F2503" i="23"/>
  <c r="M2503" i="23"/>
  <c r="F2504" i="23"/>
  <c r="M2504" i="23"/>
  <c r="F2505" i="23"/>
  <c r="M2505" i="23"/>
  <c r="F2506" i="23"/>
  <c r="M2506" i="23"/>
  <c r="F2507" i="23"/>
  <c r="M2507" i="23"/>
  <c r="F2508" i="23"/>
  <c r="M2508" i="23"/>
  <c r="F2509" i="23"/>
  <c r="M2509" i="23"/>
  <c r="F2510" i="23"/>
  <c r="M2510" i="23"/>
  <c r="F2511" i="23"/>
  <c r="M2511" i="23"/>
  <c r="F2512" i="23"/>
  <c r="M2512" i="23"/>
  <c r="F2513" i="23"/>
  <c r="M2513" i="23"/>
  <c r="F2514" i="23"/>
  <c r="M2514" i="23"/>
  <c r="F2515" i="23"/>
  <c r="M2515" i="23"/>
  <c r="F2516" i="23"/>
  <c r="M2516" i="23"/>
  <c r="F2517" i="23"/>
  <c r="M2517" i="23"/>
  <c r="F2518" i="23"/>
  <c r="M2518" i="23"/>
  <c r="F2519" i="23"/>
  <c r="M2519" i="23"/>
  <c r="F2520" i="23"/>
  <c r="M2520" i="23"/>
  <c r="F2521" i="23"/>
  <c r="M2521" i="23"/>
  <c r="F2522" i="23"/>
  <c r="M2522" i="23"/>
  <c r="F2523" i="23"/>
  <c r="M2523" i="23"/>
  <c r="F2524" i="23"/>
  <c r="M2524" i="23"/>
  <c r="F2525" i="23"/>
  <c r="M2525" i="23"/>
  <c r="F2526" i="23"/>
  <c r="M2526" i="23"/>
  <c r="F2527" i="23"/>
  <c r="M2527" i="23"/>
  <c r="F2528" i="23"/>
  <c r="M2528" i="23"/>
  <c r="F2529" i="23"/>
  <c r="M2529" i="23"/>
  <c r="F2530" i="23"/>
  <c r="M2530" i="23"/>
  <c r="F2531" i="23"/>
  <c r="M2531" i="23"/>
  <c r="F2532" i="23"/>
  <c r="M2532" i="23"/>
  <c r="F2533" i="23"/>
  <c r="M2533" i="23"/>
  <c r="F2534" i="23"/>
  <c r="M2534" i="23"/>
  <c r="F2535" i="23"/>
  <c r="M2535" i="23"/>
  <c r="F2536" i="23"/>
  <c r="M2536" i="23"/>
  <c r="F2537" i="23"/>
  <c r="M2537" i="23"/>
  <c r="F2538" i="23"/>
  <c r="M2538" i="23"/>
  <c r="F2539" i="23"/>
  <c r="M2539" i="23"/>
  <c r="F2540" i="23"/>
  <c r="M2540" i="23"/>
  <c r="F2541" i="23"/>
  <c r="M2541" i="23"/>
  <c r="F2542" i="23"/>
  <c r="M2542" i="23"/>
  <c r="F2543" i="23"/>
  <c r="M2543" i="23"/>
  <c r="F2544" i="23"/>
  <c r="M2544" i="23"/>
  <c r="F2545" i="23"/>
  <c r="M2545" i="23"/>
  <c r="F2546" i="23"/>
  <c r="M2546" i="23"/>
  <c r="F2547" i="23"/>
  <c r="M2547" i="23"/>
  <c r="F2548" i="23"/>
  <c r="M2548" i="23"/>
  <c r="F2549" i="23"/>
  <c r="M2549" i="23"/>
  <c r="F2550" i="23"/>
  <c r="M2550" i="23"/>
  <c r="F2551" i="23"/>
  <c r="M2551" i="23"/>
  <c r="F2552" i="23"/>
  <c r="M2552" i="23"/>
  <c r="F2553" i="23"/>
  <c r="M2553" i="23"/>
  <c r="F2554" i="23"/>
  <c r="M2554" i="23"/>
  <c r="F2555" i="23"/>
  <c r="M2555" i="23"/>
  <c r="F2556" i="23"/>
  <c r="M2556" i="23"/>
  <c r="F2557" i="23"/>
  <c r="M2557" i="23"/>
  <c r="F2558" i="23"/>
  <c r="M2558" i="23"/>
  <c r="F2559" i="23"/>
  <c r="M2559" i="23"/>
  <c r="F2560" i="23"/>
  <c r="M2560" i="23"/>
  <c r="F2561" i="23"/>
  <c r="M2561" i="23"/>
  <c r="F2562" i="23"/>
  <c r="M2562" i="23"/>
  <c r="F2563" i="23"/>
  <c r="M2563" i="23"/>
  <c r="F2564" i="23"/>
  <c r="M2564" i="23"/>
  <c r="F2565" i="23"/>
  <c r="M2565" i="23"/>
  <c r="F2566" i="23"/>
  <c r="M2566" i="23"/>
  <c r="F2567" i="23"/>
  <c r="M2567" i="23"/>
  <c r="F2568" i="23"/>
  <c r="M2568" i="23"/>
  <c r="F2569" i="23"/>
  <c r="M2569" i="23"/>
  <c r="F2570" i="23"/>
  <c r="M2570" i="23"/>
  <c r="F2571" i="23"/>
  <c r="M2571" i="23"/>
  <c r="F2572" i="23"/>
  <c r="M2572" i="23"/>
  <c r="F2573" i="23"/>
  <c r="M2573" i="23"/>
  <c r="F2574" i="23"/>
  <c r="M2574" i="23"/>
  <c r="F2575" i="23"/>
  <c r="M2575" i="23"/>
  <c r="F2576" i="23"/>
  <c r="M2576" i="23"/>
  <c r="F2577" i="23"/>
  <c r="M2577" i="23"/>
  <c r="F2578" i="23"/>
  <c r="M2578" i="23"/>
  <c r="F2579" i="23"/>
  <c r="M2579" i="23"/>
  <c r="F2580" i="23"/>
  <c r="M2580" i="23"/>
  <c r="F2581" i="23"/>
  <c r="M2581" i="23"/>
  <c r="F2582" i="23"/>
  <c r="M2582" i="23"/>
  <c r="F2583" i="23"/>
  <c r="M2583" i="23"/>
  <c r="F2584" i="23"/>
  <c r="M2584" i="23"/>
  <c r="F2585" i="23"/>
  <c r="M2585" i="23"/>
  <c r="F2586" i="23"/>
  <c r="M2586" i="23"/>
  <c r="F2587" i="23"/>
  <c r="M2587" i="23"/>
  <c r="F2588" i="23"/>
  <c r="M2588" i="23"/>
  <c r="F2589" i="23"/>
  <c r="M2589" i="23"/>
  <c r="F2590" i="23"/>
  <c r="M2590" i="23"/>
  <c r="F2591" i="23"/>
  <c r="M2591" i="23"/>
  <c r="F2592" i="23"/>
  <c r="M2592" i="23"/>
  <c r="F2593" i="23"/>
  <c r="M2593" i="23"/>
  <c r="F2594" i="23"/>
  <c r="M2594" i="23"/>
  <c r="F2595" i="23"/>
  <c r="M2595" i="23"/>
  <c r="F2596" i="23"/>
  <c r="M2596" i="23"/>
  <c r="F2597" i="23"/>
  <c r="M2597" i="23"/>
  <c r="F2598" i="23"/>
  <c r="M2598" i="23"/>
  <c r="F2599" i="23"/>
  <c r="M2599" i="23"/>
  <c r="F2600" i="23"/>
  <c r="M2600" i="23"/>
  <c r="F2601" i="23"/>
  <c r="M2601" i="23"/>
  <c r="F2602" i="23"/>
  <c r="M2602" i="23"/>
  <c r="F2603" i="23"/>
  <c r="M2603" i="23"/>
  <c r="F2604" i="23"/>
  <c r="M2604" i="23"/>
  <c r="F2605" i="23"/>
  <c r="M2605" i="23"/>
  <c r="F2606" i="23"/>
  <c r="M2606" i="23"/>
  <c r="F2607" i="23"/>
  <c r="M2607" i="23"/>
  <c r="F2608" i="23"/>
  <c r="M2608" i="23"/>
  <c r="F2609" i="23"/>
  <c r="M2609" i="23"/>
  <c r="F2610" i="23"/>
  <c r="M2610" i="23"/>
  <c r="F2611" i="23"/>
  <c r="M2611" i="23"/>
  <c r="F2612" i="23"/>
  <c r="M2612" i="23"/>
  <c r="F2613" i="23"/>
  <c r="M2613" i="23"/>
  <c r="F2614" i="23"/>
  <c r="M2614" i="23"/>
  <c r="F2615" i="23"/>
  <c r="M2615" i="23"/>
  <c r="F2616" i="23"/>
  <c r="M2616" i="23"/>
  <c r="F2617" i="23"/>
  <c r="M2617" i="23"/>
  <c r="F2618" i="23"/>
  <c r="M2618" i="23"/>
  <c r="F2619" i="23"/>
  <c r="M2619" i="23"/>
  <c r="F2620" i="23"/>
  <c r="M2620" i="23"/>
  <c r="F2621" i="23"/>
  <c r="M2621" i="23"/>
  <c r="F2622" i="23"/>
  <c r="M2622" i="23"/>
  <c r="F2623" i="23"/>
  <c r="M2623" i="23"/>
  <c r="F2624" i="23"/>
  <c r="M2624" i="23"/>
  <c r="F2625" i="23"/>
  <c r="M2625" i="23"/>
  <c r="F2626" i="23"/>
  <c r="M2626" i="23"/>
  <c r="F2627" i="23"/>
  <c r="M2627" i="23"/>
  <c r="F2628" i="23"/>
  <c r="M2628" i="23"/>
  <c r="F2629" i="23"/>
  <c r="M2629" i="23"/>
  <c r="F2630" i="23"/>
  <c r="M2630" i="23"/>
  <c r="F2631" i="23"/>
  <c r="M2631" i="23"/>
  <c r="F2632" i="23"/>
  <c r="M2632" i="23"/>
  <c r="F2633" i="23"/>
  <c r="M2633" i="23"/>
  <c r="F2634" i="23"/>
  <c r="M2634" i="23"/>
  <c r="F2635" i="23"/>
  <c r="M2635" i="23"/>
  <c r="F2636" i="23"/>
  <c r="M2636" i="23"/>
  <c r="F2637" i="23"/>
  <c r="M2637" i="23"/>
  <c r="F2638" i="23"/>
  <c r="M2638" i="23"/>
  <c r="F2639" i="23"/>
  <c r="M2639" i="23"/>
  <c r="F2640" i="23"/>
  <c r="M2640" i="23"/>
  <c r="F2641" i="23"/>
  <c r="M2641" i="23"/>
  <c r="F2642" i="23"/>
  <c r="M2642" i="23"/>
  <c r="F2643" i="23"/>
  <c r="M2643" i="23"/>
  <c r="F2644" i="23"/>
  <c r="M2644" i="23"/>
  <c r="F2645" i="23"/>
  <c r="M2645" i="23"/>
  <c r="F2646" i="23"/>
  <c r="M2646" i="23"/>
  <c r="F2647" i="23"/>
  <c r="M2647" i="23"/>
  <c r="F2648" i="23"/>
  <c r="M2648" i="23"/>
  <c r="F2649" i="23"/>
  <c r="M2649" i="23"/>
  <c r="F2650" i="23"/>
  <c r="M2650" i="23"/>
  <c r="F2651" i="23"/>
  <c r="M2651" i="23"/>
  <c r="F2652" i="23"/>
  <c r="M2652" i="23"/>
  <c r="F2653" i="23"/>
  <c r="M2653" i="23"/>
  <c r="F2654" i="23"/>
  <c r="M2654" i="23"/>
  <c r="F2655" i="23"/>
  <c r="M2655" i="23"/>
  <c r="F2656" i="23"/>
  <c r="M2656" i="23"/>
  <c r="F2657" i="23"/>
  <c r="M2657" i="23"/>
  <c r="F2658" i="23"/>
  <c r="M2658" i="23"/>
  <c r="F2659" i="23"/>
  <c r="M2659" i="23"/>
  <c r="F2660" i="23"/>
  <c r="M2660" i="23"/>
  <c r="F2661" i="23"/>
  <c r="M2661" i="23"/>
  <c r="F2662" i="23"/>
  <c r="M2662" i="23"/>
  <c r="F2663" i="23"/>
  <c r="M2663" i="23"/>
  <c r="F2664" i="23"/>
  <c r="M2664" i="23"/>
  <c r="F2665" i="23"/>
  <c r="M2665" i="23"/>
  <c r="F2666" i="23"/>
  <c r="M2666" i="23"/>
  <c r="F2667" i="23"/>
  <c r="M2667" i="23"/>
  <c r="F2668" i="23"/>
  <c r="M2668" i="23"/>
  <c r="F2669" i="23"/>
  <c r="M2669" i="23"/>
  <c r="F2670" i="23"/>
  <c r="M2670" i="23"/>
  <c r="F2671" i="23"/>
  <c r="M2671" i="23"/>
  <c r="F2672" i="23"/>
  <c r="M2672" i="23"/>
  <c r="F2673" i="23"/>
  <c r="M2673" i="23"/>
  <c r="F2674" i="23"/>
  <c r="M2674" i="23"/>
  <c r="F2675" i="23"/>
  <c r="M2675" i="23"/>
  <c r="F2676" i="23"/>
  <c r="M2676" i="23"/>
  <c r="F2677" i="23"/>
  <c r="M2677" i="23"/>
  <c r="F2678" i="23"/>
  <c r="M2678" i="23"/>
  <c r="F2679" i="23"/>
  <c r="M2679" i="23"/>
  <c r="F2680" i="23"/>
  <c r="M2680" i="23"/>
  <c r="F2681" i="23"/>
  <c r="M2681" i="23"/>
  <c r="F2682" i="23"/>
  <c r="M2682" i="23"/>
  <c r="F2683" i="23"/>
  <c r="M2683" i="23"/>
  <c r="F2684" i="23"/>
  <c r="M2684" i="23"/>
  <c r="F2685" i="23"/>
  <c r="M2685" i="23"/>
  <c r="F2686" i="23"/>
  <c r="M2686" i="23"/>
  <c r="F2687" i="23"/>
  <c r="M2687" i="23"/>
  <c r="F2688" i="23"/>
  <c r="M2688" i="23"/>
  <c r="F2689" i="23"/>
  <c r="M2689" i="23"/>
  <c r="F2690" i="23"/>
  <c r="M2690" i="23"/>
  <c r="F2691" i="23"/>
  <c r="M2691" i="23"/>
  <c r="F2692" i="23"/>
  <c r="M2692" i="23"/>
  <c r="F2693" i="23"/>
  <c r="M2693" i="23"/>
  <c r="F2694" i="23"/>
  <c r="M2694" i="23"/>
  <c r="F2695" i="23"/>
  <c r="M2695" i="23"/>
  <c r="F2696" i="23"/>
  <c r="M2696" i="23"/>
  <c r="F2697" i="23"/>
  <c r="M2697" i="23"/>
  <c r="F2698" i="23"/>
  <c r="M2698" i="23"/>
  <c r="F2699" i="23"/>
  <c r="M2699" i="23"/>
  <c r="F2700" i="23"/>
  <c r="M2700" i="23"/>
  <c r="F2701" i="23"/>
  <c r="M2701" i="23"/>
  <c r="F2702" i="23"/>
  <c r="M2702" i="23"/>
  <c r="F2703" i="23"/>
  <c r="M2703" i="23"/>
  <c r="F2704" i="23"/>
  <c r="M2704" i="23"/>
  <c r="F2705" i="23"/>
  <c r="M2705" i="23"/>
  <c r="F2706" i="23"/>
  <c r="M2706" i="23"/>
  <c r="F2707" i="23"/>
  <c r="M2707" i="23"/>
  <c r="F2708" i="23"/>
  <c r="M2708" i="23"/>
  <c r="F2709" i="23"/>
  <c r="M2709" i="23"/>
  <c r="F2710" i="23"/>
  <c r="M2710" i="23"/>
  <c r="F2711" i="23"/>
  <c r="M2711" i="23"/>
  <c r="F2712" i="23"/>
  <c r="M2712" i="23"/>
  <c r="F2713" i="23"/>
  <c r="M2713" i="23"/>
  <c r="F2714" i="23"/>
  <c r="M2714" i="23"/>
  <c r="F2715" i="23"/>
  <c r="M2715" i="23"/>
  <c r="F2716" i="23"/>
  <c r="M2716" i="23"/>
  <c r="F2717" i="23"/>
  <c r="M2717" i="23"/>
  <c r="F2718" i="23"/>
  <c r="M2718" i="23"/>
  <c r="F2719" i="23"/>
  <c r="M2719" i="23"/>
  <c r="F2720" i="23"/>
  <c r="M2720" i="23"/>
  <c r="F2721" i="23"/>
  <c r="M2721" i="23"/>
  <c r="F2722" i="23"/>
  <c r="M2722" i="23"/>
  <c r="F2723" i="23"/>
  <c r="M2723" i="23"/>
  <c r="F2724" i="23"/>
  <c r="M2724" i="23"/>
  <c r="F2725" i="23"/>
  <c r="M2725" i="23"/>
  <c r="F2726" i="23"/>
  <c r="M2726" i="23"/>
  <c r="F2727" i="23"/>
  <c r="M2727" i="23"/>
  <c r="F2728" i="23"/>
  <c r="M2728" i="23"/>
  <c r="F2729" i="23"/>
  <c r="M2729" i="23"/>
  <c r="F2730" i="23"/>
  <c r="M2730" i="23"/>
  <c r="F2731" i="23"/>
  <c r="M2731" i="23"/>
  <c r="F2732" i="23"/>
  <c r="M2732" i="23"/>
  <c r="F2733" i="23"/>
  <c r="M2733" i="23"/>
  <c r="F2734" i="23"/>
  <c r="M2734" i="23"/>
  <c r="F2735" i="23"/>
  <c r="M2735" i="23"/>
  <c r="F2736" i="23"/>
  <c r="M2736" i="23"/>
  <c r="F2737" i="23"/>
  <c r="M2737" i="23"/>
  <c r="F2738" i="23"/>
  <c r="M2738" i="23"/>
  <c r="F2739" i="23"/>
  <c r="M2739" i="23"/>
  <c r="F2740" i="23"/>
  <c r="M2740" i="23"/>
  <c r="F2741" i="23"/>
  <c r="M2741" i="23"/>
  <c r="F2742" i="23"/>
  <c r="M2742" i="23"/>
  <c r="F2743" i="23"/>
  <c r="M2743" i="23"/>
  <c r="F2744" i="23"/>
  <c r="M2744" i="23"/>
  <c r="F2745" i="23"/>
  <c r="M2745" i="23"/>
  <c r="F2746" i="23"/>
  <c r="M2746" i="23"/>
  <c r="F2747" i="23"/>
  <c r="M2747" i="23"/>
  <c r="F2748" i="23"/>
  <c r="M2748" i="23"/>
  <c r="F2749" i="23"/>
  <c r="M2749" i="23"/>
  <c r="F2750" i="23"/>
  <c r="M2750" i="23"/>
  <c r="F2751" i="23"/>
  <c r="M2751" i="23"/>
  <c r="F2752" i="23"/>
  <c r="M2752" i="23"/>
  <c r="F2753" i="23"/>
  <c r="M2753" i="23"/>
  <c r="F2754" i="23"/>
  <c r="M2754" i="23"/>
  <c r="F2755" i="23"/>
  <c r="M2755" i="23"/>
  <c r="F2756" i="23"/>
  <c r="M2756" i="23"/>
  <c r="F2757" i="23"/>
  <c r="M2757" i="23"/>
  <c r="F2758" i="23"/>
  <c r="M2758" i="23"/>
  <c r="F2759" i="23"/>
  <c r="M2759" i="23"/>
  <c r="F2760" i="23"/>
  <c r="M2760" i="23"/>
  <c r="F2761" i="23"/>
  <c r="M2761" i="23"/>
  <c r="F2762" i="23"/>
  <c r="M2762" i="23"/>
  <c r="F2763" i="23"/>
  <c r="M2763" i="23"/>
  <c r="F2764" i="23"/>
  <c r="M2764" i="23"/>
  <c r="F2765" i="23"/>
  <c r="M2765" i="23"/>
  <c r="F2766" i="23"/>
  <c r="M2766" i="23"/>
  <c r="F2767" i="23"/>
  <c r="M2767" i="23"/>
  <c r="F2768" i="23"/>
  <c r="M2768" i="23"/>
  <c r="F2769" i="23"/>
  <c r="M2769" i="23"/>
  <c r="F2770" i="23"/>
  <c r="M2770" i="23"/>
  <c r="F2771" i="23"/>
  <c r="M2771" i="23"/>
  <c r="F2772" i="23"/>
  <c r="M2772" i="23"/>
  <c r="F2773" i="23"/>
  <c r="M2773" i="23"/>
  <c r="F2774" i="23"/>
  <c r="M2774" i="23"/>
  <c r="F2775" i="23"/>
  <c r="M2775" i="23"/>
  <c r="F2776" i="23"/>
  <c r="M2776" i="23"/>
  <c r="F2777" i="23"/>
  <c r="M2777" i="23"/>
  <c r="F2778" i="23"/>
  <c r="M2778" i="23"/>
  <c r="F2779" i="23"/>
  <c r="M2779" i="23"/>
  <c r="F2780" i="23"/>
  <c r="M2780" i="23"/>
  <c r="F2781" i="23"/>
  <c r="M2781" i="23"/>
  <c r="F2782" i="23"/>
  <c r="M2782" i="23"/>
  <c r="F2783" i="23"/>
  <c r="M2783" i="23"/>
  <c r="F2784" i="23"/>
  <c r="M2784" i="23"/>
  <c r="F2785" i="23"/>
  <c r="M2785" i="23"/>
  <c r="F2786" i="23"/>
  <c r="M2786" i="23"/>
  <c r="F2787" i="23"/>
  <c r="M2787" i="23"/>
  <c r="F2788" i="23"/>
  <c r="M2788" i="23"/>
  <c r="F2789" i="23"/>
  <c r="M2789" i="23"/>
  <c r="F2790" i="23"/>
  <c r="M2790" i="23"/>
  <c r="F2791" i="23"/>
  <c r="M2791" i="23"/>
  <c r="F2792" i="23"/>
  <c r="M2792" i="23"/>
  <c r="F2793" i="23"/>
  <c r="M2793" i="23"/>
  <c r="F2794" i="23"/>
  <c r="M2794" i="23"/>
  <c r="F2795" i="23"/>
  <c r="M2795" i="23"/>
  <c r="F2796" i="23"/>
  <c r="M2796" i="23"/>
  <c r="F2797" i="23"/>
  <c r="M2797" i="23"/>
  <c r="F2798" i="23"/>
  <c r="M2798" i="23"/>
  <c r="F2799" i="23"/>
  <c r="M2799" i="23"/>
  <c r="F2800" i="23"/>
  <c r="M2800" i="23"/>
  <c r="F2801" i="23"/>
  <c r="M2801" i="23"/>
  <c r="F2802" i="23"/>
  <c r="M2802" i="23"/>
  <c r="F2803" i="23"/>
  <c r="M2803" i="23"/>
  <c r="F2804" i="23"/>
  <c r="M2804" i="23"/>
  <c r="F2805" i="23"/>
  <c r="M2805" i="23"/>
  <c r="F2806" i="23"/>
  <c r="M2806" i="23"/>
  <c r="F2807" i="23"/>
  <c r="M2807" i="23"/>
  <c r="F2808" i="23"/>
  <c r="M2808" i="23"/>
  <c r="F2809" i="23"/>
  <c r="M2809" i="23"/>
  <c r="F2810" i="23"/>
  <c r="M2810" i="23"/>
  <c r="F2811" i="23"/>
  <c r="M2811" i="23"/>
  <c r="F2812" i="23"/>
  <c r="M2812" i="23"/>
  <c r="F2813" i="23"/>
  <c r="M2813" i="23"/>
  <c r="F2814" i="23"/>
  <c r="M2814" i="23"/>
  <c r="F2815" i="23"/>
  <c r="M2815" i="23"/>
  <c r="F2816" i="23"/>
  <c r="M2816" i="23"/>
  <c r="F2817" i="23"/>
  <c r="M2817" i="23"/>
  <c r="F2818" i="23"/>
  <c r="M2818" i="23"/>
  <c r="F2819" i="23"/>
  <c r="M2819" i="23"/>
  <c r="F2820" i="23"/>
  <c r="M2820" i="23"/>
  <c r="F2821" i="23"/>
  <c r="M2821" i="23"/>
  <c r="F2822" i="23"/>
  <c r="M2822" i="23"/>
  <c r="F2823" i="23"/>
  <c r="M2823" i="23"/>
  <c r="F2824" i="23"/>
  <c r="M2824" i="23"/>
  <c r="F2825" i="23"/>
  <c r="M2825" i="23"/>
  <c r="F2826" i="23"/>
  <c r="M2826" i="23"/>
  <c r="F2827" i="23"/>
  <c r="M2827" i="23"/>
  <c r="F2828" i="23"/>
  <c r="M2828" i="23"/>
  <c r="F2829" i="23"/>
  <c r="M2829" i="23"/>
  <c r="F2830" i="23"/>
  <c r="M2830" i="23"/>
  <c r="F2831" i="23"/>
  <c r="M2831" i="23"/>
  <c r="F2832" i="23"/>
  <c r="M2832" i="23"/>
  <c r="F2833" i="23"/>
  <c r="M2833" i="23"/>
  <c r="F2834" i="23"/>
  <c r="M2834" i="23"/>
  <c r="F2835" i="23"/>
  <c r="M2835" i="23"/>
  <c r="F2836" i="23"/>
  <c r="M2836" i="23"/>
  <c r="F2837" i="23"/>
  <c r="M2837" i="23"/>
  <c r="F2838" i="23"/>
  <c r="M2838" i="23"/>
  <c r="F2839" i="23"/>
  <c r="M2839" i="23"/>
  <c r="F2840" i="23"/>
  <c r="M2840" i="23"/>
  <c r="F2841" i="23"/>
  <c r="M2841" i="23"/>
  <c r="F2842" i="23"/>
  <c r="M2842" i="23"/>
  <c r="F2843" i="23"/>
  <c r="M2843" i="23"/>
  <c r="F2844" i="23"/>
  <c r="M2844" i="23"/>
  <c r="F2845" i="23"/>
  <c r="M2845" i="23"/>
  <c r="F2846" i="23"/>
  <c r="M2846" i="23"/>
  <c r="F2847" i="23"/>
  <c r="M2847" i="23"/>
  <c r="F2848" i="23"/>
  <c r="M2848" i="23"/>
  <c r="F2849" i="23"/>
  <c r="M2849" i="23"/>
  <c r="F2850" i="23"/>
  <c r="M2850" i="23"/>
  <c r="F2851" i="23"/>
  <c r="M2851" i="23"/>
  <c r="F2852" i="23"/>
  <c r="M2852" i="23"/>
  <c r="F2853" i="23"/>
  <c r="M2853" i="23"/>
  <c r="F2854" i="23"/>
  <c r="M2854" i="23"/>
  <c r="F2855" i="23"/>
  <c r="M2855" i="23"/>
  <c r="F2856" i="23"/>
  <c r="M2856" i="23"/>
  <c r="F2857" i="23"/>
  <c r="M2857" i="23"/>
  <c r="F2858" i="23"/>
  <c r="M2858" i="23"/>
  <c r="F2859" i="23"/>
  <c r="M2859" i="23"/>
  <c r="F2860" i="23"/>
  <c r="M2860" i="23"/>
  <c r="F2861" i="23"/>
  <c r="M2861" i="23"/>
  <c r="F2862" i="23"/>
  <c r="M2862" i="23"/>
  <c r="F2863" i="23"/>
  <c r="M2863" i="23"/>
  <c r="F2864" i="23"/>
  <c r="M2864" i="23"/>
  <c r="F2865" i="23"/>
  <c r="M2865" i="23"/>
  <c r="F2866" i="23"/>
  <c r="M2866" i="23"/>
  <c r="F2867" i="23"/>
  <c r="M2867" i="23"/>
  <c r="F2868" i="23"/>
  <c r="M2868" i="23"/>
  <c r="F2869" i="23"/>
  <c r="M2869" i="23"/>
  <c r="F2870" i="23"/>
  <c r="M2870" i="23"/>
  <c r="F2871" i="23"/>
  <c r="M2871" i="23"/>
  <c r="F2872" i="23"/>
  <c r="M2872" i="23"/>
  <c r="F2873" i="23"/>
  <c r="M2873" i="23"/>
  <c r="F2874" i="23"/>
  <c r="M2874" i="23"/>
  <c r="F2875" i="23"/>
  <c r="M2875" i="23"/>
  <c r="F2876" i="23"/>
  <c r="M2876" i="23"/>
  <c r="F2877" i="23"/>
  <c r="M2877" i="23"/>
  <c r="F2878" i="23"/>
  <c r="M2878" i="23"/>
  <c r="F2879" i="23"/>
  <c r="M2879" i="23"/>
  <c r="F2880" i="23"/>
  <c r="M2880" i="23"/>
  <c r="F2881" i="23"/>
  <c r="M2881" i="23"/>
  <c r="F2882" i="23"/>
  <c r="M2882" i="23"/>
  <c r="F2883" i="23"/>
  <c r="M2883" i="23"/>
  <c r="F2884" i="23"/>
  <c r="M2884" i="23"/>
  <c r="F2885" i="23"/>
  <c r="M2885" i="23"/>
  <c r="F2886" i="23"/>
  <c r="M2886" i="23"/>
  <c r="F2887" i="23"/>
  <c r="M2887" i="23"/>
  <c r="F2888" i="23"/>
  <c r="M2888" i="23"/>
  <c r="F2889" i="23"/>
  <c r="M2889" i="23"/>
  <c r="F2890" i="23"/>
  <c r="M2890" i="23"/>
  <c r="F2891" i="23"/>
  <c r="M2891" i="23"/>
  <c r="F2892" i="23"/>
  <c r="M2892" i="23"/>
  <c r="F2893" i="23"/>
  <c r="M2893" i="23"/>
  <c r="F2894" i="23"/>
  <c r="M2894" i="23"/>
  <c r="F2895" i="23"/>
  <c r="M2895" i="23"/>
  <c r="F2896" i="23"/>
  <c r="M2896" i="23"/>
  <c r="F2897" i="23"/>
  <c r="M2897" i="23"/>
  <c r="F2898" i="23"/>
  <c r="M2898" i="23"/>
  <c r="F2899" i="23"/>
  <c r="M2899" i="23"/>
  <c r="F2900" i="23"/>
  <c r="M2900" i="23"/>
  <c r="F2901" i="23"/>
  <c r="M2901" i="23"/>
  <c r="F2902" i="23"/>
  <c r="M2902" i="23"/>
  <c r="F2903" i="23"/>
  <c r="M2903" i="23"/>
  <c r="F2904" i="23"/>
  <c r="M2904" i="23"/>
  <c r="F2905" i="23"/>
  <c r="M2905" i="23"/>
  <c r="F2906" i="23"/>
  <c r="M2906" i="23"/>
  <c r="F2907" i="23"/>
  <c r="M2907" i="23"/>
  <c r="F2908" i="23"/>
  <c r="M2908" i="23"/>
  <c r="F2909" i="23"/>
  <c r="M2909" i="23"/>
  <c r="F2910" i="23"/>
  <c r="M2910" i="23"/>
  <c r="F2911" i="23"/>
  <c r="M2911" i="23"/>
  <c r="F2912" i="23"/>
  <c r="M2912" i="23"/>
  <c r="F2913" i="23"/>
  <c r="M2913" i="23"/>
  <c r="F2914" i="23"/>
  <c r="M2914" i="23"/>
  <c r="F2915" i="23"/>
  <c r="M2915" i="23"/>
  <c r="F2916" i="23"/>
  <c r="M2916" i="23"/>
  <c r="F2917" i="23"/>
  <c r="M2917" i="23"/>
  <c r="F2918" i="23"/>
  <c r="M2918" i="23"/>
  <c r="F2919" i="23"/>
  <c r="M2919" i="23"/>
  <c r="F2920" i="23"/>
  <c r="M2920" i="23"/>
  <c r="F2921" i="23"/>
  <c r="M2921" i="23"/>
  <c r="F2922" i="23"/>
  <c r="M2922" i="23"/>
  <c r="F2923" i="23"/>
  <c r="M2923" i="23"/>
  <c r="F2924" i="23"/>
  <c r="M2924" i="23"/>
  <c r="F2925" i="23"/>
  <c r="M2925" i="23"/>
  <c r="F2926" i="23"/>
  <c r="M2926" i="23"/>
  <c r="F2927" i="23"/>
  <c r="M2927" i="23"/>
  <c r="F2928" i="23"/>
  <c r="M2928" i="23"/>
  <c r="F2929" i="23"/>
  <c r="M2929" i="23"/>
  <c r="F2930" i="23"/>
  <c r="M2930" i="23"/>
  <c r="F2931" i="23"/>
  <c r="M2931" i="23"/>
  <c r="F2932" i="23"/>
  <c r="M2932" i="23"/>
  <c r="F2933" i="23"/>
  <c r="M2933" i="23"/>
  <c r="F2934" i="23"/>
  <c r="M2934" i="23"/>
  <c r="F2935" i="23"/>
  <c r="M2935" i="23"/>
  <c r="F2936" i="23"/>
  <c r="M2936" i="23"/>
  <c r="F2937" i="23"/>
  <c r="M2937" i="23"/>
  <c r="F2938" i="23"/>
  <c r="M2938" i="23"/>
  <c r="F2939" i="23"/>
  <c r="M2939" i="23"/>
  <c r="F2940" i="23"/>
  <c r="M2940" i="23"/>
  <c r="F2941" i="23"/>
  <c r="M2941" i="23"/>
  <c r="F2942" i="23"/>
  <c r="M2942" i="23"/>
  <c r="F2943" i="23"/>
  <c r="M2943" i="23"/>
  <c r="F2944" i="23"/>
  <c r="M2944" i="23"/>
  <c r="F2945" i="23"/>
  <c r="M2945" i="23"/>
  <c r="F2946" i="23"/>
  <c r="M2946" i="23"/>
  <c r="F2947" i="23"/>
  <c r="M2947" i="23"/>
  <c r="F2948" i="23"/>
  <c r="M2948" i="23"/>
  <c r="F2949" i="23"/>
  <c r="M2949" i="23"/>
  <c r="F2950" i="23"/>
  <c r="M2950" i="23"/>
  <c r="F2951" i="23"/>
  <c r="M2951" i="23"/>
  <c r="F2952" i="23"/>
  <c r="M2952" i="23"/>
  <c r="F2953" i="23"/>
  <c r="M2953" i="23"/>
  <c r="F2954" i="23"/>
  <c r="M2954" i="23"/>
  <c r="F2955" i="23"/>
  <c r="M2955" i="23"/>
  <c r="F2956" i="23"/>
  <c r="M2956" i="23"/>
  <c r="F2957" i="23"/>
  <c r="M2957" i="23"/>
  <c r="F2958" i="23"/>
  <c r="M2958" i="23"/>
  <c r="F2959" i="23"/>
  <c r="M2959" i="23"/>
  <c r="F2960" i="23"/>
  <c r="M2960" i="23"/>
  <c r="F2961" i="23"/>
  <c r="M2961" i="23"/>
  <c r="F2962" i="23"/>
  <c r="M2962" i="23"/>
  <c r="F2963" i="23"/>
  <c r="M2963" i="23"/>
  <c r="F2964" i="23"/>
  <c r="M2964" i="23"/>
  <c r="F2965" i="23"/>
  <c r="M2965" i="23"/>
  <c r="F2966" i="23"/>
  <c r="M2966" i="23"/>
  <c r="F2967" i="23"/>
  <c r="M2967" i="23"/>
  <c r="F2968" i="23"/>
  <c r="M2968" i="23"/>
  <c r="F2969" i="23"/>
  <c r="M2969" i="23"/>
  <c r="F2970" i="23"/>
  <c r="M2970" i="23"/>
  <c r="F2971" i="23"/>
  <c r="M2971" i="23"/>
  <c r="F2972" i="23"/>
  <c r="M2972" i="23"/>
  <c r="F2973" i="23"/>
  <c r="M2973" i="23"/>
  <c r="F2974" i="23"/>
  <c r="M2974" i="23"/>
  <c r="F2975" i="23"/>
  <c r="M2975" i="23"/>
  <c r="F2976" i="23"/>
  <c r="M2976" i="23"/>
  <c r="F2977" i="23"/>
  <c r="M2977" i="23"/>
  <c r="F2978" i="23"/>
  <c r="M2978" i="23"/>
  <c r="F2979" i="23"/>
  <c r="M2979" i="23"/>
  <c r="F2980" i="23"/>
  <c r="M2980" i="23"/>
  <c r="F2981" i="23"/>
  <c r="M2981" i="23"/>
  <c r="F2982" i="23"/>
  <c r="M2982" i="23"/>
  <c r="F2983" i="23"/>
  <c r="M2983" i="23"/>
  <c r="F2984" i="23"/>
  <c r="M2984" i="23"/>
  <c r="F2985" i="23"/>
  <c r="M2985" i="23"/>
  <c r="F2986" i="23"/>
  <c r="M2986" i="23"/>
  <c r="F2987" i="23"/>
  <c r="M2987" i="23"/>
  <c r="F2988" i="23"/>
  <c r="M2988" i="23"/>
  <c r="F2989" i="23"/>
  <c r="M2989" i="23"/>
  <c r="F2990" i="23"/>
  <c r="M2990" i="23"/>
  <c r="F2991" i="23"/>
  <c r="M2991" i="23"/>
  <c r="F2992" i="23"/>
  <c r="M2992" i="23"/>
  <c r="F2993" i="23"/>
  <c r="M2993" i="23"/>
  <c r="F2994" i="23"/>
  <c r="M2994" i="23"/>
  <c r="F2995" i="23"/>
  <c r="M2995" i="23"/>
  <c r="F2996" i="23"/>
  <c r="M2996" i="23"/>
  <c r="F2997" i="23"/>
  <c r="M2997" i="23"/>
  <c r="F2998" i="23"/>
  <c r="M2998" i="23"/>
  <c r="F2999" i="23"/>
  <c r="M2999" i="23"/>
  <c r="F3000" i="23"/>
  <c r="M3000" i="23"/>
  <c r="F3001" i="23"/>
  <c r="M3001" i="23"/>
  <c r="F3002" i="23"/>
  <c r="M3002" i="23"/>
  <c r="F3003" i="23"/>
  <c r="M3003" i="23"/>
  <c r="F3004" i="23"/>
  <c r="M3004" i="23"/>
  <c r="F3005" i="23"/>
  <c r="M3005" i="23"/>
  <c r="F3006" i="23"/>
  <c r="M3006" i="23"/>
  <c r="F3007" i="23"/>
  <c r="M3007" i="23"/>
  <c r="F3008" i="23"/>
  <c r="M3008" i="23"/>
  <c r="F3009" i="23"/>
  <c r="M3009" i="23"/>
  <c r="F3010" i="23"/>
  <c r="M3010" i="23"/>
  <c r="F3011" i="23"/>
  <c r="M3011" i="23"/>
  <c r="F3012" i="23"/>
  <c r="M3012" i="23"/>
  <c r="F3013" i="23"/>
  <c r="M3013" i="23"/>
  <c r="F3014" i="23"/>
  <c r="M3014" i="23"/>
  <c r="F3015" i="23"/>
  <c r="M3015" i="23"/>
  <c r="F3016" i="23"/>
  <c r="M3016" i="23"/>
  <c r="F3017" i="23"/>
  <c r="M3017" i="23"/>
  <c r="F3018" i="23"/>
  <c r="M3018" i="23"/>
  <c r="F3019" i="23"/>
  <c r="M3019" i="23"/>
  <c r="F3020" i="23"/>
  <c r="M3020" i="23"/>
  <c r="F3021" i="23"/>
  <c r="M3021" i="23"/>
  <c r="F3022" i="23"/>
  <c r="M3022" i="23"/>
  <c r="F3023" i="23"/>
  <c r="M3023" i="23"/>
  <c r="F3024" i="23"/>
  <c r="M3024" i="23"/>
  <c r="F3025" i="23"/>
  <c r="M3025" i="23"/>
  <c r="F3026" i="23"/>
  <c r="M3026" i="23"/>
  <c r="F3027" i="23"/>
  <c r="M3027" i="23"/>
  <c r="F3028" i="23"/>
  <c r="M3028" i="23"/>
  <c r="F3029" i="23"/>
  <c r="M3029" i="23"/>
  <c r="F3030" i="23"/>
  <c r="M3030" i="23"/>
  <c r="F3031" i="23"/>
  <c r="M3031" i="23"/>
  <c r="F3032" i="23"/>
  <c r="M3032" i="23"/>
  <c r="F3033" i="23"/>
  <c r="M3033" i="23"/>
  <c r="F3034" i="23"/>
  <c r="M3034" i="23"/>
  <c r="F3035" i="23"/>
  <c r="M3035" i="23"/>
  <c r="F3036" i="23"/>
  <c r="M3036" i="23"/>
  <c r="F3037" i="23"/>
  <c r="M3037" i="23"/>
  <c r="F3038" i="23"/>
  <c r="M3038" i="23"/>
  <c r="F3039" i="23"/>
  <c r="M3039" i="23"/>
  <c r="F3040" i="23"/>
  <c r="M3040" i="23"/>
  <c r="F3041" i="23"/>
  <c r="M3041" i="23"/>
  <c r="F3042" i="23"/>
  <c r="M3042" i="23"/>
  <c r="F3043" i="23"/>
  <c r="M3043" i="23"/>
  <c r="F3044" i="23"/>
  <c r="M3044" i="23"/>
  <c r="F3045" i="23"/>
  <c r="M3045" i="23"/>
  <c r="F3046" i="23"/>
  <c r="M3046" i="23"/>
  <c r="F3047" i="23"/>
  <c r="M3047" i="23"/>
  <c r="F3048" i="23"/>
  <c r="M3048" i="23"/>
  <c r="F3049" i="23"/>
  <c r="M3049" i="23"/>
  <c r="F3050" i="23"/>
  <c r="M3050" i="23"/>
  <c r="F3051" i="23"/>
  <c r="M3051" i="23"/>
  <c r="F3052" i="23"/>
  <c r="M3052" i="23"/>
  <c r="F3053" i="23"/>
  <c r="M3053" i="23"/>
  <c r="F3054" i="23"/>
  <c r="M3054" i="23"/>
  <c r="F3055" i="23"/>
  <c r="M3055" i="23"/>
  <c r="F3056" i="23"/>
  <c r="M3056" i="23"/>
  <c r="F3057" i="23"/>
  <c r="M3057" i="23"/>
  <c r="F3058" i="23"/>
  <c r="M3058" i="23"/>
  <c r="F3059" i="23"/>
  <c r="M3059" i="23"/>
  <c r="F3060" i="23"/>
  <c r="M3060" i="23"/>
  <c r="F3061" i="23"/>
  <c r="M3061" i="23"/>
  <c r="F3062" i="23"/>
  <c r="M3062" i="23"/>
  <c r="F3063" i="23"/>
  <c r="M3063" i="23"/>
  <c r="F3064" i="23"/>
  <c r="M3064" i="23"/>
  <c r="F3065" i="23"/>
  <c r="M3065" i="23"/>
  <c r="F3066" i="23"/>
  <c r="M3066" i="23"/>
  <c r="F3067" i="23"/>
  <c r="M3067" i="23"/>
  <c r="F3068" i="23"/>
  <c r="M3068" i="23"/>
  <c r="F3069" i="23"/>
  <c r="M3069" i="23"/>
  <c r="F3070" i="23"/>
  <c r="M3070" i="23"/>
  <c r="F3071" i="23"/>
  <c r="M3071" i="23"/>
  <c r="F3072" i="23"/>
  <c r="M3072" i="23"/>
  <c r="F3073" i="23"/>
  <c r="M3073" i="23"/>
  <c r="F3074" i="23"/>
  <c r="M3074" i="23"/>
  <c r="F3075" i="23"/>
  <c r="M3075" i="23"/>
  <c r="F3076" i="23"/>
  <c r="M3076" i="23"/>
  <c r="F3077" i="23"/>
  <c r="M3077" i="23"/>
  <c r="F3078" i="23"/>
  <c r="M3078" i="23"/>
  <c r="F3079" i="23"/>
  <c r="M3079" i="23"/>
  <c r="F3080" i="23"/>
  <c r="M3080" i="23"/>
  <c r="F3081" i="23"/>
  <c r="M3081" i="23"/>
  <c r="F3082" i="23"/>
  <c r="M3082" i="23"/>
  <c r="F3083" i="23"/>
  <c r="M3083" i="23"/>
  <c r="F3084" i="23"/>
  <c r="M3084" i="23"/>
  <c r="F3085" i="23"/>
  <c r="M3085" i="23"/>
  <c r="F3086" i="23"/>
  <c r="M3086" i="23"/>
  <c r="F3087" i="23"/>
  <c r="M3087" i="23"/>
  <c r="F3088" i="23"/>
  <c r="M3088" i="23"/>
  <c r="F3089" i="23"/>
  <c r="M3089" i="23"/>
  <c r="F3090" i="23"/>
  <c r="M3090" i="23"/>
  <c r="F3091" i="23"/>
  <c r="M3091" i="23"/>
  <c r="F3092" i="23"/>
  <c r="M3092" i="23"/>
  <c r="F3093" i="23"/>
  <c r="M3093" i="23"/>
  <c r="F3094" i="23"/>
  <c r="M3094" i="23"/>
  <c r="F3095" i="23"/>
  <c r="M3095" i="23"/>
  <c r="F3096" i="23"/>
  <c r="M3096" i="23"/>
  <c r="F3097" i="23"/>
  <c r="M3097" i="23"/>
  <c r="F3098" i="23"/>
  <c r="M3098" i="23"/>
  <c r="F3099" i="23"/>
  <c r="M3099" i="23"/>
  <c r="F3100" i="23"/>
  <c r="M3100" i="23"/>
  <c r="F3101" i="23"/>
  <c r="M3101" i="23"/>
  <c r="F3102" i="23"/>
  <c r="M3102" i="23"/>
  <c r="F3103" i="23"/>
  <c r="M3103" i="23"/>
  <c r="F3104" i="23"/>
  <c r="M3104" i="23"/>
  <c r="F3105" i="23"/>
  <c r="M3105" i="23"/>
  <c r="F3106" i="23"/>
  <c r="M3106" i="23"/>
  <c r="F3107" i="23"/>
  <c r="M3107" i="23"/>
  <c r="F3108" i="23"/>
  <c r="M3108" i="23"/>
  <c r="F3109" i="23"/>
  <c r="M3109" i="23"/>
  <c r="F3110" i="23"/>
  <c r="M3110" i="23"/>
  <c r="F3111" i="23"/>
  <c r="M3111" i="23"/>
  <c r="F3112" i="23"/>
  <c r="M3112" i="23"/>
  <c r="F3113" i="23"/>
  <c r="M3113" i="23"/>
  <c r="F3114" i="23"/>
  <c r="M3114" i="23"/>
  <c r="F3115" i="23"/>
  <c r="M3115" i="23"/>
  <c r="F3116" i="23"/>
  <c r="M3116" i="23"/>
  <c r="F3117" i="23"/>
  <c r="M3117" i="23"/>
  <c r="F3118" i="23"/>
  <c r="M3118" i="23"/>
  <c r="F3119" i="23"/>
  <c r="M3119" i="23"/>
  <c r="F3120" i="23"/>
  <c r="M3120" i="23"/>
  <c r="F3121" i="23"/>
  <c r="M3121" i="23"/>
  <c r="F3122" i="23"/>
  <c r="M3122" i="23"/>
  <c r="F3123" i="23"/>
  <c r="M3123" i="23"/>
  <c r="F3124" i="23"/>
  <c r="M3124" i="23"/>
  <c r="F3125" i="23"/>
  <c r="M3125" i="23"/>
  <c r="F3126" i="23"/>
  <c r="M3126" i="23"/>
  <c r="F3127" i="23"/>
  <c r="M3127" i="23"/>
  <c r="F3128" i="23"/>
  <c r="M3128" i="23"/>
  <c r="F3129" i="23"/>
  <c r="M3129" i="23"/>
  <c r="F3130" i="23"/>
  <c r="M3130" i="23"/>
  <c r="F3131" i="23"/>
  <c r="M3131" i="23"/>
  <c r="F3132" i="23"/>
  <c r="M3132" i="23"/>
  <c r="F3133" i="23"/>
  <c r="M3133" i="23"/>
  <c r="F3134" i="23"/>
  <c r="M3134" i="23"/>
  <c r="F3135" i="23"/>
  <c r="M3135" i="23"/>
  <c r="F3136" i="23"/>
  <c r="M3136" i="23"/>
  <c r="F3137" i="23"/>
  <c r="M3137" i="23"/>
  <c r="F3138" i="23"/>
  <c r="M3138" i="23"/>
  <c r="F3139" i="23"/>
  <c r="M3139" i="23"/>
  <c r="F3140" i="23"/>
  <c r="M3140" i="23"/>
  <c r="F3141" i="23"/>
  <c r="M3141" i="23"/>
  <c r="F3142" i="23"/>
  <c r="M3142" i="23"/>
  <c r="F3143" i="23"/>
  <c r="M3143" i="23"/>
  <c r="F3144" i="23"/>
  <c r="M3144" i="23"/>
  <c r="F3145" i="23"/>
  <c r="M3145" i="23"/>
  <c r="F3146" i="23"/>
  <c r="M3146" i="23"/>
  <c r="F3147" i="23"/>
  <c r="M3147" i="23"/>
  <c r="F3148" i="23"/>
  <c r="M3148" i="23"/>
  <c r="F3149" i="23"/>
  <c r="M3149" i="23"/>
  <c r="F3150" i="23"/>
  <c r="M3150" i="23"/>
  <c r="F3151" i="23"/>
  <c r="M3151" i="23"/>
  <c r="F3152" i="23"/>
  <c r="M3152" i="23"/>
  <c r="F3153" i="23"/>
  <c r="M3153" i="23"/>
  <c r="F3154" i="23"/>
  <c r="M3154" i="23"/>
  <c r="F3155" i="23"/>
  <c r="M3155" i="23"/>
  <c r="F3156" i="23"/>
  <c r="M3156" i="23"/>
  <c r="F3157" i="23"/>
  <c r="M3157" i="23"/>
  <c r="F3158" i="23"/>
  <c r="M3158" i="23"/>
  <c r="F3159" i="23"/>
  <c r="M3159" i="23"/>
  <c r="F3160" i="23"/>
  <c r="M3160" i="23"/>
  <c r="F3161" i="23"/>
  <c r="M3161" i="23"/>
  <c r="F3162" i="23"/>
  <c r="M3162" i="23"/>
  <c r="F3163" i="23"/>
  <c r="M3163" i="23"/>
  <c r="F3164" i="23"/>
  <c r="M3164" i="23"/>
  <c r="F3165" i="23"/>
  <c r="M3165" i="23"/>
  <c r="F3166" i="23"/>
  <c r="M3166" i="23"/>
  <c r="F3167" i="23"/>
  <c r="M3167" i="23"/>
  <c r="F3168" i="23"/>
  <c r="M3168" i="23"/>
  <c r="F3169" i="23"/>
  <c r="M3169" i="23"/>
  <c r="F3170" i="23"/>
  <c r="M3170" i="23"/>
  <c r="F3171" i="23"/>
  <c r="M3171" i="23"/>
  <c r="F3172" i="23"/>
  <c r="M3172" i="23"/>
  <c r="F3173" i="23"/>
  <c r="M3173" i="23"/>
  <c r="F3174" i="23"/>
  <c r="M3174" i="23"/>
  <c r="F3175" i="23"/>
  <c r="M3175" i="23"/>
  <c r="F3176" i="23"/>
  <c r="M3176" i="23"/>
  <c r="F3177" i="23"/>
  <c r="M3177" i="23"/>
  <c r="F3178" i="23"/>
  <c r="M3178" i="23"/>
  <c r="F3179" i="23"/>
  <c r="M3179" i="23"/>
  <c r="F3180" i="23"/>
  <c r="M3180" i="23"/>
  <c r="F3181" i="23"/>
  <c r="M3181" i="23"/>
  <c r="F3182" i="23"/>
  <c r="M3182" i="23"/>
  <c r="F3183" i="23"/>
  <c r="M3183" i="23"/>
  <c r="F3184" i="23"/>
  <c r="M3184" i="23"/>
  <c r="F3185" i="23"/>
  <c r="M3185" i="23"/>
  <c r="F3186" i="23"/>
  <c r="M3186" i="23"/>
  <c r="F3187" i="23"/>
  <c r="M3187" i="23"/>
  <c r="F3188" i="23"/>
  <c r="M3188" i="23"/>
  <c r="F3189" i="23"/>
  <c r="M3189" i="23"/>
  <c r="F3190" i="23"/>
  <c r="M3190" i="23"/>
  <c r="F3191" i="23"/>
  <c r="M3191" i="23"/>
  <c r="F3192" i="23"/>
  <c r="M3192" i="23"/>
  <c r="F3193" i="23"/>
  <c r="M3193" i="23"/>
  <c r="F3194" i="23"/>
  <c r="M3194" i="23"/>
  <c r="F3195" i="23"/>
  <c r="M3195" i="23"/>
  <c r="F3196" i="23"/>
  <c r="M3196" i="23"/>
  <c r="F3197" i="23"/>
  <c r="M3197" i="23"/>
  <c r="F3198" i="23"/>
  <c r="M3198" i="23"/>
  <c r="F3199" i="23"/>
  <c r="M3199" i="23"/>
  <c r="F3200" i="23"/>
  <c r="M3200" i="23"/>
  <c r="F3201" i="23"/>
  <c r="M3201" i="23"/>
  <c r="F3202" i="23"/>
  <c r="M3202" i="23"/>
  <c r="F3203" i="23"/>
  <c r="M3203" i="23"/>
  <c r="F3204" i="23"/>
  <c r="M3204" i="23"/>
  <c r="F3205" i="23"/>
  <c r="M3205" i="23"/>
  <c r="F3206" i="23"/>
  <c r="M3206" i="23"/>
  <c r="F3207" i="23"/>
  <c r="M3207" i="23"/>
  <c r="F3208" i="23"/>
  <c r="M3208" i="23"/>
  <c r="F3209" i="23"/>
  <c r="M3209" i="23"/>
  <c r="F3210" i="23"/>
  <c r="M3210" i="23"/>
  <c r="F3211" i="23"/>
  <c r="M3211" i="23"/>
  <c r="F3212" i="23"/>
  <c r="M3212" i="23"/>
  <c r="F3213" i="23"/>
  <c r="M3213" i="23"/>
  <c r="F3214" i="23"/>
  <c r="M3214" i="23"/>
  <c r="F3215" i="23"/>
  <c r="M3215" i="23"/>
  <c r="F3216" i="23"/>
  <c r="M3216" i="23"/>
  <c r="F3217" i="23"/>
  <c r="M3217" i="23"/>
  <c r="F3218" i="23"/>
  <c r="M3218" i="23"/>
  <c r="F3219" i="23"/>
  <c r="M3219" i="23"/>
  <c r="F3220" i="23"/>
  <c r="M3220" i="23"/>
  <c r="F3221" i="23"/>
  <c r="M3221" i="23"/>
  <c r="F3222" i="23"/>
  <c r="M3222" i="23"/>
  <c r="F3223" i="23"/>
  <c r="M3223" i="23"/>
  <c r="F3224" i="23"/>
  <c r="M3224" i="23"/>
  <c r="F3225" i="23"/>
  <c r="M3225" i="23"/>
  <c r="F3226" i="23"/>
  <c r="M3226" i="23"/>
  <c r="F3227" i="23"/>
  <c r="M3227" i="23"/>
  <c r="F3228" i="23"/>
  <c r="M3228" i="23"/>
  <c r="F3229" i="23"/>
  <c r="M3229" i="23"/>
  <c r="F3230" i="23"/>
  <c r="M3230" i="23"/>
  <c r="F3231" i="23"/>
  <c r="M3231" i="23"/>
  <c r="F3232" i="23"/>
  <c r="M3232" i="23"/>
  <c r="F3233" i="23"/>
  <c r="M3233" i="23"/>
  <c r="F3234" i="23"/>
  <c r="M3234" i="23"/>
  <c r="F3235" i="23"/>
  <c r="M3235" i="23"/>
  <c r="F3236" i="23"/>
  <c r="M3236" i="23"/>
  <c r="F3237" i="23"/>
  <c r="M3237" i="23"/>
  <c r="F3238" i="23"/>
  <c r="M3238" i="23"/>
  <c r="F3239" i="23"/>
  <c r="M3239" i="23"/>
  <c r="F3240" i="23"/>
  <c r="M3240" i="23"/>
  <c r="F3241" i="23"/>
  <c r="M3241" i="23"/>
  <c r="F3242" i="23"/>
  <c r="M3242" i="23"/>
  <c r="F3243" i="23"/>
  <c r="M3243" i="23"/>
  <c r="F3244" i="23"/>
  <c r="M3244" i="23"/>
  <c r="F3245" i="23"/>
  <c r="M3245" i="23"/>
  <c r="F3246" i="23"/>
  <c r="M3246" i="23"/>
  <c r="F3247" i="23"/>
  <c r="M3247" i="23"/>
  <c r="F3248" i="23"/>
  <c r="M3248" i="23"/>
  <c r="F3249" i="23"/>
  <c r="M3249" i="23"/>
  <c r="F3250" i="23"/>
  <c r="M3250" i="23"/>
  <c r="F3251" i="23"/>
  <c r="M3251" i="23"/>
  <c r="F3252" i="23"/>
  <c r="M3252" i="23"/>
  <c r="F3253" i="23"/>
  <c r="M3253" i="23"/>
  <c r="F3254" i="23"/>
  <c r="M3254" i="23"/>
  <c r="F3255" i="23"/>
  <c r="M3255" i="23"/>
  <c r="F3256" i="23"/>
  <c r="M3256" i="23"/>
  <c r="F3257" i="23"/>
  <c r="M3257" i="23"/>
  <c r="F3258" i="23"/>
  <c r="M3258" i="23"/>
  <c r="F3259" i="23"/>
  <c r="M3259" i="23"/>
  <c r="F3260" i="23"/>
  <c r="M3260" i="23"/>
  <c r="F3261" i="23"/>
  <c r="M3261" i="23"/>
  <c r="F3262" i="23"/>
  <c r="M3262" i="23"/>
  <c r="F3263" i="23"/>
  <c r="M3263" i="23"/>
  <c r="F3264" i="23"/>
  <c r="M3264" i="23"/>
  <c r="F3265" i="23"/>
  <c r="M3265" i="23"/>
  <c r="F3266" i="23"/>
  <c r="M3266" i="23"/>
  <c r="F3267" i="23"/>
  <c r="M3267" i="23"/>
  <c r="F3268" i="23"/>
  <c r="M3268" i="23"/>
  <c r="F3269" i="23"/>
  <c r="M3269" i="23"/>
  <c r="F3270" i="23"/>
  <c r="M3270" i="23"/>
  <c r="F3271" i="23"/>
  <c r="M3271" i="23"/>
  <c r="F3272" i="23"/>
  <c r="M3272" i="23"/>
  <c r="F3273" i="23"/>
  <c r="M3273" i="23"/>
  <c r="F3274" i="23"/>
  <c r="M3274" i="23"/>
  <c r="F3275" i="23"/>
  <c r="M3275" i="23"/>
  <c r="F3276" i="23"/>
  <c r="M3276" i="23"/>
  <c r="F3277" i="23"/>
  <c r="M3277" i="23"/>
  <c r="F3278" i="23"/>
  <c r="M3278" i="23"/>
  <c r="F3279" i="23"/>
  <c r="M3279" i="23"/>
  <c r="F3280" i="23"/>
  <c r="M3280" i="23"/>
  <c r="F3281" i="23"/>
  <c r="M3281" i="23"/>
  <c r="F3282" i="23"/>
  <c r="M3282" i="23"/>
  <c r="F3283" i="23"/>
  <c r="M3283" i="23"/>
  <c r="F3284" i="23"/>
  <c r="M3284" i="23"/>
  <c r="F3285" i="23"/>
  <c r="M3285" i="23"/>
  <c r="F3286" i="23"/>
  <c r="M3286" i="23"/>
  <c r="F3287" i="23"/>
  <c r="M3287" i="23"/>
  <c r="F3288" i="23"/>
  <c r="M3288" i="23"/>
  <c r="F3289" i="23"/>
  <c r="M3289" i="23"/>
  <c r="F3290" i="23"/>
  <c r="M3290" i="23"/>
  <c r="F3291" i="23"/>
  <c r="M3291" i="23"/>
  <c r="F3292" i="23"/>
  <c r="M3292" i="23"/>
  <c r="F3293" i="23"/>
  <c r="M3293" i="23"/>
  <c r="F3294" i="23"/>
  <c r="M3294" i="23"/>
  <c r="F3295" i="23"/>
  <c r="M3295" i="23"/>
  <c r="F3296" i="23"/>
  <c r="M3296" i="23"/>
  <c r="F3297" i="23"/>
  <c r="M3297" i="23"/>
  <c r="F3298" i="23"/>
  <c r="M3298" i="23"/>
  <c r="F3299" i="23"/>
  <c r="M3299" i="23"/>
  <c r="F3300" i="23"/>
  <c r="M3300" i="23"/>
  <c r="F3301" i="23"/>
  <c r="M3301" i="23"/>
  <c r="F3302" i="23"/>
  <c r="M3302" i="23"/>
  <c r="F3303" i="23"/>
  <c r="M3303" i="23"/>
  <c r="F3304" i="23"/>
  <c r="M3304" i="23"/>
  <c r="F3305" i="23"/>
  <c r="M3305" i="23"/>
  <c r="F3306" i="23"/>
  <c r="M3306" i="23"/>
  <c r="F3307" i="23"/>
  <c r="M3307" i="23"/>
  <c r="F3308" i="23"/>
  <c r="M3308" i="23"/>
  <c r="F3309" i="23"/>
  <c r="M3309" i="23"/>
  <c r="F3310" i="23"/>
  <c r="M3310" i="23"/>
  <c r="F3311" i="23"/>
  <c r="M3311" i="23"/>
  <c r="F3312" i="23"/>
  <c r="M3312" i="23"/>
  <c r="F3313" i="23"/>
  <c r="M3313" i="23"/>
  <c r="F3314" i="23"/>
  <c r="M3314" i="23"/>
  <c r="F3315" i="23"/>
  <c r="M3315" i="23"/>
  <c r="F3316" i="23"/>
  <c r="M3316" i="23"/>
  <c r="F3317" i="23"/>
  <c r="M3317" i="23"/>
  <c r="F3318" i="23"/>
  <c r="M3318" i="23"/>
  <c r="F3319" i="23"/>
  <c r="M3319" i="23"/>
  <c r="F3320" i="23"/>
  <c r="M3320" i="23"/>
  <c r="F3321" i="23"/>
  <c r="M3321" i="23"/>
  <c r="F3322" i="23"/>
  <c r="M3322" i="23"/>
  <c r="F3323" i="23"/>
  <c r="M3323" i="23"/>
  <c r="F3324" i="23"/>
  <c r="M3324" i="23"/>
  <c r="F3325" i="23"/>
  <c r="M3325" i="23"/>
  <c r="F3326" i="23"/>
  <c r="M3326" i="23"/>
  <c r="F3327" i="23"/>
  <c r="M3327" i="23"/>
  <c r="F3328" i="23"/>
  <c r="M3328" i="23"/>
  <c r="F3329" i="23"/>
  <c r="M3329" i="23"/>
  <c r="F3330" i="23"/>
  <c r="M3330" i="23"/>
  <c r="F3331" i="23"/>
  <c r="M3331" i="23"/>
  <c r="F3332" i="23"/>
  <c r="M3332" i="23"/>
  <c r="F3333" i="23"/>
  <c r="M3333" i="23"/>
  <c r="F3334" i="23"/>
  <c r="M3334" i="23"/>
  <c r="F3335" i="23"/>
  <c r="M3335" i="23"/>
  <c r="F3336" i="23"/>
  <c r="M3336" i="23"/>
  <c r="F3337" i="23"/>
  <c r="M3337" i="23"/>
  <c r="F3338" i="23"/>
  <c r="M3338" i="23"/>
  <c r="F3339" i="23"/>
  <c r="M3339" i="23"/>
  <c r="F3340" i="23"/>
  <c r="M3340" i="23"/>
  <c r="F3341" i="23"/>
  <c r="M3341" i="23"/>
  <c r="F3342" i="23"/>
  <c r="M3342" i="23"/>
  <c r="F3343" i="23"/>
  <c r="M3343" i="23"/>
  <c r="F3344" i="23"/>
  <c r="M3344" i="23"/>
  <c r="F3345" i="23"/>
  <c r="M3345" i="23"/>
  <c r="F3346" i="23"/>
  <c r="M3346" i="23"/>
  <c r="F3347" i="23"/>
  <c r="M3347" i="23"/>
  <c r="F3348" i="23"/>
  <c r="M3348" i="23"/>
  <c r="F3349" i="23"/>
  <c r="M3349" i="23"/>
  <c r="F3350" i="23"/>
  <c r="M3350" i="23"/>
  <c r="F3351" i="23"/>
  <c r="M3351" i="23"/>
  <c r="F3352" i="23"/>
  <c r="M3352" i="23"/>
  <c r="F3353" i="23"/>
  <c r="M3353" i="23"/>
  <c r="F3354" i="23"/>
  <c r="M3354" i="23"/>
  <c r="F3355" i="23"/>
  <c r="M3355" i="23"/>
  <c r="F3356" i="23"/>
  <c r="M3356" i="23"/>
  <c r="F3357" i="23"/>
  <c r="M3357" i="23"/>
  <c r="F3358" i="23"/>
  <c r="M3358" i="23"/>
  <c r="F3359" i="23"/>
  <c r="M3359" i="23"/>
  <c r="F3360" i="23"/>
  <c r="M3360" i="23"/>
  <c r="F3361" i="23"/>
  <c r="M3361" i="23"/>
  <c r="F3362" i="23"/>
  <c r="M3362" i="23"/>
  <c r="F3363" i="23"/>
  <c r="M3363" i="23"/>
  <c r="F3364" i="23"/>
  <c r="M3364" i="23"/>
  <c r="F3365" i="23"/>
  <c r="M3365" i="23"/>
  <c r="F3366" i="23"/>
  <c r="M3366" i="23"/>
  <c r="F3367" i="23"/>
  <c r="M3367" i="23"/>
  <c r="F3368" i="23"/>
  <c r="M3368" i="23"/>
  <c r="F3369" i="23"/>
  <c r="M3369" i="23"/>
  <c r="F3370" i="23"/>
  <c r="M3370" i="23"/>
  <c r="F3371" i="23"/>
  <c r="M3371" i="23"/>
  <c r="F3372" i="23"/>
  <c r="M3372" i="23"/>
  <c r="F3373" i="23"/>
  <c r="M3373" i="23"/>
  <c r="F3374" i="23"/>
  <c r="M3374" i="23"/>
  <c r="F3375" i="23"/>
  <c r="M3375" i="23"/>
  <c r="F3376" i="23"/>
  <c r="M3376" i="23"/>
  <c r="F3377" i="23"/>
  <c r="M3377" i="23"/>
  <c r="F3378" i="23"/>
  <c r="M3378" i="23"/>
  <c r="F3379" i="23"/>
  <c r="M3379" i="23"/>
  <c r="F3380" i="23"/>
  <c r="M3380" i="23"/>
  <c r="F3381" i="23"/>
  <c r="M3381" i="23"/>
  <c r="F3382" i="23"/>
  <c r="M3382" i="23"/>
  <c r="F3383" i="23"/>
  <c r="M3383" i="23"/>
  <c r="F3384" i="23"/>
  <c r="M3384" i="23"/>
  <c r="F3385" i="23"/>
  <c r="M3385" i="23"/>
  <c r="F3386" i="23"/>
  <c r="M3386" i="23"/>
  <c r="F3387" i="23"/>
  <c r="M3387" i="23"/>
  <c r="F3388" i="23"/>
  <c r="M3388" i="23"/>
  <c r="F3389" i="23"/>
  <c r="M3389" i="23"/>
  <c r="F3390" i="23"/>
  <c r="M3390" i="23"/>
  <c r="F3391" i="23"/>
  <c r="M3391" i="23"/>
  <c r="F3392" i="23"/>
  <c r="M3392" i="23"/>
  <c r="F3393" i="23"/>
  <c r="M3393" i="23"/>
  <c r="F3394" i="23"/>
  <c r="M3394" i="23"/>
  <c r="F3395" i="23"/>
  <c r="M3395" i="23"/>
  <c r="F3396" i="23"/>
  <c r="M3396" i="23"/>
  <c r="F3397" i="23"/>
  <c r="M3397" i="23"/>
  <c r="F3398" i="23"/>
  <c r="M3398" i="23"/>
  <c r="F3399" i="23"/>
  <c r="M3399" i="23"/>
  <c r="F3400" i="23"/>
  <c r="M3400" i="23"/>
  <c r="F3401" i="23"/>
  <c r="M3401" i="23"/>
  <c r="F3402" i="23"/>
  <c r="M3402" i="23"/>
  <c r="F3403" i="23"/>
  <c r="M3403" i="23"/>
  <c r="F3404" i="23"/>
  <c r="M3404" i="23"/>
  <c r="F3405" i="23"/>
  <c r="M3405" i="23"/>
  <c r="F3406" i="23"/>
  <c r="M3406" i="23"/>
  <c r="F3407" i="23"/>
  <c r="M3407" i="23"/>
  <c r="F3408" i="23"/>
  <c r="M3408" i="23"/>
  <c r="F3409" i="23"/>
  <c r="M3409" i="23"/>
  <c r="F3410" i="23"/>
  <c r="M3410" i="23"/>
  <c r="F3411" i="23"/>
  <c r="M3411" i="23"/>
  <c r="F3412" i="23"/>
  <c r="M3412" i="23"/>
  <c r="F3413" i="23"/>
  <c r="M3413" i="23"/>
  <c r="F3414" i="23"/>
  <c r="M3414" i="23"/>
  <c r="F3415" i="23"/>
  <c r="M3415" i="23"/>
  <c r="F3416" i="23"/>
  <c r="M3416" i="23"/>
  <c r="F3417" i="23"/>
  <c r="M3417" i="23"/>
  <c r="F3418" i="23"/>
  <c r="M3418" i="23"/>
  <c r="F3419" i="23"/>
  <c r="M3419" i="23"/>
  <c r="F3420" i="23"/>
  <c r="M3420" i="23"/>
  <c r="F3421" i="23"/>
  <c r="M3421" i="23"/>
  <c r="F3422" i="23"/>
  <c r="M3422" i="23"/>
  <c r="F3423" i="23"/>
  <c r="M3423" i="23"/>
  <c r="F3424" i="23"/>
  <c r="M3424" i="23"/>
  <c r="F3425" i="23"/>
  <c r="M3425" i="23"/>
  <c r="F3426" i="23"/>
  <c r="M3426" i="23"/>
  <c r="F3427" i="23"/>
  <c r="M3427" i="23"/>
  <c r="F3428" i="23"/>
  <c r="M3428" i="23"/>
  <c r="F3429" i="23"/>
  <c r="M3429" i="23"/>
  <c r="F3430" i="23"/>
  <c r="M3430" i="23"/>
  <c r="F3431" i="23"/>
  <c r="M3431" i="23"/>
  <c r="F3432" i="23"/>
  <c r="M3432" i="23"/>
  <c r="F3433" i="23"/>
  <c r="M3433" i="23"/>
  <c r="F3434" i="23"/>
  <c r="M3434" i="23"/>
  <c r="F3435" i="23"/>
  <c r="M3435" i="23"/>
  <c r="F3436" i="23"/>
  <c r="M3436" i="23"/>
  <c r="F3437" i="23"/>
  <c r="M3437" i="23"/>
  <c r="F3438" i="23"/>
  <c r="M3438" i="23"/>
  <c r="F3439" i="23"/>
  <c r="M3439" i="23"/>
  <c r="F3440" i="23"/>
  <c r="M3440" i="23"/>
  <c r="F3441" i="23"/>
  <c r="M3441" i="23"/>
  <c r="F3442" i="23"/>
  <c r="M3442" i="23"/>
  <c r="F3443" i="23"/>
  <c r="M3443" i="23"/>
  <c r="F3444" i="23"/>
  <c r="M3444" i="23"/>
  <c r="F3445" i="23"/>
  <c r="M3445" i="23"/>
  <c r="F3446" i="23"/>
  <c r="M3446" i="23"/>
  <c r="F3447" i="23"/>
  <c r="M3447" i="23"/>
  <c r="F3448" i="23"/>
  <c r="M3448" i="23"/>
  <c r="F3449" i="23"/>
  <c r="M3449" i="23"/>
  <c r="F3450" i="23"/>
  <c r="M3450" i="23"/>
  <c r="F3451" i="23"/>
  <c r="M3451" i="23"/>
  <c r="F3452" i="23"/>
  <c r="M3452" i="23"/>
  <c r="F3453" i="23"/>
  <c r="M3453" i="23"/>
  <c r="F3454" i="23"/>
  <c r="M3454" i="23"/>
  <c r="F3455" i="23"/>
  <c r="M3455" i="23"/>
  <c r="F3456" i="23"/>
  <c r="M3456" i="23"/>
  <c r="F3457" i="23"/>
  <c r="M3457" i="23"/>
  <c r="F3458" i="23"/>
  <c r="M3458" i="23"/>
  <c r="F3459" i="23"/>
  <c r="M3459" i="23"/>
  <c r="F3460" i="23"/>
  <c r="M3460" i="23"/>
  <c r="F3461" i="23"/>
  <c r="M3461" i="23"/>
  <c r="F3462" i="23"/>
  <c r="M3462" i="23"/>
  <c r="F3463" i="23"/>
  <c r="M3463" i="23"/>
  <c r="F3464" i="23"/>
  <c r="M3464" i="23"/>
  <c r="F3465" i="23"/>
  <c r="M3465" i="23"/>
  <c r="F3466" i="23"/>
  <c r="M3466" i="23"/>
  <c r="F3467" i="23"/>
  <c r="M3467" i="23"/>
  <c r="F3468" i="23"/>
  <c r="M3468" i="23"/>
  <c r="F3469" i="23"/>
  <c r="M3469" i="23"/>
  <c r="F3470" i="23"/>
  <c r="M3470" i="23"/>
  <c r="F3471" i="23"/>
  <c r="M3471" i="23"/>
  <c r="F3472" i="23"/>
  <c r="M3472" i="23"/>
  <c r="F3473" i="23"/>
  <c r="M3473" i="23"/>
  <c r="F3474" i="23"/>
  <c r="M3474" i="23"/>
  <c r="F3475" i="23"/>
  <c r="M3475" i="23"/>
  <c r="F3476" i="23"/>
  <c r="M3476" i="23"/>
  <c r="F3477" i="23"/>
  <c r="M3477" i="23"/>
  <c r="F3478" i="23"/>
  <c r="M3478" i="23"/>
  <c r="F3479" i="23"/>
  <c r="M3479" i="23"/>
  <c r="F3480" i="23"/>
  <c r="M3480" i="23"/>
  <c r="F3481" i="23"/>
  <c r="M3481" i="23"/>
  <c r="F3482" i="23"/>
  <c r="M3482" i="23"/>
  <c r="F3483" i="23"/>
  <c r="M3483" i="23"/>
  <c r="F3484" i="23"/>
  <c r="M3484" i="23"/>
  <c r="F3485" i="23"/>
  <c r="M3485" i="23"/>
  <c r="F3486" i="23"/>
  <c r="M3486" i="23"/>
  <c r="F3487" i="23"/>
  <c r="M3487" i="23"/>
  <c r="F3488" i="23"/>
  <c r="M3488" i="23"/>
  <c r="F3489" i="23"/>
  <c r="M3489" i="23"/>
  <c r="F3490" i="23"/>
  <c r="M3490" i="23"/>
  <c r="F3491" i="23"/>
  <c r="M3491" i="23"/>
  <c r="F3492" i="23"/>
  <c r="M3492" i="23"/>
  <c r="F3493" i="23"/>
  <c r="M3493" i="23"/>
  <c r="F3494" i="23"/>
  <c r="M3494" i="23"/>
  <c r="F3495" i="23"/>
  <c r="M3495" i="23"/>
  <c r="F3496" i="23"/>
  <c r="M3496" i="23"/>
  <c r="F3497" i="23"/>
  <c r="M3497" i="23"/>
  <c r="F3498" i="23"/>
  <c r="M3498" i="23"/>
  <c r="F3499" i="23"/>
  <c r="M3499" i="23"/>
  <c r="F3500" i="23"/>
  <c r="M3500" i="23"/>
  <c r="F3501" i="23"/>
  <c r="M3501" i="23"/>
  <c r="F3502" i="23"/>
  <c r="M3502" i="23"/>
  <c r="F3503" i="23"/>
  <c r="M3503" i="23"/>
  <c r="F3504" i="23"/>
  <c r="M3504" i="23"/>
  <c r="F3505" i="23"/>
  <c r="M3505" i="23"/>
  <c r="F3506" i="23"/>
  <c r="M3506" i="23"/>
  <c r="F3507" i="23"/>
  <c r="M3507" i="23"/>
  <c r="F3508" i="23"/>
  <c r="M3508" i="23"/>
  <c r="F3509" i="23"/>
  <c r="M3509" i="23"/>
  <c r="F3510" i="23"/>
  <c r="M3510" i="23"/>
  <c r="F3511" i="23"/>
  <c r="M3511" i="23"/>
  <c r="F3512" i="23"/>
  <c r="M3512" i="23"/>
  <c r="F3513" i="23"/>
  <c r="M3513" i="23"/>
  <c r="F3514" i="23"/>
  <c r="M3514" i="23"/>
  <c r="F3515" i="23"/>
  <c r="M3515" i="23"/>
  <c r="F3516" i="23"/>
  <c r="M3516" i="23"/>
  <c r="F3517" i="23"/>
  <c r="M3517" i="23"/>
  <c r="F3518" i="23"/>
  <c r="M3518" i="23"/>
  <c r="F3519" i="23"/>
  <c r="M3519" i="23"/>
  <c r="F3520" i="23"/>
  <c r="M3520" i="23"/>
  <c r="F3521" i="23"/>
  <c r="M3521" i="23"/>
  <c r="F3522" i="23"/>
  <c r="M3522" i="23"/>
  <c r="F3523" i="23"/>
  <c r="M3523" i="23"/>
  <c r="F3524" i="23"/>
  <c r="M3524" i="23"/>
  <c r="F3525" i="23"/>
  <c r="M3525" i="23"/>
  <c r="F3526" i="23"/>
  <c r="M3526" i="23"/>
  <c r="F3527" i="23"/>
  <c r="M3527" i="23"/>
  <c r="F3528" i="23"/>
  <c r="M3528" i="23"/>
  <c r="F3529" i="23"/>
  <c r="M3529" i="23"/>
  <c r="F3530" i="23"/>
  <c r="M3530" i="23"/>
  <c r="F3531" i="23"/>
  <c r="M3531" i="23"/>
  <c r="F3532" i="23"/>
  <c r="M3532" i="23"/>
  <c r="F3533" i="23"/>
  <c r="M3533" i="23"/>
  <c r="F3534" i="23"/>
  <c r="M3534" i="23"/>
  <c r="F3535" i="23"/>
  <c r="M3535" i="23"/>
  <c r="F3536" i="23"/>
  <c r="M3536" i="23"/>
  <c r="F3537" i="23"/>
  <c r="M3537" i="23"/>
  <c r="F3538" i="23"/>
  <c r="M3538" i="23"/>
  <c r="F3539" i="23"/>
  <c r="M3539" i="23"/>
  <c r="F3540" i="23"/>
  <c r="M3540" i="23"/>
  <c r="F3541" i="23"/>
  <c r="M3541" i="23"/>
  <c r="F3542" i="23"/>
  <c r="M3542" i="23"/>
  <c r="F3543" i="23"/>
  <c r="M3543" i="23"/>
  <c r="F3544" i="23"/>
  <c r="M3544" i="23"/>
  <c r="F3545" i="23"/>
  <c r="M3545" i="23"/>
  <c r="F3546" i="23"/>
  <c r="M3546" i="23"/>
  <c r="F3547" i="23"/>
  <c r="M3547" i="23"/>
  <c r="F3548" i="23"/>
  <c r="M3548" i="23"/>
  <c r="F3549" i="23"/>
  <c r="M3549" i="23"/>
  <c r="F3550" i="23"/>
  <c r="M3550" i="23"/>
  <c r="F3551" i="23"/>
  <c r="M3551" i="23"/>
  <c r="F3552" i="23"/>
  <c r="M3552" i="23"/>
  <c r="F3553" i="23"/>
  <c r="M3553" i="23"/>
  <c r="F3554" i="23"/>
  <c r="M3554" i="23"/>
  <c r="F3555" i="23"/>
  <c r="M3555" i="23"/>
  <c r="F3556" i="23"/>
  <c r="M3556" i="23"/>
  <c r="F3557" i="23"/>
  <c r="M3557" i="23"/>
  <c r="F3558" i="23"/>
  <c r="M3558" i="23"/>
  <c r="F3559" i="23"/>
  <c r="M3559" i="23"/>
  <c r="F3560" i="23"/>
  <c r="M3560" i="23"/>
  <c r="F3561" i="23"/>
  <c r="M3561" i="23"/>
  <c r="F3562" i="23"/>
  <c r="M3562" i="23"/>
  <c r="F3563" i="23"/>
  <c r="M3563" i="23"/>
  <c r="F3564" i="23"/>
  <c r="M3564" i="23"/>
  <c r="F3565" i="23"/>
  <c r="M3565" i="23"/>
  <c r="F3566" i="23"/>
  <c r="M3566" i="23"/>
  <c r="F3567" i="23"/>
  <c r="M3567" i="23"/>
  <c r="F3568" i="23"/>
  <c r="M3568" i="23"/>
  <c r="F3569" i="23"/>
  <c r="M3569" i="23"/>
  <c r="F3570" i="23"/>
  <c r="M3570" i="23"/>
  <c r="F3571" i="23"/>
  <c r="M3571" i="23"/>
  <c r="F3572" i="23"/>
  <c r="M3572" i="23"/>
  <c r="F3573" i="23"/>
  <c r="M3573" i="23"/>
  <c r="F3574" i="23"/>
  <c r="M3574" i="23"/>
  <c r="F3575" i="23"/>
  <c r="M3575" i="23"/>
  <c r="F3576" i="23"/>
  <c r="M3576" i="23"/>
  <c r="F3577" i="23"/>
  <c r="M3577" i="23"/>
  <c r="F3578" i="23"/>
  <c r="M3578" i="23"/>
  <c r="F3579" i="23"/>
  <c r="M3579" i="23"/>
  <c r="F3580" i="23"/>
  <c r="M3580" i="23"/>
  <c r="F3581" i="23"/>
  <c r="M3581" i="23"/>
  <c r="F3582" i="23"/>
  <c r="M3582" i="23"/>
  <c r="F3583" i="23"/>
  <c r="M3583" i="23"/>
  <c r="F3584" i="23"/>
  <c r="M3584" i="23"/>
  <c r="F3585" i="23"/>
  <c r="M3585" i="23"/>
  <c r="F3586" i="23"/>
  <c r="M3586" i="23"/>
  <c r="F3587" i="23"/>
  <c r="M3587" i="23"/>
  <c r="F3588" i="23"/>
  <c r="M3588" i="23"/>
  <c r="F3589" i="23"/>
  <c r="M3589" i="23"/>
  <c r="F3590" i="23"/>
  <c r="M3590" i="23"/>
  <c r="F3591" i="23"/>
  <c r="M3591" i="23"/>
  <c r="F3592" i="23"/>
  <c r="M3592" i="23"/>
  <c r="F3593" i="23"/>
  <c r="M3593" i="23"/>
  <c r="F3594" i="23"/>
  <c r="M3594" i="23"/>
  <c r="F3595" i="23"/>
  <c r="M3595" i="23"/>
  <c r="F3596" i="23"/>
  <c r="M3596" i="23"/>
  <c r="F3597" i="23"/>
  <c r="M3597" i="23"/>
  <c r="F3598" i="23"/>
  <c r="M3598" i="23"/>
  <c r="F3599" i="23"/>
  <c r="M3599" i="23"/>
  <c r="F3600" i="23"/>
  <c r="M3600" i="23"/>
  <c r="F3601" i="23"/>
  <c r="M3601" i="23"/>
  <c r="F3602" i="23"/>
  <c r="M3602" i="23"/>
  <c r="F3603" i="23"/>
  <c r="M3603" i="23"/>
  <c r="F3604" i="23"/>
  <c r="M3604" i="23"/>
  <c r="F3605" i="23"/>
  <c r="M3605" i="23"/>
  <c r="F3606" i="23"/>
  <c r="M3606" i="23"/>
  <c r="F3607" i="23"/>
  <c r="M3607" i="23"/>
  <c r="F3608" i="23"/>
  <c r="M3608" i="23"/>
  <c r="F3609" i="23"/>
  <c r="M3609" i="23"/>
  <c r="F3610" i="23"/>
  <c r="M3610" i="23"/>
  <c r="F3611" i="23"/>
  <c r="M3611" i="23"/>
  <c r="F3612" i="23"/>
  <c r="M3612" i="23"/>
  <c r="F3613" i="23"/>
  <c r="M3613" i="23"/>
  <c r="F3614" i="23"/>
  <c r="M3614" i="23"/>
  <c r="F3615" i="23"/>
  <c r="M3615" i="23"/>
  <c r="F3616" i="23"/>
  <c r="M3616" i="23"/>
  <c r="F3617" i="23"/>
  <c r="M3617" i="23"/>
  <c r="F3618" i="23"/>
  <c r="M3618" i="23"/>
  <c r="F3619" i="23"/>
  <c r="M3619" i="23"/>
  <c r="F3620" i="23"/>
  <c r="M3620" i="23"/>
  <c r="F3621" i="23"/>
  <c r="M3621" i="23"/>
  <c r="F3622" i="23"/>
  <c r="M3622" i="23"/>
  <c r="F3623" i="23"/>
  <c r="M3623" i="23"/>
  <c r="F3624" i="23"/>
  <c r="M3624" i="23"/>
  <c r="F3625" i="23"/>
  <c r="M3625" i="23"/>
  <c r="F3626" i="23"/>
  <c r="M3626" i="23"/>
  <c r="F3627" i="23"/>
  <c r="M3627" i="23"/>
  <c r="F3628" i="23"/>
  <c r="M3628" i="23"/>
  <c r="F3629" i="23"/>
  <c r="M3629" i="23"/>
  <c r="F3630" i="23"/>
  <c r="M3630" i="23"/>
  <c r="F3631" i="23"/>
  <c r="M3631" i="23"/>
  <c r="F3632" i="23"/>
  <c r="M3632" i="23"/>
  <c r="F3633" i="23"/>
  <c r="M3633" i="23"/>
  <c r="F3634" i="23"/>
  <c r="M3634" i="23"/>
  <c r="F3635" i="23"/>
  <c r="M3635" i="23"/>
  <c r="F3636" i="23"/>
  <c r="M3636" i="23"/>
  <c r="F3637" i="23"/>
  <c r="M3637" i="23"/>
  <c r="F3638" i="23"/>
  <c r="M3638" i="23"/>
  <c r="F3639" i="23"/>
  <c r="M3639" i="23"/>
  <c r="F3640" i="23"/>
  <c r="M3640" i="23"/>
  <c r="F3641" i="23"/>
  <c r="M3641" i="23"/>
  <c r="F3642" i="23"/>
  <c r="M3642" i="23"/>
  <c r="F3643" i="23"/>
  <c r="M3643" i="23"/>
  <c r="F3644" i="23"/>
  <c r="M3644" i="23"/>
  <c r="F3645" i="23"/>
  <c r="M3645" i="23"/>
  <c r="F3646" i="23"/>
  <c r="M3646" i="23"/>
  <c r="F3647" i="23"/>
  <c r="M3647" i="23"/>
  <c r="F3648" i="23"/>
  <c r="M3648" i="23"/>
  <c r="F3649" i="23"/>
  <c r="M3649" i="23"/>
  <c r="F3650" i="23"/>
  <c r="M3650" i="23"/>
  <c r="F3651" i="23"/>
  <c r="M3651" i="23"/>
  <c r="F3652" i="23"/>
  <c r="M3652" i="23"/>
  <c r="F3653" i="23"/>
  <c r="M3653" i="23"/>
  <c r="F3654" i="23"/>
  <c r="M3654" i="23"/>
  <c r="F3655" i="23"/>
  <c r="M3655" i="23"/>
  <c r="F3656" i="23"/>
  <c r="M3656" i="23"/>
  <c r="F3657" i="23"/>
  <c r="M3657" i="23"/>
  <c r="F3658" i="23"/>
  <c r="M3658" i="23"/>
  <c r="F3659" i="23"/>
  <c r="M3659" i="23"/>
  <c r="F3660" i="23"/>
  <c r="M3660" i="23"/>
  <c r="F3661" i="23"/>
  <c r="M3661" i="23"/>
  <c r="F3662" i="23"/>
  <c r="M3662" i="23"/>
  <c r="F3663" i="23"/>
  <c r="M3663" i="23"/>
  <c r="F3664" i="23"/>
  <c r="M3664" i="23"/>
  <c r="F3665" i="23"/>
  <c r="M3665" i="23"/>
  <c r="F3666" i="23"/>
  <c r="M3666" i="23"/>
  <c r="F3667" i="23"/>
  <c r="M3667" i="23"/>
  <c r="F3668" i="23"/>
  <c r="M3668" i="23"/>
  <c r="F3669" i="23"/>
  <c r="M3669" i="23"/>
  <c r="F3670" i="23"/>
  <c r="M3670" i="23"/>
  <c r="F3671" i="23"/>
  <c r="M3671" i="23"/>
  <c r="F3672" i="23"/>
  <c r="M3672" i="23"/>
  <c r="F3673" i="23"/>
  <c r="M3673" i="23"/>
  <c r="F3674" i="23"/>
  <c r="M3674" i="23"/>
  <c r="F3675" i="23"/>
  <c r="M3675" i="23"/>
  <c r="F3676" i="23"/>
  <c r="M3676" i="23"/>
  <c r="F3677" i="23"/>
  <c r="M3677" i="23"/>
  <c r="F3678" i="23"/>
  <c r="M3678" i="23"/>
  <c r="F3679" i="23"/>
  <c r="M3679" i="23"/>
  <c r="F3680" i="23"/>
  <c r="M3680" i="23"/>
  <c r="F3681" i="23"/>
  <c r="M3681" i="23"/>
  <c r="F3682" i="23"/>
  <c r="M3682" i="23"/>
  <c r="F3683" i="23"/>
  <c r="M3683" i="23"/>
  <c r="F3684" i="23"/>
  <c r="M3684" i="23"/>
  <c r="F3685" i="23"/>
  <c r="M3685" i="23"/>
  <c r="F3686" i="23"/>
  <c r="M3686" i="23"/>
  <c r="F3687" i="23"/>
  <c r="M3687" i="23"/>
  <c r="F3688" i="23"/>
  <c r="M3688" i="23"/>
  <c r="F3689" i="23"/>
  <c r="M3689" i="23"/>
  <c r="F3690" i="23"/>
  <c r="M3690" i="23"/>
  <c r="F3691" i="23"/>
  <c r="M3691" i="23"/>
  <c r="F3692" i="23"/>
  <c r="M3692" i="23"/>
  <c r="F3693" i="23"/>
  <c r="M3693" i="23"/>
  <c r="F3694" i="23"/>
  <c r="M3694" i="23"/>
  <c r="F3695" i="23"/>
  <c r="M3695" i="23"/>
  <c r="F3696" i="23"/>
  <c r="M3696" i="23"/>
  <c r="F3697" i="23"/>
  <c r="M3697" i="23"/>
  <c r="F3698" i="23"/>
  <c r="M3698" i="23"/>
  <c r="F3699" i="23"/>
  <c r="M3699" i="23"/>
  <c r="F3700" i="23"/>
  <c r="M3700" i="23"/>
  <c r="F3701" i="23"/>
  <c r="M3701" i="23"/>
  <c r="F3702" i="23"/>
  <c r="M3702" i="23"/>
  <c r="F3703" i="23"/>
  <c r="M3703" i="23"/>
  <c r="F3704" i="23"/>
  <c r="M3704" i="23"/>
  <c r="F3705" i="23"/>
  <c r="M3705" i="23"/>
  <c r="F3706" i="23"/>
  <c r="M3706" i="23"/>
  <c r="F3707" i="23"/>
  <c r="M3707" i="23"/>
  <c r="F3708" i="23"/>
  <c r="M3708" i="23"/>
  <c r="F3709" i="23"/>
  <c r="M3709" i="23"/>
  <c r="F3710" i="23"/>
  <c r="M3710" i="23"/>
  <c r="F3711" i="23"/>
  <c r="M3711" i="23"/>
  <c r="F3712" i="23"/>
  <c r="M3712" i="23"/>
  <c r="F3713" i="23"/>
  <c r="M3713" i="23"/>
  <c r="F3714" i="23"/>
  <c r="M3714" i="23"/>
  <c r="F3715" i="23"/>
  <c r="M3715" i="23"/>
  <c r="F3716" i="23"/>
  <c r="M3716" i="23"/>
  <c r="F3717" i="23"/>
  <c r="M3717" i="23"/>
  <c r="F3718" i="23"/>
  <c r="M3718" i="23"/>
  <c r="F3719" i="23"/>
  <c r="M3719" i="23"/>
  <c r="F3720" i="23"/>
  <c r="M3720" i="23"/>
  <c r="F3721" i="23"/>
  <c r="M3721" i="23"/>
  <c r="F3722" i="23"/>
  <c r="M3722" i="23"/>
  <c r="F3723" i="23"/>
  <c r="M3723" i="23"/>
  <c r="F3724" i="23"/>
  <c r="M3724" i="23"/>
  <c r="F3725" i="23"/>
  <c r="M3725" i="23"/>
  <c r="F3726" i="23"/>
  <c r="M3726" i="23"/>
  <c r="F3727" i="23"/>
  <c r="M3727" i="23"/>
  <c r="F3728" i="23"/>
  <c r="M3728" i="23"/>
  <c r="F3729" i="23"/>
  <c r="M3729" i="23"/>
  <c r="F3730" i="23"/>
  <c r="M3730" i="23"/>
  <c r="F3731" i="23"/>
  <c r="M3731" i="23"/>
  <c r="F3732" i="23"/>
  <c r="M3732" i="23"/>
  <c r="F3733" i="23"/>
  <c r="M3733" i="23"/>
  <c r="F3734" i="23"/>
  <c r="M3734" i="23"/>
  <c r="F3735" i="23"/>
  <c r="M3735" i="23"/>
  <c r="F3736" i="23"/>
  <c r="M3736" i="23"/>
  <c r="F3737" i="23"/>
  <c r="M3737" i="23"/>
  <c r="F3738" i="23"/>
  <c r="M3738" i="23"/>
  <c r="F3739" i="23"/>
  <c r="M3739" i="23"/>
  <c r="F3740" i="23"/>
  <c r="M3740" i="23"/>
  <c r="F3741" i="23"/>
  <c r="M3741" i="23"/>
  <c r="F3742" i="23"/>
  <c r="M3742" i="23"/>
  <c r="F3743" i="23"/>
  <c r="M3743" i="23"/>
  <c r="F3744" i="23"/>
  <c r="M3744" i="23"/>
  <c r="F3745" i="23"/>
  <c r="M3745" i="23"/>
  <c r="F3746" i="23"/>
  <c r="M3746" i="23"/>
  <c r="F3747" i="23"/>
  <c r="M3747" i="23"/>
  <c r="F3748" i="23"/>
  <c r="M3748" i="23"/>
  <c r="F3749" i="23"/>
  <c r="M3749" i="23"/>
  <c r="F3750" i="23"/>
  <c r="M3750" i="23"/>
  <c r="F3751" i="23"/>
  <c r="M3751" i="23"/>
  <c r="F3752" i="23"/>
  <c r="M3752" i="23"/>
  <c r="F3753" i="23"/>
  <c r="M3753" i="23"/>
  <c r="F3754" i="23"/>
  <c r="M3754" i="23"/>
  <c r="F3755" i="23"/>
  <c r="M3755" i="23"/>
  <c r="F3756" i="23"/>
  <c r="M3756" i="23"/>
  <c r="F3757" i="23"/>
  <c r="M3757" i="23"/>
  <c r="F3758" i="23"/>
  <c r="M3758" i="23"/>
  <c r="F3759" i="23"/>
  <c r="M3759" i="23"/>
  <c r="F3760" i="23"/>
  <c r="M3760" i="23"/>
  <c r="F3761" i="23"/>
  <c r="M3761" i="23"/>
  <c r="F3762" i="23"/>
  <c r="M3762" i="23"/>
  <c r="F3763" i="23"/>
  <c r="M3763" i="23"/>
  <c r="F3764" i="23"/>
  <c r="M3764" i="23"/>
  <c r="F3765" i="23"/>
  <c r="M3765" i="23"/>
  <c r="F3766" i="23"/>
  <c r="M3766" i="23"/>
  <c r="F3767" i="23"/>
  <c r="M3767" i="23"/>
  <c r="F3768" i="23"/>
  <c r="M3768" i="23"/>
  <c r="F3769" i="23"/>
  <c r="M3769" i="23"/>
  <c r="F3770" i="23"/>
  <c r="M3770" i="23"/>
  <c r="F3771" i="23"/>
  <c r="M3771" i="23"/>
  <c r="F3772" i="23"/>
  <c r="M3772" i="23"/>
  <c r="F3773" i="23"/>
  <c r="M3773" i="23"/>
  <c r="F3774" i="23"/>
  <c r="M3774" i="23"/>
  <c r="F3775" i="23"/>
  <c r="M3775" i="23"/>
  <c r="F3776" i="23"/>
  <c r="M3776" i="23"/>
  <c r="F3777" i="23"/>
  <c r="M3777" i="23"/>
  <c r="F3778" i="23"/>
  <c r="M3778" i="23"/>
  <c r="F3779" i="23"/>
  <c r="M3779" i="23"/>
  <c r="F3780" i="23"/>
  <c r="M3780" i="23"/>
  <c r="F3781" i="23"/>
  <c r="M3781" i="23"/>
  <c r="F3782" i="23"/>
  <c r="M3782" i="23"/>
  <c r="F3783" i="23"/>
  <c r="M3783" i="23"/>
  <c r="F3784" i="23"/>
  <c r="M3784" i="23"/>
  <c r="F3785" i="23"/>
  <c r="M3785" i="23"/>
  <c r="F3786" i="23"/>
  <c r="M3786" i="23"/>
  <c r="F3787" i="23"/>
  <c r="M3787" i="23"/>
  <c r="F3788" i="23"/>
  <c r="M3788" i="23"/>
  <c r="F3789" i="23"/>
  <c r="M3789" i="23"/>
  <c r="F3790" i="23"/>
  <c r="M3790" i="23"/>
  <c r="F3791" i="23"/>
  <c r="M3791" i="23"/>
  <c r="F3792" i="23"/>
  <c r="M3792" i="23"/>
  <c r="F3793" i="23"/>
  <c r="M3793" i="23"/>
  <c r="F3794" i="23"/>
  <c r="M3794" i="23"/>
  <c r="F3795" i="23"/>
  <c r="M3795" i="23"/>
  <c r="F3796" i="23"/>
  <c r="M3796" i="23"/>
  <c r="F3797" i="23"/>
  <c r="M3797" i="23"/>
  <c r="F3798" i="23"/>
  <c r="M3798" i="23"/>
  <c r="F3799" i="23"/>
  <c r="M3799" i="23"/>
  <c r="F3800" i="23"/>
  <c r="M3800" i="23"/>
  <c r="F3801" i="23"/>
  <c r="M3801" i="23"/>
  <c r="F3802" i="23"/>
  <c r="M3802" i="23"/>
  <c r="F3803" i="23"/>
  <c r="M3803" i="23"/>
  <c r="F3804" i="23"/>
  <c r="M3804" i="23"/>
  <c r="F3805" i="23"/>
  <c r="M3805" i="23"/>
  <c r="F3806" i="23"/>
  <c r="M3806" i="23"/>
  <c r="F3807" i="23"/>
  <c r="M3807" i="23"/>
  <c r="F3808" i="23"/>
  <c r="M3808" i="23"/>
  <c r="F3809" i="23"/>
  <c r="M3809" i="23"/>
  <c r="F3810" i="23"/>
  <c r="M3810" i="23"/>
  <c r="F3811" i="23"/>
  <c r="M3811" i="23"/>
  <c r="F3812" i="23"/>
  <c r="M3812" i="23"/>
  <c r="F3813" i="23"/>
  <c r="M3813" i="23"/>
  <c r="F3814" i="23"/>
  <c r="M3814" i="23"/>
  <c r="F3815" i="23"/>
  <c r="M3815" i="23"/>
  <c r="F3816" i="23"/>
  <c r="M3816" i="23"/>
  <c r="F3817" i="23"/>
  <c r="M3817" i="23"/>
  <c r="F3818" i="23"/>
  <c r="M3818" i="23"/>
  <c r="F3819" i="23"/>
  <c r="M3819" i="23"/>
  <c r="F3820" i="23"/>
  <c r="M3820" i="23"/>
  <c r="F3821" i="23"/>
  <c r="M3821" i="23"/>
  <c r="F3822" i="23"/>
  <c r="M3822" i="23"/>
  <c r="F3823" i="23"/>
  <c r="M3823" i="23"/>
  <c r="F3824" i="23"/>
  <c r="M3824" i="23"/>
  <c r="F3825" i="23"/>
  <c r="M3825" i="23"/>
  <c r="F3826" i="23"/>
  <c r="M3826" i="23"/>
  <c r="F3827" i="23"/>
  <c r="M3827" i="23"/>
  <c r="F3828" i="23"/>
  <c r="M3828" i="23"/>
  <c r="F3829" i="23"/>
  <c r="M3829" i="23"/>
  <c r="F3830" i="23"/>
  <c r="M3830" i="23"/>
  <c r="F3831" i="23"/>
  <c r="M3831" i="23"/>
  <c r="F3832" i="23"/>
  <c r="M3832" i="23"/>
  <c r="F3833" i="23"/>
  <c r="M3833" i="23"/>
  <c r="F3834" i="23"/>
  <c r="M3834" i="23"/>
  <c r="F3835" i="23"/>
  <c r="M3835" i="23"/>
  <c r="F3836" i="23"/>
  <c r="M3836" i="23"/>
  <c r="F3837" i="23"/>
  <c r="M3837" i="23"/>
  <c r="F3838" i="23"/>
  <c r="M3838" i="23"/>
  <c r="F3839" i="23"/>
  <c r="M3839" i="23"/>
  <c r="F3840" i="23"/>
  <c r="M3840" i="23"/>
  <c r="F3841" i="23"/>
  <c r="M3841" i="23"/>
  <c r="F3842" i="23"/>
  <c r="M3842" i="23"/>
  <c r="F3843" i="23"/>
  <c r="M3843" i="23"/>
  <c r="F3844" i="23"/>
  <c r="M3844" i="23"/>
  <c r="F3845" i="23"/>
  <c r="M3845" i="23"/>
  <c r="F3846" i="23"/>
  <c r="M3846" i="23"/>
  <c r="F3847" i="23"/>
  <c r="M3847" i="23"/>
  <c r="F3848" i="23"/>
  <c r="M3848" i="23"/>
  <c r="F3849" i="23"/>
  <c r="M3849" i="23"/>
  <c r="F3850" i="23"/>
  <c r="M3850" i="23"/>
  <c r="F3851" i="23"/>
  <c r="M3851" i="23"/>
  <c r="F3852" i="23"/>
  <c r="M3852" i="23"/>
  <c r="F3853" i="23"/>
  <c r="M3853" i="23"/>
  <c r="F3854" i="23"/>
  <c r="M3854" i="23"/>
  <c r="F3855" i="23"/>
  <c r="M3855" i="23"/>
  <c r="F3856" i="23"/>
  <c r="M3856" i="23"/>
  <c r="F3857" i="23"/>
  <c r="M3857" i="23"/>
  <c r="F3858" i="23"/>
  <c r="M3858" i="23"/>
  <c r="F3859" i="23"/>
  <c r="M3859" i="23"/>
  <c r="F3860" i="23"/>
  <c r="M3860" i="23"/>
  <c r="F3861" i="23"/>
  <c r="M3861" i="23"/>
  <c r="F3862" i="23"/>
  <c r="M3862" i="23"/>
  <c r="F3863" i="23"/>
  <c r="M3863" i="23"/>
  <c r="F3864" i="23"/>
  <c r="M3864" i="23"/>
  <c r="F3865" i="23"/>
  <c r="M3865" i="23"/>
  <c r="F3866" i="23"/>
  <c r="M3866" i="23"/>
  <c r="F3867" i="23"/>
  <c r="M3867" i="23"/>
  <c r="F3868" i="23"/>
  <c r="M3868" i="23"/>
  <c r="F3869" i="23"/>
  <c r="M3869" i="23"/>
  <c r="F3870" i="23"/>
  <c r="M3870" i="23"/>
  <c r="F3871" i="23"/>
  <c r="M3871" i="23"/>
  <c r="F3872" i="23"/>
  <c r="M3872" i="23"/>
  <c r="F3873" i="23"/>
  <c r="M3873" i="23"/>
  <c r="F3874" i="23"/>
  <c r="M3874" i="23"/>
  <c r="F3875" i="23"/>
  <c r="M3875" i="23"/>
  <c r="F3876" i="23"/>
  <c r="M3876" i="23"/>
  <c r="F3877" i="23"/>
  <c r="M3877" i="23"/>
  <c r="F3878" i="23"/>
  <c r="M3878" i="23"/>
  <c r="F3879" i="23"/>
  <c r="M3879" i="23"/>
  <c r="F3880" i="23"/>
  <c r="M3880" i="23"/>
  <c r="F3881" i="23"/>
  <c r="M3881" i="23"/>
  <c r="F3882" i="23"/>
  <c r="M3882" i="23"/>
  <c r="F3883" i="23"/>
  <c r="M3883" i="23"/>
  <c r="F3884" i="23"/>
  <c r="M3884" i="23"/>
  <c r="F3885" i="23"/>
  <c r="M3885" i="23"/>
  <c r="F3886" i="23"/>
  <c r="M3886" i="23"/>
  <c r="F3887" i="23"/>
  <c r="M3887" i="23"/>
  <c r="F3888" i="23"/>
  <c r="M3888" i="23"/>
  <c r="F3889" i="23"/>
  <c r="M3889" i="23"/>
  <c r="F3890" i="23"/>
  <c r="M3890" i="23"/>
  <c r="F3891" i="23"/>
  <c r="M3891" i="23"/>
  <c r="F3892" i="23"/>
  <c r="M3892" i="23"/>
  <c r="F3893" i="23"/>
  <c r="M3893" i="23"/>
  <c r="F3894" i="23"/>
  <c r="M3894" i="23"/>
  <c r="F3895" i="23"/>
  <c r="M3895" i="23"/>
  <c r="F3896" i="23"/>
  <c r="M3896" i="23"/>
  <c r="F3897" i="23"/>
  <c r="M3897" i="23"/>
  <c r="F3898" i="23"/>
  <c r="M3898" i="23"/>
  <c r="F3899" i="23"/>
  <c r="M3899" i="23"/>
  <c r="F3900" i="23"/>
  <c r="M3900" i="23"/>
  <c r="F3901" i="23"/>
  <c r="M3901" i="23"/>
  <c r="F3902" i="23"/>
  <c r="M3902" i="23"/>
  <c r="F3903" i="23"/>
  <c r="M3903" i="23"/>
  <c r="F3904" i="23"/>
  <c r="M3904" i="23"/>
  <c r="F3905" i="23"/>
  <c r="M3905" i="23"/>
  <c r="F3906" i="23"/>
  <c r="M3906" i="23"/>
  <c r="F3907" i="23"/>
  <c r="M3907" i="23"/>
  <c r="F3908" i="23"/>
  <c r="M3908" i="23"/>
  <c r="F3909" i="23"/>
  <c r="M3909" i="23"/>
  <c r="F3910" i="23"/>
  <c r="M3910" i="23"/>
  <c r="F3911" i="23"/>
  <c r="M3911" i="23"/>
  <c r="F3912" i="23"/>
  <c r="M3912" i="23"/>
  <c r="F3913" i="23"/>
  <c r="M3913" i="23"/>
  <c r="F3914" i="23"/>
  <c r="M3914" i="23"/>
  <c r="F3915" i="23"/>
  <c r="M3915" i="23"/>
  <c r="F3916" i="23"/>
  <c r="M3916" i="23"/>
  <c r="F3917" i="23"/>
  <c r="M3917" i="23"/>
  <c r="F3918" i="23"/>
  <c r="M3918" i="23"/>
  <c r="F3919" i="23"/>
  <c r="M3919" i="23"/>
  <c r="F3920" i="23"/>
  <c r="M3920" i="23"/>
  <c r="F3921" i="23"/>
  <c r="M3921" i="23"/>
  <c r="F3922" i="23"/>
  <c r="M3922" i="23"/>
  <c r="F3923" i="23"/>
  <c r="M3923" i="23"/>
  <c r="F3924" i="23"/>
  <c r="M3924" i="23"/>
  <c r="F3925" i="23"/>
  <c r="M3925" i="23"/>
  <c r="F3926" i="23"/>
  <c r="M3926" i="23"/>
  <c r="F3927" i="23"/>
  <c r="M3927" i="23"/>
  <c r="F3928" i="23"/>
  <c r="M3928" i="23"/>
  <c r="F3929" i="23"/>
  <c r="M3929" i="23"/>
  <c r="F3930" i="23"/>
  <c r="M3930" i="23"/>
  <c r="F3931" i="23"/>
  <c r="M3931" i="23"/>
  <c r="F3932" i="23"/>
  <c r="M3932" i="23"/>
  <c r="F3933" i="23"/>
  <c r="M3933" i="23"/>
  <c r="F3934" i="23"/>
  <c r="M3934" i="23"/>
  <c r="F3935" i="23"/>
  <c r="M3935" i="23"/>
  <c r="F3936" i="23"/>
  <c r="M3936" i="23"/>
  <c r="F3937" i="23"/>
  <c r="M3937" i="23"/>
  <c r="F3938" i="23"/>
  <c r="M3938" i="23"/>
  <c r="F3939" i="23"/>
  <c r="M3939" i="23"/>
  <c r="F3940" i="23"/>
  <c r="M3940" i="23"/>
  <c r="F3941" i="23"/>
  <c r="M3941" i="23"/>
  <c r="F3942" i="23"/>
  <c r="M3942" i="23"/>
  <c r="F3943" i="23"/>
  <c r="M3943" i="23"/>
  <c r="F3944" i="23"/>
  <c r="M3944" i="23"/>
  <c r="F3945" i="23"/>
  <c r="M3945" i="23"/>
  <c r="F3946" i="23"/>
  <c r="M3946" i="23"/>
  <c r="F3947" i="23"/>
  <c r="M3947" i="23"/>
  <c r="F3948" i="23"/>
  <c r="M3948" i="23"/>
  <c r="F3949" i="23"/>
  <c r="M3949" i="23"/>
  <c r="F3950" i="23"/>
  <c r="M3950" i="23"/>
  <c r="F3951" i="23"/>
  <c r="M3951" i="23"/>
  <c r="F3952" i="23"/>
  <c r="M3952" i="23"/>
  <c r="F3953" i="23"/>
  <c r="M3953" i="23"/>
  <c r="F3954" i="23"/>
  <c r="M3954" i="23"/>
  <c r="F3955" i="23"/>
  <c r="M3955" i="23"/>
  <c r="F3956" i="23"/>
  <c r="M3956" i="23"/>
  <c r="F3957" i="23"/>
  <c r="M3957" i="23"/>
  <c r="F3958" i="23"/>
  <c r="M3958" i="23"/>
  <c r="F3959" i="23"/>
  <c r="M3959" i="23"/>
  <c r="F3960" i="23"/>
  <c r="M3960" i="23"/>
  <c r="F3961" i="23"/>
  <c r="M3961" i="23"/>
  <c r="F3962" i="23"/>
  <c r="M3962" i="23"/>
  <c r="F3963" i="23"/>
  <c r="M3963" i="23"/>
  <c r="F3964" i="23"/>
  <c r="M3964" i="23"/>
  <c r="F3965" i="23"/>
  <c r="M3965" i="23"/>
  <c r="F3966" i="23"/>
  <c r="M3966" i="23"/>
  <c r="F3967" i="23"/>
  <c r="M3967" i="23"/>
  <c r="F3968" i="23"/>
  <c r="M3968" i="23"/>
  <c r="F3969" i="23"/>
  <c r="M3969" i="23"/>
  <c r="F3970" i="23"/>
  <c r="M3970" i="23"/>
  <c r="F3971" i="23"/>
  <c r="M3971" i="23"/>
  <c r="F3972" i="23"/>
  <c r="M3972" i="23"/>
  <c r="F3973" i="23"/>
  <c r="M3973" i="23"/>
  <c r="F3974" i="23"/>
  <c r="M3974" i="23"/>
  <c r="F3975" i="23"/>
  <c r="M3975" i="23"/>
  <c r="F3976" i="23"/>
  <c r="M3976" i="23"/>
  <c r="F3977" i="23"/>
  <c r="M3977" i="23"/>
  <c r="F3978" i="23"/>
  <c r="M3978" i="23"/>
  <c r="F3979" i="23"/>
  <c r="M3979" i="23"/>
  <c r="F3980" i="23"/>
  <c r="M3980" i="23"/>
  <c r="F3981" i="23"/>
  <c r="M3981" i="23"/>
  <c r="F3982" i="23"/>
  <c r="M3982" i="23"/>
  <c r="F3983" i="23"/>
  <c r="M3983" i="23"/>
  <c r="F3984" i="23"/>
  <c r="M3984" i="23"/>
  <c r="F3985" i="23"/>
  <c r="M3985" i="23"/>
  <c r="F3986" i="23"/>
  <c r="M3986" i="23"/>
  <c r="F3987" i="23"/>
  <c r="M3987" i="23"/>
  <c r="F3988" i="23"/>
  <c r="M3988" i="23"/>
  <c r="F3989" i="23"/>
  <c r="M3989" i="23"/>
  <c r="F3990" i="23"/>
  <c r="M3990" i="23"/>
  <c r="F3991" i="23"/>
  <c r="M3991" i="23"/>
  <c r="F3992" i="23"/>
  <c r="M3992" i="23"/>
  <c r="F3993" i="23"/>
  <c r="M3993" i="23"/>
  <c r="F3994" i="23"/>
  <c r="M3994" i="23"/>
  <c r="F3995" i="23"/>
  <c r="M3995" i="23"/>
  <c r="F3996" i="23"/>
  <c r="M3996" i="23"/>
  <c r="F3997" i="23"/>
  <c r="M3997" i="23"/>
  <c r="F3998" i="23"/>
  <c r="M3998" i="23"/>
  <c r="F3999" i="23"/>
  <c r="M3999" i="23"/>
  <c r="F4000" i="23"/>
  <c r="M4000" i="23"/>
  <c r="F4001" i="23"/>
  <c r="M4001" i="23"/>
  <c r="F4002" i="23"/>
  <c r="M4002" i="23"/>
  <c r="F4003" i="23"/>
  <c r="M4003" i="23"/>
  <c r="F4004" i="23"/>
  <c r="M4004" i="23"/>
  <c r="F4005" i="23"/>
  <c r="M4005" i="23"/>
  <c r="F4006" i="23"/>
  <c r="M4006" i="23"/>
  <c r="F4007" i="23"/>
  <c r="M4007" i="23"/>
  <c r="F4008" i="23"/>
  <c r="M4008" i="23"/>
  <c r="F4009" i="23"/>
  <c r="M4009" i="23"/>
  <c r="F4010" i="23"/>
  <c r="M4010" i="23"/>
  <c r="F4011" i="23"/>
  <c r="M4011" i="23"/>
  <c r="F4012" i="23"/>
  <c r="M4012" i="23"/>
  <c r="F4013" i="23"/>
  <c r="M4013" i="23"/>
  <c r="F4014" i="23"/>
  <c r="M4014" i="23"/>
  <c r="F4015" i="23"/>
  <c r="M4015" i="23"/>
  <c r="F4016" i="23"/>
  <c r="M4016" i="23"/>
  <c r="F4017" i="23"/>
  <c r="M4017" i="23"/>
  <c r="F4018" i="23"/>
  <c r="M4018" i="23"/>
  <c r="F4019" i="23"/>
  <c r="M4019" i="23"/>
  <c r="F4020" i="23"/>
  <c r="M4020" i="23"/>
  <c r="F4021" i="23"/>
  <c r="M4021" i="23"/>
  <c r="F4022" i="23"/>
  <c r="M4022" i="23"/>
  <c r="F4023" i="23"/>
  <c r="M4023" i="23"/>
  <c r="F4024" i="23"/>
  <c r="M4024" i="23"/>
  <c r="F4025" i="23"/>
  <c r="M4025" i="23"/>
  <c r="F4026" i="23"/>
  <c r="M4026" i="23"/>
  <c r="F4027" i="23"/>
  <c r="M4027" i="23"/>
  <c r="F4028" i="23"/>
  <c r="M4028" i="23"/>
  <c r="F4029" i="23"/>
  <c r="M4029" i="23"/>
  <c r="F4030" i="23"/>
  <c r="M4030" i="23"/>
  <c r="F4031" i="23"/>
  <c r="M4031" i="23"/>
  <c r="F4032" i="23"/>
  <c r="M4032" i="23"/>
  <c r="F4033" i="23"/>
  <c r="M4033" i="23"/>
  <c r="F4034" i="23"/>
  <c r="M4034" i="23"/>
  <c r="F4035" i="23"/>
  <c r="M4035" i="23"/>
  <c r="F4036" i="23"/>
  <c r="M4036" i="23"/>
  <c r="F4037" i="23"/>
  <c r="M4037" i="23"/>
  <c r="F4038" i="23"/>
  <c r="M4038" i="23"/>
  <c r="F4039" i="23"/>
  <c r="M4039" i="23"/>
  <c r="F4040" i="23"/>
  <c r="M4040" i="23"/>
  <c r="F4041" i="23"/>
  <c r="M4041" i="23"/>
  <c r="F4042" i="23"/>
  <c r="M4042" i="23"/>
  <c r="F4043" i="23"/>
  <c r="M4043" i="23"/>
  <c r="F4044" i="23"/>
  <c r="M4044" i="23"/>
  <c r="F4045" i="23"/>
  <c r="M4045" i="23"/>
  <c r="F4046" i="23"/>
  <c r="M4046" i="23"/>
  <c r="F4047" i="23"/>
  <c r="M4047" i="23"/>
  <c r="F4048" i="23"/>
  <c r="M4048" i="23"/>
  <c r="F4049" i="23"/>
  <c r="M4049" i="23"/>
  <c r="F4050" i="23"/>
  <c r="M4050" i="23"/>
  <c r="F4051" i="23"/>
  <c r="M4051" i="23"/>
  <c r="F4052" i="23"/>
  <c r="M4052" i="23"/>
  <c r="F4053" i="23"/>
  <c r="M4053" i="23"/>
  <c r="F4054" i="23"/>
  <c r="M4054" i="23"/>
  <c r="F4055" i="23"/>
  <c r="M4055" i="23"/>
  <c r="F4056" i="23"/>
  <c r="M4056" i="23"/>
  <c r="F4057" i="23"/>
  <c r="M4057" i="23"/>
  <c r="F4058" i="23"/>
  <c r="M4058" i="23"/>
  <c r="F4059" i="23"/>
  <c r="M4059" i="23"/>
  <c r="F4060" i="23"/>
  <c r="M4060" i="23"/>
  <c r="F4061" i="23"/>
  <c r="M4061" i="23"/>
  <c r="F4062" i="23"/>
  <c r="M4062" i="23"/>
  <c r="F4063" i="23"/>
  <c r="M4063" i="23"/>
  <c r="F4064" i="23"/>
  <c r="M4064" i="23"/>
  <c r="F4065" i="23"/>
  <c r="M4065" i="23"/>
  <c r="F4066" i="23"/>
  <c r="M4066" i="23"/>
  <c r="F4067" i="23"/>
  <c r="M4067" i="23"/>
  <c r="F4068" i="23"/>
  <c r="M4068" i="23"/>
  <c r="F4069" i="23"/>
  <c r="M4069" i="23"/>
  <c r="F4070" i="23"/>
  <c r="M4070" i="23"/>
  <c r="F4071" i="23"/>
  <c r="M4071" i="23"/>
  <c r="F4072" i="23"/>
  <c r="M4072" i="23"/>
  <c r="F4073" i="23"/>
  <c r="M4073" i="23"/>
  <c r="F4074" i="23"/>
  <c r="M4074" i="23"/>
  <c r="F4075" i="23"/>
  <c r="M4075" i="23"/>
  <c r="F4076" i="23"/>
  <c r="M4076" i="23"/>
  <c r="F4077" i="23"/>
  <c r="M4077" i="23"/>
  <c r="F4078" i="23"/>
  <c r="M4078" i="23"/>
  <c r="F4079" i="23"/>
  <c r="M4079" i="23"/>
  <c r="F4080" i="23"/>
  <c r="M4080" i="23"/>
  <c r="F4081" i="23"/>
  <c r="M4081" i="23"/>
  <c r="F4082" i="23"/>
  <c r="M4082" i="23"/>
  <c r="F4083" i="23"/>
  <c r="M4083" i="23"/>
  <c r="F4084" i="23"/>
  <c r="M4084" i="23"/>
  <c r="F4085" i="23"/>
  <c r="M4085" i="23"/>
  <c r="F4086" i="23"/>
  <c r="M4086" i="23"/>
  <c r="F4087" i="23"/>
  <c r="M4087" i="23"/>
  <c r="F4088" i="23"/>
  <c r="M4088" i="23"/>
  <c r="F4089" i="23"/>
  <c r="M4089" i="23"/>
  <c r="F4090" i="23"/>
  <c r="M4090" i="23"/>
  <c r="F4091" i="23"/>
  <c r="M4091" i="23"/>
  <c r="F4092" i="23"/>
  <c r="M4092" i="23"/>
  <c r="F4093" i="23"/>
  <c r="M4093" i="23"/>
  <c r="F4094" i="23"/>
  <c r="M4094" i="23"/>
  <c r="F4095" i="23"/>
  <c r="M4095" i="23"/>
  <c r="F4096" i="23"/>
  <c r="M4096" i="23"/>
  <c r="F4097" i="23"/>
  <c r="M4097" i="23"/>
  <c r="F4098" i="23"/>
  <c r="M4098" i="23"/>
  <c r="F4099" i="23"/>
  <c r="M4099" i="23"/>
  <c r="F4100" i="23"/>
  <c r="M4100" i="23"/>
  <c r="F4101" i="23"/>
  <c r="M4101" i="23"/>
  <c r="F4102" i="23"/>
  <c r="M4102" i="23"/>
  <c r="F4103" i="23"/>
  <c r="M4103" i="23"/>
  <c r="F4104" i="23"/>
  <c r="M4104" i="23"/>
  <c r="F4105" i="23"/>
  <c r="M4105" i="23"/>
  <c r="F4106" i="23"/>
  <c r="M4106" i="23"/>
  <c r="F4107" i="23"/>
  <c r="M4107" i="23"/>
  <c r="F4108" i="23"/>
  <c r="M4108" i="23"/>
  <c r="F4109" i="23"/>
  <c r="M4109" i="23"/>
  <c r="F4110" i="23"/>
  <c r="M4110" i="23"/>
  <c r="F4111" i="23"/>
  <c r="M4111" i="23"/>
  <c r="F4112" i="23"/>
  <c r="M4112" i="23"/>
  <c r="F4113" i="23"/>
  <c r="M4113" i="23"/>
  <c r="F4114" i="23"/>
  <c r="M4114" i="23"/>
  <c r="F4115" i="23"/>
  <c r="M4115" i="23"/>
  <c r="F4116" i="23"/>
  <c r="M4116" i="23"/>
  <c r="F4117" i="23"/>
  <c r="M4117" i="23"/>
  <c r="F4118" i="23"/>
  <c r="M4118" i="23"/>
  <c r="F4119" i="23"/>
  <c r="M4119" i="23"/>
  <c r="F4120" i="23"/>
  <c r="M4120" i="23"/>
  <c r="F4121" i="23"/>
  <c r="M4121" i="23"/>
  <c r="F4122" i="23"/>
  <c r="M4122" i="23"/>
  <c r="F4123" i="23"/>
  <c r="M4123" i="23"/>
  <c r="F4124" i="23"/>
  <c r="M4124" i="23"/>
  <c r="F4125" i="23"/>
  <c r="M4125" i="23"/>
  <c r="F4126" i="23"/>
  <c r="M4126" i="23"/>
  <c r="F4127" i="23"/>
  <c r="M4127" i="23"/>
  <c r="F4128" i="23"/>
  <c r="M4128" i="23"/>
  <c r="F4129" i="23"/>
  <c r="M4129" i="23"/>
  <c r="F4130" i="23"/>
  <c r="M4130" i="23"/>
  <c r="F4131" i="23"/>
  <c r="M4131" i="23"/>
  <c r="F4132" i="23"/>
  <c r="M4132" i="23"/>
  <c r="F4133" i="23"/>
  <c r="M4133" i="23"/>
  <c r="F4134" i="23"/>
  <c r="M4134" i="23"/>
  <c r="F4135" i="23"/>
  <c r="M4135" i="23"/>
  <c r="F4136" i="23"/>
  <c r="M4136" i="23"/>
  <c r="F4137" i="23"/>
  <c r="M4137" i="23"/>
  <c r="F4138" i="23"/>
  <c r="M4138" i="23"/>
  <c r="F4139" i="23"/>
  <c r="M4139" i="23"/>
  <c r="F4140" i="23"/>
  <c r="M4140" i="23"/>
  <c r="F4141" i="23"/>
  <c r="M4141" i="23"/>
  <c r="F4142" i="23"/>
  <c r="M4142" i="23"/>
  <c r="F4143" i="23"/>
  <c r="M4143" i="23"/>
  <c r="F4144" i="23"/>
  <c r="M4144" i="23"/>
  <c r="F4145" i="23"/>
  <c r="M4145" i="23"/>
  <c r="F4146" i="23"/>
  <c r="M4146" i="23"/>
  <c r="F4147" i="23"/>
  <c r="M4147" i="23"/>
  <c r="F4148" i="23"/>
  <c r="M4148" i="23"/>
  <c r="F4149" i="23"/>
  <c r="M4149" i="23"/>
  <c r="F4150" i="23"/>
  <c r="M4150" i="23"/>
  <c r="F4151" i="23"/>
  <c r="M4151" i="23"/>
  <c r="F4152" i="23"/>
  <c r="M4152" i="23"/>
  <c r="F4153" i="23"/>
  <c r="M4153" i="23"/>
  <c r="F4154" i="23"/>
  <c r="M4154" i="23"/>
  <c r="F4155" i="23"/>
  <c r="M4155" i="23"/>
  <c r="F4156" i="23"/>
  <c r="M4156" i="23"/>
  <c r="F4157" i="23"/>
  <c r="M4157" i="23"/>
  <c r="F4158" i="23"/>
  <c r="M4158" i="23"/>
  <c r="F4159" i="23"/>
  <c r="M4159" i="23"/>
  <c r="F4160" i="23"/>
  <c r="M4160" i="23"/>
  <c r="F4161" i="23"/>
  <c r="M4161" i="23"/>
  <c r="F4162" i="23"/>
  <c r="M4162" i="23"/>
  <c r="F4163" i="23"/>
  <c r="M4163" i="23"/>
  <c r="F4164" i="23"/>
  <c r="M4164" i="23"/>
  <c r="F4165" i="23"/>
  <c r="M4165" i="23"/>
  <c r="F4166" i="23"/>
  <c r="M4166" i="23"/>
  <c r="F4167" i="23"/>
  <c r="M4167" i="23"/>
  <c r="F4168" i="23"/>
  <c r="M4168" i="23"/>
  <c r="F4169" i="23"/>
  <c r="M4169" i="23"/>
  <c r="F4170" i="23"/>
  <c r="M4170" i="23"/>
  <c r="F4171" i="23"/>
  <c r="M4171" i="23"/>
  <c r="F4172" i="23"/>
  <c r="M4172" i="23"/>
  <c r="F4173" i="23"/>
  <c r="M4173" i="23"/>
  <c r="F4174" i="23"/>
  <c r="M4174" i="23"/>
  <c r="F4175" i="23"/>
  <c r="M4175" i="23"/>
  <c r="F4176" i="23"/>
  <c r="M4176" i="23"/>
  <c r="F4177" i="23"/>
  <c r="M4177" i="23"/>
  <c r="F4178" i="23"/>
  <c r="M4178" i="23"/>
  <c r="F4179" i="23"/>
  <c r="M4179" i="23"/>
  <c r="F4180" i="23"/>
  <c r="M4180" i="23"/>
  <c r="F4181" i="23"/>
  <c r="M4181" i="23"/>
  <c r="F4182" i="23"/>
  <c r="M4182" i="23"/>
  <c r="F4183" i="23"/>
  <c r="M4183" i="23"/>
  <c r="F4184" i="23"/>
  <c r="M4184" i="23"/>
  <c r="F4185" i="23"/>
  <c r="M4185" i="23"/>
  <c r="F4186" i="23"/>
  <c r="M4186" i="23"/>
  <c r="F4187" i="23"/>
  <c r="M4187" i="23"/>
  <c r="F4188" i="23"/>
  <c r="M4188" i="23"/>
  <c r="F4189" i="23"/>
  <c r="M4189" i="23"/>
  <c r="F4190" i="23"/>
  <c r="M4190" i="23"/>
  <c r="F4191" i="23"/>
  <c r="M4191" i="23"/>
  <c r="F4192" i="23"/>
  <c r="M4192" i="23"/>
  <c r="F4193" i="23"/>
  <c r="M4193" i="23"/>
  <c r="F4194" i="23"/>
  <c r="M4194" i="23"/>
  <c r="F4195" i="23"/>
  <c r="M4195" i="23"/>
  <c r="F4196" i="23"/>
  <c r="M4196" i="23"/>
  <c r="F4197" i="23"/>
  <c r="M4197" i="23"/>
  <c r="F4198" i="23"/>
  <c r="M4198" i="23"/>
  <c r="F4199" i="23"/>
  <c r="M4199" i="23"/>
  <c r="F4200" i="23"/>
  <c r="M4200" i="23"/>
  <c r="F4201" i="23"/>
  <c r="M4201" i="23"/>
  <c r="F4202" i="23"/>
  <c r="M4202" i="23"/>
  <c r="F4203" i="23"/>
  <c r="M4203" i="23"/>
  <c r="F4204" i="23"/>
  <c r="M4204" i="23"/>
  <c r="F4205" i="23"/>
  <c r="M4205" i="23"/>
  <c r="F4206" i="23"/>
  <c r="M4206" i="23"/>
  <c r="F4207" i="23"/>
  <c r="M4207" i="23"/>
  <c r="F4208" i="23"/>
  <c r="M4208" i="23"/>
  <c r="F4209" i="23"/>
  <c r="M4209" i="23"/>
  <c r="F4210" i="23"/>
  <c r="M4210" i="23"/>
  <c r="F4211" i="23"/>
  <c r="M4211" i="23"/>
  <c r="F4212" i="23"/>
  <c r="M4212" i="23"/>
  <c r="F4213" i="23"/>
  <c r="M4213" i="23"/>
  <c r="F4214" i="23"/>
  <c r="M4214" i="23"/>
  <c r="F4215" i="23"/>
  <c r="M4215" i="23"/>
  <c r="F4216" i="23"/>
  <c r="M4216" i="23"/>
  <c r="F4217" i="23"/>
  <c r="M4217" i="23"/>
  <c r="F4218" i="23"/>
  <c r="M4218" i="23"/>
  <c r="F4219" i="23"/>
  <c r="M4219" i="23"/>
  <c r="F4220" i="23"/>
  <c r="M4220" i="23"/>
  <c r="F4221" i="23"/>
  <c r="M4221" i="23"/>
  <c r="F4222" i="23"/>
  <c r="M4222" i="23"/>
  <c r="F4223" i="23"/>
  <c r="M4223" i="23"/>
  <c r="F4224" i="23"/>
  <c r="M4224" i="23"/>
  <c r="F4225" i="23"/>
  <c r="M4225" i="23"/>
  <c r="F4226" i="23"/>
  <c r="M4226" i="23"/>
  <c r="F4227" i="23"/>
  <c r="M4227" i="23"/>
  <c r="F4228" i="23"/>
  <c r="M4228" i="23"/>
  <c r="F4229" i="23"/>
  <c r="M4229" i="23"/>
  <c r="F4230" i="23"/>
  <c r="M4230" i="23"/>
  <c r="F4231" i="23"/>
  <c r="M4231" i="23"/>
  <c r="F4232" i="23"/>
  <c r="M4232" i="23"/>
  <c r="F4233" i="23"/>
  <c r="M4233" i="23"/>
  <c r="F4234" i="23"/>
  <c r="M4234" i="23"/>
  <c r="F4235" i="23"/>
  <c r="M4235" i="23"/>
  <c r="F4236" i="23"/>
  <c r="M4236" i="23"/>
  <c r="F4237" i="23"/>
  <c r="M4237" i="23"/>
  <c r="F4238" i="23"/>
  <c r="M4238" i="23"/>
  <c r="F4239" i="23"/>
  <c r="M4239" i="23"/>
  <c r="F4240" i="23"/>
  <c r="M4240" i="23"/>
  <c r="F4241" i="23"/>
  <c r="M4241" i="23"/>
  <c r="F4242" i="23"/>
  <c r="M4242" i="23"/>
  <c r="F4243" i="23"/>
  <c r="M4243" i="23"/>
  <c r="F4244" i="23"/>
  <c r="M4244" i="23"/>
  <c r="F4245" i="23"/>
  <c r="M4245" i="23"/>
  <c r="F4246" i="23"/>
  <c r="M4246" i="23"/>
  <c r="F4247" i="23"/>
  <c r="M4247" i="23"/>
  <c r="F4248" i="23"/>
  <c r="M4248" i="23"/>
  <c r="F4249" i="23"/>
  <c r="M4249" i="23"/>
  <c r="F4250" i="23"/>
  <c r="M4250" i="23"/>
  <c r="F4251" i="23"/>
  <c r="M4251" i="23"/>
  <c r="F4252" i="23"/>
  <c r="M4252" i="23"/>
  <c r="F4253" i="23"/>
  <c r="M4253" i="23"/>
  <c r="F4254" i="23"/>
  <c r="M4254" i="23"/>
  <c r="F4255" i="23"/>
  <c r="M4255" i="23"/>
  <c r="F4256" i="23"/>
  <c r="M4256" i="23"/>
  <c r="F4257" i="23"/>
  <c r="M4257" i="23"/>
  <c r="F4258" i="23"/>
  <c r="M4258" i="23"/>
  <c r="F4259" i="23"/>
  <c r="M4259" i="23"/>
  <c r="F4260" i="23"/>
  <c r="M4260" i="23"/>
  <c r="F4261" i="23"/>
  <c r="M4261" i="23"/>
  <c r="F4262" i="23"/>
  <c r="M4262" i="23"/>
  <c r="F4263" i="23"/>
  <c r="M4263" i="23"/>
  <c r="F4264" i="23"/>
  <c r="M4264" i="23"/>
  <c r="F4265" i="23"/>
  <c r="M4265" i="23"/>
  <c r="F4266" i="23"/>
  <c r="M4266" i="23"/>
  <c r="F4267" i="23"/>
  <c r="M4267" i="23"/>
  <c r="F4268" i="23"/>
  <c r="M4268" i="23"/>
  <c r="F4269" i="23"/>
  <c r="M4269" i="23"/>
  <c r="F4270" i="23"/>
  <c r="M4270" i="23"/>
  <c r="F4271" i="23"/>
  <c r="M4271" i="23"/>
  <c r="F4272" i="23"/>
  <c r="M4272" i="23"/>
  <c r="F4273" i="23"/>
  <c r="M4273" i="23"/>
  <c r="F4274" i="23"/>
  <c r="M4274" i="23"/>
  <c r="F4275" i="23"/>
  <c r="M4275" i="23"/>
  <c r="F4276" i="23"/>
  <c r="M4276" i="23"/>
  <c r="F4277" i="23"/>
  <c r="M4277" i="23"/>
  <c r="F4278" i="23"/>
  <c r="M4278" i="23"/>
  <c r="F4279" i="23"/>
  <c r="M4279" i="23"/>
  <c r="F4280" i="23"/>
  <c r="M4280" i="23"/>
  <c r="F4281" i="23"/>
  <c r="M4281" i="23"/>
  <c r="F4282" i="23"/>
  <c r="M4282" i="23"/>
  <c r="F4283" i="23"/>
  <c r="M4283" i="23"/>
  <c r="F4284" i="23"/>
  <c r="M4284" i="23"/>
  <c r="F4285" i="23"/>
  <c r="M4285" i="23"/>
  <c r="F4286" i="23"/>
  <c r="M4286" i="23"/>
  <c r="F4287" i="23"/>
  <c r="M4287" i="23"/>
  <c r="F4288" i="23"/>
  <c r="M4288" i="23"/>
  <c r="F4289" i="23"/>
  <c r="M4289" i="23"/>
  <c r="F4290" i="23"/>
  <c r="M4290" i="23"/>
  <c r="F4291" i="23"/>
  <c r="M4291" i="23"/>
  <c r="F4292" i="23"/>
  <c r="M4292" i="23"/>
  <c r="F4293" i="23"/>
  <c r="M4293" i="23"/>
  <c r="F4294" i="23"/>
  <c r="M4294" i="23"/>
  <c r="F4295" i="23"/>
  <c r="M4295" i="23"/>
  <c r="F4296" i="23"/>
  <c r="M4296" i="23"/>
  <c r="F4297" i="23"/>
  <c r="M4297" i="23"/>
  <c r="F4298" i="23"/>
  <c r="M4298" i="23"/>
  <c r="F4299" i="23"/>
  <c r="M4299" i="23"/>
  <c r="F4300" i="23"/>
  <c r="M4300" i="23"/>
  <c r="F4301" i="23"/>
  <c r="M4301" i="23"/>
  <c r="F4302" i="23"/>
  <c r="M4302" i="23"/>
  <c r="F4303" i="23"/>
  <c r="M4303" i="23"/>
  <c r="F4304" i="23"/>
  <c r="M4304" i="23"/>
  <c r="F4305" i="23"/>
  <c r="M4305" i="23"/>
  <c r="F4306" i="23"/>
  <c r="M4306" i="23"/>
  <c r="F4307" i="23"/>
  <c r="M4307" i="23"/>
  <c r="F4308" i="23"/>
  <c r="M4308" i="23"/>
  <c r="F4309" i="23"/>
  <c r="M4309" i="23"/>
  <c r="F4310" i="23"/>
  <c r="M4310" i="23"/>
  <c r="F4311" i="23"/>
  <c r="M4311" i="23"/>
  <c r="F4312" i="23"/>
  <c r="M4312" i="23"/>
  <c r="F4313" i="23"/>
  <c r="M4313" i="23"/>
  <c r="F4314" i="23"/>
  <c r="M4314" i="23"/>
  <c r="F4315" i="23"/>
  <c r="M4315" i="23"/>
  <c r="F4316" i="23"/>
  <c r="M4316" i="23"/>
  <c r="F4317" i="23"/>
  <c r="M4317" i="23"/>
  <c r="F4318" i="23"/>
  <c r="M4318" i="23"/>
  <c r="F4319" i="23"/>
  <c r="M4319" i="23"/>
  <c r="F4320" i="23"/>
  <c r="M4320" i="23"/>
  <c r="F4321" i="23"/>
  <c r="M4321" i="23"/>
  <c r="F4322" i="23"/>
  <c r="M4322" i="23"/>
  <c r="F4323" i="23"/>
  <c r="M4323" i="23"/>
  <c r="F4324" i="23"/>
  <c r="M4324" i="23"/>
  <c r="F4325" i="23"/>
  <c r="M4325" i="23"/>
  <c r="F4326" i="23"/>
  <c r="M4326" i="23"/>
  <c r="F4327" i="23"/>
  <c r="M4327" i="23"/>
  <c r="F4328" i="23"/>
  <c r="M4328" i="23"/>
  <c r="F4329" i="23"/>
  <c r="M4329" i="23"/>
  <c r="F4330" i="23"/>
  <c r="M4330" i="23"/>
  <c r="F4331" i="23"/>
  <c r="M4331" i="23"/>
  <c r="F4332" i="23"/>
  <c r="M4332" i="23"/>
  <c r="F4333" i="23"/>
  <c r="M4333" i="23"/>
  <c r="F4334" i="23"/>
  <c r="M4334" i="23"/>
  <c r="F4335" i="23"/>
  <c r="M4335" i="23"/>
  <c r="F4336" i="23"/>
  <c r="M4336" i="23"/>
  <c r="F4337" i="23"/>
  <c r="M4337" i="23"/>
  <c r="F4338" i="23"/>
  <c r="M4338" i="23"/>
  <c r="F4339" i="23"/>
  <c r="M4339" i="23"/>
  <c r="F4340" i="23"/>
  <c r="M4340" i="23"/>
  <c r="F4341" i="23"/>
  <c r="M4341" i="23"/>
  <c r="F4342" i="23"/>
  <c r="M4342" i="23"/>
  <c r="F4343" i="23"/>
  <c r="M4343" i="23"/>
  <c r="F4344" i="23"/>
  <c r="M4344" i="23"/>
  <c r="F4345" i="23"/>
  <c r="M4345" i="23"/>
  <c r="F4346" i="23"/>
  <c r="M4346" i="23"/>
  <c r="F4347" i="23"/>
  <c r="M4347" i="23"/>
  <c r="F4348" i="23"/>
  <c r="M4348" i="23"/>
  <c r="F4349" i="23"/>
  <c r="M4349" i="23"/>
  <c r="F4350" i="23"/>
  <c r="M4350" i="23"/>
  <c r="F4351" i="23"/>
  <c r="M4351" i="23"/>
  <c r="F4352" i="23"/>
  <c r="M4352" i="23"/>
  <c r="F4353" i="23"/>
  <c r="M4353" i="23"/>
  <c r="F4354" i="23"/>
  <c r="M4354" i="23"/>
  <c r="F4355" i="23"/>
  <c r="M4355" i="23"/>
  <c r="F4356" i="23"/>
  <c r="M4356" i="23"/>
  <c r="F4357" i="23"/>
  <c r="M4357" i="23"/>
  <c r="F4358" i="23"/>
  <c r="M4358" i="23"/>
  <c r="F4359" i="23"/>
  <c r="M4359" i="23"/>
  <c r="F4360" i="23"/>
  <c r="M4360" i="23"/>
  <c r="F4361" i="23"/>
  <c r="M4361" i="23"/>
  <c r="F4362" i="23"/>
  <c r="M4362" i="23"/>
  <c r="F4363" i="23"/>
  <c r="M4363" i="23"/>
  <c r="F4364" i="23"/>
  <c r="M4364" i="23"/>
  <c r="F4365" i="23"/>
  <c r="M4365" i="23"/>
  <c r="F4366" i="23"/>
  <c r="M4366" i="23"/>
  <c r="F4367" i="23"/>
  <c r="M4367" i="23"/>
  <c r="F4368" i="23"/>
  <c r="M4368" i="23"/>
  <c r="F4369" i="23"/>
  <c r="M4369" i="23"/>
  <c r="F4370" i="23"/>
  <c r="M4370" i="23"/>
  <c r="F4371" i="23"/>
  <c r="M4371" i="23"/>
  <c r="F4372" i="23"/>
  <c r="M4372" i="23"/>
  <c r="F4373" i="23"/>
  <c r="M4373" i="23"/>
  <c r="F4374" i="23"/>
  <c r="M4374" i="23"/>
  <c r="F4375" i="23"/>
  <c r="M4375" i="23"/>
  <c r="F4376" i="23"/>
  <c r="M4376" i="23"/>
  <c r="F4377" i="23"/>
  <c r="M4377" i="23"/>
  <c r="F4378" i="23"/>
  <c r="M4378" i="23"/>
  <c r="F4379" i="23"/>
  <c r="M4379" i="23"/>
  <c r="F4380" i="23"/>
  <c r="M4380" i="23"/>
  <c r="F4381" i="23"/>
  <c r="M4381" i="23"/>
  <c r="F4382" i="23"/>
  <c r="M4382" i="23"/>
  <c r="F4383" i="23"/>
  <c r="M4383" i="23"/>
  <c r="F4384" i="23"/>
  <c r="M4384" i="23"/>
  <c r="F4385" i="23"/>
  <c r="M4385" i="23"/>
  <c r="F4386" i="23"/>
  <c r="M4386" i="23"/>
  <c r="F4387" i="23"/>
  <c r="M4387" i="23"/>
  <c r="F4388" i="23"/>
  <c r="M4388" i="23"/>
  <c r="F4389" i="23"/>
  <c r="M4389" i="23"/>
  <c r="F4390" i="23"/>
  <c r="M4390" i="23"/>
  <c r="F4391" i="23"/>
  <c r="M4391" i="23"/>
  <c r="F4392" i="23"/>
  <c r="M4392" i="23"/>
  <c r="F4393" i="23"/>
  <c r="M4393" i="23"/>
  <c r="F4394" i="23"/>
  <c r="M4394" i="23"/>
  <c r="F4395" i="23"/>
  <c r="M4395" i="23"/>
  <c r="F4396" i="23"/>
  <c r="M4396" i="23"/>
  <c r="F4397" i="23"/>
  <c r="M4397" i="23"/>
  <c r="F4398" i="23"/>
  <c r="M4398" i="23"/>
  <c r="F4399" i="23"/>
  <c r="M4399" i="23"/>
  <c r="F4400" i="23"/>
  <c r="M4400" i="23"/>
  <c r="F4401" i="23"/>
  <c r="M4401" i="23"/>
  <c r="F4402" i="23"/>
  <c r="M4402" i="23"/>
  <c r="F4403" i="23"/>
  <c r="M4403" i="23"/>
  <c r="F4404" i="23"/>
  <c r="M4404" i="23"/>
  <c r="F4405" i="23"/>
  <c r="M4405" i="23"/>
  <c r="F4406" i="23"/>
  <c r="M4406" i="23"/>
  <c r="F4407" i="23"/>
  <c r="M4407" i="23"/>
  <c r="F4408" i="23"/>
  <c r="M4408" i="23"/>
  <c r="F4409" i="23"/>
  <c r="M4409" i="23"/>
  <c r="F4410" i="23"/>
  <c r="M4410" i="23"/>
  <c r="F4411" i="23"/>
  <c r="M4411" i="23"/>
  <c r="F4412" i="23"/>
  <c r="M4412" i="23"/>
  <c r="F4413" i="23"/>
  <c r="M4413" i="23"/>
  <c r="F4414" i="23"/>
  <c r="M4414" i="23"/>
  <c r="F4415" i="23"/>
  <c r="M4415" i="23"/>
  <c r="F4416" i="23"/>
  <c r="M4416" i="23"/>
  <c r="F4417" i="23"/>
  <c r="M4417" i="23"/>
  <c r="F4418" i="23"/>
  <c r="M4418" i="23"/>
  <c r="F4419" i="23"/>
  <c r="M4419" i="23"/>
  <c r="F4420" i="23"/>
  <c r="M4420" i="23"/>
  <c r="F4421" i="23"/>
  <c r="M4421" i="23"/>
  <c r="F4422" i="23"/>
  <c r="M4422" i="23"/>
  <c r="F4423" i="23"/>
  <c r="M4423" i="23"/>
  <c r="F4424" i="23"/>
  <c r="M4424" i="23"/>
  <c r="F4425" i="23"/>
  <c r="M4425" i="23"/>
  <c r="F4426" i="23"/>
  <c r="M4426" i="23"/>
  <c r="F4427" i="23"/>
  <c r="M4427" i="23"/>
  <c r="F4428" i="23"/>
  <c r="M4428" i="23"/>
  <c r="F4429" i="23"/>
  <c r="M4429" i="23"/>
  <c r="F4430" i="23"/>
  <c r="M4430" i="23"/>
  <c r="F4431" i="23"/>
  <c r="M4431" i="23"/>
  <c r="F4432" i="23"/>
  <c r="M4432" i="23"/>
  <c r="F4433" i="23"/>
  <c r="M4433" i="23"/>
  <c r="F4434" i="23"/>
  <c r="M4434" i="23"/>
  <c r="F4435" i="23"/>
  <c r="M4435" i="23"/>
  <c r="F4436" i="23"/>
  <c r="M4436" i="23"/>
  <c r="F4437" i="23"/>
  <c r="M4437" i="23"/>
  <c r="F4438" i="23"/>
  <c r="M4438" i="23"/>
  <c r="F4439" i="23"/>
  <c r="M4439" i="23"/>
  <c r="F4440" i="23"/>
  <c r="M4440" i="23"/>
  <c r="F4441" i="23"/>
  <c r="M4441" i="23"/>
  <c r="F4442" i="23"/>
  <c r="M4442" i="23"/>
  <c r="F4443" i="23"/>
  <c r="M4443" i="23"/>
  <c r="F4444" i="23"/>
  <c r="M4444" i="23"/>
  <c r="F4445" i="23"/>
  <c r="M4445" i="23"/>
  <c r="F4446" i="23"/>
  <c r="M4446" i="23"/>
  <c r="F4447" i="23"/>
  <c r="M4447" i="23"/>
  <c r="F4448" i="23"/>
  <c r="M4448" i="23"/>
  <c r="F4449" i="23"/>
  <c r="M4449" i="23"/>
  <c r="F4450" i="23"/>
  <c r="M4450" i="23"/>
  <c r="F4451" i="23"/>
  <c r="M4451" i="23"/>
  <c r="F4452" i="23"/>
  <c r="M4452" i="23"/>
  <c r="F4453" i="23"/>
  <c r="M4453" i="23"/>
  <c r="F4454" i="23"/>
  <c r="M4454" i="23"/>
  <c r="F4455" i="23"/>
  <c r="M4455" i="23"/>
  <c r="F4456" i="23"/>
  <c r="M4456" i="23"/>
  <c r="F4457" i="23"/>
  <c r="M4457" i="23"/>
  <c r="F4458" i="23"/>
  <c r="M4458" i="23"/>
  <c r="F4459" i="23"/>
  <c r="M4459" i="23"/>
  <c r="F4460" i="23"/>
  <c r="M4460" i="23"/>
  <c r="F4461" i="23"/>
  <c r="M4461" i="23"/>
  <c r="F4462" i="23"/>
  <c r="M4462" i="23"/>
  <c r="F4463" i="23"/>
  <c r="M4463" i="23"/>
  <c r="F4464" i="23"/>
  <c r="M4464" i="23"/>
  <c r="F4465" i="23"/>
  <c r="M4465" i="23"/>
  <c r="F4466" i="23"/>
  <c r="M4466" i="23"/>
  <c r="F4467" i="23"/>
  <c r="M4467" i="23"/>
  <c r="F4468" i="23"/>
  <c r="M4468" i="23"/>
  <c r="F4469" i="23"/>
  <c r="M4469" i="23"/>
  <c r="F4470" i="23"/>
  <c r="M4470" i="23"/>
  <c r="F4471" i="23"/>
  <c r="M4471" i="23"/>
  <c r="F4472" i="23"/>
  <c r="M4472" i="23"/>
  <c r="F4473" i="23"/>
  <c r="M4473" i="23"/>
  <c r="F4474" i="23"/>
  <c r="M4474" i="23"/>
  <c r="F4475" i="23"/>
  <c r="M4475" i="23"/>
  <c r="F4476" i="23"/>
  <c r="M4476" i="23"/>
  <c r="F4477" i="23"/>
  <c r="M4477" i="23"/>
  <c r="F4478" i="23"/>
  <c r="M4478" i="23"/>
  <c r="F4479" i="23"/>
  <c r="M4479" i="23"/>
  <c r="F4480" i="23"/>
  <c r="M4480" i="23"/>
  <c r="F4481" i="23"/>
  <c r="M4481" i="23"/>
  <c r="F4482" i="23"/>
  <c r="M4482" i="23"/>
  <c r="F4483" i="23"/>
  <c r="M4483" i="23"/>
  <c r="F4484" i="23"/>
  <c r="M4484" i="23"/>
  <c r="F4485" i="23"/>
  <c r="M4485" i="23"/>
  <c r="F4486" i="23"/>
  <c r="M4486" i="23"/>
  <c r="F4487" i="23"/>
  <c r="M4487" i="23"/>
  <c r="F4488" i="23"/>
  <c r="M4488" i="23"/>
  <c r="F4489" i="23"/>
  <c r="M4489" i="23"/>
  <c r="F4490" i="23"/>
  <c r="M4490" i="23"/>
  <c r="F4491" i="23"/>
  <c r="M4491" i="23"/>
  <c r="F4492" i="23"/>
  <c r="M4492" i="23"/>
  <c r="F4493" i="23"/>
  <c r="M4493" i="23"/>
  <c r="F4494" i="23"/>
  <c r="M4494" i="23"/>
  <c r="F4495" i="23"/>
  <c r="M4495" i="23"/>
  <c r="F4496" i="23"/>
  <c r="M4496" i="23"/>
  <c r="F4497" i="23"/>
  <c r="M4497" i="23"/>
  <c r="F4498" i="23"/>
  <c r="M4498" i="23"/>
  <c r="F4499" i="23"/>
  <c r="M4499" i="23"/>
  <c r="F4500" i="23"/>
  <c r="M4500" i="23"/>
  <c r="F4501" i="23"/>
  <c r="M4501" i="23"/>
  <c r="F4502" i="23"/>
  <c r="M4502" i="23"/>
  <c r="F4503" i="23"/>
  <c r="M4503" i="23"/>
  <c r="F4504" i="23"/>
  <c r="M4504" i="23"/>
  <c r="F4505" i="23"/>
  <c r="M4505" i="23"/>
  <c r="F4506" i="23"/>
  <c r="M4506" i="23"/>
  <c r="F4507" i="23"/>
  <c r="M4507" i="23"/>
  <c r="F4508" i="23"/>
  <c r="M4508" i="23"/>
  <c r="F4509" i="23"/>
  <c r="M4509" i="23"/>
  <c r="F4510" i="23"/>
  <c r="M4510" i="23"/>
  <c r="F4511" i="23"/>
  <c r="M4511" i="23"/>
  <c r="F4512" i="23"/>
  <c r="M4512" i="23"/>
  <c r="F4513" i="23"/>
  <c r="M4513" i="23"/>
  <c r="F4514" i="23"/>
  <c r="M4514" i="23"/>
  <c r="F4515" i="23"/>
  <c r="M4515" i="23"/>
  <c r="F4516" i="23"/>
  <c r="M4516" i="23"/>
  <c r="F4517" i="23"/>
  <c r="M4517" i="23"/>
  <c r="F4518" i="23"/>
  <c r="M4518" i="23"/>
  <c r="F4519" i="23"/>
  <c r="M4519" i="23"/>
  <c r="F4520" i="23"/>
  <c r="M4520" i="23"/>
  <c r="F4521" i="23"/>
  <c r="M4521" i="23"/>
  <c r="F4522" i="23"/>
  <c r="M4522" i="23"/>
  <c r="F4523" i="23"/>
  <c r="M4523" i="23"/>
  <c r="F4524" i="23"/>
  <c r="M4524" i="23"/>
  <c r="F4525" i="23"/>
  <c r="M4525" i="23"/>
  <c r="F4526" i="23"/>
  <c r="M4526" i="23"/>
  <c r="F4527" i="23"/>
  <c r="M4527" i="23"/>
  <c r="F4528" i="23"/>
  <c r="M4528" i="23"/>
  <c r="F4529" i="23"/>
  <c r="M4529" i="23"/>
  <c r="F4530" i="23"/>
  <c r="M4530" i="23"/>
  <c r="F4531" i="23"/>
  <c r="M4531" i="23"/>
  <c r="F4532" i="23"/>
  <c r="M4532" i="23"/>
  <c r="F4533" i="23"/>
  <c r="M4533" i="23"/>
  <c r="F4534" i="23"/>
  <c r="M4534" i="23"/>
  <c r="F4535" i="23"/>
  <c r="M4535" i="23"/>
  <c r="F4536" i="23"/>
  <c r="M4536" i="23"/>
  <c r="F4537" i="23"/>
  <c r="M4537" i="23"/>
  <c r="F4538" i="23"/>
  <c r="M4538" i="23"/>
  <c r="F4539" i="23"/>
  <c r="M4539" i="23"/>
  <c r="F4540" i="23"/>
  <c r="M4540" i="23"/>
  <c r="F4541" i="23"/>
  <c r="M4541" i="23"/>
  <c r="F4542" i="23"/>
  <c r="M4542" i="23"/>
  <c r="F4543" i="23"/>
  <c r="M4543" i="23"/>
  <c r="F4544" i="23"/>
  <c r="M4544" i="23"/>
  <c r="F4545" i="23"/>
  <c r="M4545" i="23"/>
  <c r="F4546" i="23"/>
  <c r="M4546" i="23"/>
  <c r="F4547" i="23"/>
  <c r="M4547" i="23"/>
  <c r="F4548" i="23"/>
  <c r="M4548" i="23"/>
  <c r="F4549" i="23"/>
  <c r="M4549" i="23"/>
  <c r="F4550" i="23"/>
  <c r="M4550" i="23"/>
  <c r="F4551" i="23"/>
  <c r="M4551" i="23"/>
  <c r="F4552" i="23"/>
  <c r="M4552" i="23"/>
  <c r="F4553" i="23"/>
  <c r="M4553" i="23"/>
  <c r="F4554" i="23"/>
  <c r="M4554" i="23"/>
  <c r="F4555" i="23"/>
  <c r="M4555" i="23"/>
  <c r="F4556" i="23"/>
  <c r="M4556" i="23"/>
  <c r="F4557" i="23"/>
  <c r="M4557" i="23"/>
  <c r="F4558" i="23"/>
  <c r="M4558" i="23"/>
  <c r="F4559" i="23"/>
  <c r="M4559" i="23"/>
  <c r="F4560" i="23"/>
  <c r="M4560" i="23"/>
  <c r="F4561" i="23"/>
  <c r="M4561" i="23"/>
  <c r="F4562" i="23"/>
  <c r="M4562" i="23"/>
  <c r="F4563" i="23"/>
  <c r="M4563" i="23"/>
  <c r="F4564" i="23"/>
  <c r="M4564" i="23"/>
  <c r="F4565" i="23"/>
  <c r="M4565" i="23"/>
  <c r="F4566" i="23"/>
  <c r="M4566" i="23"/>
  <c r="F4567" i="23"/>
  <c r="M4567" i="23"/>
  <c r="F4568" i="23"/>
  <c r="M4568" i="23"/>
  <c r="F4569" i="23"/>
  <c r="M4569" i="23"/>
  <c r="F4570" i="23"/>
  <c r="M4570" i="23"/>
  <c r="F4571" i="23"/>
  <c r="M4571" i="23"/>
  <c r="F4572" i="23"/>
  <c r="M4572" i="23"/>
  <c r="F4573" i="23"/>
  <c r="M4573" i="23"/>
  <c r="F4574" i="23"/>
  <c r="M4574" i="23"/>
  <c r="F4575" i="23"/>
  <c r="M4575" i="23"/>
  <c r="F4576" i="23"/>
  <c r="M4576" i="23"/>
  <c r="F4577" i="23"/>
  <c r="M4577" i="23"/>
  <c r="F4578" i="23"/>
  <c r="M4578" i="23"/>
  <c r="F4579" i="23"/>
  <c r="M4579" i="23"/>
  <c r="F4580" i="23"/>
  <c r="M4580" i="23"/>
  <c r="F4581" i="23"/>
  <c r="M4581" i="23"/>
  <c r="F4582" i="23"/>
  <c r="M4582" i="23"/>
  <c r="F4583" i="23"/>
  <c r="M4583" i="23"/>
  <c r="F4584" i="23"/>
  <c r="M4584" i="23"/>
  <c r="F4585" i="23"/>
  <c r="M4585" i="23"/>
  <c r="F4586" i="23"/>
  <c r="M4586" i="23"/>
  <c r="F4587" i="23"/>
  <c r="M4587" i="23"/>
  <c r="F4588" i="23"/>
  <c r="M4588" i="23"/>
  <c r="F4589" i="23"/>
  <c r="M4589" i="23"/>
  <c r="F4590" i="23"/>
  <c r="M4590" i="23"/>
  <c r="F4591" i="23"/>
  <c r="M4591" i="23"/>
  <c r="F4592" i="23"/>
  <c r="M4592" i="23"/>
  <c r="F4593" i="23"/>
  <c r="M4593" i="23"/>
  <c r="F4594" i="23"/>
  <c r="M4594" i="23"/>
  <c r="F4595" i="23"/>
  <c r="M4595" i="23"/>
  <c r="F4596" i="23"/>
  <c r="M4596" i="23"/>
  <c r="F4597" i="23"/>
  <c r="M4597" i="23"/>
  <c r="F4598" i="23"/>
  <c r="M4598" i="23"/>
  <c r="F4599" i="23"/>
  <c r="M4599" i="23"/>
  <c r="F4600" i="23"/>
  <c r="M4600" i="23"/>
  <c r="F4601" i="23"/>
  <c r="M4601" i="23"/>
  <c r="F4602" i="23"/>
  <c r="M4602" i="23"/>
  <c r="F4603" i="23"/>
  <c r="M4603" i="23"/>
  <c r="F4604" i="23"/>
  <c r="M4604" i="23"/>
  <c r="F4605" i="23"/>
  <c r="M4605" i="23"/>
  <c r="F4606" i="23"/>
  <c r="M4606" i="23"/>
  <c r="F4607" i="23"/>
  <c r="M4607" i="23"/>
  <c r="F4608" i="23"/>
  <c r="M4608" i="23"/>
  <c r="F4609" i="23"/>
  <c r="M4609" i="23"/>
  <c r="F4610" i="23"/>
  <c r="M4610" i="23"/>
  <c r="F4611" i="23"/>
  <c r="M4611" i="23"/>
  <c r="F4612" i="23"/>
  <c r="M4612" i="23"/>
  <c r="F4613" i="23"/>
  <c r="M4613" i="23"/>
  <c r="F4614" i="23"/>
  <c r="M4614" i="23"/>
  <c r="F4615" i="23"/>
  <c r="M4615" i="23"/>
  <c r="F4616" i="23"/>
  <c r="M4616" i="23"/>
  <c r="F4617" i="23"/>
  <c r="M4617" i="23"/>
  <c r="F4618" i="23"/>
  <c r="M4618" i="23"/>
  <c r="F4619" i="23"/>
  <c r="M4619" i="23"/>
  <c r="F4620" i="23"/>
  <c r="M4620" i="23"/>
  <c r="F4621" i="23"/>
  <c r="M4621" i="23"/>
  <c r="F4622" i="23"/>
  <c r="M4622" i="23"/>
  <c r="F4623" i="23"/>
  <c r="M4623" i="23"/>
  <c r="F4624" i="23"/>
  <c r="M4624" i="23"/>
  <c r="F4625" i="23"/>
  <c r="M4625" i="23"/>
  <c r="F4626" i="23"/>
  <c r="M4626" i="23"/>
  <c r="F4627" i="23"/>
  <c r="M4627" i="23"/>
  <c r="F4628" i="23"/>
  <c r="M4628" i="23"/>
  <c r="F4629" i="23"/>
  <c r="M4629" i="23"/>
  <c r="F4630" i="23"/>
  <c r="M4630" i="23"/>
  <c r="F4631" i="23"/>
  <c r="M4631" i="23"/>
  <c r="F4632" i="23"/>
  <c r="M4632" i="23"/>
  <c r="F4633" i="23"/>
  <c r="M4633" i="23"/>
  <c r="F4634" i="23"/>
  <c r="M4634" i="23"/>
  <c r="F4635" i="23"/>
  <c r="M4635" i="23"/>
  <c r="F4636" i="23"/>
  <c r="M4636" i="23"/>
  <c r="F4637" i="23"/>
  <c r="M4637" i="23"/>
  <c r="F4638" i="23"/>
  <c r="M4638" i="23"/>
  <c r="F4639" i="23"/>
  <c r="M4639" i="23"/>
  <c r="F4640" i="23"/>
  <c r="M4640" i="23"/>
  <c r="F4641" i="23"/>
  <c r="M4641" i="23"/>
  <c r="F4642" i="23"/>
  <c r="M4642" i="23"/>
  <c r="F4643" i="23"/>
  <c r="M4643" i="23"/>
  <c r="F4644" i="23"/>
  <c r="M4644" i="23"/>
  <c r="F4645" i="23"/>
  <c r="M4645" i="23"/>
  <c r="F4646" i="23"/>
  <c r="M4646" i="23"/>
  <c r="F4647" i="23"/>
  <c r="M4647" i="23"/>
  <c r="F4648" i="23"/>
  <c r="M4648" i="23"/>
  <c r="F4649" i="23"/>
  <c r="M4649" i="23"/>
  <c r="F4650" i="23"/>
  <c r="M4650" i="23"/>
  <c r="F4651" i="23"/>
  <c r="M4651" i="23"/>
  <c r="F4652" i="23"/>
  <c r="M4652" i="23"/>
  <c r="F4653" i="23"/>
  <c r="M4653" i="23"/>
  <c r="F4654" i="23"/>
  <c r="M4654" i="23"/>
  <c r="F4655" i="23"/>
  <c r="M4655" i="23"/>
  <c r="F4656" i="23"/>
  <c r="M4656" i="23"/>
  <c r="F4657" i="23"/>
  <c r="M4657" i="23"/>
  <c r="F4658" i="23"/>
  <c r="M4658" i="23"/>
  <c r="F4659" i="23"/>
  <c r="M4659" i="23"/>
  <c r="F4660" i="23"/>
  <c r="M4660" i="23"/>
  <c r="F4661" i="23"/>
  <c r="M4661" i="23"/>
  <c r="F4662" i="23"/>
  <c r="M4662" i="23"/>
  <c r="F4663" i="23"/>
  <c r="M4663" i="23"/>
  <c r="F4664" i="23"/>
  <c r="M4664" i="23"/>
  <c r="F4665" i="23"/>
  <c r="M4665" i="23"/>
  <c r="F4666" i="23"/>
  <c r="M4666" i="23"/>
  <c r="F4667" i="23"/>
  <c r="M4667" i="23"/>
  <c r="F4668" i="23"/>
  <c r="M4668" i="23"/>
  <c r="F4669" i="23"/>
  <c r="M4669" i="23"/>
  <c r="F4670" i="23"/>
  <c r="M4670" i="23"/>
  <c r="F4671" i="23"/>
  <c r="M4671" i="23"/>
  <c r="F4672" i="23"/>
  <c r="M4672" i="23"/>
  <c r="F4673" i="23"/>
  <c r="M4673" i="23"/>
  <c r="F4674" i="23"/>
  <c r="M4674" i="23"/>
  <c r="F4675" i="23"/>
  <c r="M4675" i="23"/>
  <c r="F4676" i="23"/>
  <c r="M4676" i="23"/>
  <c r="F4677" i="23"/>
  <c r="M4677" i="23"/>
  <c r="F4678" i="23"/>
  <c r="M4678" i="23"/>
  <c r="F4679" i="23"/>
  <c r="M4679" i="23"/>
  <c r="F4680" i="23"/>
  <c r="M4680" i="23"/>
  <c r="F4681" i="23"/>
  <c r="M4681" i="23"/>
  <c r="F4682" i="23"/>
  <c r="M4682" i="23"/>
  <c r="F4683" i="23"/>
  <c r="M4683" i="23"/>
  <c r="F4684" i="23"/>
  <c r="M4684" i="23"/>
  <c r="F4685" i="23"/>
  <c r="M4685" i="23"/>
  <c r="F4686" i="23"/>
  <c r="M4686" i="23"/>
  <c r="F4687" i="23"/>
  <c r="M4687" i="23"/>
  <c r="F4688" i="23"/>
  <c r="M4688" i="23"/>
  <c r="F4689" i="23"/>
  <c r="M4689" i="23"/>
  <c r="F4690" i="23"/>
  <c r="M4690" i="23"/>
  <c r="F4691" i="23"/>
  <c r="M4691" i="23"/>
  <c r="F4692" i="23"/>
  <c r="M4692" i="23"/>
  <c r="F4693" i="23"/>
  <c r="M4693" i="23"/>
  <c r="F4694" i="23"/>
  <c r="M4694" i="23"/>
  <c r="F4695" i="23"/>
  <c r="M4695" i="23"/>
  <c r="F4696" i="23"/>
  <c r="M4696" i="23"/>
  <c r="F4697" i="23"/>
  <c r="M4697" i="23"/>
  <c r="F4698" i="23"/>
  <c r="M4698" i="23"/>
  <c r="F4699" i="23"/>
  <c r="M4699" i="23"/>
  <c r="F4700" i="23"/>
  <c r="M4700" i="23"/>
  <c r="F4701" i="23"/>
  <c r="M4701" i="23"/>
  <c r="F4702" i="23"/>
  <c r="M4702" i="23"/>
  <c r="F4703" i="23"/>
  <c r="M4703" i="23"/>
  <c r="F4704" i="23"/>
  <c r="M4704" i="23"/>
  <c r="F4705" i="23"/>
  <c r="M4705" i="23"/>
  <c r="F4706" i="23"/>
  <c r="M4706" i="23"/>
  <c r="F4707" i="23"/>
  <c r="M4707" i="23"/>
  <c r="F4708" i="23"/>
  <c r="M4708" i="23"/>
  <c r="F4709" i="23"/>
  <c r="M4709" i="23"/>
  <c r="F4710" i="23"/>
  <c r="M4710" i="23"/>
  <c r="F4711" i="23"/>
  <c r="M4711" i="23"/>
  <c r="F4712" i="23"/>
  <c r="M4712" i="23"/>
  <c r="F4713" i="23"/>
  <c r="M4713" i="23"/>
  <c r="F4714" i="23"/>
  <c r="M4714" i="23"/>
  <c r="F4715" i="23"/>
  <c r="M4715" i="23"/>
  <c r="F4716" i="23"/>
  <c r="M4716" i="23"/>
  <c r="F4717" i="23"/>
  <c r="M4717" i="23"/>
  <c r="F4718" i="23"/>
  <c r="M4718" i="23"/>
  <c r="F4719" i="23"/>
  <c r="M4719" i="23"/>
  <c r="F4720" i="23"/>
  <c r="M4720" i="23"/>
  <c r="F4721" i="23"/>
  <c r="M4721" i="23"/>
  <c r="F4722" i="23"/>
  <c r="M4722" i="23"/>
  <c r="F4723" i="23"/>
  <c r="M4723" i="23"/>
  <c r="F4724" i="23"/>
  <c r="M4724" i="23"/>
  <c r="F4725" i="23"/>
  <c r="M4725" i="23"/>
  <c r="F4726" i="23"/>
  <c r="M4726" i="23"/>
  <c r="F4727" i="23"/>
  <c r="M4727" i="23"/>
  <c r="F4728" i="23"/>
  <c r="M4728" i="23"/>
  <c r="F4729" i="23"/>
  <c r="M4729" i="23"/>
  <c r="F4730" i="23"/>
  <c r="M4730" i="23"/>
  <c r="F4731" i="23"/>
  <c r="M4731" i="23"/>
  <c r="F4732" i="23"/>
  <c r="M4732" i="23"/>
  <c r="F4733" i="23"/>
  <c r="M4733" i="23"/>
  <c r="F4734" i="23"/>
  <c r="M4734" i="23"/>
  <c r="F4735" i="23"/>
  <c r="M4735" i="23"/>
  <c r="F4736" i="23"/>
  <c r="M4736" i="23"/>
  <c r="F4737" i="23"/>
  <c r="M4737" i="23"/>
  <c r="F4738" i="23"/>
  <c r="M4738" i="23"/>
  <c r="F4739" i="23"/>
  <c r="M4739" i="23"/>
  <c r="F4740" i="23"/>
  <c r="M4740" i="23"/>
  <c r="F4741" i="23"/>
  <c r="M4741" i="23"/>
  <c r="F4742" i="23"/>
  <c r="M4742" i="23"/>
  <c r="F4743" i="23"/>
  <c r="M4743" i="23"/>
  <c r="F4744" i="23"/>
  <c r="M4744" i="23"/>
  <c r="F4745" i="23"/>
  <c r="M4745" i="23"/>
  <c r="F4746" i="23"/>
  <c r="M4746" i="23"/>
  <c r="F4747" i="23"/>
  <c r="M4747" i="23"/>
  <c r="F4748" i="23"/>
  <c r="M4748" i="23"/>
  <c r="F4749" i="23"/>
  <c r="M4749" i="23"/>
  <c r="F4750" i="23"/>
  <c r="M4750" i="23"/>
  <c r="F4751" i="23"/>
  <c r="M4751" i="23"/>
  <c r="F4752" i="23"/>
  <c r="M4752" i="23"/>
  <c r="F4753" i="23"/>
  <c r="M4753" i="23"/>
  <c r="F4754" i="23"/>
  <c r="M4754" i="23"/>
  <c r="F4755" i="23"/>
  <c r="M4755" i="23"/>
  <c r="F4756" i="23"/>
  <c r="M4756" i="23"/>
  <c r="F4757" i="23"/>
  <c r="M4757" i="23"/>
  <c r="F4758" i="23"/>
  <c r="M4758" i="23"/>
  <c r="F4759" i="23"/>
  <c r="M4759" i="23"/>
  <c r="F4760" i="23"/>
  <c r="M4760" i="23"/>
  <c r="F4761" i="23"/>
  <c r="M4761" i="23"/>
  <c r="F4762" i="23"/>
  <c r="M4762" i="23"/>
  <c r="F4763" i="23"/>
  <c r="M4763" i="23"/>
  <c r="F4764" i="23"/>
  <c r="M4764" i="23"/>
  <c r="F4765" i="23"/>
  <c r="M4765" i="23"/>
  <c r="F4766" i="23"/>
  <c r="M4766" i="23"/>
  <c r="F4767" i="23"/>
  <c r="M4767" i="23"/>
  <c r="F4768" i="23"/>
  <c r="M4768" i="23"/>
  <c r="F4769" i="23"/>
  <c r="M4769" i="23"/>
  <c r="F4770" i="23"/>
  <c r="M4770" i="23"/>
  <c r="F4771" i="23"/>
  <c r="M4771" i="23"/>
  <c r="F4772" i="23"/>
  <c r="M4772" i="23"/>
  <c r="F4773" i="23"/>
  <c r="M4773" i="23"/>
  <c r="F4774" i="23"/>
  <c r="M4774" i="23"/>
  <c r="F4775" i="23"/>
  <c r="M4775" i="23"/>
  <c r="F4776" i="23"/>
  <c r="M4776" i="23"/>
  <c r="F4777" i="23"/>
  <c r="M4777" i="23"/>
  <c r="F4778" i="23"/>
  <c r="M4778" i="23"/>
  <c r="F4779" i="23"/>
  <c r="M4779" i="23"/>
  <c r="F4780" i="23"/>
  <c r="M4780" i="23"/>
  <c r="F4781" i="23"/>
  <c r="M4781" i="23"/>
  <c r="F4782" i="23"/>
  <c r="M4782" i="23"/>
  <c r="F4783" i="23"/>
  <c r="M4783" i="23"/>
  <c r="F4784" i="23"/>
  <c r="M4784" i="23"/>
  <c r="F4785" i="23"/>
  <c r="M4785" i="23"/>
  <c r="F4786" i="23"/>
  <c r="M4786" i="23"/>
  <c r="F4787" i="23"/>
  <c r="M4787" i="23"/>
  <c r="F4788" i="23"/>
  <c r="M4788" i="23"/>
  <c r="F4789" i="23"/>
  <c r="M4789" i="23"/>
  <c r="F4790" i="23"/>
  <c r="M4790" i="23"/>
  <c r="F4791" i="23"/>
  <c r="M4791" i="23"/>
  <c r="F4792" i="23"/>
  <c r="M4792" i="23"/>
  <c r="F4793" i="23"/>
  <c r="M4793" i="23"/>
  <c r="F4794" i="23"/>
  <c r="M4794" i="23"/>
  <c r="F4795" i="23"/>
  <c r="M4795" i="23"/>
  <c r="F4796" i="23"/>
  <c r="M4796" i="23"/>
  <c r="F4797" i="23"/>
  <c r="M4797" i="23"/>
  <c r="F4798" i="23"/>
  <c r="M4798" i="23"/>
  <c r="F4799" i="23"/>
  <c r="M4799" i="23"/>
  <c r="F4800" i="23"/>
  <c r="M4800" i="23"/>
  <c r="F4801" i="23"/>
  <c r="M4801" i="23"/>
  <c r="F4802" i="23"/>
  <c r="M4802" i="23"/>
  <c r="F4803" i="23"/>
  <c r="M4803" i="23"/>
  <c r="F4804" i="23"/>
  <c r="M4804" i="23"/>
  <c r="F4805" i="23"/>
  <c r="M4805" i="23"/>
  <c r="F4806" i="23"/>
  <c r="M4806" i="23"/>
  <c r="F4807" i="23"/>
  <c r="M4807" i="23"/>
  <c r="F4808" i="23"/>
  <c r="M4808" i="23"/>
  <c r="F4809" i="23"/>
  <c r="M4809" i="23"/>
  <c r="F4810" i="23"/>
  <c r="M4810" i="23"/>
  <c r="F4811" i="23"/>
  <c r="M4811" i="23"/>
  <c r="F4812" i="23"/>
  <c r="M4812" i="23"/>
  <c r="F4813" i="23"/>
  <c r="M4813" i="23"/>
  <c r="F4814" i="23"/>
  <c r="M4814" i="23"/>
  <c r="F4815" i="23"/>
  <c r="M4815" i="23"/>
  <c r="F4816" i="23"/>
  <c r="M4816" i="23"/>
  <c r="F4817" i="23"/>
  <c r="M4817" i="23"/>
  <c r="F4818" i="23"/>
  <c r="M4818" i="23"/>
  <c r="F4819" i="23"/>
  <c r="M4819" i="23"/>
  <c r="F4820" i="23"/>
  <c r="M4820" i="23"/>
  <c r="F4821" i="23"/>
  <c r="M4821" i="23"/>
  <c r="F4822" i="23"/>
  <c r="M4822" i="23"/>
  <c r="F4823" i="23"/>
  <c r="M4823" i="23"/>
  <c r="F4824" i="23"/>
  <c r="M4824" i="23"/>
  <c r="F4825" i="23"/>
  <c r="M4825" i="23"/>
  <c r="F4826" i="23"/>
  <c r="M4826" i="23"/>
  <c r="F4827" i="23"/>
  <c r="M4827" i="23"/>
  <c r="F4828" i="23"/>
  <c r="M4828" i="23"/>
  <c r="F4829" i="23"/>
  <c r="M4829" i="23"/>
  <c r="F4830" i="23"/>
  <c r="M4830" i="23"/>
  <c r="F4831" i="23"/>
  <c r="M4831" i="23"/>
  <c r="F4832" i="23"/>
  <c r="M4832" i="23"/>
  <c r="F4833" i="23"/>
  <c r="M4833" i="23"/>
  <c r="F4834" i="23"/>
  <c r="M4834" i="23"/>
  <c r="F4835" i="23"/>
  <c r="M4835" i="23"/>
  <c r="F4836" i="23"/>
  <c r="M4836" i="23"/>
  <c r="F4837" i="23"/>
  <c r="M4837" i="23"/>
  <c r="F4838" i="23"/>
  <c r="M4838" i="23"/>
  <c r="F4839" i="23"/>
  <c r="M4839" i="23"/>
  <c r="F4840" i="23"/>
  <c r="M4840" i="23"/>
  <c r="F4841" i="23"/>
  <c r="M4841" i="23"/>
  <c r="F4842" i="23"/>
  <c r="M4842" i="23"/>
  <c r="F4843" i="23"/>
  <c r="M4843" i="23"/>
  <c r="F4844" i="23"/>
  <c r="M4844" i="23"/>
  <c r="F4845" i="23"/>
  <c r="M4845" i="23"/>
  <c r="F4846" i="23"/>
  <c r="M4846" i="23"/>
  <c r="F4847" i="23"/>
  <c r="M4847" i="23"/>
  <c r="F4848" i="23"/>
  <c r="M4848" i="23"/>
  <c r="F4849" i="23"/>
  <c r="M4849" i="23"/>
  <c r="F4850" i="23"/>
  <c r="M4850" i="23"/>
  <c r="F4851" i="23"/>
  <c r="M4851" i="23"/>
  <c r="F4852" i="23"/>
  <c r="M4852" i="23"/>
  <c r="F4853" i="23"/>
  <c r="M4853" i="23"/>
  <c r="F4854" i="23"/>
  <c r="M4854" i="23"/>
  <c r="F4855" i="23"/>
  <c r="M4855" i="23"/>
  <c r="F4856" i="23"/>
  <c r="M4856" i="23"/>
  <c r="F4857" i="23"/>
  <c r="M4857" i="23"/>
  <c r="F4858" i="23"/>
  <c r="M4858" i="23"/>
  <c r="F4859" i="23"/>
  <c r="M4859" i="23"/>
  <c r="F4860" i="23"/>
  <c r="M4860" i="23"/>
  <c r="F4861" i="23"/>
  <c r="M4861" i="23"/>
  <c r="F4862" i="23"/>
  <c r="M4862" i="23"/>
  <c r="F4863" i="23"/>
  <c r="M4863" i="23"/>
  <c r="F4864" i="23"/>
  <c r="M4864" i="23"/>
  <c r="F4865" i="23"/>
  <c r="M4865" i="23"/>
  <c r="F4866" i="23"/>
  <c r="M4866" i="23"/>
  <c r="F4867" i="23"/>
  <c r="M4867" i="23"/>
  <c r="F4868" i="23"/>
  <c r="M4868" i="23"/>
  <c r="F4869" i="23"/>
  <c r="M4869" i="23"/>
  <c r="F4870" i="23"/>
  <c r="M4870" i="23"/>
  <c r="F4871" i="23"/>
  <c r="M4871" i="23"/>
  <c r="F4872" i="23"/>
  <c r="M4872" i="23"/>
  <c r="F4873" i="23"/>
  <c r="M4873" i="23"/>
  <c r="F4874" i="23"/>
  <c r="M4874" i="23"/>
  <c r="F4875" i="23"/>
  <c r="M4875" i="23"/>
  <c r="F4876" i="23"/>
  <c r="M4876" i="23"/>
  <c r="F4877" i="23"/>
  <c r="M4877" i="23"/>
  <c r="F4878" i="23"/>
  <c r="M4878" i="23"/>
  <c r="F4879" i="23"/>
  <c r="M4879" i="23"/>
  <c r="F4880" i="23"/>
  <c r="M4880" i="23"/>
  <c r="F4881" i="23"/>
  <c r="M4881" i="23"/>
  <c r="F4882" i="23"/>
  <c r="M4882" i="23"/>
  <c r="F4883" i="23"/>
  <c r="M4883" i="23"/>
  <c r="F4884" i="23"/>
  <c r="M4884" i="23"/>
  <c r="F4885" i="23"/>
  <c r="M4885" i="23"/>
  <c r="F4886" i="23"/>
  <c r="M4886" i="23"/>
  <c r="F4887" i="23"/>
  <c r="M4887" i="23"/>
  <c r="F4888" i="23"/>
  <c r="M4888" i="23"/>
  <c r="F4889" i="23"/>
  <c r="M4889" i="23"/>
  <c r="F4890" i="23"/>
  <c r="M4890" i="23"/>
  <c r="F4891" i="23"/>
  <c r="M4891" i="23"/>
  <c r="F4892" i="23"/>
  <c r="M4892" i="23"/>
  <c r="F4893" i="23"/>
  <c r="M4893" i="23"/>
  <c r="F4894" i="23"/>
  <c r="M4894" i="23"/>
  <c r="F4895" i="23"/>
  <c r="M4895" i="23"/>
  <c r="F4896" i="23"/>
  <c r="M4896" i="23"/>
  <c r="F4897" i="23"/>
  <c r="M4897" i="23"/>
  <c r="F4898" i="23"/>
  <c r="M4898" i="23"/>
  <c r="F4899" i="23"/>
  <c r="M4899" i="23"/>
  <c r="F4900" i="23"/>
  <c r="M4900" i="23"/>
  <c r="F4901" i="23"/>
  <c r="M4901" i="23"/>
  <c r="F4902" i="23"/>
  <c r="M4902" i="23"/>
  <c r="F4903" i="23"/>
  <c r="M4903" i="23"/>
  <c r="F4904" i="23"/>
  <c r="M4904" i="23"/>
  <c r="F4905" i="23"/>
  <c r="M4905" i="23"/>
  <c r="F4906" i="23"/>
  <c r="M4906" i="23"/>
  <c r="F4907" i="23"/>
  <c r="M4907" i="23"/>
  <c r="F4908" i="23"/>
  <c r="M4908" i="23"/>
  <c r="F4909" i="23"/>
  <c r="M4909" i="23"/>
  <c r="F4910" i="23"/>
  <c r="M4910" i="23"/>
  <c r="F4911" i="23"/>
  <c r="M4911" i="23"/>
  <c r="F4912" i="23"/>
  <c r="M4912" i="23"/>
  <c r="F4913" i="23"/>
  <c r="M4913" i="23"/>
  <c r="F4914" i="23"/>
  <c r="M4914" i="23"/>
  <c r="F4915" i="23"/>
  <c r="M4915" i="23"/>
  <c r="F4916" i="23"/>
  <c r="M4916" i="23"/>
  <c r="F4917" i="23"/>
  <c r="M4917" i="23"/>
  <c r="F4918" i="23"/>
  <c r="M4918" i="23"/>
  <c r="F4919" i="23"/>
  <c r="M4919" i="23"/>
  <c r="F4920" i="23"/>
  <c r="M4920" i="23"/>
  <c r="F4921" i="23"/>
  <c r="M4921" i="23"/>
  <c r="F4922" i="23"/>
  <c r="M4922" i="23"/>
  <c r="F4923" i="23"/>
  <c r="M4923" i="23"/>
  <c r="F4924" i="23"/>
  <c r="M4924" i="23"/>
  <c r="F4925" i="23"/>
  <c r="M4925" i="23"/>
  <c r="F4926" i="23"/>
  <c r="M4926" i="23"/>
  <c r="F4927" i="23"/>
  <c r="M4927" i="23"/>
  <c r="F4928" i="23"/>
  <c r="M4928" i="23"/>
  <c r="F4929" i="23"/>
  <c r="M4929" i="23"/>
  <c r="F4930" i="23"/>
  <c r="M4930" i="23"/>
  <c r="F4931" i="23"/>
  <c r="M4931" i="23"/>
  <c r="F4932" i="23"/>
  <c r="M4932" i="23"/>
  <c r="F4933" i="23"/>
  <c r="M4933" i="23"/>
  <c r="F4934" i="23"/>
  <c r="M4934" i="23"/>
  <c r="F4935" i="23"/>
  <c r="M4935" i="23"/>
  <c r="F4936" i="23"/>
  <c r="M4936" i="23"/>
  <c r="F4937" i="23"/>
  <c r="M4937" i="23"/>
  <c r="F4938" i="23"/>
  <c r="M4938" i="23"/>
  <c r="F4939" i="23"/>
  <c r="M4939" i="23"/>
  <c r="F4940" i="23"/>
  <c r="M4940" i="23"/>
  <c r="F4941" i="23"/>
  <c r="M4941" i="23"/>
  <c r="F4942" i="23"/>
  <c r="M4942" i="23"/>
  <c r="F4943" i="23"/>
  <c r="M4943" i="23"/>
  <c r="F4944" i="23"/>
  <c r="M4944" i="23"/>
  <c r="F4945" i="23"/>
  <c r="M4945" i="23"/>
  <c r="F4946" i="23"/>
  <c r="M4946" i="23"/>
  <c r="F4947" i="23"/>
  <c r="M4947" i="23"/>
  <c r="F4948" i="23"/>
  <c r="M4948" i="23"/>
  <c r="F4949" i="23"/>
  <c r="M4949" i="23"/>
  <c r="F4950" i="23"/>
  <c r="M4950" i="23"/>
  <c r="F4951" i="23"/>
  <c r="M4951" i="23"/>
  <c r="F4952" i="23"/>
  <c r="M4952" i="23"/>
  <c r="F4953" i="23"/>
  <c r="M4953" i="23"/>
  <c r="F4954" i="23"/>
  <c r="M4954" i="23"/>
  <c r="F4955" i="23"/>
  <c r="M4955" i="23"/>
  <c r="F4956" i="23"/>
  <c r="M4956" i="23"/>
  <c r="F4957" i="23"/>
  <c r="M4957" i="23"/>
  <c r="F4958" i="23"/>
  <c r="M4958" i="23"/>
  <c r="F4959" i="23"/>
  <c r="M4959" i="23"/>
  <c r="F4960" i="23"/>
  <c r="M4960" i="23"/>
  <c r="F4961" i="23"/>
  <c r="M4961" i="23"/>
  <c r="F4962" i="23"/>
  <c r="M4962" i="23"/>
  <c r="F4963" i="23"/>
  <c r="M4963" i="23"/>
  <c r="F4964" i="23"/>
  <c r="M4964" i="23"/>
  <c r="F4965" i="23"/>
  <c r="M4965" i="23"/>
  <c r="F4966" i="23"/>
  <c r="M4966" i="23"/>
  <c r="F4967" i="23"/>
  <c r="M4967" i="23"/>
  <c r="F4968" i="23"/>
  <c r="M4968" i="23"/>
  <c r="F4969" i="23"/>
  <c r="M4969" i="23"/>
  <c r="F4970" i="23"/>
  <c r="M4970" i="23"/>
  <c r="F4971" i="23"/>
  <c r="M4971" i="23"/>
  <c r="F4972" i="23"/>
  <c r="M4972" i="23"/>
  <c r="F4973" i="23"/>
  <c r="M4973" i="23"/>
  <c r="F4974" i="23"/>
  <c r="M4974" i="23"/>
  <c r="F4975" i="23"/>
  <c r="M4975" i="23"/>
  <c r="F4976" i="23"/>
  <c r="M4976" i="23"/>
  <c r="F4977" i="23"/>
  <c r="M4977" i="23"/>
  <c r="F4978" i="23"/>
  <c r="M4978" i="23"/>
  <c r="F4979" i="23"/>
  <c r="M4979" i="23"/>
  <c r="F4980" i="23"/>
  <c r="M4980" i="23"/>
  <c r="F4981" i="23"/>
  <c r="M4981" i="23"/>
  <c r="F4982" i="23"/>
  <c r="M4982" i="23"/>
  <c r="F4983" i="23"/>
  <c r="M4983" i="23"/>
  <c r="F4984" i="23"/>
  <c r="M4984" i="23"/>
  <c r="F4985" i="23"/>
  <c r="M4985" i="23"/>
  <c r="F4986" i="23"/>
  <c r="M4986" i="23"/>
  <c r="F4987" i="23"/>
  <c r="M4987" i="23"/>
  <c r="F4988" i="23"/>
  <c r="M4988" i="23"/>
  <c r="F4989" i="23"/>
  <c r="M4989" i="23"/>
  <c r="F4990" i="23"/>
  <c r="M4990" i="23"/>
  <c r="F4991" i="23"/>
  <c r="M4991" i="23"/>
  <c r="F4992" i="23"/>
  <c r="M4992" i="23"/>
  <c r="F4993" i="23"/>
  <c r="M4993" i="23"/>
  <c r="F4994" i="23"/>
  <c r="M4994" i="23"/>
  <c r="F4995" i="23"/>
  <c r="M4995" i="23"/>
  <c r="F4996" i="23"/>
  <c r="M4996" i="23"/>
  <c r="F4997" i="23"/>
  <c r="M4997" i="23"/>
  <c r="F4998" i="23"/>
  <c r="M4998" i="23"/>
  <c r="F4999" i="23"/>
  <c r="M4999" i="23"/>
  <c r="F5000" i="23"/>
  <c r="M5000" i="23"/>
  <c r="F5001" i="23"/>
  <c r="M5001" i="23"/>
  <c r="F5002" i="23"/>
  <c r="M5002" i="23"/>
  <c r="F5003" i="23"/>
  <c r="M5003" i="23"/>
  <c r="F5004" i="23"/>
  <c r="M5004" i="23"/>
  <c r="F5005" i="23"/>
  <c r="M5005" i="23"/>
  <c r="F5006" i="23"/>
  <c r="M5006" i="23"/>
  <c r="F5007" i="23"/>
  <c r="M5007" i="23"/>
  <c r="F5008" i="23"/>
  <c r="M5008" i="23"/>
  <c r="F5009" i="23"/>
  <c r="M5009" i="23"/>
  <c r="F5010" i="23"/>
  <c r="M5010" i="23"/>
  <c r="F5011" i="23"/>
  <c r="M5011" i="23"/>
  <c r="F5012" i="23"/>
  <c r="M5012" i="23"/>
  <c r="F5013" i="23"/>
  <c r="M5013" i="23"/>
  <c r="F5014" i="23"/>
  <c r="M5014" i="23"/>
  <c r="F5015" i="23"/>
  <c r="M5015" i="23"/>
  <c r="F5016" i="23"/>
  <c r="M5016" i="23"/>
  <c r="F5017" i="23"/>
  <c r="M5017" i="23"/>
  <c r="F5018" i="23"/>
  <c r="M5018" i="23"/>
  <c r="F5019" i="23"/>
  <c r="M5019" i="23"/>
  <c r="F5020" i="23"/>
  <c r="M5020" i="23"/>
  <c r="F5021" i="23"/>
  <c r="M5021" i="23"/>
  <c r="F5022" i="23"/>
  <c r="M5022" i="23"/>
  <c r="F5023" i="23"/>
  <c r="M5023" i="23"/>
  <c r="F5024" i="23"/>
  <c r="M5024" i="23"/>
  <c r="F5025" i="23"/>
  <c r="M5025" i="23"/>
  <c r="F5026" i="23"/>
  <c r="M5026" i="23"/>
  <c r="F5027" i="23"/>
  <c r="M5027" i="23"/>
  <c r="F5028" i="23"/>
  <c r="M5028" i="23"/>
  <c r="F5029" i="23"/>
  <c r="M5029" i="23"/>
  <c r="F5030" i="23"/>
  <c r="M5030" i="23"/>
  <c r="F5031" i="23"/>
  <c r="M5031" i="23"/>
  <c r="F5032" i="23"/>
  <c r="M5032" i="23"/>
  <c r="F5033" i="23"/>
  <c r="M5033" i="23"/>
  <c r="F5034" i="23"/>
  <c r="M5034" i="23"/>
  <c r="F5035" i="23"/>
  <c r="M5035" i="23"/>
  <c r="F5036" i="23"/>
  <c r="M5036" i="23"/>
  <c r="F5037" i="23"/>
  <c r="M5037" i="23"/>
  <c r="F5038" i="23"/>
  <c r="M5038" i="23"/>
  <c r="F5039" i="23"/>
  <c r="M5039" i="23"/>
  <c r="F5040" i="23"/>
  <c r="M5040" i="23"/>
  <c r="F5041" i="23"/>
  <c r="M5041" i="23"/>
  <c r="F5042" i="23"/>
  <c r="M5042" i="23"/>
  <c r="F5043" i="23"/>
  <c r="M5043" i="23"/>
  <c r="F5044" i="23"/>
  <c r="M5044" i="23"/>
  <c r="F5045" i="23"/>
  <c r="M5045" i="23"/>
  <c r="F5046" i="23"/>
  <c r="M5046" i="23"/>
  <c r="F5047" i="23"/>
  <c r="M5047" i="23"/>
  <c r="F5048" i="23"/>
  <c r="M5048" i="23"/>
  <c r="F5049" i="23"/>
  <c r="M5049" i="23"/>
  <c r="F5050" i="23"/>
  <c r="M5050" i="23"/>
  <c r="F5051" i="23"/>
  <c r="M5051" i="23"/>
  <c r="F5052" i="23"/>
  <c r="M5052" i="23"/>
  <c r="F5053" i="23"/>
  <c r="M5053" i="23"/>
  <c r="F5054" i="23"/>
  <c r="M5054" i="23"/>
  <c r="F5055" i="23"/>
  <c r="M5055" i="23"/>
  <c r="F5056" i="23"/>
  <c r="M5056" i="23"/>
  <c r="F5057" i="23"/>
  <c r="M5057" i="23"/>
  <c r="F5058" i="23"/>
  <c r="M5058" i="23"/>
  <c r="F5059" i="23"/>
  <c r="M5059" i="23"/>
  <c r="F5060" i="23"/>
  <c r="M5060" i="23"/>
  <c r="F5061" i="23"/>
  <c r="M5061" i="23"/>
  <c r="F5062" i="23"/>
  <c r="M5062" i="23"/>
  <c r="F5063" i="23"/>
  <c r="M5063" i="23"/>
  <c r="F5064" i="23"/>
  <c r="M5064" i="23"/>
  <c r="F5065" i="23"/>
  <c r="M5065" i="23"/>
  <c r="F5066" i="23"/>
  <c r="M5066" i="23"/>
  <c r="F5067" i="23"/>
  <c r="M5067" i="23"/>
  <c r="F5068" i="23"/>
  <c r="M5068" i="23"/>
  <c r="F5069" i="23"/>
  <c r="M5069" i="23"/>
  <c r="F5070" i="23"/>
  <c r="M5070" i="23"/>
  <c r="F5071" i="23"/>
  <c r="M5071" i="23"/>
  <c r="F5072" i="23"/>
  <c r="M5072" i="23"/>
  <c r="F5073" i="23"/>
  <c r="M5073" i="23"/>
  <c r="F5074" i="23"/>
  <c r="M5074" i="23"/>
  <c r="F5075" i="23"/>
  <c r="M5075" i="23"/>
  <c r="F5076" i="23"/>
  <c r="M5076" i="23"/>
  <c r="F5077" i="23"/>
  <c r="M5077" i="23"/>
  <c r="F5078" i="23"/>
  <c r="M5078" i="23"/>
  <c r="F5079" i="23"/>
  <c r="M5079" i="23"/>
  <c r="F5080" i="23"/>
  <c r="M5080" i="23"/>
  <c r="F5081" i="23"/>
  <c r="M5081" i="23"/>
  <c r="F5082" i="23"/>
  <c r="M5082" i="23"/>
  <c r="F5083" i="23"/>
  <c r="M5083" i="23"/>
  <c r="F5084" i="23"/>
  <c r="M5084" i="23"/>
  <c r="F5085" i="23"/>
  <c r="M5085" i="23"/>
  <c r="F5086" i="23"/>
  <c r="M5086" i="23"/>
  <c r="F5087" i="23"/>
  <c r="M5087" i="23"/>
  <c r="F5088" i="23"/>
  <c r="M5088" i="23"/>
  <c r="F5089" i="23"/>
  <c r="M5089" i="23"/>
  <c r="F5090" i="23"/>
  <c r="M5090" i="23"/>
  <c r="F5091" i="23"/>
  <c r="M5091" i="23"/>
  <c r="F5092" i="23"/>
  <c r="M5092" i="23"/>
  <c r="F5093" i="23"/>
  <c r="M5093" i="23"/>
  <c r="F5094" i="23"/>
  <c r="M5094" i="23"/>
  <c r="F5095" i="23"/>
  <c r="M5095" i="23"/>
  <c r="F5096" i="23"/>
  <c r="M5096" i="23"/>
  <c r="F5097" i="23"/>
  <c r="M5097" i="23"/>
  <c r="F5098" i="23"/>
  <c r="M5098" i="23"/>
  <c r="F5099" i="23"/>
  <c r="M5099" i="23"/>
  <c r="F5100" i="23"/>
  <c r="M5100" i="23"/>
  <c r="F5101" i="23"/>
  <c r="M5101" i="23"/>
  <c r="F5102" i="23"/>
  <c r="M5102" i="23"/>
  <c r="F5103" i="23"/>
  <c r="M5103" i="23"/>
  <c r="F5104" i="23"/>
  <c r="M5104" i="23"/>
  <c r="F5105" i="23"/>
  <c r="M5105" i="23"/>
  <c r="F5106" i="23"/>
  <c r="M5106" i="23"/>
  <c r="F5107" i="23"/>
  <c r="M5107" i="23"/>
  <c r="F5108" i="23"/>
  <c r="M5108" i="23"/>
  <c r="F5109" i="23"/>
  <c r="M5109" i="23"/>
  <c r="F5110" i="23"/>
  <c r="M5110" i="23"/>
  <c r="F5111" i="23"/>
  <c r="M5111" i="23"/>
  <c r="F5112" i="23"/>
  <c r="M5112" i="23"/>
  <c r="F5113" i="23"/>
  <c r="M5113" i="23"/>
  <c r="F5114" i="23"/>
  <c r="M5114" i="23"/>
  <c r="F5115" i="23"/>
  <c r="M5115" i="23"/>
  <c r="F5116" i="23"/>
  <c r="M5116" i="23"/>
  <c r="F5117" i="23"/>
  <c r="M5117" i="23"/>
  <c r="F5118" i="23"/>
  <c r="M5118" i="23"/>
  <c r="F5119" i="23"/>
  <c r="M5119" i="23"/>
  <c r="F5120" i="23"/>
  <c r="M5120" i="23"/>
  <c r="F5121" i="23"/>
  <c r="M5121" i="23"/>
  <c r="F5122" i="23"/>
  <c r="M5122" i="23"/>
  <c r="F5123" i="23"/>
  <c r="M5123" i="23"/>
  <c r="F5124" i="23"/>
  <c r="M5124" i="23"/>
  <c r="F5125" i="23"/>
  <c r="M5125" i="23"/>
  <c r="F5126" i="23"/>
  <c r="M5126" i="23"/>
  <c r="F5127" i="23"/>
  <c r="M5127" i="23"/>
  <c r="F5128" i="23"/>
  <c r="M5128" i="23"/>
  <c r="F5129" i="23"/>
  <c r="M5129" i="23"/>
  <c r="F5130" i="23"/>
  <c r="M5130" i="23"/>
  <c r="F5131" i="23"/>
  <c r="M5131" i="23"/>
  <c r="F5132" i="23"/>
  <c r="M5132" i="23"/>
  <c r="F5133" i="23"/>
  <c r="M5133" i="23"/>
  <c r="F5134" i="23"/>
  <c r="M5134" i="23"/>
  <c r="F5135" i="23"/>
  <c r="M5135" i="23"/>
  <c r="F5136" i="23"/>
  <c r="M5136" i="23"/>
  <c r="F5137" i="23"/>
  <c r="M5137" i="23"/>
  <c r="F5138" i="23"/>
  <c r="M5138" i="23"/>
  <c r="F5139" i="23"/>
  <c r="M5139" i="23"/>
  <c r="F5140" i="23"/>
  <c r="M5140" i="23"/>
  <c r="F5141" i="23"/>
  <c r="M5141" i="23"/>
  <c r="F5142" i="23"/>
  <c r="M5142" i="23"/>
  <c r="F5143" i="23"/>
  <c r="M5143" i="23"/>
  <c r="F5144" i="23"/>
  <c r="M5144" i="23"/>
  <c r="F5145" i="23"/>
  <c r="M5145" i="23"/>
  <c r="F5146" i="23"/>
  <c r="M5146" i="23"/>
  <c r="F5147" i="23"/>
  <c r="M5147" i="23"/>
  <c r="F5148" i="23"/>
  <c r="M5148" i="23"/>
  <c r="F5149" i="23"/>
  <c r="M5149" i="23"/>
  <c r="F5150" i="23"/>
  <c r="M5150" i="23"/>
  <c r="F5151" i="23"/>
  <c r="M5151" i="23"/>
  <c r="F5152" i="23"/>
  <c r="M5152" i="23"/>
  <c r="F5153" i="23"/>
  <c r="M5153" i="23"/>
  <c r="F5154" i="23"/>
  <c r="M5154" i="23"/>
  <c r="F5155" i="23"/>
  <c r="M5155" i="23"/>
  <c r="F5156" i="23"/>
  <c r="M5156" i="23"/>
  <c r="F5157" i="23"/>
  <c r="M5157" i="23"/>
  <c r="F5158" i="23"/>
  <c r="M5158" i="23"/>
  <c r="F5159" i="23"/>
  <c r="M5159" i="23"/>
  <c r="F5160" i="23"/>
  <c r="M5160" i="23"/>
  <c r="F5161" i="23"/>
  <c r="M5161" i="23"/>
  <c r="F5162" i="23"/>
  <c r="M5162" i="23"/>
  <c r="F5163" i="23"/>
  <c r="M5163" i="23"/>
  <c r="F5164" i="23"/>
  <c r="M5164" i="23"/>
  <c r="F5165" i="23"/>
  <c r="M5165" i="23"/>
  <c r="F5166" i="23"/>
  <c r="M5166" i="23"/>
  <c r="F5167" i="23"/>
  <c r="M5167" i="23"/>
  <c r="F5168" i="23"/>
  <c r="M5168" i="23"/>
  <c r="F5169" i="23"/>
  <c r="M5169" i="23"/>
  <c r="F5170" i="23"/>
  <c r="M5170" i="23"/>
  <c r="F5171" i="23"/>
  <c r="M5171" i="23"/>
  <c r="F5172" i="23"/>
  <c r="M5172" i="23"/>
  <c r="F5173" i="23"/>
  <c r="M5173" i="23"/>
  <c r="F5174" i="23"/>
  <c r="M5174" i="23"/>
  <c r="F5175" i="23"/>
  <c r="M5175" i="23"/>
  <c r="F5176" i="23"/>
  <c r="M5176" i="23"/>
  <c r="F5177" i="23"/>
  <c r="M5177" i="23"/>
  <c r="F5178" i="23"/>
  <c r="M5178" i="23"/>
  <c r="F5179" i="23"/>
  <c r="M5179" i="23"/>
  <c r="F5180" i="23"/>
  <c r="M5180" i="23"/>
  <c r="F5181" i="23"/>
  <c r="M5181" i="23"/>
  <c r="F5182" i="23"/>
  <c r="M5182" i="23"/>
  <c r="F5183" i="23"/>
  <c r="M5183" i="23"/>
  <c r="F5184" i="23"/>
  <c r="M5184" i="23"/>
  <c r="F5185" i="23"/>
  <c r="M5185" i="23"/>
  <c r="F5186" i="23"/>
  <c r="M5186" i="23"/>
  <c r="F5187" i="23"/>
  <c r="M5187" i="23"/>
  <c r="F5188" i="23"/>
  <c r="M5188" i="23"/>
  <c r="F5189" i="23"/>
  <c r="M5189" i="23"/>
  <c r="F5190" i="23"/>
  <c r="M5190" i="23"/>
  <c r="F5191" i="23"/>
  <c r="M5191" i="23"/>
  <c r="F5192" i="23"/>
  <c r="M5192" i="23"/>
  <c r="F5193" i="23"/>
  <c r="M5193" i="23"/>
  <c r="F5194" i="23"/>
  <c r="M5194" i="23"/>
  <c r="F5195" i="23"/>
  <c r="M5195" i="23"/>
  <c r="F5196" i="23"/>
  <c r="M5196" i="23"/>
  <c r="F5197" i="23"/>
  <c r="M5197" i="23"/>
  <c r="F5198" i="23"/>
  <c r="M5198" i="23"/>
  <c r="F5199" i="23"/>
  <c r="M5199" i="23"/>
  <c r="F5200" i="23"/>
  <c r="M5200" i="23"/>
  <c r="F5201" i="23"/>
  <c r="M5201" i="23"/>
  <c r="F5202" i="23"/>
  <c r="M5202" i="23"/>
  <c r="F5203" i="23"/>
  <c r="M5203" i="23"/>
  <c r="F5204" i="23"/>
  <c r="M5204" i="23"/>
  <c r="F5205" i="23"/>
  <c r="M5205" i="23"/>
  <c r="F5206" i="23"/>
  <c r="M5206" i="23"/>
  <c r="F5207" i="23"/>
  <c r="M5207" i="23"/>
  <c r="F5208" i="23"/>
  <c r="M5208" i="23"/>
  <c r="F5209" i="23"/>
  <c r="M5209" i="23"/>
  <c r="F5210" i="23"/>
  <c r="M5210" i="23"/>
  <c r="F5211" i="23"/>
  <c r="M5211" i="23"/>
  <c r="F5212" i="23"/>
  <c r="M5212" i="23"/>
  <c r="F5213" i="23"/>
  <c r="M5213" i="23"/>
  <c r="F5214" i="23"/>
  <c r="M5214" i="23"/>
  <c r="F5215" i="23"/>
  <c r="M5215" i="23"/>
  <c r="F5216" i="23"/>
  <c r="M5216" i="23"/>
  <c r="F5217" i="23"/>
  <c r="M5217" i="23"/>
  <c r="F5218" i="23"/>
  <c r="M5218" i="23"/>
  <c r="F5219" i="23"/>
  <c r="M5219" i="23"/>
  <c r="F5220" i="23"/>
  <c r="M5220" i="23"/>
  <c r="F5221" i="23"/>
  <c r="M5221" i="23"/>
  <c r="F5222" i="23"/>
  <c r="M5222" i="23"/>
  <c r="F5223" i="23"/>
  <c r="M5223" i="23"/>
  <c r="F5224" i="23"/>
  <c r="M5224" i="23"/>
  <c r="F5225" i="23"/>
  <c r="M5225" i="23"/>
  <c r="F5226" i="23"/>
  <c r="M5226" i="23"/>
  <c r="F5227" i="23"/>
  <c r="M5227" i="23"/>
  <c r="F5228" i="23"/>
  <c r="M5228" i="23"/>
  <c r="F5229" i="23"/>
  <c r="M5229" i="23"/>
  <c r="F5230" i="23"/>
  <c r="M5230" i="23"/>
  <c r="F5231" i="23"/>
  <c r="M5231" i="23"/>
  <c r="F5232" i="23"/>
  <c r="M5232" i="23"/>
  <c r="F5233" i="23"/>
  <c r="M5233" i="23"/>
  <c r="F5234" i="23"/>
  <c r="M5234" i="23"/>
  <c r="F5235" i="23"/>
  <c r="M5235" i="23"/>
  <c r="F5236" i="23"/>
  <c r="M5236" i="23"/>
  <c r="F5237" i="23"/>
  <c r="M5237" i="23"/>
  <c r="F5238" i="23"/>
  <c r="M5238" i="23"/>
  <c r="F5239" i="23"/>
  <c r="M5239" i="23"/>
  <c r="F5240" i="23"/>
  <c r="M5240" i="23"/>
  <c r="F5241" i="23"/>
  <c r="M5241" i="23"/>
  <c r="F5242" i="23"/>
  <c r="M5242" i="23"/>
  <c r="F5243" i="23"/>
  <c r="M5243" i="23"/>
  <c r="F5244" i="23"/>
  <c r="M5244" i="23"/>
  <c r="F5245" i="23"/>
  <c r="M5245" i="23"/>
  <c r="F5246" i="23"/>
  <c r="M5246" i="23"/>
  <c r="F5247" i="23"/>
  <c r="M5247" i="23"/>
  <c r="F5248" i="23"/>
  <c r="M5248" i="23"/>
  <c r="F5249" i="23"/>
  <c r="M5249" i="23"/>
  <c r="F5250" i="23"/>
  <c r="M5250" i="23"/>
  <c r="F5251" i="23"/>
  <c r="M5251" i="23"/>
  <c r="F5252" i="23"/>
  <c r="M5252" i="23"/>
  <c r="F5253" i="23"/>
  <c r="M5253" i="23"/>
  <c r="F5254" i="23"/>
  <c r="M5254" i="23"/>
  <c r="F5255" i="23"/>
  <c r="M5255" i="23"/>
  <c r="F5256" i="23"/>
  <c r="M5256" i="23"/>
  <c r="F5257" i="23"/>
  <c r="M5257" i="23"/>
  <c r="F5258" i="23"/>
  <c r="M5258" i="23"/>
  <c r="F5259" i="23"/>
  <c r="M5259" i="23"/>
  <c r="F5260" i="23"/>
  <c r="M5260" i="23"/>
  <c r="F5261" i="23"/>
  <c r="M5261" i="23"/>
  <c r="F5262" i="23"/>
  <c r="M5262" i="23"/>
  <c r="F5263" i="23"/>
  <c r="M5263" i="23"/>
  <c r="F5264" i="23"/>
  <c r="M5264" i="23"/>
  <c r="F5265" i="23"/>
  <c r="M5265" i="23"/>
  <c r="F5266" i="23"/>
  <c r="M5266" i="23"/>
  <c r="F5267" i="23"/>
  <c r="M5267" i="23"/>
  <c r="F5268" i="23"/>
  <c r="M5268" i="23"/>
  <c r="F5269" i="23"/>
  <c r="M5269" i="23"/>
  <c r="F5270" i="23"/>
  <c r="M5270" i="23"/>
  <c r="F5271" i="23"/>
  <c r="M5271" i="23"/>
  <c r="F5272" i="23"/>
  <c r="M5272" i="23"/>
  <c r="F5273" i="23"/>
  <c r="M5273" i="23"/>
  <c r="F5274" i="23"/>
  <c r="M5274" i="23"/>
  <c r="F5275" i="23"/>
  <c r="M5275" i="23"/>
  <c r="F5276" i="23"/>
  <c r="M5276" i="23"/>
  <c r="F5277" i="23"/>
  <c r="M5277" i="23"/>
  <c r="F5278" i="23"/>
  <c r="M5278" i="23"/>
  <c r="F5279" i="23"/>
  <c r="M5279" i="23"/>
  <c r="F5280" i="23"/>
  <c r="M5280" i="23"/>
  <c r="F5281" i="23"/>
  <c r="M5281" i="23"/>
  <c r="F5282" i="23"/>
  <c r="M5282" i="23"/>
  <c r="F5283" i="23"/>
  <c r="M5283" i="23"/>
  <c r="F5284" i="23"/>
  <c r="M5284" i="23"/>
  <c r="F5285" i="23"/>
  <c r="M5285" i="23"/>
  <c r="F5286" i="23"/>
  <c r="M5286" i="23"/>
  <c r="F5287" i="23"/>
  <c r="M5287" i="23"/>
  <c r="F5288" i="23"/>
  <c r="M5288" i="23"/>
  <c r="F5289" i="23"/>
  <c r="M5289" i="23"/>
  <c r="F5290" i="23"/>
  <c r="M5290" i="23"/>
  <c r="F5291" i="23"/>
  <c r="M5291" i="23"/>
  <c r="F5292" i="23"/>
  <c r="M5292" i="23"/>
  <c r="F5293" i="23"/>
  <c r="M5293" i="23"/>
  <c r="F5294" i="23"/>
  <c r="M5294" i="23"/>
  <c r="F5295" i="23"/>
  <c r="M5295" i="23"/>
  <c r="F5296" i="23"/>
  <c r="M5296" i="23"/>
  <c r="F5297" i="23"/>
  <c r="M5297" i="23"/>
  <c r="F5298" i="23"/>
  <c r="M5298" i="23"/>
  <c r="F5299" i="23"/>
  <c r="M5299" i="23"/>
  <c r="F5300" i="23"/>
  <c r="M5300" i="23"/>
  <c r="F5301" i="23"/>
  <c r="M5301" i="23"/>
  <c r="F5302" i="23"/>
  <c r="M5302" i="23"/>
  <c r="F5303" i="23"/>
  <c r="M5303" i="23"/>
  <c r="F5304" i="23"/>
  <c r="M5304" i="23"/>
  <c r="F5305" i="23"/>
  <c r="M5305" i="23"/>
  <c r="F5306" i="23"/>
  <c r="M5306" i="23"/>
  <c r="F5307" i="23"/>
  <c r="M5307" i="23"/>
  <c r="F5308" i="23"/>
  <c r="M5308" i="23"/>
  <c r="F5309" i="23"/>
  <c r="M5309" i="23"/>
  <c r="F5310" i="23"/>
  <c r="M5310" i="23"/>
  <c r="F5311" i="23"/>
  <c r="M5311" i="23"/>
  <c r="F5312" i="23"/>
  <c r="M5312" i="23"/>
  <c r="F5313" i="23"/>
  <c r="M5313" i="23"/>
  <c r="F5314" i="23"/>
  <c r="M5314" i="23"/>
  <c r="F5315" i="23"/>
  <c r="M5315" i="23"/>
  <c r="F5316" i="23"/>
  <c r="M5316" i="23"/>
  <c r="F5317" i="23"/>
  <c r="M5317" i="23"/>
  <c r="F5318" i="23"/>
  <c r="M5318" i="23"/>
  <c r="F5319" i="23"/>
  <c r="M5319" i="23"/>
  <c r="F5320" i="23"/>
  <c r="M5320" i="23"/>
  <c r="F5321" i="23"/>
  <c r="M5321" i="23"/>
  <c r="F5322" i="23"/>
  <c r="M5322" i="23"/>
  <c r="F5323" i="23"/>
  <c r="M5323" i="23"/>
  <c r="F5324" i="23"/>
  <c r="M5324" i="23"/>
  <c r="F5325" i="23"/>
  <c r="M5325" i="23"/>
  <c r="F5326" i="23"/>
  <c r="M5326" i="23"/>
  <c r="F5327" i="23"/>
  <c r="M5327" i="23"/>
  <c r="F5328" i="23"/>
  <c r="M5328" i="23"/>
  <c r="F5329" i="23"/>
  <c r="M5329" i="23"/>
  <c r="F5330" i="23"/>
  <c r="M5330" i="23"/>
  <c r="F5331" i="23"/>
  <c r="M5331" i="23"/>
  <c r="F5332" i="23"/>
  <c r="M5332" i="23"/>
  <c r="F5333" i="23"/>
  <c r="M5333" i="23"/>
  <c r="F5334" i="23"/>
  <c r="M5334" i="23"/>
  <c r="F5335" i="23"/>
  <c r="M5335" i="23"/>
  <c r="F5336" i="23"/>
  <c r="M5336" i="23"/>
  <c r="F5337" i="23"/>
  <c r="M5337" i="23"/>
  <c r="F5338" i="23"/>
  <c r="M5338" i="23"/>
  <c r="F5339" i="23"/>
  <c r="M5339" i="23"/>
  <c r="F5340" i="23"/>
  <c r="M5340" i="23"/>
  <c r="F5341" i="23"/>
  <c r="M5341" i="23"/>
  <c r="F5342" i="23"/>
  <c r="M5342" i="23"/>
  <c r="F5343" i="23"/>
  <c r="M5343" i="23"/>
  <c r="F5344" i="23"/>
  <c r="M5344" i="23"/>
  <c r="F5345" i="23"/>
  <c r="M5345" i="23"/>
  <c r="F5346" i="23"/>
  <c r="M5346" i="23"/>
  <c r="F5347" i="23"/>
  <c r="M5347" i="23"/>
  <c r="F5348" i="23"/>
  <c r="M5348" i="23"/>
  <c r="F5349" i="23"/>
  <c r="M5349" i="23"/>
  <c r="F5350" i="23"/>
  <c r="M5350" i="23"/>
  <c r="F5351" i="23"/>
  <c r="M5351" i="23"/>
  <c r="F5352" i="23"/>
  <c r="M5352" i="23"/>
  <c r="F5353" i="23"/>
  <c r="M5353" i="23"/>
  <c r="F5354" i="23"/>
  <c r="M5354" i="23"/>
  <c r="F5355" i="23"/>
  <c r="M5355" i="23"/>
  <c r="F5356" i="23"/>
  <c r="M5356" i="23"/>
  <c r="F5357" i="23"/>
  <c r="M5357" i="23"/>
  <c r="F5358" i="23"/>
  <c r="M5358" i="23"/>
  <c r="F5359" i="23"/>
  <c r="M5359" i="23"/>
  <c r="F5360" i="23"/>
  <c r="M5360" i="23"/>
  <c r="F5361" i="23"/>
  <c r="M5361" i="23"/>
  <c r="F5362" i="23"/>
  <c r="M5362" i="23"/>
  <c r="F5363" i="23"/>
  <c r="M5363" i="23"/>
  <c r="F5364" i="23"/>
  <c r="M5364" i="23"/>
  <c r="F5365" i="23"/>
  <c r="M5365" i="23"/>
  <c r="F5366" i="23"/>
  <c r="M5366" i="23"/>
  <c r="F5367" i="23"/>
  <c r="M5367" i="23"/>
  <c r="F5368" i="23"/>
  <c r="M5368" i="23"/>
  <c r="F5369" i="23"/>
  <c r="M5369" i="23"/>
  <c r="F5370" i="23"/>
  <c r="M5370" i="23"/>
  <c r="F5371" i="23"/>
  <c r="M5371" i="23"/>
  <c r="F5372" i="23"/>
  <c r="M5372" i="23"/>
  <c r="F5373" i="23"/>
  <c r="M5373" i="23"/>
  <c r="F5374" i="23"/>
  <c r="M5374" i="23"/>
  <c r="F5375" i="23"/>
  <c r="M5375" i="23"/>
  <c r="F5376" i="23"/>
  <c r="M5376" i="23"/>
  <c r="F5377" i="23"/>
  <c r="M5377" i="23"/>
  <c r="F5378" i="23"/>
  <c r="M5378" i="23"/>
  <c r="F5379" i="23"/>
  <c r="M5379" i="23"/>
  <c r="F5380" i="23"/>
  <c r="M5380" i="23"/>
  <c r="F5381" i="23"/>
  <c r="M5381" i="23"/>
  <c r="F5382" i="23"/>
  <c r="M5382" i="23"/>
  <c r="F5383" i="23"/>
  <c r="M5383" i="23"/>
  <c r="F5384" i="23"/>
  <c r="M5384" i="23"/>
  <c r="F5385" i="23"/>
  <c r="M5385" i="23"/>
  <c r="F5386" i="23"/>
  <c r="M5386" i="23"/>
  <c r="F5387" i="23"/>
  <c r="M5387" i="23"/>
  <c r="F5388" i="23"/>
  <c r="M5388" i="23"/>
  <c r="F5389" i="23"/>
  <c r="M5389" i="23"/>
  <c r="F5390" i="23"/>
  <c r="M5390" i="23"/>
  <c r="F5391" i="23"/>
  <c r="M5391" i="23"/>
  <c r="F5392" i="23"/>
  <c r="M5392" i="23"/>
  <c r="F5393" i="23"/>
  <c r="M5393" i="23"/>
  <c r="F5394" i="23"/>
  <c r="M5394" i="23"/>
  <c r="F5395" i="23"/>
  <c r="M5395" i="23"/>
  <c r="F5396" i="23"/>
  <c r="M5396" i="23"/>
  <c r="F5397" i="23"/>
  <c r="M5397" i="23"/>
  <c r="F5398" i="23"/>
  <c r="M5398" i="23"/>
  <c r="F5399" i="23"/>
  <c r="M5399" i="23"/>
  <c r="F5400" i="23"/>
  <c r="M5400" i="23"/>
  <c r="F5401" i="23"/>
  <c r="M5401" i="23"/>
  <c r="F5402" i="23"/>
  <c r="M5402" i="23"/>
  <c r="F5403" i="23"/>
  <c r="M5403" i="23"/>
  <c r="F5404" i="23"/>
  <c r="M5404" i="23"/>
  <c r="F5405" i="23"/>
  <c r="M5405" i="23"/>
  <c r="F5406" i="23"/>
  <c r="M5406" i="23"/>
  <c r="F5407" i="23"/>
  <c r="M5407" i="23"/>
  <c r="F5408" i="23"/>
  <c r="M5408" i="23"/>
  <c r="F5409" i="23"/>
  <c r="M5409" i="23"/>
  <c r="F5410" i="23"/>
  <c r="M5410" i="23"/>
  <c r="F5411" i="23"/>
  <c r="M5411" i="23"/>
  <c r="F5412" i="23"/>
  <c r="M5412" i="23"/>
  <c r="F5413" i="23"/>
  <c r="M5413" i="23"/>
  <c r="F5414" i="23"/>
  <c r="M5414" i="23"/>
  <c r="F5415" i="23"/>
  <c r="M5415" i="23"/>
  <c r="F5416" i="23"/>
  <c r="M5416" i="23"/>
  <c r="F5417" i="23"/>
  <c r="M5417" i="23"/>
  <c r="F5418" i="23"/>
  <c r="M5418" i="23"/>
  <c r="F5419" i="23"/>
  <c r="M5419" i="23"/>
  <c r="F5420" i="23"/>
  <c r="M5420" i="23"/>
  <c r="F5421" i="23"/>
  <c r="M5421" i="23"/>
  <c r="F5422" i="23"/>
  <c r="M5422" i="23"/>
  <c r="F5423" i="23"/>
  <c r="M5423" i="23"/>
  <c r="F5424" i="23"/>
  <c r="M5424" i="23"/>
  <c r="F5425" i="23"/>
  <c r="M5425" i="23"/>
  <c r="F5426" i="23"/>
  <c r="M5426" i="23"/>
  <c r="F5427" i="23"/>
  <c r="M5427" i="23"/>
  <c r="F5428" i="23"/>
  <c r="M5428" i="23"/>
  <c r="F5429" i="23"/>
  <c r="M5429" i="23"/>
  <c r="F5430" i="23"/>
  <c r="M5430" i="23"/>
  <c r="F5431" i="23"/>
  <c r="M5431" i="23"/>
  <c r="F5432" i="23"/>
  <c r="M5432" i="23"/>
  <c r="F5433" i="23"/>
  <c r="M5433" i="23"/>
  <c r="F5434" i="23"/>
  <c r="M5434" i="23"/>
  <c r="F5435" i="23"/>
  <c r="M5435" i="23"/>
  <c r="F5436" i="23"/>
  <c r="M5436" i="23"/>
  <c r="F5437" i="23"/>
  <c r="M5437" i="23"/>
  <c r="F5438" i="23"/>
  <c r="M5438" i="23"/>
  <c r="F5439" i="23"/>
  <c r="M5439" i="23"/>
  <c r="F5440" i="23"/>
  <c r="M5440" i="23"/>
  <c r="F5441" i="23"/>
  <c r="M5441" i="23"/>
  <c r="F5442" i="23"/>
  <c r="M5442" i="23"/>
  <c r="F5443" i="23"/>
  <c r="M5443" i="23"/>
  <c r="F5444" i="23"/>
  <c r="M5444" i="23"/>
  <c r="F5445" i="23"/>
  <c r="M5445" i="23"/>
  <c r="F5446" i="23"/>
  <c r="M5446" i="23"/>
  <c r="F5447" i="23"/>
  <c r="M5447" i="23"/>
  <c r="F5448" i="23"/>
  <c r="M5448" i="23"/>
  <c r="F5449" i="23"/>
  <c r="M5449" i="23"/>
  <c r="F5450" i="23"/>
  <c r="M5450" i="23"/>
  <c r="F5451" i="23"/>
  <c r="M5451" i="23"/>
  <c r="F5452" i="23"/>
  <c r="M5452" i="23"/>
  <c r="F5453" i="23"/>
  <c r="M5453" i="23"/>
  <c r="F5454" i="23"/>
  <c r="M5454" i="23"/>
  <c r="F5455" i="23"/>
  <c r="M5455" i="23"/>
  <c r="F5456" i="23"/>
  <c r="M5456" i="23"/>
  <c r="F5457" i="23"/>
  <c r="M5457" i="23"/>
  <c r="F5458" i="23"/>
  <c r="M5458" i="23"/>
  <c r="F5459" i="23"/>
  <c r="M5459" i="23"/>
  <c r="F5460" i="23"/>
  <c r="M5460" i="23"/>
  <c r="F5461" i="23"/>
  <c r="M5461" i="23"/>
  <c r="F5462" i="23"/>
  <c r="M5462" i="23"/>
  <c r="F5463" i="23"/>
  <c r="M5463" i="23"/>
  <c r="F5464" i="23"/>
  <c r="M5464" i="23"/>
  <c r="F5465" i="23"/>
  <c r="M5465" i="23"/>
  <c r="F5466" i="23"/>
  <c r="M5466" i="23"/>
  <c r="F5467" i="23"/>
  <c r="M5467" i="23"/>
  <c r="F5468" i="23"/>
  <c r="M5468" i="23"/>
  <c r="F5469" i="23"/>
  <c r="M5469" i="23"/>
  <c r="F5470" i="23"/>
  <c r="M5470" i="23"/>
  <c r="F5471" i="23"/>
  <c r="M5471" i="23"/>
  <c r="F5472" i="23"/>
  <c r="M5472" i="23"/>
  <c r="F5473" i="23"/>
  <c r="M5473" i="23"/>
  <c r="F5474" i="23"/>
  <c r="M5474" i="23"/>
  <c r="F5475" i="23"/>
  <c r="M5475" i="23"/>
  <c r="F5476" i="23"/>
  <c r="M5476" i="23"/>
  <c r="F5477" i="23"/>
  <c r="M5477" i="23"/>
  <c r="F5478" i="23"/>
  <c r="M5478" i="23"/>
  <c r="F5479" i="23"/>
  <c r="M5479" i="23"/>
  <c r="F5480" i="23"/>
  <c r="M5480" i="23"/>
  <c r="F5481" i="23"/>
  <c r="M5481" i="23"/>
  <c r="F5482" i="23"/>
  <c r="M5482" i="23"/>
  <c r="F5483" i="23"/>
  <c r="M5483" i="23"/>
  <c r="F5484" i="23"/>
  <c r="M5484" i="23"/>
  <c r="F5485" i="23"/>
  <c r="M5485" i="23"/>
  <c r="F5486" i="23"/>
  <c r="M5486" i="23"/>
  <c r="F5487" i="23"/>
  <c r="M5487" i="23"/>
  <c r="F5488" i="23"/>
  <c r="M5488" i="23"/>
  <c r="F5489" i="23"/>
  <c r="M5489" i="23"/>
  <c r="F5490" i="23"/>
  <c r="M5490" i="23"/>
  <c r="F5491" i="23"/>
  <c r="M5491" i="23"/>
  <c r="F5492" i="23"/>
  <c r="M5492" i="23"/>
  <c r="F5493" i="23"/>
  <c r="M5493" i="23"/>
  <c r="F5494" i="23"/>
  <c r="M5494" i="23"/>
  <c r="F5495" i="23"/>
  <c r="M5495" i="23"/>
  <c r="F5496" i="23"/>
  <c r="M5496" i="23"/>
  <c r="F5497" i="23"/>
  <c r="M5497" i="23"/>
  <c r="F5498" i="23"/>
  <c r="M5498" i="23"/>
  <c r="F5499" i="23"/>
  <c r="M5499" i="23"/>
  <c r="F5500" i="23"/>
  <c r="M5500" i="23"/>
  <c r="F5501" i="23"/>
  <c r="M5501" i="23"/>
  <c r="F5502" i="23"/>
  <c r="M5502" i="23"/>
  <c r="F5503" i="23"/>
  <c r="M5503" i="23"/>
  <c r="F5504" i="23"/>
  <c r="M5504" i="23"/>
  <c r="F5505" i="23"/>
  <c r="M5505" i="23"/>
  <c r="F5506" i="23"/>
  <c r="M5506" i="23"/>
  <c r="F5507" i="23"/>
  <c r="M5507" i="23"/>
  <c r="F5508" i="23"/>
  <c r="M5508" i="23"/>
  <c r="F5509" i="23"/>
  <c r="M5509" i="23"/>
  <c r="F5510" i="23"/>
  <c r="M5510" i="23"/>
  <c r="F5511" i="23"/>
  <c r="M5511" i="23"/>
  <c r="F5512" i="23"/>
  <c r="M5512" i="23"/>
  <c r="F5513" i="23"/>
  <c r="M5513" i="23"/>
  <c r="F5514" i="23"/>
  <c r="M5514" i="23"/>
  <c r="F5515" i="23"/>
  <c r="M5515" i="23"/>
  <c r="F5516" i="23"/>
  <c r="M5516" i="23"/>
  <c r="F5517" i="23"/>
  <c r="M5517" i="23"/>
  <c r="F5518" i="23"/>
  <c r="M5518" i="23"/>
  <c r="F5519" i="23"/>
  <c r="M5519" i="23"/>
  <c r="F5520" i="23"/>
  <c r="M5520" i="23"/>
  <c r="F5521" i="23"/>
  <c r="M5521" i="23"/>
  <c r="F5522" i="23"/>
  <c r="M5522" i="23"/>
  <c r="F5523" i="23"/>
  <c r="M5523" i="23"/>
  <c r="F5524" i="23"/>
  <c r="M5524" i="23"/>
  <c r="F5525" i="23"/>
  <c r="M5525" i="23"/>
  <c r="F5526" i="23"/>
  <c r="M5526" i="23"/>
  <c r="F5527" i="23"/>
  <c r="M5527" i="23"/>
  <c r="F5528" i="23"/>
  <c r="M5528" i="23"/>
  <c r="F5529" i="23"/>
  <c r="M5529" i="23"/>
  <c r="F5530" i="23"/>
  <c r="M5530" i="23"/>
  <c r="F5531" i="23"/>
  <c r="M5531" i="23"/>
  <c r="F5532" i="23"/>
  <c r="M5532" i="23"/>
  <c r="F5533" i="23"/>
  <c r="M5533" i="23"/>
  <c r="F5534" i="23"/>
  <c r="M5534" i="23"/>
  <c r="F5535" i="23"/>
  <c r="M5535" i="23"/>
  <c r="F5536" i="23"/>
  <c r="M5536" i="23"/>
  <c r="F5537" i="23"/>
  <c r="M5537" i="23"/>
  <c r="F5538" i="23"/>
  <c r="M5538" i="23"/>
  <c r="F5539" i="23"/>
  <c r="M5539" i="23"/>
  <c r="F5540" i="23"/>
  <c r="M5540" i="23"/>
  <c r="F5541" i="23"/>
  <c r="M5541" i="23"/>
  <c r="F5542" i="23"/>
  <c r="M5542" i="23"/>
  <c r="F5543" i="23"/>
  <c r="M5543" i="23"/>
  <c r="F5544" i="23"/>
  <c r="M5544" i="23"/>
  <c r="F5545" i="23"/>
  <c r="M5545" i="23"/>
  <c r="F5546" i="23"/>
  <c r="M5546" i="23"/>
  <c r="F5547" i="23"/>
  <c r="M5547" i="23"/>
  <c r="F5548" i="23"/>
  <c r="M5548" i="23"/>
  <c r="F5549" i="23"/>
  <c r="M5549" i="23"/>
  <c r="F5550" i="23"/>
  <c r="M5550" i="23"/>
  <c r="F5551" i="23"/>
  <c r="M5551" i="23"/>
  <c r="F5552" i="23"/>
  <c r="M5552" i="23"/>
  <c r="F5553" i="23"/>
  <c r="M5553" i="23"/>
  <c r="F5554" i="23"/>
  <c r="M5554" i="23"/>
  <c r="F5555" i="23"/>
  <c r="M5555" i="23"/>
  <c r="F5556" i="23"/>
  <c r="M5556" i="23"/>
  <c r="F5557" i="23"/>
  <c r="M5557" i="23"/>
  <c r="F5558" i="23"/>
  <c r="M5558" i="23"/>
  <c r="F5559" i="23"/>
  <c r="M5559" i="23"/>
  <c r="F5560" i="23"/>
  <c r="M5560" i="23"/>
  <c r="F5561" i="23"/>
  <c r="M5561" i="23"/>
  <c r="F5562" i="23"/>
  <c r="M5562" i="23"/>
  <c r="F5563" i="23"/>
  <c r="M5563" i="23"/>
  <c r="F5564" i="23"/>
  <c r="M5564" i="23"/>
  <c r="F5565" i="23"/>
  <c r="M5565" i="23"/>
  <c r="F5566" i="23"/>
  <c r="M5566" i="23"/>
  <c r="F5567" i="23"/>
  <c r="M5567" i="23"/>
  <c r="F5568" i="23"/>
  <c r="M5568" i="23"/>
  <c r="F5569" i="23"/>
  <c r="M5569" i="23"/>
  <c r="F5570" i="23"/>
  <c r="M5570" i="23"/>
  <c r="F5571" i="23"/>
  <c r="M5571" i="23"/>
  <c r="F5572" i="23"/>
  <c r="M5572" i="23"/>
  <c r="F5573" i="23"/>
  <c r="M5573" i="23"/>
  <c r="F5574" i="23"/>
  <c r="M5574" i="23"/>
  <c r="F5575" i="23"/>
  <c r="M5575" i="23"/>
  <c r="F5576" i="23"/>
  <c r="M5576" i="23"/>
  <c r="F5577" i="23"/>
  <c r="M5577" i="23"/>
  <c r="F5578" i="23"/>
  <c r="M5578" i="23"/>
  <c r="F5579" i="23"/>
  <c r="M5579" i="23"/>
  <c r="F5580" i="23"/>
  <c r="M5580" i="23"/>
  <c r="F5581" i="23"/>
  <c r="M5581" i="23"/>
  <c r="F5582" i="23"/>
  <c r="M5582" i="23"/>
  <c r="F5583" i="23"/>
  <c r="M5583" i="23"/>
  <c r="F5584" i="23"/>
  <c r="M5584" i="23"/>
  <c r="F5585" i="23"/>
  <c r="M5585" i="23"/>
  <c r="F5586" i="23"/>
  <c r="M5586" i="23"/>
  <c r="F5587" i="23"/>
  <c r="M5587" i="23"/>
  <c r="F5588" i="23"/>
  <c r="M5588" i="23"/>
  <c r="F5589" i="23"/>
  <c r="M5589" i="23"/>
  <c r="F5590" i="23"/>
  <c r="M5590" i="23"/>
  <c r="F5591" i="23"/>
  <c r="M5591" i="23"/>
  <c r="F5592" i="23"/>
  <c r="M5592" i="23"/>
  <c r="F5593" i="23"/>
  <c r="M5593" i="23"/>
  <c r="F5594" i="23"/>
  <c r="M5594" i="23"/>
  <c r="F5595" i="23"/>
  <c r="M5595" i="23"/>
  <c r="F5596" i="23"/>
  <c r="M5596" i="23"/>
  <c r="F5597" i="23"/>
  <c r="M5597" i="23"/>
  <c r="F5598" i="23"/>
  <c r="M5598" i="23"/>
  <c r="F5599" i="23"/>
  <c r="M5599" i="23"/>
  <c r="F5600" i="23"/>
  <c r="M5600" i="23"/>
  <c r="F5601" i="23"/>
  <c r="M5601" i="23"/>
  <c r="F5602" i="23"/>
  <c r="M5602" i="23"/>
  <c r="F5603" i="23"/>
  <c r="M5603" i="23"/>
  <c r="F5604" i="23"/>
  <c r="M5604" i="23"/>
  <c r="F5605" i="23"/>
  <c r="M5605" i="23"/>
  <c r="F5606" i="23"/>
  <c r="M5606" i="23"/>
  <c r="F5607" i="23"/>
  <c r="M5607" i="23"/>
  <c r="F5608" i="23"/>
  <c r="M5608" i="23"/>
  <c r="F5609" i="23"/>
  <c r="M5609" i="23"/>
  <c r="F5610" i="23"/>
  <c r="M5610" i="23"/>
  <c r="F5611" i="23"/>
  <c r="M5611" i="23"/>
  <c r="F5612" i="23"/>
  <c r="M5612" i="23"/>
  <c r="F5613" i="23"/>
  <c r="M5613" i="23"/>
  <c r="F5614" i="23"/>
  <c r="M5614" i="23"/>
  <c r="F5615" i="23"/>
  <c r="M5615" i="23"/>
  <c r="F5616" i="23"/>
  <c r="M5616" i="23"/>
  <c r="F5617" i="23"/>
  <c r="M5617" i="23"/>
  <c r="F5618" i="23"/>
  <c r="M5618" i="23"/>
  <c r="F5619" i="23"/>
  <c r="M5619" i="23"/>
  <c r="F5620" i="23"/>
  <c r="M5620" i="23"/>
  <c r="F5621" i="23"/>
  <c r="M5621" i="23"/>
  <c r="F5622" i="23"/>
  <c r="M5622" i="23"/>
  <c r="F5623" i="23"/>
  <c r="M5623" i="23"/>
  <c r="F5624" i="23"/>
  <c r="M5624" i="23"/>
  <c r="F5625" i="23"/>
  <c r="M5625" i="23"/>
  <c r="F5626" i="23"/>
  <c r="M5626" i="23"/>
  <c r="F5627" i="23"/>
  <c r="M5627" i="23"/>
  <c r="F5628" i="23"/>
  <c r="M5628" i="23"/>
  <c r="F5629" i="23"/>
  <c r="M5629" i="23"/>
  <c r="F5630" i="23"/>
  <c r="M5630" i="23"/>
  <c r="F5631" i="23"/>
  <c r="M5631" i="23"/>
  <c r="F5632" i="23"/>
  <c r="M5632" i="23"/>
  <c r="F5633" i="23"/>
  <c r="M5633" i="23"/>
  <c r="F5634" i="23"/>
  <c r="M5634" i="23"/>
  <c r="F5635" i="23"/>
  <c r="M5635" i="23"/>
  <c r="F5636" i="23"/>
  <c r="M5636" i="23"/>
  <c r="F5637" i="23"/>
  <c r="M5637" i="23"/>
  <c r="F5638" i="23"/>
  <c r="M5638" i="23"/>
  <c r="F5639" i="23"/>
  <c r="M5639" i="23"/>
  <c r="F5640" i="23"/>
  <c r="M5640" i="23"/>
  <c r="F5641" i="23"/>
  <c r="M5641" i="23"/>
  <c r="F5642" i="23"/>
  <c r="M5642" i="23"/>
  <c r="F5643" i="23"/>
  <c r="M5643" i="23"/>
  <c r="F5644" i="23"/>
  <c r="M5644" i="23"/>
  <c r="F5645" i="23"/>
  <c r="M5645" i="23"/>
  <c r="F5646" i="23"/>
  <c r="M5646" i="23"/>
  <c r="F5647" i="23"/>
  <c r="M5647" i="23"/>
  <c r="F5648" i="23"/>
  <c r="M5648" i="23"/>
  <c r="F5649" i="23"/>
  <c r="M5649" i="23"/>
  <c r="F5650" i="23"/>
  <c r="M5650" i="23"/>
  <c r="F5651" i="23"/>
  <c r="M5651" i="23"/>
  <c r="F5652" i="23"/>
  <c r="M5652" i="23"/>
  <c r="F5653" i="23"/>
  <c r="M5653" i="23"/>
  <c r="F5654" i="23"/>
  <c r="M5654" i="23"/>
  <c r="F5655" i="23"/>
  <c r="M5655" i="23"/>
  <c r="F5656" i="23"/>
  <c r="M5656" i="23"/>
  <c r="F5657" i="23"/>
  <c r="M5657" i="23"/>
  <c r="F5658" i="23"/>
  <c r="M5658" i="23"/>
  <c r="F5659" i="23"/>
  <c r="M5659" i="23"/>
  <c r="F5660" i="23"/>
  <c r="M5660" i="23"/>
  <c r="F5661" i="23"/>
  <c r="M5661" i="23"/>
  <c r="F5662" i="23"/>
  <c r="M5662" i="23"/>
  <c r="F5663" i="23"/>
  <c r="M5663" i="23"/>
  <c r="F5664" i="23"/>
  <c r="M5664" i="23"/>
  <c r="F5665" i="23"/>
  <c r="M5665" i="23"/>
  <c r="F5666" i="23"/>
  <c r="M5666" i="23"/>
  <c r="F5667" i="23"/>
  <c r="M5667" i="23"/>
  <c r="F5668" i="23"/>
  <c r="M5668" i="23"/>
  <c r="F5669" i="23"/>
  <c r="M5669" i="23"/>
  <c r="F5670" i="23"/>
  <c r="M5670" i="23"/>
  <c r="F5671" i="23"/>
  <c r="M5671" i="23"/>
  <c r="F5672" i="23"/>
  <c r="M5672" i="23"/>
  <c r="F5673" i="23"/>
  <c r="M5673" i="23"/>
  <c r="F5674" i="23"/>
  <c r="M5674" i="23"/>
  <c r="F5675" i="23"/>
  <c r="M5675" i="23"/>
  <c r="F5676" i="23"/>
  <c r="M5676" i="23"/>
  <c r="F5677" i="23"/>
  <c r="M5677" i="23"/>
  <c r="F5678" i="23"/>
  <c r="M5678" i="23"/>
  <c r="F5679" i="23"/>
  <c r="M5679" i="23"/>
  <c r="F5680" i="23"/>
  <c r="M5680" i="23"/>
  <c r="F5681" i="23"/>
  <c r="M5681" i="23"/>
  <c r="F5682" i="23"/>
  <c r="M5682" i="23"/>
  <c r="F5683" i="23"/>
  <c r="M5683" i="23"/>
  <c r="F5684" i="23"/>
  <c r="M5684" i="23"/>
  <c r="F5685" i="23"/>
  <c r="M5685" i="23"/>
  <c r="F5686" i="23"/>
  <c r="M5686" i="23"/>
  <c r="F5687" i="23"/>
  <c r="M5687" i="23"/>
  <c r="F5688" i="23"/>
  <c r="M5688" i="23"/>
  <c r="F5689" i="23"/>
  <c r="M5689" i="23"/>
  <c r="F5690" i="23"/>
  <c r="M5690" i="23"/>
  <c r="F5691" i="23"/>
  <c r="M5691" i="23"/>
  <c r="F5692" i="23"/>
  <c r="M5692" i="23"/>
  <c r="F5693" i="23"/>
  <c r="M5693" i="23"/>
  <c r="F5694" i="23"/>
  <c r="M5694" i="23"/>
  <c r="F5695" i="23"/>
  <c r="M5695" i="23"/>
  <c r="F5696" i="23"/>
  <c r="M5696" i="23"/>
  <c r="F5697" i="23"/>
  <c r="M5697" i="23"/>
  <c r="F5698" i="23"/>
  <c r="M5698" i="23"/>
  <c r="F5699" i="23"/>
  <c r="M5699" i="23"/>
  <c r="F5700" i="23"/>
  <c r="M5700" i="23"/>
  <c r="F5701" i="23"/>
  <c r="M5701" i="23"/>
  <c r="F5702" i="23"/>
  <c r="M5702" i="23"/>
  <c r="F5703" i="23"/>
  <c r="M5703" i="23"/>
  <c r="F5704" i="23"/>
  <c r="M5704" i="23"/>
  <c r="F5705" i="23"/>
  <c r="M5705" i="23"/>
  <c r="F5706" i="23"/>
  <c r="M5706" i="23"/>
  <c r="F5707" i="23"/>
  <c r="M5707" i="23"/>
  <c r="F5708" i="23"/>
  <c r="M5708" i="23"/>
  <c r="F5709" i="23"/>
  <c r="M5709" i="23"/>
  <c r="F5710" i="23"/>
  <c r="M5710" i="23"/>
  <c r="F5711" i="23"/>
  <c r="M5711" i="23"/>
  <c r="F5712" i="23"/>
  <c r="M5712" i="23"/>
  <c r="F5713" i="23"/>
  <c r="M5713" i="23"/>
  <c r="F5714" i="23"/>
  <c r="M5714" i="23"/>
  <c r="F5715" i="23"/>
  <c r="M5715" i="23"/>
  <c r="F5716" i="23"/>
  <c r="M5716" i="23"/>
  <c r="F5717" i="23"/>
  <c r="M5717" i="23"/>
  <c r="F5718" i="23"/>
  <c r="M5718" i="23"/>
  <c r="F5719" i="23"/>
  <c r="M5719" i="23"/>
  <c r="F5720" i="23"/>
  <c r="M5720" i="23"/>
  <c r="F5721" i="23"/>
  <c r="M5721" i="23"/>
  <c r="F5722" i="23"/>
  <c r="M5722" i="23"/>
  <c r="F5723" i="23"/>
  <c r="M5723" i="23"/>
  <c r="F5724" i="23"/>
  <c r="M5724" i="23"/>
  <c r="F5725" i="23"/>
  <c r="M5725" i="23"/>
  <c r="F5726" i="23"/>
  <c r="M5726" i="23"/>
  <c r="F5727" i="23"/>
  <c r="M5727" i="23"/>
  <c r="F5728" i="23"/>
  <c r="M5728" i="23"/>
  <c r="F5729" i="23"/>
  <c r="M5729" i="23"/>
  <c r="F5730" i="23"/>
  <c r="M5730" i="23"/>
  <c r="F5731" i="23"/>
  <c r="M5731" i="23"/>
  <c r="F5732" i="23"/>
  <c r="M5732" i="23"/>
  <c r="F5733" i="23"/>
  <c r="M5733" i="23"/>
  <c r="F5734" i="23"/>
  <c r="M5734" i="23"/>
  <c r="F5735" i="23"/>
  <c r="M5735" i="23"/>
  <c r="F5736" i="23"/>
  <c r="M5736" i="23"/>
  <c r="F5737" i="23"/>
  <c r="M5737" i="23"/>
  <c r="F5738" i="23"/>
  <c r="M5738" i="23"/>
  <c r="F5739" i="23"/>
  <c r="M5739" i="23"/>
  <c r="F5740" i="23"/>
  <c r="M5740" i="23"/>
  <c r="F5741" i="23"/>
  <c r="M5741" i="23"/>
  <c r="F5742" i="23"/>
  <c r="M5742" i="23"/>
  <c r="F5743" i="23"/>
  <c r="M5743" i="23"/>
  <c r="F5744" i="23"/>
  <c r="M5744" i="23"/>
  <c r="F5745" i="23"/>
  <c r="M5745" i="23"/>
  <c r="F5746" i="23"/>
  <c r="M5746" i="23"/>
  <c r="F5747" i="23"/>
  <c r="M5747" i="23"/>
  <c r="F5748" i="23"/>
  <c r="M5748" i="23"/>
  <c r="F5749" i="23"/>
  <c r="M5749" i="23"/>
  <c r="F5750" i="23"/>
  <c r="M5750" i="23"/>
  <c r="F5751" i="23"/>
  <c r="M5751" i="23"/>
  <c r="F5752" i="23"/>
  <c r="M5752" i="23"/>
  <c r="F5753" i="23"/>
  <c r="M5753" i="23"/>
  <c r="F5754" i="23"/>
  <c r="M5754" i="23"/>
  <c r="F5755" i="23"/>
  <c r="M5755" i="23"/>
  <c r="F5756" i="23"/>
  <c r="M5756" i="23"/>
  <c r="F5757" i="23"/>
  <c r="M5757" i="23"/>
  <c r="F5758" i="23"/>
  <c r="M5758" i="23"/>
  <c r="F5759" i="23"/>
  <c r="M5759" i="23"/>
  <c r="F5760" i="23"/>
  <c r="M5760" i="23"/>
  <c r="F5761" i="23"/>
  <c r="M5761" i="23"/>
  <c r="F5762" i="23"/>
  <c r="M5762" i="23"/>
  <c r="F5763" i="23"/>
  <c r="M5763" i="23"/>
  <c r="F5764" i="23"/>
  <c r="M5764" i="23"/>
  <c r="F5765" i="23"/>
  <c r="M5765" i="23"/>
  <c r="F5766" i="23"/>
  <c r="M5766" i="23"/>
  <c r="F5767" i="23"/>
  <c r="M5767" i="23"/>
  <c r="F5768" i="23"/>
  <c r="M5768" i="23"/>
  <c r="F5769" i="23"/>
  <c r="M5769" i="23"/>
  <c r="F5770" i="23"/>
  <c r="M5770" i="23"/>
  <c r="F5771" i="23"/>
  <c r="M5771" i="23"/>
  <c r="F5772" i="23"/>
  <c r="M5772" i="23"/>
  <c r="F5773" i="23"/>
  <c r="M5773" i="23"/>
  <c r="F5774" i="23"/>
  <c r="M5774" i="23"/>
  <c r="F5775" i="23"/>
  <c r="M5775" i="23"/>
  <c r="F5776" i="23"/>
  <c r="M5776" i="23"/>
  <c r="F5777" i="23"/>
  <c r="M5777" i="23"/>
  <c r="F5778" i="23"/>
  <c r="M5778" i="23"/>
  <c r="F5779" i="23"/>
  <c r="M5779" i="23"/>
  <c r="F5780" i="23"/>
  <c r="M5780" i="23"/>
  <c r="F5781" i="23"/>
  <c r="M5781" i="23"/>
  <c r="F5782" i="23"/>
  <c r="M5782" i="23"/>
  <c r="F5783" i="23"/>
  <c r="M5783" i="23"/>
  <c r="F5784" i="23"/>
  <c r="M5784" i="23"/>
  <c r="F5785" i="23"/>
  <c r="M5785" i="23"/>
  <c r="F5786" i="23"/>
  <c r="M5786" i="23"/>
  <c r="F5787" i="23"/>
  <c r="M5787" i="23"/>
  <c r="F5788" i="23"/>
  <c r="M5788" i="23"/>
  <c r="F5789" i="23"/>
  <c r="M5789" i="23"/>
  <c r="F5790" i="23"/>
  <c r="M5790" i="23"/>
  <c r="F5791" i="23"/>
  <c r="M5791" i="23"/>
  <c r="F5792" i="23"/>
  <c r="M5792" i="23"/>
  <c r="F5793" i="23"/>
  <c r="M5793" i="23"/>
  <c r="F5794" i="23"/>
  <c r="M5794" i="23"/>
  <c r="F5795" i="23"/>
  <c r="M5795" i="23"/>
  <c r="F5796" i="23"/>
  <c r="M5796" i="23"/>
  <c r="F5797" i="23"/>
  <c r="M5797" i="23"/>
  <c r="F5798" i="23"/>
  <c r="M5798" i="23"/>
  <c r="F5799" i="23"/>
  <c r="M5799" i="23"/>
  <c r="F5800" i="23"/>
  <c r="M5800" i="23"/>
  <c r="F5801" i="23"/>
  <c r="M5801" i="23"/>
  <c r="F5802" i="23"/>
  <c r="M5802" i="23"/>
  <c r="F5803" i="23"/>
  <c r="M5803" i="23"/>
  <c r="F5804" i="23"/>
  <c r="M5804" i="23"/>
  <c r="F5805" i="23"/>
  <c r="M5805" i="23"/>
  <c r="F5806" i="23"/>
  <c r="M5806" i="23"/>
  <c r="F5807" i="23"/>
  <c r="M5807" i="23"/>
  <c r="F5808" i="23"/>
  <c r="M5808" i="23"/>
  <c r="F5809" i="23"/>
  <c r="M5809" i="23"/>
  <c r="F5810" i="23"/>
  <c r="M5810" i="23"/>
  <c r="F5811" i="23"/>
  <c r="M5811" i="23"/>
  <c r="F5812" i="23"/>
  <c r="M5812" i="23"/>
  <c r="F5813" i="23"/>
  <c r="M5813" i="23"/>
  <c r="F5814" i="23"/>
  <c r="M5814" i="23"/>
  <c r="F5815" i="23"/>
  <c r="M5815" i="23"/>
  <c r="F5816" i="23"/>
  <c r="M5816" i="23"/>
  <c r="F5817" i="23"/>
  <c r="M5817" i="23"/>
  <c r="F5818" i="23"/>
  <c r="M5818" i="23"/>
  <c r="F5819" i="23"/>
  <c r="M5819" i="23"/>
  <c r="F5820" i="23"/>
  <c r="M5820" i="23"/>
  <c r="F5821" i="23"/>
  <c r="M5821" i="23"/>
  <c r="F5822" i="23"/>
  <c r="M5822" i="23"/>
  <c r="F5823" i="23"/>
  <c r="M5823" i="23"/>
  <c r="F5824" i="23"/>
  <c r="M5824" i="23"/>
  <c r="F5825" i="23"/>
  <c r="M5825" i="23"/>
  <c r="F5826" i="23"/>
  <c r="M5826" i="23"/>
  <c r="F5827" i="23"/>
  <c r="M5827" i="23"/>
  <c r="F5828" i="23"/>
  <c r="M5828" i="23"/>
  <c r="F5829" i="23"/>
  <c r="M5829" i="23"/>
  <c r="F5830" i="23"/>
  <c r="M5830" i="23"/>
  <c r="F5831" i="23"/>
  <c r="M5831" i="23"/>
  <c r="F5832" i="23"/>
  <c r="M5832" i="23"/>
  <c r="F5833" i="23"/>
  <c r="M5833" i="23"/>
  <c r="F5834" i="23"/>
  <c r="M5834" i="23"/>
  <c r="F5835" i="23"/>
  <c r="M5835" i="23"/>
  <c r="F5836" i="23"/>
  <c r="M5836" i="23"/>
  <c r="F5837" i="23"/>
  <c r="M5837" i="23"/>
  <c r="F5838" i="23"/>
  <c r="M5838" i="23"/>
  <c r="F5839" i="23"/>
  <c r="M5839" i="23"/>
  <c r="F5840" i="23"/>
  <c r="M5840" i="23"/>
  <c r="F5841" i="23"/>
  <c r="M5841" i="23"/>
  <c r="F5842" i="23"/>
  <c r="M5842" i="23"/>
  <c r="F5843" i="23"/>
  <c r="M5843" i="23"/>
  <c r="F5844" i="23"/>
  <c r="M5844" i="23"/>
  <c r="F5845" i="23"/>
  <c r="M5845" i="23"/>
  <c r="F5846" i="23"/>
  <c r="M5846" i="23"/>
  <c r="F5847" i="23"/>
  <c r="M5847" i="23"/>
  <c r="F5848" i="23"/>
  <c r="M5848" i="23"/>
  <c r="F5849" i="23"/>
  <c r="M5849" i="23"/>
  <c r="F5850" i="23"/>
  <c r="M5850" i="23"/>
  <c r="F5851" i="23"/>
  <c r="M5851" i="23"/>
  <c r="F5852" i="23"/>
  <c r="M5852" i="23"/>
  <c r="F5853" i="23"/>
  <c r="M5853" i="23"/>
  <c r="F5854" i="23"/>
  <c r="M5854" i="23"/>
  <c r="F5855" i="23"/>
  <c r="M5855" i="23"/>
  <c r="F5856" i="23"/>
  <c r="M5856" i="23"/>
  <c r="F5857" i="23"/>
  <c r="M5857" i="23"/>
  <c r="F5858" i="23"/>
  <c r="M5858" i="23"/>
  <c r="F5859" i="23"/>
  <c r="M5859" i="23"/>
  <c r="F5860" i="23"/>
  <c r="M5860" i="23"/>
  <c r="F5861" i="23"/>
  <c r="M5861" i="23"/>
  <c r="F5862" i="23"/>
  <c r="M5862" i="23"/>
  <c r="F5863" i="23"/>
  <c r="M5863" i="23"/>
  <c r="F5864" i="23"/>
  <c r="M5864" i="23"/>
  <c r="F5865" i="23"/>
  <c r="M5865" i="23"/>
  <c r="F5866" i="23"/>
  <c r="M5866" i="23"/>
  <c r="F5867" i="23"/>
  <c r="M5867" i="23"/>
  <c r="F5868" i="23"/>
  <c r="M5868" i="23"/>
  <c r="F5869" i="23"/>
  <c r="M5869" i="23"/>
  <c r="F5870" i="23"/>
  <c r="M5870" i="23"/>
  <c r="F5871" i="23"/>
  <c r="M5871" i="23"/>
  <c r="F5872" i="23"/>
  <c r="M5872" i="23"/>
  <c r="F5873" i="23"/>
  <c r="M5873" i="23"/>
  <c r="F5874" i="23"/>
  <c r="M5874" i="23"/>
  <c r="F5875" i="23"/>
  <c r="M5875" i="23"/>
  <c r="F5876" i="23"/>
  <c r="M5876" i="23"/>
  <c r="F5877" i="23"/>
  <c r="M5877" i="23"/>
  <c r="F5878" i="23"/>
  <c r="M5878" i="23"/>
  <c r="F5879" i="23"/>
  <c r="M5879" i="23"/>
  <c r="F5880" i="23"/>
  <c r="M5880" i="23"/>
  <c r="F5881" i="23"/>
  <c r="M5881" i="23"/>
  <c r="F5882" i="23"/>
  <c r="M5882" i="23"/>
  <c r="F5883" i="23"/>
  <c r="M5883" i="23"/>
  <c r="F5884" i="23"/>
  <c r="M5884" i="23"/>
  <c r="F5885" i="23"/>
  <c r="M5885" i="23"/>
  <c r="F5886" i="23"/>
  <c r="M5886" i="23"/>
  <c r="F5887" i="23"/>
  <c r="M5887" i="23"/>
  <c r="F5888" i="23"/>
  <c r="M5888" i="23"/>
  <c r="F5889" i="23"/>
  <c r="M5889" i="23"/>
  <c r="F5890" i="23"/>
  <c r="M5890" i="23"/>
  <c r="F5891" i="23"/>
  <c r="M5891" i="23"/>
  <c r="F5892" i="23"/>
  <c r="M5892" i="23"/>
  <c r="F5893" i="23"/>
  <c r="M5893" i="23"/>
  <c r="F5894" i="23"/>
  <c r="M5894" i="23"/>
  <c r="F5895" i="23"/>
  <c r="M5895" i="23"/>
  <c r="F5896" i="23"/>
  <c r="M5896" i="23"/>
  <c r="F5897" i="23"/>
  <c r="M5897" i="23"/>
  <c r="F5898" i="23"/>
  <c r="M5898" i="23"/>
  <c r="F5899" i="23"/>
  <c r="M5899" i="23"/>
  <c r="F5900" i="23"/>
  <c r="M5900" i="23"/>
  <c r="F5901" i="23"/>
  <c r="M5901" i="23"/>
  <c r="F5902" i="23"/>
  <c r="M5902" i="23"/>
  <c r="F5903" i="23"/>
  <c r="M5903" i="23"/>
  <c r="F5904" i="23"/>
  <c r="M5904" i="23"/>
  <c r="F5905" i="23"/>
  <c r="M5905" i="23"/>
  <c r="F5906" i="23"/>
  <c r="M5906" i="23"/>
  <c r="F5907" i="23"/>
  <c r="M5907" i="23"/>
  <c r="F5908" i="23"/>
  <c r="M5908" i="23"/>
  <c r="F5909" i="23"/>
  <c r="M5909" i="23"/>
  <c r="F5910" i="23"/>
  <c r="M5910" i="23"/>
  <c r="F5911" i="23"/>
  <c r="M5911" i="23"/>
  <c r="F5912" i="23"/>
  <c r="M5912" i="23"/>
  <c r="F5913" i="23"/>
  <c r="M5913" i="23"/>
  <c r="F5914" i="23"/>
  <c r="M5914" i="23"/>
  <c r="F5915" i="23"/>
  <c r="M5915" i="23"/>
  <c r="F5916" i="23"/>
  <c r="M5916" i="23"/>
  <c r="F5917" i="23"/>
  <c r="M5917" i="23"/>
  <c r="F5918" i="23"/>
  <c r="M5918" i="23"/>
  <c r="F5919" i="23"/>
  <c r="M5919" i="23"/>
  <c r="F5920" i="23"/>
  <c r="M5920" i="23"/>
  <c r="F5921" i="23"/>
  <c r="M5921" i="23"/>
  <c r="F5922" i="23"/>
  <c r="M5922" i="23"/>
  <c r="F5923" i="23"/>
  <c r="M5923" i="23"/>
  <c r="F5924" i="23"/>
  <c r="M5924" i="23"/>
  <c r="F5925" i="23"/>
  <c r="M5925" i="23"/>
  <c r="F5926" i="23"/>
  <c r="M5926" i="23"/>
  <c r="F5927" i="23"/>
  <c r="M5927" i="23"/>
  <c r="F5928" i="23"/>
  <c r="M5928" i="23"/>
  <c r="F5929" i="23"/>
  <c r="M5929" i="23"/>
  <c r="F5930" i="23"/>
  <c r="M5930" i="23"/>
  <c r="F5931" i="23"/>
  <c r="M5931" i="23"/>
  <c r="F5932" i="23"/>
  <c r="M5932" i="23"/>
  <c r="F5933" i="23"/>
  <c r="M5933" i="23"/>
  <c r="F5934" i="23"/>
  <c r="M5934" i="23"/>
  <c r="F5935" i="23"/>
  <c r="M5935" i="23"/>
  <c r="F5936" i="23"/>
  <c r="M5936" i="23"/>
  <c r="F5937" i="23"/>
  <c r="M5937" i="23"/>
  <c r="F5938" i="23"/>
  <c r="M5938" i="23"/>
  <c r="F5939" i="23"/>
  <c r="M5939" i="23"/>
  <c r="F5940" i="23"/>
  <c r="M5940" i="23"/>
  <c r="F5941" i="23"/>
  <c r="M5941" i="23"/>
  <c r="F5942" i="23"/>
  <c r="M5942" i="23"/>
  <c r="F5943" i="23"/>
  <c r="M5943" i="23"/>
  <c r="F5944" i="23"/>
  <c r="M5944" i="23"/>
  <c r="F5945" i="23"/>
  <c r="M5945" i="23"/>
  <c r="F5946" i="23"/>
  <c r="M5946" i="23"/>
  <c r="F5947" i="23"/>
  <c r="M5947" i="23"/>
  <c r="F5948" i="23"/>
  <c r="M5948" i="23"/>
  <c r="F5949" i="23"/>
  <c r="M5949" i="23"/>
  <c r="F5950" i="23"/>
  <c r="M5950" i="23"/>
  <c r="F5951" i="23"/>
  <c r="M5951" i="23"/>
  <c r="F5952" i="23"/>
  <c r="M5952" i="23"/>
  <c r="F5953" i="23"/>
  <c r="M5953" i="23"/>
  <c r="F5954" i="23"/>
  <c r="M5954" i="23"/>
  <c r="F5955" i="23"/>
  <c r="M5955" i="23"/>
  <c r="F5956" i="23"/>
  <c r="M5956" i="23"/>
  <c r="F5957" i="23"/>
  <c r="M5957" i="23"/>
  <c r="F5958" i="23"/>
  <c r="M5958" i="23"/>
  <c r="F5959" i="23"/>
  <c r="M5959" i="23"/>
  <c r="F5960" i="23"/>
  <c r="M5960" i="23"/>
  <c r="F5961" i="23"/>
  <c r="M5961" i="23"/>
  <c r="F5962" i="23"/>
  <c r="M5962" i="23"/>
  <c r="F5963" i="23"/>
  <c r="M5963" i="23"/>
  <c r="F5964" i="23"/>
  <c r="M5964" i="23"/>
  <c r="F5965" i="23"/>
  <c r="M5965" i="23"/>
  <c r="F5966" i="23"/>
  <c r="M5966" i="23"/>
  <c r="F5967" i="23"/>
  <c r="M5967" i="23"/>
  <c r="F5968" i="23"/>
  <c r="M5968" i="23"/>
  <c r="F5969" i="23"/>
  <c r="M5969" i="23"/>
  <c r="F5970" i="23"/>
  <c r="M5970" i="23"/>
  <c r="F5971" i="23"/>
  <c r="M5971" i="23"/>
  <c r="F5972" i="23"/>
  <c r="M5972" i="23"/>
  <c r="F5973" i="23"/>
  <c r="M5973" i="23"/>
  <c r="F5974" i="23"/>
  <c r="M5974" i="23"/>
  <c r="F5975" i="23"/>
  <c r="M5975" i="23"/>
  <c r="F5976" i="23"/>
  <c r="M5976" i="23"/>
  <c r="F5977" i="23"/>
  <c r="M5977" i="23"/>
  <c r="F5978" i="23"/>
  <c r="M5978" i="23"/>
  <c r="F5979" i="23"/>
  <c r="M5979" i="23"/>
  <c r="F5980" i="23"/>
  <c r="M5980" i="23"/>
  <c r="F5981" i="23"/>
  <c r="M5981" i="23"/>
  <c r="F5982" i="23"/>
  <c r="M5982" i="23"/>
  <c r="F5983" i="23"/>
  <c r="M5983" i="23"/>
  <c r="F5984" i="23"/>
  <c r="M5984" i="23"/>
  <c r="F5985" i="23"/>
  <c r="M5985" i="23"/>
  <c r="F5986" i="23"/>
  <c r="M5986" i="23"/>
  <c r="F5987" i="23"/>
  <c r="M5987" i="23"/>
  <c r="F5988" i="23"/>
  <c r="M5988" i="23"/>
  <c r="F5989" i="23"/>
  <c r="M5989" i="23"/>
  <c r="F5990" i="23"/>
  <c r="M5990" i="23"/>
  <c r="F5991" i="23"/>
  <c r="M5991" i="23"/>
  <c r="F5992" i="23"/>
  <c r="M5992" i="23"/>
  <c r="F5993" i="23"/>
  <c r="M5993" i="23"/>
  <c r="F5994" i="23"/>
  <c r="M5994" i="23"/>
  <c r="F5995" i="23"/>
  <c r="M5995" i="23"/>
  <c r="F5996" i="23"/>
  <c r="M5996" i="23"/>
  <c r="F5997" i="23"/>
  <c r="M5997" i="23"/>
  <c r="F5998" i="23"/>
  <c r="M5998" i="23"/>
  <c r="F5999" i="23"/>
  <c r="M5999" i="23"/>
  <c r="F6000" i="23"/>
  <c r="M6000" i="23"/>
  <c r="F6001" i="23"/>
  <c r="M6001" i="23"/>
  <c r="F6002" i="23"/>
  <c r="M6002" i="23"/>
  <c r="F6003" i="23"/>
  <c r="M6003" i="23"/>
  <c r="F6004" i="23"/>
  <c r="M6004" i="23"/>
  <c r="F6005" i="23"/>
  <c r="M6005" i="23"/>
  <c r="F6006" i="23"/>
  <c r="M6006" i="23"/>
  <c r="F6007" i="23"/>
  <c r="M6007" i="23"/>
  <c r="F6008" i="23"/>
  <c r="M6008" i="23"/>
  <c r="F6009" i="23"/>
  <c r="M6009" i="23"/>
  <c r="F6010" i="23"/>
  <c r="M6010" i="23"/>
  <c r="F6011" i="23"/>
  <c r="M6011" i="23"/>
  <c r="F6012" i="23"/>
  <c r="M6012" i="23"/>
  <c r="F6013" i="23"/>
  <c r="M6013" i="23"/>
  <c r="F6014" i="23"/>
  <c r="M6014" i="23"/>
  <c r="F6015" i="23"/>
  <c r="M6015" i="23"/>
  <c r="F6016" i="23"/>
  <c r="M6016" i="23"/>
  <c r="F6017" i="23"/>
  <c r="M6017" i="23"/>
  <c r="F6018" i="23"/>
  <c r="M6018" i="23"/>
  <c r="F6019" i="23"/>
  <c r="M6019" i="23"/>
  <c r="F6020" i="23"/>
  <c r="M6020" i="23"/>
  <c r="F6021" i="23"/>
  <c r="M6021" i="23"/>
  <c r="F6022" i="23"/>
  <c r="M6022" i="23"/>
  <c r="F6023" i="23"/>
  <c r="M6023" i="23"/>
  <c r="F6024" i="23"/>
  <c r="M6024" i="23"/>
  <c r="F6025" i="23"/>
  <c r="M6025" i="23"/>
  <c r="F6026" i="23"/>
  <c r="M6026" i="23"/>
  <c r="F6027" i="23"/>
  <c r="M6027" i="23"/>
  <c r="F6028" i="23"/>
  <c r="M6028" i="23"/>
  <c r="F6029" i="23"/>
  <c r="M6029" i="23"/>
  <c r="F6030" i="23"/>
  <c r="M6030" i="23"/>
  <c r="F6031" i="23"/>
  <c r="M6031" i="23"/>
  <c r="F6032" i="23"/>
  <c r="M6032" i="23"/>
  <c r="F6033" i="23"/>
  <c r="M6033" i="23"/>
  <c r="F6034" i="23"/>
  <c r="M6034" i="23"/>
  <c r="F6035" i="23"/>
  <c r="M6035" i="23"/>
  <c r="F6036" i="23"/>
  <c r="M6036" i="23"/>
  <c r="F6037" i="23"/>
  <c r="M6037" i="23"/>
  <c r="F6038" i="23"/>
  <c r="M6038" i="23"/>
  <c r="F6039" i="23"/>
  <c r="M6039" i="23"/>
  <c r="F6040" i="23"/>
  <c r="M6040" i="23"/>
  <c r="F6041" i="23"/>
  <c r="M6041" i="23"/>
  <c r="F6042" i="23"/>
  <c r="M6042" i="23"/>
  <c r="F6043" i="23"/>
  <c r="M6043" i="23"/>
  <c r="F6044" i="23"/>
  <c r="M6044" i="23"/>
  <c r="F6045" i="23"/>
  <c r="M6045" i="23"/>
  <c r="F6046" i="23"/>
  <c r="M6046" i="23"/>
  <c r="F6047" i="23"/>
  <c r="M6047" i="23"/>
  <c r="F6048" i="23"/>
  <c r="M6048" i="23"/>
  <c r="F6049" i="23"/>
  <c r="M6049" i="23"/>
  <c r="F6050" i="23"/>
  <c r="M6050" i="23"/>
  <c r="F6051" i="23"/>
  <c r="M6051" i="23"/>
  <c r="F6052" i="23"/>
  <c r="M6052" i="23"/>
  <c r="F6053" i="23"/>
  <c r="M6053" i="23"/>
  <c r="F6054" i="23"/>
  <c r="M6054" i="23"/>
  <c r="F6055" i="23"/>
  <c r="M6055" i="23"/>
  <c r="F6056" i="23"/>
  <c r="M6056" i="23"/>
  <c r="F6057" i="23"/>
  <c r="M6057" i="23"/>
  <c r="F6058" i="23"/>
  <c r="M6058" i="23"/>
  <c r="F6059" i="23"/>
  <c r="M6059" i="23"/>
  <c r="F6060" i="23"/>
  <c r="M6060" i="23"/>
  <c r="F6061" i="23"/>
  <c r="M6061" i="23"/>
  <c r="F6062" i="23"/>
  <c r="M6062" i="23"/>
  <c r="F6063" i="23"/>
  <c r="M6063" i="23"/>
  <c r="F6064" i="23"/>
  <c r="M6064" i="23"/>
  <c r="F6065" i="23"/>
  <c r="M6065" i="23"/>
  <c r="F6066" i="23"/>
  <c r="M6066" i="23"/>
  <c r="F6067" i="23"/>
  <c r="M6067" i="23"/>
  <c r="F6068" i="23"/>
  <c r="M6068" i="23"/>
  <c r="F6069" i="23"/>
  <c r="M6069" i="23"/>
  <c r="F6070" i="23"/>
  <c r="M6070" i="23"/>
  <c r="F6071" i="23"/>
  <c r="M6071" i="23"/>
  <c r="F6072" i="23"/>
  <c r="M6072" i="23"/>
  <c r="F6073" i="23"/>
  <c r="M6073" i="23"/>
  <c r="F6074" i="23"/>
  <c r="M6074" i="23"/>
  <c r="F6075" i="23"/>
  <c r="M6075" i="23"/>
  <c r="F6076" i="23"/>
  <c r="M6076" i="23"/>
  <c r="F6077" i="23"/>
  <c r="M6077" i="23"/>
  <c r="F6078" i="23"/>
  <c r="M6078" i="23"/>
  <c r="F6079" i="23"/>
  <c r="M6079" i="23"/>
  <c r="F6080" i="23"/>
  <c r="M6080" i="23"/>
  <c r="F6081" i="23"/>
  <c r="M6081" i="23"/>
  <c r="F6082" i="23"/>
  <c r="M6082" i="23"/>
  <c r="F6083" i="23"/>
  <c r="M6083" i="23"/>
  <c r="F6084" i="23"/>
  <c r="M6084" i="23"/>
  <c r="F6085" i="23"/>
  <c r="M6085" i="23"/>
  <c r="F6086" i="23"/>
  <c r="M6086" i="23"/>
  <c r="F6087" i="23"/>
  <c r="M6087" i="23"/>
  <c r="F6088" i="23"/>
  <c r="M6088" i="23"/>
  <c r="F6089" i="23"/>
  <c r="M6089" i="23"/>
  <c r="F6090" i="23"/>
  <c r="M6090" i="23"/>
  <c r="F6091" i="23"/>
  <c r="M6091" i="23"/>
  <c r="F6092" i="23"/>
  <c r="M6092" i="23"/>
  <c r="F6093" i="23"/>
  <c r="M6093" i="23"/>
  <c r="F6094" i="23"/>
  <c r="M6094" i="23"/>
  <c r="F6095" i="23"/>
  <c r="M6095" i="23"/>
  <c r="F6096" i="23"/>
  <c r="M6096" i="23"/>
  <c r="F6097" i="23"/>
  <c r="M6097" i="23"/>
  <c r="F6098" i="23"/>
  <c r="M6098" i="23"/>
  <c r="F6099" i="23"/>
  <c r="M6099" i="23"/>
  <c r="F6100" i="23"/>
  <c r="M6100" i="23"/>
  <c r="F6101" i="23"/>
  <c r="M6101" i="23"/>
  <c r="F6102" i="23"/>
  <c r="M6102" i="23"/>
  <c r="F6103" i="23"/>
  <c r="M6103" i="23"/>
  <c r="F6104" i="23"/>
  <c r="M6104" i="23"/>
  <c r="F6105" i="23"/>
  <c r="M6105" i="23"/>
  <c r="F6106" i="23"/>
  <c r="M6106" i="23"/>
  <c r="F6107" i="23"/>
  <c r="M6107" i="23"/>
  <c r="F6108" i="23"/>
  <c r="M6108" i="23"/>
  <c r="F6109" i="23"/>
  <c r="M6109" i="23"/>
  <c r="F6110" i="23"/>
  <c r="M6110" i="23"/>
  <c r="F6111" i="23"/>
  <c r="M6111" i="23"/>
  <c r="F6112" i="23"/>
  <c r="M6112" i="23"/>
  <c r="F6113" i="23"/>
  <c r="M6113" i="23"/>
  <c r="F6114" i="23"/>
  <c r="M6114" i="23"/>
  <c r="F6115" i="23"/>
  <c r="M6115" i="23"/>
  <c r="F6116" i="23"/>
  <c r="M6116" i="23"/>
  <c r="F6117" i="23"/>
  <c r="M6117" i="23"/>
  <c r="F6118" i="23"/>
  <c r="M6118" i="23"/>
  <c r="F6119" i="23"/>
  <c r="M6119" i="23"/>
  <c r="F6120" i="23"/>
  <c r="M6120" i="23"/>
  <c r="F6121" i="23"/>
  <c r="M6121" i="23"/>
  <c r="F6122" i="23"/>
  <c r="M6122" i="23"/>
  <c r="F6123" i="23"/>
  <c r="M6123" i="23"/>
  <c r="F6124" i="23"/>
  <c r="M6124" i="23"/>
  <c r="F6125" i="23"/>
  <c r="M6125" i="23"/>
  <c r="F6126" i="23"/>
  <c r="M6126" i="23"/>
  <c r="F6127" i="23"/>
  <c r="M6127" i="23"/>
  <c r="F6128" i="23"/>
  <c r="M6128" i="23"/>
  <c r="F6129" i="23"/>
  <c r="M6129" i="23"/>
  <c r="F6130" i="23"/>
  <c r="M6130" i="23"/>
  <c r="F6131" i="23"/>
  <c r="M6131" i="23"/>
  <c r="F6132" i="23"/>
  <c r="M6132" i="23"/>
  <c r="F6133" i="23"/>
  <c r="M6133" i="23"/>
  <c r="F6134" i="23"/>
  <c r="M6134" i="23"/>
  <c r="F6135" i="23"/>
  <c r="M6135" i="23"/>
  <c r="F6136" i="23"/>
  <c r="M6136" i="23"/>
  <c r="F6137" i="23"/>
  <c r="M6137" i="23"/>
  <c r="F6138" i="23"/>
  <c r="M6138" i="23"/>
  <c r="F6139" i="23"/>
  <c r="M6139" i="23"/>
  <c r="F6140" i="23"/>
  <c r="M6140" i="23"/>
  <c r="F6141" i="23"/>
  <c r="M6141" i="23"/>
  <c r="F6142" i="23"/>
  <c r="M6142" i="23"/>
  <c r="F6143" i="23"/>
  <c r="M6143" i="23"/>
  <c r="F6144" i="23"/>
  <c r="M6144" i="23"/>
  <c r="F6145" i="23"/>
  <c r="M6145" i="23"/>
  <c r="F6146" i="23"/>
  <c r="M6146" i="23"/>
  <c r="F6147" i="23"/>
  <c r="M6147" i="23"/>
  <c r="F6148" i="23"/>
  <c r="M6148" i="23"/>
  <c r="F6149" i="23"/>
  <c r="M6149" i="23"/>
  <c r="F6150" i="23"/>
  <c r="M6150" i="23"/>
  <c r="F6151" i="23"/>
  <c r="M6151" i="23"/>
  <c r="F6152" i="23"/>
  <c r="M6152" i="23"/>
  <c r="F6153" i="23"/>
  <c r="M6153" i="23"/>
  <c r="F6154" i="23"/>
  <c r="M6154" i="23"/>
  <c r="F6155" i="23"/>
  <c r="M6155" i="23"/>
  <c r="F6156" i="23"/>
  <c r="M6156" i="23"/>
  <c r="F6157" i="23"/>
  <c r="M6157" i="23"/>
  <c r="F6158" i="23"/>
  <c r="M6158" i="23"/>
  <c r="F6159" i="23"/>
  <c r="M6159" i="23"/>
  <c r="F6160" i="23"/>
  <c r="M6160" i="23"/>
  <c r="F6161" i="23"/>
  <c r="M6161" i="23"/>
  <c r="F6162" i="23"/>
  <c r="M6162" i="23"/>
  <c r="F6163" i="23"/>
  <c r="M6163" i="23"/>
  <c r="F6164" i="23"/>
  <c r="M6164" i="23"/>
  <c r="F6165" i="23"/>
  <c r="M6165" i="23"/>
  <c r="F6166" i="23"/>
  <c r="M6166" i="23"/>
  <c r="F6167" i="23"/>
  <c r="M6167" i="23"/>
  <c r="F6168" i="23"/>
  <c r="M6168" i="23"/>
  <c r="F6169" i="23"/>
  <c r="M6169" i="23"/>
  <c r="F6170" i="23"/>
  <c r="M6170" i="23"/>
  <c r="F6171" i="23"/>
  <c r="M6171" i="23"/>
  <c r="F6172" i="23"/>
  <c r="M6172" i="23"/>
  <c r="F6173" i="23"/>
  <c r="M6173" i="23"/>
  <c r="F6174" i="23"/>
  <c r="M6174" i="23"/>
  <c r="F6175" i="23"/>
  <c r="M6175" i="23"/>
  <c r="F6176" i="23"/>
  <c r="M6176" i="23"/>
  <c r="F6177" i="23"/>
  <c r="M6177" i="23"/>
  <c r="F6178" i="23"/>
  <c r="M6178" i="23"/>
  <c r="F6179" i="23"/>
  <c r="M6179" i="23"/>
  <c r="F6180" i="23"/>
  <c r="M6180" i="23"/>
  <c r="F6181" i="23"/>
  <c r="M6181" i="23"/>
  <c r="F6182" i="23"/>
  <c r="M6182" i="23"/>
  <c r="F6183" i="23"/>
  <c r="M6183" i="23"/>
  <c r="F6184" i="23"/>
  <c r="M6184" i="23"/>
  <c r="F6185" i="23"/>
  <c r="M6185" i="23"/>
  <c r="F6186" i="23"/>
  <c r="M6186" i="23"/>
  <c r="F6187" i="23"/>
  <c r="M6187" i="23"/>
  <c r="F6188" i="23"/>
  <c r="M6188" i="23"/>
  <c r="F6189" i="23"/>
  <c r="M6189" i="23"/>
  <c r="F6190" i="23"/>
  <c r="M6190" i="23"/>
  <c r="F6191" i="23"/>
  <c r="M6191" i="23"/>
  <c r="F6192" i="23"/>
  <c r="M6192" i="23"/>
  <c r="F6193" i="23"/>
  <c r="M6193" i="23"/>
  <c r="F6194" i="23"/>
  <c r="M6194" i="23"/>
  <c r="F6195" i="23"/>
  <c r="M6195" i="23"/>
  <c r="F6196" i="23"/>
  <c r="M6196" i="23"/>
  <c r="F6197" i="23"/>
  <c r="M6197" i="23"/>
  <c r="F6198" i="23"/>
  <c r="M6198" i="23"/>
  <c r="F6199" i="23"/>
  <c r="M6199" i="23"/>
  <c r="F6200" i="23"/>
  <c r="M6200" i="23"/>
  <c r="F6201" i="23"/>
  <c r="M6201" i="23"/>
  <c r="F6202" i="23"/>
  <c r="M6202" i="23"/>
  <c r="F6203" i="23"/>
  <c r="M6203" i="23"/>
  <c r="F6204" i="23"/>
  <c r="M6204" i="23"/>
  <c r="F6205" i="23"/>
  <c r="M6205" i="23"/>
  <c r="F6206" i="23"/>
  <c r="M6206" i="23"/>
  <c r="F6207" i="23"/>
  <c r="M6207" i="23"/>
  <c r="F6208" i="23"/>
  <c r="M6208" i="23"/>
  <c r="F6209" i="23"/>
  <c r="M6209" i="23"/>
  <c r="F6210" i="23"/>
  <c r="M6210" i="23"/>
  <c r="F6211" i="23"/>
  <c r="M6211" i="23"/>
  <c r="F6212" i="23"/>
  <c r="M6212" i="23"/>
  <c r="F6213" i="23"/>
  <c r="M6213" i="23"/>
  <c r="F6214" i="23"/>
  <c r="M6214" i="23"/>
  <c r="F6215" i="23"/>
  <c r="M6215" i="23"/>
  <c r="F6216" i="23"/>
  <c r="M6216" i="23"/>
  <c r="F6217" i="23"/>
  <c r="M6217" i="23"/>
  <c r="F6218" i="23"/>
  <c r="M6218" i="23"/>
  <c r="F6219" i="23"/>
  <c r="M6219" i="23"/>
  <c r="F6220" i="23"/>
  <c r="M6220" i="23"/>
  <c r="F6221" i="23"/>
  <c r="M6221" i="23"/>
  <c r="F6222" i="23"/>
  <c r="M6222" i="23"/>
  <c r="F6223" i="23"/>
  <c r="M6223" i="23"/>
  <c r="F6224" i="23"/>
  <c r="M6224" i="23"/>
  <c r="F6225" i="23"/>
  <c r="M6225" i="23"/>
  <c r="F6226" i="23"/>
  <c r="M6226" i="23"/>
  <c r="F6227" i="23"/>
  <c r="M6227" i="23"/>
  <c r="F6228" i="23"/>
  <c r="M6228" i="23"/>
  <c r="F6229" i="23"/>
  <c r="M6229" i="23"/>
  <c r="F6230" i="23"/>
  <c r="M6230" i="23"/>
  <c r="F6231" i="23"/>
  <c r="M6231" i="23"/>
  <c r="F6232" i="23"/>
  <c r="M6232" i="23"/>
  <c r="F6233" i="23"/>
  <c r="M6233" i="23"/>
  <c r="F6234" i="23"/>
  <c r="M6234" i="23"/>
  <c r="F6235" i="23"/>
  <c r="M6235" i="23"/>
  <c r="F6236" i="23"/>
  <c r="M6236" i="23"/>
  <c r="F6237" i="23"/>
  <c r="M6237" i="23"/>
  <c r="F6238" i="23"/>
  <c r="M6238" i="23"/>
  <c r="F6239" i="23"/>
  <c r="M6239" i="23"/>
  <c r="F6240" i="23"/>
  <c r="M6240" i="23"/>
  <c r="F6241" i="23"/>
  <c r="M6241" i="23"/>
  <c r="F6242" i="23"/>
  <c r="M6242" i="23"/>
  <c r="F6243" i="23"/>
  <c r="M6243" i="23"/>
  <c r="F6244" i="23"/>
  <c r="M6244" i="23"/>
  <c r="F6245" i="23"/>
  <c r="M6245" i="23"/>
  <c r="F6246" i="23"/>
  <c r="M6246" i="23"/>
  <c r="F6247" i="23"/>
  <c r="M6247" i="23"/>
  <c r="F6248" i="23"/>
  <c r="M6248" i="23"/>
  <c r="F6249" i="23"/>
  <c r="M6249" i="23"/>
  <c r="F6250" i="23"/>
  <c r="M6250" i="23"/>
  <c r="F6251" i="23"/>
  <c r="M6251" i="23"/>
  <c r="F6252" i="23"/>
  <c r="M6252" i="23"/>
  <c r="F6253" i="23"/>
  <c r="M6253" i="23"/>
  <c r="F6254" i="23"/>
  <c r="M6254" i="23"/>
  <c r="F6255" i="23"/>
  <c r="M6255" i="23"/>
  <c r="F6256" i="23"/>
  <c r="M6256" i="23"/>
  <c r="F6257" i="23"/>
  <c r="M6257" i="23"/>
  <c r="F6258" i="23"/>
  <c r="M6258" i="23"/>
  <c r="F6259" i="23"/>
  <c r="M6259" i="23"/>
  <c r="F6260" i="23"/>
  <c r="M6260" i="23"/>
  <c r="F6261" i="23"/>
  <c r="M6261" i="23"/>
  <c r="F6262" i="23"/>
  <c r="M6262" i="23"/>
  <c r="F6263" i="23"/>
  <c r="M6263" i="23"/>
  <c r="F6264" i="23"/>
  <c r="M6264" i="23"/>
  <c r="F6265" i="23"/>
  <c r="M6265" i="23"/>
  <c r="F6266" i="23"/>
  <c r="M6266" i="23"/>
  <c r="F6267" i="23"/>
  <c r="M6267" i="23"/>
  <c r="F6268" i="23"/>
  <c r="M6268" i="23"/>
  <c r="F6269" i="23"/>
  <c r="M6269" i="23"/>
  <c r="F6270" i="23"/>
  <c r="M6270" i="23"/>
  <c r="F6271" i="23"/>
  <c r="M6271" i="23"/>
  <c r="F6272" i="23"/>
  <c r="M6272" i="23"/>
  <c r="F6273" i="23"/>
  <c r="M6273" i="23"/>
  <c r="F6274" i="23"/>
  <c r="M6274" i="23"/>
  <c r="F6275" i="23"/>
  <c r="M6275" i="23"/>
  <c r="F6276" i="23"/>
  <c r="M6276" i="23"/>
  <c r="F6277" i="23"/>
  <c r="M6277" i="23"/>
  <c r="F6278" i="23"/>
  <c r="M6278" i="23"/>
  <c r="F6279" i="23"/>
  <c r="M6279" i="23"/>
  <c r="F6280" i="23"/>
  <c r="M6280" i="23"/>
  <c r="F6281" i="23"/>
  <c r="M6281" i="23"/>
  <c r="F6282" i="23"/>
  <c r="M6282" i="23"/>
  <c r="F6283" i="23"/>
  <c r="M6283" i="23"/>
  <c r="F6284" i="23"/>
  <c r="M6284" i="23"/>
  <c r="F6285" i="23"/>
  <c r="M6285" i="23"/>
  <c r="F6286" i="23"/>
  <c r="M6286" i="23"/>
  <c r="F6287" i="23"/>
  <c r="M6287" i="23"/>
  <c r="F6288" i="23"/>
  <c r="M6288" i="23"/>
  <c r="F6289" i="23"/>
  <c r="M6289" i="23"/>
  <c r="F6290" i="23"/>
  <c r="M6290" i="23"/>
  <c r="F6291" i="23"/>
  <c r="M6291" i="23"/>
  <c r="F6292" i="23"/>
  <c r="M6292" i="23"/>
  <c r="F6293" i="23"/>
  <c r="M6293" i="23"/>
  <c r="F6294" i="23"/>
  <c r="M6294" i="23"/>
  <c r="F6295" i="23"/>
  <c r="M6295" i="23"/>
  <c r="F6296" i="23"/>
  <c r="M6296" i="23"/>
  <c r="F6297" i="23"/>
  <c r="M6297" i="23"/>
  <c r="F6298" i="23"/>
  <c r="M6298" i="23"/>
  <c r="F6299" i="23"/>
  <c r="M6299" i="23"/>
  <c r="F6300" i="23"/>
  <c r="M6300" i="23"/>
  <c r="F6301" i="23"/>
  <c r="M6301" i="23"/>
  <c r="F6302" i="23"/>
  <c r="M6302" i="23"/>
  <c r="F6303" i="23"/>
  <c r="M6303" i="23"/>
  <c r="F6304" i="23"/>
  <c r="M6304" i="23"/>
  <c r="F6305" i="23"/>
  <c r="M6305" i="23"/>
  <c r="F6306" i="23"/>
  <c r="M6306" i="23"/>
  <c r="F6307" i="23"/>
  <c r="M6307" i="23"/>
  <c r="F6308" i="23"/>
  <c r="M6308" i="23"/>
  <c r="F6309" i="23"/>
  <c r="M6309" i="23"/>
  <c r="F6310" i="23"/>
  <c r="M6310" i="23"/>
  <c r="F6311" i="23"/>
  <c r="M6311" i="23"/>
  <c r="F6312" i="23"/>
  <c r="M6312" i="23"/>
  <c r="F6313" i="23"/>
  <c r="M6313" i="23"/>
  <c r="F6314" i="23"/>
  <c r="M6314" i="23"/>
  <c r="F6315" i="23"/>
  <c r="M6315" i="23"/>
  <c r="F6316" i="23"/>
  <c r="M6316" i="23"/>
  <c r="F6317" i="23"/>
  <c r="M6317" i="23"/>
  <c r="F6318" i="23"/>
  <c r="M6318" i="23"/>
  <c r="F6319" i="23"/>
  <c r="M6319" i="23"/>
  <c r="F6320" i="23"/>
  <c r="M6320" i="23"/>
  <c r="F6321" i="23"/>
  <c r="M6321" i="23"/>
  <c r="F6322" i="23"/>
  <c r="M6322" i="23"/>
  <c r="F6323" i="23"/>
  <c r="M6323" i="23"/>
  <c r="F6324" i="23"/>
  <c r="M6324" i="23"/>
  <c r="F6325" i="23"/>
  <c r="M6325" i="23"/>
  <c r="F6326" i="23"/>
  <c r="M6326" i="23"/>
  <c r="F6327" i="23"/>
  <c r="M6327" i="23"/>
  <c r="F6328" i="23"/>
  <c r="M6328" i="23"/>
  <c r="F6329" i="23"/>
  <c r="M6329" i="23"/>
  <c r="F6330" i="23"/>
  <c r="M6330" i="23"/>
  <c r="F6331" i="23"/>
  <c r="M6331" i="23"/>
  <c r="F6332" i="23"/>
  <c r="M6332" i="23"/>
  <c r="F6333" i="23"/>
  <c r="M6333" i="23"/>
  <c r="F6334" i="23"/>
  <c r="M6334" i="23"/>
  <c r="F6335" i="23"/>
  <c r="M6335" i="23"/>
  <c r="F6336" i="23"/>
  <c r="M6336" i="23"/>
  <c r="F6337" i="23"/>
  <c r="M6337" i="23"/>
  <c r="F6338" i="23"/>
  <c r="M6338" i="23"/>
  <c r="F6339" i="23"/>
  <c r="M6339" i="23"/>
  <c r="F6340" i="23"/>
  <c r="M6340" i="23"/>
  <c r="F6341" i="23"/>
  <c r="M6341" i="23"/>
  <c r="F6342" i="23"/>
  <c r="M6342" i="23"/>
  <c r="F6343" i="23"/>
  <c r="M6343" i="23"/>
  <c r="F6344" i="23"/>
  <c r="M6344" i="23"/>
  <c r="F6345" i="23"/>
  <c r="M6345" i="23"/>
  <c r="F6346" i="23"/>
  <c r="M6346" i="23"/>
  <c r="F6347" i="23"/>
  <c r="M6347" i="23"/>
  <c r="F6348" i="23"/>
  <c r="M6348" i="23"/>
  <c r="F6349" i="23"/>
  <c r="M6349" i="23"/>
  <c r="F6350" i="23"/>
  <c r="M6350" i="23"/>
  <c r="F6351" i="23"/>
  <c r="M6351" i="23"/>
  <c r="F6352" i="23"/>
  <c r="M6352" i="23"/>
  <c r="F6353" i="23"/>
  <c r="M6353" i="23"/>
  <c r="F6354" i="23"/>
  <c r="M6354" i="23"/>
  <c r="F6355" i="23"/>
  <c r="M6355" i="23"/>
  <c r="F6356" i="23"/>
  <c r="M6356" i="23"/>
  <c r="F6357" i="23"/>
  <c r="M6357" i="23"/>
  <c r="F6358" i="23"/>
  <c r="M6358" i="23"/>
  <c r="F6359" i="23"/>
  <c r="M6359" i="23"/>
  <c r="F6360" i="23"/>
  <c r="M6360" i="23"/>
  <c r="F6361" i="23"/>
  <c r="M6361" i="23"/>
  <c r="F6362" i="23"/>
  <c r="M6362" i="23"/>
  <c r="F6363" i="23"/>
  <c r="M6363" i="23"/>
  <c r="F6364" i="23"/>
  <c r="M6364" i="23"/>
  <c r="F6365" i="23"/>
  <c r="M6365" i="23"/>
  <c r="F6366" i="23"/>
  <c r="M6366" i="23"/>
  <c r="F6367" i="23"/>
  <c r="M6367" i="23"/>
  <c r="F6368" i="23"/>
  <c r="M6368" i="23"/>
  <c r="F6369" i="23"/>
  <c r="M6369" i="23"/>
  <c r="F6370" i="23"/>
  <c r="M6370" i="23"/>
  <c r="F6371" i="23"/>
  <c r="M6371" i="23"/>
  <c r="F6372" i="23"/>
  <c r="M6372" i="23"/>
  <c r="F6373" i="23"/>
  <c r="M6373" i="23"/>
  <c r="F6374" i="23"/>
  <c r="M6374" i="23"/>
  <c r="F6375" i="23"/>
  <c r="M6375" i="23"/>
  <c r="F6376" i="23"/>
  <c r="M6376" i="23"/>
  <c r="F6377" i="23"/>
  <c r="M6377" i="23"/>
  <c r="F6378" i="23"/>
  <c r="M6378" i="23"/>
  <c r="F6379" i="23"/>
  <c r="M6379" i="23"/>
  <c r="F6380" i="23"/>
  <c r="M6380" i="23"/>
  <c r="F6381" i="23"/>
  <c r="M6381" i="23"/>
  <c r="F6382" i="23"/>
  <c r="M6382" i="23"/>
  <c r="F6383" i="23"/>
  <c r="M6383" i="23"/>
  <c r="F6384" i="23"/>
  <c r="M6384" i="23"/>
  <c r="F6385" i="23"/>
  <c r="M6385" i="23"/>
  <c r="F6386" i="23"/>
  <c r="M6386" i="23"/>
  <c r="F6387" i="23"/>
  <c r="M6387" i="23"/>
  <c r="F6388" i="23"/>
  <c r="M6388" i="23"/>
  <c r="F6389" i="23"/>
  <c r="M6389" i="23"/>
  <c r="F6390" i="23"/>
  <c r="M6390" i="23"/>
  <c r="F6391" i="23"/>
  <c r="M6391" i="23"/>
  <c r="F6392" i="23"/>
  <c r="M6392" i="23"/>
  <c r="F6393" i="23"/>
  <c r="M6393" i="23"/>
  <c r="F6394" i="23"/>
  <c r="M6394" i="23"/>
  <c r="F6395" i="23"/>
  <c r="M6395" i="23"/>
  <c r="F6396" i="23"/>
  <c r="M6396" i="23"/>
  <c r="F6397" i="23"/>
  <c r="M6397" i="23"/>
  <c r="F6398" i="23"/>
  <c r="M6398" i="23"/>
  <c r="F6399" i="23"/>
  <c r="M6399" i="23"/>
  <c r="F6400" i="23"/>
  <c r="M6400" i="23"/>
  <c r="F6401" i="23"/>
  <c r="M6401" i="23"/>
  <c r="F6402" i="23"/>
  <c r="M6402" i="23"/>
  <c r="F6403" i="23"/>
  <c r="M6403" i="23"/>
  <c r="F6404" i="23"/>
  <c r="M6404" i="23"/>
  <c r="F6405" i="23"/>
  <c r="M6405" i="23"/>
  <c r="F6406" i="23"/>
  <c r="M6406" i="23"/>
  <c r="F6407" i="23"/>
  <c r="M6407" i="23"/>
  <c r="F6408" i="23"/>
  <c r="M6408" i="23"/>
  <c r="F6409" i="23"/>
  <c r="M6409" i="23"/>
  <c r="F6410" i="23"/>
  <c r="M6410" i="23"/>
  <c r="F6411" i="23"/>
  <c r="M6411" i="23"/>
  <c r="F6412" i="23"/>
  <c r="M6412" i="23"/>
  <c r="F6413" i="23"/>
  <c r="M6413" i="23"/>
  <c r="F6414" i="23"/>
  <c r="M6414" i="23"/>
  <c r="F6415" i="23"/>
  <c r="M6415" i="23"/>
  <c r="F6416" i="23"/>
  <c r="M6416" i="23"/>
  <c r="F6417" i="23"/>
  <c r="M6417" i="23"/>
  <c r="F6418" i="23"/>
  <c r="M6418" i="23"/>
  <c r="F6419" i="23"/>
  <c r="M6419" i="23"/>
  <c r="F6420" i="23"/>
  <c r="M6420" i="23"/>
  <c r="F6421" i="23"/>
  <c r="M6421" i="23"/>
  <c r="F6422" i="23"/>
  <c r="M6422" i="23"/>
  <c r="F6423" i="23"/>
  <c r="M6423" i="23"/>
  <c r="F6424" i="23"/>
  <c r="M6424" i="23"/>
  <c r="F6425" i="23"/>
  <c r="M6425" i="23"/>
  <c r="F6426" i="23"/>
  <c r="M6426" i="23"/>
  <c r="F6427" i="23"/>
  <c r="M6427" i="23"/>
  <c r="F6428" i="23"/>
  <c r="M6428" i="23"/>
  <c r="F6429" i="23"/>
  <c r="M6429" i="23"/>
  <c r="F6430" i="23"/>
  <c r="M6430" i="23"/>
  <c r="F6431" i="23"/>
  <c r="M6431" i="23"/>
  <c r="F6432" i="23"/>
  <c r="M6432" i="23"/>
  <c r="F6433" i="23"/>
  <c r="M6433" i="23"/>
  <c r="F6434" i="23"/>
  <c r="M6434" i="23"/>
  <c r="F6435" i="23"/>
  <c r="M6435" i="23"/>
  <c r="F6436" i="23"/>
  <c r="M6436" i="23"/>
  <c r="F6437" i="23"/>
  <c r="M6437" i="23"/>
  <c r="F6438" i="23"/>
  <c r="M6438" i="23"/>
  <c r="F6439" i="23"/>
  <c r="M6439" i="23"/>
  <c r="F6440" i="23"/>
  <c r="M6440" i="23"/>
  <c r="F6441" i="23"/>
  <c r="M6441" i="23"/>
  <c r="F6442" i="23"/>
  <c r="M6442" i="23"/>
  <c r="F6443" i="23"/>
  <c r="M6443" i="23"/>
  <c r="F6444" i="23"/>
  <c r="M6444" i="23"/>
  <c r="F6445" i="23"/>
  <c r="M6445" i="23"/>
  <c r="F6446" i="23"/>
  <c r="M6446" i="23"/>
  <c r="F6447" i="23"/>
  <c r="M6447" i="23"/>
  <c r="F6448" i="23"/>
  <c r="M6448" i="23"/>
  <c r="F6449" i="23"/>
  <c r="M6449" i="23"/>
  <c r="F6450" i="23"/>
  <c r="M6450" i="23"/>
  <c r="F6451" i="23"/>
  <c r="M6451" i="23"/>
  <c r="F6452" i="23"/>
  <c r="M6452" i="23"/>
  <c r="F6453" i="23"/>
  <c r="M6453" i="23"/>
  <c r="F6454" i="23"/>
  <c r="M6454" i="23"/>
  <c r="F6455" i="23"/>
  <c r="M6455" i="23"/>
  <c r="F6456" i="23"/>
  <c r="M6456" i="23"/>
  <c r="F6457" i="23"/>
  <c r="M6457" i="23"/>
  <c r="F6458" i="23"/>
  <c r="M6458" i="23"/>
  <c r="F6459" i="23"/>
  <c r="M6459" i="23"/>
  <c r="F6460" i="23"/>
  <c r="M6460" i="23"/>
  <c r="F6461" i="23"/>
  <c r="M6461" i="23"/>
  <c r="F6462" i="23"/>
  <c r="M6462" i="23"/>
  <c r="F6463" i="23"/>
  <c r="M6463" i="23"/>
  <c r="F6464" i="23"/>
  <c r="M6464" i="23"/>
  <c r="F6465" i="23"/>
  <c r="M6465" i="23"/>
  <c r="F6466" i="23"/>
  <c r="M6466" i="23"/>
  <c r="F6467" i="23"/>
  <c r="M6467" i="23"/>
  <c r="F6468" i="23"/>
  <c r="M6468" i="23"/>
  <c r="F6469" i="23"/>
  <c r="M6469" i="23"/>
  <c r="F6470" i="23"/>
  <c r="M6470" i="23"/>
  <c r="F6471" i="23"/>
  <c r="M6471" i="23"/>
  <c r="F6472" i="23"/>
  <c r="M6472" i="23"/>
  <c r="F6473" i="23"/>
  <c r="M6473" i="23"/>
  <c r="F6474" i="23"/>
  <c r="M6474" i="23"/>
  <c r="F6475" i="23"/>
  <c r="M6475" i="23"/>
  <c r="F6476" i="23"/>
  <c r="M6476" i="23"/>
  <c r="F6477" i="23"/>
  <c r="M6477" i="23"/>
  <c r="F6478" i="23"/>
  <c r="M6478" i="23"/>
  <c r="F6479" i="23"/>
  <c r="M6479" i="23"/>
  <c r="F6480" i="23"/>
  <c r="M6480" i="23"/>
  <c r="F6481" i="23"/>
  <c r="M6481" i="23"/>
  <c r="F6482" i="23"/>
  <c r="M6482" i="23"/>
  <c r="F6483" i="23"/>
  <c r="M6483" i="23"/>
  <c r="F6484" i="23"/>
  <c r="M6484" i="23"/>
  <c r="F6485" i="23"/>
  <c r="M6485" i="23"/>
  <c r="F6486" i="23"/>
  <c r="M6486" i="23"/>
  <c r="F6487" i="23"/>
  <c r="M6487" i="23"/>
  <c r="F6488" i="23"/>
  <c r="M6488" i="23"/>
  <c r="F6489" i="23"/>
  <c r="M6489" i="23"/>
  <c r="F6490" i="23"/>
  <c r="M6490" i="23"/>
  <c r="F6491" i="23"/>
  <c r="M6491" i="23"/>
  <c r="F6492" i="23"/>
  <c r="M6492" i="23"/>
  <c r="F6493" i="23"/>
  <c r="M6493" i="23"/>
  <c r="F6494" i="23"/>
  <c r="M6494" i="23"/>
  <c r="F6495" i="23"/>
  <c r="M6495" i="23"/>
  <c r="F6496" i="23"/>
  <c r="M6496" i="23"/>
  <c r="F6497" i="23"/>
  <c r="M6497" i="23"/>
  <c r="F6498" i="23"/>
  <c r="M6498" i="23"/>
  <c r="F6499" i="23"/>
  <c r="M6499" i="23"/>
  <c r="F6500" i="23"/>
  <c r="M6500" i="23"/>
  <c r="F6501" i="23"/>
  <c r="M6501" i="23"/>
  <c r="F6502" i="23"/>
  <c r="M6502" i="23"/>
  <c r="F6503" i="23"/>
  <c r="M6503" i="23"/>
  <c r="F6504" i="23"/>
  <c r="M6504" i="23"/>
  <c r="F6505" i="23"/>
  <c r="M6505" i="23"/>
  <c r="F6506" i="23"/>
  <c r="M6506" i="23"/>
  <c r="F6507" i="23"/>
  <c r="M6507" i="23"/>
  <c r="F6508" i="23"/>
  <c r="M6508" i="23"/>
  <c r="F6509" i="23"/>
  <c r="M6509" i="23"/>
  <c r="F6510" i="23"/>
  <c r="M6510" i="23"/>
  <c r="F6511" i="23"/>
  <c r="M6511" i="23"/>
  <c r="F6512" i="23"/>
  <c r="M6512" i="23"/>
  <c r="F6513" i="23"/>
  <c r="M6513" i="23"/>
  <c r="F6514" i="23"/>
  <c r="M6514" i="23"/>
  <c r="F6515" i="23"/>
  <c r="M6515" i="23"/>
  <c r="F6516" i="23"/>
  <c r="M6516" i="23"/>
  <c r="F6517" i="23"/>
  <c r="M6517" i="23"/>
  <c r="F6518" i="23"/>
  <c r="M6518" i="23"/>
  <c r="F6519" i="23"/>
  <c r="M6519" i="23"/>
  <c r="F6520" i="23"/>
  <c r="M6520" i="23"/>
  <c r="F6521" i="23"/>
  <c r="M6521" i="23"/>
  <c r="F6522" i="23"/>
  <c r="M6522" i="23"/>
  <c r="F6523" i="23"/>
  <c r="M6523" i="23"/>
  <c r="F6524" i="23"/>
  <c r="M6524" i="23"/>
  <c r="F6525" i="23"/>
  <c r="M6525" i="23"/>
  <c r="F6526" i="23"/>
  <c r="M6526" i="23"/>
  <c r="F6527" i="23"/>
  <c r="M6527" i="23"/>
  <c r="F6528" i="23"/>
  <c r="M6528" i="23"/>
  <c r="F6529" i="23"/>
  <c r="M6529" i="23"/>
  <c r="F6530" i="23"/>
  <c r="M6530" i="23"/>
  <c r="F6531" i="23"/>
  <c r="M6531" i="23"/>
  <c r="F6532" i="23"/>
  <c r="M6532" i="23"/>
  <c r="F6533" i="23"/>
  <c r="M6533" i="23"/>
  <c r="F6534" i="23"/>
  <c r="M6534" i="23"/>
  <c r="F6535" i="23"/>
  <c r="M6535" i="23"/>
  <c r="F6536" i="23"/>
  <c r="M6536" i="23"/>
  <c r="F6537" i="23"/>
  <c r="M6537" i="23"/>
  <c r="F6538" i="23"/>
  <c r="M6538" i="23"/>
  <c r="F6539" i="23"/>
  <c r="M6539" i="23"/>
  <c r="F6540" i="23"/>
  <c r="M6540" i="23"/>
  <c r="F6541" i="23"/>
  <c r="M6541" i="23"/>
  <c r="F6542" i="23"/>
  <c r="M6542" i="23"/>
  <c r="F6543" i="23"/>
  <c r="M6543" i="23"/>
  <c r="F6544" i="23"/>
  <c r="M6544" i="23"/>
  <c r="F6545" i="23"/>
  <c r="M6545" i="23"/>
  <c r="F6546" i="23"/>
  <c r="M6546" i="23"/>
  <c r="F6547" i="23"/>
  <c r="M6547" i="23"/>
  <c r="F6548" i="23"/>
  <c r="M6548" i="23"/>
  <c r="F6549" i="23"/>
  <c r="M6549" i="23"/>
  <c r="F6550" i="23"/>
  <c r="M6550" i="23"/>
  <c r="F6551" i="23"/>
  <c r="M6551" i="23"/>
  <c r="F6552" i="23"/>
  <c r="M6552" i="23"/>
  <c r="F6553" i="23"/>
  <c r="M6553" i="23"/>
  <c r="F6554" i="23"/>
  <c r="M6554" i="23"/>
  <c r="F6555" i="23"/>
  <c r="M6555" i="23"/>
  <c r="F6556" i="23"/>
  <c r="M6556" i="23"/>
  <c r="F6557" i="23"/>
  <c r="M6557" i="23"/>
  <c r="F6558" i="23"/>
  <c r="M6558" i="23"/>
  <c r="F6559" i="23"/>
  <c r="M6559" i="23"/>
  <c r="F6560" i="23"/>
  <c r="M6560" i="23"/>
  <c r="F6561" i="23"/>
  <c r="M6561" i="23"/>
  <c r="F6562" i="23"/>
  <c r="M6562" i="23"/>
  <c r="F6563" i="23"/>
  <c r="M6563" i="23"/>
  <c r="F6564" i="23"/>
  <c r="M6564" i="23"/>
  <c r="F6565" i="23"/>
  <c r="M6565" i="23"/>
  <c r="F6566" i="23"/>
  <c r="M6566" i="23"/>
  <c r="F6567" i="23"/>
  <c r="M6567" i="23"/>
  <c r="F6568" i="23"/>
  <c r="M6568" i="23"/>
  <c r="F6569" i="23"/>
  <c r="M6569" i="23"/>
  <c r="F6570" i="23"/>
  <c r="M6570" i="23"/>
  <c r="F6571" i="23"/>
  <c r="M6571" i="23"/>
  <c r="F6572" i="23"/>
  <c r="M6572" i="23"/>
  <c r="F6573" i="23"/>
  <c r="M6573" i="23"/>
  <c r="F6574" i="23"/>
  <c r="M6574" i="23"/>
  <c r="F6575" i="23"/>
  <c r="M6575" i="23"/>
  <c r="F6576" i="23"/>
  <c r="M6576" i="23"/>
  <c r="F6577" i="23"/>
  <c r="M6577" i="23"/>
  <c r="F6578" i="23"/>
  <c r="M6578" i="23"/>
  <c r="F6579" i="23"/>
  <c r="M6579" i="23"/>
  <c r="F6580" i="23"/>
  <c r="M6580" i="23"/>
  <c r="F6581" i="23"/>
  <c r="M6581" i="23"/>
  <c r="F6582" i="23"/>
  <c r="M6582" i="23"/>
  <c r="F6583" i="23"/>
  <c r="M6583" i="23"/>
  <c r="F6584" i="23"/>
  <c r="M6584" i="23"/>
  <c r="F6585" i="23"/>
  <c r="M6585" i="23"/>
  <c r="F6586" i="23"/>
  <c r="M6586" i="23"/>
  <c r="F6587" i="23"/>
  <c r="M6587" i="23"/>
  <c r="F6588" i="23"/>
  <c r="M6588" i="23"/>
  <c r="F6589" i="23"/>
  <c r="M6589" i="23"/>
  <c r="F6590" i="23"/>
  <c r="M6590" i="23"/>
  <c r="F6591" i="23"/>
  <c r="M6591" i="23"/>
  <c r="F6592" i="23"/>
  <c r="M6592" i="23"/>
  <c r="F6593" i="23"/>
  <c r="M6593" i="23"/>
  <c r="F6594" i="23"/>
  <c r="M6594" i="23"/>
  <c r="F6595" i="23"/>
  <c r="M6595" i="23"/>
  <c r="F6596" i="23"/>
  <c r="M6596" i="23"/>
  <c r="F6597" i="23"/>
  <c r="M6597" i="23"/>
  <c r="F6598" i="23"/>
  <c r="M6598" i="23"/>
  <c r="F6599" i="23"/>
  <c r="M6599" i="23"/>
  <c r="F6600" i="23"/>
  <c r="M6600" i="23"/>
  <c r="F6601" i="23"/>
  <c r="M6601" i="23"/>
  <c r="F6602" i="23"/>
  <c r="M6602" i="23"/>
  <c r="F6603" i="23"/>
  <c r="M6603" i="23"/>
  <c r="F6604" i="23"/>
  <c r="M6604" i="23"/>
  <c r="F6605" i="23"/>
  <c r="M6605" i="23"/>
  <c r="F6606" i="23"/>
  <c r="M6606" i="23"/>
  <c r="F6607" i="23"/>
  <c r="M6607" i="23"/>
  <c r="F6608" i="23"/>
  <c r="M6608" i="23"/>
  <c r="F6609" i="23"/>
  <c r="M6609" i="23"/>
  <c r="F6610" i="23"/>
  <c r="M6610" i="23"/>
  <c r="F6611" i="23"/>
  <c r="M6611" i="23"/>
  <c r="F6612" i="23"/>
  <c r="M6612" i="23"/>
  <c r="F6613" i="23"/>
  <c r="M6613" i="23"/>
  <c r="F6614" i="23"/>
  <c r="M6614" i="23"/>
  <c r="F6615" i="23"/>
  <c r="M6615" i="23"/>
  <c r="F6616" i="23"/>
  <c r="M6616" i="23"/>
  <c r="F6617" i="23"/>
  <c r="M6617" i="23"/>
  <c r="F6618" i="23"/>
  <c r="M6618" i="23"/>
  <c r="F6619" i="23"/>
  <c r="M6619" i="23"/>
  <c r="F6620" i="23"/>
  <c r="M6620" i="23"/>
  <c r="F6621" i="23"/>
  <c r="M6621" i="23"/>
  <c r="F6622" i="23"/>
  <c r="M6622" i="23"/>
  <c r="F6623" i="23"/>
  <c r="M6623" i="23"/>
  <c r="F6624" i="23"/>
  <c r="M6624" i="23"/>
  <c r="F6625" i="23"/>
  <c r="M6625" i="23"/>
  <c r="F6626" i="23"/>
  <c r="M6626" i="23"/>
  <c r="F6627" i="23"/>
  <c r="M6627" i="23"/>
  <c r="F6628" i="23"/>
  <c r="M6628" i="23"/>
  <c r="F6629" i="23"/>
  <c r="M6629" i="23"/>
  <c r="F6630" i="23"/>
  <c r="M6630" i="23"/>
  <c r="F6631" i="23"/>
  <c r="M6631" i="23"/>
  <c r="F6632" i="23"/>
  <c r="M6632" i="23"/>
  <c r="F6633" i="23"/>
  <c r="M6633" i="23"/>
  <c r="F6634" i="23"/>
  <c r="M6634" i="23"/>
  <c r="F6635" i="23"/>
  <c r="M6635" i="23"/>
  <c r="F6636" i="23"/>
  <c r="M6636" i="23"/>
  <c r="F6637" i="23"/>
  <c r="M6637" i="23"/>
  <c r="F6638" i="23"/>
  <c r="M6638" i="23"/>
  <c r="F6639" i="23"/>
  <c r="M6639" i="23"/>
  <c r="F6640" i="23"/>
  <c r="M6640" i="23"/>
  <c r="F6641" i="23"/>
  <c r="M6641" i="23"/>
  <c r="F6642" i="23"/>
  <c r="M6642" i="23"/>
  <c r="F6643" i="23"/>
  <c r="M6643" i="23"/>
  <c r="F6644" i="23"/>
  <c r="M6644" i="23"/>
  <c r="F6645" i="23"/>
  <c r="M6645" i="23"/>
  <c r="F6646" i="23"/>
  <c r="M6646" i="23"/>
  <c r="F6647" i="23"/>
  <c r="M6647" i="23"/>
  <c r="F6648" i="23"/>
  <c r="M6648" i="23"/>
  <c r="F6649" i="23"/>
  <c r="M6649" i="23"/>
  <c r="F6650" i="23"/>
  <c r="M6650" i="23"/>
  <c r="F6651" i="23"/>
  <c r="M6651" i="23"/>
  <c r="F6652" i="23"/>
  <c r="M6652" i="23"/>
  <c r="F6653" i="23"/>
  <c r="M6653" i="23"/>
  <c r="F6654" i="23"/>
  <c r="M6654" i="23"/>
  <c r="F6655" i="23"/>
  <c r="M6655" i="23"/>
  <c r="F6656" i="23"/>
  <c r="M6656" i="23"/>
  <c r="F6657" i="23"/>
  <c r="M6657" i="23"/>
  <c r="F6658" i="23"/>
  <c r="M6658" i="23"/>
  <c r="F6659" i="23"/>
  <c r="M6659" i="23"/>
  <c r="F6660" i="23"/>
  <c r="M6660" i="23"/>
  <c r="F6661" i="23"/>
  <c r="M6661" i="23"/>
  <c r="F6662" i="23"/>
  <c r="M6662" i="23"/>
  <c r="F6663" i="23"/>
  <c r="M6663" i="23"/>
  <c r="F6664" i="23"/>
  <c r="M6664" i="23"/>
  <c r="F6665" i="23"/>
  <c r="M6665" i="23"/>
  <c r="F6666" i="23"/>
  <c r="M6666" i="23"/>
  <c r="F6667" i="23"/>
  <c r="M6667" i="23"/>
  <c r="F6668" i="23"/>
  <c r="M6668" i="23"/>
  <c r="F6669" i="23"/>
  <c r="M6669" i="23"/>
  <c r="F6670" i="23"/>
  <c r="M6670" i="23"/>
  <c r="F6671" i="23"/>
  <c r="M6671" i="23"/>
  <c r="F6672" i="23"/>
  <c r="M6672" i="23"/>
  <c r="F6673" i="23"/>
  <c r="M6673" i="23"/>
  <c r="F6674" i="23"/>
  <c r="M6674" i="23"/>
  <c r="F6675" i="23"/>
  <c r="M6675" i="23"/>
  <c r="F6676" i="23"/>
  <c r="M6676" i="23"/>
  <c r="F6677" i="23"/>
  <c r="M6677" i="23"/>
  <c r="F6678" i="23"/>
  <c r="M6678" i="23"/>
  <c r="F6679" i="23"/>
  <c r="M6679" i="23"/>
  <c r="F6680" i="23"/>
  <c r="M6680" i="23"/>
  <c r="F6681" i="23"/>
  <c r="M6681" i="23"/>
  <c r="F6682" i="23"/>
  <c r="M6682" i="23"/>
  <c r="F6683" i="23"/>
  <c r="M6683" i="23"/>
  <c r="F6684" i="23"/>
  <c r="M6684" i="23"/>
  <c r="F6685" i="23"/>
  <c r="M6685" i="23"/>
  <c r="F6686" i="23"/>
  <c r="M6686" i="23"/>
  <c r="F6687" i="23"/>
  <c r="M6687" i="23"/>
  <c r="F6688" i="23"/>
  <c r="M6688" i="23"/>
  <c r="F6689" i="23"/>
  <c r="M6689" i="23"/>
  <c r="F6690" i="23"/>
  <c r="M6690" i="23"/>
  <c r="F6691" i="23"/>
  <c r="M6691" i="23"/>
  <c r="F6692" i="23"/>
  <c r="M6692" i="23"/>
  <c r="F6693" i="23"/>
  <c r="M6693" i="23"/>
  <c r="F6694" i="23"/>
  <c r="M6694" i="23"/>
  <c r="F6695" i="23"/>
  <c r="M6695" i="23"/>
  <c r="F6696" i="23"/>
  <c r="M6696" i="23"/>
  <c r="F6697" i="23"/>
  <c r="M6697" i="23"/>
  <c r="F6698" i="23"/>
  <c r="M6698" i="23"/>
  <c r="F6699" i="23"/>
  <c r="M6699" i="23"/>
  <c r="F6700" i="23"/>
  <c r="M6700" i="23"/>
  <c r="F6701" i="23"/>
  <c r="M6701" i="23"/>
  <c r="F6702" i="23"/>
  <c r="M6702" i="23"/>
  <c r="F6703" i="23"/>
  <c r="M6703" i="23"/>
  <c r="F6704" i="23"/>
  <c r="M6704" i="23"/>
  <c r="F6705" i="23"/>
  <c r="M6705" i="23"/>
  <c r="F6706" i="23"/>
  <c r="M6706" i="23"/>
  <c r="F6707" i="23"/>
  <c r="M6707" i="23"/>
  <c r="F6708" i="23"/>
  <c r="M6708" i="23"/>
  <c r="F6709" i="23"/>
  <c r="M6709" i="23"/>
  <c r="F6710" i="23"/>
  <c r="M6710" i="23"/>
  <c r="F6711" i="23"/>
  <c r="M6711" i="23"/>
  <c r="F6712" i="23"/>
  <c r="M6712" i="23"/>
  <c r="F6713" i="23"/>
  <c r="M6713" i="23"/>
  <c r="F6714" i="23"/>
  <c r="M6714" i="23"/>
  <c r="F6715" i="23"/>
  <c r="M6715" i="23"/>
  <c r="F6716" i="23"/>
  <c r="M6716" i="23"/>
  <c r="F6717" i="23"/>
  <c r="M6717" i="23"/>
  <c r="F6718" i="23"/>
  <c r="M6718" i="23"/>
  <c r="F6719" i="23"/>
  <c r="M6719" i="23"/>
  <c r="F6720" i="23"/>
  <c r="M6720" i="23"/>
  <c r="F6721" i="23"/>
  <c r="M6721" i="23"/>
  <c r="F6722" i="23"/>
  <c r="M6722" i="23"/>
  <c r="F6723" i="23"/>
  <c r="M6723" i="23"/>
  <c r="F6724" i="23"/>
  <c r="M6724" i="23"/>
  <c r="F6725" i="23"/>
  <c r="M6725" i="23"/>
  <c r="F6726" i="23"/>
  <c r="M6726" i="23"/>
  <c r="F6727" i="23"/>
  <c r="M6727" i="23"/>
  <c r="F6728" i="23"/>
  <c r="M6728" i="23"/>
  <c r="F6729" i="23"/>
  <c r="M6729" i="23"/>
  <c r="F6730" i="23"/>
  <c r="M6730" i="23"/>
  <c r="F6731" i="23"/>
  <c r="M6731" i="23"/>
  <c r="F6732" i="23"/>
  <c r="M6732" i="23"/>
  <c r="F6733" i="23"/>
  <c r="M6733" i="23"/>
  <c r="F6734" i="23"/>
  <c r="M6734" i="23"/>
  <c r="F6735" i="23"/>
  <c r="M6735" i="23"/>
  <c r="F6736" i="23"/>
  <c r="M6736" i="23"/>
  <c r="F6737" i="23"/>
  <c r="M6737" i="23"/>
  <c r="F6738" i="23"/>
  <c r="M6738" i="23"/>
  <c r="F6739" i="23"/>
  <c r="M6739" i="23"/>
  <c r="F6740" i="23"/>
  <c r="M6740" i="23"/>
  <c r="F6741" i="23"/>
  <c r="M6741" i="23"/>
  <c r="F6742" i="23"/>
  <c r="M6742" i="23"/>
  <c r="F6743" i="23"/>
  <c r="M6743" i="23"/>
  <c r="F6744" i="23"/>
  <c r="M6744" i="23"/>
  <c r="F6745" i="23"/>
  <c r="M6745" i="23"/>
  <c r="F6746" i="23"/>
  <c r="M6746" i="23"/>
  <c r="F6747" i="23"/>
  <c r="M6747" i="23"/>
  <c r="F6748" i="23"/>
  <c r="M6748" i="23"/>
  <c r="F6749" i="23"/>
  <c r="M6749" i="23"/>
  <c r="F6750" i="23"/>
  <c r="M6750" i="23"/>
  <c r="F6751" i="23"/>
  <c r="M6751" i="23"/>
  <c r="F6752" i="23"/>
  <c r="M6752" i="23"/>
  <c r="F6753" i="23"/>
  <c r="M6753" i="23"/>
  <c r="F6754" i="23"/>
  <c r="M6754" i="23"/>
  <c r="F6755" i="23"/>
  <c r="M6755" i="23"/>
  <c r="F6756" i="23"/>
  <c r="M6756" i="23"/>
  <c r="F6757" i="23"/>
  <c r="M6757" i="23"/>
  <c r="F6758" i="23"/>
  <c r="M6758" i="23"/>
  <c r="F6759" i="23"/>
  <c r="M6759" i="23"/>
  <c r="F6760" i="23"/>
  <c r="M6760" i="23"/>
  <c r="F6761" i="23"/>
  <c r="M6761" i="23"/>
  <c r="F6762" i="23"/>
  <c r="M6762" i="23"/>
  <c r="F6763" i="23"/>
  <c r="M6763" i="23"/>
  <c r="F6764" i="23"/>
  <c r="M6764" i="23"/>
  <c r="F6765" i="23"/>
  <c r="M6765" i="23"/>
  <c r="F6766" i="23"/>
  <c r="M6766" i="23"/>
  <c r="F6767" i="23"/>
  <c r="M6767" i="23"/>
  <c r="F6768" i="23"/>
  <c r="M6768" i="23"/>
  <c r="F6769" i="23"/>
  <c r="M6769" i="23"/>
  <c r="F6770" i="23"/>
  <c r="M6770" i="23"/>
  <c r="F6771" i="23"/>
  <c r="M6771" i="23"/>
  <c r="F6772" i="23"/>
  <c r="M6772" i="23"/>
  <c r="F6773" i="23"/>
  <c r="M6773" i="23"/>
  <c r="F6774" i="23"/>
  <c r="M6774" i="23"/>
  <c r="F6775" i="23"/>
  <c r="M6775" i="23"/>
  <c r="F6776" i="23"/>
  <c r="M6776" i="23"/>
  <c r="F6777" i="23"/>
  <c r="M6777" i="23"/>
  <c r="F6778" i="23"/>
  <c r="M6778" i="23"/>
  <c r="F6779" i="23"/>
  <c r="M6779" i="23"/>
  <c r="F6780" i="23"/>
  <c r="M6780" i="23"/>
  <c r="F6781" i="23"/>
  <c r="M6781" i="23"/>
  <c r="F6782" i="23"/>
  <c r="M6782" i="23"/>
  <c r="F6783" i="23"/>
  <c r="M6783" i="23"/>
  <c r="F6784" i="23"/>
  <c r="M6784" i="23"/>
  <c r="F6785" i="23"/>
  <c r="M6785" i="23"/>
  <c r="F6786" i="23"/>
  <c r="M6786" i="23"/>
  <c r="F6787" i="23"/>
  <c r="M6787" i="23"/>
  <c r="F6788" i="23"/>
  <c r="M6788" i="23"/>
  <c r="F6789" i="23"/>
  <c r="M6789" i="23"/>
  <c r="F6790" i="23"/>
  <c r="M6790" i="23"/>
  <c r="F6791" i="23"/>
  <c r="M6791" i="23"/>
  <c r="F6792" i="23"/>
  <c r="M6792" i="23"/>
  <c r="F6793" i="23"/>
  <c r="M6793" i="23"/>
  <c r="F6794" i="23"/>
  <c r="M6794" i="23"/>
  <c r="F6795" i="23"/>
  <c r="M6795" i="23"/>
  <c r="F6796" i="23"/>
  <c r="M6796" i="23"/>
  <c r="F6797" i="23"/>
  <c r="M6797" i="23"/>
  <c r="F6798" i="23"/>
  <c r="M6798" i="23"/>
  <c r="F6799" i="23"/>
  <c r="M6799" i="23"/>
  <c r="F6800" i="23"/>
  <c r="M6800" i="23"/>
  <c r="F6801" i="23"/>
  <c r="M6801" i="23"/>
  <c r="F6802" i="23"/>
  <c r="M6802" i="23"/>
  <c r="F6803" i="23"/>
  <c r="M6803" i="23"/>
  <c r="F6804" i="23"/>
  <c r="M6804" i="23"/>
  <c r="F6805" i="23"/>
  <c r="M6805" i="23"/>
  <c r="F6806" i="23"/>
  <c r="M6806" i="23"/>
  <c r="F6807" i="23"/>
  <c r="M6807" i="23"/>
  <c r="F6808" i="23"/>
  <c r="M6808" i="23"/>
  <c r="F6809" i="23"/>
  <c r="M6809" i="23"/>
  <c r="F6810" i="23"/>
  <c r="M6810" i="23"/>
  <c r="F6811" i="23"/>
  <c r="M6811" i="23"/>
  <c r="F6812" i="23"/>
  <c r="M6812" i="23"/>
  <c r="F6813" i="23"/>
  <c r="M6813" i="23"/>
  <c r="F6814" i="23"/>
  <c r="M6814" i="23"/>
  <c r="F6815" i="23"/>
  <c r="M6815" i="23"/>
  <c r="F6816" i="23"/>
  <c r="M6816" i="23"/>
  <c r="F6817" i="23"/>
  <c r="M6817" i="23"/>
  <c r="F6818" i="23"/>
  <c r="M6818" i="23"/>
  <c r="F6819" i="23"/>
  <c r="M6819" i="23"/>
  <c r="F6820" i="23"/>
  <c r="M6820" i="23"/>
  <c r="F6821" i="23"/>
  <c r="M6821" i="23"/>
  <c r="F6822" i="23"/>
  <c r="M6822" i="23"/>
  <c r="F6823" i="23"/>
  <c r="M6823" i="23"/>
  <c r="F6824" i="23"/>
  <c r="M6824" i="23"/>
  <c r="F6825" i="23"/>
  <c r="M6825" i="23"/>
  <c r="F6826" i="23"/>
  <c r="M6826" i="23"/>
  <c r="F6827" i="23"/>
  <c r="M6827" i="23"/>
  <c r="F6828" i="23"/>
  <c r="M6828" i="23"/>
  <c r="F6829" i="23"/>
  <c r="M6829" i="23"/>
  <c r="F6830" i="23"/>
  <c r="M6830" i="23"/>
  <c r="F6831" i="23"/>
  <c r="M6831" i="23"/>
  <c r="F6832" i="23"/>
  <c r="M6832" i="23"/>
  <c r="F6833" i="23"/>
  <c r="M6833" i="23"/>
  <c r="F6834" i="23"/>
  <c r="M6834" i="23"/>
  <c r="F6835" i="23"/>
  <c r="M6835" i="23"/>
  <c r="F6836" i="23"/>
  <c r="M6836" i="23"/>
  <c r="F6837" i="23"/>
  <c r="M6837" i="23"/>
  <c r="F6838" i="23"/>
  <c r="M6838" i="23"/>
  <c r="F6839" i="23"/>
  <c r="M6839" i="23"/>
  <c r="F6840" i="23"/>
  <c r="M6840" i="23"/>
  <c r="F6841" i="23"/>
  <c r="M6841" i="23"/>
  <c r="F6842" i="23"/>
  <c r="M6842" i="23"/>
  <c r="F6843" i="23"/>
  <c r="M6843" i="23"/>
  <c r="F6844" i="23"/>
  <c r="M6844" i="23"/>
  <c r="F6845" i="23"/>
  <c r="M6845" i="23"/>
  <c r="F6846" i="23"/>
  <c r="M6846" i="23"/>
  <c r="F6847" i="23"/>
  <c r="M6847" i="23"/>
  <c r="F6848" i="23"/>
  <c r="M6848" i="23"/>
  <c r="F6849" i="23"/>
  <c r="M6849" i="23"/>
  <c r="F6850" i="23"/>
  <c r="M6850" i="23"/>
  <c r="F6851" i="23"/>
  <c r="M6851" i="23"/>
  <c r="F6852" i="23"/>
  <c r="M6852" i="23"/>
  <c r="F6853" i="23"/>
  <c r="M6853" i="23"/>
  <c r="F6854" i="23"/>
  <c r="M6854" i="23"/>
  <c r="F6855" i="23"/>
  <c r="M6855" i="23"/>
  <c r="F6856" i="23"/>
  <c r="M6856" i="23"/>
  <c r="F6857" i="23"/>
  <c r="M6857" i="23"/>
  <c r="F6858" i="23"/>
  <c r="M6858" i="23"/>
  <c r="F6859" i="23"/>
  <c r="M6859" i="23"/>
  <c r="F6860" i="23"/>
  <c r="M6860" i="23"/>
  <c r="F6861" i="23"/>
  <c r="M6861" i="23"/>
  <c r="F6862" i="23"/>
  <c r="M6862" i="23"/>
  <c r="F6863" i="23"/>
  <c r="M6863" i="23"/>
  <c r="F6864" i="23"/>
  <c r="M6864" i="23"/>
  <c r="F6865" i="23"/>
  <c r="M6865" i="23"/>
  <c r="F6866" i="23"/>
  <c r="M6866" i="23"/>
  <c r="F6867" i="23"/>
  <c r="M6867" i="23"/>
  <c r="F6868" i="23"/>
  <c r="M6868" i="23"/>
  <c r="F6869" i="23"/>
  <c r="M6869" i="23"/>
  <c r="F6870" i="23"/>
  <c r="M6870" i="23"/>
  <c r="F6871" i="23"/>
  <c r="M6871" i="23"/>
  <c r="F6872" i="23"/>
  <c r="M6872" i="23"/>
  <c r="F6873" i="23"/>
  <c r="M6873" i="23"/>
  <c r="F6874" i="23"/>
  <c r="M6874" i="23"/>
  <c r="F6875" i="23"/>
  <c r="M6875" i="23"/>
  <c r="F6876" i="23"/>
  <c r="M6876" i="23"/>
  <c r="F6877" i="23"/>
  <c r="M6877" i="23"/>
  <c r="F6878" i="23"/>
  <c r="M6878" i="23"/>
  <c r="F6879" i="23"/>
  <c r="M6879" i="23"/>
  <c r="F6880" i="23"/>
  <c r="M6880" i="23"/>
  <c r="F6881" i="23"/>
  <c r="M6881" i="23"/>
  <c r="F6882" i="23"/>
  <c r="M6882" i="23"/>
  <c r="F6883" i="23"/>
  <c r="M6883" i="23"/>
  <c r="F6884" i="23"/>
  <c r="M6884" i="23"/>
  <c r="F6885" i="23"/>
  <c r="M6885" i="23"/>
  <c r="F6886" i="23"/>
  <c r="M6886" i="23"/>
  <c r="F6887" i="23"/>
  <c r="M6887" i="23"/>
  <c r="F6888" i="23"/>
  <c r="M6888" i="23"/>
  <c r="F6889" i="23"/>
  <c r="M6889" i="23"/>
  <c r="F6890" i="23"/>
  <c r="M6890" i="23"/>
  <c r="F6891" i="23"/>
  <c r="M6891" i="23"/>
  <c r="F6892" i="23"/>
  <c r="M6892" i="23"/>
  <c r="F6893" i="23"/>
  <c r="M6893" i="23"/>
  <c r="F6894" i="23"/>
  <c r="M6894" i="23"/>
  <c r="F6895" i="23"/>
  <c r="M6895" i="23"/>
  <c r="F6896" i="23"/>
  <c r="M6896" i="23"/>
  <c r="F6897" i="23"/>
  <c r="M6897" i="23"/>
  <c r="F6898" i="23"/>
  <c r="M6898" i="23"/>
  <c r="F6899" i="23"/>
  <c r="M6899" i="23"/>
  <c r="F6900" i="23"/>
  <c r="M6900" i="23"/>
  <c r="F6901" i="23"/>
  <c r="M6901" i="23"/>
  <c r="F6902" i="23"/>
  <c r="M6902" i="23"/>
  <c r="F6903" i="23"/>
  <c r="M6903" i="23"/>
  <c r="F6904" i="23"/>
  <c r="M6904" i="23"/>
  <c r="F6905" i="23"/>
  <c r="M6905" i="23"/>
  <c r="F6906" i="23"/>
  <c r="M6906" i="23"/>
  <c r="F6907" i="23"/>
  <c r="M6907" i="23"/>
  <c r="F6908" i="23"/>
  <c r="M6908" i="23"/>
  <c r="F6909" i="23"/>
  <c r="M6909" i="23"/>
  <c r="F6910" i="23"/>
  <c r="M6910" i="23"/>
  <c r="F6911" i="23"/>
  <c r="M6911" i="23"/>
  <c r="F6912" i="23"/>
  <c r="M6912" i="23"/>
  <c r="F6913" i="23"/>
  <c r="M6913" i="23"/>
  <c r="F6914" i="23"/>
  <c r="M6914" i="23"/>
  <c r="F6915" i="23"/>
  <c r="M6915" i="23"/>
  <c r="F6916" i="23"/>
  <c r="M6916" i="23"/>
  <c r="F6917" i="23"/>
  <c r="M6917" i="23"/>
  <c r="F6918" i="23"/>
  <c r="M6918" i="23"/>
  <c r="F6919" i="23"/>
  <c r="M6919" i="23"/>
  <c r="F6920" i="23"/>
  <c r="M6920" i="23"/>
  <c r="F6921" i="23"/>
  <c r="M6921" i="23"/>
  <c r="F6922" i="23"/>
  <c r="M6922" i="23"/>
  <c r="F6923" i="23"/>
  <c r="M6923" i="23"/>
  <c r="F6924" i="23"/>
  <c r="M6924" i="23"/>
  <c r="F6925" i="23"/>
  <c r="M6925" i="23"/>
  <c r="F6926" i="23"/>
  <c r="M6926" i="23"/>
  <c r="F6927" i="23"/>
  <c r="M6927" i="23"/>
  <c r="F6928" i="23"/>
  <c r="M6928" i="23"/>
  <c r="F6929" i="23"/>
  <c r="M6929" i="23"/>
  <c r="F6930" i="23"/>
  <c r="M6930" i="23"/>
  <c r="F6931" i="23"/>
  <c r="M6931" i="23"/>
  <c r="F6932" i="23"/>
  <c r="M6932" i="23"/>
  <c r="F6933" i="23"/>
  <c r="M6933" i="23"/>
  <c r="F6934" i="23"/>
  <c r="M6934" i="23"/>
  <c r="F6935" i="23"/>
  <c r="M6935" i="23"/>
  <c r="F6936" i="23"/>
  <c r="M6936" i="23"/>
  <c r="F6937" i="23"/>
  <c r="M6937" i="23"/>
  <c r="F6938" i="23"/>
  <c r="M6938" i="23"/>
  <c r="F6939" i="23"/>
  <c r="M6939" i="23"/>
  <c r="F6940" i="23"/>
  <c r="M6940" i="23"/>
  <c r="F6941" i="23"/>
  <c r="M6941" i="23"/>
  <c r="F6942" i="23"/>
  <c r="M6942" i="23"/>
  <c r="F6943" i="23"/>
  <c r="M6943" i="23"/>
  <c r="F6944" i="23"/>
  <c r="M6944" i="23"/>
  <c r="F6945" i="23"/>
  <c r="M6945" i="23"/>
  <c r="F6946" i="23"/>
  <c r="M6946" i="23"/>
  <c r="F6947" i="23"/>
  <c r="M6947" i="23"/>
  <c r="F6948" i="23"/>
  <c r="M6948" i="23"/>
  <c r="F6949" i="23"/>
  <c r="M6949" i="23"/>
  <c r="F6950" i="23"/>
  <c r="M6950" i="23"/>
  <c r="F6951" i="23"/>
  <c r="M6951" i="23"/>
  <c r="F6952" i="23"/>
  <c r="M6952" i="23"/>
  <c r="F6953" i="23"/>
  <c r="M6953" i="23"/>
  <c r="F6954" i="23"/>
  <c r="M6954" i="23"/>
  <c r="F6955" i="23"/>
  <c r="M6955" i="23"/>
  <c r="F6956" i="23"/>
  <c r="M6956" i="23"/>
  <c r="F6957" i="23"/>
  <c r="M6957" i="23"/>
  <c r="F6958" i="23"/>
  <c r="M6958" i="23"/>
  <c r="F6959" i="23"/>
  <c r="M6959" i="23"/>
  <c r="F6960" i="23"/>
  <c r="M6960" i="23"/>
  <c r="F6961" i="23"/>
  <c r="M6961" i="23"/>
  <c r="F6962" i="23"/>
  <c r="M6962" i="23"/>
  <c r="F6963" i="23"/>
  <c r="M6963" i="23"/>
  <c r="F6964" i="23"/>
  <c r="M6964" i="23"/>
  <c r="F6965" i="23"/>
  <c r="M6965" i="23"/>
  <c r="F6966" i="23"/>
  <c r="M6966" i="23"/>
  <c r="F6967" i="23"/>
  <c r="M6967" i="23"/>
  <c r="F6968" i="23"/>
  <c r="M6968" i="23"/>
  <c r="F6969" i="23"/>
  <c r="M6969" i="23"/>
  <c r="F6970" i="23"/>
  <c r="M6970" i="23"/>
  <c r="F6971" i="23"/>
  <c r="M6971" i="23"/>
  <c r="F6972" i="23"/>
  <c r="M6972" i="23"/>
  <c r="F6973" i="23"/>
  <c r="M6973" i="23"/>
  <c r="F6974" i="23"/>
  <c r="M6974" i="23"/>
  <c r="F6975" i="23"/>
  <c r="M6975" i="23"/>
  <c r="F6976" i="23"/>
  <c r="M6976" i="23"/>
  <c r="F6977" i="23"/>
  <c r="M6977" i="23"/>
  <c r="F6978" i="23"/>
  <c r="M6978" i="23"/>
  <c r="F6979" i="23"/>
  <c r="M6979" i="23"/>
  <c r="F6980" i="23"/>
  <c r="M6980" i="23"/>
  <c r="F6981" i="23"/>
  <c r="M6981" i="23"/>
  <c r="F6982" i="23"/>
  <c r="M6982" i="23"/>
  <c r="F6983" i="23"/>
  <c r="M6983" i="23"/>
  <c r="F6984" i="23"/>
  <c r="M6984" i="23"/>
  <c r="F6985" i="23"/>
  <c r="M6985" i="23"/>
  <c r="F6986" i="23"/>
  <c r="M6986" i="23"/>
  <c r="F6987" i="23"/>
  <c r="M6987" i="23"/>
  <c r="F6988" i="23"/>
  <c r="M6988" i="23"/>
  <c r="F6989" i="23"/>
  <c r="M6989" i="23"/>
  <c r="F6990" i="23"/>
  <c r="M6990" i="23"/>
  <c r="F6991" i="23"/>
  <c r="M6991" i="23"/>
  <c r="F6992" i="23"/>
  <c r="M6992" i="23"/>
  <c r="F6993" i="23"/>
  <c r="M6993" i="23"/>
  <c r="F6994" i="23"/>
  <c r="M6994" i="23"/>
  <c r="F6995" i="23"/>
  <c r="M6995" i="23"/>
  <c r="F6996" i="23"/>
  <c r="M6996" i="23"/>
  <c r="F6997" i="23"/>
  <c r="M6997" i="23"/>
  <c r="F6998" i="23"/>
  <c r="M6998" i="23"/>
  <c r="F6999" i="23"/>
  <c r="M6999" i="23"/>
  <c r="F7000" i="23"/>
  <c r="M7000" i="23"/>
  <c r="F7001" i="23"/>
  <c r="M7001" i="23"/>
  <c r="F7002" i="23"/>
  <c r="M7002" i="23"/>
  <c r="F7003" i="23"/>
  <c r="M7003" i="23"/>
  <c r="F7004" i="23"/>
  <c r="M7004" i="23"/>
  <c r="F7005" i="23"/>
  <c r="M7005" i="23"/>
  <c r="F7006" i="23"/>
  <c r="M7006" i="23"/>
  <c r="F7007" i="23"/>
  <c r="M7007" i="23"/>
  <c r="F7008" i="23"/>
  <c r="M7008" i="23"/>
  <c r="F7009" i="23"/>
  <c r="M7009" i="23"/>
  <c r="F7010" i="23"/>
  <c r="M7010" i="23"/>
  <c r="F7011" i="23"/>
  <c r="M7011" i="23"/>
  <c r="F7012" i="23"/>
  <c r="M7012" i="23"/>
  <c r="F7013" i="23"/>
  <c r="M7013" i="23"/>
  <c r="F7014" i="23"/>
  <c r="M7014" i="23"/>
  <c r="F7015" i="23"/>
  <c r="M7015" i="23"/>
  <c r="F7016" i="23"/>
  <c r="M7016" i="23"/>
  <c r="F7017" i="23"/>
  <c r="M7017" i="23"/>
  <c r="F7018" i="23"/>
  <c r="M7018" i="23"/>
  <c r="F7019" i="23"/>
  <c r="M7019" i="23"/>
  <c r="F7020" i="23"/>
  <c r="M7020" i="23"/>
  <c r="F7021" i="23"/>
  <c r="M7021" i="23"/>
  <c r="F7022" i="23"/>
  <c r="M7022" i="23"/>
  <c r="F7023" i="23"/>
  <c r="M7023" i="23"/>
  <c r="F7024" i="23"/>
  <c r="M7024" i="23"/>
  <c r="F7025" i="23"/>
  <c r="M7025" i="23"/>
  <c r="F7026" i="23"/>
  <c r="M7026" i="23"/>
  <c r="F7027" i="23"/>
  <c r="M7027" i="23"/>
  <c r="F7028" i="23"/>
  <c r="M7028" i="23"/>
  <c r="F7029" i="23"/>
  <c r="M7029" i="23"/>
  <c r="F7030" i="23"/>
  <c r="M7030" i="23"/>
  <c r="F7031" i="23"/>
  <c r="M7031" i="23"/>
  <c r="F7032" i="23"/>
  <c r="M7032" i="23"/>
  <c r="F7033" i="23"/>
  <c r="M7033" i="23"/>
  <c r="F7034" i="23"/>
  <c r="M7034" i="23"/>
  <c r="F7035" i="23"/>
  <c r="M7035" i="23"/>
  <c r="F7036" i="23"/>
  <c r="M7036" i="23"/>
  <c r="F7037" i="23"/>
  <c r="M7037" i="23"/>
  <c r="F7038" i="23"/>
  <c r="M7038" i="23"/>
  <c r="F7039" i="23"/>
  <c r="M7039" i="23"/>
  <c r="F7040" i="23"/>
  <c r="M7040" i="23"/>
  <c r="F7041" i="23"/>
  <c r="M7041" i="23"/>
  <c r="F7042" i="23"/>
  <c r="M7042" i="23"/>
  <c r="F7043" i="23"/>
  <c r="M7043" i="23"/>
  <c r="F7044" i="23"/>
  <c r="M7044" i="23"/>
  <c r="F7045" i="23"/>
  <c r="M7045" i="23"/>
  <c r="F7046" i="23"/>
  <c r="M7046" i="23"/>
  <c r="F7047" i="23"/>
  <c r="M7047" i="23"/>
  <c r="F7048" i="23"/>
  <c r="M7048" i="23"/>
  <c r="F7049" i="23"/>
  <c r="M7049" i="23"/>
  <c r="F7050" i="23"/>
  <c r="M7050" i="23"/>
  <c r="F7051" i="23"/>
  <c r="M7051" i="23"/>
  <c r="F7052" i="23"/>
  <c r="M7052" i="23"/>
  <c r="F7053" i="23"/>
  <c r="M7053" i="23"/>
  <c r="F7054" i="23"/>
  <c r="M7054" i="23"/>
  <c r="F7055" i="23"/>
  <c r="M7055" i="23"/>
  <c r="F7056" i="23"/>
  <c r="M7056" i="23"/>
  <c r="F7057" i="23"/>
  <c r="M7057" i="23"/>
  <c r="F7058" i="23"/>
  <c r="M7058" i="23"/>
  <c r="F7059" i="23"/>
  <c r="M7059" i="23"/>
  <c r="F7060" i="23"/>
  <c r="M7060" i="23"/>
  <c r="F7061" i="23"/>
  <c r="M7061" i="23"/>
  <c r="F7062" i="23"/>
  <c r="M7062" i="23"/>
  <c r="F7063" i="23"/>
  <c r="M7063" i="23"/>
  <c r="F7064" i="23"/>
  <c r="M7064" i="23"/>
  <c r="F7065" i="23"/>
  <c r="M7065" i="23"/>
  <c r="F7066" i="23"/>
  <c r="M7066" i="23"/>
  <c r="F7067" i="23"/>
  <c r="M7067" i="23"/>
  <c r="F7068" i="23"/>
  <c r="M7068" i="23"/>
  <c r="F7069" i="23"/>
  <c r="M7069" i="23"/>
  <c r="F7070" i="23"/>
  <c r="M7070" i="23"/>
  <c r="F7071" i="23"/>
  <c r="M7071" i="23"/>
  <c r="F7072" i="23"/>
  <c r="M7072" i="23"/>
  <c r="F7073" i="23"/>
  <c r="M7073" i="23"/>
  <c r="F7074" i="23"/>
  <c r="M7074" i="23"/>
  <c r="F7075" i="23"/>
  <c r="M7075" i="23"/>
  <c r="F7076" i="23"/>
  <c r="M7076" i="23"/>
  <c r="F7077" i="23"/>
  <c r="M7077" i="23"/>
  <c r="F7078" i="23"/>
  <c r="M7078" i="23"/>
  <c r="F7079" i="23"/>
  <c r="M7079" i="23"/>
  <c r="F7080" i="23"/>
  <c r="M7080" i="23"/>
  <c r="F7081" i="23"/>
  <c r="M7081" i="23"/>
  <c r="F7082" i="23"/>
  <c r="M7082" i="23"/>
  <c r="F7083" i="23"/>
  <c r="M7083" i="23"/>
  <c r="F7084" i="23"/>
  <c r="M7084" i="23"/>
  <c r="F7085" i="23"/>
  <c r="M7085" i="23"/>
  <c r="F7086" i="23"/>
  <c r="M7086" i="23"/>
  <c r="F7087" i="23"/>
  <c r="M7087" i="23"/>
  <c r="F7088" i="23"/>
  <c r="M7088" i="23"/>
  <c r="F7089" i="23"/>
  <c r="M7089" i="23"/>
  <c r="F7090" i="23"/>
  <c r="M7090" i="23"/>
  <c r="F7091" i="23"/>
  <c r="M7091" i="23"/>
  <c r="F7092" i="23"/>
  <c r="M7092" i="23"/>
  <c r="F7093" i="23"/>
  <c r="M7093" i="23"/>
  <c r="F7094" i="23"/>
  <c r="M7094" i="23"/>
  <c r="F7095" i="23"/>
  <c r="M7095" i="23"/>
  <c r="F7096" i="23"/>
  <c r="M7096" i="23"/>
  <c r="F7097" i="23"/>
  <c r="M7097" i="23"/>
  <c r="F7098" i="23"/>
  <c r="M7098" i="23"/>
  <c r="F7099" i="23"/>
  <c r="M7099" i="23"/>
  <c r="F7100" i="23"/>
  <c r="M7100" i="23"/>
  <c r="F7101" i="23"/>
  <c r="M7101" i="23"/>
  <c r="F7102" i="23"/>
  <c r="M7102" i="23"/>
  <c r="F7103" i="23"/>
  <c r="M7103" i="23"/>
  <c r="F7104" i="23"/>
  <c r="M7104" i="23"/>
  <c r="F7105" i="23"/>
  <c r="M7105" i="23"/>
  <c r="F7106" i="23"/>
  <c r="M7106" i="23"/>
  <c r="F7107" i="23"/>
  <c r="M7107" i="23"/>
  <c r="F7108" i="23"/>
  <c r="M7108" i="23"/>
  <c r="F7109" i="23"/>
  <c r="M7109" i="23"/>
  <c r="F7110" i="23"/>
  <c r="M7110" i="23"/>
  <c r="F7111" i="23"/>
  <c r="M7111" i="23"/>
  <c r="F7112" i="23"/>
  <c r="M7112" i="23"/>
  <c r="F7113" i="23"/>
  <c r="M7113" i="23"/>
  <c r="F7114" i="23"/>
  <c r="M7114" i="23"/>
  <c r="F7115" i="23"/>
  <c r="M7115" i="23"/>
  <c r="F7116" i="23"/>
  <c r="M7116" i="23"/>
  <c r="F7117" i="23"/>
  <c r="M7117" i="23"/>
  <c r="F7118" i="23"/>
  <c r="M7118" i="23"/>
  <c r="F7119" i="23"/>
  <c r="M7119" i="23"/>
  <c r="F7120" i="23"/>
  <c r="M7120" i="23"/>
  <c r="F7121" i="23"/>
  <c r="M7121" i="23"/>
  <c r="F7122" i="23"/>
  <c r="M7122" i="23"/>
  <c r="F7123" i="23"/>
  <c r="M7123" i="23"/>
  <c r="F7124" i="23"/>
  <c r="M7124" i="23"/>
  <c r="F7125" i="23"/>
  <c r="M7125" i="23"/>
  <c r="F7126" i="23"/>
  <c r="M7126" i="23"/>
  <c r="F7127" i="23"/>
  <c r="M7127" i="23"/>
  <c r="F7128" i="23"/>
  <c r="M7128" i="23"/>
  <c r="F7129" i="23"/>
  <c r="M7129" i="23"/>
  <c r="F7130" i="23"/>
  <c r="M7130" i="23"/>
  <c r="F7131" i="23"/>
  <c r="M7131" i="23"/>
  <c r="F7132" i="23"/>
  <c r="M7132" i="23"/>
  <c r="F7133" i="23"/>
  <c r="M7133" i="23"/>
  <c r="F7134" i="23"/>
  <c r="M7134" i="23"/>
  <c r="F7135" i="23"/>
  <c r="M7135" i="23"/>
  <c r="F7136" i="23"/>
  <c r="M7136" i="23"/>
  <c r="F7137" i="23"/>
  <c r="M7137" i="23"/>
  <c r="F7138" i="23"/>
  <c r="M7138" i="23"/>
  <c r="F7139" i="23"/>
  <c r="M7139" i="23"/>
  <c r="F7140" i="23"/>
  <c r="M7140" i="23"/>
  <c r="F7141" i="23"/>
  <c r="M7141" i="23"/>
  <c r="F7142" i="23"/>
  <c r="M7142" i="23"/>
  <c r="F7143" i="23"/>
  <c r="M7143" i="23"/>
  <c r="F7144" i="23"/>
  <c r="M7144" i="23"/>
  <c r="F7145" i="23"/>
  <c r="M7145" i="23"/>
  <c r="F7146" i="23"/>
  <c r="M7146" i="23"/>
  <c r="F7147" i="23"/>
  <c r="M7147" i="23"/>
  <c r="F7148" i="23"/>
  <c r="M7148" i="23"/>
  <c r="F7149" i="23"/>
  <c r="M7149" i="23"/>
  <c r="F7150" i="23"/>
  <c r="M7150" i="23"/>
  <c r="F7151" i="23"/>
  <c r="M7151" i="23"/>
  <c r="F7152" i="23"/>
  <c r="M7152" i="23"/>
  <c r="F7153" i="23"/>
  <c r="M7153" i="23"/>
  <c r="F7154" i="23"/>
  <c r="M7154" i="23"/>
  <c r="F7155" i="23"/>
  <c r="M7155" i="23"/>
  <c r="F7156" i="23"/>
  <c r="M7156" i="23"/>
  <c r="F7157" i="23"/>
  <c r="M7157" i="23"/>
  <c r="F7158" i="23"/>
  <c r="M7158" i="23"/>
  <c r="F7159" i="23"/>
  <c r="M7159" i="23"/>
  <c r="F7160" i="23"/>
  <c r="M7160" i="23"/>
  <c r="F7161" i="23"/>
  <c r="M7161" i="23"/>
  <c r="F7162" i="23"/>
  <c r="M7162" i="23"/>
  <c r="F7163" i="23"/>
  <c r="M7163" i="23"/>
  <c r="F7164" i="23"/>
  <c r="M7164" i="23"/>
  <c r="F7165" i="23"/>
  <c r="M7165" i="23"/>
  <c r="F7166" i="23"/>
  <c r="M7166" i="23"/>
  <c r="F7167" i="23"/>
  <c r="M7167" i="23"/>
  <c r="F7168" i="23"/>
  <c r="M7168" i="23"/>
  <c r="F7169" i="23"/>
  <c r="M7169" i="23"/>
  <c r="F7170" i="23"/>
  <c r="M7170" i="23"/>
  <c r="F7171" i="23"/>
  <c r="M7171" i="23"/>
  <c r="F7172" i="23"/>
  <c r="M7172" i="23"/>
  <c r="F7173" i="23"/>
  <c r="M7173" i="23"/>
  <c r="F7174" i="23"/>
  <c r="M7174" i="23"/>
  <c r="F7175" i="23"/>
  <c r="M7175" i="23"/>
  <c r="F7176" i="23"/>
  <c r="M7176" i="23"/>
  <c r="F7177" i="23"/>
  <c r="M7177" i="23"/>
  <c r="F7178" i="23"/>
  <c r="M7178" i="23"/>
  <c r="F7179" i="23"/>
  <c r="M7179" i="23"/>
  <c r="F7180" i="23"/>
  <c r="M7180" i="23"/>
  <c r="F7181" i="23"/>
  <c r="M7181" i="23"/>
  <c r="F7182" i="23"/>
  <c r="M7182" i="23"/>
  <c r="F7183" i="23"/>
  <c r="M7183" i="23"/>
  <c r="F7184" i="23"/>
  <c r="M7184" i="23"/>
  <c r="F7185" i="23"/>
  <c r="M7185" i="23"/>
  <c r="F7186" i="23"/>
  <c r="M7186" i="23"/>
  <c r="F7187" i="23"/>
  <c r="M7187" i="23"/>
  <c r="F7188" i="23"/>
  <c r="M7188" i="23"/>
  <c r="F7189" i="23"/>
  <c r="M7189" i="23"/>
  <c r="F7190" i="23"/>
  <c r="M7190" i="23"/>
  <c r="F7191" i="23"/>
  <c r="M7191" i="23"/>
  <c r="F7192" i="23"/>
  <c r="M7192" i="23"/>
  <c r="F7193" i="23"/>
  <c r="M7193" i="23"/>
  <c r="F7194" i="23"/>
  <c r="M7194" i="23"/>
  <c r="F7195" i="23"/>
  <c r="M7195" i="23"/>
  <c r="F7196" i="23"/>
  <c r="M7196" i="23"/>
  <c r="F7197" i="23"/>
  <c r="M7197" i="23"/>
  <c r="F7198" i="23"/>
  <c r="M7198" i="23"/>
  <c r="F7199" i="23"/>
  <c r="M7199" i="23"/>
  <c r="F7200" i="23"/>
  <c r="M7200" i="23"/>
  <c r="F7201" i="23"/>
  <c r="M7201" i="23"/>
  <c r="F7202" i="23"/>
  <c r="M7202" i="23"/>
  <c r="F7203" i="23"/>
  <c r="M7203" i="23"/>
  <c r="F7204" i="23"/>
  <c r="M7204" i="23"/>
  <c r="F7205" i="23"/>
  <c r="M7205" i="23"/>
  <c r="F7206" i="23"/>
  <c r="M7206" i="23"/>
  <c r="F7207" i="23"/>
  <c r="M7207" i="23"/>
  <c r="F7208" i="23"/>
  <c r="M7208" i="23"/>
  <c r="F7209" i="23"/>
  <c r="M7209" i="23"/>
  <c r="F7210" i="23"/>
  <c r="M7210" i="23"/>
  <c r="F7211" i="23"/>
  <c r="M7211" i="23"/>
  <c r="F7212" i="23"/>
  <c r="M7212" i="23"/>
  <c r="F7213" i="23"/>
  <c r="M7213" i="23"/>
  <c r="F7214" i="23"/>
  <c r="M7214" i="23"/>
  <c r="F7215" i="23"/>
  <c r="M7215" i="23"/>
  <c r="F7216" i="23"/>
  <c r="M7216" i="23"/>
  <c r="F7217" i="23"/>
  <c r="M7217" i="23"/>
  <c r="F7218" i="23"/>
  <c r="M7218" i="23"/>
  <c r="F7219" i="23"/>
  <c r="M7219" i="23"/>
  <c r="F7220" i="23"/>
  <c r="M7220" i="23"/>
  <c r="F7221" i="23"/>
  <c r="M7221" i="23"/>
  <c r="F7222" i="23"/>
  <c r="M7222" i="23"/>
  <c r="F7223" i="23"/>
  <c r="M7223" i="23"/>
  <c r="F7224" i="23"/>
  <c r="M7224" i="23"/>
  <c r="F7225" i="23"/>
  <c r="M7225" i="23"/>
  <c r="F7226" i="23"/>
  <c r="M7226" i="23"/>
  <c r="F7227" i="23"/>
  <c r="M7227" i="23"/>
  <c r="F7228" i="23"/>
  <c r="M7228" i="23"/>
  <c r="F7229" i="23"/>
  <c r="M7229" i="23"/>
  <c r="F7230" i="23"/>
  <c r="M7230" i="23"/>
  <c r="F7231" i="23"/>
  <c r="M7231" i="23"/>
  <c r="F7232" i="23"/>
  <c r="M7232" i="23"/>
  <c r="F7233" i="23"/>
  <c r="M7233" i="23"/>
  <c r="F7234" i="23"/>
  <c r="M7234" i="23"/>
  <c r="F7235" i="23"/>
  <c r="M7235" i="23"/>
  <c r="F7236" i="23"/>
  <c r="M7236" i="23"/>
  <c r="F7237" i="23"/>
  <c r="M7237" i="23"/>
  <c r="F7238" i="23"/>
  <c r="M7238" i="23"/>
  <c r="F7239" i="23"/>
  <c r="M7239" i="23"/>
  <c r="F7240" i="23"/>
  <c r="M7240" i="23"/>
  <c r="F7241" i="23"/>
  <c r="M7241" i="23"/>
  <c r="F7242" i="23"/>
  <c r="M7242" i="23"/>
  <c r="F7243" i="23"/>
  <c r="M7243" i="23"/>
  <c r="F7244" i="23"/>
  <c r="M7244" i="23"/>
  <c r="F7245" i="23"/>
  <c r="M7245" i="23"/>
  <c r="F7246" i="23"/>
  <c r="M7246" i="23"/>
  <c r="F7247" i="23"/>
  <c r="M7247" i="23"/>
  <c r="F7248" i="23"/>
  <c r="M7248" i="23"/>
  <c r="F7249" i="23"/>
  <c r="M7249" i="23"/>
  <c r="F7250" i="23"/>
  <c r="M7250" i="23"/>
  <c r="F7251" i="23"/>
  <c r="M7251" i="23"/>
  <c r="F7252" i="23"/>
  <c r="M7252" i="23"/>
  <c r="F7253" i="23"/>
  <c r="M7253" i="23"/>
  <c r="F7254" i="23"/>
  <c r="M7254" i="23"/>
  <c r="F7255" i="23"/>
  <c r="M7255" i="23"/>
  <c r="F7256" i="23"/>
  <c r="M7256" i="23"/>
  <c r="F7257" i="23"/>
  <c r="M7257" i="23"/>
  <c r="F7258" i="23"/>
  <c r="M7258" i="23"/>
  <c r="F7259" i="23"/>
  <c r="M7259" i="23"/>
  <c r="F7260" i="23"/>
  <c r="M7260" i="23"/>
  <c r="F7261" i="23"/>
  <c r="M7261" i="23"/>
  <c r="F7262" i="23"/>
  <c r="M7262" i="23"/>
  <c r="F7263" i="23"/>
  <c r="M7263" i="23"/>
  <c r="F7264" i="23"/>
  <c r="M7264" i="23"/>
  <c r="F7265" i="23"/>
  <c r="M7265" i="23"/>
  <c r="F7266" i="23"/>
  <c r="M7266" i="23"/>
  <c r="F7267" i="23"/>
  <c r="M7267" i="23"/>
  <c r="F7268" i="23"/>
  <c r="M7268" i="23"/>
  <c r="F7269" i="23"/>
  <c r="M7269" i="23"/>
  <c r="F7270" i="23"/>
  <c r="M7270" i="23"/>
  <c r="F7271" i="23"/>
  <c r="M7271" i="23"/>
  <c r="F7272" i="23"/>
  <c r="M7272" i="23"/>
  <c r="F7273" i="23"/>
  <c r="M7273" i="23"/>
  <c r="F7274" i="23"/>
  <c r="M7274" i="23"/>
  <c r="F7275" i="23"/>
  <c r="M7275" i="23"/>
  <c r="F7276" i="23"/>
  <c r="M7276" i="23"/>
  <c r="F7277" i="23"/>
  <c r="M7277" i="23"/>
  <c r="F7278" i="23"/>
  <c r="M7278" i="23"/>
  <c r="F7279" i="23"/>
  <c r="M7279" i="23"/>
  <c r="F7280" i="23"/>
  <c r="M7280" i="23"/>
  <c r="F7281" i="23"/>
  <c r="M7281" i="23"/>
  <c r="F7282" i="23"/>
  <c r="M7282" i="23"/>
  <c r="F7283" i="23"/>
  <c r="M7283" i="23"/>
  <c r="F7284" i="23"/>
  <c r="M7284" i="23"/>
  <c r="F7285" i="23"/>
  <c r="M7285" i="23"/>
  <c r="F7286" i="23"/>
  <c r="M7286" i="23"/>
  <c r="F7287" i="23"/>
  <c r="M7287" i="23"/>
  <c r="F7288" i="23"/>
  <c r="M7288" i="23"/>
  <c r="F7289" i="23"/>
  <c r="M7289" i="23"/>
  <c r="F7290" i="23"/>
  <c r="M7290" i="23"/>
  <c r="F7291" i="23"/>
  <c r="M7291" i="23"/>
  <c r="F7292" i="23"/>
  <c r="M7292" i="23"/>
  <c r="F7293" i="23"/>
  <c r="M7293" i="23"/>
  <c r="F7294" i="23"/>
  <c r="M7294" i="23"/>
  <c r="F7295" i="23"/>
  <c r="M7295" i="23"/>
  <c r="F7296" i="23"/>
  <c r="M7296" i="23"/>
  <c r="F7297" i="23"/>
  <c r="M7297" i="23"/>
  <c r="F7298" i="23"/>
  <c r="M7298" i="23"/>
  <c r="F7299" i="23"/>
  <c r="M7299" i="23"/>
  <c r="F7300" i="23"/>
  <c r="M7300" i="23"/>
  <c r="F7301" i="23"/>
  <c r="M7301" i="23"/>
  <c r="F7302" i="23"/>
  <c r="M7302" i="23"/>
  <c r="F7303" i="23"/>
  <c r="M7303" i="23"/>
  <c r="F7304" i="23"/>
  <c r="M7304" i="23"/>
  <c r="F7305" i="23"/>
  <c r="M7305" i="23"/>
  <c r="F7306" i="23"/>
  <c r="M7306" i="23"/>
  <c r="F7307" i="23"/>
  <c r="M7307" i="23"/>
  <c r="F7308" i="23"/>
  <c r="M7308" i="23"/>
  <c r="F7309" i="23"/>
  <c r="M7309" i="23"/>
  <c r="F7310" i="23"/>
  <c r="M7310" i="23"/>
  <c r="F7311" i="23"/>
  <c r="M7311" i="23"/>
  <c r="F7312" i="23"/>
  <c r="M7312" i="23"/>
  <c r="F7313" i="23"/>
  <c r="M7313" i="23"/>
  <c r="F7314" i="23"/>
  <c r="M7314" i="23"/>
  <c r="F7315" i="23"/>
  <c r="M7315" i="23"/>
  <c r="F7316" i="23"/>
  <c r="M7316" i="23"/>
  <c r="F7317" i="23"/>
  <c r="M7317" i="23"/>
  <c r="F7318" i="23"/>
  <c r="M7318" i="23"/>
  <c r="F7319" i="23"/>
  <c r="M7319" i="23"/>
  <c r="F7320" i="23"/>
  <c r="M7320" i="23"/>
  <c r="F7321" i="23"/>
  <c r="M7321" i="23"/>
  <c r="F7322" i="23"/>
  <c r="M7322" i="23"/>
  <c r="F7323" i="23"/>
  <c r="M7323" i="23"/>
  <c r="F7324" i="23"/>
  <c r="M7324" i="23"/>
  <c r="F7325" i="23"/>
  <c r="M7325" i="23"/>
  <c r="F7326" i="23"/>
  <c r="M7326" i="23"/>
  <c r="F7327" i="23"/>
  <c r="M7327" i="23"/>
  <c r="F7328" i="23"/>
  <c r="M7328" i="23"/>
  <c r="F7329" i="23"/>
  <c r="M7329" i="23"/>
  <c r="F7330" i="23"/>
  <c r="M7330" i="23"/>
  <c r="F7331" i="23"/>
  <c r="M7331" i="23"/>
  <c r="F7332" i="23"/>
  <c r="M7332" i="23"/>
  <c r="F7333" i="23"/>
  <c r="M7333" i="23"/>
  <c r="F7334" i="23"/>
  <c r="M7334" i="23"/>
  <c r="F7335" i="23"/>
  <c r="M7335" i="23"/>
  <c r="F7336" i="23"/>
  <c r="M7336" i="23"/>
  <c r="F7337" i="23"/>
  <c r="M7337" i="23"/>
  <c r="F7338" i="23"/>
  <c r="M7338" i="23"/>
  <c r="F7339" i="23"/>
  <c r="M7339" i="23"/>
  <c r="F7340" i="23"/>
  <c r="M7340" i="23"/>
  <c r="F7341" i="23"/>
  <c r="M7341" i="23"/>
  <c r="F7342" i="23"/>
  <c r="M7342" i="23"/>
  <c r="F7343" i="23"/>
  <c r="M7343" i="23"/>
  <c r="F7344" i="23"/>
  <c r="M7344" i="23"/>
  <c r="F7345" i="23"/>
  <c r="M7345" i="23"/>
  <c r="F7346" i="23"/>
  <c r="M7346" i="23"/>
  <c r="F7347" i="23"/>
  <c r="M7347" i="23"/>
  <c r="F7348" i="23"/>
  <c r="M7348" i="23"/>
  <c r="F7349" i="23"/>
  <c r="M7349" i="23"/>
  <c r="F7350" i="23"/>
  <c r="M7350" i="23"/>
  <c r="F7351" i="23"/>
  <c r="M7351" i="23"/>
  <c r="F7352" i="23"/>
  <c r="M7352" i="23"/>
  <c r="F7353" i="23"/>
  <c r="M7353" i="23"/>
  <c r="F7354" i="23"/>
  <c r="M7354" i="23"/>
  <c r="F7355" i="23"/>
  <c r="M7355" i="23"/>
  <c r="F7356" i="23"/>
  <c r="M7356" i="23"/>
  <c r="F7357" i="23"/>
  <c r="M7357" i="23"/>
  <c r="F7358" i="23"/>
  <c r="M7358" i="23"/>
  <c r="F7359" i="23"/>
  <c r="M7359" i="23"/>
  <c r="F7360" i="23"/>
  <c r="M7360" i="23"/>
  <c r="F7361" i="23"/>
  <c r="M7361" i="23"/>
  <c r="F7362" i="23"/>
  <c r="M7362" i="23"/>
  <c r="F7363" i="23"/>
  <c r="M7363" i="23"/>
  <c r="F7364" i="23"/>
  <c r="M7364" i="23"/>
  <c r="F7365" i="23"/>
  <c r="M7365" i="23"/>
  <c r="F7366" i="23"/>
  <c r="M7366" i="23"/>
  <c r="F7367" i="23"/>
  <c r="M7367" i="23"/>
  <c r="F7368" i="23"/>
  <c r="M7368" i="23"/>
  <c r="F7369" i="23"/>
  <c r="M7369" i="23"/>
  <c r="F7370" i="23"/>
  <c r="M7370" i="23"/>
  <c r="F7371" i="23"/>
  <c r="M7371" i="23"/>
  <c r="F7372" i="23"/>
  <c r="M7372" i="23"/>
  <c r="F7373" i="23"/>
  <c r="M7373" i="23"/>
  <c r="F7374" i="23"/>
  <c r="M7374" i="23"/>
  <c r="F7375" i="23"/>
  <c r="M7375" i="23"/>
  <c r="F7376" i="23"/>
  <c r="M7376" i="23"/>
  <c r="F7377" i="23"/>
  <c r="M7377" i="23"/>
  <c r="F7378" i="23"/>
  <c r="M7378" i="23"/>
  <c r="F7379" i="23"/>
  <c r="M7379" i="23"/>
  <c r="F7380" i="23"/>
  <c r="M7380" i="23"/>
  <c r="F7381" i="23"/>
  <c r="M7381" i="23"/>
  <c r="F7382" i="23"/>
  <c r="M7382" i="23"/>
  <c r="F7383" i="23"/>
  <c r="M7383" i="23"/>
  <c r="F7384" i="23"/>
  <c r="M7384" i="23"/>
  <c r="F7385" i="23"/>
  <c r="M7385" i="23"/>
  <c r="F7386" i="23"/>
  <c r="M7386" i="23"/>
  <c r="F7387" i="23"/>
  <c r="M7387" i="23"/>
  <c r="F7388" i="23"/>
  <c r="M7388" i="23"/>
  <c r="F7389" i="23"/>
  <c r="M7389" i="23"/>
  <c r="F7390" i="23"/>
  <c r="M7390" i="23"/>
  <c r="F7391" i="23"/>
  <c r="M7391" i="23"/>
  <c r="F7392" i="23"/>
  <c r="M7392" i="23"/>
  <c r="F7393" i="23"/>
  <c r="M7393" i="23"/>
  <c r="F7394" i="23"/>
  <c r="M7394" i="23"/>
  <c r="F7395" i="23"/>
  <c r="M7395" i="23"/>
  <c r="F7396" i="23"/>
  <c r="M7396" i="23"/>
  <c r="F7397" i="23"/>
  <c r="M7397" i="23"/>
  <c r="F7398" i="23"/>
  <c r="M7398" i="23"/>
  <c r="F7399" i="23"/>
  <c r="M7399" i="23"/>
  <c r="F7400" i="23"/>
  <c r="M7400" i="23"/>
  <c r="F7401" i="23"/>
  <c r="M7401" i="23"/>
  <c r="F7402" i="23"/>
  <c r="M7402" i="23"/>
  <c r="F7403" i="23"/>
  <c r="M7403" i="23"/>
  <c r="F7404" i="23"/>
  <c r="M7404" i="23"/>
  <c r="F7405" i="23"/>
  <c r="M7405" i="23"/>
  <c r="F7406" i="23"/>
  <c r="M7406" i="23"/>
  <c r="F7407" i="23"/>
  <c r="M7407" i="23"/>
  <c r="F7408" i="23"/>
  <c r="M7408" i="23"/>
  <c r="F7409" i="23"/>
  <c r="M7409" i="23"/>
  <c r="F7410" i="23"/>
  <c r="M7410" i="23"/>
  <c r="F7411" i="23"/>
  <c r="M7411" i="23"/>
  <c r="F7412" i="23"/>
  <c r="M7412" i="23"/>
  <c r="F7413" i="23"/>
  <c r="M7413" i="23"/>
  <c r="F7414" i="23"/>
  <c r="M7414" i="23"/>
  <c r="F7415" i="23"/>
  <c r="M7415" i="23"/>
  <c r="F7416" i="23"/>
  <c r="M7416" i="23"/>
  <c r="F7417" i="23"/>
  <c r="M7417" i="23"/>
  <c r="F7418" i="23"/>
  <c r="M7418" i="23"/>
  <c r="F7419" i="23"/>
  <c r="M7419" i="23"/>
  <c r="F7420" i="23"/>
  <c r="M7420" i="23"/>
  <c r="F7421" i="23"/>
  <c r="M7421" i="23"/>
  <c r="F7422" i="23"/>
  <c r="M7422" i="23"/>
  <c r="F7423" i="23"/>
  <c r="M7423" i="23"/>
  <c r="F7424" i="23"/>
  <c r="M7424" i="23"/>
  <c r="F7425" i="23"/>
  <c r="M7425" i="23"/>
  <c r="F7426" i="23"/>
  <c r="M7426" i="23"/>
  <c r="F7427" i="23"/>
  <c r="M7427" i="23"/>
  <c r="F7428" i="23"/>
  <c r="M7428" i="23"/>
  <c r="F7429" i="23"/>
  <c r="M7429" i="23"/>
  <c r="F7430" i="23"/>
  <c r="M7430" i="23"/>
  <c r="F7431" i="23"/>
  <c r="M7431" i="23"/>
  <c r="F7432" i="23"/>
  <c r="M7432" i="23"/>
  <c r="F7433" i="23"/>
  <c r="M7433" i="23"/>
  <c r="F7434" i="23"/>
  <c r="M7434" i="23"/>
  <c r="F7435" i="23"/>
  <c r="M7435" i="23"/>
  <c r="F7436" i="23"/>
  <c r="M7436" i="23"/>
  <c r="F7437" i="23"/>
  <c r="M7437" i="23"/>
  <c r="F7438" i="23"/>
  <c r="M7438" i="23"/>
  <c r="F7439" i="23"/>
  <c r="M7439" i="23"/>
  <c r="F7440" i="23"/>
  <c r="M7440" i="23"/>
  <c r="F7441" i="23"/>
  <c r="M7441" i="23"/>
  <c r="F7442" i="23"/>
  <c r="M7442" i="23"/>
  <c r="F7443" i="23"/>
  <c r="M7443" i="23"/>
  <c r="F7444" i="23"/>
  <c r="M7444" i="23"/>
  <c r="F7445" i="23"/>
  <c r="M7445" i="23"/>
  <c r="F7446" i="23"/>
  <c r="M7446" i="23"/>
  <c r="F7447" i="23"/>
  <c r="M7447" i="23"/>
  <c r="F7448" i="23"/>
  <c r="M7448" i="23"/>
  <c r="F7449" i="23"/>
  <c r="M7449" i="23"/>
  <c r="F7450" i="23"/>
  <c r="M7450" i="23"/>
  <c r="F7451" i="23"/>
  <c r="M7451" i="23"/>
  <c r="F7452" i="23"/>
  <c r="M7452" i="23"/>
  <c r="F7453" i="23"/>
  <c r="M7453" i="23"/>
  <c r="F7454" i="23"/>
  <c r="M7454" i="23"/>
  <c r="F7455" i="23"/>
  <c r="M7455" i="23"/>
  <c r="F7456" i="23"/>
  <c r="M7456" i="23"/>
  <c r="F7457" i="23"/>
  <c r="M7457" i="23"/>
  <c r="F7458" i="23"/>
  <c r="M7458" i="23"/>
  <c r="F7459" i="23"/>
  <c r="M7459" i="23"/>
  <c r="F7460" i="23"/>
  <c r="M7460" i="23"/>
  <c r="F7461" i="23"/>
  <c r="M7461" i="23"/>
  <c r="F7462" i="23"/>
  <c r="M7462" i="23"/>
  <c r="F7463" i="23"/>
  <c r="M7463" i="23"/>
  <c r="F7464" i="23"/>
  <c r="M7464" i="23"/>
  <c r="F7465" i="23"/>
  <c r="M7465" i="23"/>
  <c r="F7466" i="23"/>
  <c r="M7466" i="23"/>
  <c r="F7467" i="23"/>
  <c r="M7467" i="23"/>
  <c r="F7468" i="23"/>
  <c r="M7468" i="23"/>
  <c r="F7469" i="23"/>
  <c r="M7469" i="23"/>
  <c r="F7470" i="23"/>
  <c r="M7470" i="23"/>
  <c r="F7471" i="23"/>
  <c r="M7471" i="23"/>
  <c r="F7472" i="23"/>
  <c r="M7472" i="23"/>
  <c r="F7473" i="23"/>
  <c r="M7473" i="23"/>
  <c r="F7474" i="23"/>
  <c r="M7474" i="23"/>
  <c r="F7475" i="23"/>
  <c r="M7475" i="23"/>
  <c r="F7476" i="23"/>
  <c r="M7476" i="23"/>
  <c r="F7477" i="23"/>
  <c r="M7477" i="23"/>
  <c r="F7478" i="23"/>
  <c r="M7478" i="23"/>
  <c r="F7479" i="23"/>
  <c r="M7479" i="23"/>
  <c r="F7480" i="23"/>
  <c r="M7480" i="23"/>
  <c r="F7481" i="23"/>
  <c r="M7481" i="23"/>
  <c r="F7482" i="23"/>
  <c r="M7482" i="23"/>
  <c r="F7483" i="23"/>
  <c r="M7483" i="23"/>
  <c r="F7484" i="23"/>
  <c r="M7484" i="23"/>
  <c r="F7485" i="23"/>
  <c r="M7485" i="23"/>
  <c r="F7486" i="23"/>
  <c r="M7486" i="23"/>
  <c r="F7487" i="23"/>
  <c r="M7487" i="23"/>
  <c r="F7488" i="23"/>
  <c r="M7488" i="23"/>
  <c r="F7489" i="23"/>
  <c r="M7489" i="23"/>
  <c r="F7490" i="23"/>
  <c r="M7490" i="23"/>
  <c r="F7491" i="23"/>
  <c r="M7491" i="23"/>
  <c r="F7492" i="23"/>
  <c r="M7492" i="23"/>
  <c r="F7493" i="23"/>
  <c r="M7493" i="23"/>
  <c r="F7494" i="23"/>
  <c r="M7494" i="23"/>
  <c r="F7495" i="23"/>
  <c r="M7495" i="23"/>
  <c r="F7496" i="23"/>
  <c r="M7496" i="23"/>
  <c r="F7497" i="23"/>
  <c r="M7497" i="23"/>
  <c r="F7498" i="23"/>
  <c r="M7498" i="23"/>
  <c r="F7499" i="23"/>
  <c r="M7499" i="23"/>
  <c r="F7500" i="23"/>
  <c r="M7500" i="23"/>
  <c r="F7501" i="23"/>
  <c r="M7501" i="23"/>
  <c r="F7502" i="23"/>
  <c r="M7502" i="23"/>
  <c r="F7503" i="23"/>
  <c r="M7503" i="23"/>
  <c r="F7504" i="23"/>
  <c r="M7504" i="23"/>
  <c r="F7505" i="23"/>
  <c r="M7505" i="23"/>
  <c r="F7506" i="23"/>
  <c r="M7506" i="23"/>
  <c r="F7507" i="23"/>
  <c r="M7507" i="23"/>
  <c r="F7508" i="23"/>
  <c r="M7508" i="23"/>
  <c r="F7509" i="23"/>
  <c r="M7509" i="23"/>
  <c r="F7510" i="23"/>
  <c r="M7510" i="23"/>
  <c r="F7511" i="23"/>
  <c r="M7511" i="23"/>
  <c r="F7512" i="23"/>
  <c r="M7512" i="23"/>
  <c r="F7513" i="23"/>
  <c r="M7513" i="23"/>
  <c r="F7514" i="23"/>
  <c r="M7514" i="23"/>
  <c r="F7515" i="23"/>
  <c r="M7515" i="23"/>
  <c r="F7516" i="23"/>
  <c r="M7516" i="23"/>
  <c r="F7517" i="23"/>
  <c r="M7517" i="23"/>
  <c r="F7518" i="23"/>
  <c r="M7518" i="23"/>
  <c r="F7519" i="23"/>
  <c r="M7519" i="23"/>
  <c r="F7520" i="23"/>
  <c r="M7520" i="23"/>
  <c r="F7521" i="23"/>
  <c r="M7521" i="23"/>
  <c r="F7522" i="23"/>
  <c r="M7522" i="23"/>
  <c r="F7523" i="23"/>
  <c r="M7523" i="23"/>
  <c r="F7524" i="23"/>
  <c r="M7524" i="23"/>
  <c r="F7525" i="23"/>
  <c r="M7525" i="23"/>
  <c r="F7526" i="23"/>
  <c r="M7526" i="23"/>
  <c r="F7527" i="23"/>
  <c r="M7527" i="23"/>
  <c r="F7528" i="23"/>
  <c r="M7528" i="23"/>
  <c r="F7529" i="23"/>
  <c r="M7529" i="23"/>
  <c r="F7530" i="23"/>
  <c r="M7530" i="23"/>
  <c r="F7531" i="23"/>
  <c r="M7531" i="23"/>
  <c r="F7532" i="23"/>
  <c r="M7532" i="23"/>
  <c r="F7533" i="23"/>
  <c r="M7533" i="23"/>
  <c r="F7534" i="23"/>
  <c r="M7534" i="23"/>
  <c r="F7535" i="23"/>
  <c r="M7535" i="23"/>
  <c r="F7536" i="23"/>
  <c r="M7536" i="23"/>
  <c r="F7537" i="23"/>
  <c r="M7537" i="23"/>
  <c r="F7538" i="23"/>
  <c r="M7538" i="23"/>
  <c r="F7539" i="23"/>
  <c r="M7539" i="23"/>
  <c r="F7540" i="23"/>
  <c r="M7540" i="23"/>
  <c r="F7541" i="23"/>
  <c r="M7541" i="23"/>
  <c r="F7542" i="23"/>
  <c r="M7542" i="23"/>
  <c r="F7543" i="23"/>
  <c r="M7543" i="23"/>
  <c r="F7544" i="23"/>
  <c r="M7544" i="23"/>
  <c r="F7545" i="23"/>
  <c r="M7545" i="23"/>
  <c r="F7546" i="23"/>
  <c r="M7546" i="23"/>
  <c r="F7547" i="23"/>
  <c r="M7547" i="23"/>
  <c r="F7548" i="23"/>
  <c r="M7548" i="23"/>
  <c r="F7549" i="23"/>
  <c r="M7549" i="23"/>
  <c r="F7550" i="23"/>
  <c r="M7550" i="23"/>
  <c r="F7551" i="23"/>
  <c r="M7551" i="23"/>
  <c r="F7552" i="23"/>
  <c r="M7552" i="23"/>
  <c r="F7553" i="23"/>
  <c r="M7553" i="23"/>
  <c r="F7554" i="23"/>
  <c r="M7554" i="23"/>
  <c r="F7555" i="23"/>
  <c r="M7555" i="23"/>
  <c r="F7556" i="23"/>
  <c r="M7556" i="23"/>
  <c r="F7557" i="23"/>
  <c r="M7557" i="23"/>
  <c r="F7558" i="23"/>
  <c r="M7558" i="23"/>
  <c r="F7559" i="23"/>
  <c r="M7559" i="23"/>
  <c r="F7560" i="23"/>
  <c r="M7560" i="23"/>
  <c r="F7561" i="23"/>
  <c r="M7561" i="23"/>
  <c r="F7562" i="23"/>
  <c r="M7562" i="23"/>
  <c r="F7563" i="23"/>
  <c r="M7563" i="23"/>
  <c r="F7564" i="23"/>
  <c r="M7564" i="23"/>
  <c r="F7565" i="23"/>
  <c r="M7565" i="23"/>
  <c r="F7566" i="23"/>
  <c r="M7566" i="23"/>
  <c r="F7567" i="23"/>
  <c r="M7567" i="23"/>
  <c r="F7568" i="23"/>
  <c r="M7568" i="23"/>
  <c r="F7569" i="23"/>
  <c r="M7569" i="23"/>
  <c r="F7570" i="23"/>
  <c r="M7570" i="23"/>
  <c r="F7571" i="23"/>
  <c r="M7571" i="23"/>
  <c r="F7572" i="23"/>
  <c r="M7572" i="23"/>
  <c r="F7573" i="23"/>
  <c r="M7573" i="23"/>
  <c r="F7574" i="23"/>
  <c r="M7574" i="23"/>
  <c r="F7575" i="23"/>
  <c r="M7575" i="23"/>
  <c r="F7576" i="23"/>
  <c r="M7576" i="23"/>
  <c r="F7577" i="23"/>
  <c r="M7577" i="23"/>
  <c r="F7578" i="23"/>
  <c r="M7578" i="23"/>
  <c r="F7579" i="23"/>
  <c r="M7579" i="23"/>
  <c r="F7580" i="23"/>
  <c r="M7580" i="23"/>
  <c r="F7581" i="23"/>
  <c r="M7581" i="23"/>
  <c r="F7582" i="23"/>
  <c r="M7582" i="23"/>
  <c r="F7583" i="23"/>
  <c r="M7583" i="23"/>
  <c r="F7584" i="23"/>
  <c r="M7584" i="23"/>
  <c r="F7585" i="23"/>
  <c r="M7585" i="23"/>
  <c r="F7586" i="23"/>
  <c r="M7586" i="23"/>
  <c r="F7587" i="23"/>
  <c r="M7587" i="23"/>
  <c r="F7588" i="23"/>
  <c r="M7588" i="23"/>
  <c r="F7589" i="23"/>
  <c r="M7589" i="23"/>
  <c r="F7590" i="23"/>
  <c r="M7590" i="23"/>
  <c r="F7591" i="23"/>
  <c r="M7591" i="23"/>
  <c r="F7592" i="23"/>
  <c r="M7592" i="23"/>
  <c r="F7593" i="23"/>
  <c r="M7593" i="23"/>
  <c r="F7594" i="23"/>
  <c r="M7594" i="23"/>
  <c r="F7595" i="23"/>
  <c r="M7595" i="23"/>
  <c r="F7596" i="23"/>
  <c r="M7596" i="23"/>
  <c r="F7597" i="23"/>
  <c r="M7597" i="23"/>
  <c r="F7598" i="23"/>
  <c r="M7598" i="23"/>
  <c r="F7599" i="23"/>
  <c r="M7599" i="23"/>
  <c r="F7600" i="23"/>
  <c r="M7600" i="23"/>
  <c r="F7601" i="23"/>
  <c r="M7601" i="23"/>
  <c r="F7602" i="23"/>
  <c r="M7602" i="23"/>
  <c r="F7603" i="23"/>
  <c r="M7603" i="23"/>
  <c r="F7604" i="23"/>
  <c r="M7604" i="23"/>
  <c r="F7605" i="23"/>
  <c r="M7605" i="23"/>
  <c r="F7606" i="23"/>
  <c r="M7606" i="23"/>
  <c r="F7607" i="23"/>
  <c r="M7607" i="23"/>
  <c r="F7608" i="23"/>
  <c r="M7608" i="23"/>
  <c r="F7609" i="23"/>
  <c r="M7609" i="23"/>
  <c r="F7610" i="23"/>
  <c r="M7610" i="23"/>
  <c r="F7611" i="23"/>
  <c r="M7611" i="23"/>
  <c r="F7612" i="23"/>
  <c r="M7612" i="23"/>
  <c r="F7613" i="23"/>
  <c r="M7613" i="23"/>
  <c r="F7614" i="23"/>
  <c r="M7614" i="23"/>
  <c r="F7615" i="23"/>
  <c r="M7615" i="23"/>
  <c r="F7616" i="23"/>
  <c r="M7616" i="23"/>
  <c r="F7617" i="23"/>
  <c r="M7617" i="23"/>
  <c r="F7618" i="23"/>
  <c r="M7618" i="23"/>
  <c r="F7619" i="23"/>
  <c r="M7619" i="23"/>
  <c r="F7620" i="23"/>
  <c r="M7620" i="23"/>
  <c r="F7621" i="23"/>
  <c r="M7621" i="23"/>
  <c r="F7622" i="23"/>
  <c r="M7622" i="23"/>
  <c r="F7623" i="23"/>
  <c r="M7623" i="23"/>
  <c r="F7624" i="23"/>
  <c r="M7624" i="23"/>
  <c r="F7625" i="23"/>
  <c r="M7625" i="23"/>
  <c r="F7626" i="23"/>
  <c r="M7626" i="23"/>
  <c r="F7627" i="23"/>
  <c r="M7627" i="23"/>
  <c r="F7628" i="23"/>
  <c r="M7628" i="23"/>
  <c r="F7629" i="23"/>
  <c r="M7629" i="23"/>
  <c r="F7630" i="23"/>
  <c r="M7630" i="23"/>
  <c r="F7631" i="23"/>
  <c r="M7631" i="23"/>
  <c r="F7632" i="23"/>
  <c r="M7632" i="23"/>
  <c r="F7633" i="23"/>
  <c r="M7633" i="23"/>
  <c r="F7634" i="23"/>
  <c r="M7634" i="23"/>
  <c r="F7635" i="23"/>
  <c r="M7635" i="23"/>
  <c r="F7636" i="23"/>
  <c r="M7636" i="23"/>
  <c r="F7637" i="23"/>
  <c r="M7637" i="23"/>
  <c r="F7638" i="23"/>
  <c r="M7638" i="23"/>
  <c r="F7639" i="23"/>
  <c r="M7639" i="23"/>
  <c r="F7640" i="23"/>
  <c r="M7640" i="23"/>
  <c r="F7641" i="23"/>
  <c r="M7641" i="23"/>
  <c r="F7642" i="23"/>
  <c r="M7642" i="23"/>
  <c r="F7643" i="23"/>
  <c r="M7643" i="23"/>
  <c r="F7644" i="23"/>
  <c r="M7644" i="23"/>
  <c r="F7645" i="23"/>
  <c r="M7645" i="23"/>
  <c r="F7646" i="23"/>
  <c r="M7646" i="23"/>
  <c r="F7647" i="23"/>
  <c r="M7647" i="23"/>
  <c r="F7648" i="23"/>
  <c r="M7648" i="23"/>
  <c r="F7649" i="23"/>
  <c r="M7649" i="23"/>
  <c r="F7650" i="23"/>
  <c r="M7650" i="23"/>
  <c r="F7651" i="23"/>
  <c r="M7651" i="23"/>
  <c r="F7652" i="23"/>
  <c r="M7652" i="23"/>
  <c r="F7653" i="23"/>
  <c r="M7653" i="23"/>
  <c r="F7654" i="23"/>
  <c r="M7654" i="23"/>
  <c r="F7655" i="23"/>
  <c r="M7655" i="23"/>
  <c r="F7656" i="23"/>
  <c r="M7656" i="23"/>
  <c r="F7657" i="23"/>
  <c r="M7657" i="23"/>
  <c r="F7658" i="23"/>
  <c r="M7658" i="23"/>
  <c r="F7659" i="23"/>
  <c r="M7659" i="23"/>
  <c r="F7660" i="23"/>
  <c r="M7660" i="23"/>
  <c r="F7661" i="23"/>
  <c r="M7661" i="23"/>
  <c r="F7662" i="23"/>
  <c r="M7662" i="23"/>
  <c r="F7663" i="23"/>
  <c r="M7663" i="23"/>
  <c r="F7664" i="23"/>
  <c r="M7664" i="23"/>
  <c r="F7665" i="23"/>
  <c r="M7665" i="23"/>
  <c r="F7666" i="23"/>
  <c r="M7666" i="23"/>
  <c r="F7667" i="23"/>
  <c r="M7667" i="23"/>
  <c r="F7668" i="23"/>
  <c r="M7668" i="23"/>
  <c r="F7669" i="23"/>
  <c r="M7669" i="23"/>
  <c r="F7670" i="23"/>
  <c r="M7670" i="23"/>
  <c r="F7671" i="23"/>
  <c r="M7671" i="23"/>
  <c r="F7672" i="23"/>
  <c r="M7672" i="23"/>
  <c r="F7673" i="23"/>
  <c r="M7673" i="23"/>
  <c r="F7674" i="23"/>
  <c r="M7674" i="23"/>
  <c r="F7675" i="23"/>
  <c r="M7675" i="23"/>
  <c r="F7676" i="23"/>
  <c r="M7676" i="23"/>
  <c r="F7677" i="23"/>
  <c r="M7677" i="23"/>
  <c r="F7678" i="23"/>
  <c r="M7678" i="23"/>
  <c r="F7679" i="23"/>
  <c r="M7679" i="23"/>
  <c r="F7680" i="23"/>
  <c r="M7680" i="23"/>
  <c r="F7681" i="23"/>
  <c r="M7681" i="23"/>
  <c r="F7682" i="23"/>
  <c r="M7682" i="23"/>
  <c r="F7683" i="23"/>
  <c r="M7683" i="23"/>
  <c r="F7684" i="23"/>
  <c r="M7684" i="23"/>
  <c r="F7685" i="23"/>
  <c r="M7685" i="23"/>
  <c r="F7686" i="23"/>
  <c r="M7686" i="23"/>
  <c r="F7687" i="23"/>
  <c r="M7687" i="23"/>
  <c r="F7688" i="23"/>
  <c r="M7688" i="23"/>
  <c r="F7689" i="23"/>
  <c r="M7689" i="23"/>
  <c r="F7690" i="23"/>
  <c r="M7690" i="23"/>
  <c r="F7691" i="23"/>
  <c r="M7691" i="23"/>
  <c r="F7692" i="23"/>
  <c r="M7692" i="23"/>
  <c r="F7693" i="23"/>
  <c r="M7693" i="23"/>
  <c r="F7694" i="23"/>
  <c r="M7694" i="23"/>
  <c r="F7695" i="23"/>
  <c r="M7695" i="23"/>
  <c r="F7696" i="23"/>
  <c r="M7696" i="23"/>
  <c r="F7697" i="23"/>
  <c r="M7697" i="23"/>
  <c r="F7698" i="23"/>
  <c r="M7698" i="23"/>
  <c r="F7699" i="23"/>
  <c r="M7699" i="23"/>
  <c r="F7700" i="23"/>
  <c r="M7700" i="23"/>
  <c r="F7701" i="23"/>
  <c r="M7701" i="23"/>
  <c r="F7702" i="23"/>
  <c r="M7702" i="23"/>
  <c r="F7703" i="23"/>
  <c r="M7703" i="23"/>
  <c r="F7704" i="23"/>
  <c r="M7704" i="23"/>
  <c r="F7705" i="23"/>
  <c r="M7705" i="23"/>
  <c r="F7706" i="23"/>
  <c r="M7706" i="23"/>
  <c r="F7707" i="23"/>
  <c r="M7707" i="23"/>
  <c r="F7708" i="23"/>
  <c r="M7708" i="23"/>
  <c r="F7709" i="23"/>
  <c r="M7709" i="23"/>
  <c r="F7710" i="23"/>
  <c r="M7710" i="23"/>
  <c r="F7711" i="23"/>
  <c r="M7711" i="23"/>
  <c r="F7712" i="23"/>
  <c r="M7712" i="23"/>
  <c r="F7713" i="23"/>
  <c r="M7713" i="23"/>
  <c r="F7714" i="23"/>
  <c r="M7714" i="23"/>
  <c r="F7715" i="23"/>
  <c r="M7715" i="23"/>
  <c r="F7716" i="23"/>
  <c r="M7716" i="23"/>
  <c r="F7717" i="23"/>
  <c r="M7717" i="23"/>
  <c r="F7718" i="23"/>
  <c r="M7718" i="23"/>
  <c r="F7719" i="23"/>
  <c r="M7719" i="23"/>
  <c r="F7720" i="23"/>
  <c r="M7720" i="23"/>
  <c r="F7721" i="23"/>
  <c r="M7721" i="23"/>
  <c r="F7722" i="23"/>
  <c r="M7722" i="23"/>
  <c r="F7723" i="23"/>
  <c r="M7723" i="23"/>
  <c r="F7724" i="23"/>
  <c r="M7724" i="23"/>
  <c r="F7725" i="23"/>
  <c r="M7725" i="23"/>
  <c r="F7726" i="23"/>
  <c r="M7726" i="23"/>
  <c r="F7727" i="23"/>
  <c r="M7727" i="23"/>
  <c r="F7728" i="23"/>
  <c r="M7728" i="23"/>
  <c r="F7729" i="23"/>
  <c r="M7729" i="23"/>
  <c r="F7730" i="23"/>
  <c r="M7730" i="23"/>
  <c r="F7731" i="23"/>
  <c r="M7731" i="23"/>
  <c r="F7732" i="23"/>
  <c r="M7732" i="23"/>
  <c r="F7733" i="23"/>
  <c r="M7733" i="23"/>
  <c r="F7734" i="23"/>
  <c r="M7734" i="23"/>
  <c r="F7735" i="23"/>
  <c r="M7735" i="23"/>
  <c r="F7736" i="23"/>
  <c r="M7736" i="23"/>
  <c r="F7737" i="23"/>
  <c r="M7737" i="23"/>
  <c r="F7738" i="23"/>
  <c r="M7738" i="23"/>
  <c r="F7739" i="23"/>
  <c r="M7739" i="23"/>
  <c r="F7740" i="23"/>
  <c r="M7740" i="23"/>
  <c r="F7741" i="23"/>
  <c r="M7741" i="23"/>
  <c r="F7742" i="23"/>
  <c r="M7742" i="23"/>
  <c r="F7743" i="23"/>
  <c r="M7743" i="23"/>
  <c r="F7744" i="23"/>
  <c r="M7744" i="23"/>
  <c r="F7745" i="23"/>
  <c r="M7745" i="23"/>
  <c r="F7746" i="23"/>
  <c r="M7746" i="23"/>
  <c r="F7747" i="23"/>
  <c r="M7747" i="23"/>
  <c r="F7748" i="23"/>
  <c r="M7748" i="23"/>
  <c r="F7749" i="23"/>
  <c r="M7749" i="23"/>
  <c r="F7750" i="23"/>
  <c r="M7750" i="23"/>
  <c r="F7751" i="23"/>
  <c r="M7751" i="23"/>
  <c r="F7752" i="23"/>
  <c r="M7752" i="23"/>
  <c r="F7753" i="23"/>
  <c r="M7753" i="23"/>
  <c r="F7754" i="23"/>
  <c r="M7754" i="23"/>
  <c r="F7755" i="23"/>
  <c r="M7755" i="23"/>
  <c r="F7756" i="23"/>
  <c r="M7756" i="23"/>
  <c r="F7757" i="23"/>
  <c r="M7757" i="23"/>
  <c r="F7758" i="23"/>
  <c r="M7758" i="23"/>
  <c r="F7759" i="23"/>
  <c r="M7759" i="23"/>
  <c r="F7760" i="23"/>
  <c r="M7760" i="23"/>
  <c r="F7761" i="23"/>
  <c r="M7761" i="23"/>
  <c r="F7762" i="23"/>
  <c r="M7762" i="23"/>
  <c r="F7763" i="23"/>
  <c r="M7763" i="23"/>
  <c r="F7764" i="23"/>
  <c r="M7764" i="23"/>
  <c r="F7765" i="23"/>
  <c r="M7765" i="23"/>
  <c r="F7766" i="23"/>
  <c r="M7766" i="23"/>
  <c r="F7767" i="23"/>
  <c r="M7767" i="23"/>
  <c r="F7768" i="23"/>
  <c r="M7768" i="23"/>
  <c r="F7769" i="23"/>
  <c r="M7769" i="23"/>
  <c r="F7770" i="23"/>
  <c r="M7770" i="23"/>
  <c r="F7771" i="23"/>
  <c r="M7771" i="23"/>
  <c r="F7772" i="23"/>
  <c r="M7772" i="23"/>
  <c r="F7773" i="23"/>
  <c r="M7773" i="23"/>
  <c r="F7774" i="23"/>
  <c r="M7774" i="23"/>
  <c r="F7775" i="23"/>
  <c r="M7775" i="23"/>
  <c r="F7776" i="23"/>
  <c r="M7776" i="23"/>
  <c r="F7777" i="23"/>
  <c r="M7777" i="23"/>
  <c r="F7778" i="23"/>
  <c r="M7778" i="23"/>
  <c r="F7779" i="23"/>
  <c r="M7779" i="23"/>
  <c r="F7780" i="23"/>
  <c r="M7780" i="23"/>
  <c r="F7781" i="23"/>
  <c r="M7781" i="23"/>
  <c r="F7782" i="23"/>
  <c r="M7782" i="23"/>
  <c r="F7783" i="23"/>
  <c r="M7783" i="23"/>
  <c r="F7784" i="23"/>
  <c r="M7784" i="23"/>
  <c r="F7785" i="23"/>
  <c r="M7785" i="23"/>
  <c r="F7786" i="23"/>
  <c r="M7786" i="23"/>
  <c r="F7787" i="23"/>
  <c r="M7787" i="23"/>
  <c r="F7788" i="23"/>
  <c r="M7788" i="23"/>
  <c r="F7789" i="23"/>
  <c r="M7789" i="23"/>
  <c r="F7790" i="23"/>
  <c r="M7790" i="23"/>
  <c r="F7791" i="23"/>
  <c r="M7791" i="23"/>
  <c r="F7792" i="23"/>
  <c r="M7792" i="23"/>
  <c r="F7793" i="23"/>
  <c r="M7793" i="23"/>
  <c r="F7794" i="23"/>
  <c r="M7794" i="23"/>
  <c r="F7795" i="23"/>
  <c r="M7795" i="23"/>
  <c r="F7796" i="23"/>
  <c r="M7796" i="23"/>
  <c r="F7797" i="23"/>
  <c r="M7797" i="23"/>
  <c r="F7798" i="23"/>
  <c r="M7798" i="23"/>
  <c r="F7799" i="23"/>
  <c r="M7799" i="23"/>
  <c r="F7800" i="23"/>
  <c r="M7800" i="23"/>
  <c r="F7801" i="23"/>
  <c r="M7801" i="23"/>
  <c r="F7802" i="23"/>
  <c r="M7802" i="23"/>
  <c r="F7803" i="23"/>
  <c r="M7803" i="23"/>
  <c r="F7804" i="23"/>
  <c r="M7804" i="23"/>
  <c r="F7805" i="23"/>
  <c r="M7805" i="23"/>
  <c r="F7806" i="23"/>
  <c r="M7806" i="23"/>
  <c r="F7807" i="23"/>
  <c r="M7807" i="23"/>
  <c r="F7808" i="23"/>
  <c r="M7808" i="23"/>
  <c r="F7809" i="23"/>
  <c r="M7809" i="23"/>
  <c r="F7810" i="23"/>
  <c r="M7810" i="23"/>
  <c r="F7811" i="23"/>
  <c r="M7811" i="23"/>
  <c r="F7812" i="23"/>
  <c r="M7812" i="23"/>
  <c r="F7813" i="23"/>
  <c r="M7813" i="23"/>
  <c r="F7814" i="23"/>
  <c r="M7814" i="23"/>
  <c r="F7815" i="23"/>
  <c r="M7815" i="23"/>
  <c r="F7816" i="23"/>
  <c r="M7816" i="23"/>
  <c r="F7817" i="23"/>
  <c r="M7817" i="23"/>
  <c r="F7818" i="23"/>
  <c r="M7818" i="23"/>
  <c r="F7819" i="23"/>
  <c r="M7819" i="23"/>
  <c r="F7820" i="23"/>
  <c r="M7820" i="23"/>
  <c r="F7821" i="23"/>
  <c r="M7821" i="23"/>
  <c r="F7822" i="23"/>
  <c r="M7822" i="23"/>
  <c r="F7823" i="23"/>
  <c r="M7823" i="23"/>
  <c r="F7824" i="23"/>
  <c r="M7824" i="23"/>
  <c r="F7825" i="23"/>
  <c r="M7825" i="23"/>
  <c r="F7826" i="23"/>
  <c r="M7826" i="23"/>
  <c r="F7827" i="23"/>
  <c r="M7827" i="23"/>
  <c r="F7828" i="23"/>
  <c r="M7828" i="23"/>
  <c r="F7829" i="23"/>
  <c r="M7829" i="23"/>
  <c r="F7830" i="23"/>
  <c r="M7830" i="23"/>
  <c r="F7831" i="23"/>
  <c r="M7831" i="23"/>
  <c r="F7832" i="23"/>
  <c r="M7832" i="23"/>
  <c r="F7833" i="23"/>
  <c r="M7833" i="23"/>
  <c r="F7834" i="23"/>
  <c r="M7834" i="23"/>
  <c r="F7835" i="23"/>
  <c r="M7835" i="23"/>
  <c r="F7836" i="23"/>
  <c r="M7836" i="23"/>
  <c r="F7837" i="23"/>
  <c r="M7837" i="23"/>
  <c r="F7838" i="23"/>
  <c r="M7838" i="23"/>
  <c r="F7839" i="23"/>
  <c r="M7839" i="23"/>
  <c r="F7840" i="23"/>
  <c r="M7840" i="23"/>
  <c r="F7841" i="23"/>
  <c r="M7841" i="23"/>
  <c r="F7842" i="23"/>
  <c r="M7842" i="23"/>
  <c r="F7843" i="23"/>
  <c r="M7843" i="23"/>
  <c r="F7844" i="23"/>
  <c r="M7844" i="23"/>
  <c r="F7845" i="23"/>
  <c r="M7845" i="23"/>
  <c r="F7846" i="23"/>
  <c r="M7846" i="23"/>
  <c r="F7847" i="23"/>
  <c r="M7847" i="23"/>
  <c r="F7848" i="23"/>
  <c r="M7848" i="23"/>
  <c r="F7849" i="23"/>
  <c r="M7849" i="23"/>
  <c r="F7850" i="23"/>
  <c r="M7850" i="23"/>
  <c r="F7851" i="23"/>
  <c r="M7851" i="23"/>
  <c r="F7852" i="23"/>
  <c r="M7852" i="23"/>
  <c r="F7853" i="23"/>
  <c r="M7853" i="23"/>
  <c r="F7854" i="23"/>
  <c r="M7854" i="23"/>
  <c r="F7855" i="23"/>
  <c r="M7855" i="23"/>
  <c r="F7856" i="23"/>
  <c r="M7856" i="23"/>
  <c r="F7857" i="23"/>
  <c r="M7857" i="23"/>
  <c r="F7858" i="23"/>
  <c r="M7858" i="23"/>
  <c r="F7859" i="23"/>
  <c r="M7859" i="23"/>
  <c r="F7860" i="23"/>
  <c r="M7860" i="23"/>
  <c r="F7861" i="23"/>
  <c r="M7861" i="23"/>
  <c r="F7862" i="23"/>
  <c r="M7862" i="23"/>
  <c r="F7863" i="23"/>
  <c r="M7863" i="23"/>
  <c r="F7864" i="23"/>
  <c r="M7864" i="23"/>
  <c r="F7865" i="23"/>
  <c r="M7865" i="23"/>
  <c r="F7866" i="23"/>
  <c r="M7866" i="23"/>
  <c r="F7867" i="23"/>
  <c r="M7867" i="23"/>
  <c r="F7868" i="23"/>
  <c r="M7868" i="23"/>
  <c r="F7869" i="23"/>
  <c r="M7869" i="23"/>
  <c r="F7870" i="23"/>
  <c r="M7870" i="23"/>
  <c r="F7871" i="23"/>
  <c r="M7871" i="23"/>
  <c r="F7872" i="23"/>
  <c r="M7872" i="23"/>
  <c r="F7873" i="23"/>
  <c r="M7873" i="23"/>
  <c r="F7874" i="23"/>
  <c r="M7874" i="23"/>
  <c r="F7875" i="23"/>
  <c r="M7875" i="23"/>
  <c r="F7876" i="23"/>
  <c r="M7876" i="23"/>
  <c r="F7877" i="23"/>
  <c r="M7877" i="23"/>
  <c r="F7878" i="23"/>
  <c r="M7878" i="23"/>
  <c r="F7879" i="23"/>
  <c r="M7879" i="23"/>
  <c r="F7880" i="23"/>
  <c r="M7880" i="23"/>
  <c r="F7881" i="23"/>
  <c r="M7881" i="23"/>
  <c r="F7882" i="23"/>
  <c r="M7882" i="23"/>
  <c r="F7883" i="23"/>
  <c r="M7883" i="23"/>
  <c r="F7884" i="23"/>
  <c r="M7884" i="23"/>
  <c r="F7885" i="23"/>
  <c r="M7885" i="23"/>
  <c r="F7886" i="23"/>
  <c r="M7886" i="23"/>
  <c r="F7887" i="23"/>
  <c r="M7887" i="23"/>
  <c r="F7888" i="23"/>
  <c r="M7888" i="23"/>
  <c r="F7889" i="23"/>
  <c r="M7889" i="23"/>
  <c r="F7890" i="23"/>
  <c r="M7890" i="23"/>
  <c r="F7891" i="23"/>
  <c r="M7891" i="23"/>
  <c r="F7892" i="23"/>
  <c r="M7892" i="23"/>
  <c r="F7893" i="23"/>
  <c r="M7893" i="23"/>
  <c r="F7894" i="23"/>
  <c r="M7894" i="23"/>
  <c r="F7895" i="23"/>
  <c r="M7895" i="23"/>
  <c r="F7896" i="23"/>
  <c r="M7896" i="23"/>
  <c r="F7897" i="23"/>
  <c r="M7897" i="23"/>
  <c r="F7898" i="23"/>
  <c r="M7898" i="23"/>
  <c r="F7899" i="23"/>
  <c r="M7899" i="23"/>
  <c r="F7900" i="23"/>
  <c r="M7900" i="23"/>
  <c r="F7901" i="23"/>
  <c r="M7901" i="23"/>
  <c r="F7902" i="23"/>
  <c r="M7902" i="23"/>
  <c r="F7903" i="23"/>
  <c r="M7903" i="23"/>
  <c r="F7904" i="23"/>
  <c r="M7904" i="23"/>
  <c r="F7905" i="23"/>
  <c r="M7905" i="23"/>
  <c r="F7906" i="23"/>
  <c r="M7906" i="23"/>
  <c r="F7907" i="23"/>
  <c r="M7907" i="23"/>
  <c r="F7908" i="23"/>
  <c r="M7908" i="23"/>
  <c r="F7909" i="23"/>
  <c r="M7909" i="23"/>
  <c r="F7910" i="23"/>
  <c r="M7910" i="23"/>
  <c r="F7911" i="23"/>
  <c r="M7911" i="23"/>
  <c r="F7912" i="23"/>
  <c r="M7912" i="23"/>
  <c r="F7913" i="23"/>
  <c r="M7913" i="23"/>
  <c r="F7914" i="23"/>
  <c r="M7914" i="23"/>
  <c r="F7915" i="23"/>
  <c r="M7915" i="23"/>
  <c r="F7916" i="23"/>
  <c r="M7916" i="23"/>
  <c r="F7917" i="23"/>
  <c r="M7917" i="23"/>
  <c r="F7918" i="23"/>
  <c r="M7918" i="23"/>
  <c r="F7919" i="23"/>
  <c r="M7919" i="23"/>
  <c r="F7920" i="23"/>
  <c r="M7920" i="23"/>
  <c r="F7921" i="23"/>
  <c r="M7921" i="23"/>
  <c r="F7922" i="23"/>
  <c r="M7922" i="23"/>
  <c r="F7923" i="23"/>
  <c r="M7923" i="23"/>
  <c r="F7924" i="23"/>
  <c r="M7924" i="23"/>
  <c r="F7925" i="23"/>
  <c r="M7925" i="23"/>
  <c r="F7926" i="23"/>
  <c r="M7926" i="23"/>
  <c r="F7927" i="23"/>
  <c r="M7927" i="23"/>
  <c r="F7928" i="23"/>
  <c r="M7928" i="23"/>
  <c r="F7929" i="23"/>
  <c r="M7929" i="23"/>
  <c r="F7930" i="23"/>
  <c r="M7930" i="23"/>
  <c r="F7931" i="23"/>
  <c r="M7931" i="23"/>
  <c r="F7932" i="23"/>
  <c r="M7932" i="23"/>
  <c r="F7933" i="23"/>
  <c r="M7933" i="23"/>
  <c r="F7934" i="23"/>
  <c r="M7934" i="23"/>
  <c r="F7935" i="23"/>
  <c r="M7935" i="23"/>
  <c r="F7936" i="23"/>
  <c r="M7936" i="23"/>
  <c r="F7937" i="23"/>
  <c r="M7937" i="23"/>
  <c r="F7938" i="23"/>
  <c r="M7938" i="23"/>
  <c r="F7939" i="23"/>
  <c r="M7939" i="23"/>
  <c r="F7940" i="23"/>
  <c r="M7940" i="23"/>
  <c r="F7941" i="23"/>
  <c r="M7941" i="23"/>
  <c r="F7942" i="23"/>
  <c r="M7942" i="23"/>
  <c r="F7943" i="23"/>
  <c r="M7943" i="23"/>
  <c r="F7944" i="23"/>
  <c r="M7944" i="23"/>
  <c r="F7945" i="23"/>
  <c r="M7945" i="23"/>
  <c r="F7946" i="23"/>
  <c r="M7946" i="23"/>
  <c r="F7947" i="23"/>
  <c r="M7947" i="23"/>
  <c r="F7948" i="23"/>
  <c r="M7948" i="23"/>
  <c r="F7949" i="23"/>
  <c r="M7949" i="23"/>
  <c r="F7950" i="23"/>
  <c r="M7950" i="23"/>
  <c r="F7951" i="23"/>
  <c r="M7951" i="23"/>
  <c r="F7952" i="23"/>
  <c r="M7952" i="23"/>
  <c r="F7953" i="23"/>
  <c r="M7953" i="23"/>
  <c r="F7954" i="23"/>
  <c r="M7954" i="23"/>
  <c r="F7955" i="23"/>
  <c r="M7955" i="23"/>
  <c r="F7956" i="23"/>
  <c r="M7956" i="23"/>
  <c r="F7957" i="23"/>
  <c r="M7957" i="23"/>
  <c r="F7958" i="23"/>
  <c r="M7958" i="23"/>
  <c r="F7959" i="23"/>
  <c r="M7959" i="23"/>
  <c r="F7960" i="23"/>
  <c r="M7960" i="23"/>
  <c r="F7961" i="23"/>
  <c r="M7961" i="23"/>
  <c r="F7962" i="23"/>
  <c r="M7962" i="23"/>
  <c r="F7963" i="23"/>
  <c r="M7963" i="23"/>
  <c r="F7964" i="23"/>
  <c r="M7964" i="23"/>
  <c r="F7965" i="23"/>
  <c r="M7965" i="23"/>
  <c r="F7966" i="23"/>
  <c r="M7966" i="23"/>
  <c r="F7967" i="23"/>
  <c r="M7967" i="23"/>
  <c r="F7968" i="23"/>
  <c r="M7968" i="23"/>
  <c r="F7969" i="23"/>
  <c r="M7969" i="23"/>
  <c r="F7970" i="23"/>
  <c r="M7970" i="23"/>
  <c r="F7971" i="23"/>
  <c r="M7971" i="23"/>
  <c r="F7972" i="23"/>
  <c r="M7972" i="23"/>
  <c r="F7973" i="23"/>
  <c r="M7973" i="23"/>
  <c r="F7974" i="23"/>
  <c r="M7974" i="23"/>
  <c r="F7975" i="23"/>
  <c r="M7975" i="23"/>
  <c r="F7976" i="23"/>
  <c r="M7976" i="23"/>
  <c r="F7977" i="23"/>
  <c r="M7977" i="23"/>
  <c r="F7978" i="23"/>
  <c r="M7978" i="23"/>
  <c r="F7979" i="23"/>
  <c r="M7979" i="23"/>
  <c r="F7980" i="23"/>
  <c r="M7980" i="23"/>
  <c r="F7981" i="23"/>
  <c r="M7981" i="23"/>
  <c r="F7982" i="23"/>
  <c r="M7982" i="23"/>
  <c r="F7983" i="23"/>
  <c r="M7983" i="23"/>
  <c r="F7984" i="23"/>
  <c r="M7984" i="23"/>
  <c r="F7985" i="23"/>
  <c r="M7985" i="23"/>
  <c r="F7986" i="23"/>
  <c r="M7986" i="23"/>
  <c r="F7987" i="23"/>
  <c r="M7987" i="23"/>
  <c r="F7988" i="23"/>
  <c r="M7988" i="23"/>
  <c r="F7989" i="23"/>
  <c r="M7989" i="23"/>
  <c r="F7990" i="23"/>
  <c r="M7990" i="23"/>
  <c r="F7991" i="23"/>
  <c r="M7991" i="23"/>
  <c r="F7992" i="23"/>
  <c r="M7992" i="23"/>
  <c r="F7993" i="23"/>
  <c r="M7993" i="23"/>
  <c r="F7994" i="23"/>
  <c r="M7994" i="23"/>
  <c r="F7995" i="23"/>
  <c r="M7995" i="23"/>
  <c r="F7996" i="23"/>
  <c r="M7996" i="23"/>
  <c r="F7997" i="23"/>
  <c r="M7997" i="23"/>
  <c r="F7998" i="23"/>
  <c r="M7998" i="23"/>
  <c r="F7999" i="23"/>
  <c r="M7999" i="23"/>
  <c r="F8000" i="23"/>
  <c r="M8000" i="23"/>
  <c r="F8001" i="23"/>
  <c r="M8001" i="23"/>
  <c r="F8002" i="23"/>
  <c r="M8002" i="23"/>
  <c r="F8003" i="23"/>
  <c r="M8003" i="23"/>
  <c r="F8004" i="23"/>
  <c r="M8004" i="23"/>
  <c r="F8005" i="23"/>
  <c r="M8005" i="23"/>
  <c r="F8006" i="23"/>
  <c r="M8006" i="23"/>
  <c r="F8007" i="23"/>
  <c r="M8007" i="23"/>
  <c r="F8008" i="23"/>
  <c r="M8008" i="23"/>
  <c r="F8009" i="23"/>
  <c r="M8009" i="23"/>
  <c r="F8010" i="23"/>
  <c r="M8010" i="23"/>
  <c r="F8011" i="23"/>
  <c r="M8011" i="23"/>
  <c r="F8012" i="23"/>
  <c r="M8012" i="23"/>
  <c r="F8013" i="23"/>
  <c r="M8013" i="23"/>
  <c r="F8014" i="23"/>
  <c r="M8014" i="23"/>
  <c r="F8015" i="23"/>
  <c r="M8015" i="23"/>
  <c r="F8016" i="23"/>
  <c r="M8016" i="23"/>
  <c r="F8017" i="23"/>
  <c r="M8017" i="23"/>
  <c r="F8018" i="23"/>
  <c r="M8018" i="23"/>
  <c r="F8019" i="23"/>
  <c r="M8019" i="23"/>
  <c r="F8020" i="23"/>
  <c r="M8020" i="23"/>
  <c r="F8021" i="23"/>
  <c r="M8021" i="23"/>
  <c r="F8022" i="23"/>
  <c r="M8022" i="23"/>
  <c r="F8023" i="23"/>
  <c r="M8023" i="23"/>
  <c r="F8024" i="23"/>
  <c r="M8024" i="23"/>
  <c r="F8025" i="23"/>
  <c r="M8025" i="23"/>
  <c r="F8026" i="23"/>
  <c r="M8026" i="23"/>
  <c r="F8027" i="23"/>
  <c r="M8027" i="23"/>
  <c r="F8028" i="23"/>
  <c r="M8028" i="23"/>
  <c r="F8029" i="23"/>
  <c r="M8029" i="23"/>
  <c r="F8030" i="23"/>
  <c r="M8030" i="23"/>
  <c r="F8031" i="23"/>
  <c r="M8031" i="23"/>
  <c r="F8032" i="23"/>
  <c r="M8032" i="23"/>
  <c r="F8033" i="23"/>
  <c r="M8033" i="23"/>
  <c r="F8034" i="23"/>
  <c r="M8034" i="23"/>
  <c r="F8035" i="23"/>
  <c r="M8035" i="23"/>
  <c r="F8036" i="23"/>
  <c r="M8036" i="23"/>
  <c r="F8037" i="23"/>
  <c r="M8037" i="23"/>
  <c r="F8038" i="23"/>
  <c r="M8038" i="23"/>
  <c r="F8039" i="23"/>
  <c r="M8039" i="23"/>
  <c r="F8040" i="23"/>
  <c r="M8040" i="23"/>
  <c r="F8041" i="23"/>
  <c r="M8041" i="23"/>
  <c r="F8042" i="23"/>
  <c r="M8042" i="23"/>
  <c r="F8043" i="23"/>
  <c r="M8043" i="23"/>
  <c r="F8044" i="23"/>
  <c r="M8044" i="23"/>
  <c r="F8045" i="23"/>
  <c r="M8045" i="23"/>
  <c r="F8046" i="23"/>
  <c r="M8046" i="23"/>
  <c r="F8047" i="23"/>
  <c r="M8047" i="23"/>
  <c r="F8048" i="23"/>
  <c r="M8048" i="23"/>
  <c r="F8049" i="23"/>
  <c r="M8049" i="23"/>
  <c r="F8050" i="23"/>
  <c r="M8050" i="23"/>
  <c r="F8051" i="23"/>
  <c r="M8051" i="23"/>
  <c r="F8052" i="23"/>
  <c r="M8052" i="23"/>
  <c r="F8053" i="23"/>
  <c r="M8053" i="23"/>
  <c r="F8054" i="23"/>
  <c r="M8054" i="23"/>
  <c r="F8055" i="23"/>
  <c r="M8055" i="23"/>
  <c r="F8056" i="23"/>
  <c r="M8056" i="23"/>
  <c r="F8057" i="23"/>
  <c r="M8057" i="23"/>
  <c r="F8058" i="23"/>
  <c r="M8058" i="23"/>
  <c r="F8059" i="23"/>
  <c r="M8059" i="23"/>
  <c r="F8060" i="23"/>
  <c r="M8060" i="23"/>
  <c r="F8061" i="23"/>
  <c r="M8061" i="23"/>
  <c r="F8062" i="23"/>
  <c r="M8062" i="23"/>
  <c r="F8063" i="23"/>
  <c r="M8063" i="23"/>
  <c r="F8064" i="23"/>
  <c r="M8064" i="23"/>
  <c r="F8065" i="23"/>
  <c r="M8065" i="23"/>
  <c r="F8066" i="23"/>
  <c r="M8066" i="23"/>
  <c r="F8067" i="23"/>
  <c r="M8067" i="23"/>
  <c r="F8068" i="23"/>
  <c r="M8068" i="23"/>
  <c r="F8069" i="23"/>
  <c r="M8069" i="23"/>
  <c r="F8070" i="23"/>
  <c r="M8070" i="23"/>
  <c r="F8071" i="23"/>
  <c r="M8071" i="23"/>
  <c r="F8072" i="23"/>
  <c r="M8072" i="23"/>
  <c r="F8073" i="23"/>
  <c r="M8073" i="23"/>
  <c r="F8074" i="23"/>
  <c r="M8074" i="23"/>
  <c r="F8075" i="23"/>
  <c r="M8075" i="23"/>
  <c r="F8076" i="23"/>
  <c r="M8076" i="23"/>
  <c r="F8077" i="23"/>
  <c r="M8077" i="23"/>
  <c r="F8078" i="23"/>
  <c r="M8078" i="23"/>
  <c r="F8079" i="23"/>
  <c r="M8079" i="23"/>
  <c r="F8080" i="23"/>
  <c r="M8080" i="23"/>
  <c r="F8081" i="23"/>
  <c r="M8081" i="23"/>
  <c r="F8082" i="23"/>
  <c r="M8082" i="23"/>
  <c r="F8083" i="23"/>
  <c r="M8083" i="23"/>
  <c r="F8084" i="23"/>
  <c r="M8084" i="23"/>
  <c r="F8085" i="23"/>
  <c r="M8085" i="23"/>
  <c r="F8086" i="23"/>
  <c r="M8086" i="23"/>
  <c r="F8087" i="23"/>
  <c r="M8087" i="23"/>
  <c r="F8088" i="23"/>
  <c r="M8088" i="23"/>
  <c r="F8089" i="23"/>
  <c r="M8089" i="23"/>
  <c r="F8090" i="23"/>
  <c r="M8090" i="23"/>
  <c r="F8091" i="23"/>
  <c r="M8091" i="23"/>
  <c r="F8092" i="23"/>
  <c r="M8092" i="23"/>
  <c r="F8093" i="23"/>
  <c r="M8093" i="23"/>
  <c r="F8094" i="23"/>
  <c r="M8094" i="23"/>
  <c r="F8095" i="23"/>
  <c r="M8095" i="23"/>
  <c r="F8096" i="23"/>
  <c r="M8096" i="23"/>
  <c r="F8097" i="23"/>
  <c r="M8097" i="23"/>
  <c r="F8098" i="23"/>
  <c r="M8098" i="23"/>
  <c r="F8099" i="23"/>
  <c r="M8099" i="23"/>
  <c r="F8100" i="23"/>
  <c r="M8100" i="23"/>
  <c r="F8101" i="23"/>
  <c r="M8101" i="23"/>
  <c r="F8102" i="23"/>
  <c r="M8102" i="23"/>
  <c r="F8103" i="23"/>
  <c r="M8103" i="23"/>
  <c r="F8104" i="23"/>
  <c r="M8104" i="23"/>
  <c r="F8105" i="23"/>
  <c r="M8105" i="23"/>
  <c r="F8106" i="23"/>
  <c r="M8106" i="23"/>
  <c r="F8107" i="23"/>
  <c r="M8107" i="23"/>
  <c r="F8108" i="23"/>
  <c r="M8108" i="23"/>
  <c r="F8109" i="23"/>
  <c r="M8109" i="23"/>
  <c r="F8110" i="23"/>
  <c r="M8110" i="23"/>
  <c r="F8111" i="23"/>
  <c r="M8111" i="23"/>
  <c r="F8112" i="23"/>
  <c r="M8112" i="23"/>
  <c r="F8113" i="23"/>
  <c r="M8113" i="23"/>
  <c r="F8114" i="23"/>
  <c r="M8114" i="23"/>
  <c r="F8115" i="23"/>
  <c r="M8115" i="23"/>
  <c r="F8116" i="23"/>
  <c r="M8116" i="23"/>
  <c r="F8117" i="23"/>
  <c r="M8117" i="23"/>
  <c r="F8118" i="23"/>
  <c r="M8118" i="23"/>
  <c r="F8119" i="23"/>
  <c r="M8119" i="23"/>
  <c r="F8120" i="23"/>
  <c r="M8120" i="23"/>
  <c r="F8121" i="23"/>
  <c r="M8121" i="23"/>
  <c r="F8122" i="23"/>
  <c r="M8122" i="23"/>
  <c r="F8123" i="23"/>
  <c r="M8123" i="23"/>
  <c r="F8124" i="23"/>
  <c r="M8124" i="23"/>
  <c r="F8125" i="23"/>
  <c r="M8125" i="23"/>
  <c r="F8126" i="23"/>
  <c r="M8126" i="23"/>
  <c r="F8127" i="23"/>
  <c r="M8127" i="23"/>
  <c r="F8128" i="23"/>
  <c r="M8128" i="23"/>
  <c r="F8129" i="23"/>
  <c r="M8129" i="23"/>
  <c r="F8130" i="23"/>
  <c r="M8130" i="23"/>
  <c r="F8131" i="23"/>
  <c r="M8131" i="23"/>
  <c r="F8132" i="23"/>
  <c r="M8132" i="23"/>
  <c r="F8133" i="23"/>
  <c r="M8133" i="23"/>
  <c r="F8134" i="23"/>
  <c r="M8134" i="23"/>
  <c r="F8135" i="23"/>
  <c r="M8135" i="23"/>
  <c r="F8136" i="23"/>
  <c r="M8136" i="23"/>
  <c r="F8137" i="23"/>
  <c r="M8137" i="23"/>
  <c r="F8138" i="23"/>
  <c r="M8138" i="23"/>
  <c r="F8139" i="23"/>
  <c r="M8139" i="23"/>
  <c r="F8140" i="23"/>
  <c r="M8140" i="23"/>
  <c r="F8141" i="23"/>
  <c r="M8141" i="23"/>
  <c r="F8142" i="23"/>
  <c r="M8142" i="23"/>
  <c r="F8143" i="23"/>
  <c r="M8143" i="23"/>
  <c r="F8144" i="23"/>
  <c r="M8144" i="23"/>
  <c r="F8145" i="23"/>
  <c r="M8145" i="23"/>
  <c r="F8146" i="23"/>
  <c r="M8146" i="23"/>
  <c r="F8147" i="23"/>
  <c r="M8147" i="23"/>
  <c r="F8148" i="23"/>
  <c r="M8148" i="23"/>
  <c r="F8149" i="23"/>
  <c r="M8149" i="23"/>
  <c r="F8150" i="23"/>
  <c r="M8150" i="23"/>
  <c r="F8151" i="23"/>
  <c r="M8151" i="23"/>
  <c r="F8152" i="23"/>
  <c r="M8152" i="23"/>
  <c r="F8153" i="23"/>
  <c r="M8153" i="23"/>
  <c r="F8154" i="23"/>
  <c r="M8154" i="23"/>
  <c r="F8155" i="23"/>
  <c r="M8155" i="23"/>
  <c r="F8156" i="23"/>
  <c r="M8156" i="23"/>
  <c r="F8157" i="23"/>
  <c r="M8157" i="23"/>
  <c r="F8158" i="23"/>
  <c r="M8158" i="23"/>
  <c r="F8159" i="23"/>
  <c r="M8159" i="23"/>
  <c r="F8160" i="23"/>
  <c r="M8160" i="23"/>
  <c r="F8161" i="23"/>
  <c r="M8161" i="23"/>
  <c r="F8162" i="23"/>
  <c r="M8162" i="23"/>
  <c r="F8163" i="23"/>
  <c r="M8163" i="23"/>
  <c r="F8164" i="23"/>
  <c r="M8164" i="23"/>
  <c r="F8165" i="23"/>
  <c r="M8165" i="23"/>
  <c r="F8166" i="23"/>
  <c r="M8166" i="23"/>
  <c r="F8167" i="23"/>
  <c r="M8167" i="23"/>
  <c r="F8168" i="23"/>
  <c r="M8168" i="23"/>
  <c r="F8169" i="23"/>
  <c r="M8169" i="23"/>
  <c r="F8170" i="23"/>
  <c r="M8170" i="23"/>
  <c r="F8171" i="23"/>
  <c r="M8171" i="23"/>
  <c r="F8172" i="23"/>
  <c r="M8172" i="23"/>
  <c r="F8173" i="23"/>
  <c r="M8173" i="23"/>
  <c r="F8174" i="23"/>
  <c r="M8174" i="23"/>
  <c r="F8175" i="23"/>
  <c r="M8175" i="23"/>
  <c r="F8176" i="23"/>
  <c r="M8176" i="23"/>
  <c r="F8177" i="23"/>
  <c r="M8177" i="23"/>
  <c r="F8178" i="23"/>
  <c r="M8178" i="23"/>
  <c r="F8179" i="23"/>
  <c r="M8179" i="23"/>
  <c r="F8180" i="23"/>
  <c r="M8180" i="23"/>
  <c r="F8181" i="23"/>
  <c r="M8181" i="23"/>
  <c r="F8182" i="23"/>
  <c r="M8182" i="23"/>
  <c r="F8183" i="23"/>
  <c r="M8183" i="23"/>
  <c r="F8184" i="23"/>
  <c r="M8184" i="23"/>
  <c r="F8185" i="23"/>
  <c r="M8185" i="23"/>
  <c r="F8186" i="23"/>
  <c r="M8186" i="23"/>
  <c r="F8187" i="23"/>
  <c r="M8187" i="23"/>
  <c r="F8188" i="23"/>
  <c r="M8188" i="23"/>
  <c r="F8189" i="23"/>
  <c r="M8189" i="23"/>
  <c r="F8190" i="23"/>
  <c r="M8190" i="23"/>
  <c r="F8191" i="23"/>
  <c r="M8191" i="23"/>
  <c r="F8192" i="23"/>
  <c r="M8192" i="23"/>
  <c r="F8193" i="23"/>
  <c r="M8193" i="23"/>
  <c r="F8194" i="23"/>
  <c r="M8194" i="23"/>
  <c r="F8195" i="23"/>
  <c r="M8195" i="23"/>
  <c r="F8196" i="23"/>
  <c r="M8196" i="23"/>
  <c r="F8197" i="23"/>
  <c r="M8197" i="23"/>
  <c r="F8198" i="23"/>
  <c r="M8198" i="23"/>
  <c r="F8199" i="23"/>
  <c r="M8199" i="23"/>
  <c r="F8200" i="23"/>
  <c r="M8200" i="23"/>
  <c r="F8201" i="23"/>
  <c r="M8201" i="23"/>
  <c r="F8202" i="23"/>
  <c r="M8202" i="23"/>
  <c r="F8203" i="23"/>
  <c r="M8203" i="23"/>
  <c r="F8204" i="23"/>
  <c r="M8204" i="23"/>
  <c r="F8205" i="23"/>
  <c r="M8205" i="23"/>
  <c r="F8206" i="23"/>
  <c r="M8206" i="23"/>
  <c r="F8207" i="23"/>
  <c r="M8207" i="23"/>
  <c r="F8208" i="23"/>
  <c r="M8208" i="23"/>
  <c r="F8209" i="23"/>
  <c r="M8209" i="23"/>
  <c r="F8210" i="23"/>
  <c r="M8210" i="23"/>
  <c r="F8211" i="23"/>
  <c r="M8211" i="23"/>
  <c r="F8212" i="23"/>
  <c r="M8212" i="23"/>
  <c r="F8213" i="23"/>
  <c r="M8213" i="23"/>
  <c r="F8214" i="23"/>
  <c r="M8214" i="23"/>
  <c r="F8215" i="23"/>
  <c r="M8215" i="23"/>
  <c r="F8216" i="23"/>
  <c r="M8216" i="23"/>
  <c r="F8217" i="23"/>
  <c r="M8217" i="23"/>
  <c r="F8218" i="23"/>
  <c r="M8218" i="23"/>
  <c r="F8219" i="23"/>
  <c r="M8219" i="23"/>
  <c r="F8220" i="23"/>
  <c r="M8220" i="23"/>
  <c r="F8221" i="23"/>
  <c r="M8221" i="23"/>
  <c r="F8222" i="23"/>
  <c r="M8222" i="23"/>
  <c r="F8223" i="23"/>
  <c r="M8223" i="23"/>
  <c r="F8224" i="23"/>
  <c r="M8224" i="23"/>
  <c r="F8225" i="23"/>
  <c r="M8225" i="23"/>
  <c r="F8226" i="23"/>
  <c r="M8226" i="23"/>
  <c r="F8227" i="23"/>
  <c r="M8227" i="23"/>
  <c r="F8228" i="23"/>
  <c r="M8228" i="23"/>
  <c r="F8229" i="23"/>
  <c r="M8229" i="23"/>
  <c r="F8230" i="23"/>
  <c r="M8230" i="23"/>
  <c r="F8231" i="23"/>
  <c r="M8231" i="23"/>
  <c r="F8232" i="23"/>
  <c r="M8232" i="23"/>
  <c r="F8233" i="23"/>
  <c r="M8233" i="23"/>
  <c r="F8234" i="23"/>
  <c r="M8234" i="23"/>
  <c r="F8235" i="23"/>
  <c r="M8235" i="23"/>
  <c r="F8236" i="23"/>
  <c r="M8236" i="23"/>
  <c r="F8237" i="23"/>
  <c r="M8237" i="23"/>
  <c r="F8238" i="23"/>
  <c r="M8238" i="23"/>
  <c r="F8239" i="23"/>
  <c r="M8239" i="23"/>
  <c r="F8240" i="23"/>
  <c r="M8240" i="23"/>
  <c r="F8241" i="23"/>
  <c r="M8241" i="23"/>
  <c r="F8242" i="23"/>
  <c r="M8242" i="23"/>
  <c r="F8243" i="23"/>
  <c r="M8243" i="23"/>
  <c r="F8244" i="23"/>
  <c r="M8244" i="23"/>
  <c r="F8245" i="23"/>
  <c r="M8245" i="23"/>
  <c r="F8246" i="23"/>
  <c r="M8246" i="23"/>
  <c r="F8247" i="23"/>
  <c r="M8247" i="23"/>
  <c r="F8248" i="23"/>
  <c r="M8248" i="23"/>
  <c r="F8249" i="23"/>
  <c r="M8249" i="23"/>
  <c r="F8250" i="23"/>
  <c r="M8250" i="23"/>
  <c r="F8251" i="23"/>
  <c r="M8251" i="23"/>
  <c r="F8252" i="23"/>
  <c r="M8252" i="23"/>
  <c r="F8253" i="23"/>
  <c r="M8253" i="23"/>
  <c r="F8254" i="23"/>
  <c r="M8254" i="23"/>
  <c r="F8255" i="23"/>
  <c r="M8255" i="23"/>
  <c r="F8256" i="23"/>
  <c r="M8256" i="23"/>
  <c r="F8257" i="23"/>
  <c r="M8257" i="23"/>
  <c r="F8258" i="23"/>
  <c r="M8258" i="23"/>
  <c r="F8259" i="23"/>
  <c r="M8259" i="23"/>
  <c r="F8260" i="23"/>
  <c r="M8260" i="23"/>
  <c r="F8261" i="23"/>
  <c r="M8261" i="23"/>
  <c r="F8262" i="23"/>
  <c r="M8262" i="23"/>
  <c r="F8263" i="23"/>
  <c r="M8263" i="23"/>
  <c r="F8264" i="23"/>
  <c r="M8264" i="23"/>
  <c r="F8265" i="23"/>
  <c r="M8265" i="23"/>
  <c r="F8266" i="23"/>
  <c r="M8266" i="23"/>
  <c r="F8267" i="23"/>
  <c r="M8267" i="23"/>
  <c r="F8268" i="23"/>
  <c r="M8268" i="23"/>
  <c r="F8269" i="23"/>
  <c r="M8269" i="23"/>
  <c r="F8270" i="23"/>
  <c r="M8270" i="23"/>
  <c r="F8271" i="23"/>
  <c r="M8271" i="23"/>
  <c r="F8272" i="23"/>
  <c r="M8272" i="23"/>
  <c r="F8273" i="23"/>
  <c r="M8273" i="23"/>
  <c r="F8274" i="23"/>
  <c r="M8274" i="23"/>
  <c r="F8275" i="23"/>
  <c r="M8275" i="23"/>
  <c r="F8276" i="23"/>
  <c r="M8276" i="23"/>
  <c r="F8277" i="23"/>
  <c r="M8277" i="23"/>
  <c r="F8278" i="23"/>
  <c r="M8278" i="23"/>
  <c r="F8279" i="23"/>
  <c r="M8279" i="23"/>
  <c r="F8280" i="23"/>
  <c r="M8280" i="23"/>
  <c r="F8281" i="23"/>
  <c r="M8281" i="23"/>
  <c r="F8282" i="23"/>
  <c r="M8282" i="23"/>
  <c r="F8283" i="23"/>
  <c r="M8283" i="23"/>
  <c r="F8284" i="23"/>
  <c r="M8284" i="23"/>
  <c r="F8285" i="23"/>
  <c r="M8285" i="23"/>
  <c r="F8286" i="23"/>
  <c r="M8286" i="23"/>
  <c r="F8287" i="23"/>
  <c r="M8287" i="23"/>
  <c r="F8288" i="23"/>
  <c r="M8288" i="23"/>
  <c r="F8289" i="23"/>
  <c r="M8289" i="23"/>
  <c r="F8290" i="23"/>
  <c r="M8290" i="23"/>
  <c r="F8291" i="23"/>
  <c r="M8291" i="23"/>
  <c r="F8292" i="23"/>
  <c r="M8292" i="23"/>
  <c r="F8293" i="23"/>
  <c r="M8293" i="23"/>
  <c r="F8294" i="23"/>
  <c r="M8294" i="23"/>
  <c r="F8295" i="23"/>
  <c r="M8295" i="23"/>
  <c r="F8296" i="23"/>
  <c r="M8296" i="23"/>
  <c r="F8297" i="23"/>
  <c r="M8297" i="23"/>
  <c r="F8298" i="23"/>
  <c r="M8298" i="23"/>
  <c r="F8299" i="23"/>
  <c r="M8299" i="23"/>
  <c r="F8300" i="23"/>
  <c r="M8300" i="23"/>
  <c r="F8301" i="23"/>
  <c r="M8301" i="23"/>
  <c r="F8302" i="23"/>
  <c r="M8302" i="23"/>
  <c r="F8303" i="23"/>
  <c r="M8303" i="23"/>
  <c r="F8304" i="23"/>
  <c r="M8304" i="23"/>
  <c r="F8305" i="23"/>
  <c r="M8305" i="23"/>
  <c r="F8306" i="23"/>
  <c r="M8306" i="23"/>
  <c r="F8307" i="23"/>
  <c r="M8307" i="23"/>
  <c r="F8308" i="23"/>
  <c r="M8308" i="23"/>
  <c r="F8309" i="23"/>
  <c r="M8309" i="23"/>
  <c r="F8310" i="23"/>
  <c r="M8310" i="23"/>
  <c r="F8311" i="23"/>
  <c r="M8311" i="23"/>
  <c r="F8312" i="23"/>
  <c r="M8312" i="23"/>
  <c r="F8313" i="23"/>
  <c r="M8313" i="23"/>
  <c r="F8314" i="23"/>
  <c r="M8314" i="23"/>
  <c r="F8315" i="23"/>
  <c r="M8315" i="23"/>
  <c r="F8316" i="23"/>
  <c r="M8316" i="23"/>
  <c r="F8317" i="23"/>
  <c r="M8317" i="23"/>
  <c r="F8318" i="23"/>
  <c r="M8318" i="23"/>
  <c r="F8319" i="23"/>
  <c r="M8319" i="23"/>
  <c r="F8320" i="23"/>
  <c r="M8320" i="23"/>
  <c r="F8321" i="23"/>
  <c r="M8321" i="23"/>
  <c r="F8322" i="23"/>
  <c r="M8322" i="23"/>
  <c r="F8323" i="23"/>
  <c r="M8323" i="23"/>
  <c r="F8324" i="23"/>
  <c r="M8324" i="23"/>
  <c r="F8325" i="23"/>
  <c r="M8325" i="23"/>
  <c r="F8326" i="23"/>
  <c r="M8326" i="23"/>
  <c r="F8327" i="23"/>
  <c r="M8327" i="23"/>
  <c r="F8328" i="23"/>
  <c r="M8328" i="23"/>
  <c r="F8329" i="23"/>
  <c r="M8329" i="23"/>
  <c r="F8330" i="23"/>
  <c r="M8330" i="23"/>
  <c r="F8331" i="23"/>
  <c r="M8331" i="23"/>
  <c r="F8332" i="23"/>
  <c r="M8332" i="23"/>
  <c r="F8333" i="23"/>
  <c r="M8333" i="23"/>
  <c r="F8334" i="23"/>
  <c r="M8334" i="23"/>
  <c r="F8335" i="23"/>
  <c r="M8335" i="23"/>
  <c r="F8336" i="23"/>
  <c r="M8336" i="23"/>
  <c r="F8337" i="23"/>
  <c r="M8337" i="23"/>
  <c r="F8338" i="23"/>
  <c r="M8338" i="23"/>
  <c r="F8339" i="23"/>
  <c r="M8339" i="23"/>
  <c r="F8340" i="23"/>
  <c r="M8340" i="23"/>
  <c r="F8341" i="23"/>
  <c r="M8341" i="23"/>
  <c r="F8342" i="23"/>
  <c r="M8342" i="23"/>
  <c r="F8343" i="23"/>
  <c r="M8343" i="23"/>
  <c r="F8344" i="23"/>
  <c r="M8344" i="23"/>
  <c r="F8345" i="23"/>
  <c r="M8345" i="23"/>
  <c r="F8346" i="23"/>
  <c r="M8346" i="23"/>
  <c r="F8347" i="23"/>
  <c r="M8347" i="23"/>
  <c r="F8348" i="23"/>
  <c r="M8348" i="23"/>
  <c r="F8349" i="23"/>
  <c r="M8349" i="23"/>
  <c r="F8350" i="23"/>
  <c r="M8350" i="23"/>
  <c r="F8351" i="23"/>
  <c r="M8351" i="23"/>
  <c r="F8352" i="23"/>
  <c r="M8352" i="23"/>
  <c r="F8353" i="23"/>
  <c r="M8353" i="23"/>
  <c r="F8354" i="23"/>
  <c r="M8354" i="23"/>
  <c r="F8355" i="23"/>
  <c r="M8355" i="23"/>
  <c r="F8356" i="23"/>
  <c r="M8356" i="23"/>
  <c r="F8357" i="23"/>
  <c r="M8357" i="23"/>
  <c r="F8358" i="23"/>
  <c r="M8358" i="23"/>
  <c r="F8359" i="23"/>
  <c r="M8359" i="23"/>
  <c r="F8360" i="23"/>
  <c r="M8360" i="23"/>
  <c r="F8361" i="23"/>
  <c r="M8361" i="23"/>
  <c r="F8362" i="23"/>
  <c r="M8362" i="23"/>
  <c r="F8363" i="23"/>
  <c r="M8363" i="23"/>
  <c r="F8364" i="23"/>
  <c r="M8364" i="23"/>
  <c r="F8365" i="23"/>
  <c r="M8365" i="23"/>
  <c r="F8366" i="23"/>
  <c r="M8366" i="23"/>
  <c r="F8367" i="23"/>
  <c r="M8367" i="23"/>
  <c r="F8368" i="23"/>
  <c r="M8368" i="23"/>
  <c r="F8369" i="23"/>
  <c r="M8369" i="23"/>
  <c r="F8370" i="23"/>
  <c r="M8370" i="23"/>
  <c r="F8371" i="23"/>
  <c r="M8371" i="23"/>
  <c r="F8372" i="23"/>
  <c r="M8372" i="23"/>
  <c r="F8373" i="23"/>
  <c r="M8373" i="23"/>
  <c r="F8374" i="23"/>
  <c r="M8374" i="23"/>
  <c r="F8375" i="23"/>
  <c r="M8375" i="23"/>
  <c r="F8376" i="23"/>
  <c r="M8376" i="23"/>
  <c r="F8377" i="23"/>
  <c r="M8377" i="23"/>
  <c r="F8378" i="23"/>
  <c r="M8378" i="23"/>
  <c r="F8379" i="23"/>
  <c r="M8379" i="23"/>
  <c r="F8380" i="23"/>
  <c r="M8380" i="23"/>
  <c r="F8381" i="23"/>
  <c r="M8381" i="23"/>
  <c r="F8382" i="23"/>
  <c r="M8382" i="23"/>
  <c r="F8383" i="23"/>
  <c r="M8383" i="23"/>
  <c r="F8384" i="23"/>
  <c r="M8384" i="23"/>
  <c r="F8385" i="23"/>
  <c r="M8385" i="23"/>
  <c r="F8386" i="23"/>
  <c r="M8386" i="23"/>
  <c r="F8387" i="23"/>
  <c r="M8387" i="23"/>
  <c r="F8388" i="23"/>
  <c r="M8388" i="23"/>
  <c r="F8389" i="23"/>
  <c r="M8389" i="23"/>
  <c r="F8390" i="23"/>
  <c r="M8390" i="23"/>
  <c r="F8391" i="23"/>
  <c r="M8391" i="23"/>
  <c r="F8392" i="23"/>
  <c r="M8392" i="23"/>
  <c r="F8393" i="23"/>
  <c r="M8393" i="23"/>
  <c r="F8394" i="23"/>
  <c r="M8394" i="23"/>
  <c r="F8395" i="23"/>
  <c r="M8395" i="23"/>
  <c r="F8396" i="23"/>
  <c r="M8396" i="23"/>
  <c r="F8397" i="23"/>
  <c r="M8397" i="23"/>
  <c r="F8398" i="23"/>
  <c r="M8398" i="23"/>
  <c r="F8399" i="23"/>
  <c r="M8399" i="23"/>
  <c r="F8400" i="23"/>
  <c r="M8400" i="23"/>
  <c r="F8401" i="23"/>
  <c r="M8401" i="23"/>
  <c r="F8402" i="23"/>
  <c r="M8402" i="23"/>
  <c r="F8403" i="23"/>
  <c r="M8403" i="23"/>
  <c r="F8404" i="23"/>
  <c r="M8404" i="23"/>
  <c r="F8405" i="23"/>
  <c r="M8405" i="23"/>
  <c r="F8406" i="23"/>
  <c r="M8406" i="23"/>
  <c r="F8407" i="23"/>
  <c r="M8407" i="23"/>
  <c r="F8408" i="23"/>
  <c r="M8408" i="23"/>
  <c r="F8409" i="23"/>
  <c r="M8409" i="23"/>
  <c r="F8410" i="23"/>
  <c r="M8410" i="23"/>
  <c r="F8411" i="23"/>
  <c r="M8411" i="23"/>
  <c r="F8412" i="23"/>
  <c r="M8412" i="23"/>
  <c r="F8413" i="23"/>
  <c r="M8413" i="23"/>
  <c r="F8414" i="23"/>
  <c r="M8414" i="23"/>
  <c r="F8415" i="23"/>
  <c r="M8415" i="23"/>
  <c r="F8416" i="23"/>
  <c r="M8416" i="23"/>
  <c r="F8417" i="23"/>
  <c r="M8417" i="23"/>
  <c r="F8418" i="23"/>
  <c r="M8418" i="23"/>
  <c r="F8419" i="23"/>
  <c r="M8419" i="23"/>
  <c r="F8420" i="23"/>
  <c r="M8420" i="23"/>
  <c r="F8421" i="23"/>
  <c r="M8421" i="23"/>
  <c r="F8422" i="23"/>
  <c r="M8422" i="23"/>
  <c r="F8423" i="23"/>
  <c r="M8423" i="23"/>
  <c r="F8424" i="23"/>
  <c r="M8424" i="23"/>
  <c r="F8425" i="23"/>
  <c r="M8425" i="23"/>
  <c r="F8426" i="23"/>
  <c r="M8426" i="23"/>
  <c r="F8427" i="23"/>
  <c r="M8427" i="23"/>
  <c r="F8428" i="23"/>
  <c r="M8428" i="23"/>
  <c r="F8429" i="23"/>
  <c r="M8429" i="23"/>
  <c r="F8430" i="23"/>
  <c r="M8430" i="23"/>
  <c r="F8431" i="23"/>
  <c r="M8431" i="23"/>
  <c r="F8432" i="23"/>
  <c r="M8432" i="23"/>
  <c r="F8433" i="23"/>
  <c r="M8433" i="23"/>
  <c r="F8434" i="23"/>
  <c r="M8434" i="23"/>
  <c r="F8435" i="23"/>
  <c r="M8435" i="23"/>
  <c r="F8436" i="23"/>
  <c r="M8436" i="23"/>
  <c r="F8437" i="23"/>
  <c r="M8437" i="23"/>
  <c r="F8438" i="23"/>
  <c r="M8438" i="23"/>
  <c r="F8439" i="23"/>
  <c r="M8439" i="23"/>
  <c r="F8440" i="23"/>
  <c r="M8440" i="23"/>
  <c r="F8441" i="23"/>
  <c r="M8441" i="23"/>
  <c r="F8442" i="23"/>
  <c r="M8442" i="23"/>
  <c r="F8443" i="23"/>
  <c r="M8443" i="23"/>
  <c r="F8444" i="23"/>
  <c r="M8444" i="23"/>
  <c r="F8445" i="23"/>
  <c r="M8445" i="23"/>
  <c r="F8446" i="23"/>
  <c r="M8446" i="23"/>
  <c r="F8447" i="23"/>
  <c r="M8447" i="23"/>
  <c r="F8448" i="23"/>
  <c r="M8448" i="23"/>
  <c r="F8449" i="23"/>
  <c r="M8449" i="23"/>
  <c r="F8450" i="23"/>
  <c r="M8450" i="23"/>
  <c r="F8451" i="23"/>
  <c r="M8451" i="23"/>
  <c r="F8452" i="23"/>
  <c r="M8452" i="23"/>
  <c r="F8453" i="23"/>
  <c r="M8453" i="23"/>
  <c r="F8454" i="23"/>
  <c r="M8454" i="23"/>
  <c r="F8455" i="23"/>
  <c r="M8455" i="23"/>
  <c r="F8456" i="23"/>
  <c r="M8456" i="23"/>
  <c r="F8457" i="23"/>
  <c r="M8457" i="23"/>
  <c r="F8458" i="23"/>
  <c r="M8458" i="23"/>
  <c r="F8459" i="23"/>
  <c r="M8459" i="23"/>
  <c r="F8460" i="23"/>
  <c r="M8460" i="23"/>
  <c r="F8461" i="23"/>
  <c r="M8461" i="23"/>
  <c r="F8462" i="23"/>
  <c r="M8462" i="23"/>
  <c r="F8463" i="23"/>
  <c r="M8463" i="23"/>
  <c r="F8464" i="23"/>
  <c r="M8464" i="23"/>
  <c r="F8465" i="23"/>
  <c r="M8465" i="23"/>
  <c r="F8466" i="23"/>
  <c r="M8466" i="23"/>
  <c r="F8467" i="23"/>
  <c r="M8467" i="23"/>
  <c r="F8468" i="23"/>
  <c r="M8468" i="23"/>
  <c r="F8469" i="23"/>
  <c r="M8469" i="23"/>
  <c r="F8470" i="23"/>
  <c r="M8470" i="23"/>
  <c r="F8471" i="23"/>
  <c r="M8471" i="23"/>
  <c r="F8472" i="23"/>
  <c r="M8472" i="23"/>
  <c r="F8473" i="23"/>
  <c r="M8473" i="23"/>
  <c r="F8474" i="23"/>
  <c r="M8474" i="23"/>
  <c r="F8475" i="23"/>
  <c r="M8475" i="23"/>
  <c r="F8476" i="23"/>
  <c r="M8476" i="23"/>
  <c r="F8477" i="23"/>
  <c r="M8477" i="23"/>
  <c r="F8478" i="23"/>
  <c r="M8478" i="23"/>
  <c r="F8479" i="23"/>
  <c r="M8479" i="23"/>
  <c r="F8480" i="23"/>
  <c r="M8480" i="23"/>
  <c r="F8481" i="23"/>
  <c r="M8481" i="23"/>
  <c r="F8482" i="23"/>
  <c r="M8482" i="23"/>
  <c r="F8483" i="23"/>
  <c r="M8483" i="23"/>
  <c r="F8484" i="23"/>
  <c r="M8484" i="23"/>
  <c r="F8485" i="23"/>
  <c r="M8485" i="23"/>
  <c r="F8486" i="23"/>
  <c r="M8486" i="23"/>
  <c r="F8487" i="23"/>
  <c r="M8487" i="23"/>
  <c r="F8488" i="23"/>
  <c r="M8488" i="23"/>
  <c r="F8489" i="23"/>
  <c r="M8489" i="23"/>
  <c r="F8490" i="23"/>
  <c r="M8490" i="23"/>
  <c r="F8491" i="23"/>
  <c r="M8491" i="23"/>
  <c r="F8492" i="23"/>
  <c r="M8492" i="23"/>
  <c r="F8493" i="23"/>
  <c r="M8493" i="23"/>
  <c r="F8494" i="23"/>
  <c r="M8494" i="23"/>
  <c r="F8495" i="23"/>
  <c r="M8495" i="23"/>
  <c r="F8496" i="23"/>
  <c r="M8496" i="23"/>
  <c r="F8497" i="23"/>
  <c r="M8497" i="23"/>
  <c r="F8498" i="23"/>
  <c r="M8498" i="23"/>
  <c r="F8499" i="23"/>
  <c r="M8499" i="23"/>
  <c r="F8500" i="23"/>
  <c r="M8500" i="23"/>
  <c r="F8501" i="23"/>
  <c r="M8501" i="23"/>
  <c r="F8502" i="23"/>
  <c r="M8502" i="23"/>
  <c r="F8503" i="23"/>
  <c r="M8503" i="23"/>
  <c r="F8504" i="23"/>
  <c r="M8504" i="23"/>
  <c r="F8505" i="23"/>
  <c r="M8505" i="23"/>
  <c r="F8506" i="23"/>
  <c r="M8506" i="23"/>
  <c r="F8507" i="23"/>
  <c r="M8507" i="23"/>
  <c r="F8508" i="23"/>
  <c r="M8508" i="23"/>
  <c r="F8509" i="23"/>
  <c r="M8509" i="23"/>
  <c r="F8510" i="23"/>
  <c r="M8510" i="23"/>
  <c r="F8511" i="23"/>
  <c r="M8511" i="23"/>
  <c r="F8512" i="23"/>
  <c r="M8512" i="23"/>
  <c r="F8513" i="23"/>
  <c r="M8513" i="23"/>
  <c r="F8514" i="23"/>
  <c r="M8514" i="23"/>
  <c r="F8515" i="23"/>
  <c r="M8515" i="23"/>
  <c r="F8516" i="23"/>
  <c r="M8516" i="23"/>
  <c r="F8517" i="23"/>
  <c r="M8517" i="23"/>
  <c r="F8518" i="23"/>
  <c r="M8518" i="23"/>
  <c r="F8519" i="23"/>
  <c r="M8519" i="23"/>
  <c r="F8520" i="23"/>
  <c r="M8520" i="23"/>
  <c r="F8521" i="23"/>
  <c r="M8521" i="23"/>
  <c r="F8522" i="23"/>
  <c r="M8522" i="23"/>
  <c r="F8523" i="23"/>
  <c r="M8523" i="23"/>
  <c r="F8524" i="23"/>
  <c r="M8524" i="23"/>
  <c r="F8525" i="23"/>
  <c r="M8525" i="23"/>
  <c r="F8526" i="23"/>
  <c r="M8526" i="23"/>
  <c r="F8527" i="23"/>
  <c r="M8527" i="23"/>
  <c r="F8528" i="23"/>
  <c r="M8528" i="23"/>
  <c r="F8529" i="23"/>
  <c r="M8529" i="23"/>
  <c r="F8530" i="23"/>
  <c r="M8530" i="23"/>
  <c r="F8531" i="23"/>
  <c r="M8531" i="23"/>
  <c r="F8532" i="23"/>
  <c r="M8532" i="23"/>
  <c r="F8533" i="23"/>
  <c r="M8533" i="23"/>
  <c r="F8534" i="23"/>
  <c r="M8534" i="23"/>
  <c r="F8535" i="23"/>
  <c r="M8535" i="23"/>
  <c r="F8536" i="23"/>
  <c r="M8536" i="23"/>
  <c r="F8537" i="23"/>
  <c r="M8537" i="23"/>
  <c r="F8538" i="23"/>
  <c r="M8538" i="23"/>
  <c r="F8539" i="23"/>
  <c r="M8539" i="23"/>
  <c r="F8540" i="23"/>
  <c r="M8540" i="23"/>
  <c r="F8541" i="23"/>
  <c r="M8541" i="23"/>
  <c r="F8542" i="23"/>
  <c r="M8542" i="23"/>
  <c r="F8543" i="23"/>
  <c r="M8543" i="23"/>
  <c r="F8544" i="23"/>
  <c r="M8544" i="23"/>
  <c r="F8545" i="23"/>
  <c r="M8545" i="23"/>
  <c r="F8546" i="23"/>
  <c r="M8546" i="23"/>
  <c r="F8547" i="23"/>
  <c r="M8547" i="23"/>
  <c r="F8548" i="23"/>
  <c r="M8548" i="23"/>
  <c r="F8549" i="23"/>
  <c r="M8549" i="23"/>
  <c r="F8550" i="23"/>
  <c r="M8550" i="23"/>
  <c r="F8551" i="23"/>
  <c r="M8551" i="23"/>
  <c r="F8552" i="23"/>
  <c r="M8552" i="23"/>
  <c r="F8553" i="23"/>
  <c r="M8553" i="23"/>
  <c r="F8554" i="23"/>
  <c r="M8554" i="23"/>
  <c r="F8555" i="23"/>
  <c r="M8555" i="23"/>
  <c r="F8556" i="23"/>
  <c r="M8556" i="23"/>
  <c r="F8557" i="23"/>
  <c r="M8557" i="23"/>
  <c r="F8558" i="23"/>
  <c r="M8558" i="23"/>
  <c r="F8559" i="23"/>
  <c r="M8559" i="23"/>
  <c r="F8560" i="23"/>
  <c r="M8560" i="23"/>
  <c r="F8561" i="23"/>
  <c r="M8561" i="23"/>
  <c r="F8562" i="23"/>
  <c r="M8562" i="23"/>
  <c r="F8563" i="23"/>
  <c r="M8563" i="23"/>
  <c r="F8564" i="23"/>
  <c r="M8564" i="23"/>
  <c r="F8565" i="23"/>
  <c r="M8565" i="23"/>
  <c r="F8566" i="23"/>
  <c r="M8566" i="23"/>
  <c r="F8567" i="23"/>
  <c r="M8567" i="23"/>
  <c r="F8568" i="23"/>
  <c r="M8568" i="23"/>
  <c r="F8569" i="23"/>
  <c r="M8569" i="23"/>
  <c r="F8570" i="23"/>
  <c r="M8570" i="23"/>
  <c r="F8571" i="23"/>
  <c r="M8571" i="23"/>
  <c r="F8572" i="23"/>
  <c r="M8572" i="23"/>
  <c r="F8573" i="23"/>
  <c r="M8573" i="23"/>
  <c r="F8574" i="23"/>
  <c r="M8574" i="23"/>
  <c r="F8575" i="23"/>
  <c r="M8575" i="23"/>
  <c r="F8576" i="23"/>
  <c r="M8576" i="23"/>
  <c r="F8577" i="23"/>
  <c r="M8577" i="23"/>
  <c r="F8578" i="23"/>
  <c r="M8578" i="23"/>
  <c r="F8579" i="23"/>
  <c r="M8579" i="23"/>
  <c r="F8580" i="23"/>
  <c r="M8580" i="23"/>
  <c r="F8581" i="23"/>
  <c r="M8581" i="23"/>
  <c r="F8582" i="23"/>
  <c r="M8582" i="23"/>
  <c r="F8583" i="23"/>
  <c r="M8583" i="23"/>
</calcChain>
</file>

<file path=xl/sharedStrings.xml><?xml version="1.0" encoding="utf-8"?>
<sst xmlns="http://schemas.openxmlformats.org/spreadsheetml/2006/main" count="86451" uniqueCount="26317">
  <si>
    <t>superclass_name_linked</t>
  </si>
  <si>
    <t>superclass_iri</t>
  </si>
  <si>
    <t>subclass_name</t>
  </si>
  <si>
    <t>subclass_iri</t>
  </si>
  <si>
    <t>&lt;http://purl.obolibrary.org/obo/UBERON_0036007&gt;</t>
  </si>
  <si>
    <t>dopaminergic A13 group</t>
  </si>
  <si>
    <t>&lt;http://purl.obolibrary.org/obo/MBA_796&gt;</t>
  </si>
  <si>
    <t>&lt;http://purl.obolibrary.org/obo/UBERON_0001954&gt;</t>
  </si>
  <si>
    <t>hippocampal proper</t>
  </si>
  <si>
    <t>&lt;http://purl.obolibrary.org/obo/DHBA_10296&gt;</t>
  </si>
  <si>
    <t>hippocampus (cortex Ammonis)</t>
  </si>
  <si>
    <t>&lt;http://purl.obolibrary.org/obo/DMBA_16124&gt;</t>
  </si>
  <si>
    <t>ammon's horn</t>
  </si>
  <si>
    <t>&lt;http://purl.obolibrary.org/obo/MBA_375&gt;</t>
  </si>
  <si>
    <t>&lt;http://purl.obolibrary.org/obo/PBA_128012244&gt;</t>
  </si>
  <si>
    <t>&lt;http://purl.obolibrary.org/obo/UBERON_0007632&gt;</t>
  </si>
  <si>
    <t>Barrington's nucleus</t>
  </si>
  <si>
    <t>&lt;http://purl.obolibrary.org/obo/DHBA_12506&gt;</t>
  </si>
  <si>
    <t>nucleus of Barrington</t>
  </si>
  <si>
    <t>&lt;http://purl.obolibrary.org/obo/DMBA_16973&gt;</t>
  </si>
  <si>
    <t>barrington's nucleus</t>
  </si>
  <si>
    <t>&lt;http://purl.obolibrary.org/obo/MBA_280&gt;</t>
  </si>
  <si>
    <t>&lt;http://purl.obolibrary.org/obo/UBERON_0013541&gt;</t>
  </si>
  <si>
    <t>rostral sulcus</t>
  </si>
  <si>
    <t>&lt;http://purl.obolibrary.org/obo/DHBA_146034836&gt;</t>
  </si>
  <si>
    <t>&lt;http://purl.obolibrary.org/obo/UBERON_0006473&gt;</t>
  </si>
  <si>
    <t>parastriate cortex (area V2, area 18)</t>
  </si>
  <si>
    <t>&lt;http://purl.obolibrary.org/obo/DHBA_10271&gt;</t>
  </si>
  <si>
    <t>parastriate cortex (V2, area 18)</t>
  </si>
  <si>
    <t>&lt;http://purl.obolibrary.org/obo/PBA_10039&gt;</t>
  </si>
  <si>
    <t>&lt;http://purl.obolibrary.org/obo/UBERON_0006101&gt;</t>
  </si>
  <si>
    <t>anterior cingulate area</t>
  </si>
  <si>
    <t>&lt;http://purl.obolibrary.org/obo/MBA_31&gt;</t>
  </si>
  <si>
    <t>&lt;http://purl.obolibrary.org/obo/UBERON_0013560&gt;</t>
  </si>
  <si>
    <t>prelimbic area</t>
  </si>
  <si>
    <t>&lt;http://purl.obolibrary.org/obo/MBA_972&gt;</t>
  </si>
  <si>
    <t>&lt;http://purl.obolibrary.org/obo/UBERON_0006104&gt;</t>
  </si>
  <si>
    <t>perirhinal-ectorhinal cortex</t>
  </si>
  <si>
    <t>&lt;http://purl.obolibrary.org/obo/DMBA_16086&gt;</t>
  </si>
  <si>
    <t>&lt;http://purl.obolibrary.org/obo/UBERON_0003881&gt;</t>
  </si>
  <si>
    <t>CA1 region of Hipp</t>
  </si>
  <si>
    <t>&lt;http://purl.obolibrary.org/obo/DHBA_10297&gt;</t>
  </si>
  <si>
    <t>Field CA1</t>
  </si>
  <si>
    <t>&lt;http://purl.obolibrary.org/obo/DMBA_16131&gt;</t>
  </si>
  <si>
    <t>CA1 field</t>
  </si>
  <si>
    <t>&lt;http://purl.obolibrary.org/obo/HBA_12892&gt;</t>
  </si>
  <si>
    <t>field CA1</t>
  </si>
  <si>
    <t>&lt;http://purl.obolibrary.org/obo/MBA_382&gt;</t>
  </si>
  <si>
    <t>CA1 region</t>
  </si>
  <si>
    <t>&lt;http://purl.obolibrary.org/obo/PBA_10058&gt;</t>
  </si>
  <si>
    <t>&lt;http://purl.obolibrary.org/obo/UBERON_0014557&gt;</t>
  </si>
  <si>
    <t>Field CA1, stratum lacunosum-moleculare</t>
  </si>
  <si>
    <t>&lt;http://purl.obolibrary.org/obo/DMBA_16135&gt;</t>
  </si>
  <si>
    <t>field CA1, stratum lacunosum-moleculare</t>
  </si>
  <si>
    <t>&lt;http://purl.obolibrary.org/obo/MBA_391&gt;</t>
  </si>
  <si>
    <t>stratum lacunosum-moleculare of CA1</t>
  </si>
  <si>
    <t>&lt;http://purl.obolibrary.org/obo/PBA_10062&gt;</t>
  </si>
  <si>
    <t>&lt;http://purl.obolibrary.org/obo/UBERON_0014552&gt;</t>
  </si>
  <si>
    <t>Field CA1, stratum oriens</t>
  </si>
  <si>
    <t>&lt;http://purl.obolibrary.org/obo/DMBA_16132&gt;</t>
  </si>
  <si>
    <t>field CA1, stratum oriens</t>
  </si>
  <si>
    <t>&lt;http://purl.obolibrary.org/obo/MBA_399&gt;</t>
  </si>
  <si>
    <t>stratum oriens of CA1</t>
  </si>
  <si>
    <t>&lt;http://purl.obolibrary.org/obo/PBA_10059&gt;</t>
  </si>
  <si>
    <t>&lt;http://purl.obolibrary.org/obo/UBERON_0014554&gt;</t>
  </si>
  <si>
    <t>Field CA1, stratum radiatum</t>
  </si>
  <si>
    <t>&lt;http://purl.obolibrary.org/obo/DMBA_16134&gt;</t>
  </si>
  <si>
    <t>field CA1, stratum radiatum</t>
  </si>
  <si>
    <t>&lt;http://purl.obolibrary.org/obo/MBA_415&gt;</t>
  </si>
  <si>
    <t>stratum radiatum of CA1</t>
  </si>
  <si>
    <t>&lt;http://purl.obolibrary.org/obo/PBA_10061&gt;</t>
  </si>
  <si>
    <t>&lt;http://purl.obolibrary.org/obo/UBERON_0003882&gt;</t>
  </si>
  <si>
    <t>CA2 region of Hipp</t>
  </si>
  <si>
    <t>&lt;http://purl.obolibrary.org/obo/DHBA_10298&gt;</t>
  </si>
  <si>
    <t>Field CA2</t>
  </si>
  <si>
    <t>&lt;http://purl.obolibrary.org/obo/DMBA_16136&gt;</t>
  </si>
  <si>
    <t>CA2 field</t>
  </si>
  <si>
    <t>&lt;http://purl.obolibrary.org/obo/HBA_12893&gt;</t>
  </si>
  <si>
    <t>field CA2</t>
  </si>
  <si>
    <t>&lt;http://purl.obolibrary.org/obo/MBA_423&gt;</t>
  </si>
  <si>
    <t>CA2 region</t>
  </si>
  <si>
    <t>&lt;http://purl.obolibrary.org/obo/PBA_10063&gt;</t>
  </si>
  <si>
    <t>&lt;http://purl.obolibrary.org/obo/UBERON_0014558&gt;</t>
  </si>
  <si>
    <t>Field CA2, stratum lacunosum-moleculare</t>
  </si>
  <si>
    <t>&lt;http://purl.obolibrary.org/obo/DMBA_16137&gt;</t>
  </si>
  <si>
    <t>field CA2, stratum lacunosum-moleculare</t>
  </si>
  <si>
    <t>&lt;http://purl.obolibrary.org/obo/MBA_431&gt;</t>
  </si>
  <si>
    <t>stratum lacunosum-moleculare of CA2</t>
  </si>
  <si>
    <t>&lt;http://purl.obolibrary.org/obo/PBA_10067&gt;</t>
  </si>
  <si>
    <t>&lt;http://purl.obolibrary.org/obo/UBERON_0014551&gt;</t>
  </si>
  <si>
    <t>Field CA2, stratum oriens</t>
  </si>
  <si>
    <t>&lt;http://purl.obolibrary.org/obo/DMBA_16138&gt;</t>
  </si>
  <si>
    <t>field CA2, stratum oriens</t>
  </si>
  <si>
    <t>&lt;http://purl.obolibrary.org/obo/MBA_438&gt;</t>
  </si>
  <si>
    <t>stratum oriens of CA2</t>
  </si>
  <si>
    <t>&lt;http://purl.obolibrary.org/obo/PBA_10064&gt;</t>
  </si>
  <si>
    <t>&lt;http://purl.obolibrary.org/obo/UBERON_0014555&gt;</t>
  </si>
  <si>
    <t>Field CA2, stratum radiatum</t>
  </si>
  <si>
    <t>&lt;http://purl.obolibrary.org/obo/DMBA_16140&gt;</t>
  </si>
  <si>
    <t>field CA2, stratum radiatum</t>
  </si>
  <si>
    <t>&lt;http://purl.obolibrary.org/obo/MBA_454&gt;</t>
  </si>
  <si>
    <t>stratum radiatum of CA2</t>
  </si>
  <si>
    <t>&lt;http://purl.obolibrary.org/obo/PBA_10066&gt;</t>
  </si>
  <si>
    <t>&lt;http://purl.obolibrary.org/obo/UBERON_0003883&gt;</t>
  </si>
  <si>
    <t>CA3 region of Hipp</t>
  </si>
  <si>
    <t>&lt;http://purl.obolibrary.org/obo/DHBA_10299&gt;</t>
  </si>
  <si>
    <t>Field CA3</t>
  </si>
  <si>
    <t>&lt;http://purl.obolibrary.org/obo/DMBA_16141&gt;</t>
  </si>
  <si>
    <t>CA3 field</t>
  </si>
  <si>
    <t>&lt;http://purl.obolibrary.org/obo/HBA_12894&gt;</t>
  </si>
  <si>
    <t>field CA3</t>
  </si>
  <si>
    <t>&lt;http://purl.obolibrary.org/obo/MBA_463&gt;</t>
  </si>
  <si>
    <t>CA3 region</t>
  </si>
  <si>
    <t>&lt;http://purl.obolibrary.org/obo/PBA_10068&gt;</t>
  </si>
  <si>
    <t>&lt;http://purl.obolibrary.org/obo/UBERON_0014559&gt;</t>
  </si>
  <si>
    <t>Field CA3, stratum lacunosum-moleculare</t>
  </si>
  <si>
    <t>&lt;http://purl.obolibrary.org/obo/DMBA_16146&gt;</t>
  </si>
  <si>
    <t>field CA3, stratum lacunosum-moleculare</t>
  </si>
  <si>
    <t>&lt;http://purl.obolibrary.org/obo/MBA_471&gt;</t>
  </si>
  <si>
    <t>stratum lacunosum-moleculare of CA3</t>
  </si>
  <si>
    <t>&lt;http://purl.obolibrary.org/obo/PBA_10073&gt;</t>
  </si>
  <si>
    <t>&lt;http://purl.obolibrary.org/obo/UBERON_0014560&gt;</t>
  </si>
  <si>
    <t>Field CA3, stratum lucidum</t>
  </si>
  <si>
    <t>&lt;http://purl.obolibrary.org/obo/DMBA_16144&gt;</t>
  </si>
  <si>
    <t>field CA3, stratum lucidum</t>
  </si>
  <si>
    <t>&lt;http://purl.obolibrary.org/obo/MBA_479&gt;</t>
  </si>
  <si>
    <t>hippocampal stratum lucidum of CA3</t>
  </si>
  <si>
    <t>&lt;http://purl.obolibrary.org/obo/PBA_10071&gt;</t>
  </si>
  <si>
    <t>&lt;http://purl.obolibrary.org/obo/UBERON_0014553&gt;</t>
  </si>
  <si>
    <t>Field CA3, stratum oriens</t>
  </si>
  <si>
    <t>&lt;http://purl.obolibrary.org/obo/DMBA_16142&gt;</t>
  </si>
  <si>
    <t>field CA3, stratum oriens</t>
  </si>
  <si>
    <t>&lt;http://purl.obolibrary.org/obo/MBA_486&gt;</t>
  </si>
  <si>
    <t>stratum oriens of CA3</t>
  </si>
  <si>
    <t>&lt;http://purl.obolibrary.org/obo/PBA_10069&gt;</t>
  </si>
  <si>
    <t>&lt;http://purl.obolibrary.org/obo/UBERON_0014556&gt;</t>
  </si>
  <si>
    <t>Field CA3, stratum radiatum</t>
  </si>
  <si>
    <t>&lt;http://purl.obolibrary.org/obo/DMBA_16145&gt;</t>
  </si>
  <si>
    <t>field CA3, stratum radiatum</t>
  </si>
  <si>
    <t>&lt;http://purl.obolibrary.org/obo/MBA_504&gt;</t>
  </si>
  <si>
    <t>stratum radiatum of CA3</t>
  </si>
  <si>
    <t>&lt;http://purl.obolibrary.org/obo/PBA_10072&gt;</t>
  </si>
  <si>
    <t>&lt;http://purl.obolibrary.org/obo/UBERON_0003884&gt;</t>
  </si>
  <si>
    <t>CA4 region of Hipp</t>
  </si>
  <si>
    <t>&lt;http://purl.obolibrary.org/obo/DHBA_10300&gt;</t>
  </si>
  <si>
    <t>CA4 field</t>
  </si>
  <si>
    <t>&lt;http://purl.obolibrary.org/obo/HBA_12895&gt;</t>
  </si>
  <si>
    <t>CA4 region</t>
  </si>
  <si>
    <t>&lt;http://purl.obolibrary.org/obo/PBA_10074&gt;</t>
  </si>
  <si>
    <t>&lt;http://purl.obolibrary.org/obo/UBERON_0035935&gt;</t>
  </si>
  <si>
    <t>Meyer's loop of optic radiation</t>
  </si>
  <si>
    <t>&lt;http://purl.obolibrary.org/obo/HBA_265505214&gt;</t>
  </si>
  <si>
    <t>&lt;http://purl.obolibrary.org/obo/UBERON_0002979&gt;</t>
  </si>
  <si>
    <t>cerebellar cortex, Purkinje layer</t>
  </si>
  <si>
    <t>&lt;http://purl.obolibrary.org/obo/MBA_1145&gt;</t>
  </si>
  <si>
    <t>&lt;http://purl.obolibrary.org/obo/UBERON_0001646&gt;</t>
  </si>
  <si>
    <t>abducens nerve</t>
  </si>
  <si>
    <t>&lt;http://purl.obolibrary.org/obo/HBA_9325&gt;</t>
  </si>
  <si>
    <t>&lt;http://purl.obolibrary.org/obo/MBA_710&gt;</t>
  </si>
  <si>
    <t>&lt;http://purl.obolibrary.org/obo/UBERON_0002682&gt;</t>
  </si>
  <si>
    <t>abducens nucleus</t>
  </si>
  <si>
    <t>&lt;http://purl.obolibrary.org/obo/DHBA_12418&gt;</t>
  </si>
  <si>
    <t>abducens motor nucleus</t>
  </si>
  <si>
    <t>&lt;http://purl.obolibrary.org/obo/DMBA_17279&gt;</t>
  </si>
  <si>
    <t>&lt;http://purl.obolibrary.org/obo/HBA_9136&gt;</t>
  </si>
  <si>
    <t>&lt;http://purl.obolibrary.org/obo/MBA_653&gt;</t>
  </si>
  <si>
    <t>&lt;http://purl.obolibrary.org/obo/UBERON_0002019&gt;</t>
  </si>
  <si>
    <t>accessory nerve</t>
  </si>
  <si>
    <t>&lt;http://purl.obolibrary.org/obo/HBA_9340&gt;</t>
  </si>
  <si>
    <t>accessory spinal nerve</t>
  </si>
  <si>
    <t>&lt;http://purl.obolibrary.org/obo/MBA_717&gt;</t>
  </si>
  <si>
    <t>&lt;http://purl.obolibrary.org/obo/UBERON_0035976&gt;</t>
  </si>
  <si>
    <t>accessory abducens nucleus</t>
  </si>
  <si>
    <t>&lt;http://purl.obolibrary.org/obo/MBA_568&gt;</t>
  </si>
  <si>
    <t>&lt;http://purl.obolibrary.org/obo/UBERON_0002885&gt;</t>
  </si>
  <si>
    <t>basomedial nucleus (accessory basal nucleus)</t>
  </si>
  <si>
    <t>&lt;http://purl.obolibrary.org/obo/DHBA_10369&gt;</t>
  </si>
  <si>
    <t>basomedial nucleus</t>
  </si>
  <si>
    <t>&lt;http://purl.obolibrary.org/obo/HBA_4350&gt;</t>
  </si>
  <si>
    <t>&lt;http://purl.obolibrary.org/obo/UBERON_0002864&gt;</t>
  </si>
  <si>
    <t>accessory cuneate nucleus</t>
  </si>
  <si>
    <t>&lt;http://purl.obolibrary.org/obo/HBA_9513&gt;</t>
  </si>
  <si>
    <t>external cuneate nucleus</t>
  </si>
  <si>
    <t>&lt;http://purl.obolibrary.org/obo/MBA_903&gt;</t>
  </si>
  <si>
    <t>&lt;http://purl.obolibrary.org/obo/UBERON_0014615&gt;</t>
  </si>
  <si>
    <t>root of accessory nerve</t>
  </si>
  <si>
    <t>&lt;http://purl.obolibrary.org/obo/DHBA_12883&gt;</t>
  </si>
  <si>
    <t>accessory nerve root</t>
  </si>
  <si>
    <t>&lt;http://purl.obolibrary.org/obo/DMBA_17749&gt;</t>
  </si>
  <si>
    <t>&lt;http://purl.obolibrary.org/obo/UBERON_0004069&gt;</t>
  </si>
  <si>
    <t>accessory olfactory bulb</t>
  </si>
  <si>
    <t>&lt;http://purl.obolibrary.org/obo/DMBA_15957&gt;</t>
  </si>
  <si>
    <t>&lt;http://purl.obolibrary.org/obo/MBA_151&gt;</t>
  </si>
  <si>
    <t>&lt;http://purl.obolibrary.org/obo/UBERON_0019289&gt;</t>
  </si>
  <si>
    <t>AOB, outer plexiform layer</t>
  </si>
  <si>
    <t>&lt;http://purl.obolibrary.org/obo/DMBA_15965&gt;</t>
  </si>
  <si>
    <t>&lt;http://purl.obolibrary.org/obo/UBERON_0007631&gt;</t>
  </si>
  <si>
    <t>AOB, glomerular layer</t>
  </si>
  <si>
    <t>&lt;http://purl.obolibrary.org/obo/DMBA_15967&gt;</t>
  </si>
  <si>
    <t>accessory olfactory bulb, glomerular layer</t>
  </si>
  <si>
    <t>&lt;http://purl.obolibrary.org/obo/MBA_188&gt;</t>
  </si>
  <si>
    <t>&lt;http://purl.obolibrary.org/obo/UBERON_0015244&gt;</t>
  </si>
  <si>
    <t>AOB, granular layer</t>
  </si>
  <si>
    <t>&lt;http://purl.obolibrary.org/obo/DMBA_15961&gt;</t>
  </si>
  <si>
    <t>accessory olfactory bulb, granular layer</t>
  </si>
  <si>
    <t>&lt;http://purl.obolibrary.org/obo/MBA_196&gt;</t>
  </si>
  <si>
    <t>&lt;http://purl.obolibrary.org/obo/UBERON_0019290&gt;</t>
  </si>
  <si>
    <t>AOB, internal plexiform layer</t>
  </si>
  <si>
    <t>&lt;http://purl.obolibrary.org/obo/DMBA_15962&gt;</t>
  </si>
  <si>
    <t>&lt;http://purl.obolibrary.org/obo/UBERON_0015432&gt;</t>
  </si>
  <si>
    <t>accessory olfactory bulb, mitral layer</t>
  </si>
  <si>
    <t>&lt;http://purl.obolibrary.org/obo/MBA_204&gt;</t>
  </si>
  <si>
    <t>&lt;http://purl.obolibrary.org/obo/UBERON_0035595&gt;</t>
  </si>
  <si>
    <t>accessory optic tract</t>
  </si>
  <si>
    <t>&lt;http://purl.obolibrary.org/obo/MBA_876&gt;</t>
  </si>
  <si>
    <t>&lt;http://purl.obolibrary.org/obo/UBERON_0034893&gt;</t>
  </si>
  <si>
    <t>dysgranular insular cortex</t>
  </si>
  <si>
    <t>&lt;http://purl.obolibrary.org/obo/DHBA_10289&gt;</t>
  </si>
  <si>
    <t>agranular insular cortex (area Iag)</t>
  </si>
  <si>
    <t>&lt;http://purl.obolibrary.org/obo/DHBA_10328&gt;</t>
  </si>
  <si>
    <t>&lt;http://purl.obolibrary.org/obo/UBERON_0014734&gt;</t>
  </si>
  <si>
    <t>allocortex</t>
  </si>
  <si>
    <t>&lt;http://purl.obolibrary.org/obo/DHBA_10292&gt;</t>
  </si>
  <si>
    <t>&lt;http://purl.obolibrary.org/obo/UBERON_0036164&gt;</t>
  </si>
  <si>
    <t>ambiens gyrus</t>
  </si>
  <si>
    <t>&lt;http://purl.obolibrary.org/obo/DHBA_12166&gt;</t>
  </si>
  <si>
    <t>&lt;http://purl.obolibrary.org/obo/UBERON_0035938&gt;</t>
  </si>
  <si>
    <t>amiculum of the olive</t>
  </si>
  <si>
    <t>&lt;http://purl.obolibrary.org/obo/DHBA_12728&gt;</t>
  </si>
  <si>
    <t>&lt;http://purl.obolibrary.org/obo/HBA_265505538&gt;</t>
  </si>
  <si>
    <t>&lt;http://purl.obolibrary.org/obo/UBERON_0001876&gt;</t>
  </si>
  <si>
    <t>amygdaloid complex</t>
  </si>
  <si>
    <t>&lt;http://purl.obolibrary.org/obo/DHBA_10361&gt;</t>
  </si>
  <si>
    <t>amygdala</t>
  </si>
  <si>
    <t>&lt;http://purl.obolibrary.org/obo/HBA_4327&gt;</t>
  </si>
  <si>
    <t>&lt;http://purl.obolibrary.org/obo/PBA_4002&gt;</t>
  </si>
  <si>
    <t>&lt;http://purl.obolibrary.org/obo/UBERON_0034673&gt;</t>
  </si>
  <si>
    <t>amygdalohippocampal area</t>
  </si>
  <si>
    <t>&lt;http://purl.obolibrary.org/obo/DHBA_10377&gt;</t>
  </si>
  <si>
    <t>&lt;http://purl.obolibrary.org/obo/DMBA_15945&gt;</t>
  </si>
  <si>
    <t>amygdalohippocampal area, left</t>
  </si>
  <si>
    <t>&lt;http://purl.obolibrary.org/obo/HBA_4330&gt;</t>
  </si>
  <si>
    <t>&lt;http://purl.obolibrary.org/obo/PBA_10135&gt;</t>
  </si>
  <si>
    <t>&lt;http://purl.obolibrary.org/obo/UBERON_0035027&gt;</t>
  </si>
  <si>
    <t>amygdalohippocampal area, left, magnocellular division</t>
  </si>
  <si>
    <t>&lt;http://purl.obolibrary.org/obo/HBA_265504452&gt;</t>
  </si>
  <si>
    <t>amygdalohippocampal area, magnocellualr part</t>
  </si>
  <si>
    <t>&lt;http://purl.obolibrary.org/obo/PBA_10136&gt;</t>
  </si>
  <si>
    <t>&lt;http://purl.obolibrary.org/obo/UBERON_0035028&gt;</t>
  </si>
  <si>
    <t>amygdalohippocampal area, left, parvocellular division</t>
  </si>
  <si>
    <t>&lt;http://purl.obolibrary.org/obo/HBA_265504456&gt;</t>
  </si>
  <si>
    <t>amygdalohippocampal area, parvocelluar part</t>
  </si>
  <si>
    <t>&lt;http://purl.obolibrary.org/obo/PBA_10137&gt;</t>
  </si>
  <si>
    <t>&lt;http://purl.obolibrary.org/obo/UBERON_0035026&gt;</t>
  </si>
  <si>
    <t>amygdalohippocampal transition area</t>
  </si>
  <si>
    <t>&lt;http://purl.obolibrary.org/obo/DHBA_10380&gt;</t>
  </si>
  <si>
    <t>&lt;http://purl.obolibrary.org/obo/UBERON_0034989&gt;</t>
  </si>
  <si>
    <t>amygdalopiriform transition area</t>
  </si>
  <si>
    <t>&lt;http://purl.obolibrary.org/obo/PBA_10140&gt;</t>
  </si>
  <si>
    <t>&lt;http://purl.obolibrary.org/obo/UBERON_0001062&gt;</t>
  </si>
  <si>
    <t>ABA entity</t>
  </si>
  <si>
    <t>&lt;http://purl.obolibrary.org/obo/ABA_ENTITY&gt;</t>
  </si>
  <si>
    <t>DHBA entity</t>
  </si>
  <si>
    <t>&lt;http://purl.obolibrary.org/obo/DHBA_ENTITY&gt;</t>
  </si>
  <si>
    <t>DMBA entity</t>
  </si>
  <si>
    <t>&lt;http://purl.obolibrary.org/obo/DMBA_ENTITY&gt;</t>
  </si>
  <si>
    <t>HBA entity</t>
  </si>
  <si>
    <t>&lt;http://purl.obolibrary.org/obo/HBA_ENTITY&gt;</t>
  </si>
  <si>
    <t>MBA entity</t>
  </si>
  <si>
    <t>&lt;http://purl.obolibrary.org/obo/MBA_ENTITY&gt;</t>
  </si>
  <si>
    <t>PBA entity</t>
  </si>
  <si>
    <t>&lt;http://purl.obolibrary.org/obo/PBA_ENTITY&gt;</t>
  </si>
  <si>
    <t>&lt;http://purl.obolibrary.org/obo/UBERON_0002686&gt;</t>
  </si>
  <si>
    <t>angular gyrus</t>
  </si>
  <si>
    <t>&lt;http://purl.obolibrary.org/obo/DHBA_12136&gt;</t>
  </si>
  <si>
    <t>&lt;http://purl.obolibrary.org/obo/HBA_4111&gt;</t>
  </si>
  <si>
    <t>&lt;http://purl.obolibrary.org/obo/UBERON_0026725&gt;</t>
  </si>
  <si>
    <t>angular sulcus</t>
  </si>
  <si>
    <t>&lt;http://purl.obolibrary.org/obo/HBA_9384&gt;</t>
  </si>
  <si>
    <t>&lt;http://purl.obolibrary.org/obo/UBERON_0009641&gt;</t>
  </si>
  <si>
    <t>ansa lenticularis</t>
  </si>
  <si>
    <t>&lt;http://purl.obolibrary.org/obo/DHBA_10571&gt;</t>
  </si>
  <si>
    <t>&lt;http://purl.obolibrary.org/obo/HBA_9237&gt;</t>
  </si>
  <si>
    <t>&lt;http://purl.obolibrary.org/obo/UBERON_0034896&gt;</t>
  </si>
  <si>
    <t>ansa peduncularis</t>
  </si>
  <si>
    <t>&lt;http://purl.obolibrary.org/obo/DHBA_266441591&gt;</t>
  </si>
  <si>
    <t>&lt;http://purl.obolibrary.org/obo/MBA_892&gt;</t>
  </si>
  <si>
    <t>&lt;http://purl.obolibrary.org/obo/UBERON_0005348&gt;</t>
  </si>
  <si>
    <t>ansiform lobule</t>
  </si>
  <si>
    <t>&lt;http://purl.obolibrary.org/obo/MBA_1017&gt;</t>
  </si>
  <si>
    <t>&lt;http://purl.obolibrary.org/obo/UBERON_0005976&gt;</t>
  </si>
  <si>
    <t>crus I</t>
  </si>
  <si>
    <t>&lt;http://purl.obolibrary.org/obo/HBA_12938&gt;</t>
  </si>
  <si>
    <t>crus 1</t>
  </si>
  <si>
    <t>&lt;http://purl.obolibrary.org/obo/MBA_1056&gt;</t>
  </si>
  <si>
    <t>&lt;http://purl.obolibrary.org/obo/UBERON_0005977&gt;</t>
  </si>
  <si>
    <t>crus II</t>
  </si>
  <si>
    <t>&lt;http://purl.obolibrary.org/obo/HBA_12939&gt;</t>
  </si>
  <si>
    <t>crus 2</t>
  </si>
  <si>
    <t>&lt;http://purl.obolibrary.org/obo/MBA_1064&gt;</t>
  </si>
  <si>
    <t>&lt;http://purl.obolibrary.org/obo/UBERON_0014468&gt;</t>
  </si>
  <si>
    <t>ansoparamedian fissure</t>
  </si>
  <si>
    <t>&lt;http://purl.obolibrary.org/obo/DHBA_266441733&gt;</t>
  </si>
  <si>
    <t>&lt;http://purl.obolibrary.org/obo/HBA_9413&gt;</t>
  </si>
  <si>
    <t>&lt;http://purl.obolibrary.org/obo/MBA_43&gt;</t>
  </si>
  <si>
    <t>&lt;http://purl.obolibrary.org/obo/UBERON_0002890&gt;</t>
  </si>
  <si>
    <t>anterior amygdaloid area</t>
  </si>
  <si>
    <t>&lt;http://purl.obolibrary.org/obo/DHBA_10362&gt;</t>
  </si>
  <si>
    <t>basolateral amygdaloid nucleus, anterior part</t>
  </si>
  <si>
    <t>&lt;http://purl.obolibrary.org/obo/DMBA_15994&gt;</t>
  </si>
  <si>
    <t>&lt;http://purl.obolibrary.org/obo/HBA_265504476&gt;</t>
  </si>
  <si>
    <t>anterior amygdalar area</t>
  </si>
  <si>
    <t>&lt;http://purl.obolibrary.org/obo/MBA_23&gt;</t>
  </si>
  <si>
    <t>&lt;http://purl.obolibrary.org/obo/PBA_10103&gt;</t>
  </si>
  <si>
    <t>&lt;http://purl.obolibrary.org/obo/UBERON_0002940&gt;</t>
  </si>
  <si>
    <t>anterior column of the fornix, left</t>
  </si>
  <si>
    <t>&lt;http://purl.obolibrary.org/obo/HBA_9251&gt;</t>
  </si>
  <si>
    <t>&lt;http://purl.obolibrary.org/obo/UBERON_0000935&gt;</t>
  </si>
  <si>
    <t>anterior commissure</t>
  </si>
  <si>
    <t>&lt;http://purl.obolibrary.org/obo/DHBA_10559&gt;</t>
  </si>
  <si>
    <t>&lt;http://purl.obolibrary.org/obo/DMBA_17751&gt;</t>
  </si>
  <si>
    <t>&lt;http://purl.obolibrary.org/obo/HBA_9221&gt;</t>
  </si>
  <si>
    <t>&lt;http://purl.obolibrary.org/obo/UBERON_0003039&gt;</t>
  </si>
  <si>
    <t>anterior commissure, olfactory limb</t>
  </si>
  <si>
    <t>&lt;http://purl.obolibrary.org/obo/MBA_900&gt;</t>
  </si>
  <si>
    <t>&lt;http://purl.obolibrary.org/obo/UBERON_0022425&gt;</t>
  </si>
  <si>
    <t>anterior portion of corona radiata</t>
  </si>
  <si>
    <t>&lt;http://purl.obolibrary.org/obo/DHBA_15541&gt;</t>
  </si>
  <si>
    <t>&lt;http://purl.obolibrary.org/obo/UBERON_0034991&gt;</t>
  </si>
  <si>
    <t>anterior cortical amygdaloid area</t>
  </si>
  <si>
    <t>&lt;http://purl.obolibrary.org/obo/DMBA_16000&gt;</t>
  </si>
  <si>
    <t>&lt;http://purl.obolibrary.org/obo/UBERON_0011173&gt;</t>
  </si>
  <si>
    <t>bed nuclei of the stria terminalis, anterior division</t>
  </si>
  <si>
    <t>&lt;http://purl.obolibrary.org/obo/MBA_359&gt;</t>
  </si>
  <si>
    <t>&lt;http://purl.obolibrary.org/obo/UBERON_0002651&gt;</t>
  </si>
  <si>
    <t>anterior horn of lateral ventricle</t>
  </si>
  <si>
    <t>&lt;http://purl.obolibrary.org/obo/DHBA_10597&gt;</t>
  </si>
  <si>
    <t>&lt;http://purl.obolibrary.org/obo/UBERON_0002694&gt;</t>
  </si>
  <si>
    <t>anterior hypothalamic area, left, central part</t>
  </si>
  <si>
    <t>&lt;http://purl.obolibrary.org/obo/HBA_4600&gt;</t>
  </si>
  <si>
    <t>&lt;http://purl.obolibrary.org/obo/UBERON_0002550&gt;</t>
  </si>
  <si>
    <t>anterior hypothalamic area</t>
  </si>
  <si>
    <t>&lt;http://purl.obolibrary.org/obo/DHBA_266441551&gt;</t>
  </si>
  <si>
    <t>&lt;http://purl.obolibrary.org/obo/HBA_12902&gt;</t>
  </si>
  <si>
    <t>anterior hypothalamic region</t>
  </si>
  <si>
    <t>&lt;http://purl.obolibrary.org/obo/HBA_4570&gt;</t>
  </si>
  <si>
    <t>&lt;http://purl.obolibrary.org/obo/UBERON_0014526&gt;</t>
  </si>
  <si>
    <t>anterior limb of internal capsule</t>
  </si>
  <si>
    <t>&lt;http://purl.obolibrary.org/obo/DHBA_10582&gt;</t>
  </si>
  <si>
    <t>&lt;http://purl.obolibrary.org/obo/UBERON_0002131&gt;</t>
  </si>
  <si>
    <t>anterior lobe</t>
  </si>
  <si>
    <t>&lt;http://purl.obolibrary.org/obo/DHBA_12838&gt;</t>
  </si>
  <si>
    <t>&lt;http://purl.obolibrary.org/obo/UBERON_0002701&gt;</t>
  </si>
  <si>
    <t>anterior median oculomotor nucleus</t>
  </si>
  <si>
    <t>&lt;http://purl.obolibrary.org/obo/DHBA_12199&gt;</t>
  </si>
  <si>
    <t>anterior median oculomotor nucleus, left</t>
  </si>
  <si>
    <t>&lt;http://purl.obolibrary.org/obo/HBA_9032&gt;</t>
  </si>
  <si>
    <t>&lt;http://purl.obolibrary.org/obo/UBERON_0002788&gt;</t>
  </si>
  <si>
    <t>anterior nuclear complex of thalamus</t>
  </si>
  <si>
    <t>&lt;http://purl.obolibrary.org/obo/DHBA_10392&gt;</t>
  </si>
  <si>
    <t>anterior group of the dorsal thalamus</t>
  </si>
  <si>
    <t>&lt;http://purl.obolibrary.org/obo/MBA_239&gt;</t>
  </si>
  <si>
    <t>&lt;http://purl.obolibrary.org/obo/UBERON_0002634&gt;</t>
  </si>
  <si>
    <t>anterior hypothalamic nucleus</t>
  </si>
  <si>
    <t>&lt;http://purl.obolibrary.org/obo/DHBA_10475&gt;</t>
  </si>
  <si>
    <t>&lt;http://purl.obolibrary.org/obo/DMBA_15662&gt;</t>
  </si>
  <si>
    <t>&lt;http://purl.obolibrary.org/obo/HBA_12903&gt;</t>
  </si>
  <si>
    <t>&lt;http://purl.obolibrary.org/obo/MBA_88&gt;</t>
  </si>
  <si>
    <t>&lt;http://purl.obolibrary.org/obo/UBERON_0014589&gt;</t>
  </si>
  <si>
    <t>anterior hypothalamic nucleus, anterior part</t>
  </si>
  <si>
    <t>&lt;http://purl.obolibrary.org/obo/MBA_700&gt;</t>
  </si>
  <si>
    <t>&lt;http://purl.obolibrary.org/obo/UBERON_0014590&gt;</t>
  </si>
  <si>
    <t>anterior hypothalamic nucleus, central part</t>
  </si>
  <si>
    <t>&lt;http://purl.obolibrary.org/obo/MBA_708&gt;</t>
  </si>
  <si>
    <t>&lt;http://purl.obolibrary.org/obo/UBERON_0014592&gt;</t>
  </si>
  <si>
    <t>anterior hypothalamic nucleus, dorsal part</t>
  </si>
  <si>
    <t>&lt;http://purl.obolibrary.org/obo/MBA_716&gt;</t>
  </si>
  <si>
    <t>&lt;http://purl.obolibrary.org/obo/UBERON_0014591&gt;</t>
  </si>
  <si>
    <t>posterior part of anterior hypothalamic nucleus</t>
  </si>
  <si>
    <t>&lt;http://purl.obolibrary.org/obo/DMBA_16240&gt;</t>
  </si>
  <si>
    <t>anterior hypothalamic nucleus, posterior part</t>
  </si>
  <si>
    <t>&lt;http://purl.obolibrary.org/obo/MBA_724&gt;</t>
  </si>
  <si>
    <t>&lt;http://purl.obolibrary.org/obo/UBERON_0002906&gt;</t>
  </si>
  <si>
    <t>anterior occipital sulcus</t>
  </si>
  <si>
    <t>&lt;http://purl.obolibrary.org/obo/DHBA_146034784&gt;</t>
  </si>
  <si>
    <t>&lt;http://purl.obolibrary.org/obo/HBA_9385&gt;</t>
  </si>
  <si>
    <t>&lt;http://purl.obolibrary.org/obo/UBERON_0002266&gt;</t>
  </si>
  <si>
    <t>anterior olfactory nucleus</t>
  </si>
  <si>
    <t>&lt;http://purl.obolibrary.org/obo/DHBA_10308&gt;</t>
  </si>
  <si>
    <t>&lt;http://purl.obolibrary.org/obo/HBA_4324&gt;</t>
  </si>
  <si>
    <t>&lt;http://purl.obolibrary.org/obo/MBA_159&gt;</t>
  </si>
  <si>
    <t>&lt;http://purl.obolibrary.org/obo/UBERON_0022244&gt;</t>
  </si>
  <si>
    <t>anterior orbital gyrus</t>
  </si>
  <si>
    <t>&lt;http://purl.obolibrary.org/obo/HBA_4053&gt;</t>
  </si>
  <si>
    <t>&lt;http://purl.obolibrary.org/obo/UBERON_0022383&gt;</t>
  </si>
  <si>
    <t>anterior parahippocampal gyrus</t>
  </si>
  <si>
    <t>&lt;http://purl.obolibrary.org/obo/DHBA_12163&gt;</t>
  </si>
  <si>
    <t>&lt;http://purl.obolibrary.org/obo/UBERON_0000434&gt;</t>
  </si>
  <si>
    <t>anterior paraventricular nucleus of thalamus</t>
  </si>
  <si>
    <t>&lt;http://purl.obolibrary.org/obo/DMBA_16400&gt;</t>
  </si>
  <si>
    <t>periventricular nucleus of the hypothalamus, anterior part</t>
  </si>
  <si>
    <t>&lt;http://purl.obolibrary.org/obo/HBA_12906&gt;</t>
  </si>
  <si>
    <t>periventricular hypothalamic nucleus, anterior part</t>
  </si>
  <si>
    <t>&lt;http://purl.obolibrary.org/obo/MBA_30&gt;</t>
  </si>
  <si>
    <t>&lt;http://purl.obolibrary.org/obo/UBERON_0002919&gt;</t>
  </si>
  <si>
    <t>rostral parolfactory sulcus</t>
  </si>
  <si>
    <t>&lt;http://purl.obolibrary.org/obo/DHBA_146034824&gt;</t>
  </si>
  <si>
    <t>&lt;http://purl.obolibrary.org/obo/UBERON_0018141&gt;</t>
  </si>
  <si>
    <t>anterior perforated substance</t>
  </si>
  <si>
    <t>&lt;http://purl.obolibrary.org/obo/DHBA_10642&gt;</t>
  </si>
  <si>
    <t>&lt;http://purl.obolibrary.org/obo/UBERON_0034918&gt;</t>
  </si>
  <si>
    <t>anterior (ventral /principal) pretectal nucleus</t>
  </si>
  <si>
    <t>&lt;http://purl.obolibrary.org/obo/DHBA_12187&gt;</t>
  </si>
  <si>
    <t>&lt;http://purl.obolibrary.org/obo/UBERON_0035932&gt;</t>
  </si>
  <si>
    <t>paracentral lobule, anterior part</t>
  </si>
  <si>
    <t>&lt;http://purl.obolibrary.org/obo/HBA_4071&gt;</t>
  </si>
  <si>
    <t>&lt;http://purl.obolibrary.org/obo/UBERON_0002987&gt;</t>
  </si>
  <si>
    <t>ventral spinocerebellar tract</t>
  </si>
  <si>
    <t>&lt;http://purl.obolibrary.org/obo/DHBA_12801&gt;</t>
  </si>
  <si>
    <t>&lt;http://purl.obolibrary.org/obo/DMBA_17805&gt;</t>
  </si>
  <si>
    <t>&lt;http://purl.obolibrary.org/obo/MBA_866&gt;</t>
  </si>
  <si>
    <t>&lt;http://purl.obolibrary.org/obo/UBERON_0002672&gt;</t>
  </si>
  <si>
    <t>anterior subcentral sulcus</t>
  </si>
  <si>
    <t>&lt;http://purl.obolibrary.org/obo/DHBA_146034788&gt;</t>
  </si>
  <si>
    <t>&lt;http://purl.obolibrary.org/obo/UBERON_0010036&gt;</t>
  </si>
  <si>
    <t>anterior tegmental nucleus</t>
  </si>
  <si>
    <t>&lt;http://purl.obolibrary.org/obo/DMBA_17008&gt;</t>
  </si>
  <si>
    <t>&lt;http://purl.obolibrary.org/obo/MBA_231&gt;</t>
  </si>
  <si>
    <t>&lt;http://purl.obolibrary.org/obo/UBERON_0022237&gt;</t>
  </si>
  <si>
    <t>rostral thalamic peduncle</t>
  </si>
  <si>
    <t>&lt;http://purl.obolibrary.org/obo/DHBA_266441633&gt;</t>
  </si>
  <si>
    <t>&lt;http://purl.obolibrary.org/obo/HBA_265505274&gt;</t>
  </si>
  <si>
    <t>&lt;http://purl.obolibrary.org/obo/UBERON_0034746&gt;</t>
  </si>
  <si>
    <t>anterior thalamic radiation</t>
  </si>
  <si>
    <t>&lt;http://purl.obolibrary.org/obo/DHBA_12043&gt;</t>
  </si>
  <si>
    <t>&lt;http://purl.obolibrary.org/obo/UBERON_0002773&gt;</t>
  </si>
  <si>
    <t>Heschl's gyrus</t>
  </si>
  <si>
    <t>&lt;http://purl.obolibrary.org/obo/HBA_4165&gt;</t>
  </si>
  <si>
    <t>&lt;http://purl.obolibrary.org/obo/UBERON_0014521&gt;</t>
  </si>
  <si>
    <t>anterodorsal nucleus of medial geniculate complex, left</t>
  </si>
  <si>
    <t>&lt;http://purl.obolibrary.org/obo/HBA_4446&gt;</t>
  </si>
  <si>
    <t>&lt;http://purl.obolibrary.org/obo/UBERON_0002679&gt;</t>
  </si>
  <si>
    <t>anterodorsal nucleus of thalamus</t>
  </si>
  <si>
    <t>&lt;http://purl.obolibrary.org/obo/DHBA_10393&gt;</t>
  </si>
  <si>
    <t>anterodorsal nucleus</t>
  </si>
  <si>
    <t>&lt;http://purl.obolibrary.org/obo/DMBA_16420&gt;</t>
  </si>
  <si>
    <t>anterodorsal nucleus of the thalamus, left</t>
  </si>
  <si>
    <t>&lt;http://purl.obolibrary.org/obo/HBA_4398&gt;</t>
  </si>
  <si>
    <t>&lt;http://purl.obolibrary.org/obo/MBA_64&gt;</t>
  </si>
  <si>
    <t>&lt;http://purl.obolibrary.org/obo/UBERON_0035894&gt;</t>
  </si>
  <si>
    <t>anterolateral visual area</t>
  </si>
  <si>
    <t>&lt;http://purl.obolibrary.org/obo/MBA_402&gt;</t>
  </si>
  <si>
    <t>&lt;http://purl.obolibrary.org/obo/UBERON_0035908&gt;</t>
  </si>
  <si>
    <t>anterolateral visual area, layer 5</t>
  </si>
  <si>
    <t>&lt;http://purl.obolibrary.org/obo/MBA_233&gt;</t>
  </si>
  <si>
    <t>&lt;http://purl.obolibrary.org/obo/UBERON_0002681&gt;</t>
  </si>
  <si>
    <t>anteromedial nucleus of thalamus</t>
  </si>
  <si>
    <t>&lt;http://purl.obolibrary.org/obo/DHBA_10394&gt;</t>
  </si>
  <si>
    <t>anteromedial nucleus</t>
  </si>
  <si>
    <t>&lt;http://purl.obolibrary.org/obo/DMBA_16422&gt;</t>
  </si>
  <si>
    <t>anteromedial nucleus of the thalamus, left</t>
  </si>
  <si>
    <t>&lt;http://purl.obolibrary.org/obo/HBA_4396&gt;</t>
  </si>
  <si>
    <t>&lt;http://purl.obolibrary.org/obo/MBA_127&gt;</t>
  </si>
  <si>
    <t>&lt;http://purl.obolibrary.org/obo/UBERON_0035893&gt;</t>
  </si>
  <si>
    <t>anteromedial visual area</t>
  </si>
  <si>
    <t>&lt;http://purl.obolibrary.org/obo/MBA_394&gt;</t>
  </si>
  <si>
    <t>&lt;http://purl.obolibrary.org/obo/UBERON_0035913&gt;</t>
  </si>
  <si>
    <t>anteromedial visual area, layer 5</t>
  </si>
  <si>
    <t>&lt;http://purl.obolibrary.org/obo/MBA_433&gt;</t>
  </si>
  <si>
    <t>&lt;http://purl.obolibrary.org/obo/UBERON_0002830&gt;</t>
  </si>
  <si>
    <t>ventral cochlear nucleus, rostral part</t>
  </si>
  <si>
    <t>&lt;http://purl.obolibrary.org/obo/DHBA_12440&gt;</t>
  </si>
  <si>
    <t>anteroventral cochlear nucleus, left</t>
  </si>
  <si>
    <t>&lt;http://purl.obolibrary.org/obo/HBA_9532&gt;</t>
  </si>
  <si>
    <t>&lt;http://purl.obolibrary.org/obo/UBERON_0002685&gt;</t>
  </si>
  <si>
    <t>anteroventral nucleus of thalamus</t>
  </si>
  <si>
    <t>&lt;http://purl.obolibrary.org/obo/DHBA_10395&gt;</t>
  </si>
  <si>
    <t>anteroventral nucleus</t>
  </si>
  <si>
    <t>&lt;http://purl.obolibrary.org/obo/DMBA_16421&gt;</t>
  </si>
  <si>
    <t>anteroventral nucleus of the thalamus, left</t>
  </si>
  <si>
    <t>&lt;http://purl.obolibrary.org/obo/HBA_4397&gt;</t>
  </si>
  <si>
    <t>&lt;http://purl.obolibrary.org/obo/MBA_255&gt;</t>
  </si>
  <si>
    <t>&lt;http://purl.obolibrary.org/obo/UBERON_0002690&gt;</t>
  </si>
  <si>
    <t>anteroventral periventricular nucleus</t>
  </si>
  <si>
    <t>&lt;http://purl.obolibrary.org/obo/DHBA_13061&gt;</t>
  </si>
  <si>
    <t>anteroventral periventricular nucleus, left</t>
  </si>
  <si>
    <t>&lt;http://purl.obolibrary.org/obo/HBA_4550&gt;</t>
  </si>
  <si>
    <t>&lt;http://purl.obolibrary.org/obo/MBA_272&gt;</t>
  </si>
  <si>
    <t>&lt;http://purl.obolibrary.org/obo/UBERON_0035974&gt;</t>
  </si>
  <si>
    <t>anteroventral preoptic nucleus</t>
  </si>
  <si>
    <t>&lt;http://purl.obolibrary.org/obo/MBA_263&gt;</t>
  </si>
  <si>
    <t>&lt;http://purl.obolibrary.org/obo/UBERON_0002961&gt;</t>
  </si>
  <si>
    <t>archicortex</t>
  </si>
  <si>
    <t>&lt;http://purl.obolibrary.org/obo/DHBA_10293&gt;</t>
  </si>
  <si>
    <t>&lt;http://purl.obolibrary.org/obo/UBERON_0035937&gt;</t>
  </si>
  <si>
    <t>arcuate fasciculus</t>
  </si>
  <si>
    <t>&lt;http://purl.obolibrary.org/obo/DHBA_10569&gt;</t>
  </si>
  <si>
    <t>&lt;http://purl.obolibrary.org/obo/HBA_9231&gt;</t>
  </si>
  <si>
    <t>&lt;http://purl.obolibrary.org/obo/UBERON_0001932&gt;</t>
  </si>
  <si>
    <t>arcuate nucleus of hypothalamus</t>
  </si>
  <si>
    <t>&lt;http://purl.obolibrary.org/obo/DHBA_10492&gt;</t>
  </si>
  <si>
    <t>arcuate nucleus of the hypothalamus</t>
  </si>
  <si>
    <t>&lt;http://purl.obolibrary.org/obo/HBA_12913&gt;</t>
  </si>
  <si>
    <t>arcuate hypothalamic nucleus</t>
  </si>
  <si>
    <t>&lt;http://purl.obolibrary.org/obo/MBA_223&gt;</t>
  </si>
  <si>
    <t>&lt;http://purl.obolibrary.org/obo/UBERON_0002865&gt;</t>
  </si>
  <si>
    <t>arcuate nucleus of medulla oblongata</t>
  </si>
  <si>
    <t>&lt;http://purl.obolibrary.org/obo/DHBA_12536&gt;</t>
  </si>
  <si>
    <t>arcuate nucleus of medulla</t>
  </si>
  <si>
    <t>&lt;http://purl.obolibrary.org/obo/HBA_9519&gt;</t>
  </si>
  <si>
    <t>&lt;http://purl.obolibrary.org/obo/UBERON_0002687&gt;</t>
  </si>
  <si>
    <t>nucleus X (preaccessory cuneate nucleus)</t>
  </si>
  <si>
    <t>&lt;http://purl.obolibrary.org/obo/DHBA_12653&gt;</t>
  </si>
  <si>
    <t>&lt;http://purl.obolibrary.org/obo/UBERON_0002162&gt;</t>
  </si>
  <si>
    <t>area postrema</t>
  </si>
  <si>
    <t>&lt;http://purl.obolibrary.org/obo/DHBA_12807&gt;</t>
  </si>
  <si>
    <t>&lt;http://purl.obolibrary.org/obo/HBA_9522&gt;</t>
  </si>
  <si>
    <t>&lt;http://purl.obolibrary.org/obo/MBA_207&gt;</t>
  </si>
  <si>
    <t>&lt;http://purl.obolibrary.org/obo/UBERON_0001393&gt;</t>
  </si>
  <si>
    <t>auditory areas</t>
  </si>
  <si>
    <t>&lt;http://purl.obolibrary.org/obo/MBA_247&gt;</t>
  </si>
  <si>
    <t>&lt;http://purl.obolibrary.org/obo/UBERON_0022262&gt;</t>
  </si>
  <si>
    <t>acoustic radiation</t>
  </si>
  <si>
    <t>&lt;http://purl.obolibrary.org/obo/DHBA_266441583&gt;</t>
  </si>
  <si>
    <t>&lt;http://purl.obolibrary.org/obo/HBA_265504974&gt;</t>
  </si>
  <si>
    <t>&lt;http://purl.obolibrary.org/obo/UBERON_0010415&gt;</t>
  </si>
  <si>
    <t>primary somatosensory area, barrel field</t>
  </si>
  <si>
    <t>&lt;http://purl.obolibrary.org/obo/MBA_329&gt;</t>
  </si>
  <si>
    <t>&lt;http://purl.obolibrary.org/obo/UBERON_0002887&gt;</t>
  </si>
  <si>
    <t>basolateral nucleus</t>
  </si>
  <si>
    <t>&lt;http://purl.obolibrary.org/obo/HBA_4341&gt;</t>
  </si>
  <si>
    <t>basolateral amygdalar nucleus</t>
  </si>
  <si>
    <t>&lt;http://purl.obolibrary.org/obo/MBA_295&gt;</t>
  </si>
  <si>
    <t>&lt;http://purl.obolibrary.org/obo/UBERON_0002743&gt;</t>
  </si>
  <si>
    <t>basal forebrain</t>
  </si>
  <si>
    <t>&lt;http://purl.obolibrary.org/obo/DHBA_10349&gt;</t>
  </si>
  <si>
    <t>&lt;http://purl.obolibrary.org/obo/HBA_4300&gt;</t>
  </si>
  <si>
    <t>&lt;http://purl.obolibrary.org/obo/PBA_128012976&gt;</t>
  </si>
  <si>
    <t>&lt;http://purl.obolibrary.org/obo/UBERON_0002420&gt;</t>
  </si>
  <si>
    <t>basal nuclei (basal ganglia)</t>
  </si>
  <si>
    <t>&lt;http://purl.obolibrary.org/obo/DHBA_10332&gt;</t>
  </si>
  <si>
    <t>&lt;http://purl.obolibrary.org/obo/UBERON_0010010&gt;</t>
  </si>
  <si>
    <t>basal nucleus of Meynert</t>
  </si>
  <si>
    <t>&lt;http://purl.obolibrary.org/obo/DHBA_10353&gt;</t>
  </si>
  <si>
    <t>basal nucleus of meynert, left</t>
  </si>
  <si>
    <t>&lt;http://purl.obolibrary.org/obo/HBA_4308&gt;</t>
  </si>
  <si>
    <t>&lt;http://purl.obolibrary.org/obo/PBA_10141&gt;</t>
  </si>
  <si>
    <t>&lt;http://purl.obolibrary.org/obo/UBERON_0002567&gt;</t>
  </si>
  <si>
    <t>basilar part of pons</t>
  </si>
  <si>
    <t>&lt;http://purl.obolibrary.org/obo/DHBA_12405&gt;</t>
  </si>
  <si>
    <t>basal part of pons</t>
  </si>
  <si>
    <t>&lt;http://purl.obolibrary.org/obo/HBA_9132&gt;</t>
  </si>
  <si>
    <t>&lt;http://purl.obolibrary.org/obo/UBERON_0034993&gt;</t>
  </si>
  <si>
    <t>basal ventral medial nucleus of the thalamus, left</t>
  </si>
  <si>
    <t>&lt;http://purl.obolibrary.org/obo/HBA_4427&gt;</t>
  </si>
  <si>
    <t>&lt;http://purl.obolibrary.org/obo/UBERON_0006107&gt;</t>
  </si>
  <si>
    <t>basolateral nuclear group</t>
  </si>
  <si>
    <t>&lt;http://purl.obolibrary.org/obo/DHBA_10366&gt;</t>
  </si>
  <si>
    <t>basolateral nuclear complex</t>
  </si>
  <si>
    <t>&lt;http://purl.obolibrary.org/obo/PBA_128012678&gt;</t>
  </si>
  <si>
    <t>&lt;http://purl.obolibrary.org/obo/UBERON_0001880&gt;</t>
  </si>
  <si>
    <t>bed nucleus of stria terminalis</t>
  </si>
  <si>
    <t>&lt;http://purl.obolibrary.org/obo/DHBA_10384&gt;</t>
  </si>
  <si>
    <t>bed  nucleus of stria terminalis, left</t>
  </si>
  <si>
    <t>&lt;http://purl.obolibrary.org/obo/HBA_4313&gt;</t>
  </si>
  <si>
    <t>bed nuclei of the stria terminalis</t>
  </si>
  <si>
    <t>&lt;http://purl.obolibrary.org/obo/MBA_351&gt;</t>
  </si>
  <si>
    <t>&lt;http://purl.obolibrary.org/obo/UBERON_0035977&gt;</t>
  </si>
  <si>
    <t>bed nucleus of the accessory olfactory tract</t>
  </si>
  <si>
    <t>&lt;http://purl.obolibrary.org/obo/MBA_292&gt;</t>
  </si>
  <si>
    <t>&lt;http://purl.obolibrary.org/obo/UBERON_0002630&gt;</t>
  </si>
  <si>
    <t>body of caudate</t>
  </si>
  <si>
    <t>&lt;http://purl.obolibrary.org/obo/DHBA_10336&gt;</t>
  </si>
  <si>
    <t>body of the caudate nucleus</t>
  </si>
  <si>
    <t>&lt;http://purl.obolibrary.org/obo/HBA_12899&gt;</t>
  </si>
  <si>
    <t>&lt;http://purl.obolibrary.org/obo/UBERON_0015510&gt;</t>
  </si>
  <si>
    <t>body of corpus callosum</t>
  </si>
  <si>
    <t>&lt;http://purl.obolibrary.org/obo/DHBA_10564&gt;</t>
  </si>
  <si>
    <t>body of the corpus callosum</t>
  </si>
  <si>
    <t>&lt;http://purl.obolibrary.org/obo/HBA_9224&gt;</t>
  </si>
  <si>
    <t>&lt;http://purl.obolibrary.org/obo/UBERON_0004680&gt;</t>
  </si>
  <si>
    <t>column of the fornix</t>
  </si>
  <si>
    <t>&lt;http://purl.obolibrary.org/obo/DHBA_10577&gt;</t>
  </si>
  <si>
    <t>body of the fornix</t>
  </si>
  <si>
    <t>&lt;http://purl.obolibrary.org/obo/DHBA_10578&gt;</t>
  </si>
  <si>
    <t>body of the fornix, left</t>
  </si>
  <si>
    <t>&lt;http://purl.obolibrary.org/obo/HBA_9252&gt;</t>
  </si>
  <si>
    <t>columns of the fornix</t>
  </si>
  <si>
    <t>&lt;http://purl.obolibrary.org/obo/MBA_436&gt;</t>
  </si>
  <si>
    <t>&lt;http://purl.obolibrary.org/obo/UBERON_0002655&gt;</t>
  </si>
  <si>
    <t>body of lateral ventricle</t>
  </si>
  <si>
    <t>&lt;http://purl.obolibrary.org/obo/DHBA_10598&gt;</t>
  </si>
  <si>
    <t>&lt;http://purl.obolibrary.org/obo/UBERON_0003025&gt;</t>
  </si>
  <si>
    <t>brachium of inferior colliculus</t>
  </si>
  <si>
    <t>&lt;http://purl.obolibrary.org/obo/DHBA_12327&gt;</t>
  </si>
  <si>
    <t>&lt;http://purl.obolibrary.org/obo/DMBA_17753&gt;</t>
  </si>
  <si>
    <t>brachium of the inferior colliculus</t>
  </si>
  <si>
    <t>&lt;http://purl.obolibrary.org/obo/HBA_265505386&gt;</t>
  </si>
  <si>
    <t>&lt;http://purl.obolibrary.org/obo/MBA_482&gt;</t>
  </si>
  <si>
    <t>&lt;http://purl.obolibrary.org/obo/UBERON_0002580&gt;</t>
  </si>
  <si>
    <t>brachium of superior colliculus</t>
  </si>
  <si>
    <t>&lt;http://purl.obolibrary.org/obo/DHBA_12328&gt;</t>
  </si>
  <si>
    <t>brachium of the superior colliculus</t>
  </si>
  <si>
    <t>&lt;http://purl.obolibrary.org/obo/HBA_265505398&gt;</t>
  </si>
  <si>
    <t>&lt;http://purl.obolibrary.org/obo/MBA_916&gt;</t>
  </si>
  <si>
    <t>&lt;http://purl.obolibrary.org/obo/UBERON_0000955&gt;</t>
  </si>
  <si>
    <t>brain</t>
  </si>
  <si>
    <t>&lt;http://purl.obolibrary.org/obo/DHBA_10155&gt;</t>
  </si>
  <si>
    <t>&lt;http://purl.obolibrary.org/obo/HBA_4005&gt;</t>
  </si>
  <si>
    <t>basic cell groups and regions</t>
  </si>
  <si>
    <t>&lt;http://purl.obolibrary.org/obo/MBA_8&gt;</t>
  </si>
  <si>
    <t>root</t>
  </si>
  <si>
    <t>&lt;http://purl.obolibrary.org/obo/MBA_997&gt;</t>
  </si>
  <si>
    <t>&lt;http://purl.obolibrary.org/obo/PBA_3999&gt;</t>
  </si>
  <si>
    <t>&lt;http://purl.obolibrary.org/obo/UBERON_0005970&gt;</t>
  </si>
  <si>
    <t>cerebellar commissure</t>
  </si>
  <si>
    <t>&lt;http://purl.obolibrary.org/obo/DMBA_17754&gt;</t>
  </si>
  <si>
    <t>&lt;http://purl.obolibrary.org/obo/MBA_744&gt;</t>
  </si>
  <si>
    <t>ventral commissure of the spinal cord</t>
  </si>
  <si>
    <t>&lt;http://purl.obolibrary.org/obo/MBA_858&gt;</t>
  </si>
  <si>
    <t>&lt;http://purl.obolibrary.org/obo/UBERON_0003528&gt;</t>
  </si>
  <si>
    <t>gray matter</t>
  </si>
  <si>
    <t>&lt;http://purl.obolibrary.org/obo/HBA_4006&gt;</t>
  </si>
  <si>
    <t>&lt;http://purl.obolibrary.org/obo/UBERON_0010403&gt;</t>
  </si>
  <si>
    <t>marginal zone</t>
  </si>
  <si>
    <t>&lt;http://purl.obolibrary.org/obo/DHBA_10508&gt;</t>
  </si>
  <si>
    <t>&lt;http://purl.obolibrary.org/obo/UBERON_0004086&gt;</t>
  </si>
  <si>
    <t>ventricles</t>
  </si>
  <si>
    <t>&lt;http://purl.obolibrary.org/obo/HBA_9418&gt;</t>
  </si>
  <si>
    <t>&lt;http://purl.obolibrary.org/obo/UBERON_0003544&gt;</t>
  </si>
  <si>
    <t>medial olfactory tract</t>
  </si>
  <si>
    <t>&lt;http://purl.obolibrary.org/obo/DMBA_17779&gt;</t>
  </si>
  <si>
    <t>white matter</t>
  </si>
  <si>
    <t>&lt;http://purl.obolibrary.org/obo/HBA_9218&gt;</t>
  </si>
  <si>
    <t>&lt;http://purl.obolibrary.org/obo/UBERON_0002298&gt;</t>
  </si>
  <si>
    <t>brain stem</t>
  </si>
  <si>
    <t>&lt;http://purl.obolibrary.org/obo/MBA_343&gt;</t>
  </si>
  <si>
    <t>&lt;http://purl.obolibrary.org/obo/UBERON_0006331&gt;</t>
  </si>
  <si>
    <t>substantia nigra</t>
  </si>
  <si>
    <t>&lt;http://purl.obolibrary.org/obo/DHBA_12251&gt;</t>
  </si>
  <si>
    <t>interfascicular nucleus</t>
  </si>
  <si>
    <t>&lt;http://purl.obolibrary.org/obo/DHBA_12262&gt;</t>
  </si>
  <si>
    <t>subbrachial nucleus</t>
  </si>
  <si>
    <t>&lt;http://purl.obolibrary.org/obo/DHBA_12290&gt;</t>
  </si>
  <si>
    <t>nuclei of lateral lemniscus</t>
  </si>
  <si>
    <t>&lt;http://purl.obolibrary.org/obo/DHBA_12454&gt;</t>
  </si>
  <si>
    <t>subcoeruleus nucleus</t>
  </si>
  <si>
    <t>&lt;http://purl.obolibrary.org/obo/DHBA_12500&gt;</t>
  </si>
  <si>
    <t>lateral terminal nucleus of accessory optic tract</t>
  </si>
  <si>
    <t>&lt;http://purl.obolibrary.org/obo/DHBA_13236&gt;</t>
  </si>
  <si>
    <t>medial preoptic nucleus</t>
  </si>
  <si>
    <t>&lt;http://purl.obolibrary.org/obo/DMBA_15604&gt;</t>
  </si>
  <si>
    <t>supraoptic nucleus</t>
  </si>
  <si>
    <t>&lt;http://purl.obolibrary.org/obo/DMBA_15633&gt;</t>
  </si>
  <si>
    <t>suprachiasmatic nucleus</t>
  </si>
  <si>
    <t>&lt;http://purl.obolibrary.org/obo/DMBA_15660&gt;</t>
  </si>
  <si>
    <t>ventromedial hypothalamic nucleus</t>
  </si>
  <si>
    <t>&lt;http://purl.obolibrary.org/obo/DMBA_15675&gt;</t>
  </si>
  <si>
    <t>dorsal premammillary nucleus</t>
  </si>
  <si>
    <t>&lt;http://purl.obolibrary.org/obo/DMBA_15719&gt;</t>
  </si>
  <si>
    <t>medial mammillary nucleus</t>
  </si>
  <si>
    <t>&lt;http://purl.obolibrary.org/obo/DMBA_15729&gt;</t>
  </si>
  <si>
    <t>lateral mammillary nucleus</t>
  </si>
  <si>
    <t>&lt;http://purl.obolibrary.org/obo/DMBA_15734&gt;</t>
  </si>
  <si>
    <t>lateral tuberal nucleus</t>
  </si>
  <si>
    <t>&lt;http://purl.obolibrary.org/obo/DMBA_16271&gt;</t>
  </si>
  <si>
    <t>pregeniculate nucleus</t>
  </si>
  <si>
    <t>&lt;http://purl.obolibrary.org/obo/DMBA_16341&gt;</t>
  </si>
  <si>
    <t>medial habenular nucleus</t>
  </si>
  <si>
    <t>&lt;http://purl.obolibrary.org/obo/DMBA_16388&gt;</t>
  </si>
  <si>
    <t>centromedian nucleus</t>
  </si>
  <si>
    <t>&lt;http://purl.obolibrary.org/obo/DMBA_16402&gt;</t>
  </si>
  <si>
    <t>rhomboid nucleus</t>
  </si>
  <si>
    <t>&lt;http://purl.obolibrary.org/obo/DMBA_16405&gt;</t>
  </si>
  <si>
    <t>paratenial nucleus</t>
  </si>
  <si>
    <t>&lt;http://purl.obolibrary.org/obo/DMBA_16410&gt;</t>
  </si>
  <si>
    <t>paracentral nucleus</t>
  </si>
  <si>
    <t>&lt;http://purl.obolibrary.org/obo/DMBA_16416&gt;</t>
  </si>
  <si>
    <t>central lateral nucleus</t>
  </si>
  <si>
    <t>&lt;http://purl.obolibrary.org/obo/DMBA_16418&gt;</t>
  </si>
  <si>
    <t>ventral nuclei</t>
  </si>
  <si>
    <t>&lt;http://purl.obolibrary.org/obo/DMBA_16423&gt;</t>
  </si>
  <si>
    <t>submedius thalamic nucleus</t>
  </si>
  <si>
    <t>&lt;http://purl.obolibrary.org/obo/DMBA_16426&gt;</t>
  </si>
  <si>
    <t>ventral anterior nucleus</t>
  </si>
  <si>
    <t>&lt;http://purl.obolibrary.org/obo/DMBA_16427&gt;</t>
  </si>
  <si>
    <t>ventral lateral nucleus</t>
  </si>
  <si>
    <t>&lt;http://purl.obolibrary.org/obo/DMBA_16428&gt;</t>
  </si>
  <si>
    <t>ventral posteromedial nucleus</t>
  </si>
  <si>
    <t>&lt;http://purl.obolibrary.org/obo/DMBA_16429&gt;</t>
  </si>
  <si>
    <t>ventral posterolateral nucleus</t>
  </si>
  <si>
    <t>&lt;http://purl.obolibrary.org/obo/DMBA_16430&gt;</t>
  </si>
  <si>
    <t>lateral posterior nucleus</t>
  </si>
  <si>
    <t>&lt;http://purl.obolibrary.org/obo/DMBA_16435&gt;</t>
  </si>
  <si>
    <t>dorsal lateral geniculate nucleus</t>
  </si>
  <si>
    <t>&lt;http://purl.obolibrary.org/obo/DMBA_16436&gt;</t>
  </si>
  <si>
    <t>posterior paraventricular nucleus</t>
  </si>
  <si>
    <t>&lt;http://purl.obolibrary.org/obo/DMBA_16441&gt;</t>
  </si>
  <si>
    <t>parafascicular nucleus</t>
  </si>
  <si>
    <t>&lt;http://purl.obolibrary.org/obo/DMBA_16442&gt;</t>
  </si>
  <si>
    <t>suprageniculate nucleus</t>
  </si>
  <si>
    <t>&lt;http://purl.obolibrary.org/obo/DMBA_16452&gt;</t>
  </si>
  <si>
    <t>medial pretectal nucleus</t>
  </si>
  <si>
    <t>&lt;http://purl.obolibrary.org/obo/DMBA_16585&gt;</t>
  </si>
  <si>
    <t>principal pretectal nucleus</t>
  </si>
  <si>
    <t>&lt;http://purl.obolibrary.org/obo/DMBA_16586&gt;</t>
  </si>
  <si>
    <t>olivary pretectal nucleus</t>
  </si>
  <si>
    <t>&lt;http://purl.obolibrary.org/obo/DMBA_16589&gt;</t>
  </si>
  <si>
    <t>dorsal terminal nucleus of the accessory optic tract</t>
  </si>
  <si>
    <t>&lt;http://purl.obolibrary.org/obo/DMBA_16590&gt;</t>
  </si>
  <si>
    <t>intermediate pretectal nucleus</t>
  </si>
  <si>
    <t>&lt;http://purl.obolibrary.org/obo/DMBA_16598&gt;</t>
  </si>
  <si>
    <t>central nucleus of the inferior colliculus</t>
  </si>
  <si>
    <t>&lt;http://purl.obolibrary.org/obo/DMBA_16698&gt;</t>
  </si>
  <si>
    <t>medial (fastigial) cerebellar nucleus</t>
  </si>
  <si>
    <t>&lt;http://purl.obolibrary.org/obo/DMBA_16823&gt;</t>
  </si>
  <si>
    <t>parabigeminal nucleus</t>
  </si>
  <si>
    <t>&lt;http://purl.obolibrary.org/obo/DMBA_16862&gt;</t>
  </si>
  <si>
    <t>intermediate (interpositus) cerebellar nucleus</t>
  </si>
  <si>
    <t>&lt;http://purl.obolibrary.org/obo/DMBA_16929&gt;</t>
  </si>
  <si>
    <t>&lt;http://purl.obolibrary.org/obo/HBA_9072&gt;</t>
  </si>
  <si>
    <t>nucleus subceruleus</t>
  </si>
  <si>
    <t>&lt;http://purl.obolibrary.org/obo/HBA_9154&gt;</t>
  </si>
  <si>
    <t>caudal linear nucleus, left</t>
  </si>
  <si>
    <t>&lt;http://purl.obolibrary.org/obo/HBA_9470&gt;</t>
  </si>
  <si>
    <t>interfascicular nucleus, left</t>
  </si>
  <si>
    <t>&lt;http://purl.obolibrary.org/obo/HBA_9472&gt;</t>
  </si>
  <si>
    <t>ventral premammillary nucleus</t>
  </si>
  <si>
    <t>&lt;http://purl.obolibrary.org/obo/MBA_1004&gt;</t>
  </si>
  <si>
    <t>geniculate group, dorsal thalamus</t>
  </si>
  <si>
    <t>&lt;http://purl.obolibrary.org/obo/MBA_1008&gt;</t>
  </si>
  <si>
    <t>posterior pretectal nucleus</t>
  </si>
  <si>
    <t>&lt;http://purl.obolibrary.org/obo/MBA_1061&gt;</t>
  </si>
  <si>
    <t>medial geniculate complex, dorsal part</t>
  </si>
  <si>
    <t>&lt;http://purl.obolibrary.org/obo/MBA_1072&gt;</t>
  </si>
  <si>
    <t>medial geniculate complex, ventral part</t>
  </si>
  <si>
    <t>&lt;http://purl.obolibrary.org/obo/MBA_1079&gt;</t>
  </si>
  <si>
    <t>medial geniculate complex, medial part</t>
  </si>
  <si>
    <t>&lt;http://purl.obolibrary.org/obo/MBA_1088&gt;</t>
  </si>
  <si>
    <t>periventricular hypothalamic nucleus, intermediate part</t>
  </si>
  <si>
    <t>&lt;http://purl.obolibrary.org/obo/MBA_118&gt;</t>
  </si>
  <si>
    <t>interfascicular nucleus raphe</t>
  </si>
  <si>
    <t>&lt;http://purl.obolibrary.org/obo/MBA_12&gt;</t>
  </si>
  <si>
    <t>periventricular hypothalamic nucleus, posterior part</t>
  </si>
  <si>
    <t>&lt;http://purl.obolibrary.org/obo/MBA_126&gt;</t>
  </si>
  <si>
    <t>periventricular hypothalamic nucleus, preoptic part</t>
  </si>
  <si>
    <t>&lt;http://purl.obolibrary.org/obo/MBA_133&gt;</t>
  </si>
  <si>
    <t>lateral group of the dorsal thalamus</t>
  </si>
  <si>
    <t>&lt;http://purl.obolibrary.org/obo/MBA_138&gt;</t>
  </si>
  <si>
    <t>paraventricular nucleus of the thalamus</t>
  </si>
  <si>
    <t>&lt;http://purl.obolibrary.org/obo/MBA_149&gt;</t>
  </si>
  <si>
    <t>parataenial nucleus</t>
  </si>
  <si>
    <t>&lt;http://purl.obolibrary.org/obo/MBA_15&gt;</t>
  </si>
  <si>
    <t>lateral dorsal nucleus of thalamus</t>
  </si>
  <si>
    <t>&lt;http://purl.obolibrary.org/obo/MBA_155&gt;</t>
  </si>
  <si>
    <t>dorsal part of the lateral geniculate complex</t>
  </si>
  <si>
    <t>&lt;http://purl.obolibrary.org/obo/MBA_170&gt;</t>
  </si>
  <si>
    <t>ventral part of the lateral geniculate complex</t>
  </si>
  <si>
    <t>&lt;http://purl.obolibrary.org/obo/MBA_178&gt;</t>
  </si>
  <si>
    <t>nucleus of reunions</t>
  </si>
  <si>
    <t>&lt;http://purl.obolibrary.org/obo/MBA_181&gt;</t>
  </si>
  <si>
    <t>lateral habenula</t>
  </si>
  <si>
    <t>&lt;http://purl.obolibrary.org/obo/MBA_186&gt;</t>
  </si>
  <si>
    <t>&lt;http://purl.obolibrary.org/obo/MBA_189&gt;</t>
  </si>
  <si>
    <t>&lt;http://purl.obolibrary.org/obo/MBA_210&gt;</t>
  </si>
  <si>
    <t>lateral posterior nucleus of the thalamus</t>
  </si>
  <si>
    <t>&lt;http://purl.obolibrary.org/obo/MBA_218&gt;</t>
  </si>
  <si>
    <t>lateral preoptic area</t>
  </si>
  <si>
    <t>&lt;http://purl.obolibrary.org/obo/MBA_226&gt;</t>
  </si>
  <si>
    <t>reticular nucleus of the thalamus</t>
  </si>
  <si>
    <t>&lt;http://purl.obolibrary.org/obo/MBA_262&gt;</t>
  </si>
  <si>
    <t>&lt;http://purl.obolibrary.org/obo/MBA_286&gt;</t>
  </si>
  <si>
    <t>&lt;http://purl.obolibrary.org/obo/MBA_325&gt;</t>
  </si>
  <si>
    <t>subceruleus nucleus</t>
  </si>
  <si>
    <t>&lt;http://purl.obolibrary.org/obo/MBA_350&gt;</t>
  </si>
  <si>
    <t>mediodorsal nucleus of thalamus</t>
  </si>
  <si>
    <t>&lt;http://purl.obolibrary.org/obo/MBA_362&gt;</t>
  </si>
  <si>
    <t>submedial nucleus of the thalamus</t>
  </si>
  <si>
    <t>&lt;http://purl.obolibrary.org/obo/MBA_366&gt;</t>
  </si>
  <si>
    <t>paraventricular hypothalamic nucleus</t>
  </si>
  <si>
    <t>&lt;http://purl.obolibrary.org/obo/MBA_38&gt;</t>
  </si>
  <si>
    <t>&lt;http://purl.obolibrary.org/obo/MBA_390&gt;</t>
  </si>
  <si>
    <t>subparafascicular nucleus</t>
  </si>
  <si>
    <t>&lt;http://purl.obolibrary.org/obo/MBA_406&gt;</t>
  </si>
  <si>
    <t>nucleus circularis</t>
  </si>
  <si>
    <t>&lt;http://purl.obolibrary.org/obo/MBA_432&gt;</t>
  </si>
  <si>
    <t>median preoptic nucleus</t>
  </si>
  <si>
    <t>&lt;http://purl.obolibrary.org/obo/MBA_452&gt;</t>
  </si>
  <si>
    <t>subthalamic nucleus</t>
  </si>
  <si>
    <t>&lt;http://purl.obolibrary.org/obo/MBA_470&gt;</t>
  </si>
  <si>
    <t>medial habenula</t>
  </si>
  <si>
    <t>&lt;http://purl.obolibrary.org/obo/MBA_483&gt;</t>
  </si>
  <si>
    <t>&lt;http://purl.obolibrary.org/obo/MBA_491&gt;</t>
  </si>
  <si>
    <t>intralaminar nuclei of the dorsal thalamus</t>
  </si>
  <si>
    <t>&lt;http://purl.obolibrary.org/obo/MBA_51&gt;</t>
  </si>
  <si>
    <t>&lt;http://purl.obolibrary.org/obo/MBA_515&gt;</t>
  </si>
  <si>
    <t>supramammillary nucleus</t>
  </si>
  <si>
    <t>&lt;http://purl.obolibrary.org/obo/MBA_525&gt;</t>
  </si>
  <si>
    <t>tuberomammillary nucleus</t>
  </si>
  <si>
    <t>&lt;http://purl.obolibrary.org/obo/MBA_557&gt;</t>
  </si>
  <si>
    <t>midline group of the dorsal thalamus</t>
  </si>
  <si>
    <t>&lt;http://purl.obolibrary.org/obo/MBA_571&gt;</t>
  </si>
  <si>
    <t>central lateral nucleus of the thalamus</t>
  </si>
  <si>
    <t>&lt;http://purl.obolibrary.org/obo/MBA_575&gt;</t>
  </si>
  <si>
    <t>medial terminal nucleus of the accessory optic tract</t>
  </si>
  <si>
    <t>&lt;http://purl.obolibrary.org/obo/MBA_58&gt;</t>
  </si>
  <si>
    <t>central medial nucleus of the thalamus</t>
  </si>
  <si>
    <t>&lt;http://purl.obolibrary.org/obo/MBA_599&gt;</t>
  </si>
  <si>
    <t>nucleus of the lateral lemniscus</t>
  </si>
  <si>
    <t>&lt;http://purl.obolibrary.org/obo/MBA_612&gt;</t>
  </si>
  <si>
    <t>tuberal nucleus</t>
  </si>
  <si>
    <t>&lt;http://purl.obolibrary.org/obo/MBA_614&gt;</t>
  </si>
  <si>
    <t>nucleus of the optic tract</t>
  </si>
  <si>
    <t>&lt;http://purl.obolibrary.org/obo/MBA_628&gt;</t>
  </si>
  <si>
    <t>ventral group of the dorsal thalamus</t>
  </si>
  <si>
    <t>&lt;http://purl.obolibrary.org/obo/MBA_637&gt;</t>
  </si>
  <si>
    <t>lateral terminal nucleus of the accessory optic tract</t>
  </si>
  <si>
    <t>&lt;http://purl.obolibrary.org/obo/MBA_66&gt;</t>
  </si>
  <si>
    <t>&lt;http://purl.obolibrary.org/obo/MBA_693&gt;</t>
  </si>
  <si>
    <t>&lt;http://purl.obolibrary.org/obo/MBA_706&gt;</t>
  </si>
  <si>
    <t>ventral posterior complex of the thalamus</t>
  </si>
  <si>
    <t>&lt;http://purl.obolibrary.org/obo/MBA_709&gt;</t>
  </si>
  <si>
    <t>ventral posterolateral nucleus of the thalamus</t>
  </si>
  <si>
    <t>&lt;http://purl.obolibrary.org/obo/MBA_718&gt;</t>
  </si>
  <si>
    <t>ventral posteromedial nucleus of the thalamus</t>
  </si>
  <si>
    <t>&lt;http://purl.obolibrary.org/obo/MBA_733&gt;</t>
  </si>
  <si>
    <t>&lt;http://purl.obolibrary.org/obo/MBA_75&gt;</t>
  </si>
  <si>
    <t>zona incerta</t>
  </si>
  <si>
    <t>&lt;http://purl.obolibrary.org/obo/MBA_797&gt;</t>
  </si>
  <si>
    <t>inferior colliculus, central nucleus</t>
  </si>
  <si>
    <t>&lt;http://purl.obolibrary.org/obo/MBA_811&gt;</t>
  </si>
  <si>
    <t>inferior colliculus, dorsal nucleus</t>
  </si>
  <si>
    <t>&lt;http://purl.obolibrary.org/obo/MBA_820&gt;</t>
  </si>
  <si>
    <t>inferior colliculus, external nucleus</t>
  </si>
  <si>
    <t>&lt;http://purl.obolibrary.org/obo/MBA_828&gt;</t>
  </si>
  <si>
    <t>dorsomedial nucleus of the hypothalamus</t>
  </si>
  <si>
    <t>&lt;http://purl.obolibrary.org/obo/MBA_830&gt;</t>
  </si>
  <si>
    <t>&lt;http://purl.obolibrary.org/obo/MBA_874&gt;</t>
  </si>
  <si>
    <t>&lt;http://purl.obolibrary.org/obo/MBA_907&gt;</t>
  </si>
  <si>
    <t>&lt;http://purl.obolibrary.org/obo/MBA_930&gt;</t>
  </si>
  <si>
    <t>posterior hypothalamic nucleus</t>
  </si>
  <si>
    <t>&lt;http://purl.obolibrary.org/obo/MBA_946&gt;</t>
  </si>
  <si>
    <t>&lt;http://purl.obolibrary.org/obo/MBA_980&gt;</t>
  </si>
  <si>
    <t>fastigial nucleus</t>
  </si>
  <si>
    <t>&lt;http://purl.obolibrary.org/obo/MBA_989&gt;</t>
  </si>
  <si>
    <t>&lt;http://purl.obolibrary.org/obo/UBERON_0014891&gt;</t>
  </si>
  <si>
    <t>cerebellar white matter</t>
  </si>
  <si>
    <t>&lt;http://purl.obolibrary.org/obo/DMBA_16926&gt;</t>
  </si>
  <si>
    <t>&lt;http://purl.obolibrary.org/obo/UBERON_0035970&gt;</t>
  </si>
  <si>
    <t>calcar avis</t>
  </si>
  <si>
    <t>&lt;http://purl.obolibrary.org/obo/DHBA_12095&gt;</t>
  </si>
  <si>
    <t>&lt;http://purl.obolibrary.org/obo/UBERON_0002586&gt;</t>
  </si>
  <si>
    <t>calcarine fissure</t>
  </si>
  <si>
    <t>&lt;http://purl.obolibrary.org/obo/DHBA_10612&gt;</t>
  </si>
  <si>
    <t>calcarine sulcus</t>
  </si>
  <si>
    <t>&lt;http://purl.obolibrary.org/obo/HBA_9391&gt;</t>
  </si>
  <si>
    <t>&lt;http://purl.obolibrary.org/obo/UBERON_0002920&gt;</t>
  </si>
  <si>
    <t>callosal sulcus</t>
  </si>
  <si>
    <t>&lt;http://purl.obolibrary.org/obo/DHBA_10613&gt;</t>
  </si>
  <si>
    <t>&lt;http://purl.obolibrary.org/obo/HBA_9404&gt;</t>
  </si>
  <si>
    <t>&lt;http://purl.obolibrary.org/obo/UBERON_0034780&gt;</t>
  </si>
  <si>
    <t>caudal CA1</t>
  </si>
  <si>
    <t>&lt;http://purl.obolibrary.org/obo/DHBA_11280&gt;</t>
  </si>
  <si>
    <t>&lt;http://purl.obolibrary.org/obo/UBERON_0034781&gt;</t>
  </si>
  <si>
    <t>caudal CA2</t>
  </si>
  <si>
    <t>&lt;http://purl.obolibrary.org/obo/DHBA_11290&gt;</t>
  </si>
  <si>
    <t>&lt;http://purl.obolibrary.org/obo/UBERON_0034782&gt;</t>
  </si>
  <si>
    <t>caudal CA3</t>
  </si>
  <si>
    <t>&lt;http://purl.obolibrary.org/obo/DHBA_11301&gt;</t>
  </si>
  <si>
    <t>&lt;http://purl.obolibrary.org/obo/UBERON_0002957&gt;</t>
  </si>
  <si>
    <t>caudal central oculomotor nucleus</t>
  </si>
  <si>
    <t>&lt;http://purl.obolibrary.org/obo/DHBA_12200&gt;</t>
  </si>
  <si>
    <t>caudal central oculomotor nucleus, left</t>
  </si>
  <si>
    <t>&lt;http://purl.obolibrary.org/obo/HBA_9033&gt;</t>
  </si>
  <si>
    <t>&lt;http://purl.obolibrary.org/obo/UBERON_0004026&gt;</t>
  </si>
  <si>
    <t>caudal ganglionic eminence</t>
  </si>
  <si>
    <t>&lt;http://purl.obolibrary.org/obo/DHBA_10552&gt;</t>
  </si>
  <si>
    <t>&lt;http://purl.obolibrary.org/obo/PBA_128012846&gt;</t>
  </si>
  <si>
    <t>&lt;http://purl.obolibrary.org/obo/UBERON_0019295&gt;</t>
  </si>
  <si>
    <t>posterior group of intralaminar nuclei</t>
  </si>
  <si>
    <t>&lt;http://purl.obolibrary.org/obo/DHBA_10448&gt;</t>
  </si>
  <si>
    <t>caudal group of intralaminar nuclei</t>
  </si>
  <si>
    <t>&lt;http://purl.obolibrary.org/obo/HBA_12921&gt;</t>
  </si>
  <si>
    <t>&lt;http://purl.obolibrary.org/obo/UBERON_0013733&gt;</t>
  </si>
  <si>
    <t>&lt;http://purl.obolibrary.org/obo/UBERON_0002866&gt;</t>
  </si>
  <si>
    <t>spinal trigeminal nucleus, caudal part</t>
  </si>
  <si>
    <t>&lt;http://purl.obolibrary.org/obo/DHBA_12573&gt;</t>
  </si>
  <si>
    <t>spinal nucleus of the trigeminal, caudal part</t>
  </si>
  <si>
    <t>&lt;http://purl.obolibrary.org/obo/MBA_429&gt;</t>
  </si>
  <si>
    <t>&lt;http://purl.obolibrary.org/obo/UBERON_0002608&gt;</t>
  </si>
  <si>
    <t>caudal division of VL</t>
  </si>
  <si>
    <t>&lt;http://purl.obolibrary.org/obo/DHBA_10422&gt;</t>
  </si>
  <si>
    <t>&lt;http://purl.obolibrary.org/obo/UBERON_0002781&gt;</t>
  </si>
  <si>
    <t>caudal division of ventral posterior lateral nucleus</t>
  </si>
  <si>
    <t>&lt;http://purl.obolibrary.org/obo/DHBA_266441515&gt;</t>
  </si>
  <si>
    <t>&lt;http://purl.obolibrary.org/obo/UBERON_0002963&gt;</t>
  </si>
  <si>
    <t>pontine reticular nucleus, caudal part</t>
  </si>
  <si>
    <t>&lt;http://purl.obolibrary.org/obo/DHBA_12493&gt;</t>
  </si>
  <si>
    <t>caudal pontine reticular nucleus, left</t>
  </si>
  <si>
    <t>&lt;http://purl.obolibrary.org/obo/HBA_9162&gt;</t>
  </si>
  <si>
    <t>&lt;http://purl.obolibrary.org/obo/MBA_1093&gt;</t>
  </si>
  <si>
    <t>&lt;http://purl.obolibrary.org/obo/UBERON_0001873&gt;</t>
  </si>
  <si>
    <t>caudate nucleus</t>
  </si>
  <si>
    <t>&lt;http://purl.obolibrary.org/obo/DHBA_10334&gt;</t>
  </si>
  <si>
    <t>&lt;http://purl.obolibrary.org/obo/DMBA_15855&gt;</t>
  </si>
  <si>
    <t>&lt;http://purl.obolibrary.org/obo/HBA_4278&gt;</t>
  </si>
  <si>
    <t>&lt;http://purl.obolibrary.org/obo/PBA_10082&gt;</t>
  </si>
  <si>
    <t>&lt;http://purl.obolibrary.org/obo/UBERON_0005383&gt;</t>
  </si>
  <si>
    <t>caudoputamen</t>
  </si>
  <si>
    <t>&lt;http://purl.obolibrary.org/obo/MBA_672&gt;</t>
  </si>
  <si>
    <t>&lt;http://purl.obolibrary.org/obo/UBERON_0009857&gt;</t>
  </si>
  <si>
    <t>cavum septi pellucidi</t>
  </si>
  <si>
    <t>&lt;http://purl.obolibrary.org/obo/DHBA_12099&gt;</t>
  </si>
  <si>
    <t>&lt;http://purl.obolibrary.org/obo/UBERON_0002883&gt;</t>
  </si>
  <si>
    <t>central nuclear group</t>
  </si>
  <si>
    <t>&lt;http://purl.obolibrary.org/obo/DHBA_10363&gt;</t>
  </si>
  <si>
    <t>central nucleus</t>
  </si>
  <si>
    <t>&lt;http://purl.obolibrary.org/obo/HBA_4359&gt;</t>
  </si>
  <si>
    <t>central amygdalar nucleus</t>
  </si>
  <si>
    <t>&lt;http://purl.obolibrary.org/obo/MBA_536&gt;</t>
  </si>
  <si>
    <t>central amygdaloid nucleus</t>
  </si>
  <si>
    <t>&lt;http://purl.obolibrary.org/obo/PBA_10121&gt;</t>
  </si>
  <si>
    <t>&lt;http://purl.obolibrary.org/obo/UBERON_0002291&gt;</t>
  </si>
  <si>
    <t>ventricle of spinal cord</t>
  </si>
  <si>
    <t>&lt;http://purl.obolibrary.org/obo/DHBA_146035108&gt;</t>
  </si>
  <si>
    <t>ventricles, spinal cord</t>
  </si>
  <si>
    <t>&lt;http://purl.obolibrary.org/obo/DMBA_126652042&gt;</t>
  </si>
  <si>
    <t>central canal</t>
  </si>
  <si>
    <t>&lt;http://purl.obolibrary.org/obo/HBA_9422&gt;</t>
  </si>
  <si>
    <t>central canal, spinal cord/medulla</t>
  </si>
  <si>
    <t>&lt;http://purl.obolibrary.org/obo/MBA_164&gt;</t>
  </si>
  <si>
    <t>&lt;http://purl.obolibrary.org/obo/UBERON_0003034&gt;</t>
  </si>
  <si>
    <t>central dorsal nucleus of thalamus</t>
  </si>
  <si>
    <t>&lt;http://purl.obolibrary.org/obo/DHBA_13331&gt;</t>
  </si>
  <si>
    <t>&lt;http://purl.obolibrary.org/obo/UBERON_0002867&gt;</t>
  </si>
  <si>
    <t>central gray of medulla oblongata</t>
  </si>
  <si>
    <t>&lt;http://purl.obolibrary.org/obo/DHBA_146034986&gt;</t>
  </si>
  <si>
    <t>central gray of the medulla</t>
  </si>
  <si>
    <t>&lt;http://purl.obolibrary.org/obo/HBA_265504914&gt;</t>
  </si>
  <si>
    <t>&lt;http://purl.obolibrary.org/obo/UBERON_0003040&gt;</t>
  </si>
  <si>
    <t>periaqueductal gray substance</t>
  </si>
  <si>
    <t>&lt;http://purl.obolibrary.org/obo/DHBA_12209&gt;</t>
  </si>
  <si>
    <t>central gray substance of midbrain</t>
  </si>
  <si>
    <t>&lt;http://purl.obolibrary.org/obo/HBA_9003&gt;</t>
  </si>
  <si>
    <t>periaqueductal gray</t>
  </si>
  <si>
    <t>&lt;http://purl.obolibrary.org/obo/MBA_795&gt;</t>
  </si>
  <si>
    <t>&lt;http://purl.obolibrary.org/obo/UBERON_0002968&gt;</t>
  </si>
  <si>
    <t>central gray of pons</t>
  </si>
  <si>
    <t>&lt;http://purl.obolibrary.org/obo/DHBA_146034964&gt;</t>
  </si>
  <si>
    <t>central gray of the pons</t>
  </si>
  <si>
    <t>&lt;http://purl.obolibrary.org/obo/HBA_10147&gt;</t>
  </si>
  <si>
    <t>pontine central gray</t>
  </si>
  <si>
    <t>&lt;http://purl.obolibrary.org/obo/MBA_898&gt;</t>
  </si>
  <si>
    <t>&lt;http://purl.obolibrary.org/obo/UBERON_0003036&gt;</t>
  </si>
  <si>
    <t>&lt;http://purl.obolibrary.org/obo/DHBA_10444&gt;</t>
  </si>
  <si>
    <t>central lateral nucleus of the thalamus, left</t>
  </si>
  <si>
    <t>&lt;http://purl.obolibrary.org/obo/HBA_4434&gt;</t>
  </si>
  <si>
    <t>&lt;http://purl.obolibrary.org/obo/UBERON_0003021&gt;</t>
  </si>
  <si>
    <t>central lobule</t>
  </si>
  <si>
    <t>&lt;http://purl.obolibrary.org/obo/MBA_920&gt;</t>
  </si>
  <si>
    <t>&lt;http://purl.obolibrary.org/obo/UBERON_0001923&gt;</t>
  </si>
  <si>
    <t>central medial nucleus of thalamus</t>
  </si>
  <si>
    <t>&lt;http://purl.obolibrary.org/obo/DHBA_10445&gt;</t>
  </si>
  <si>
    <t>centre median nucleus of the thalamus, left</t>
  </si>
  <si>
    <t>&lt;http://purl.obolibrary.org/obo/HBA_4438&gt;</t>
  </si>
  <si>
    <t>corticomedial amygdaloid nucleus</t>
  </si>
  <si>
    <t>&lt;http://purl.obolibrary.org/obo/PBA_128012616&gt;</t>
  </si>
  <si>
    <t>&lt;http://purl.obolibrary.org/obo/UBERON_0035940&gt;</t>
  </si>
  <si>
    <t>central medullary reticular group</t>
  </si>
  <si>
    <t>&lt;http://purl.obolibrary.org/obo/HBA_9588&gt;</t>
  </si>
  <si>
    <t>&lt;http://purl.obolibrary.org/obo/UBERON_0011215&gt;</t>
  </si>
  <si>
    <t>vestibular root of vestibulocochlear nerve</t>
  </si>
  <si>
    <t>&lt;http://purl.obolibrary.org/obo/DHBA_12869&gt;</t>
  </si>
  <si>
    <t>roots of spinal nerves</t>
  </si>
  <si>
    <t>&lt;http://purl.obolibrary.org/obo/DHBA_146035120&gt;</t>
  </si>
  <si>
    <t>optic fiber layer</t>
  </si>
  <si>
    <t>&lt;http://purl.obolibrary.org/obo/DMBA_15652&gt;</t>
  </si>
  <si>
    <t>dorsal column tracts</t>
  </si>
  <si>
    <t>&lt;http://purl.obolibrary.org/obo/DMBA_17759&gt;</t>
  </si>
  <si>
    <t>cranial nerves</t>
  </si>
  <si>
    <t>&lt;http://purl.obolibrary.org/obo/HBA_9299&gt;</t>
  </si>
  <si>
    <t>vestibular nerve</t>
  </si>
  <si>
    <t>&lt;http://purl.obolibrary.org/obo/MBA_413&gt;</t>
  </si>
  <si>
    <t>cochlear nerve</t>
  </si>
  <si>
    <t>&lt;http://purl.obolibrary.org/obo/MBA_948&gt;</t>
  </si>
  <si>
    <t>&lt;http://purl.obolibrary.org/obo/MBA_967&gt;</t>
  </si>
  <si>
    <t>&lt;http://purl.obolibrary.org/obo/UBERON_0002563&gt;</t>
  </si>
  <si>
    <t>central nucleus of inferior colliculus</t>
  </si>
  <si>
    <t>&lt;http://purl.obolibrary.org/obo/DHBA_12309&gt;</t>
  </si>
  <si>
    <t>central nucleus of the inferior colliculus, left</t>
  </si>
  <si>
    <t>&lt;http://purl.obolibrary.org/obo/HBA_9104&gt;</t>
  </si>
  <si>
    <t>&lt;http://purl.obolibrary.org/obo/UBERON_0002960&gt;</t>
  </si>
  <si>
    <t>central oculomotor nucleus</t>
  </si>
  <si>
    <t>&lt;http://purl.obolibrary.org/obo/DHBA_12201&gt;</t>
  </si>
  <si>
    <t>central oculomotor nucleus, left</t>
  </si>
  <si>
    <t>&lt;http://purl.obolibrary.org/obo/HBA_9034&gt;</t>
  </si>
  <si>
    <t>&lt;http://purl.obolibrary.org/obo/UBERON_0035113&gt;</t>
  </si>
  <si>
    <t>mediodorsal nucleus of the thalamus, central part</t>
  </si>
  <si>
    <t>&lt;http://purl.obolibrary.org/obo/MBA_617&gt;</t>
  </si>
  <si>
    <t>&lt;http://purl.obolibrary.org/obo/UBERON_0002916&gt;</t>
  </si>
  <si>
    <t>central sulcus</t>
  </si>
  <si>
    <t>&lt;http://purl.obolibrary.org/obo/DHBA_10614&gt;</t>
  </si>
  <si>
    <t>&lt;http://purl.obolibrary.org/obo/HBA_9403&gt;</t>
  </si>
  <si>
    <t>&lt;http://purl.obolibrary.org/obo/UBERON_0035925&gt;</t>
  </si>
  <si>
    <t>central sulcus of insula</t>
  </si>
  <si>
    <t>&lt;http://purl.obolibrary.org/obo/DHBA_13227&gt;</t>
  </si>
  <si>
    <t>&lt;http://purl.obolibrary.org/obo/HBA_9399&gt;</t>
  </si>
  <si>
    <t>&lt;http://purl.obolibrary.org/obo/UBERON_0009643&gt;</t>
  </si>
  <si>
    <t>central tegmental tract</t>
  </si>
  <si>
    <t>&lt;http://purl.obolibrary.org/obo/DHBA_12730&gt;</t>
  </si>
  <si>
    <t>central tegmental tract, Right</t>
  </si>
  <si>
    <t>&lt;http://purl.obolibrary.org/obo/HBA_12952&gt;</t>
  </si>
  <si>
    <t>&lt;http://purl.obolibrary.org/obo/UBERON_0002972&gt;</t>
  </si>
  <si>
    <t>centromedian nucleus of thalamus</t>
  </si>
  <si>
    <t>&lt;http://purl.obolibrary.org/obo/DHBA_10449&gt;</t>
  </si>
  <si>
    <t>&lt;http://purl.obolibrary.org/obo/UBERON_0006847&gt;</t>
  </si>
  <si>
    <t>&lt;http://purl.obolibrary.org/obo/UBERON_0002129&gt;</t>
  </si>
  <si>
    <t>cerebellar cortex</t>
  </si>
  <si>
    <t>&lt;http://purl.obolibrary.org/obo/DHBA_10657&gt;</t>
  </si>
  <si>
    <t>cortex of cerebellar hemisphere</t>
  </si>
  <si>
    <t>&lt;http://purl.obolibrary.org/obo/DMBA_16939&gt;</t>
  </si>
  <si>
    <t>&lt;http://purl.obolibrary.org/obo/HBA_4697&gt;</t>
  </si>
  <si>
    <t>&lt;http://purl.obolibrary.org/obo/MBA_528&gt;</t>
  </si>
  <si>
    <t>&lt;http://purl.obolibrary.org/obo/UBERON_0002245&gt;</t>
  </si>
  <si>
    <t>cerebellar hemisphere</t>
  </si>
  <si>
    <t>&lt;http://purl.obolibrary.org/obo/DHBA_10659&gt;</t>
  </si>
  <si>
    <t>&lt;http://purl.obolibrary.org/obo/DMBA_16920&gt;</t>
  </si>
  <si>
    <t>cerebellar hemispheres</t>
  </si>
  <si>
    <t>&lt;http://purl.obolibrary.org/obo/HBA_12930&gt;</t>
  </si>
  <si>
    <t>hemispheric regions</t>
  </si>
  <si>
    <t>&lt;http://purl.obolibrary.org/obo/MBA_1073&gt;</t>
  </si>
  <si>
    <t>&lt;http://purl.obolibrary.org/obo/UBERON_0002130&gt;</t>
  </si>
  <si>
    <t>cerebellar deep nuclei</t>
  </si>
  <si>
    <t>&lt;http://purl.obolibrary.org/obo/DHBA_10660&gt;</t>
  </si>
  <si>
    <t>cerebellar nuclei</t>
  </si>
  <si>
    <t>&lt;http://purl.obolibrary.org/obo/HBA_4780&gt;</t>
  </si>
  <si>
    <t>&lt;http://purl.obolibrary.org/obo/MBA_519&gt;</t>
  </si>
  <si>
    <t>&lt;http://purl.obolibrary.org/obo/UBERON_0007416&gt;</t>
  </si>
  <si>
    <t>cerebellar peduncles</t>
  </si>
  <si>
    <t>&lt;http://purl.obolibrary.org/obo/MBA_752&gt;</t>
  </si>
  <si>
    <t>&lt;http://purl.obolibrary.org/obo/UBERON_0002474&gt;</t>
  </si>
  <si>
    <t>&lt;http://purl.obolibrary.org/obo/UBERON_0004008&gt;</t>
  </si>
  <si>
    <t>cerebellar plate</t>
  </si>
  <si>
    <t>&lt;http://purl.obolibrary.org/obo/DHBA_12698&gt;</t>
  </si>
  <si>
    <t>&lt;http://purl.obolibrary.org/obo/UBERON_0004720&gt;</t>
  </si>
  <si>
    <t>cerebellar vermis</t>
  </si>
  <si>
    <t>&lt;http://purl.obolibrary.org/obo/DHBA_10658&gt;</t>
  </si>
  <si>
    <t>&lt;http://purl.obolibrary.org/obo/DMBA_16814&gt;</t>
  </si>
  <si>
    <t>vermis</t>
  </si>
  <si>
    <t>&lt;http://purl.obolibrary.org/obo/HBA_4698&gt;</t>
  </si>
  <si>
    <t>vermal regions</t>
  </si>
  <si>
    <t>&lt;http://purl.obolibrary.org/obo/MBA_645&gt;</t>
  </si>
  <si>
    <t>&lt;http://purl.obolibrary.org/obo/UBERON_0002037&gt;</t>
  </si>
  <si>
    <t>cerebellum</t>
  </si>
  <si>
    <t>&lt;http://purl.obolibrary.org/obo/DHBA_10656&gt;</t>
  </si>
  <si>
    <t>&lt;http://purl.obolibrary.org/obo/HBA_4696&gt;</t>
  </si>
  <si>
    <t>&lt;http://purl.obolibrary.org/obo/MBA_512&gt;</t>
  </si>
  <si>
    <t>&lt;http://purl.obolibrary.org/obo/UBERON_0003941&gt;</t>
  </si>
  <si>
    <t>anterior lobe of the vermis</t>
  </si>
  <si>
    <t>&lt;http://purl.obolibrary.org/obo/HBA_4699&gt;</t>
  </si>
  <si>
    <t>&lt;http://purl.obolibrary.org/obo/UBERON_0003980&gt;</t>
  </si>
  <si>
    <t>cerebellar fissures</t>
  </si>
  <si>
    <t>&lt;http://purl.obolibrary.org/obo/DHBA_12828&gt;</t>
  </si>
  <si>
    <t>cerebellar sulci</t>
  </si>
  <si>
    <t>&lt;http://purl.obolibrary.org/obo/HBA_9406&gt;</t>
  </si>
  <si>
    <t>&lt;http://purl.obolibrary.org/obo/UBERON_0002613&gt;</t>
  </si>
  <si>
    <t>medial interpositus (globose) nucleus</t>
  </si>
  <si>
    <t>&lt;http://purl.obolibrary.org/obo/DHBA_12400&gt;</t>
  </si>
  <si>
    <t>posterior part of Int</t>
  </si>
  <si>
    <t>&lt;http://purl.obolibrary.org/obo/DMBA_16932&gt;</t>
  </si>
  <si>
    <t>globose nucleus</t>
  </si>
  <si>
    <t>&lt;http://purl.obolibrary.org/obo/HBA_12949&gt;</t>
  </si>
  <si>
    <t>&lt;http://purl.obolibrary.org/obo/UBERON_0004003&gt;</t>
  </si>
  <si>
    <t>lobule III (central lobule and wing, posterior part)</t>
  </si>
  <si>
    <t>&lt;http://purl.obolibrary.org/obo/DHBA_12841&gt;</t>
  </si>
  <si>
    <t>lobule IV (culmen and quadrangular lobule, anterior part)</t>
  </si>
  <si>
    <t>&lt;http://purl.obolibrary.org/obo/DHBA_12842&gt;</t>
  </si>
  <si>
    <t>lobule V (culmen and quadrangular lobule, posterior part)</t>
  </si>
  <si>
    <t>&lt;http://purl.obolibrary.org/obo/DHBA_12843&gt;</t>
  </si>
  <si>
    <t>lobule VI (declive and simplex lobule)</t>
  </si>
  <si>
    <t>&lt;http://purl.obolibrary.org/obo/DHBA_12845&gt;</t>
  </si>
  <si>
    <t>lobule VIIB (gracile lobule)</t>
  </si>
  <si>
    <t>&lt;http://purl.obolibrary.org/obo/DHBA_12848&gt;</t>
  </si>
  <si>
    <t>lobule VIIIB (pyramis and biventral lobule, posterior part)</t>
  </si>
  <si>
    <t>&lt;http://purl.obolibrary.org/obo/DHBA_12850&gt;</t>
  </si>
  <si>
    <t>lobule IX (uvula and tosil)</t>
  </si>
  <si>
    <t>&lt;http://purl.obolibrary.org/obo/DHBA_12851&gt;</t>
  </si>
  <si>
    <t>paramedian lobule</t>
  </si>
  <si>
    <t>&lt;http://purl.obolibrary.org/obo/DMBA_16943&gt;</t>
  </si>
  <si>
    <t>III</t>
  </si>
  <si>
    <t>&lt;http://purl.obolibrary.org/obo/HBA_12933&gt;</t>
  </si>
  <si>
    <t>IV</t>
  </si>
  <si>
    <t>&lt;http://purl.obolibrary.org/obo/HBA_12934&gt;</t>
  </si>
  <si>
    <t>V</t>
  </si>
  <si>
    <t>&lt;http://purl.obolibrary.org/obo/HBA_12935&gt;</t>
  </si>
  <si>
    <t>VI</t>
  </si>
  <si>
    <t>&lt;http://purl.obolibrary.org/obo/HBA_12937&gt;</t>
  </si>
  <si>
    <t>VIIB</t>
  </si>
  <si>
    <t>&lt;http://purl.obolibrary.org/obo/HBA_12940&gt;</t>
  </si>
  <si>
    <t>VIIIB</t>
  </si>
  <si>
    <t>&lt;http://purl.obolibrary.org/obo/HBA_12942&gt;</t>
  </si>
  <si>
    <t>IX</t>
  </si>
  <si>
    <t>&lt;http://purl.obolibrary.org/obo/HBA_12943&gt;</t>
  </si>
  <si>
    <t>&lt;http://purl.obolibrary.org/obo/HBA_4708&gt;</t>
  </si>
  <si>
    <t>lobule V</t>
  </si>
  <si>
    <t>&lt;http://purl.obolibrary.org/obo/MBA_1001&gt;</t>
  </si>
  <si>
    <t>&lt;http://purl.obolibrary.org/obo/MBA_1025&gt;</t>
  </si>
  <si>
    <t>lingula (I)</t>
  </si>
  <si>
    <t>&lt;http://purl.obolibrary.org/obo/MBA_912&gt;</t>
  </si>
  <si>
    <t>culmen</t>
  </si>
  <si>
    <t>&lt;http://purl.obolibrary.org/obo/MBA_928&gt;</t>
  </si>
  <si>
    <t>declive (VI)</t>
  </si>
  <si>
    <t>&lt;http://purl.obolibrary.org/obo/MBA_936&gt;</t>
  </si>
  <si>
    <t>folium-tuber vermis (VII)</t>
  </si>
  <si>
    <t>&lt;http://purl.obolibrary.org/obo/MBA_944&gt;</t>
  </si>
  <si>
    <t>pyramus (VIII)</t>
  </si>
  <si>
    <t>&lt;http://purl.obolibrary.org/obo/MBA_951&gt;</t>
  </si>
  <si>
    <t>uvula (IX)</t>
  </si>
  <si>
    <t>&lt;http://purl.obolibrary.org/obo/MBA_957&gt;</t>
  </si>
  <si>
    <t>nodulus (X)</t>
  </si>
  <si>
    <t>&lt;http://purl.obolibrary.org/obo/MBA_968&gt;</t>
  </si>
  <si>
    <t>lobule II</t>
  </si>
  <si>
    <t>&lt;http://purl.obolibrary.org/obo/MBA_976&gt;</t>
  </si>
  <si>
    <t>lobule III</t>
  </si>
  <si>
    <t>&lt;http://purl.obolibrary.org/obo/MBA_984&gt;</t>
  </si>
  <si>
    <t>lobule IV</t>
  </si>
  <si>
    <t>&lt;http://purl.obolibrary.org/obo/MBA_992&gt;</t>
  </si>
  <si>
    <t>&lt;http://purl.obolibrary.org/obo/UBERON_0004006&gt;</t>
  </si>
  <si>
    <t>intermediate zone, left</t>
  </si>
  <si>
    <t>&lt;http://purl.obolibrary.org/obo/HBA_9611&gt;</t>
  </si>
  <si>
    <t>intermediate zone</t>
  </si>
  <si>
    <t>&lt;http://purl.obolibrary.org/obo/PBA_294021942&gt;</t>
  </si>
  <si>
    <t>&lt;http://purl.obolibrary.org/obo/UBERON_0004073&gt;</t>
  </si>
  <si>
    <t>interpositus (intermediate) nucleus</t>
  </si>
  <si>
    <t>&lt;http://purl.obolibrary.org/obo/DHBA_12399&gt;</t>
  </si>
  <si>
    <t>interpositus nucleus</t>
  </si>
  <si>
    <t>&lt;http://purl.obolibrary.org/obo/DHBA_12613&gt;</t>
  </si>
  <si>
    <t>&lt;http://purl.obolibrary.org/obo/HBA_9578&gt;</t>
  </si>
  <si>
    <t>&lt;http://purl.obolibrary.org/obo/UBERON_0034708&gt;</t>
  </si>
  <si>
    <t>marginal zone of cerebellum</t>
  </si>
  <si>
    <t>&lt;http://purl.obolibrary.org/obo/DHBA_12695&gt;</t>
  </si>
  <si>
    <t>&lt;http://purl.obolibrary.org/obo/UBERON_0004009&gt;</t>
  </si>
  <si>
    <t>posterior lobe of the vermis</t>
  </si>
  <si>
    <t>&lt;http://purl.obolibrary.org/obo/HBA_4704&gt;</t>
  </si>
  <si>
    <t>&lt;http://purl.obolibrary.org/obo/UBERON_0007763&gt;</t>
  </si>
  <si>
    <t>&lt;http://purl.obolibrary.org/obo/UBERON_0004070&gt;</t>
  </si>
  <si>
    <t>III, left, paravermis</t>
  </si>
  <si>
    <t>&lt;http://purl.obolibrary.org/obo/HBA_4718&gt;</t>
  </si>
  <si>
    <t>IV, left, paravermis</t>
  </si>
  <si>
    <t>&lt;http://purl.obolibrary.org/obo/HBA_4719&gt;</t>
  </si>
  <si>
    <t>V, left, paravermis</t>
  </si>
  <si>
    <t>&lt;http://purl.obolibrary.org/obo/HBA_4720&gt;</t>
  </si>
  <si>
    <t>VI, left, paravermis</t>
  </si>
  <si>
    <t>&lt;http://purl.obolibrary.org/obo/HBA_4722&gt;</t>
  </si>
  <si>
    <t>IX, left, paravermis</t>
  </si>
  <si>
    <t>&lt;http://purl.obolibrary.org/obo/HBA_4728&gt;</t>
  </si>
  <si>
    <t>&lt;http://purl.obolibrary.org/obo/UBERON_0004074&gt;</t>
  </si>
  <si>
    <t>&lt;http://purl.obolibrary.org/obo/UBERON_0004075&gt;</t>
  </si>
  <si>
    <t>&lt;http://purl.obolibrary.org/obo/UBERON_0004076&gt;</t>
  </si>
  <si>
    <t>&lt;http://purl.obolibrary.org/obo/UBERON_0004077&gt;</t>
  </si>
  <si>
    <t>&lt;http://purl.obolibrary.org/obo/UBERON_0004078&gt;</t>
  </si>
  <si>
    <t>&lt;http://purl.obolibrary.org/obo/UBERON_0004079&gt;</t>
  </si>
  <si>
    <t>&lt;http://purl.obolibrary.org/obo/UBERON_0004080&gt;</t>
  </si>
  <si>
    <t>&lt;http://purl.obolibrary.org/obo/UBERON_0004081&gt;</t>
  </si>
  <si>
    <t>&lt;http://purl.obolibrary.org/obo/UBERON_0036044&gt;</t>
  </si>
  <si>
    <t>lobule VIIAf/crus I (folium and superior semilunar lobule)</t>
  </si>
  <si>
    <t>&lt;http://purl.obolibrary.org/obo/DHBA_12846&gt;</t>
  </si>
  <si>
    <t>VIIAf</t>
  </si>
  <si>
    <t>&lt;http://purl.obolibrary.org/obo/HBA_4706&gt;</t>
  </si>
  <si>
    <t>&lt;http://purl.obolibrary.org/obo/UBERON_0036065&gt;</t>
  </si>
  <si>
    <t>lobule VIIAt/crus II (tuber and inferior semilunar lobule)</t>
  </si>
  <si>
    <t>&lt;http://purl.obolibrary.org/obo/DHBA_12847&gt;</t>
  </si>
  <si>
    <t>VIIAt</t>
  </si>
  <si>
    <t>&lt;http://purl.obolibrary.org/obo/HBA_4707&gt;</t>
  </si>
  <si>
    <t>&lt;http://purl.obolibrary.org/obo/UBERON_0005346&gt;</t>
  </si>
  <si>
    <t>&lt;http://purl.obolibrary.org/obo/UBERON_0004082&gt;</t>
  </si>
  <si>
    <t>&lt;http://purl.obolibrary.org/obo/UBERON_0004083&gt;</t>
  </si>
  <si>
    <t>X</t>
  </si>
  <si>
    <t>&lt;http://purl.obolibrary.org/obo/HBA_4713&gt;</t>
  </si>
  <si>
    <t>&lt;http://purl.obolibrary.org/obo/UBERON_0000956&gt;</t>
  </si>
  <si>
    <t>cerebral cortex</t>
  </si>
  <si>
    <t>&lt;http://purl.obolibrary.org/obo/DHBA_10159&gt;</t>
  </si>
  <si>
    <t>&lt;http://purl.obolibrary.org/obo/HBA_4008&gt;</t>
  </si>
  <si>
    <t>&lt;http://purl.obolibrary.org/obo/MBA_688&gt;</t>
  </si>
  <si>
    <t>&lt;http://purl.obolibrary.org/obo/PBA_128011354&gt;</t>
  </si>
  <si>
    <t>&lt;http://purl.obolibrary.org/obo/UBERON_0014935&gt;</t>
  </si>
  <si>
    <t>&lt;http://purl.obolibrary.org/obo/PBA_294021774&gt;</t>
  </si>
  <si>
    <t>&lt;http://purl.obolibrary.org/obo/UBERON_0014940&gt;</t>
  </si>
  <si>
    <t>subventricular zone</t>
  </si>
  <si>
    <t>&lt;http://purl.obolibrary.org/obo/PBA_294021970&gt;</t>
  </si>
  <si>
    <t>&lt;http://purl.obolibrary.org/obo/UBERON_0001869&gt;</t>
  </si>
  <si>
    <t>telencephalic vesicle</t>
  </si>
  <si>
    <t>&lt;http://purl.obolibrary.org/obo/DMBA_15739&gt;</t>
  </si>
  <si>
    <t>medial amygdalar nucleus</t>
  </si>
  <si>
    <t>&lt;http://purl.obolibrary.org/obo/MBA_403&gt;</t>
  </si>
  <si>
    <t>&lt;http://purl.obolibrary.org/obo/UBERON_0005401&gt;</t>
  </si>
  <si>
    <t>striatum (corpus striatum)</t>
  </si>
  <si>
    <t>&lt;http://purl.obolibrary.org/obo/DMBA_15851&gt;</t>
  </si>
  <si>
    <t>ventral striatum</t>
  </si>
  <si>
    <t>&lt;http://purl.obolibrary.org/obo/DMBA_15858&gt;</t>
  </si>
  <si>
    <t>striatum</t>
  </si>
  <si>
    <t>&lt;http://purl.obolibrary.org/obo/MBA_477&gt;</t>
  </si>
  <si>
    <t>striatum dorsal region</t>
  </si>
  <si>
    <t>&lt;http://purl.obolibrary.org/obo/MBA_485&gt;</t>
  </si>
  <si>
    <t>striatum ventral region</t>
  </si>
  <si>
    <t>&lt;http://purl.obolibrary.org/obo/MBA_493&gt;</t>
  </si>
  <si>
    <t>&lt;http://purl.obolibrary.org/obo/UBERON_0002437&gt;</t>
  </si>
  <si>
    <t>&lt;http://purl.obolibrary.org/obo/PBA_294022044&gt;</t>
  </si>
  <si>
    <t>&lt;http://purl.obolibrary.org/obo/UBERON_0022248&gt;</t>
  </si>
  <si>
    <t>medial forebrain bundle</t>
  </si>
  <si>
    <t>&lt;http://purl.obolibrary.org/obo/DHBA_10587&gt;</t>
  </si>
  <si>
    <t>thalamic fasciculus</t>
  </si>
  <si>
    <t>&lt;http://purl.obolibrary.org/obo/DHBA_10593&gt;</t>
  </si>
  <si>
    <t>subthalamic fasciculus</t>
  </si>
  <si>
    <t>&lt;http://purl.obolibrary.org/obo/DHBA_12089&gt;</t>
  </si>
  <si>
    <t>&lt;http://purl.obolibrary.org/obo/HBA_265505190&gt;</t>
  </si>
  <si>
    <t>&lt;http://purl.obolibrary.org/obo/HBA_265505350&gt;</t>
  </si>
  <si>
    <t>&lt;http://purl.obolibrary.org/obo/HBA_265505374&gt;</t>
  </si>
  <si>
    <t>&lt;http://purl.obolibrary.org/obo/UBERON_0002623&gt;</t>
  </si>
  <si>
    <t>cerebal peduncle</t>
  </si>
  <si>
    <t>&lt;http://purl.obolibrary.org/obo/MBA_924&gt;</t>
  </si>
  <si>
    <t>&lt;http://purl.obolibrary.org/obo/UBERON_0014644&gt;</t>
  </si>
  <si>
    <t>lateral hemisphere of cerebellum</t>
  </si>
  <si>
    <t>&lt;http://purl.obolibrary.org/obo/DHBA_12390&gt;</t>
  </si>
  <si>
    <t>&lt;http://purl.obolibrary.org/obo/UBERON_0001886&gt;</t>
  </si>
  <si>
    <t>choroid plexus</t>
  </si>
  <si>
    <t>&lt;http://purl.obolibrary.org/obo/MBA_108&gt;</t>
  </si>
  <si>
    <t>&lt;http://purl.obolibrary.org/obo/UBERON_0002290&gt;</t>
  </si>
  <si>
    <t>choroid plexus of the fourth ventricle</t>
  </si>
  <si>
    <t>&lt;http://purl.obolibrary.org/obo/DHBA_12808&gt;</t>
  </si>
  <si>
    <t>&lt;http://purl.obolibrary.org/obo/HBA_9710&gt;</t>
  </si>
  <si>
    <t>&lt;http://purl.obolibrary.org/obo/UBERON_0002307&gt;</t>
  </si>
  <si>
    <t>choroid plexus of lateral ventricle</t>
  </si>
  <si>
    <t>&lt;http://purl.obolibrary.org/obo/DHBA_10601&gt;</t>
  </si>
  <si>
    <t>choroid plexus of the lateral ventricle</t>
  </si>
  <si>
    <t>&lt;http://purl.obolibrary.org/obo/HBA_9708&gt;</t>
  </si>
  <si>
    <t>&lt;http://purl.obolibrary.org/obo/UBERON_0002288&gt;</t>
  </si>
  <si>
    <t>choroid plexus of the third ventricle</t>
  </si>
  <si>
    <t>&lt;http://purl.obolibrary.org/obo/HBA_9709&gt;</t>
  </si>
  <si>
    <t>&lt;http://purl.obolibrary.org/obo/UBERON_0003027&gt;</t>
  </si>
  <si>
    <t>cingulate neocortex</t>
  </si>
  <si>
    <t>&lt;http://purl.obolibrary.org/obo/DHBA_10277&gt;</t>
  </si>
  <si>
    <t>cingulate cortex</t>
  </si>
  <si>
    <t>&lt;http://purl.obolibrary.org/obo/DMBA_16072&gt;</t>
  </si>
  <si>
    <t>&lt;http://purl.obolibrary.org/obo/UBERON_0022428&gt;</t>
  </si>
  <si>
    <t>cingulum bundle in cingulate cortex</t>
  </si>
  <si>
    <t>&lt;http://purl.obolibrary.org/obo/DHBA_15539&gt;</t>
  </si>
  <si>
    <t>&lt;http://purl.obolibrary.org/obo/UBERON_0002967&gt;</t>
  </si>
  <si>
    <t>cingulate gyrus</t>
  </si>
  <si>
    <t>&lt;http://purl.obolibrary.org/obo/DHBA_12156&gt;</t>
  </si>
  <si>
    <t>&lt;http://purl.obolibrary.org/obo/HBA_4220&gt;</t>
  </si>
  <si>
    <t>&lt;http://purl.obolibrary.org/obo/UBERON_0002710&gt;</t>
  </si>
  <si>
    <t>cingulate sulcus</t>
  </si>
  <si>
    <t>&lt;http://purl.obolibrary.org/obo/DHBA_10615&gt;</t>
  </si>
  <si>
    <t>&lt;http://purl.obolibrary.org/obo/HBA_9364&gt;</t>
  </si>
  <si>
    <t>&lt;http://purl.obolibrary.org/obo/UBERON_0003961&gt;</t>
  </si>
  <si>
    <t>cingulum bundle</t>
  </si>
  <si>
    <t>&lt;http://purl.obolibrary.org/obo/DHBA_10572&gt;</t>
  </si>
  <si>
    <t>&lt;http://purl.obolibrary.org/obo/HBA_9240&gt;</t>
  </si>
  <si>
    <t>&lt;http://purl.obolibrary.org/obo/MBA_940&gt;</t>
  </si>
  <si>
    <t>&lt;http://purl.obolibrary.org/obo/UBERON_0035596&gt;</t>
  </si>
  <si>
    <t>&lt;http://purl.obolibrary.org/obo/UBERON_0002713&gt;</t>
  </si>
  <si>
    <t>circular sulcus</t>
  </si>
  <si>
    <t>&lt;http://purl.obolibrary.org/obo/HBA_9398&gt;</t>
  </si>
  <si>
    <t>&lt;http://purl.obolibrary.org/obo/UBERON_0002729&gt;</t>
  </si>
  <si>
    <t>ventral claustrum</t>
  </si>
  <si>
    <t>&lt;http://purl.obolibrary.org/obo/DHBA_10348&gt;</t>
  </si>
  <si>
    <t>&lt;http://purl.obolibrary.org/obo/UBERON_0002023&gt;</t>
  </si>
  <si>
    <t>claustrum</t>
  </si>
  <si>
    <t>&lt;http://purl.obolibrary.org/obo/DHBA_10346&gt;</t>
  </si>
  <si>
    <t>&lt;http://purl.obolibrary.org/obo/DMBA_15984&gt;</t>
  </si>
  <si>
    <t>&lt;http://purl.obolibrary.org/obo/HBA_4321&gt;</t>
  </si>
  <si>
    <t>&lt;http://purl.obolibrary.org/obo/MBA_583&gt;</t>
  </si>
  <si>
    <t>&lt;http://purl.obolibrary.org/obo/PBA_128012960&gt;</t>
  </si>
  <si>
    <t>&lt;http://purl.obolibrary.org/obo/UBERON_0004727&gt;</t>
  </si>
  <si>
    <t>&lt;http://purl.obolibrary.org/obo/UBERON_0002610&gt;</t>
  </si>
  <si>
    <t>cochlear nuclei</t>
  </si>
  <si>
    <t>&lt;http://purl.obolibrary.org/obo/DHBA_12437&gt;</t>
  </si>
  <si>
    <t>&lt;http://purl.obolibrary.org/obo/HBA_9528&gt;</t>
  </si>
  <si>
    <t>&lt;http://purl.obolibrary.org/obo/MBA_607&gt;</t>
  </si>
  <si>
    <t>&lt;http://purl.obolibrary.org/obo/UBERON_0002716&gt;</t>
  </si>
  <si>
    <t>collateral sulcus</t>
  </si>
  <si>
    <t>&lt;http://purl.obolibrary.org/obo/DHBA_10618&gt;</t>
  </si>
  <si>
    <t>&lt;http://purl.obolibrary.org/obo/HBA_9380&gt;</t>
  </si>
  <si>
    <t>&lt;http://purl.obolibrary.org/obo/UBERON_0010011&gt;</t>
  </si>
  <si>
    <t>cerebral nuclei</t>
  </si>
  <si>
    <t>&lt;http://purl.obolibrary.org/obo/DHBA_10331&gt;</t>
  </si>
  <si>
    <t>&lt;http://purl.obolibrary.org/obo/HBA_4275&gt;</t>
  </si>
  <si>
    <t>basal ganglia</t>
  </si>
  <si>
    <t>&lt;http://purl.obolibrary.org/obo/HBA_4276&gt;</t>
  </si>
  <si>
    <t>&lt;http://purl.obolibrary.org/obo/MBA_623&gt;</t>
  </si>
  <si>
    <t>&lt;http://purl.obolibrary.org/obo/PBA_128012596&gt;</t>
  </si>
  <si>
    <t>&lt;http://purl.obolibrary.org/obo/PBA_4001&gt;</t>
  </si>
  <si>
    <t>&lt;http://purl.obolibrary.org/obo/UBERON_0003028&gt;</t>
  </si>
  <si>
    <t>commissure of inferior colliculus</t>
  </si>
  <si>
    <t>&lt;http://purl.obolibrary.org/obo/DHBA_12333&gt;</t>
  </si>
  <si>
    <t>commissure of the inferior colliculus</t>
  </si>
  <si>
    <t>&lt;http://purl.obolibrary.org/obo/HBA_265505434&gt;</t>
  </si>
  <si>
    <t>inferior colliculus commissure</t>
  </si>
  <si>
    <t>&lt;http://purl.obolibrary.org/obo/MBA_633&gt;</t>
  </si>
  <si>
    <t>&lt;http://purl.obolibrary.org/obo/UBERON_0002583&gt;</t>
  </si>
  <si>
    <t>superior colliculus commissure</t>
  </si>
  <si>
    <t>&lt;http://purl.obolibrary.org/obo/MBA_336&gt;</t>
  </si>
  <si>
    <t>&lt;http://purl.obolibrary.org/obo/UBERON_0019294&gt;</t>
  </si>
  <si>
    <t>telencephalic commissures</t>
  </si>
  <si>
    <t>&lt;http://purl.obolibrary.org/obo/HBA_9220&gt;</t>
  </si>
  <si>
    <t>&lt;http://purl.obolibrary.org/obo/UBERON_0005347&gt;</t>
  </si>
  <si>
    <t>copula pyramidis</t>
  </si>
  <si>
    <t>&lt;http://purl.obolibrary.org/obo/MBA_1033&gt;</t>
  </si>
  <si>
    <t>&lt;http://purl.obolibrary.org/obo/UBERON_0012170&gt;</t>
  </si>
  <si>
    <t>core of nucleus accumbens</t>
  </si>
  <si>
    <t>&lt;http://purl.obolibrary.org/obo/DHBA_10340&gt;</t>
  </si>
  <si>
    <t>&lt;http://purl.obolibrary.org/obo/PBA_10093&gt;</t>
  </si>
  <si>
    <t>&lt;http://purl.obolibrary.org/obo/UBERON_0004682&gt;</t>
  </si>
  <si>
    <t>corona radiata</t>
  </si>
  <si>
    <t>&lt;http://purl.obolibrary.org/obo/DHBA_12030&gt;</t>
  </si>
  <si>
    <t>&lt;http://purl.obolibrary.org/obo/HBA_265505046&gt;</t>
  </si>
  <si>
    <t>&lt;http://purl.obolibrary.org/obo/UBERON_0002259&gt;</t>
  </si>
  <si>
    <t>quadrigeminal body</t>
  </si>
  <si>
    <t>&lt;http://purl.obolibrary.org/obo/DHBA_12375&gt;</t>
  </si>
  <si>
    <t>&lt;http://purl.obolibrary.org/obo/UBERON_0002336&gt;</t>
  </si>
  <si>
    <t>corpus callosum</t>
  </si>
  <si>
    <t>&lt;http://purl.obolibrary.org/obo/DHBA_10561&gt;</t>
  </si>
  <si>
    <t>&lt;http://purl.obolibrary.org/obo/HBA_9222&gt;</t>
  </si>
  <si>
    <t>&lt;http://purl.obolibrary.org/obo/MBA_776&gt;</t>
  </si>
  <si>
    <t>&lt;http://purl.obolibrary.org/obo/UBERON_0002891&gt;</t>
  </si>
  <si>
    <t>cortical amygdalar area</t>
  </si>
  <si>
    <t>&lt;http://purl.obolibrary.org/obo/MBA_631&gt;</t>
  </si>
  <si>
    <t>&lt;http://purl.obolibrary.org/obo/UBERON_0005390&gt;</t>
  </si>
  <si>
    <t>layer I</t>
  </si>
  <si>
    <t>&lt;http://purl.obolibrary.org/obo/PBA_294021786&gt;</t>
  </si>
  <si>
    <t>&lt;http://purl.obolibrary.org/obo/UBERON_0005391&gt;</t>
  </si>
  <si>
    <t>layer II</t>
  </si>
  <si>
    <t>&lt;http://purl.obolibrary.org/obo/PBA_294021800&gt;</t>
  </si>
  <si>
    <t>&lt;http://purl.obolibrary.org/obo/UBERON_0005392&gt;</t>
  </si>
  <si>
    <t>layer III</t>
  </si>
  <si>
    <t>&lt;http://purl.obolibrary.org/obo/PBA_294021824&gt;</t>
  </si>
  <si>
    <t>&lt;http://purl.obolibrary.org/obo/UBERON_0005393&gt;</t>
  </si>
  <si>
    <t>layer IV</t>
  </si>
  <si>
    <t>&lt;http://purl.obolibrary.org/obo/PBA_294021852&gt;</t>
  </si>
  <si>
    <t>&lt;http://purl.obolibrary.org/obo/UBERON_0005394&gt;</t>
  </si>
  <si>
    <t>layer V</t>
  </si>
  <si>
    <t>&lt;http://purl.obolibrary.org/obo/PBA_294021878&gt;</t>
  </si>
  <si>
    <t>&lt;http://purl.obolibrary.org/obo/UBERON_0005395&gt;</t>
  </si>
  <si>
    <t>layer VI</t>
  </si>
  <si>
    <t>&lt;http://purl.obolibrary.org/obo/PBA_294021896&gt;</t>
  </si>
  <si>
    <t>&lt;http://purl.obolibrary.org/obo/UBERON_0005343&gt;</t>
  </si>
  <si>
    <t>cortical plate</t>
  </si>
  <si>
    <t>&lt;http://purl.obolibrary.org/obo/DHBA_10515&gt;</t>
  </si>
  <si>
    <t>&lt;http://purl.obolibrary.org/obo/MBA_695&gt;</t>
  </si>
  <si>
    <t>&lt;http://purl.obolibrary.org/obo/PBA_294021914&gt;</t>
  </si>
  <si>
    <t>&lt;http://purl.obolibrary.org/obo/UBERON_0004035&gt;</t>
  </si>
  <si>
    <t>subplate zone</t>
  </si>
  <si>
    <t>&lt;http://purl.obolibrary.org/obo/DHBA_10522&gt;</t>
  </si>
  <si>
    <t>subplate</t>
  </si>
  <si>
    <t>&lt;http://purl.obolibrary.org/obo/PBA_294021932&gt;</t>
  </si>
  <si>
    <t>&lt;http://purl.obolibrary.org/obo/UBERON_0022272&gt;</t>
  </si>
  <si>
    <t>corticobulbar tract</t>
  </si>
  <si>
    <t>&lt;http://purl.obolibrary.org/obo/DHBA_12774&gt;</t>
  </si>
  <si>
    <t>&lt;http://purl.obolibrary.org/obo/HBA_265505058&gt;</t>
  </si>
  <si>
    <t>&lt;http://purl.obolibrary.org/obo/MBA_994&gt;</t>
  </si>
  <si>
    <t>&lt;http://purl.obolibrary.org/obo/UBERON_0006108&gt;</t>
  </si>
  <si>
    <t>corticomedial nuclear group</t>
  </si>
  <si>
    <t>&lt;http://purl.obolibrary.org/obo/DHBA_10372&gt;</t>
  </si>
  <si>
    <t>&lt;http://purl.obolibrary.org/obo/UBERON_0022271&gt;</t>
  </si>
  <si>
    <t>cortico-pontine fibers, pontine part</t>
  </si>
  <si>
    <t>&lt;http://purl.obolibrary.org/obo/DHBA_266441721&gt;</t>
  </si>
  <si>
    <t>cortico-pontine fibers</t>
  </si>
  <si>
    <t>&lt;http://purl.obolibrary.org/obo/HBA_265505490&gt;</t>
  </si>
  <si>
    <t>&lt;http://purl.obolibrary.org/obo/UBERON_0002707&gt;</t>
  </si>
  <si>
    <t>corticospinal tract</t>
  </si>
  <si>
    <t>&lt;http://purl.obolibrary.org/obo/DHBA_12776&gt;</t>
  </si>
  <si>
    <t>&lt;http://purl.obolibrary.org/obo/DMBA_17756&gt;</t>
  </si>
  <si>
    <t>&lt;http://purl.obolibrary.org/obo/HBA_265505574&gt;</t>
  </si>
  <si>
    <t>pyramid</t>
  </si>
  <si>
    <t>&lt;http://purl.obolibrary.org/obo/MBA_190&gt;</t>
  </si>
  <si>
    <t>&lt;http://purl.obolibrary.org/obo/MBA_784&gt;</t>
  </si>
  <si>
    <t>&lt;http://purl.obolibrary.org/obo/UBERON_0002556&gt;</t>
  </si>
  <si>
    <t>corticotectal fibers</t>
  </si>
  <si>
    <t>&lt;http://purl.obolibrary.org/obo/DHBA_12050&gt;</t>
  </si>
  <si>
    <t>corticotectal tract</t>
  </si>
  <si>
    <t>&lt;http://purl.obolibrary.org/obo/MBA_1036&gt;</t>
  </si>
  <si>
    <t>&lt;http://purl.obolibrary.org/obo/UBERON_0001785&gt;</t>
  </si>
  <si>
    <t>&lt;http://purl.obolibrary.org/obo/UBERON_0000941&gt;</t>
  </si>
  <si>
    <t>optic nerve</t>
  </si>
  <si>
    <t>&lt;http://purl.obolibrary.org/obo/DHBA_15544&gt;</t>
  </si>
  <si>
    <t>&lt;http://purl.obolibrary.org/obo/HBA_9307&gt;</t>
  </si>
  <si>
    <t>&lt;http://purl.obolibrary.org/obo/MBA_848&gt;</t>
  </si>
  <si>
    <t>&lt;http://purl.obolibrary.org/obo/UBERON_0005832&gt;</t>
  </si>
  <si>
    <t>cuneate fasciculus</t>
  </si>
  <si>
    <t>&lt;http://purl.obolibrary.org/obo/DHBA_12731&gt;</t>
  </si>
  <si>
    <t>&lt;http://purl.obolibrary.org/obo/HBA_265505550&gt;</t>
  </si>
  <si>
    <t>cuneate fascicle</t>
  </si>
  <si>
    <t>&lt;http://purl.obolibrary.org/obo/MBA_380&gt;</t>
  </si>
  <si>
    <t>&lt;http://purl.obolibrary.org/obo/UBERON_0005835&gt;</t>
  </si>
  <si>
    <t>&lt;http://purl.obolibrary.org/obo/UBERON_0002045&gt;</t>
  </si>
  <si>
    <t>cuneate nucleus</t>
  </si>
  <si>
    <t>&lt;http://purl.obolibrary.org/obo/DHBA_12589&gt;</t>
  </si>
  <si>
    <t>&lt;http://purl.obolibrary.org/obo/HBA_9542&gt;</t>
  </si>
  <si>
    <t>&lt;http://purl.obolibrary.org/obo/MBA_711&gt;</t>
  </si>
  <si>
    <t>&lt;http://purl.obolibrary.org/obo/UBERON_0002696&gt;</t>
  </si>
  <si>
    <t>cuneiform nucleus</t>
  </si>
  <si>
    <t>&lt;http://purl.obolibrary.org/obo/DHBA_12240&gt;</t>
  </si>
  <si>
    <t>&lt;http://purl.obolibrary.org/obo/DMBA_16777&gt;</t>
  </si>
  <si>
    <t>cuneiform nucleus, left</t>
  </si>
  <si>
    <t>&lt;http://purl.obolibrary.org/obo/HBA_9020&gt;</t>
  </si>
  <si>
    <t>&lt;http://purl.obolibrary.org/obo/MBA_616&gt;</t>
  </si>
  <si>
    <t>&lt;http://purl.obolibrary.org/obo/UBERON_0002640&gt;</t>
  </si>
  <si>
    <t>cuneocerebellar tract</t>
  </si>
  <si>
    <t>&lt;http://purl.obolibrary.org/obo/DHBA_12745&gt;</t>
  </si>
  <si>
    <t>&lt;http://purl.obolibrary.org/obo/MBA_499&gt;</t>
  </si>
  <si>
    <t>&lt;http://purl.obolibrary.org/obo/UBERON_0006092&gt;</t>
  </si>
  <si>
    <t>cuneus</t>
  </si>
  <si>
    <t>&lt;http://purl.obolibrary.org/obo/DHBA_12150&gt;</t>
  </si>
  <si>
    <t>&lt;http://purl.obolibrary.org/obo/HBA_4184&gt;</t>
  </si>
  <si>
    <t>&lt;http://purl.obolibrary.org/obo/UBERON_0002643&gt;</t>
  </si>
  <si>
    <t>decussation of medial lemniscus</t>
  </si>
  <si>
    <t>&lt;http://purl.obolibrary.org/obo/DHBA_12732&gt;</t>
  </si>
  <si>
    <t>&lt;http://purl.obolibrary.org/obo/DMBA_17777&gt;</t>
  </si>
  <si>
    <t>&lt;http://purl.obolibrary.org/obo/HBA_265505622&gt;</t>
  </si>
  <si>
    <t>&lt;http://purl.obolibrary.org/obo/UBERON_0002588&gt;</t>
  </si>
  <si>
    <t>decussation of superior cerebellar peduncle</t>
  </si>
  <si>
    <t>&lt;http://purl.obolibrary.org/obo/DHBA_12337&gt;</t>
  </si>
  <si>
    <t>decussation of the superior cerebellar peduncle</t>
  </si>
  <si>
    <t>&lt;http://purl.obolibrary.org/obo/HBA_265505482&gt;</t>
  </si>
  <si>
    <t>superior cerebellar peduncle decussation</t>
  </si>
  <si>
    <t>&lt;http://purl.obolibrary.org/obo/MBA_812&gt;</t>
  </si>
  <si>
    <t>&lt;http://purl.obolibrary.org/obo/UBERON_0002787&gt;</t>
  </si>
  <si>
    <t>decussation of trochlear nerve fibers</t>
  </si>
  <si>
    <t>&lt;http://purl.obolibrary.org/obo/DHBA_12338&gt;</t>
  </si>
  <si>
    <t>trochlear nerve decussation</t>
  </si>
  <si>
    <t>&lt;http://purl.obolibrary.org/obo/MBA_384&gt;</t>
  </si>
  <si>
    <t>&lt;http://purl.obolibrary.org/obo/UBERON_0006789&gt;</t>
  </si>
  <si>
    <t>deep gray layer of superior colliculus</t>
  </si>
  <si>
    <t>&lt;http://purl.obolibrary.org/obo/DHBA_12302&gt;</t>
  </si>
  <si>
    <t>deep gray layer of the superior colliculus, left</t>
  </si>
  <si>
    <t>&lt;http://purl.obolibrary.org/obo/HBA_9117&gt;</t>
  </si>
  <si>
    <t>&lt;http://purl.obolibrary.org/obo/UBERON_0006793&gt;</t>
  </si>
  <si>
    <t>deep layer of colliculus</t>
  </si>
  <si>
    <t>&lt;http://purl.obolibrary.org/obo/DHBA_12301&gt;</t>
  </si>
  <si>
    <t>&lt;http://purl.obolibrary.org/obo/UBERON_0006790&gt;</t>
  </si>
  <si>
    <t>deep white layer of superior colliculus</t>
  </si>
  <si>
    <t>&lt;http://purl.obolibrary.org/obo/DHBA_12303&gt;</t>
  </si>
  <si>
    <t>deep white layer of the superior colliculus, left</t>
  </si>
  <si>
    <t>&lt;http://purl.obolibrary.org/obo/HBA_9118&gt;</t>
  </si>
  <si>
    <t>&lt;http://purl.obolibrary.org/obo/UBERON_0002645&gt;</t>
  </si>
  <si>
    <t>densocelllular (paralamellar) division of MD</t>
  </si>
  <si>
    <t>&lt;http://purl.obolibrary.org/obo/DHBA_10399&gt;</t>
  </si>
  <si>
    <t>mediodorsal nucleus of the thalamus, left, densocelllular division</t>
  </si>
  <si>
    <t>&lt;http://purl.obolibrary.org/obo/HBA_4404&gt;</t>
  </si>
  <si>
    <t>&lt;http://purl.obolibrary.org/obo/UBERON_0005381&gt;</t>
  </si>
  <si>
    <t>granule cell layer of the DG</t>
  </si>
  <si>
    <t>&lt;http://purl.obolibrary.org/obo/DMBA_16122&gt;</t>
  </si>
  <si>
    <t>dentate gyrus, granule cell layer</t>
  </si>
  <si>
    <t>&lt;http://purl.obolibrary.org/obo/MBA_632&gt;</t>
  </si>
  <si>
    <t>&lt;http://purl.obolibrary.org/obo/UBERON_0004679&gt;</t>
  </si>
  <si>
    <t>dentate gyrus, molecular layer</t>
  </si>
  <si>
    <t>&lt;http://purl.obolibrary.org/obo/MBA_10703&gt;</t>
  </si>
  <si>
    <t>&lt;http://purl.obolibrary.org/obo/UBERON_0001885&gt;</t>
  </si>
  <si>
    <t>dentate area (dentate gyrus)</t>
  </si>
  <si>
    <t>&lt;http://purl.obolibrary.org/obo/DHBA_10295&gt;</t>
  </si>
  <si>
    <t>dentate gyrus</t>
  </si>
  <si>
    <t>&lt;http://purl.obolibrary.org/obo/DMBA_16115&gt;</t>
  </si>
  <si>
    <t>&lt;http://purl.obolibrary.org/obo/HBA_12891&gt;</t>
  </si>
  <si>
    <t>&lt;http://purl.obolibrary.org/obo/MBA_726&gt;</t>
  </si>
  <si>
    <t>&lt;http://purl.obolibrary.org/obo/UBERON_0002928&gt;</t>
  </si>
  <si>
    <t>dentate gyrus, polymorph layer</t>
  </si>
  <si>
    <t>&lt;http://purl.obolibrary.org/obo/MBA_10704&gt;</t>
  </si>
  <si>
    <t>&lt;http://purl.obolibrary.org/obo/UBERON_0009952&gt;</t>
  </si>
  <si>
    <t>dentate gyrus, subgranular zone</t>
  </si>
  <si>
    <t>&lt;http://purl.obolibrary.org/obo/MBA_10702&gt;</t>
  </si>
  <si>
    <t>&lt;http://purl.obolibrary.org/obo/UBERON_0002132&gt;</t>
  </si>
  <si>
    <t>dentate nucleus</t>
  </si>
  <si>
    <t>&lt;http://purl.obolibrary.org/obo/HBA_12946&gt;</t>
  </si>
  <si>
    <t>&lt;http://purl.obolibrary.org/obo/MBA_846&gt;</t>
  </si>
  <si>
    <t>&lt;http://purl.obolibrary.org/obo/UBERON_0002594&gt;</t>
  </si>
  <si>
    <t>dentatothalamic tract</t>
  </si>
  <si>
    <t>&lt;http://purl.obolibrary.org/obo/DHBA_12357&gt;</t>
  </si>
  <si>
    <t>&lt;http://purl.obolibrary.org/obo/UBERON_0002741&gt;</t>
  </si>
  <si>
    <t>diagonal band</t>
  </si>
  <si>
    <t>&lt;http://purl.obolibrary.org/obo/DHBA_12034&gt;</t>
  </si>
  <si>
    <t>&lt;http://purl.obolibrary.org/obo/UBERON_0006569&gt;</t>
  </si>
  <si>
    <t>nucleus of Darkschewitsch</t>
  </si>
  <si>
    <t>&lt;http://purl.obolibrary.org/obo/DMBA_16629&gt;</t>
  </si>
  <si>
    <t>&lt;http://purl.obolibrary.org/obo/MBA_587&gt;</t>
  </si>
  <si>
    <t>nucleus of the posterior commissure</t>
  </si>
  <si>
    <t>&lt;http://purl.obolibrary.org/obo/MBA_634&gt;</t>
  </si>
  <si>
    <t>&lt;http://purl.obolibrary.org/obo/UBERON_0001894&gt;</t>
  </si>
  <si>
    <t>diencephalon</t>
  </si>
  <si>
    <t>&lt;http://purl.obolibrary.org/obo/DHBA_10389&gt;</t>
  </si>
  <si>
    <t>&lt;http://purl.obolibrary.org/obo/DMBA_16308&gt;</t>
  </si>
  <si>
    <t>&lt;http://purl.obolibrary.org/obo/HBA_4391&gt;</t>
  </si>
  <si>
    <t>interbrain</t>
  </si>
  <si>
    <t>&lt;http://purl.obolibrary.org/obo/MBA_1129&gt;</t>
  </si>
  <si>
    <t>&lt;http://purl.obolibrary.org/obo/PBA_128013010&gt;</t>
  </si>
  <si>
    <t>&lt;http://purl.obolibrary.org/obo/UBERON_0002869&gt;</t>
  </si>
  <si>
    <t>subparabrachial nucleus</t>
  </si>
  <si>
    <t>&lt;http://purl.obolibrary.org/obo/DHBA_12491&gt;</t>
  </si>
  <si>
    <t>Koelliker-Fuse nucleus</t>
  </si>
  <si>
    <t>&lt;http://purl.obolibrary.org/obo/DHBA_12518&gt;</t>
  </si>
  <si>
    <t>&lt;http://purl.obolibrary.org/obo/DMBA_16853&gt;</t>
  </si>
  <si>
    <t>&lt;http://purl.obolibrary.org/obo/UBERON_0007249&gt;</t>
  </si>
  <si>
    <t>inferior olive, dorsal nucleus</t>
  </si>
  <si>
    <t>&lt;http://purl.obolibrary.org/obo/DHBA_12603&gt;</t>
  </si>
  <si>
    <t>dorsal accessory inferior olivary nucleus, left</t>
  </si>
  <si>
    <t>&lt;http://purl.obolibrary.org/obo/HBA_9562&gt;</t>
  </si>
  <si>
    <t>&lt;http://purl.obolibrary.org/obo/UBERON_0013599&gt;</t>
  </si>
  <si>
    <t>&lt;http://purl.obolibrary.org/obo/UBERON_0002790&gt;</t>
  </si>
  <si>
    <t>dorsal acoustic stria</t>
  </si>
  <si>
    <t>&lt;http://purl.obolibrary.org/obo/DHBA_12733&gt;</t>
  </si>
  <si>
    <t>&lt;http://purl.obolibrary.org/obo/MBA_506&gt;</t>
  </si>
  <si>
    <t>&lt;http://purl.obolibrary.org/obo/UBERON_0035885&gt;</t>
  </si>
  <si>
    <t>dorsal auditory area</t>
  </si>
  <si>
    <t>&lt;http://purl.obolibrary.org/obo/MBA_1011&gt;</t>
  </si>
  <si>
    <t>&lt;http://purl.obolibrary.org/obo/UBERON_0035917&gt;</t>
  </si>
  <si>
    <t>dorsal auditory area, layer 4</t>
  </si>
  <si>
    <t>&lt;http://purl.obolibrary.org/obo/MBA_678&gt;</t>
  </si>
  <si>
    <t>&lt;http://purl.obolibrary.org/obo/UBERON_0002829&gt;</t>
  </si>
  <si>
    <t>dorsal cochlear nucleus</t>
  </si>
  <si>
    <t>&lt;http://purl.obolibrary.org/obo/DHBA_12438&gt;</t>
  </si>
  <si>
    <t>dorsal cochlear nucleus, left</t>
  </si>
  <si>
    <t>&lt;http://purl.obolibrary.org/obo/HBA_9530&gt;</t>
  </si>
  <si>
    <t>&lt;http://purl.obolibrary.org/obo/MBA_96&gt;</t>
  </si>
  <si>
    <t>&lt;http://purl.obolibrary.org/obo/UBERON_0018238&gt;</t>
  </si>
  <si>
    <t>dorsal column nuclei</t>
  </si>
  <si>
    <t>&lt;http://purl.obolibrary.org/obo/MBA_720&gt;</t>
  </si>
  <si>
    <t>&lt;http://purl.obolibrary.org/obo/UBERON_0018237&gt;</t>
  </si>
  <si>
    <t>&lt;http://purl.obolibrary.org/obo/UBERON_0006089&gt;</t>
  </si>
  <si>
    <t>external arcuate fibers</t>
  </si>
  <si>
    <t>&lt;http://purl.obolibrary.org/obo/DHBA_12737&gt;</t>
  </si>
  <si>
    <t>&lt;http://purl.obolibrary.org/obo/UBERON_0002954&gt;</t>
  </si>
  <si>
    <t>dorsal hypothalamic area</t>
  </si>
  <si>
    <t>&lt;http://purl.obolibrary.org/obo/DHBA_13335&gt;</t>
  </si>
  <si>
    <t>&lt;http://purl.obolibrary.org/obo/UBERON_0002479&gt;</t>
  </si>
  <si>
    <t>&lt;http://purl.obolibrary.org/obo/DHBA_10430&gt;</t>
  </si>
  <si>
    <t>dorsal lateral geniculate nucleus, left</t>
  </si>
  <si>
    <t>&lt;http://purl.obolibrary.org/obo/HBA_4440&gt;</t>
  </si>
  <si>
    <t>&lt;http://purl.obolibrary.org/obo/PBA_128013074&gt;</t>
  </si>
  <si>
    <t>&lt;http://purl.obolibrary.org/obo/UBERON_0003045&gt;</t>
  </si>
  <si>
    <t>dorsal longitudinal fasciculus</t>
  </si>
  <si>
    <t>&lt;http://purl.obolibrary.org/obo/DHBA_12035&gt;</t>
  </si>
  <si>
    <t>dorsal longitudinal fasciculus, Right</t>
  </si>
  <si>
    <t>&lt;http://purl.obolibrary.org/obo/HBA_9348&gt;</t>
  </si>
  <si>
    <t>dorsal longitudinal fascicle</t>
  </si>
  <si>
    <t>&lt;http://purl.obolibrary.org/obo/MBA_547&gt;</t>
  </si>
  <si>
    <t>&lt;http://purl.obolibrary.org/obo/UBERON_0002870&gt;</t>
  </si>
  <si>
    <t>dorsal motor nucleus of the vagus (vagal nucleus)</t>
  </si>
  <si>
    <t>&lt;http://purl.obolibrary.org/obo/DHBA_12550&gt;</t>
  </si>
  <si>
    <t>dorsal motor nucleus of the vagus</t>
  </si>
  <si>
    <t>&lt;http://purl.obolibrary.org/obo/HBA_9545&gt;</t>
  </si>
  <si>
    <t>dorsal motor nucleus of the vagus nerve</t>
  </si>
  <si>
    <t>&lt;http://purl.obolibrary.org/obo/MBA_839&gt;</t>
  </si>
  <si>
    <t>&lt;http://purl.obolibrary.org/obo/UBERON_0003006&gt;</t>
  </si>
  <si>
    <t>dorsal nucleus of lateral lemniscus</t>
  </si>
  <si>
    <t>&lt;http://purl.obolibrary.org/obo/DHBA_12455&gt;</t>
  </si>
  <si>
    <t>dorsal nucleus of the lateral lemniscus</t>
  </si>
  <si>
    <t>&lt;http://purl.obolibrary.org/obo/DMBA_16860&gt;</t>
  </si>
  <si>
    <t>&lt;http://purl.obolibrary.org/obo/HBA_9139&gt;</t>
  </si>
  <si>
    <t>nucleus of the lateral lemniscus, dorsal part</t>
  </si>
  <si>
    <t>&lt;http://purl.obolibrary.org/obo/MBA_82&gt;</t>
  </si>
  <si>
    <t>&lt;http://purl.obolibrary.org/obo/UBERON_0002758&gt;</t>
  </si>
  <si>
    <t>dorsal medial geniculate nucleus</t>
  </si>
  <si>
    <t>&lt;http://purl.obolibrary.org/obo/DHBA_10435&gt;</t>
  </si>
  <si>
    <t>dorsal nucelus of medial geniculate complex, left</t>
  </si>
  <si>
    <t>&lt;http://purl.obolibrary.org/obo/HBA_265504828&gt;</t>
  </si>
  <si>
    <t>&lt;http://purl.obolibrary.org/obo/UBERON_0002964&gt;</t>
  </si>
  <si>
    <t>dorsal oculomotor nucleus</t>
  </si>
  <si>
    <t>&lt;http://purl.obolibrary.org/obo/DHBA_12202&gt;</t>
  </si>
  <si>
    <t>dorsal oculomotor nucleus, left</t>
  </si>
  <si>
    <t>&lt;http://purl.obolibrary.org/obo/HBA_9035&gt;</t>
  </si>
  <si>
    <t>&lt;http://purl.obolibrary.org/obo/UBERON_0006516&gt;</t>
  </si>
  <si>
    <t>pallidum, dorsal region</t>
  </si>
  <si>
    <t>&lt;http://purl.obolibrary.org/obo/MBA_818&gt;</t>
  </si>
  <si>
    <t>&lt;http://purl.obolibrary.org/obo/UBERON_0016825&gt;</t>
  </si>
  <si>
    <t>dorsal paragigantocellular nucleus</t>
  </si>
  <si>
    <t>&lt;http://purl.obolibrary.org/obo/DHBA_12628&gt;</t>
  </si>
  <si>
    <t>dorsal paragigantocellular nucleus, left</t>
  </si>
  <si>
    <t>&lt;http://purl.obolibrary.org/obo/HBA_9600&gt;</t>
  </si>
  <si>
    <t>paragigantocellular reticular nucleus, dorsal part</t>
  </si>
  <si>
    <t>&lt;http://purl.obolibrary.org/obo/MBA_970&gt;</t>
  </si>
  <si>
    <t>&lt;http://purl.obolibrary.org/obo/UBERON_0016827&gt;</t>
  </si>
  <si>
    <t>dorsal paramedian nucleus</t>
  </si>
  <si>
    <t>&lt;http://purl.obolibrary.org/obo/DHBA_12597&gt;</t>
  </si>
  <si>
    <t>&lt;http://purl.obolibrary.org/obo/UBERON_0022437&gt;</t>
  </si>
  <si>
    <t>dorsal periolivary nucleus</t>
  </si>
  <si>
    <t>&lt;http://purl.obolibrary.org/obo/DHBA_15561&gt;</t>
  </si>
  <si>
    <t>&lt;http://purl.obolibrary.org/obo/DMBA_17260&gt;</t>
  </si>
  <si>
    <t>&lt;http://purl.obolibrary.org/obo/UBERON_0001897&gt;</t>
  </si>
  <si>
    <t>thalamus</t>
  </si>
  <si>
    <t>&lt;http://purl.obolibrary.org/obo/DHBA_10390&gt;</t>
  </si>
  <si>
    <t>&lt;http://purl.obolibrary.org/obo/DMBA_16376&gt;</t>
  </si>
  <si>
    <t>&lt;http://purl.obolibrary.org/obo/HBA_4392&gt;</t>
  </si>
  <si>
    <t>&lt;http://purl.obolibrary.org/obo/MBA_549&gt;</t>
  </si>
  <si>
    <t>&lt;http://purl.obolibrary.org/obo/PBA_128013014&gt;</t>
  </si>
  <si>
    <t>&lt;http://purl.obolibrary.org/obo/UBERON_0007767&gt;</t>
  </si>
  <si>
    <t>premammillary nucleus, left, dorsal part</t>
  </si>
  <si>
    <t>&lt;http://purl.obolibrary.org/obo/HBA_4677&gt;</t>
  </si>
  <si>
    <t>&lt;http://purl.obolibrary.org/obo/UBERON_0002043&gt;</t>
  </si>
  <si>
    <t>dorsal raphe nucleus</t>
  </si>
  <si>
    <t>&lt;http://purl.obolibrary.org/obo/DHBA_12223&gt;</t>
  </si>
  <si>
    <t>dorsal raphe nucleus, left</t>
  </si>
  <si>
    <t>&lt;http://purl.obolibrary.org/obo/HBA_9457&gt;</t>
  </si>
  <si>
    <t>dorsal nucleus raphe</t>
  </si>
  <si>
    <t>&lt;http://purl.obolibrary.org/obo/MBA_872&gt;</t>
  </si>
  <si>
    <t>&lt;http://purl.obolibrary.org/obo/UBERON_0005382&gt;</t>
  </si>
  <si>
    <t>dorsal striatum</t>
  </si>
  <si>
    <t>&lt;http://purl.obolibrary.org/obo/PBA_10081&gt;</t>
  </si>
  <si>
    <t>&lt;http://purl.obolibrary.org/obo/UBERON_0002697&gt;</t>
  </si>
  <si>
    <t>supraoptic commissures, dorsal</t>
  </si>
  <si>
    <t>&lt;http://purl.obolibrary.org/obo/MBA_825&gt;</t>
  </si>
  <si>
    <t>&lt;http://purl.obolibrary.org/obo/UBERON_0003009&gt;</t>
  </si>
  <si>
    <t>dorsal tegmental decussation</t>
  </si>
  <si>
    <t>&lt;http://purl.obolibrary.org/obo/DHBA_12340&gt;</t>
  </si>
  <si>
    <t>&lt;http://purl.obolibrary.org/obo/UBERON_0002143&gt;</t>
  </si>
  <si>
    <t>dorsal tegmental nucleus</t>
  </si>
  <si>
    <t>&lt;http://purl.obolibrary.org/obo/DHBA_12508&gt;</t>
  </si>
  <si>
    <t>&lt;http://purl.obolibrary.org/obo/DMBA_17000&gt;</t>
  </si>
  <si>
    <t>&lt;http://purl.obolibrary.org/obo/HBA_265504876&gt;</t>
  </si>
  <si>
    <t>&lt;http://purl.obolibrary.org/obo/MBA_880&gt;</t>
  </si>
  <si>
    <t>&lt;http://purl.obolibrary.org/obo/UBERON_0004703&gt;</t>
  </si>
  <si>
    <t>dorsal thalamus</t>
  </si>
  <si>
    <t>&lt;http://purl.obolibrary.org/obo/DHBA_10391&gt;</t>
  </si>
  <si>
    <t>dorsal tier of thalamus</t>
  </si>
  <si>
    <t>&lt;http://purl.obolibrary.org/obo/DMBA_16396&gt;</t>
  </si>
  <si>
    <t>&lt;http://purl.obolibrary.org/obo/HBA_4393&gt;</t>
  </si>
  <si>
    <t>&lt;http://purl.obolibrary.org/obo/PBA_128013018&gt;</t>
  </si>
  <si>
    <t>&lt;http://purl.obolibrary.org/obo/UBERON_0002797&gt;</t>
  </si>
  <si>
    <t>dorsal trigeminothalamic tract</t>
  </si>
  <si>
    <t>&lt;http://purl.obolibrary.org/obo/DHBA_12736&gt;</t>
  </si>
  <si>
    <t>&lt;http://purl.obolibrary.org/obo/UBERON_0018262&gt;</t>
  </si>
  <si>
    <t>entorhinal area, medial part, dorsal zone</t>
  </si>
  <si>
    <t>&lt;http://purl.obolibrary.org/obo/MBA_926&gt;</t>
  </si>
  <si>
    <t>&lt;http://purl.obolibrary.org/obo/UBERON_0035928&gt;</t>
  </si>
  <si>
    <t>supraoptic nucleus, left, dorsolateral part</t>
  </si>
  <si>
    <t>&lt;http://purl.obolibrary.org/obo/HBA_4594&gt;</t>
  </si>
  <si>
    <t>&lt;http://purl.obolibrary.org/obo/UBERON_0009834&gt;</t>
  </si>
  <si>
    <t>dorsolateral prefrontal cortex</t>
  </si>
  <si>
    <t>&lt;http://purl.obolibrary.org/obo/DHBA_10173&gt;</t>
  </si>
  <si>
    <t>&lt;http://purl.obolibrary.org/obo/UBERON_0035154&gt;</t>
  </si>
  <si>
    <t>layer II of dorsolateral prefrontal cortex</t>
  </si>
  <si>
    <t>&lt;http://purl.obolibrary.org/obo/PBA_12986&gt;</t>
  </si>
  <si>
    <t>&lt;http://purl.obolibrary.org/obo/UBERON_0035155&gt;</t>
  </si>
  <si>
    <t>layer III of dorsolateral prefrontal cortex</t>
  </si>
  <si>
    <t>&lt;http://purl.obolibrary.org/obo/PBA_12987&gt;</t>
  </si>
  <si>
    <t>&lt;http://purl.obolibrary.org/obo/UBERON_0035156&gt;</t>
  </si>
  <si>
    <t>granular layer IV of dorsolateral prefrontal cortex</t>
  </si>
  <si>
    <t>&lt;http://purl.obolibrary.org/obo/PBA_12988&gt;</t>
  </si>
  <si>
    <t>&lt;http://purl.obolibrary.org/obo/UBERON_0035157&gt;</t>
  </si>
  <si>
    <t>layer V of dorsolateral prefrontal cortex</t>
  </si>
  <si>
    <t>&lt;http://purl.obolibrary.org/obo/PBA_12989&gt;</t>
  </si>
  <si>
    <t>&lt;http://purl.obolibrary.org/obo/UBERON_0035158&gt;</t>
  </si>
  <si>
    <t>layer VI of dorsolateral prefrontal cortex</t>
  </si>
  <si>
    <t>&lt;http://purl.obolibrary.org/obo/PBA_12990&gt;</t>
  </si>
  <si>
    <t>&lt;http://purl.obolibrary.org/obo/UBERON_0001934&gt;</t>
  </si>
  <si>
    <t>dorsomedial hypothalamic nucleus</t>
  </si>
  <si>
    <t>&lt;http://purl.obolibrary.org/obo/DHBA_10485&gt;</t>
  </si>
  <si>
    <t>&lt;http://purl.obolibrary.org/obo/HBA_12914&gt;</t>
  </si>
  <si>
    <t>&lt;http://purl.obolibrary.org/obo/UBERON_0006284&gt;</t>
  </si>
  <si>
    <t>ventricles of forebrain</t>
  </si>
  <si>
    <t>&lt;http://purl.obolibrary.org/obo/DHBA_10595&gt;</t>
  </si>
  <si>
    <t>&lt;http://purl.obolibrary.org/obo/UBERON_0002602&gt;</t>
  </si>
  <si>
    <t>lateral interpositus (emboliform) nucleus</t>
  </si>
  <si>
    <t>&lt;http://purl.obolibrary.org/obo/DHBA_12401&gt;</t>
  </si>
  <si>
    <t>anterior part of Int</t>
  </si>
  <si>
    <t>&lt;http://purl.obolibrary.org/obo/DMBA_16930&gt;</t>
  </si>
  <si>
    <t>emboliform nucleus</t>
  </si>
  <si>
    <t>&lt;http://purl.obolibrary.org/obo/HBA_12947&gt;</t>
  </si>
  <si>
    <t>&lt;http://purl.obolibrary.org/obo/UBERON_0002050&gt;</t>
  </si>
  <si>
    <t>intermediate (mantle) zone of hindbrain</t>
  </si>
  <si>
    <t>&lt;http://purl.obolibrary.org/obo/DHBA_12682&gt;</t>
  </si>
  <si>
    <t>&lt;http://purl.obolibrary.org/obo/UBERON_0005291&gt;</t>
  </si>
  <si>
    <t>stratum lacunosum-moleculare of rostral CA1</t>
  </si>
  <si>
    <t>&lt;http://purl.obolibrary.org/obo/DHBA_11276&gt;</t>
  </si>
  <si>
    <t>stratum radiatum of rostral CA1</t>
  </si>
  <si>
    <t>&lt;http://purl.obolibrary.org/obo/DHBA_11277&gt;</t>
  </si>
  <si>
    <t>stratum pyramidale of rostral CA1</t>
  </si>
  <si>
    <t>&lt;http://purl.obolibrary.org/obo/DHBA_11278&gt;</t>
  </si>
  <si>
    <t>stratum oriens of rostral CA1</t>
  </si>
  <si>
    <t>&lt;http://purl.obolibrary.org/obo/DHBA_11279&gt;</t>
  </si>
  <si>
    <t>stratum lacunosum-moleculare of caudal CA1</t>
  </si>
  <si>
    <t>&lt;http://purl.obolibrary.org/obo/DHBA_11281&gt;</t>
  </si>
  <si>
    <t>stratum radiatum of caudal CA1</t>
  </si>
  <si>
    <t>&lt;http://purl.obolibrary.org/obo/DHBA_11282&gt;</t>
  </si>
  <si>
    <t>stratum pyramidale of caudal CA1</t>
  </si>
  <si>
    <t>&lt;http://purl.obolibrary.org/obo/DHBA_11283&gt;</t>
  </si>
  <si>
    <t>stratum oriens of caudal CA1</t>
  </si>
  <si>
    <t>&lt;http://purl.obolibrary.org/obo/DHBA_11284&gt;</t>
  </si>
  <si>
    <t>stratum lacunosum-moleculare of rostral CA2</t>
  </si>
  <si>
    <t>&lt;http://purl.obolibrary.org/obo/DHBA_11286&gt;</t>
  </si>
  <si>
    <t>stratum radiatum of rostral CA2</t>
  </si>
  <si>
    <t>&lt;http://purl.obolibrary.org/obo/DHBA_11287&gt;</t>
  </si>
  <si>
    <t>stratum pyramidale of rostral CA2</t>
  </si>
  <si>
    <t>&lt;http://purl.obolibrary.org/obo/DHBA_11288&gt;</t>
  </si>
  <si>
    <t>stratum oriens of rostral CA2</t>
  </si>
  <si>
    <t>&lt;http://purl.obolibrary.org/obo/DHBA_11289&gt;</t>
  </si>
  <si>
    <t>stratum lacunosum-moleculare of caudal CA2</t>
  </si>
  <si>
    <t>&lt;http://purl.obolibrary.org/obo/DHBA_11291&gt;</t>
  </si>
  <si>
    <t>stratum radiatum of caudal CA2</t>
  </si>
  <si>
    <t>&lt;http://purl.obolibrary.org/obo/DHBA_11292&gt;</t>
  </si>
  <si>
    <t>stratum pyramidale of caudal CA2</t>
  </si>
  <si>
    <t>&lt;http://purl.obolibrary.org/obo/DHBA_11293&gt;</t>
  </si>
  <si>
    <t>stratum oriens of caudal CA2</t>
  </si>
  <si>
    <t>&lt;http://purl.obolibrary.org/obo/DHBA_11294&gt;</t>
  </si>
  <si>
    <t>stratum lacunosum-moleculare of rostral CA3</t>
  </si>
  <si>
    <t>&lt;http://purl.obolibrary.org/obo/DHBA_11296&gt;</t>
  </si>
  <si>
    <t>stratum radiatum of rostral CA3</t>
  </si>
  <si>
    <t>&lt;http://purl.obolibrary.org/obo/DHBA_11297&gt;</t>
  </si>
  <si>
    <t>stratum lucidum  of rostral CA3</t>
  </si>
  <si>
    <t>&lt;http://purl.obolibrary.org/obo/DHBA_11298&gt;</t>
  </si>
  <si>
    <t>stratum pyramidale of rostral CA3</t>
  </si>
  <si>
    <t>&lt;http://purl.obolibrary.org/obo/DHBA_11299&gt;</t>
  </si>
  <si>
    <t>stratum oriens of rostral CA3</t>
  </si>
  <si>
    <t>&lt;http://purl.obolibrary.org/obo/DHBA_11300&gt;</t>
  </si>
  <si>
    <t>stratum lacunosum-moleculare of caudal CA3</t>
  </si>
  <si>
    <t>&lt;http://purl.obolibrary.org/obo/DHBA_11302&gt;</t>
  </si>
  <si>
    <t>stratum radiatum of caudal CA3</t>
  </si>
  <si>
    <t>&lt;http://purl.obolibrary.org/obo/DHBA_11303&gt;</t>
  </si>
  <si>
    <t>stratum lucidum  of caudal CA3</t>
  </si>
  <si>
    <t>&lt;http://purl.obolibrary.org/obo/DHBA_11304&gt;</t>
  </si>
  <si>
    <t>stratum pyramidale of caudal CA3</t>
  </si>
  <si>
    <t>&lt;http://purl.obolibrary.org/obo/DHBA_11305&gt;</t>
  </si>
  <si>
    <t>stratum oriens of caudal CA3</t>
  </si>
  <si>
    <t>&lt;http://purl.obolibrary.org/obo/DHBA_11306&gt;</t>
  </si>
  <si>
    <t>septum pellucidum</t>
  </si>
  <si>
    <t>&lt;http://purl.obolibrary.org/obo/DHBA_12098&gt;</t>
  </si>
  <si>
    <t>stratum lacunosum-moleculare of uncal CA1</t>
  </si>
  <si>
    <t>&lt;http://purl.obolibrary.org/obo/DHBA_266441271&gt;</t>
  </si>
  <si>
    <t>stratum radiatum of uncal CA1</t>
  </si>
  <si>
    <t>&lt;http://purl.obolibrary.org/obo/DHBA_266441283&gt;</t>
  </si>
  <si>
    <t>stratum pyramidale of uncal CA1</t>
  </si>
  <si>
    <t>&lt;http://purl.obolibrary.org/obo/DHBA_266441287&gt;</t>
  </si>
  <si>
    <t>stratum oriens of uncal CA1</t>
  </si>
  <si>
    <t>&lt;http://purl.obolibrary.org/obo/DHBA_266441291&gt;</t>
  </si>
  <si>
    <t>stratum lacunosum-moleculare of uncal CA2</t>
  </si>
  <si>
    <t>&lt;http://purl.obolibrary.org/obo/DHBA_266441315&gt;</t>
  </si>
  <si>
    <t>stratum radiatum of uncal CA2</t>
  </si>
  <si>
    <t>&lt;http://purl.obolibrary.org/obo/DHBA_266441327&gt;</t>
  </si>
  <si>
    <t>stratum pyramidale of uncal CA2</t>
  </si>
  <si>
    <t>&lt;http://purl.obolibrary.org/obo/DHBA_266441331&gt;</t>
  </si>
  <si>
    <t>stratum oriens of uncal CA2</t>
  </si>
  <si>
    <t>&lt;http://purl.obolibrary.org/obo/DHBA_266441335&gt;</t>
  </si>
  <si>
    <t>stratum lacunosum-moleculare of uncal CA3</t>
  </si>
  <si>
    <t>&lt;http://purl.obolibrary.org/obo/DHBA_266441359&gt;</t>
  </si>
  <si>
    <t>stratum radiatum of uncal CA3</t>
  </si>
  <si>
    <t>&lt;http://purl.obolibrary.org/obo/DHBA_266441371&gt;</t>
  </si>
  <si>
    <t>stratum lucidum  of uncal CA3</t>
  </si>
  <si>
    <t>&lt;http://purl.obolibrary.org/obo/DHBA_266441375&gt;</t>
  </si>
  <si>
    <t>stratum pyramidale of uncal CA3</t>
  </si>
  <si>
    <t>&lt;http://purl.obolibrary.org/obo/DHBA_266441379&gt;</t>
  </si>
  <si>
    <t>stratum oriens of uncal CA3</t>
  </si>
  <si>
    <t>&lt;http://purl.obolibrary.org/obo/DHBA_266441383&gt;</t>
  </si>
  <si>
    <t>lateral nucleus of the pulvinar, left</t>
  </si>
  <si>
    <t>&lt;http://purl.obolibrary.org/obo/HBA_4413&gt;</t>
  </si>
  <si>
    <t>&lt;http://purl.obolibrary.org/obo/UBERON_0022258&gt;</t>
  </si>
  <si>
    <t>endolemniscal nucleus</t>
  </si>
  <si>
    <t>&lt;http://purl.obolibrary.org/obo/DHBA_12648&gt;</t>
  </si>
  <si>
    <t>&lt;http://purl.obolibrary.org/obo/HBA_9548&gt;</t>
  </si>
  <si>
    <t>&lt;http://purl.obolibrary.org/obo/UBERON_0000432&gt;</t>
  </si>
  <si>
    <t>endopeduncular nucleus</t>
  </si>
  <si>
    <t>&lt;http://purl.obolibrary.org/obo/DHBA_13057&gt;</t>
  </si>
  <si>
    <t>&lt;http://purl.obolibrary.org/obo/UBERON_0014284&gt;</t>
  </si>
  <si>
    <t>endopiriform nucleus</t>
  </si>
  <si>
    <t>&lt;http://purl.obolibrary.org/obo/DHBA_10371&gt;</t>
  </si>
  <si>
    <t>&lt;http://purl.obolibrary.org/obo/MBA_942&gt;</t>
  </si>
  <si>
    <t>&lt;http://purl.obolibrary.org/obo/UBERON_0002728&gt;</t>
  </si>
  <si>
    <t>entorhinal cortex</t>
  </si>
  <si>
    <t>&lt;http://purl.obolibrary.org/obo/DHBA_10317&gt;</t>
  </si>
  <si>
    <t>&lt;http://purl.obolibrary.org/obo/DMBA_16102&gt;</t>
  </si>
  <si>
    <t>entorhinal area</t>
  </si>
  <si>
    <t>&lt;http://purl.obolibrary.org/obo/MBA_909&gt;</t>
  </si>
  <si>
    <t>&lt;http://purl.obolibrary.org/obo/PBA_294022158&gt;</t>
  </si>
  <si>
    <t>&lt;http://purl.obolibrary.org/obo/UBERON_0019314&gt;</t>
  </si>
  <si>
    <t>epifascicular nucleus</t>
  </si>
  <si>
    <t>&lt;http://purl.obolibrary.org/obo/DHBA_12649&gt;</t>
  </si>
  <si>
    <t>&lt;http://purl.obolibrary.org/obo/HBA_9551&gt;</t>
  </si>
  <si>
    <t>&lt;http://purl.obolibrary.org/obo/UBERON_0001899&gt;</t>
  </si>
  <si>
    <t>epithalamus</t>
  </si>
  <si>
    <t>&lt;http://purl.obolibrary.org/obo/DHBA_10451&gt;</t>
  </si>
  <si>
    <t>&lt;http://purl.obolibrary.org/obo/HBA_4520&gt;</t>
  </si>
  <si>
    <t>&lt;http://purl.obolibrary.org/obo/MBA_958&gt;</t>
  </si>
  <si>
    <t>&lt;http://purl.obolibrary.org/obo/PBA_128013147&gt;</t>
  </si>
  <si>
    <t>&lt;http://purl.obolibrary.org/obo/UBERON_0004545&gt;</t>
  </si>
  <si>
    <t>external capsule</t>
  </si>
  <si>
    <t>&lt;http://purl.obolibrary.org/obo/DHBA_10573&gt;</t>
  </si>
  <si>
    <t>&lt;http://purl.obolibrary.org/obo/DMBA_17765&gt;</t>
  </si>
  <si>
    <t>&lt;http://purl.obolibrary.org/obo/HBA_9243&gt;</t>
  </si>
  <si>
    <t>&lt;http://purl.obolibrary.org/obo/MBA_579&gt;</t>
  </si>
  <si>
    <t>&lt;http://purl.obolibrary.org/obo/UBERON_0014534&gt;</t>
  </si>
  <si>
    <t>external medullary lamina of thalamus</t>
  </si>
  <si>
    <t>&lt;http://purl.obolibrary.org/obo/DHBA_12038&gt;</t>
  </si>
  <si>
    <t>&lt;http://purl.obolibrary.org/obo/HBA_265505098&gt;</t>
  </si>
  <si>
    <t>external medullary lamina of the thalamus</t>
  </si>
  <si>
    <t>&lt;http://purl.obolibrary.org/obo/MBA_1092&gt;</t>
  </si>
  <si>
    <t>&lt;http://purl.obolibrary.org/obo/UBERON_0002571&gt;</t>
  </si>
  <si>
    <t>external cortex of inferior colliculus</t>
  </si>
  <si>
    <t>&lt;http://purl.obolibrary.org/obo/DHBA_12308&gt;</t>
  </si>
  <si>
    <t>external nucleus of the inferior colliculus, left</t>
  </si>
  <si>
    <t>&lt;http://purl.obolibrary.org/obo/HBA_9105&gt;</t>
  </si>
  <si>
    <t>&lt;http://purl.obolibrary.org/obo/UBERON_0035803&gt;</t>
  </si>
  <si>
    <t>extrapyramidal fiber systems</t>
  </si>
  <si>
    <t>&lt;http://purl.obolibrary.org/obo/MBA_1000&gt;</t>
  </si>
  <si>
    <t>&lt;http://purl.obolibrary.org/obo/UBERON_0014370&gt;</t>
  </si>
  <si>
    <t>extrastriate occipital cortex</t>
  </si>
  <si>
    <t>&lt;http://purl.obolibrary.org/obo/DHBA_10270&gt;</t>
  </si>
  <si>
    <t>&lt;http://purl.obolibrary.org/obo/UBERON_0014528&gt;</t>
  </si>
  <si>
    <t>extreme capsule</t>
  </si>
  <si>
    <t>&lt;http://purl.obolibrary.org/obo/DHBA_10574&gt;</t>
  </si>
  <si>
    <t>&lt;http://purl.obolibrary.org/obo/HBA_9246&gt;</t>
  </si>
  <si>
    <t>&lt;http://purl.obolibrary.org/obo/UBERON_0003011&gt;</t>
  </si>
  <si>
    <t>facial motor nucleus</t>
  </si>
  <si>
    <t>&lt;http://purl.obolibrary.org/obo/DMBA_17317&gt;</t>
  </si>
  <si>
    <t>&lt;http://purl.obolibrary.org/obo/HBA_9142&gt;</t>
  </si>
  <si>
    <t>&lt;http://purl.obolibrary.org/obo/MBA_661&gt;</t>
  </si>
  <si>
    <t>&lt;http://purl.obolibrary.org/obo/UBERON_0001647&gt;</t>
  </si>
  <si>
    <t>facial nerve</t>
  </si>
  <si>
    <t>&lt;http://purl.obolibrary.org/obo/HBA_9328&gt;</t>
  </si>
  <si>
    <t>&lt;http://purl.obolibrary.org/obo/MBA_798&gt;</t>
  </si>
  <si>
    <t>&lt;http://purl.obolibrary.org/obo/UBERON_0004674&gt;</t>
  </si>
  <si>
    <t>root of facial nerve</t>
  </si>
  <si>
    <t>&lt;http://purl.obolibrary.org/obo/DHBA_12862&gt;</t>
  </si>
  <si>
    <t>facial nerve root</t>
  </si>
  <si>
    <t>&lt;http://purl.obolibrary.org/obo/DMBA_17742&gt;</t>
  </si>
  <si>
    <t>&lt;http://purl.obolibrary.org/obo/UBERON_0000127&gt;</t>
  </si>
  <si>
    <t>facial nucleus</t>
  </si>
  <si>
    <t>&lt;http://purl.obolibrary.org/obo/DHBA_12420&gt;</t>
  </si>
  <si>
    <t>&lt;http://purl.obolibrary.org/obo/UBERON_0005838&gt;</t>
  </si>
  <si>
    <t>gracile fasciculus</t>
  </si>
  <si>
    <t>&lt;http://purl.obolibrary.org/obo/DHBA_12739&gt;</t>
  </si>
  <si>
    <t>&lt;http://purl.obolibrary.org/obo/HBA_265505586&gt;</t>
  </si>
  <si>
    <t>gracile fascicle</t>
  </si>
  <si>
    <t>&lt;http://purl.obolibrary.org/obo/MBA_388&gt;</t>
  </si>
  <si>
    <t>&lt;http://purl.obolibrary.org/obo/UBERON_0002601&gt;</t>
  </si>
  <si>
    <t>fasciolar gyrus</t>
  </si>
  <si>
    <t>&lt;http://purl.obolibrary.org/obo/DHBA_12175&gt;</t>
  </si>
  <si>
    <t>fasciola cinerea</t>
  </si>
  <si>
    <t>&lt;http://purl.obolibrary.org/obo/DMBA_112892265&gt;</t>
  </si>
  <si>
    <t>&lt;http://purl.obolibrary.org/obo/MBA_982&gt;</t>
  </si>
  <si>
    <t>&lt;http://purl.obolibrary.org/obo/UBERON_0002153&gt;</t>
  </si>
  <si>
    <t>fastigial (medial) nucleus</t>
  </si>
  <si>
    <t>&lt;http://purl.obolibrary.org/obo/DHBA_12402&gt;</t>
  </si>
  <si>
    <t>&lt;http://purl.obolibrary.org/obo/HBA_12948&gt;</t>
  </si>
  <si>
    <t>&lt;http://purl.obolibrary.org/obo/UBERON_0003012&gt;</t>
  </si>
  <si>
    <t>flocculonodular lobe</t>
  </si>
  <si>
    <t>&lt;http://purl.obolibrary.org/obo/DHBA_12852&gt;</t>
  </si>
  <si>
    <t>&lt;http://purl.obolibrary.org/obo/HBA_12944&gt;</t>
  </si>
  <si>
    <t>&lt;http://purl.obolibrary.org/obo/UBERON_0027331&gt;</t>
  </si>
  <si>
    <t>lobule X (nodulus and flocculus)</t>
  </si>
  <si>
    <t>&lt;http://purl.obolibrary.org/obo/DHBA_12853&gt;</t>
  </si>
  <si>
    <t>molecular layer of PVF</t>
  </si>
  <si>
    <t>&lt;http://purl.obolibrary.org/obo/DHBA_13258&gt;</t>
  </si>
  <si>
    <t>Purkinje cell layer of PVF</t>
  </si>
  <si>
    <t>&lt;http://purl.obolibrary.org/obo/DHBA_13259&gt;</t>
  </si>
  <si>
    <t>granular cell layer of PVF</t>
  </si>
  <si>
    <t>&lt;http://purl.obolibrary.org/obo/DHBA_13260&gt;</t>
  </si>
  <si>
    <t>IX, left, lateral hemisphere</t>
  </si>
  <si>
    <t>&lt;http://purl.obolibrary.org/obo/HBA_4744&gt;</t>
  </si>
  <si>
    <t>X, left, lateral hemisphere</t>
  </si>
  <si>
    <t>&lt;http://purl.obolibrary.org/obo/HBA_4746&gt;</t>
  </si>
  <si>
    <t>IX, right, paravermis</t>
  </si>
  <si>
    <t>&lt;http://purl.obolibrary.org/obo/HBA_4761&gt;</t>
  </si>
  <si>
    <t>X, right, paravermis</t>
  </si>
  <si>
    <t>&lt;http://purl.obolibrary.org/obo/HBA_4763&gt;</t>
  </si>
  <si>
    <t>IX, right, lateral hemisphere</t>
  </si>
  <si>
    <t>&lt;http://purl.obolibrary.org/obo/HBA_4777&gt;</t>
  </si>
  <si>
    <t>X, right, lateral hemisphere</t>
  </si>
  <si>
    <t>&lt;http://purl.obolibrary.org/obo/HBA_4779&gt;</t>
  </si>
  <si>
    <t>paraflocculus, granular layer</t>
  </si>
  <si>
    <t>&lt;http://purl.obolibrary.org/obo/MBA_10687&gt;</t>
  </si>
  <si>
    <t>paraflocculus, Purkinje layer</t>
  </si>
  <si>
    <t>&lt;http://purl.obolibrary.org/obo/MBA_10688&gt;</t>
  </si>
  <si>
    <t>paraflocculus, molecular layer</t>
  </si>
  <si>
    <t>&lt;http://purl.obolibrary.org/obo/MBA_10689&gt;</t>
  </si>
  <si>
    <t>flocculus, granular layer</t>
  </si>
  <si>
    <t>&lt;http://purl.obolibrary.org/obo/MBA_10690&gt;</t>
  </si>
  <si>
    <t>flocculus, Purkinje layer</t>
  </si>
  <si>
    <t>&lt;http://purl.obolibrary.org/obo/MBA_10691&gt;</t>
  </si>
  <si>
    <t>flocculus, molecular layer</t>
  </si>
  <si>
    <t>&lt;http://purl.obolibrary.org/obo/MBA_10692&gt;</t>
  </si>
  <si>
    <t>uvula (IX), granular layer</t>
  </si>
  <si>
    <t>&lt;http://purl.obolibrary.org/obo/MBA_10732&gt;</t>
  </si>
  <si>
    <t>uvula (IX), Purkinje layer</t>
  </si>
  <si>
    <t>&lt;http://purl.obolibrary.org/obo/MBA_10733&gt;</t>
  </si>
  <si>
    <t>uvula (IX), molecular layer</t>
  </si>
  <si>
    <t>&lt;http://purl.obolibrary.org/obo/MBA_10734&gt;</t>
  </si>
  <si>
    <t>nodulus (X), granular layer</t>
  </si>
  <si>
    <t>&lt;http://purl.obolibrary.org/obo/MBA_10735&gt;</t>
  </si>
  <si>
    <t>nodulus (X), Purkinje layer</t>
  </si>
  <si>
    <t>&lt;http://purl.obolibrary.org/obo/MBA_10736&gt;</t>
  </si>
  <si>
    <t>nodulus (X), molecular layer</t>
  </si>
  <si>
    <t>&lt;http://purl.obolibrary.org/obo/MBA_10737&gt;</t>
  </si>
  <si>
    <t>&lt;http://purl.obolibrary.org/obo/UBERON_0001063&gt;</t>
  </si>
  <si>
    <t>flocculus</t>
  </si>
  <si>
    <t>&lt;http://purl.obolibrary.org/obo/DMBA_16946&gt;</t>
  </si>
  <si>
    <t>&lt;http://purl.obolibrary.org/obo/HBA_12945&gt;</t>
  </si>
  <si>
    <t>&lt;http://purl.obolibrary.org/obo/MBA_1049&gt;</t>
  </si>
  <si>
    <t>&lt;http://purl.obolibrary.org/obo/UBERON_0003311&gt;</t>
  </si>
  <si>
    <t>ventricular zone of r7F</t>
  </si>
  <si>
    <t>&lt;http://purl.obolibrary.org/obo/DMBA_112892383&gt;</t>
  </si>
  <si>
    <t>mantle zone of r7F</t>
  </si>
  <si>
    <t>&lt;http://purl.obolibrary.org/obo/DMBA_112892385&gt;</t>
  </si>
  <si>
    <t>periventricular stratum of r7F</t>
  </si>
  <si>
    <t>&lt;http://purl.obolibrary.org/obo/DMBA_112892387&gt;</t>
  </si>
  <si>
    <t>intermediate stratum of r7F</t>
  </si>
  <si>
    <t>&lt;http://purl.obolibrary.org/obo/DMBA_112892389&gt;</t>
  </si>
  <si>
    <t>superficial stratum of r7F</t>
  </si>
  <si>
    <t>&lt;http://purl.obolibrary.org/obo/DMBA_112892391&gt;</t>
  </si>
  <si>
    <t>ventricular zone of r8F</t>
  </si>
  <si>
    <t>&lt;http://purl.obolibrary.org/obo/DMBA_112892395&gt;</t>
  </si>
  <si>
    <t>mantle zone of r8F</t>
  </si>
  <si>
    <t>&lt;http://purl.obolibrary.org/obo/DMBA_112892397&gt;</t>
  </si>
  <si>
    <t>periventricular stratum of r8F</t>
  </si>
  <si>
    <t>&lt;http://purl.obolibrary.org/obo/DMBA_112892399&gt;</t>
  </si>
  <si>
    <t>intermediate stratum of r8F</t>
  </si>
  <si>
    <t>&lt;http://purl.obolibrary.org/obo/DMBA_112892401&gt;</t>
  </si>
  <si>
    <t>superficial stratum of r8F</t>
  </si>
  <si>
    <t>&lt;http://purl.obolibrary.org/obo/DMBA_112892403&gt;</t>
  </si>
  <si>
    <t>&lt;http://purl.obolibrary.org/obo/UBERON_0003307&gt;</t>
  </si>
  <si>
    <t>floor plate of midbrain</t>
  </si>
  <si>
    <t>&lt;http://purl.obolibrary.org/obo/DHBA_12325&gt;</t>
  </si>
  <si>
    <t>&lt;http://purl.obolibrary.org/obo/UBERON_0003306&gt;</t>
  </si>
  <si>
    <t>ventricular zone of r1F</t>
  </si>
  <si>
    <t>&lt;http://purl.obolibrary.org/obo/DMBA_112892323&gt;</t>
  </si>
  <si>
    <t>mantle zone of r1F</t>
  </si>
  <si>
    <t>&lt;http://purl.obolibrary.org/obo/DMBA_112892325&gt;</t>
  </si>
  <si>
    <t>periventricular stratum of r1F</t>
  </si>
  <si>
    <t>&lt;http://purl.obolibrary.org/obo/DMBA_112892327&gt;</t>
  </si>
  <si>
    <t>intermediate stratum of r1F</t>
  </si>
  <si>
    <t>&lt;http://purl.obolibrary.org/obo/DMBA_112892329&gt;</t>
  </si>
  <si>
    <t>superficial stratum of r1F</t>
  </si>
  <si>
    <t>&lt;http://purl.obolibrary.org/obo/DMBA_112892331&gt;</t>
  </si>
  <si>
    <t>ventricular zone of r2F</t>
  </si>
  <si>
    <t>&lt;http://purl.obolibrary.org/obo/DMBA_112892333&gt;</t>
  </si>
  <si>
    <t>mantle zone of r2F</t>
  </si>
  <si>
    <t>&lt;http://purl.obolibrary.org/obo/DMBA_112892335&gt;</t>
  </si>
  <si>
    <t>periventricular stratum of r2F</t>
  </si>
  <si>
    <t>&lt;http://purl.obolibrary.org/obo/DMBA_112892337&gt;</t>
  </si>
  <si>
    <t>intermediate stratum of r2F</t>
  </si>
  <si>
    <t>&lt;http://purl.obolibrary.org/obo/DMBA_112892339&gt;</t>
  </si>
  <si>
    <t>superficial stratum of r2F</t>
  </si>
  <si>
    <t>&lt;http://purl.obolibrary.org/obo/DMBA_112892341&gt;</t>
  </si>
  <si>
    <t>ventricular zone of r3F</t>
  </si>
  <si>
    <t>&lt;http://purl.obolibrary.org/obo/DMBA_112892343&gt;</t>
  </si>
  <si>
    <t>mantle zone of r3F</t>
  </si>
  <si>
    <t>&lt;http://purl.obolibrary.org/obo/DMBA_112892345&gt;</t>
  </si>
  <si>
    <t>periventricular stratum of r3F</t>
  </si>
  <si>
    <t>&lt;http://purl.obolibrary.org/obo/DMBA_112892347&gt;</t>
  </si>
  <si>
    <t>intermediate stratum of r3F</t>
  </si>
  <si>
    <t>&lt;http://purl.obolibrary.org/obo/DMBA_112892349&gt;</t>
  </si>
  <si>
    <t>superficial stratum of r3F</t>
  </si>
  <si>
    <t>&lt;http://purl.obolibrary.org/obo/DMBA_112892351&gt;</t>
  </si>
  <si>
    <t>ventricular zone of r4F</t>
  </si>
  <si>
    <t>&lt;http://purl.obolibrary.org/obo/DMBA_112892353&gt;</t>
  </si>
  <si>
    <t>mantle zone of r4F</t>
  </si>
  <si>
    <t>&lt;http://purl.obolibrary.org/obo/DMBA_112892355&gt;</t>
  </si>
  <si>
    <t>periventricular stratum of r4F</t>
  </si>
  <si>
    <t>&lt;http://purl.obolibrary.org/obo/DMBA_112892357&gt;</t>
  </si>
  <si>
    <t>intermediate stratum of r4F</t>
  </si>
  <si>
    <t>&lt;http://purl.obolibrary.org/obo/DMBA_112892359&gt;</t>
  </si>
  <si>
    <t>superficial stratum of r4F</t>
  </si>
  <si>
    <t>&lt;http://purl.obolibrary.org/obo/DMBA_112892361&gt;</t>
  </si>
  <si>
    <t>ventricular zone of r5F</t>
  </si>
  <si>
    <t>&lt;http://purl.obolibrary.org/obo/DMBA_112892363&gt;</t>
  </si>
  <si>
    <t>mantle zone of r5F</t>
  </si>
  <si>
    <t>&lt;http://purl.obolibrary.org/obo/DMBA_112892365&gt;</t>
  </si>
  <si>
    <t>periventricular stratum of r5F</t>
  </si>
  <si>
    <t>&lt;http://purl.obolibrary.org/obo/DMBA_112892367&gt;</t>
  </si>
  <si>
    <t>intermediate stratum of r5F</t>
  </si>
  <si>
    <t>&lt;http://purl.obolibrary.org/obo/DMBA_112892369&gt;</t>
  </si>
  <si>
    <t>superficial stratum of r5F</t>
  </si>
  <si>
    <t>&lt;http://purl.obolibrary.org/obo/DMBA_112892371&gt;</t>
  </si>
  <si>
    <t>ventricular zone of r6F</t>
  </si>
  <si>
    <t>&lt;http://purl.obolibrary.org/obo/DMBA_112892373&gt;</t>
  </si>
  <si>
    <t>mantle zone of r6F</t>
  </si>
  <si>
    <t>&lt;http://purl.obolibrary.org/obo/DMBA_112892375&gt;</t>
  </si>
  <si>
    <t>periventricular stratum of r6F</t>
  </si>
  <si>
    <t>&lt;http://purl.obolibrary.org/obo/DMBA_112892377&gt;</t>
  </si>
  <si>
    <t>intermediate stratum of r6F</t>
  </si>
  <si>
    <t>&lt;http://purl.obolibrary.org/obo/DMBA_112892379&gt;</t>
  </si>
  <si>
    <t>superficial stratum of r6F</t>
  </si>
  <si>
    <t>&lt;http://purl.obolibrary.org/obo/DMBA_112892381&gt;</t>
  </si>
  <si>
    <t>median part of IPR</t>
  </si>
  <si>
    <t>&lt;http://purl.obolibrary.org/obo/DMBA_124372444&gt;</t>
  </si>
  <si>
    <t>median part of IPC</t>
  </si>
  <si>
    <t>&lt;http://purl.obolibrary.org/obo/DMBA_124372448&gt;</t>
  </si>
  <si>
    <t>&lt;http://purl.obolibrary.org/obo/UBERON_0034676&gt;</t>
  </si>
  <si>
    <t>forceps major (occipitalis)</t>
  </si>
  <si>
    <t>&lt;http://purl.obolibrary.org/obo/DHBA_12025&gt;</t>
  </si>
  <si>
    <t>&lt;http://purl.obolibrary.org/obo/UBERON_0034678&gt;</t>
  </si>
  <si>
    <t>forceps minor (frontalis)</t>
  </si>
  <si>
    <t>&lt;http://purl.obolibrary.org/obo/DHBA_12024&gt;</t>
  </si>
  <si>
    <t>&lt;http://purl.obolibrary.org/obo/UBERON_0001890&gt;</t>
  </si>
  <si>
    <t>forebrain (prosencephalon)</t>
  </si>
  <si>
    <t>&lt;http://purl.obolibrary.org/obo/DHBA_10156&gt;</t>
  </si>
  <si>
    <t>forebrain</t>
  </si>
  <si>
    <t>&lt;http://purl.obolibrary.org/obo/DMBA_15566&gt;</t>
  </si>
  <si>
    <t>&lt;http://purl.obolibrary.org/obo/UBERON_0022247&gt;</t>
  </si>
  <si>
    <t>forebrain ipsilateral fiber tracts</t>
  </si>
  <si>
    <t>&lt;http://purl.obolibrary.org/obo/DHBA_10568&gt;</t>
  </si>
  <si>
    <t>&lt;http://purl.obolibrary.org/obo/UBERON_0000052&gt;</t>
  </si>
  <si>
    <t>fornix</t>
  </si>
  <si>
    <t>&lt;http://purl.obolibrary.org/obo/DHBA_10576&gt;</t>
  </si>
  <si>
    <t>fornix tract</t>
  </si>
  <si>
    <t>&lt;http://purl.obolibrary.org/obo/DMBA_17767&gt;</t>
  </si>
  <si>
    <t>&lt;http://purl.obolibrary.org/obo/HBA_9249&gt;</t>
  </si>
  <si>
    <t>&lt;http://purl.obolibrary.org/obo/UBERON_0002422&gt;</t>
  </si>
  <si>
    <t>ventricles of hindbrain</t>
  </si>
  <si>
    <t>&lt;http://purl.obolibrary.org/obo/DHBA_10669&gt;</t>
  </si>
  <si>
    <t>fourth ventricle</t>
  </si>
  <si>
    <t>&lt;http://purl.obolibrary.org/obo/DHBA_12805&gt;</t>
  </si>
  <si>
    <t>ventricles, hindbrain</t>
  </si>
  <si>
    <t>&lt;http://purl.obolibrary.org/obo/DMBA_126651782&gt;</t>
  </si>
  <si>
    <t>&lt;http://purl.obolibrary.org/obo/HBA_9421&gt;</t>
  </si>
  <si>
    <t>&lt;http://purl.obolibrary.org/obo/MBA_145&gt;</t>
  </si>
  <si>
    <t>&lt;http://purl.obolibrary.org/obo/UBERON_0001870&gt;</t>
  </si>
  <si>
    <t>frontal neocortex</t>
  </si>
  <si>
    <t>&lt;http://purl.obolibrary.org/obo/DHBA_10161&gt;</t>
  </si>
  <si>
    <t>frontal cortex</t>
  </si>
  <si>
    <t>&lt;http://purl.obolibrary.org/obo/DMBA_16002&gt;</t>
  </si>
  <si>
    <t>&lt;http://purl.obolibrary.org/obo/UBERON_0016525&gt;</t>
  </si>
  <si>
    <t>frontal lobe</t>
  </si>
  <si>
    <t>&lt;http://purl.obolibrary.org/obo/DHBA_12113&gt;</t>
  </si>
  <si>
    <t>&lt;http://purl.obolibrary.org/obo/HBA_4009&gt;</t>
  </si>
  <si>
    <t>&lt;http://purl.obolibrary.org/obo/UBERON_0002947&gt;</t>
  </si>
  <si>
    <t>frontal operculum</t>
  </si>
  <si>
    <t>&lt;http://purl.obolibrary.org/obo/DHBA_12127&gt;</t>
  </si>
  <si>
    <t>&lt;http://purl.obolibrary.org/obo/HBA_4078&gt;</t>
  </si>
  <si>
    <t>&lt;http://purl.obolibrary.org/obo/UBERON_0002795&gt;</t>
  </si>
  <si>
    <t>frontal pole</t>
  </si>
  <si>
    <t>&lt;http://purl.obolibrary.org/obo/DHBA_146034888&gt;</t>
  </si>
  <si>
    <t>&lt;http://purl.obolibrary.org/obo/HBA_4888&gt;</t>
  </si>
  <si>
    <t>frontal pole, cerebral cortex</t>
  </si>
  <si>
    <t>&lt;http://purl.obolibrary.org/obo/MBA_184&gt;</t>
  </si>
  <si>
    <t>&lt;http://purl.obolibrary.org/obo/UBERON_0014639&gt;</t>
  </si>
  <si>
    <t>frontal lobe sulci</t>
  </si>
  <si>
    <t>&lt;http://purl.obolibrary.org/obo/HBA_9354&gt;</t>
  </si>
  <si>
    <t>&lt;http://purl.obolibrary.org/obo/UBERON_0002799&gt;</t>
  </si>
  <si>
    <t>fronto-orbital sulcus</t>
  </si>
  <si>
    <t>&lt;http://purl.obolibrary.org/obo/HBA_9362&gt;</t>
  </si>
  <si>
    <t>&lt;http://purl.obolibrary.org/obo/UBERON_0014544&gt;</t>
  </si>
  <si>
    <t>frontomarginal sulcus</t>
  </si>
  <si>
    <t>&lt;http://purl.obolibrary.org/obo/DHBA_146034792&gt;</t>
  </si>
  <si>
    <t>&lt;http://purl.obolibrary.org/obo/HBA_9363&gt;</t>
  </si>
  <si>
    <t>&lt;http://purl.obolibrary.org/obo/UBERON_0014605&gt;</t>
  </si>
  <si>
    <t>fundus of striatum</t>
  </si>
  <si>
    <t>&lt;http://purl.obolibrary.org/obo/MBA_998&gt;</t>
  </si>
  <si>
    <t>&lt;http://purl.obolibrary.org/obo/UBERON_0002766&gt;</t>
  </si>
  <si>
    <t>fusiform gyrus</t>
  </si>
  <si>
    <t>&lt;http://purl.obolibrary.org/obo/HBA_4156&gt;</t>
  </si>
  <si>
    <t>&lt;http://purl.obolibrary.org/obo/UBERON_0011175&gt;</t>
  </si>
  <si>
    <t>bed nuclei of the stria terminalis, anterior division, fusiform nucleus</t>
  </si>
  <si>
    <t>&lt;http://purl.obolibrary.org/obo/MBA_513&gt;</t>
  </si>
  <si>
    <t>&lt;http://purl.obolibrary.org/obo/UBERON_0004023&gt;</t>
  </si>
  <si>
    <t>Ganglionic eminence (VZ in basal nuclei)</t>
  </si>
  <si>
    <t>&lt;http://purl.obolibrary.org/obo/DHBA_10549&gt;</t>
  </si>
  <si>
    <t>ganglionic eminence (VZ in basal nuclei)</t>
  </si>
  <si>
    <t>&lt;http://purl.obolibrary.org/obo/PBA_128012818&gt;</t>
  </si>
  <si>
    <t>&lt;http://purl.obolibrary.org/obo/UBERON_0009051&gt;</t>
  </si>
  <si>
    <t>nucleus of the solitary tract, gelatinous part</t>
  </si>
  <si>
    <t>&lt;http://purl.obolibrary.org/obo/MBA_674&gt;</t>
  </si>
  <si>
    <t>&lt;http://purl.obolibrary.org/obo/UBERON_0015599&gt;</t>
  </si>
  <si>
    <t>genu of corpus callosum</t>
  </si>
  <si>
    <t>&lt;http://purl.obolibrary.org/obo/DHBA_10563&gt;</t>
  </si>
  <si>
    <t>genu of the corpus callosum</t>
  </si>
  <si>
    <t>&lt;http://purl.obolibrary.org/obo/HBA_9223&gt;</t>
  </si>
  <si>
    <t>&lt;http://purl.obolibrary.org/obo/MBA_1108&gt;</t>
  </si>
  <si>
    <t>&lt;http://purl.obolibrary.org/obo/UBERON_0014915&gt;</t>
  </si>
  <si>
    <t>genu of the facial nerve</t>
  </si>
  <si>
    <t>&lt;http://purl.obolibrary.org/obo/DHBA_12738&gt;</t>
  </si>
  <si>
    <t>&lt;http://purl.obolibrary.org/obo/MBA_1116&gt;</t>
  </si>
  <si>
    <t>&lt;http://purl.obolibrary.org/obo/UBERON_0002155&gt;</t>
  </si>
  <si>
    <t>gigantocellular reticular nuclei</t>
  </si>
  <si>
    <t>&lt;http://purl.obolibrary.org/obo/DHBA_12625&gt;</t>
  </si>
  <si>
    <t>gigantocellular group</t>
  </si>
  <si>
    <t>&lt;http://purl.obolibrary.org/obo/HBA_9597&gt;</t>
  </si>
  <si>
    <t>gigantocellular nucleus, left</t>
  </si>
  <si>
    <t>&lt;http://purl.obolibrary.org/obo/HBA_9602&gt;</t>
  </si>
  <si>
    <t>gigantocellular reticular nucleus</t>
  </si>
  <si>
    <t>&lt;http://purl.obolibrary.org/obo/MBA_1048&gt;</t>
  </si>
  <si>
    <t>&lt;http://purl.obolibrary.org/obo/UBERON_0003296&gt;</t>
  </si>
  <si>
    <t>subcommissural organ</t>
  </si>
  <si>
    <t>&lt;http://purl.obolibrary.org/obo/DMBA_16514&gt;</t>
  </si>
  <si>
    <t>&lt;http://purl.obolibrary.org/obo/UBERON_0001875&gt;</t>
  </si>
  <si>
    <t>globus pallidus</t>
  </si>
  <si>
    <t>&lt;http://purl.obolibrary.org/obo/DHBA_10342&gt;</t>
  </si>
  <si>
    <t>&lt;http://purl.obolibrary.org/obo/HBA_4293&gt;</t>
  </si>
  <si>
    <t>&lt;http://purl.obolibrary.org/obo/PBA_10097&gt;</t>
  </si>
  <si>
    <t>&lt;http://purl.obolibrary.org/obo/UBERON_0001649&gt;</t>
  </si>
  <si>
    <t>glossopharyngeal nerve</t>
  </si>
  <si>
    <t>&lt;http://purl.obolibrary.org/obo/HBA_9334&gt;</t>
  </si>
  <si>
    <t>&lt;http://purl.obolibrary.org/obo/MBA_808&gt;</t>
  </si>
  <si>
    <t>&lt;http://purl.obolibrary.org/obo/UBERON_0019310&gt;</t>
  </si>
  <si>
    <t>root of glossopharyngeal nerve</t>
  </si>
  <si>
    <t>&lt;http://purl.obolibrary.org/obo/DHBA_12887&gt;</t>
  </si>
  <si>
    <t>glossopharyngeal nerve root</t>
  </si>
  <si>
    <t>&lt;http://purl.obolibrary.org/obo/DMBA_17747&gt;</t>
  </si>
  <si>
    <t>&lt;http://purl.obolibrary.org/obo/UBERON_0005821&gt;</t>
  </si>
  <si>
    <t>&lt;http://purl.obolibrary.org/obo/UBERON_0005826&gt;</t>
  </si>
  <si>
    <t>&lt;http://purl.obolibrary.org/obo/UBERON_0002161&gt;</t>
  </si>
  <si>
    <t>gracile nucleus</t>
  </si>
  <si>
    <t>&lt;http://purl.obolibrary.org/obo/DHBA_12592&gt;</t>
  </si>
  <si>
    <t>&lt;http://purl.obolibrary.org/obo/HBA_9554&gt;</t>
  </si>
  <si>
    <t>&lt;http://purl.obolibrary.org/obo/MBA_1039&gt;</t>
  </si>
  <si>
    <t>&lt;http://purl.obolibrary.org/obo/UBERON_0034892&gt;</t>
  </si>
  <si>
    <t>granular insular cortex</t>
  </si>
  <si>
    <t>&lt;http://purl.obolibrary.org/obo/DHBA_10290&gt;</t>
  </si>
  <si>
    <t>&lt;http://purl.obolibrary.org/obo/UBERON_0002956&gt;</t>
  </si>
  <si>
    <t>cerebellar cortex, granular layer</t>
  </si>
  <si>
    <t>&lt;http://purl.obolibrary.org/obo/MBA_1143&gt;</t>
  </si>
  <si>
    <t>&lt;http://purl.obolibrary.org/obo/UBERON_0002020&gt;</t>
  </si>
  <si>
    <t>&lt;http://purl.obolibrary.org/obo/UBERON_0019269&gt;</t>
  </si>
  <si>
    <t>pretectum</t>
  </si>
  <si>
    <t>&lt;http://purl.obolibrary.org/obo/DMBA_16510&gt;</t>
  </si>
  <si>
    <t>red nucleus, parvicellular part</t>
  </si>
  <si>
    <t>&lt;http://purl.obolibrary.org/obo/DMBA_16633&gt;</t>
  </si>
  <si>
    <t>pretectal region</t>
  </si>
  <si>
    <t>&lt;http://purl.obolibrary.org/obo/MBA_1100&gt;</t>
  </si>
  <si>
    <t>&lt;http://purl.obolibrary.org/obo/UBERON_0019264&gt;</t>
  </si>
  <si>
    <t>gray matter of forebrain</t>
  </si>
  <si>
    <t>&lt;http://purl.obolibrary.org/obo/DHBA_10157&gt;</t>
  </si>
  <si>
    <t>&lt;http://purl.obolibrary.org/obo/UBERON_0019263&gt;</t>
  </si>
  <si>
    <t>gray matter of the hindbrain</t>
  </si>
  <si>
    <t>&lt;http://purl.obolibrary.org/obo/DHBA_10654&gt;</t>
  </si>
  <si>
    <t>&lt;http://purl.obolibrary.org/obo/UBERON_0019267&gt;</t>
  </si>
  <si>
    <t>gray matter of midbrain</t>
  </si>
  <si>
    <t>&lt;http://purl.obolibrary.org/obo/DHBA_10649&gt;</t>
  </si>
  <si>
    <t>&lt;http://purl.obolibrary.org/obo/UBERON_0002315&gt;</t>
  </si>
  <si>
    <t>gray matter of spinal cord</t>
  </si>
  <si>
    <t>&lt;http://purl.obolibrary.org/obo/DHBA_146035048&gt;</t>
  </si>
  <si>
    <t>&lt;http://purl.obolibrary.org/obo/UBERON_0011300&gt;</t>
  </si>
  <si>
    <t>pallidum</t>
  </si>
  <si>
    <t>&lt;http://purl.obolibrary.org/obo/MBA_803&gt;</t>
  </si>
  <si>
    <t>&lt;http://purl.obolibrary.org/obo/UBERON_0004671&gt;</t>
  </si>
  <si>
    <t>gyrus rectus</t>
  </si>
  <si>
    <t>&lt;http://purl.obolibrary.org/obo/HBA_4047&gt;</t>
  </si>
  <si>
    <t>&lt;http://purl.obolibrary.org/obo/UBERON_0001904&gt;</t>
  </si>
  <si>
    <t>habenular nuclei, left</t>
  </si>
  <si>
    <t>&lt;http://purl.obolibrary.org/obo/HBA_4522&gt;</t>
  </si>
  <si>
    <t>&lt;http://purl.obolibrary.org/obo/UBERON_0001909&gt;</t>
  </si>
  <si>
    <t>habenular commissure</t>
  </si>
  <si>
    <t>&lt;http://purl.obolibrary.org/obo/DHBA_10566&gt;</t>
  </si>
  <si>
    <t>&lt;http://purl.obolibrary.org/obo/DMBA_17768&gt;</t>
  </si>
  <si>
    <t>&lt;http://purl.obolibrary.org/obo/HBA_9227&gt;</t>
  </si>
  <si>
    <t>&lt;http://purl.obolibrary.org/obo/MBA_611&gt;</t>
  </si>
  <si>
    <t>&lt;http://purl.obolibrary.org/obo/UBERON_0008993&gt;</t>
  </si>
  <si>
    <t>habenular nuclei</t>
  </si>
  <si>
    <t>&lt;http://purl.obolibrary.org/obo/DHBA_10452&gt;</t>
  </si>
  <si>
    <t>&lt;http://purl.obolibrary.org/obo/HBA_4521&gt;</t>
  </si>
  <si>
    <t>&lt;http://purl.obolibrary.org/obo/UBERON_0002138&gt;</t>
  </si>
  <si>
    <t>retroflex tract (habenulo-interpeduncular) tract</t>
  </si>
  <si>
    <t>&lt;http://purl.obolibrary.org/obo/DMBA_17790&gt;</t>
  </si>
  <si>
    <t>fasciculus retroflexus</t>
  </si>
  <si>
    <t>&lt;http://purl.obolibrary.org/obo/HBA_12953&gt;</t>
  </si>
  <si>
    <t>&lt;http://purl.obolibrary.org/obo/MBA_595&gt;</t>
  </si>
  <si>
    <t>&lt;http://purl.obolibrary.org/obo/UBERON_0002626&gt;</t>
  </si>
  <si>
    <t>head of caudate</t>
  </si>
  <si>
    <t>&lt;http://purl.obolibrary.org/obo/DHBA_10335&gt;</t>
  </si>
  <si>
    <t>head of the caudate nucleus</t>
  </si>
  <si>
    <t>&lt;http://purl.obolibrary.org/obo/HBA_12900&gt;</t>
  </si>
  <si>
    <t>&lt;http://purl.obolibrary.org/obo/UBERON_0014647&gt;</t>
  </si>
  <si>
    <t>Anterior Lobe</t>
  </si>
  <si>
    <t>&lt;http://purl.obolibrary.org/obo/HBA_12931&gt;</t>
  </si>
  <si>
    <t>lingula (I), granular layer</t>
  </si>
  <si>
    <t>&lt;http://purl.obolibrary.org/obo/MBA_10705&gt;</t>
  </si>
  <si>
    <t>lingula (I), Purkinje layer</t>
  </si>
  <si>
    <t>&lt;http://purl.obolibrary.org/obo/MBA_10706&gt;</t>
  </si>
  <si>
    <t>lingula (I), molecular layer</t>
  </si>
  <si>
    <t>&lt;http://purl.obolibrary.org/obo/MBA_10707&gt;</t>
  </si>
  <si>
    <t>lobule II, granular layer</t>
  </si>
  <si>
    <t>&lt;http://purl.obolibrary.org/obo/MBA_10708&gt;</t>
  </si>
  <si>
    <t>lobule II, Purkinje layer</t>
  </si>
  <si>
    <t>&lt;http://purl.obolibrary.org/obo/MBA_10709&gt;</t>
  </si>
  <si>
    <t>lobule II, molecular layer</t>
  </si>
  <si>
    <t>&lt;http://purl.obolibrary.org/obo/MBA_10710&gt;</t>
  </si>
  <si>
    <t>lobule III, granular layer</t>
  </si>
  <si>
    <t>&lt;http://purl.obolibrary.org/obo/MBA_10711&gt;</t>
  </si>
  <si>
    <t>lobule III, Purkinje layer</t>
  </si>
  <si>
    <t>&lt;http://purl.obolibrary.org/obo/MBA_10712&gt;</t>
  </si>
  <si>
    <t>lobule III, molecular layer</t>
  </si>
  <si>
    <t>&lt;http://purl.obolibrary.org/obo/MBA_10713&gt;</t>
  </si>
  <si>
    <t>lobule IV, granular layer</t>
  </si>
  <si>
    <t>&lt;http://purl.obolibrary.org/obo/MBA_10714&gt;</t>
  </si>
  <si>
    <t>lobule IV, Purkinje layer</t>
  </si>
  <si>
    <t>&lt;http://purl.obolibrary.org/obo/MBA_10715&gt;</t>
  </si>
  <si>
    <t>lobule IV, molecular layer</t>
  </si>
  <si>
    <t>&lt;http://purl.obolibrary.org/obo/MBA_10716&gt;</t>
  </si>
  <si>
    <t>lobule V, granular layer</t>
  </si>
  <si>
    <t>&lt;http://purl.obolibrary.org/obo/MBA_10717&gt;</t>
  </si>
  <si>
    <t>lobule V, Purkinje layer</t>
  </si>
  <si>
    <t>&lt;http://purl.obolibrary.org/obo/MBA_10718&gt;</t>
  </si>
  <si>
    <t>lobule V, molecular layer</t>
  </si>
  <si>
    <t>&lt;http://purl.obolibrary.org/obo/MBA_10719&gt;</t>
  </si>
  <si>
    <t>lobules IV-V, granular layer</t>
  </si>
  <si>
    <t>&lt;http://purl.obolibrary.org/obo/MBA_10720&gt;</t>
  </si>
  <si>
    <t>lobules IV-V, Purkinje layer</t>
  </si>
  <si>
    <t>&lt;http://purl.obolibrary.org/obo/MBA_10721&gt;</t>
  </si>
  <si>
    <t>lobules IV-V, molecular layer</t>
  </si>
  <si>
    <t>&lt;http://purl.obolibrary.org/obo/MBA_10722&gt;</t>
  </si>
  <si>
    <t>lobules IV-V</t>
  </si>
  <si>
    <t>&lt;http://purl.obolibrary.org/obo/MBA_1091&gt;</t>
  </si>
  <si>
    <t>&lt;http://purl.obolibrary.org/obo/UBERON_0014648&gt;</t>
  </si>
  <si>
    <t>Posterior Lobe</t>
  </si>
  <si>
    <t>&lt;http://purl.obolibrary.org/obo/HBA_12936&gt;</t>
  </si>
  <si>
    <t>simple lobule, granular layer</t>
  </si>
  <si>
    <t>&lt;http://purl.obolibrary.org/obo/MBA_10672&gt;</t>
  </si>
  <si>
    <t>simple lobule, Purkinje layer</t>
  </si>
  <si>
    <t>&lt;http://purl.obolibrary.org/obo/MBA_10673&gt;</t>
  </si>
  <si>
    <t>simple lobule, molecular layer</t>
  </si>
  <si>
    <t>&lt;http://purl.obolibrary.org/obo/MBA_10674&gt;</t>
  </si>
  <si>
    <t>crus 1, granular layer</t>
  </si>
  <si>
    <t>&lt;http://purl.obolibrary.org/obo/MBA_10675&gt;</t>
  </si>
  <si>
    <t>crus 1, Purkinje layer</t>
  </si>
  <si>
    <t>&lt;http://purl.obolibrary.org/obo/MBA_10676&gt;</t>
  </si>
  <si>
    <t>crus 1, molecular layer</t>
  </si>
  <si>
    <t>&lt;http://purl.obolibrary.org/obo/MBA_10677&gt;</t>
  </si>
  <si>
    <t>crus 2, granular layer</t>
  </si>
  <si>
    <t>&lt;http://purl.obolibrary.org/obo/MBA_10678&gt;</t>
  </si>
  <si>
    <t>crus 2, Purkinje layer</t>
  </si>
  <si>
    <t>&lt;http://purl.obolibrary.org/obo/MBA_10679&gt;</t>
  </si>
  <si>
    <t>crus 2, molecular layer</t>
  </si>
  <si>
    <t>&lt;http://purl.obolibrary.org/obo/MBA_10680&gt;</t>
  </si>
  <si>
    <t>paramedian lobule, granular layer</t>
  </si>
  <si>
    <t>&lt;http://purl.obolibrary.org/obo/MBA_10681&gt;</t>
  </si>
  <si>
    <t>paramedian lobule, Purkinje layer</t>
  </si>
  <si>
    <t>&lt;http://purl.obolibrary.org/obo/MBA_10682&gt;</t>
  </si>
  <si>
    <t>paramedian lobule, molecular layer</t>
  </si>
  <si>
    <t>&lt;http://purl.obolibrary.org/obo/MBA_10683&gt;</t>
  </si>
  <si>
    <t>declive (VI), granular layer</t>
  </si>
  <si>
    <t>&lt;http://purl.obolibrary.org/obo/MBA_10723&gt;</t>
  </si>
  <si>
    <t>declive (VI), Purkinje layer</t>
  </si>
  <si>
    <t>&lt;http://purl.obolibrary.org/obo/MBA_10724&gt;</t>
  </si>
  <si>
    <t>declive (VI), molecular layer</t>
  </si>
  <si>
    <t>&lt;http://purl.obolibrary.org/obo/MBA_10725&gt;</t>
  </si>
  <si>
    <t>folium-tuber vermis (VII), granular layer</t>
  </si>
  <si>
    <t>&lt;http://purl.obolibrary.org/obo/MBA_10726&gt;</t>
  </si>
  <si>
    <t>folium-tuber vermis (VII), Purkinje layer</t>
  </si>
  <si>
    <t>&lt;http://purl.obolibrary.org/obo/MBA_10727&gt;</t>
  </si>
  <si>
    <t>folium-tuber vermis (VII), molecular layer</t>
  </si>
  <si>
    <t>&lt;http://purl.obolibrary.org/obo/MBA_10728&gt;</t>
  </si>
  <si>
    <t>pyramus (VIII), granular layer</t>
  </si>
  <si>
    <t>&lt;http://purl.obolibrary.org/obo/MBA_10729&gt;</t>
  </si>
  <si>
    <t>pyramus (VIII), Purkinje layer</t>
  </si>
  <si>
    <t>&lt;http://purl.obolibrary.org/obo/MBA_10730&gt;</t>
  </si>
  <si>
    <t>pyramus (VIII), molecular layer</t>
  </si>
  <si>
    <t>&lt;http://purl.obolibrary.org/obo/MBA_10731&gt;</t>
  </si>
  <si>
    <t>&lt;http://purl.obolibrary.org/obo/UBERON_0002028&gt;</t>
  </si>
  <si>
    <t>hindbrain (rhombencephalon)</t>
  </si>
  <si>
    <t>&lt;http://purl.obolibrary.org/obo/DHBA_10653&gt;</t>
  </si>
  <si>
    <t>hindbrain</t>
  </si>
  <si>
    <t>&lt;http://purl.obolibrary.org/obo/DMBA_16808&gt;</t>
  </si>
  <si>
    <t>&lt;http://purl.obolibrary.org/obo/MBA_1065&gt;</t>
  </si>
  <si>
    <t>&lt;http://purl.obolibrary.org/obo/UBERON_0034994&gt;</t>
  </si>
  <si>
    <t>&lt;http://purl.obolibrary.org/obo/UBERON_0034709&gt;</t>
  </si>
  <si>
    <t>marginal zone of hindbrain</t>
  </si>
  <si>
    <t>&lt;http://purl.obolibrary.org/obo/DHBA_12694&gt;</t>
  </si>
  <si>
    <t>&lt;http://purl.obolibrary.org/obo/UBERON_0009662&gt;</t>
  </si>
  <si>
    <t>mesencephalic trigeminal nucleus</t>
  </si>
  <si>
    <t>&lt;http://purl.obolibrary.org/obo/DHBA_12208&gt;</t>
  </si>
  <si>
    <t>ventral tegmental nucleus</t>
  </si>
  <si>
    <t>&lt;http://purl.obolibrary.org/obo/DHBA_12266&gt;</t>
  </si>
  <si>
    <t>peduncular nucleus</t>
  </si>
  <si>
    <t>&lt;http://purl.obolibrary.org/obo/DHBA_12413&gt;</t>
  </si>
  <si>
    <t>laterodorsal tegmental nucleus</t>
  </si>
  <si>
    <t>&lt;http://purl.obolibrary.org/obo/DHBA_12519&gt;</t>
  </si>
  <si>
    <t>trochlear nucleus</t>
  </si>
  <si>
    <t>&lt;http://purl.obolibrary.org/obo/DMBA_16903&gt;</t>
  </si>
  <si>
    <t>&lt;http://purl.obolibrary.org/obo/DMBA_16964&gt;</t>
  </si>
  <si>
    <t>pedunculopontine tegmental nucleus</t>
  </si>
  <si>
    <t>&lt;http://purl.obolibrary.org/obo/DMBA_16965&gt;</t>
  </si>
  <si>
    <t>&lt;http://purl.obolibrary.org/obo/DMBA_17007&gt;</t>
  </si>
  <si>
    <t>pedunculopontine tegmental nucleus, left</t>
  </si>
  <si>
    <t>&lt;http://purl.obolibrary.org/obo/HBA_9021&gt;</t>
  </si>
  <si>
    <t>&lt;http://purl.obolibrary.org/obo/HBA_9069&gt;</t>
  </si>
  <si>
    <t>mesencephalic nucleus of trigeminal nerve, left</t>
  </si>
  <si>
    <t>&lt;http://purl.obolibrary.org/obo/HBA_9205&gt;</t>
  </si>
  <si>
    <t>pedunculopontine nucleus</t>
  </si>
  <si>
    <t>&lt;http://purl.obolibrary.org/obo/MBA_1052&gt;</t>
  </si>
  <si>
    <t>&lt;http://purl.obolibrary.org/obo/MBA_115&gt;</t>
  </si>
  <si>
    <t>&lt;http://purl.obolibrary.org/obo/MBA_162&gt;</t>
  </si>
  <si>
    <t>superior central nucleus raphe</t>
  </si>
  <si>
    <t>&lt;http://purl.obolibrary.org/obo/MBA_679&gt;</t>
  </si>
  <si>
    <t>&lt;http://purl.obolibrary.org/obo/MBA_757&gt;</t>
  </si>
  <si>
    <t>&lt;http://purl.obolibrary.org/obo/UBERON_0000908&gt;</t>
  </si>
  <si>
    <t>hippocampal commissure</t>
  </si>
  <si>
    <t>&lt;http://purl.obolibrary.org/obo/DHBA_10560&gt;</t>
  </si>
  <si>
    <t>&lt;http://purl.obolibrary.org/obo/DMBA_17769&gt;</t>
  </si>
  <si>
    <t>&lt;http://purl.obolibrary.org/obo/HBA_9228&gt;</t>
  </si>
  <si>
    <t>hippocampal commissures</t>
  </si>
  <si>
    <t>&lt;http://purl.obolibrary.org/obo/MBA_618&gt;</t>
  </si>
  <si>
    <t>&lt;http://purl.obolibrary.org/obo/UBERON_0002421&gt;</t>
  </si>
  <si>
    <t>hippocampus (hippocampal formation)</t>
  </si>
  <si>
    <t>&lt;http://purl.obolibrary.org/obo/DHBA_10294&gt;</t>
  </si>
  <si>
    <t>hippocampal formation</t>
  </si>
  <si>
    <t>&lt;http://purl.obolibrary.org/obo/HBA_4249&gt;</t>
  </si>
  <si>
    <t>&lt;http://purl.obolibrary.org/obo/MBA_1089&gt;</t>
  </si>
  <si>
    <t>hippocampal cortex (hippocampal formation)</t>
  </si>
  <si>
    <t>&lt;http://purl.obolibrary.org/obo/PBA_4003&gt;</t>
  </si>
  <si>
    <t>&lt;http://purl.obolibrary.org/obo/UBERON_0002899&gt;</t>
  </si>
  <si>
    <t>hippocampal fissure</t>
  </si>
  <si>
    <t>&lt;http://purl.obolibrary.org/obo/DHBA_10619&gt;</t>
  </si>
  <si>
    <t>hippocampal sulcus</t>
  </si>
  <si>
    <t>&lt;http://purl.obolibrary.org/obo/HBA_9394&gt;</t>
  </si>
  <si>
    <t>&lt;http://purl.obolibrary.org/obo/MBA_1063&gt;</t>
  </si>
  <si>
    <t>&lt;http://purl.obolibrary.org/obo/UBERON_0007639&gt;</t>
  </si>
  <si>
    <t>alveus</t>
  </si>
  <si>
    <t>&lt;http://purl.obolibrary.org/obo/DHBA_10570&gt;</t>
  </si>
  <si>
    <t>&lt;http://purl.obolibrary.org/obo/HBA_9234&gt;</t>
  </si>
  <si>
    <t>&lt;http://purl.obolibrary.org/obo/MBA_466&gt;</t>
  </si>
  <si>
    <t>&lt;http://purl.obolibrary.org/obo/UBERON_0002310&gt;</t>
  </si>
  <si>
    <t>fimbria</t>
  </si>
  <si>
    <t>&lt;http://purl.obolibrary.org/obo/DHBA_10575&gt;</t>
  </si>
  <si>
    <t>&lt;http://purl.obolibrary.org/obo/DMBA_17766&gt;</t>
  </si>
  <si>
    <t>fimbria, left</t>
  </si>
  <si>
    <t>&lt;http://purl.obolibrary.org/obo/HBA_9253&gt;</t>
  </si>
  <si>
    <t>&lt;http://purl.obolibrary.org/obo/MBA_603&gt;</t>
  </si>
  <si>
    <t>&lt;http://purl.obolibrary.org/obo/UBERON_0002815&gt;</t>
  </si>
  <si>
    <t>horizontal fissure</t>
  </si>
  <si>
    <t>&lt;http://purl.obolibrary.org/obo/HBA_9412&gt;</t>
  </si>
  <si>
    <t>&lt;http://purl.obolibrary.org/obo/UBERON_0001650&gt;</t>
  </si>
  <si>
    <t>hypoglossal nerve</t>
  </si>
  <si>
    <t>&lt;http://purl.obolibrary.org/obo/HBA_9343&gt;</t>
  </si>
  <si>
    <t>&lt;http://purl.obolibrary.org/obo/MBA_813&gt;</t>
  </si>
  <si>
    <t>&lt;http://purl.obolibrary.org/obo/UBERON_0004675&gt;</t>
  </si>
  <si>
    <t>root of hypoglossal nerve</t>
  </si>
  <si>
    <t>&lt;http://purl.obolibrary.org/obo/DHBA_12886&gt;</t>
  </si>
  <si>
    <t>hypoglossal nerve root</t>
  </si>
  <si>
    <t>&lt;http://purl.obolibrary.org/obo/DMBA_17750&gt;</t>
  </si>
  <si>
    <t>&lt;http://purl.obolibrary.org/obo/UBERON_0002871&gt;</t>
  </si>
  <si>
    <t>hypoglossal nucleus</t>
  </si>
  <si>
    <t>&lt;http://purl.obolibrary.org/obo/DHBA_12545&gt;</t>
  </si>
  <si>
    <t>&lt;http://purl.obolibrary.org/obo/HBA_9557&gt;</t>
  </si>
  <si>
    <t>&lt;http://purl.obolibrary.org/obo/MBA_773&gt;</t>
  </si>
  <si>
    <t>&lt;http://purl.obolibrary.org/obo/UBERON_0006568&gt;</t>
  </si>
  <si>
    <t>&lt;http://purl.obolibrary.org/obo/DHBA_13063&gt;</t>
  </si>
  <si>
    <t>median preoptic nucleus, left</t>
  </si>
  <si>
    <t>&lt;http://purl.obolibrary.org/obo/HBA_4548&gt;</t>
  </si>
  <si>
    <t>periventricular nucleus of the hypothalamus, left, preoptic part</t>
  </si>
  <si>
    <t>&lt;http://purl.obolibrary.org/obo/HBA_4549&gt;</t>
  </si>
  <si>
    <t>&lt;http://purl.obolibrary.org/obo/UBERON_0001898&gt;</t>
  </si>
  <si>
    <t>hypothalamus</t>
  </si>
  <si>
    <t>&lt;http://purl.obolibrary.org/obo/DHBA_10467&gt;</t>
  </si>
  <si>
    <t>&lt;http://purl.obolibrary.org/obo/HBA_4540&gt;</t>
  </si>
  <si>
    <t>&lt;http://purl.obolibrary.org/obo/MBA_1097&gt;</t>
  </si>
  <si>
    <t>&lt;http://purl.obolibrary.org/obo/UBERON_0015793&gt;</t>
  </si>
  <si>
    <t>indusium griseum</t>
  </si>
  <si>
    <t>&lt;http://purl.obolibrary.org/obo/DHBA_10304&gt;</t>
  </si>
  <si>
    <t>induseum griseum</t>
  </si>
  <si>
    <t>&lt;http://purl.obolibrary.org/obo/DMBA_16147&gt;</t>
  </si>
  <si>
    <t>&lt;http://purl.obolibrary.org/obo/HBA_265504424&gt;</t>
  </si>
  <si>
    <t>&lt;http://purl.obolibrary.org/obo/MBA_19&gt;</t>
  </si>
  <si>
    <t>&lt;http://purl.obolibrary.org/obo/UBERON_0002163&gt;</t>
  </si>
  <si>
    <t>inferior cerebellar peduncle</t>
  </si>
  <si>
    <t>&lt;http://purl.obolibrary.org/obo/DHBA_12741&gt;</t>
  </si>
  <si>
    <t>&lt;http://purl.obolibrary.org/obo/DMBA_17772&gt;</t>
  </si>
  <si>
    <t>inferior cerebellar peduncle, Right</t>
  </si>
  <si>
    <t>&lt;http://purl.obolibrary.org/obo/HBA_9291&gt;</t>
  </si>
  <si>
    <t>&lt;http://purl.obolibrary.org/obo/MBA_1123&gt;</t>
  </si>
  <si>
    <t>&lt;http://purl.obolibrary.org/obo/UBERON_0001946&gt;</t>
  </si>
  <si>
    <t>inferior colliculus</t>
  </si>
  <si>
    <t>&lt;http://purl.obolibrary.org/obo/DHBA_12305&gt;</t>
  </si>
  <si>
    <t>&lt;http://purl.obolibrary.org/obo/DMBA_16692&gt;</t>
  </si>
  <si>
    <t>&lt;http://purl.obolibrary.org/obo/HBA_9102&gt;</t>
  </si>
  <si>
    <t>&lt;http://purl.obolibrary.org/obo/MBA_4&gt;</t>
  </si>
  <si>
    <t>&lt;http://purl.obolibrary.org/obo/UBERON_0002998&gt;</t>
  </si>
  <si>
    <t>inferior frontal gyrus</t>
  </si>
  <si>
    <t>&lt;http://purl.obolibrary.org/obo/DHBA_12117&gt;</t>
  </si>
  <si>
    <t>&lt;http://purl.obolibrary.org/obo/HBA_4035&gt;</t>
  </si>
  <si>
    <t>&lt;http://purl.obolibrary.org/obo/UBERON_0002761&gt;</t>
  </si>
  <si>
    <t>inferior frontal sulcus</t>
  </si>
  <si>
    <t>&lt;http://purl.obolibrary.org/obo/DHBA_10631&gt;</t>
  </si>
  <si>
    <t>&lt;http://purl.obolibrary.org/obo/HBA_9357&gt;</t>
  </si>
  <si>
    <t>&lt;http://purl.obolibrary.org/obo/UBERON_0006091&gt;</t>
  </si>
  <si>
    <t>inferior horn of lateral ventricle</t>
  </si>
  <si>
    <t>&lt;http://purl.obolibrary.org/obo/DHBA_10600&gt;</t>
  </si>
  <si>
    <t>&lt;http://purl.obolibrary.org/obo/UBERON_0034743&gt;</t>
  </si>
  <si>
    <t>inferior longitudinal fasciculus</t>
  </si>
  <si>
    <t>&lt;http://purl.obolibrary.org/obo/DHBA_10580&gt;</t>
  </si>
  <si>
    <t>&lt;http://purl.obolibrary.org/obo/HBA_9260&gt;</t>
  </si>
  <si>
    <t>&lt;http://purl.obolibrary.org/obo/UBERON_0014608&gt;</t>
  </si>
  <si>
    <t>inferior occipital gyrus</t>
  </si>
  <si>
    <t>&lt;http://purl.obolibrary.org/obo/DHBA_12153&gt;</t>
  </si>
  <si>
    <t>&lt;http://purl.obolibrary.org/obo/HBA_4205&gt;</t>
  </si>
  <si>
    <t>&lt;http://purl.obolibrary.org/obo/UBERON_0034753&gt;</t>
  </si>
  <si>
    <t>inferior occipitofrontal fasciculus</t>
  </si>
  <si>
    <t>&lt;http://purl.obolibrary.org/obo/DHBA_12070&gt;</t>
  </si>
  <si>
    <t>&lt;http://purl.obolibrary.org/obo/UBERON_0002127&gt;</t>
  </si>
  <si>
    <t>inferior olive</t>
  </si>
  <si>
    <t>&lt;http://purl.obolibrary.org/obo/DHBA_12600&gt;</t>
  </si>
  <si>
    <t>inferior olivary complex</t>
  </si>
  <si>
    <t>&lt;http://purl.obolibrary.org/obo/HBA_9560&gt;</t>
  </si>
  <si>
    <t>&lt;http://purl.obolibrary.org/obo/MBA_83&gt;</t>
  </si>
  <si>
    <t>&lt;http://purl.obolibrary.org/obo/UBERON_0035019&gt;</t>
  </si>
  <si>
    <t>inferior olive, beta nucleus</t>
  </si>
  <si>
    <t>&lt;http://purl.obolibrary.org/obo/DHBA_12602&gt;</t>
  </si>
  <si>
    <t>&lt;http://purl.obolibrary.org/obo/UBERON_0006088&gt;</t>
  </si>
  <si>
    <t>inferior parietal lobule</t>
  </si>
  <si>
    <t>&lt;http://purl.obolibrary.org/obo/DHBA_12134&gt;</t>
  </si>
  <si>
    <t>&lt;http://purl.obolibrary.org/obo/HBA_4103&gt;</t>
  </si>
  <si>
    <t>&lt;http://purl.obolibrary.org/obo/UBERON_0002982&gt;</t>
  </si>
  <si>
    <t>inferior nucleus of pulvinar</t>
  </si>
  <si>
    <t>&lt;http://purl.obolibrary.org/obo/DHBA_10413&gt;</t>
  </si>
  <si>
    <t>inferior nucleus of the pulvinar, left</t>
  </si>
  <si>
    <t>&lt;http://purl.obolibrary.org/obo/HBA_4414&gt;</t>
  </si>
  <si>
    <t>&lt;http://purl.obolibrary.org/obo/UBERON_0019278&gt;</t>
  </si>
  <si>
    <t>inferior rostral gyrus</t>
  </si>
  <si>
    <t>&lt;http://purl.obolibrary.org/obo/DHBA_12130&gt;</t>
  </si>
  <si>
    <t>&lt;http://purl.obolibrary.org/obo/HBA_4900&gt;</t>
  </si>
  <si>
    <t>&lt;http://purl.obolibrary.org/obo/UBERON_0002767&gt;</t>
  </si>
  <si>
    <t>inferior rostral sulcus</t>
  </si>
  <si>
    <t>&lt;http://purl.obolibrary.org/obo/DHBA_146034844&gt;</t>
  </si>
  <si>
    <t>&lt;http://purl.obolibrary.org/obo/HBA_9367&gt;</t>
  </si>
  <si>
    <t>&lt;http://purl.obolibrary.org/obo/UBERON_0002872&gt;</t>
  </si>
  <si>
    <t>inferior salivatory nucleus</t>
  </si>
  <si>
    <t>&lt;http://purl.obolibrary.org/obo/DHBA_12544&gt;</t>
  </si>
  <si>
    <t>&lt;http://purl.obolibrary.org/obo/HBA_9569&gt;</t>
  </si>
  <si>
    <t>&lt;http://purl.obolibrary.org/obo/MBA_106&gt;</t>
  </si>
  <si>
    <t>&lt;http://purl.obolibrary.org/obo/UBERON_0002751&gt;</t>
  </si>
  <si>
    <t>inferior temporal gyrus</t>
  </si>
  <si>
    <t>&lt;http://purl.obolibrary.org/obo/DHBA_12142&gt;</t>
  </si>
  <si>
    <t>&lt;http://purl.obolibrary.org/obo/HBA_4147&gt;</t>
  </si>
  <si>
    <t>&lt;http://purl.obolibrary.org/obo/UBERON_0002969&gt;</t>
  </si>
  <si>
    <t>inferior temporal sulcus</t>
  </si>
  <si>
    <t>&lt;http://purl.obolibrary.org/obo/DHBA_10632&gt;</t>
  </si>
  <si>
    <t>&lt;http://purl.obolibrary.org/obo/HBA_9379&gt;</t>
  </si>
  <si>
    <t>&lt;http://purl.obolibrary.org/obo/UBERON_0022242&gt;</t>
  </si>
  <si>
    <t>inferior thalamic peduncle</t>
  </si>
  <si>
    <t>&lt;http://purl.obolibrary.org/obo/DHBA_12059&gt;</t>
  </si>
  <si>
    <t>&lt;http://purl.obolibrary.org/obo/HBA_265505110&gt;</t>
  </si>
  <si>
    <t>&lt;http://purl.obolibrary.org/obo/UBERON_0001721&gt;</t>
  </si>
  <si>
    <t>spinal vestibular nucleus, left</t>
  </si>
  <si>
    <t>&lt;http://purl.obolibrary.org/obo/HBA_9702&gt;</t>
  </si>
  <si>
    <t>spinal vestibular nucleus</t>
  </si>
  <si>
    <t>&lt;http://purl.obolibrary.org/obo/MBA_225&gt;</t>
  </si>
  <si>
    <t>&lt;http://purl.obolibrary.org/obo/UBERON_0002022&gt;</t>
  </si>
  <si>
    <t>insular lobe</t>
  </si>
  <si>
    <t>&lt;http://purl.obolibrary.org/obo/DHBA_12176&gt;</t>
  </si>
  <si>
    <t>insula</t>
  </si>
  <si>
    <t>&lt;http://purl.obolibrary.org/obo/HBA_4268&gt;</t>
  </si>
  <si>
    <t>&lt;http://purl.obolibrary.org/obo/UBERON_0034891&gt;</t>
  </si>
  <si>
    <t>insular neocortex</t>
  </si>
  <si>
    <t>&lt;http://purl.obolibrary.org/obo/DHBA_10288&gt;</t>
  </si>
  <si>
    <t>insular cortex</t>
  </si>
  <si>
    <t>&lt;http://purl.obolibrary.org/obo/DMBA_16058&gt;</t>
  </si>
  <si>
    <t>&lt;http://purl.obolibrary.org/obo/UBERON_0035972&gt;</t>
  </si>
  <si>
    <t>interanterodorsal nucleus of the thalamus</t>
  </si>
  <si>
    <t>&lt;http://purl.obolibrary.org/obo/MBA_1113&gt;</t>
  </si>
  <si>
    <t>&lt;http://purl.obolibrary.org/obo/UBERON_0002884&gt;</t>
  </si>
  <si>
    <t>Intercalated nucleus of amygdala</t>
  </si>
  <si>
    <t>&lt;http://purl.obolibrary.org/obo/DHBA_10378&gt;</t>
  </si>
  <si>
    <t>intercalated amygdaloid nuclei</t>
  </si>
  <si>
    <t>&lt;http://purl.obolibrary.org/obo/DMBA_15876&gt;</t>
  </si>
  <si>
    <t>intercalated nuclei</t>
  </si>
  <si>
    <t>&lt;http://purl.obolibrary.org/obo/HBA_4375&gt;</t>
  </si>
  <si>
    <t>intercalated amygdalar nucleus</t>
  </si>
  <si>
    <t>&lt;http://purl.obolibrary.org/obo/MBA_1105&gt;</t>
  </si>
  <si>
    <t>intercalated nucleus of amygdala</t>
  </si>
  <si>
    <t>&lt;http://purl.obolibrary.org/obo/PBA_10132&gt;</t>
  </si>
  <si>
    <t>&lt;http://purl.obolibrary.org/obo/UBERON_0013736&gt;</t>
  </si>
  <si>
    <t>&lt;http://purl.obolibrary.org/obo/UBERON_0035975&gt;</t>
  </si>
  <si>
    <t>intergeniculate leaflet of the lateral geniculate complex</t>
  </si>
  <si>
    <t>&lt;http://purl.obolibrary.org/obo/MBA_27&gt;</t>
  </si>
  <si>
    <t>&lt;http://purl.obolibrary.org/obo/UBERON_0002952&gt;</t>
  </si>
  <si>
    <t>intermediate acoustic stria</t>
  </si>
  <si>
    <t>&lt;http://purl.obolibrary.org/obo/DHBA_12755&gt;</t>
  </si>
  <si>
    <t>&lt;http://purl.obolibrary.org/obo/MBA_641&gt;</t>
  </si>
  <si>
    <t>&lt;http://purl.obolibrary.org/obo/UBERON_0006792&gt;</t>
  </si>
  <si>
    <t>intermediate layer of the superior colliculus</t>
  </si>
  <si>
    <t>&lt;http://purl.obolibrary.org/obo/DHBA_12298&gt;</t>
  </si>
  <si>
    <t>&lt;http://purl.obolibrary.org/obo/UBERON_0007710&gt;</t>
  </si>
  <si>
    <t>intermediate nucleus of lateral lemniscus</t>
  </si>
  <si>
    <t>&lt;http://purl.obolibrary.org/obo/DHBA_12456&gt;</t>
  </si>
  <si>
    <t>&lt;http://purl.obolibrary.org/obo/HBA_265504888&gt;</t>
  </si>
  <si>
    <t>nucleus of the lateral lemniscus, horizontal part</t>
  </si>
  <si>
    <t>&lt;http://purl.obolibrary.org/obo/MBA_90&gt;</t>
  </si>
  <si>
    <t>&lt;http://purl.obolibrary.org/obo/UBERON_0002970&gt;</t>
  </si>
  <si>
    <t>interoculomotor nucleus</t>
  </si>
  <si>
    <t>&lt;http://purl.obolibrary.org/obo/DHBA_12203&gt;</t>
  </si>
  <si>
    <t>intermediate oculomotor nucleus, left</t>
  </si>
  <si>
    <t>&lt;http://purl.obolibrary.org/obo/HBA_9036&gt;</t>
  </si>
  <si>
    <t>&lt;http://purl.obolibrary.org/obo/UBERON_0002746&gt;</t>
  </si>
  <si>
    <t>&lt;http://purl.obolibrary.org/obo/UBERON_0035562&gt;</t>
  </si>
  <si>
    <t>&lt;http://purl.obolibrary.org/obo/UBERON_0009777&gt;</t>
  </si>
  <si>
    <t>intermediate reticular nucleus</t>
  </si>
  <si>
    <t>&lt;http://purl.obolibrary.org/obo/DHBA_12620&gt;</t>
  </si>
  <si>
    <t>&lt;http://purl.obolibrary.org/obo/MBA_136&gt;</t>
  </si>
  <si>
    <t>&lt;http://purl.obolibrary.org/obo/UBERON_0006087&gt;</t>
  </si>
  <si>
    <t>internal arcuate fibers</t>
  </si>
  <si>
    <t>&lt;http://purl.obolibrary.org/obo/DHBA_12756&gt;</t>
  </si>
  <si>
    <t>&lt;http://purl.obolibrary.org/obo/HBA_265505610&gt;</t>
  </si>
  <si>
    <t>&lt;http://purl.obolibrary.org/obo/MBA_396&gt;</t>
  </si>
  <si>
    <t>&lt;http://purl.obolibrary.org/obo/UBERON_0001887&gt;</t>
  </si>
  <si>
    <t>internal capsule</t>
  </si>
  <si>
    <t>&lt;http://purl.obolibrary.org/obo/DHBA_10581&gt;</t>
  </si>
  <si>
    <t>&lt;http://purl.obolibrary.org/obo/DMBA_17770&gt;</t>
  </si>
  <si>
    <t>&lt;http://purl.obolibrary.org/obo/HBA_9263&gt;</t>
  </si>
  <si>
    <t>&lt;http://purl.obolibrary.org/obo/MBA_6&gt;</t>
  </si>
  <si>
    <t>&lt;http://purl.obolibrary.org/obo/PBA_10102&gt;</t>
  </si>
  <si>
    <t>&lt;http://purl.obolibrary.org/obo/UBERON_0002762&gt;</t>
  </si>
  <si>
    <t>internal medullary lamina of thalamus</t>
  </si>
  <si>
    <t>&lt;http://purl.obolibrary.org/obo/DHBA_12063&gt;</t>
  </si>
  <si>
    <t>&lt;http://purl.obolibrary.org/obo/HBA_265505134&gt;</t>
  </si>
  <si>
    <t>internal medullary lamina of the thalamus</t>
  </si>
  <si>
    <t>&lt;http://purl.obolibrary.org/obo/MBA_14&gt;</t>
  </si>
  <si>
    <t>&lt;http://purl.obolibrary.org/obo/UBERON_0002145&gt;</t>
  </si>
  <si>
    <t>interpeduncular nucleus</t>
  </si>
  <si>
    <t>&lt;http://purl.obolibrary.org/obo/DHBA_12270&gt;</t>
  </si>
  <si>
    <t>&lt;http://purl.obolibrary.org/obo/HBA_9012&gt;</t>
  </si>
  <si>
    <t>&lt;http://purl.obolibrary.org/obo/MBA_100&gt;</t>
  </si>
  <si>
    <t>&lt;http://purl.obolibrary.org/obo/UBERON_0002873&gt;</t>
  </si>
  <si>
    <t>spinal trigeminal nucleus, interpolar part</t>
  </si>
  <si>
    <t>&lt;http://purl.obolibrary.org/obo/DHBA_12578&gt;</t>
  </si>
  <si>
    <t>interpolar part of spinal trigeminal nucleus, left</t>
  </si>
  <si>
    <t>&lt;http://purl.obolibrary.org/obo/HBA_9678&gt;</t>
  </si>
  <si>
    <t>spinal nucleus of the trigeminal, interpolar part</t>
  </si>
  <si>
    <t>&lt;http://purl.obolibrary.org/obo/MBA_437&gt;</t>
  </si>
  <si>
    <t>&lt;http://purl.obolibrary.org/obo/UBERON_0002551&gt;</t>
  </si>
  <si>
    <t>interstitial nucleus of Cajal</t>
  </si>
  <si>
    <t>&lt;http://purl.obolibrary.org/obo/DHBA_12278&gt;</t>
  </si>
  <si>
    <t>&lt;http://purl.obolibrary.org/obo/HBA_9015&gt;</t>
  </si>
  <si>
    <t>&lt;http://purl.obolibrary.org/obo/MBA_67&gt;</t>
  </si>
  <si>
    <t>&lt;http://purl.obolibrary.org/obo/UBERON_0003993&gt;</t>
  </si>
  <si>
    <t>interventricular foramen</t>
  </si>
  <si>
    <t>&lt;http://purl.obolibrary.org/obo/DHBA_10608&gt;</t>
  </si>
  <si>
    <t>&lt;http://purl.obolibrary.org/obo/MBA_124&gt;</t>
  </si>
  <si>
    <t>&lt;http://purl.obolibrary.org/obo/UBERON_0035922&gt;</t>
  </si>
  <si>
    <t>intraculminate fissure</t>
  </si>
  <si>
    <t>&lt;http://purl.obolibrary.org/obo/DHBA_266441729&gt;</t>
  </si>
  <si>
    <t>&lt;http://purl.obolibrary.org/obo/HBA_9409&gt;</t>
  </si>
  <si>
    <t>&lt;http://purl.obolibrary.org/obo/UBERON_0002733&gt;</t>
  </si>
  <si>
    <t>intralaminar nuclear complex</t>
  </si>
  <si>
    <t>&lt;http://purl.obolibrary.org/obo/DHBA_10442&gt;</t>
  </si>
  <si>
    <t>&lt;http://purl.obolibrary.org/obo/UBERON_0002905&gt;</t>
  </si>
  <si>
    <t>insular lobe sulci</t>
  </si>
  <si>
    <t>&lt;http://purl.obolibrary.org/obo/HBA_9397&gt;</t>
  </si>
  <si>
    <t>&lt;http://purl.obolibrary.org/obo/UBERON_0002913&gt;</t>
  </si>
  <si>
    <t>intraparietal sulcus</t>
  </si>
  <si>
    <t>&lt;http://purl.obolibrary.org/obo/DHBA_10620&gt;</t>
  </si>
  <si>
    <t>&lt;http://purl.obolibrary.org/obo/HBA_9372&gt;</t>
  </si>
  <si>
    <t>&lt;http://purl.obolibrary.org/obo/UBERON_0023868&gt;</t>
  </si>
  <si>
    <t>major island of Calleja</t>
  </si>
  <si>
    <t>&lt;http://purl.obolibrary.org/obo/DHBA_10359&gt;</t>
  </si>
  <si>
    <t>&lt;http://purl.obolibrary.org/obo/MBA_489&gt;</t>
  </si>
  <si>
    <t>&lt;http://purl.obolibrary.org/obo/UBERON_0001881&gt;</t>
  </si>
  <si>
    <t>islands of Calleja</t>
  </si>
  <si>
    <t>&lt;http://purl.obolibrary.org/obo/DHBA_10358&gt;</t>
  </si>
  <si>
    <t>islands of calleja, left</t>
  </si>
  <si>
    <t>&lt;http://purl.obolibrary.org/obo/HBA_265504792&gt;</t>
  </si>
  <si>
    <t>&lt;http://purl.obolibrary.org/obo/MBA_481&gt;</t>
  </si>
  <si>
    <t>&lt;http://purl.obolibrary.org/obo/PBA_10095&gt;</t>
  </si>
  <si>
    <t>&lt;http://purl.obolibrary.org/obo/UBERON_0002592&gt;</t>
  </si>
  <si>
    <t>juxtarestiform body</t>
  </si>
  <si>
    <t>&lt;http://purl.obolibrary.org/obo/DHBA_12750&gt;</t>
  </si>
  <si>
    <t>&lt;http://purl.obolibrary.org/obo/MBA_650&gt;</t>
  </si>
  <si>
    <t>&lt;http://purl.obolibrary.org/obo/UBERON_0015117&gt;</t>
  </si>
  <si>
    <t>lamina terminalis</t>
  </si>
  <si>
    <t>&lt;http://purl.obolibrary.org/obo/DHBA_12105&gt;</t>
  </si>
  <si>
    <t>&lt;http://purl.obolibrary.org/obo/UBERON_0013600&gt;</t>
  </si>
  <si>
    <t>&lt;http://purl.obolibrary.org/obo/UBERON_0002886&gt;</t>
  </si>
  <si>
    <t>lateral nucleus</t>
  </si>
  <si>
    <t>&lt;http://purl.obolibrary.org/obo/DHBA_10367&gt;</t>
  </si>
  <si>
    <t>lateral amygdaloid nucleus</t>
  </si>
  <si>
    <t>&lt;http://purl.obolibrary.org/obo/DMBA_15944&gt;</t>
  </si>
  <si>
    <t>&lt;http://purl.obolibrary.org/obo/HBA_4378&gt;</t>
  </si>
  <si>
    <t>lateral amygdalar nucleus</t>
  </si>
  <si>
    <t>&lt;http://purl.obolibrary.org/obo/MBA_131&gt;</t>
  </si>
  <si>
    <t>&lt;http://purl.obolibrary.org/obo/PBA_10116&gt;</t>
  </si>
  <si>
    <t>&lt;http://purl.obolibrary.org/obo/UBERON_0002176&gt;</t>
  </si>
  <si>
    <t>lateral cervical nucleus</t>
  </si>
  <si>
    <t>&lt;http://purl.obolibrary.org/obo/DMBA_17691&gt;</t>
  </si>
  <si>
    <t>&lt;http://purl.obolibrary.org/obo/UBERON_0002589&gt;</t>
  </si>
  <si>
    <t>lateral corticospinal tract</t>
  </si>
  <si>
    <t>&lt;http://purl.obolibrary.org/obo/DHBA_12759&gt;</t>
  </si>
  <si>
    <t>corticospinal tract, crossed</t>
  </si>
  <si>
    <t>&lt;http://purl.obolibrary.org/obo/MBA_1019&gt;</t>
  </si>
  <si>
    <t>&lt;http://purl.obolibrary.org/obo/UBERON_0002984&gt;</t>
  </si>
  <si>
    <t>&lt;http://purl.obolibrary.org/obo/DHBA_10396&gt;</t>
  </si>
  <si>
    <t>lateral dorsal nucleus of the thalamus, left</t>
  </si>
  <si>
    <t>&lt;http://purl.obolibrary.org/obo/HBA_4399&gt;</t>
  </si>
  <si>
    <t>&lt;http://purl.obolibrary.org/obo/UBERON_0007225&gt;</t>
  </si>
  <si>
    <t>lateral (anterior) entorhinal cortex</t>
  </si>
  <si>
    <t>&lt;http://purl.obolibrary.org/obo/DHBA_10318&gt;</t>
  </si>
  <si>
    <t>entorhinal area, lateral part</t>
  </si>
  <si>
    <t>&lt;http://purl.obolibrary.org/obo/MBA_918&gt;</t>
  </si>
  <si>
    <t>lateral (anterior) entorhinal cortex (LEC)</t>
  </si>
  <si>
    <t>&lt;http://purl.obolibrary.org/obo/PBA_128011876&gt;</t>
  </si>
  <si>
    <t>&lt;http://purl.obolibrary.org/obo/UBERON_0004025&gt;</t>
  </si>
  <si>
    <t>lateral ganglionic eminence</t>
  </si>
  <si>
    <t>&lt;http://purl.obolibrary.org/obo/DHBA_10551&gt;</t>
  </si>
  <si>
    <t>&lt;http://purl.obolibrary.org/obo/PBA_128012822&gt;</t>
  </si>
  <si>
    <t>&lt;http://purl.obolibrary.org/obo/UBERON_0001926&gt;</t>
  </si>
  <si>
    <t>lateral geniculate nucleus</t>
  </si>
  <si>
    <t>&lt;http://purl.obolibrary.org/obo/DHBA_10429&gt;</t>
  </si>
  <si>
    <t>&lt;http://purl.obolibrary.org/obo/PBA_128013070&gt;</t>
  </si>
  <si>
    <t>&lt;http://purl.obolibrary.org/obo/UBERON_0002476&gt;</t>
  </si>
  <si>
    <t>globus pallidus, external segment</t>
  </si>
  <si>
    <t>&lt;http://purl.obolibrary.org/obo/HBA_12897&gt;</t>
  </si>
  <si>
    <t>&lt;http://purl.obolibrary.org/obo/MBA_1022&gt;</t>
  </si>
  <si>
    <t>external segment of globus pallidus</t>
  </si>
  <si>
    <t>&lt;http://purl.obolibrary.org/obo/PBA_10099&gt;</t>
  </si>
  <si>
    <t>&lt;http://purl.obolibrary.org/obo/UBERON_0001941&gt;</t>
  </si>
  <si>
    <t>lateral habenular nucleus</t>
  </si>
  <si>
    <t>&lt;http://purl.obolibrary.org/obo/DHBA_10453&gt;</t>
  </si>
  <si>
    <t>lateral habenular nucleus, left</t>
  </si>
  <si>
    <t>&lt;http://purl.obolibrary.org/obo/HBA_4524&gt;</t>
  </si>
  <si>
    <t>&lt;http://purl.obolibrary.org/obo/UBERON_0002430&gt;</t>
  </si>
  <si>
    <t>lateral hypothalamic area</t>
  </si>
  <si>
    <t>&lt;http://purl.obolibrary.org/obo/MBA_194&gt;</t>
  </si>
  <si>
    <t>&lt;http://purl.obolibrary.org/obo/UBERON_0002953&gt;</t>
  </si>
  <si>
    <t>lateral lemniscus</t>
  </si>
  <si>
    <t>&lt;http://purl.obolibrary.org/obo/DHBA_12760&gt;</t>
  </si>
  <si>
    <t>&lt;http://purl.obolibrary.org/obo/DMBA_17774&gt;</t>
  </si>
  <si>
    <t>lateral lemniscus, Right</t>
  </si>
  <si>
    <t>&lt;http://purl.obolibrary.org/obo/HBA_12958&gt;</t>
  </si>
  <si>
    <t>&lt;http://purl.obolibrary.org/obo/MBA_658&gt;</t>
  </si>
  <si>
    <t>&lt;http://purl.obolibrary.org/obo/UBERON_0019283&gt;</t>
  </si>
  <si>
    <t>lateral longitudinal stria</t>
  </si>
  <si>
    <t>&lt;http://purl.obolibrary.org/obo/DHBA_12064&gt;</t>
  </si>
  <si>
    <t>&lt;http://purl.obolibrary.org/obo/HBA_265505146&gt;</t>
  </si>
  <si>
    <t>&lt;http://purl.obolibrary.org/obo/UBERON_0001938&gt;</t>
  </si>
  <si>
    <t>&lt;http://purl.obolibrary.org/obo/DHBA_10502&gt;</t>
  </si>
  <si>
    <t>lateral mammillary nucleus, left</t>
  </si>
  <si>
    <t>&lt;http://purl.obolibrary.org/obo/HBA_4675&gt;</t>
  </si>
  <si>
    <t>&lt;http://purl.obolibrary.org/obo/UBERON_0002765&gt;</t>
  </si>
  <si>
    <t>external medullary lamina of globus pallidus</t>
  </si>
  <si>
    <t>&lt;http://purl.obolibrary.org/obo/DHBA_12037&gt;</t>
  </si>
  <si>
    <t>&lt;http://purl.obolibrary.org/obo/HBA_265505086&gt;</t>
  </si>
  <si>
    <t>&lt;http://purl.obolibrary.org/obo/UBERON_0009775&gt;</t>
  </si>
  <si>
    <t>lateral medullary reticular group</t>
  </si>
  <si>
    <t>&lt;http://purl.obolibrary.org/obo/HBA_9613&gt;</t>
  </si>
  <si>
    <t>&lt;http://purl.obolibrary.org/obo/UBERON_0002736&gt;</t>
  </si>
  <si>
    <t>lateral group of nuclei</t>
  </si>
  <si>
    <t>&lt;http://purl.obolibrary.org/obo/HBA_12923&gt;</t>
  </si>
  <si>
    <t>&lt;http://purl.obolibrary.org/obo/UBERON_0034894&gt;</t>
  </si>
  <si>
    <t>lateral subdivision of BNST</t>
  </si>
  <si>
    <t>&lt;http://purl.obolibrary.org/obo/DHBA_10386&gt;</t>
  </si>
  <si>
    <t>&lt;http://purl.obolibrary.org/obo/UBERON_0016843&gt;</t>
  </si>
  <si>
    <t>lateral nucleus of trapezoid body</t>
  </si>
  <si>
    <t>&lt;http://purl.obolibrary.org/obo/DHBA_12459&gt;</t>
  </si>
  <si>
    <t>lateral trapezoid nucleus</t>
  </si>
  <si>
    <t>&lt;http://purl.obolibrary.org/obo/DMBA_17274&gt;</t>
  </si>
  <si>
    <t>&lt;http://purl.obolibrary.org/obo/UBERON_0002904&gt;</t>
  </si>
  <si>
    <t>lateral occipital sulcus</t>
  </si>
  <si>
    <t>&lt;http://purl.obolibrary.org/obo/HBA_9389&gt;</t>
  </si>
  <si>
    <t>&lt;http://purl.obolibrary.org/obo/UBERON_0001888&gt;</t>
  </si>
  <si>
    <t>lateral olfactory stria</t>
  </si>
  <si>
    <t>&lt;http://purl.obolibrary.org/obo/DHBA_12075&gt;</t>
  </si>
  <si>
    <t>lateral olfactory tract</t>
  </si>
  <si>
    <t>&lt;http://purl.obolibrary.org/obo/DMBA_17773&gt;</t>
  </si>
  <si>
    <t>lateral olfactory tract, left</t>
  </si>
  <si>
    <t>&lt;http://purl.obolibrary.org/obo/HBA_265505514&gt;</t>
  </si>
  <si>
    <t>lateral olfactory tract, body</t>
  </si>
  <si>
    <t>&lt;http://purl.obolibrary.org/obo/MBA_665&gt;</t>
  </si>
  <si>
    <t>&lt;http://purl.obolibrary.org/obo/UBERON_0002564&gt;</t>
  </si>
  <si>
    <t>lateral orbital gyrus</t>
  </si>
  <si>
    <t>&lt;http://purl.obolibrary.org/obo/DHBA_12125&gt;</t>
  </si>
  <si>
    <t>&lt;http://purl.obolibrary.org/obo/HBA_4059&gt;</t>
  </si>
  <si>
    <t>&lt;http://purl.obolibrary.org/obo/UBERON_0014741&gt;</t>
  </si>
  <si>
    <t>lateral pallium</t>
  </si>
  <si>
    <t>&lt;http://purl.obolibrary.org/obo/DMBA_15956&gt;</t>
  </si>
  <si>
    <t>&lt;http://purl.obolibrary.org/obo/UBERON_0003007&gt;</t>
  </si>
  <si>
    <t>lateral parabrachial nucleus</t>
  </si>
  <si>
    <t>&lt;http://purl.obolibrary.org/obo/DHBA_12482&gt;</t>
  </si>
  <si>
    <t>&lt;http://purl.obolibrary.org/obo/DMBA_16852&gt;</t>
  </si>
  <si>
    <t>&lt;http://purl.obolibrary.org/obo/HBA_9145&gt;</t>
  </si>
  <si>
    <t>parabrachial nucleus, lateral division</t>
  </si>
  <si>
    <t>&lt;http://purl.obolibrary.org/obo/MBA_881&gt;</t>
  </si>
  <si>
    <t>&lt;http://purl.obolibrary.org/obo/UBERON_0016824&gt;</t>
  </si>
  <si>
    <t>lateral paragigantocellular nucleus</t>
  </si>
  <si>
    <t>&lt;http://purl.obolibrary.org/obo/DHBA_12629&gt;</t>
  </si>
  <si>
    <t>lateral paragigantocellular nucleus, left</t>
  </si>
  <si>
    <t>&lt;http://purl.obolibrary.org/obo/HBA_9601&gt;</t>
  </si>
  <si>
    <t>paragigantocellular reticular nucleus, lateral part</t>
  </si>
  <si>
    <t>&lt;http://purl.obolibrary.org/obo/MBA_978&gt;</t>
  </si>
  <si>
    <t>&lt;http://purl.obolibrary.org/obo/UBERON_0002664&gt;</t>
  </si>
  <si>
    <t>lateral part of medial mammillary nucleus</t>
  </si>
  <si>
    <t>&lt;http://purl.obolibrary.org/obo/DHBA_10500&gt;</t>
  </si>
  <si>
    <t>lateral part of MM</t>
  </si>
  <si>
    <t>&lt;http://purl.obolibrary.org/obo/DMBA_15731&gt;</t>
  </si>
  <si>
    <t>medial mammillary nucleus, left, lateral part</t>
  </si>
  <si>
    <t>&lt;http://purl.obolibrary.org/obo/HBA_4673&gt;</t>
  </si>
  <si>
    <t>&lt;http://purl.obolibrary.org/obo/UBERON_0035114&gt;</t>
  </si>
  <si>
    <t>mediodorsal nucleus of the thalamus, lateral part</t>
  </si>
  <si>
    <t>&lt;http://purl.obolibrary.org/obo/MBA_626&gt;</t>
  </si>
  <si>
    <t>&lt;http://purl.obolibrary.org/obo/UBERON_0002874&gt;</t>
  </si>
  <si>
    <t>lateral pericuneate nucleus</t>
  </si>
  <si>
    <t>&lt;http://purl.obolibrary.org/obo/DHBA_12526&gt;</t>
  </si>
  <si>
    <t>&lt;http://purl.obolibrary.org/obo/HBA_9581&gt;</t>
  </si>
  <si>
    <t>&lt;http://purl.obolibrary.org/obo/UBERON_0016637&gt;</t>
  </si>
  <si>
    <t>lateral periolivary nucleus</t>
  </si>
  <si>
    <t>&lt;http://purl.obolibrary.org/obo/DHBA_12465&gt;</t>
  </si>
  <si>
    <t>&lt;http://purl.obolibrary.org/obo/UBERON_0002983&gt;</t>
  </si>
  <si>
    <t>lateral posterior nucleus of thalamus</t>
  </si>
  <si>
    <t>&lt;http://purl.obolibrary.org/obo/DHBA_10408&gt;</t>
  </si>
  <si>
    <t>lateral posterior nucleus of the thalamus, left</t>
  </si>
  <si>
    <t>&lt;http://purl.obolibrary.org/obo/HBA_4410&gt;</t>
  </si>
  <si>
    <t>&lt;http://purl.obolibrary.org/obo/UBERON_0001931&gt;</t>
  </si>
  <si>
    <t>&lt;http://purl.obolibrary.org/obo/DHBA_10471&gt;</t>
  </si>
  <si>
    <t>lateral preoptic area, left</t>
  </si>
  <si>
    <t>&lt;http://purl.obolibrary.org/obo/HBA_4552&gt;</t>
  </si>
  <si>
    <t>&lt;http://purl.obolibrary.org/obo/UBERON_0002636&gt;</t>
  </si>
  <si>
    <t>lateral nucleus of pulvinar</t>
  </si>
  <si>
    <t>&lt;http://purl.obolibrary.org/obo/DHBA_10412&gt;</t>
  </si>
  <si>
    <t>&lt;http://purl.obolibrary.org/obo/UBERON_0007656&gt;</t>
  </si>
  <si>
    <t>lateral recess of fourth ventricle</t>
  </si>
  <si>
    <t>&lt;http://purl.obolibrary.org/obo/DHBA_12810&gt;</t>
  </si>
  <si>
    <t>lateral recess</t>
  </si>
  <si>
    <t>&lt;http://purl.obolibrary.org/obo/MBA_153&gt;</t>
  </si>
  <si>
    <t>&lt;http://purl.obolibrary.org/obo/UBERON_0002154&gt;</t>
  </si>
  <si>
    <t>lateral reticular nucleus, left</t>
  </si>
  <si>
    <t>&lt;http://purl.obolibrary.org/obo/HBA_9616&gt;</t>
  </si>
  <si>
    <t>lateral reticular nucleus</t>
  </si>
  <si>
    <t>&lt;http://purl.obolibrary.org/obo/MBA_235&gt;</t>
  </si>
  <si>
    <t>&lt;http://purl.obolibrary.org/obo/UBERON_0007628&gt;</t>
  </si>
  <si>
    <t>lateral septal complex</t>
  </si>
  <si>
    <t>&lt;http://purl.obolibrary.org/obo/MBA_275&gt;</t>
  </si>
  <si>
    <t>&lt;http://purl.obolibrary.org/obo/UBERON_0002667&gt;</t>
  </si>
  <si>
    <t>lateral septal nucleus</t>
  </si>
  <si>
    <t>&lt;http://purl.obolibrary.org/obo/DHBA_10352&gt;</t>
  </si>
  <si>
    <t>lateral septal nucleus, left</t>
  </si>
  <si>
    <t>&lt;http://purl.obolibrary.org/obo/HBA_4303&gt;</t>
  </si>
  <si>
    <t>&lt;http://purl.obolibrary.org/obo/MBA_242&gt;</t>
  </si>
  <si>
    <t>&lt;http://purl.obolibrary.org/obo/UBERON_0035024&gt;</t>
  </si>
  <si>
    <t>lateral spinal nucleus</t>
  </si>
  <si>
    <t>&lt;http://purl.obolibrary.org/obo/DMBA_17690&gt;</t>
  </si>
  <si>
    <t>&lt;http://purl.obolibrary.org/obo/UBERON_0015212&gt;</t>
  </si>
  <si>
    <t>&lt;http://purl.obolibrary.org/obo/UBERON_0002721&gt;</t>
  </si>
  <si>
    <t>lateral (sylvian) fissure</t>
  </si>
  <si>
    <t>&lt;http://purl.obolibrary.org/obo/DHBA_10621&gt;</t>
  </si>
  <si>
    <t>transverse cerebral  fissure</t>
  </si>
  <si>
    <t>&lt;http://purl.obolibrary.org/obo/DHBA_12110&gt;</t>
  </si>
  <si>
    <t>sylvian fissure</t>
  </si>
  <si>
    <t>&lt;http://purl.obolibrary.org/obo/HBA_9402&gt;</t>
  </si>
  <si>
    <t>&lt;http://purl.obolibrary.org/obo/UBERON_0002779&gt;</t>
  </si>
  <si>
    <t>lateral superior olivary nucleus</t>
  </si>
  <si>
    <t>&lt;http://purl.obolibrary.org/obo/DHBA_12469&gt;</t>
  </si>
  <si>
    <t>lateral superior olive</t>
  </si>
  <si>
    <t>&lt;http://purl.obolibrary.org/obo/DMBA_17261&gt;</t>
  </si>
  <si>
    <t>lateral superior olivary nucleus, left</t>
  </si>
  <si>
    <t>&lt;http://purl.obolibrary.org/obo/HBA_9183&gt;</t>
  </si>
  <si>
    <t>superior olivary complex, lateral part</t>
  </si>
  <si>
    <t>&lt;http://purl.obolibrary.org/obo/MBA_114&gt;</t>
  </si>
  <si>
    <t>&lt;http://purl.obolibrary.org/obo/UBERON_0000435&gt;</t>
  </si>
  <si>
    <t>lateral tuberal nuclei</t>
  </si>
  <si>
    <t>&lt;http://purl.obolibrary.org/obo/DHBA_10493&gt;</t>
  </si>
  <si>
    <t>&lt;http://purl.obolibrary.org/obo/HBA_12915&gt;</t>
  </si>
  <si>
    <t>&lt;http://purl.obolibrary.org/obo/UBERON_0007230&gt;</t>
  </si>
  <si>
    <t>lateral vestibular nucleus</t>
  </si>
  <si>
    <t>&lt;http://purl.obolibrary.org/obo/DHBA_12449&gt;</t>
  </si>
  <si>
    <t>lateral vestibular nucleus, left</t>
  </si>
  <si>
    <t>&lt;http://purl.obolibrary.org/obo/HBA_9699&gt;</t>
  </si>
  <si>
    <t>&lt;http://purl.obolibrary.org/obo/MBA_209&gt;</t>
  </si>
  <si>
    <t>&lt;http://purl.obolibrary.org/obo/UBERON_0035895&gt;</t>
  </si>
  <si>
    <t>lateral visual area</t>
  </si>
  <si>
    <t>&lt;http://purl.obolibrary.org/obo/MBA_409&gt;</t>
  </si>
  <si>
    <t>&lt;http://purl.obolibrary.org/obo/UBERON_0035915&gt;</t>
  </si>
  <si>
    <t>lateral visual area, layer 4</t>
  </si>
  <si>
    <t>&lt;http://purl.obolibrary.org/obo/MBA_573&gt;</t>
  </si>
  <si>
    <t>&lt;http://purl.obolibrary.org/obo/UBERON_0035916&gt;</t>
  </si>
  <si>
    <t>lateral visual area, layer 5</t>
  </si>
  <si>
    <t>&lt;http://purl.obolibrary.org/obo/MBA_613&gt;</t>
  </si>
  <si>
    <t>&lt;http://purl.obolibrary.org/obo/UBERON_0035918&gt;</t>
  </si>
  <si>
    <t>lateral visual area, layer 6a</t>
  </si>
  <si>
    <t>&lt;http://purl.obolibrary.org/obo/MBA_74&gt;</t>
  </si>
  <si>
    <t>&lt;http://purl.obolibrary.org/obo/UBERON_0002273&gt;</t>
  </si>
  <si>
    <t>hypothalamic lateral zone</t>
  </si>
  <si>
    <t>&lt;http://purl.obolibrary.org/obo/MBA_290&gt;</t>
  </si>
  <si>
    <t>&lt;http://purl.obolibrary.org/obo/UBERON_0002267&gt;</t>
  </si>
  <si>
    <t>&lt;http://purl.obolibrary.org/obo/UBERON_0002301&gt;</t>
  </si>
  <si>
    <t>&lt;http://purl.obolibrary.org/obo/UBERON_0008884&gt;</t>
  </si>
  <si>
    <t>putamen, left</t>
  </si>
  <si>
    <t>&lt;http://purl.obolibrary.org/obo/HBA_4288&gt;</t>
  </si>
  <si>
    <t>&lt;http://purl.obolibrary.org/obo/UBERON_0014529&gt;</t>
  </si>
  <si>
    <t>lenticular fasciculus</t>
  </si>
  <si>
    <t>&lt;http://purl.obolibrary.org/obo/DHBA_10585&gt;</t>
  </si>
  <si>
    <t>&lt;http://purl.obolibrary.org/obo/HBA_265505158&gt;</t>
  </si>
  <si>
    <t>&lt;http://purl.obolibrary.org/obo/UBERON_0002600&gt;</t>
  </si>
  <si>
    <t>limbic lobe</t>
  </si>
  <si>
    <t>&lt;http://purl.obolibrary.org/obo/DHBA_12155&gt;</t>
  </si>
  <si>
    <t>&lt;http://purl.obolibrary.org/obo/HBA_4219&gt;</t>
  </si>
  <si>
    <t>&lt;http://purl.obolibrary.org/obo/UBERON_0002724&gt;</t>
  </si>
  <si>
    <t>limen insula</t>
  </si>
  <si>
    <t>&lt;http://purl.obolibrary.org/obo/DHBA_12179&gt;</t>
  </si>
  <si>
    <t>&lt;http://purl.obolibrary.org/obo/UBERON_0003026&gt;</t>
  </si>
  <si>
    <t>limitans nucleus</t>
  </si>
  <si>
    <t>&lt;http://purl.obolibrary.org/obo/DHBA_13043&gt;</t>
  </si>
  <si>
    <t>limitans nucleus of the thalamus, left</t>
  </si>
  <si>
    <t>&lt;http://purl.obolibrary.org/obo/HBA_4429&gt;</t>
  </si>
  <si>
    <t>&lt;http://purl.obolibrary.org/obo/UBERON_0002557&gt;</t>
  </si>
  <si>
    <t>linear nucleus of the midbrain</t>
  </si>
  <si>
    <t>&lt;http://purl.obolibrary.org/obo/DHBA_12230&gt;</t>
  </si>
  <si>
    <t>&lt;http://purl.obolibrary.org/obo/UBERON_0002943&gt;</t>
  </si>
  <si>
    <t>lingual gyrus</t>
  </si>
  <si>
    <t>&lt;http://purl.obolibrary.org/obo/DHBA_12151&gt;</t>
  </si>
  <si>
    <t>&lt;http://purl.obolibrary.org/obo/HBA_4191&gt;</t>
  </si>
  <si>
    <t>&lt;http://purl.obolibrary.org/obo/UBERON_0005350&gt;</t>
  </si>
  <si>
    <t>simple lobule</t>
  </si>
  <si>
    <t>&lt;http://purl.obolibrary.org/obo/DMBA_16940&gt;</t>
  </si>
  <si>
    <t>&lt;http://purl.obolibrary.org/obo/MBA_1007&gt;</t>
  </si>
  <si>
    <t>&lt;http://purl.obolibrary.org/obo/UBERON_0002148&gt;</t>
  </si>
  <si>
    <t>locus coeruleus</t>
  </si>
  <si>
    <t>&lt;http://purl.obolibrary.org/obo/DHBA_12819&gt;</t>
  </si>
  <si>
    <t>&lt;http://purl.obolibrary.org/obo/DMBA_16972&gt;</t>
  </si>
  <si>
    <t>locus ceruleus</t>
  </si>
  <si>
    <t>&lt;http://purl.obolibrary.org/obo/HBA_9148&gt;</t>
  </si>
  <si>
    <t>&lt;http://purl.obolibrary.org/obo/MBA_147&gt;</t>
  </si>
  <si>
    <t>&lt;http://purl.obolibrary.org/obo/UBERON_0002921&gt;</t>
  </si>
  <si>
    <t>longitudinal fissure</t>
  </si>
  <si>
    <t>&lt;http://purl.obolibrary.org/obo/DHBA_10622&gt;</t>
  </si>
  <si>
    <t>&lt;http://purl.obolibrary.org/obo/HBA_9401&gt;</t>
  </si>
  <si>
    <t>&lt;http://purl.obolibrary.org/obo/UBERON_0002732&gt;</t>
  </si>
  <si>
    <t>longitudinal fasciculus of the pons</t>
  </si>
  <si>
    <t>&lt;http://purl.obolibrary.org/obo/DHBA_12762&gt;</t>
  </si>
  <si>
    <t>&lt;http://purl.obolibrary.org/obo/HBA_265505502&gt;</t>
  </si>
  <si>
    <t>&lt;http://purl.obolibrary.org/obo/UBERON_0009840&gt;</t>
  </si>
  <si>
    <t>lower (caudal) rhombic lip</t>
  </si>
  <si>
    <t>&lt;http://purl.obolibrary.org/obo/DHBA_10666&gt;</t>
  </si>
  <si>
    <t>&lt;http://purl.obolibrary.org/obo/UBERON_0002903&gt;</t>
  </si>
  <si>
    <t>lunate sulcus</t>
  </si>
  <si>
    <t>&lt;http://purl.obolibrary.org/obo/DHBA_146034812&gt;</t>
  </si>
  <si>
    <t>&lt;http://purl.obolibrary.org/obo/HBA_9390&gt;</t>
  </si>
  <si>
    <t>&lt;http://purl.obolibrary.org/obo/UBERON_0013606&gt;</t>
  </si>
  <si>
    <t>magnocellular layer of DLG</t>
  </si>
  <si>
    <t>&lt;http://purl.obolibrary.org/obo/DHBA_10431&gt;</t>
  </si>
  <si>
    <t>dorsal lateral geniculate nucleus, magnocellular layers</t>
  </si>
  <si>
    <t>&lt;http://purl.obolibrary.org/obo/PBA_128013078&gt;</t>
  </si>
  <si>
    <t>&lt;http://purl.obolibrary.org/obo/UBERON_0002759&gt;</t>
  </si>
  <si>
    <t>magnocellular (medial) nucleus</t>
  </si>
  <si>
    <t>&lt;http://purl.obolibrary.org/obo/DHBA_10439&gt;</t>
  </si>
  <si>
    <t>magnocellular nucleus of the medial geniculate complex, left</t>
  </si>
  <si>
    <t>&lt;http://purl.obolibrary.org/obo/HBA_4448&gt;</t>
  </si>
  <si>
    <t>&lt;http://purl.obolibrary.org/obo/UBERON_0007627&gt;</t>
  </si>
  <si>
    <t>bed nuclei of the stria terminalis, anterior division, magnocellular nucleus</t>
  </si>
  <si>
    <t>&lt;http://purl.obolibrary.org/obo/MBA_521&gt;</t>
  </si>
  <si>
    <t>&lt;http://purl.obolibrary.org/obo/UBERON_0002647&gt;</t>
  </si>
  <si>
    <t>magnocellular (medial) division of MD</t>
  </si>
  <si>
    <t>&lt;http://purl.obolibrary.org/obo/DHBA_10400&gt;</t>
  </si>
  <si>
    <t>mediodorsal nucleus of the thalamus, left, magnocellular division</t>
  </si>
  <si>
    <t>&lt;http://purl.obolibrary.org/obo/HBA_4403&gt;</t>
  </si>
  <si>
    <t>mediodorsal nucleus of the thalamus, medial part</t>
  </si>
  <si>
    <t>&lt;http://purl.obolibrary.org/obo/MBA_636&gt;</t>
  </si>
  <si>
    <t>&lt;http://purl.obolibrary.org/obo/UBERON_0002936&gt;</t>
  </si>
  <si>
    <t>red nucleus, magnocellular part</t>
  </si>
  <si>
    <t>&lt;http://purl.obolibrary.org/obo/DHBA_12249&gt;</t>
  </si>
  <si>
    <t>&lt;http://purl.obolibrary.org/obo/DMBA_16737&gt;</t>
  </si>
  <si>
    <t>magnocellular part of the red nucleus, left</t>
  </si>
  <si>
    <t>&lt;http://purl.obolibrary.org/obo/HBA_9055&gt;</t>
  </si>
  <si>
    <t>&lt;http://purl.obolibrary.org/obo/UBERON_0002935&gt;</t>
  </si>
  <si>
    <t>magnocellular division of VA</t>
  </si>
  <si>
    <t>&lt;http://purl.obolibrary.org/obo/DHBA_10419&gt;</t>
  </si>
  <si>
    <t>ventral anterior nucleus of the thalamus, left, magnocellular division</t>
  </si>
  <si>
    <t>&lt;http://purl.obolibrary.org/obo/HBA_4420&gt;</t>
  </si>
  <si>
    <t>&lt;http://purl.obolibrary.org/obo/UBERON_0009951&gt;</t>
  </si>
  <si>
    <t>main olfactory bulb</t>
  </si>
  <si>
    <t>&lt;http://purl.obolibrary.org/obo/MBA_507&gt;</t>
  </si>
  <si>
    <t>&lt;http://purl.obolibrary.org/obo/UBERON_0002206&gt;</t>
  </si>
  <si>
    <t>mammillary body</t>
  </si>
  <si>
    <t>&lt;http://purl.obolibrary.org/obo/DHBA_15546&gt;</t>
  </si>
  <si>
    <t>mammillary area</t>
  </si>
  <si>
    <t>&lt;http://purl.obolibrary.org/obo/DMBA_15723&gt;</t>
  </si>
  <si>
    <t>&lt;http://purl.obolibrary.org/obo/HBA_12909&gt;</t>
  </si>
  <si>
    <t>&lt;http://purl.obolibrary.org/obo/MBA_331&gt;</t>
  </si>
  <si>
    <t>&lt;http://purl.obolibrary.org/obo/UBERON_0002720&gt;</t>
  </si>
  <si>
    <t>mammillary peduncle</t>
  </si>
  <si>
    <t>&lt;http://purl.obolibrary.org/obo/DHBA_266441609&gt;</t>
  </si>
  <si>
    <t>&lt;http://purl.obolibrary.org/obo/DMBA_17780&gt;</t>
  </si>
  <si>
    <t>&lt;http://purl.obolibrary.org/obo/HBA_265505166&gt;</t>
  </si>
  <si>
    <t>&lt;http://purl.obolibrary.org/obo/MBA_673&gt;</t>
  </si>
  <si>
    <t>&lt;http://purl.obolibrary.org/obo/UBERON_0002723&gt;</t>
  </si>
  <si>
    <t>principal mammillary tract</t>
  </si>
  <si>
    <t>&lt;http://purl.obolibrary.org/obo/MBA_753&gt;</t>
  </si>
  <si>
    <t>&lt;http://purl.obolibrary.org/obo/UBERON_0006698&gt;</t>
  </si>
  <si>
    <t>mammillotegmental tract</t>
  </si>
  <si>
    <t>&lt;http://purl.obolibrary.org/obo/DHBA_12065&gt;</t>
  </si>
  <si>
    <t>&lt;http://purl.obolibrary.org/obo/DMBA_17781&gt;</t>
  </si>
  <si>
    <t>&lt;http://purl.obolibrary.org/obo/HBA_265505178&gt;</t>
  </si>
  <si>
    <t>&lt;http://purl.obolibrary.org/obo/MBA_681&gt;</t>
  </si>
  <si>
    <t>&lt;http://purl.obolibrary.org/obo/UBERON_0006696&gt;</t>
  </si>
  <si>
    <t>mammillothalamic tract</t>
  </si>
  <si>
    <t>&lt;http://purl.obolibrary.org/obo/DHBA_10586&gt;</t>
  </si>
  <si>
    <t>&lt;http://purl.obolibrary.org/obo/DMBA_17782&gt;</t>
  </si>
  <si>
    <t>&lt;http://purl.obolibrary.org/obo/HBA_9266&gt;</t>
  </si>
  <si>
    <t>&lt;http://purl.obolibrary.org/obo/UBERON_0002159&gt;</t>
  </si>
  <si>
    <t>inferior olive, medial nucleus</t>
  </si>
  <si>
    <t>&lt;http://purl.obolibrary.org/obo/DHBA_12605&gt;</t>
  </si>
  <si>
    <t>medial accessory inferior olivary nucleus, left</t>
  </si>
  <si>
    <t>&lt;http://purl.obolibrary.org/obo/HBA_9563&gt;</t>
  </si>
  <si>
    <t>&lt;http://purl.obolibrary.org/obo/UBERON_0013601&gt;</t>
  </si>
  <si>
    <t>&lt;http://purl.obolibrary.org/obo/UBERON_0002892&gt;</t>
  </si>
  <si>
    <t>&lt;http://purl.obolibrary.org/obo/UBERON_0002739&gt;</t>
  </si>
  <si>
    <t>&lt;http://purl.obolibrary.org/obo/DHBA_10398&gt;</t>
  </si>
  <si>
    <t>mediodorsal nucleus of the thalamus, left</t>
  </si>
  <si>
    <t>&lt;http://purl.obolibrary.org/obo/HBA_4401&gt;</t>
  </si>
  <si>
    <t>&lt;http://purl.obolibrary.org/obo/UBERON_0007224&gt;</t>
  </si>
  <si>
    <t>medial (posterior) entorhinal cortex</t>
  </si>
  <si>
    <t>&lt;http://purl.obolibrary.org/obo/DHBA_10319&gt;</t>
  </si>
  <si>
    <t>medial (posterior) entorhinal cortex (MEC)</t>
  </si>
  <si>
    <t>&lt;http://purl.obolibrary.org/obo/PBA_128011936&gt;</t>
  </si>
  <si>
    <t>&lt;http://purl.obolibrary.org/obo/UBERON_0001910&gt;</t>
  </si>
  <si>
    <t>&lt;http://purl.obolibrary.org/obo/MBA_54&gt;</t>
  </si>
  <si>
    <t>&lt;http://purl.obolibrary.org/obo/UBERON_0004024&gt;</t>
  </si>
  <si>
    <t>medial ganglionic eminence</t>
  </si>
  <si>
    <t>&lt;http://purl.obolibrary.org/obo/DHBA_10550&gt;</t>
  </si>
  <si>
    <t>&lt;http://purl.obolibrary.org/obo/PBA_128012834&gt;</t>
  </si>
  <si>
    <t>&lt;http://purl.obolibrary.org/obo/UBERON_0001927&gt;</t>
  </si>
  <si>
    <t>medial geniculate nuclei</t>
  </si>
  <si>
    <t>&lt;http://purl.obolibrary.org/obo/DHBA_10434&gt;</t>
  </si>
  <si>
    <t>medial geniculate nucleus</t>
  </si>
  <si>
    <t>&lt;http://purl.obolibrary.org/obo/DMBA_16462&gt;</t>
  </si>
  <si>
    <t>medial geniculate complex</t>
  </si>
  <si>
    <t>&lt;http://purl.obolibrary.org/obo/HBA_12926&gt;</t>
  </si>
  <si>
    <t>&lt;http://purl.obolibrary.org/obo/MBA_475&gt;</t>
  </si>
  <si>
    <t>&lt;http://purl.obolibrary.org/obo/UBERON_0002477&gt;</t>
  </si>
  <si>
    <t>internal segment of globus pallidus</t>
  </si>
  <si>
    <t>&lt;http://purl.obolibrary.org/obo/DHBA_10344&gt;</t>
  </si>
  <si>
    <t>internal globus pallidus</t>
  </si>
  <si>
    <t>&lt;http://purl.obolibrary.org/obo/DMBA_15830&gt;</t>
  </si>
  <si>
    <t>globus pallidus, internal segment</t>
  </si>
  <si>
    <t>&lt;http://purl.obolibrary.org/obo/HBA_12898&gt;</t>
  </si>
  <si>
    <t>&lt;http://purl.obolibrary.org/obo/MBA_1031&gt;</t>
  </si>
  <si>
    <t>&lt;http://purl.obolibrary.org/obo/PBA_10098&gt;</t>
  </si>
  <si>
    <t>&lt;http://purl.obolibrary.org/obo/UBERON_0001942&gt;</t>
  </si>
  <si>
    <t>&lt;http://purl.obolibrary.org/obo/DHBA_10456&gt;</t>
  </si>
  <si>
    <t>medial habenular nucleus, left</t>
  </si>
  <si>
    <t>&lt;http://purl.obolibrary.org/obo/HBA_4523&gt;</t>
  </si>
  <si>
    <t>&lt;http://purl.obolibrary.org/obo/UBERON_0003002&gt;</t>
  </si>
  <si>
    <t>medial lemniscus</t>
  </si>
  <si>
    <t>&lt;http://purl.obolibrary.org/obo/DHBA_12763&gt;</t>
  </si>
  <si>
    <t>&lt;http://purl.obolibrary.org/obo/DMBA_17776&gt;</t>
  </si>
  <si>
    <t>medial lemniscus, Right</t>
  </si>
  <si>
    <t>&lt;http://purl.obolibrary.org/obo/HBA_12961&gt;</t>
  </si>
  <si>
    <t>&lt;http://purl.obolibrary.org/obo/MBA_697&gt;</t>
  </si>
  <si>
    <t>&lt;http://purl.obolibrary.org/obo/UBERON_0002309&gt;</t>
  </si>
  <si>
    <t>medial longitudinal fasciculus</t>
  </si>
  <si>
    <t>&lt;http://purl.obolibrary.org/obo/DHBA_12764&gt;</t>
  </si>
  <si>
    <t>medial longitudinal fasciculus, Right</t>
  </si>
  <si>
    <t>&lt;http://purl.obolibrary.org/obo/HBA_9351&gt;</t>
  </si>
  <si>
    <t>medial longitudinal fascicle</t>
  </si>
  <si>
    <t>&lt;http://purl.obolibrary.org/obo/MBA_62&gt;</t>
  </si>
  <si>
    <t>&lt;http://purl.obolibrary.org/obo/UBERON_0022234&gt;</t>
  </si>
  <si>
    <t>medial longitudinal stria</t>
  </si>
  <si>
    <t>&lt;http://purl.obolibrary.org/obo/DHBA_12066&gt;</t>
  </si>
  <si>
    <t>&lt;http://purl.obolibrary.org/obo/HBA_265505202&gt;</t>
  </si>
  <si>
    <t>&lt;http://purl.obolibrary.org/obo/UBERON_0001939&gt;</t>
  </si>
  <si>
    <t>&lt;http://purl.obolibrary.org/obo/DHBA_10499&gt;</t>
  </si>
  <si>
    <t>medial mammillary nucleus, left</t>
  </si>
  <si>
    <t>&lt;http://purl.obolibrary.org/obo/HBA_4672&gt;</t>
  </si>
  <si>
    <t>&lt;http://purl.obolibrary.org/obo/UBERON_0002727&gt;</t>
  </si>
  <si>
    <t>internal medullary lamina of globus pallidus</t>
  </si>
  <si>
    <t>&lt;http://purl.obolibrary.org/obo/DHBA_12062&gt;</t>
  </si>
  <si>
    <t>&lt;http://purl.obolibrary.org/obo/HBA_265505122&gt;</t>
  </si>
  <si>
    <t>&lt;http://purl.obolibrary.org/obo/UBERON_0009052&gt;</t>
  </si>
  <si>
    <t>nucleus of the solitary tract, medial part</t>
  </si>
  <si>
    <t>&lt;http://purl.obolibrary.org/obo/MBA_691&gt;</t>
  </si>
  <si>
    <t>&lt;http://purl.obolibrary.org/obo/UBERON_0034895&gt;</t>
  </si>
  <si>
    <t>medial subdivision of BNST</t>
  </si>
  <si>
    <t>&lt;http://purl.obolibrary.org/obo/DHBA_10385&gt;</t>
  </si>
  <si>
    <t>&lt;http://purl.obolibrary.org/obo/UBERON_0002833&gt;</t>
  </si>
  <si>
    <t>medial nucleus of trapezoid body</t>
  </si>
  <si>
    <t>&lt;http://purl.obolibrary.org/obo/DHBA_12460&gt;</t>
  </si>
  <si>
    <t>&lt;http://purl.obolibrary.org/obo/UBERON_0002975&gt;</t>
  </si>
  <si>
    <t>medial oculomotor nucleus</t>
  </si>
  <si>
    <t>&lt;http://purl.obolibrary.org/obo/DHBA_12204&gt;</t>
  </si>
  <si>
    <t>medial oculomotor nucleus, left</t>
  </si>
  <si>
    <t>&lt;http://purl.obolibrary.org/obo/HBA_9037&gt;</t>
  </si>
  <si>
    <t>&lt;http://purl.obolibrary.org/obo/UBERON_0034734&gt;</t>
  </si>
  <si>
    <t>medial olfactory stria</t>
  </si>
  <si>
    <t>&lt;http://purl.obolibrary.org/obo/DHBA_12076&gt;</t>
  </si>
  <si>
    <t>medial olfactory tract, left</t>
  </si>
  <si>
    <t>&lt;http://purl.obolibrary.org/obo/HBA_265505518&gt;</t>
  </si>
  <si>
    <t>&lt;http://purl.obolibrary.org/obo/UBERON_0002570&gt;</t>
  </si>
  <si>
    <t>medial orbital gyrus</t>
  </si>
  <si>
    <t>&lt;http://purl.obolibrary.org/obo/DHBA_12122&gt;</t>
  </si>
  <si>
    <t>&lt;http://purl.obolibrary.org/obo/HBA_4050&gt;</t>
  </si>
  <si>
    <t>&lt;http://purl.obolibrary.org/obo/UBERON_0002918&gt;</t>
  </si>
  <si>
    <t>medial parabrachial nucleus</t>
  </si>
  <si>
    <t>&lt;http://purl.obolibrary.org/obo/DHBA_12487&gt;</t>
  </si>
  <si>
    <t>&lt;http://purl.obolibrary.org/obo/DMBA_16850&gt;</t>
  </si>
  <si>
    <t>medial parabrachial nucleus,right</t>
  </si>
  <si>
    <t>&lt;http://purl.obolibrary.org/obo/HBA_9153&gt;</t>
  </si>
  <si>
    <t>parabrachial nucleus, medial division</t>
  </si>
  <si>
    <t>&lt;http://purl.obolibrary.org/obo/MBA_890&gt;</t>
  </si>
  <si>
    <t>&lt;http://purl.obolibrary.org/obo/UBERON_0002889&gt;</t>
  </si>
  <si>
    <t>basomedial amygdaloid nucleus, anterior part</t>
  </si>
  <si>
    <t>&lt;http://purl.obolibrary.org/obo/DMBA_15947&gt;</t>
  </si>
  <si>
    <t>basomedial amygdalar nucleus</t>
  </si>
  <si>
    <t>&lt;http://purl.obolibrary.org/obo/MBA_319&gt;</t>
  </si>
  <si>
    <t>&lt;http://purl.obolibrary.org/obo/UBERON_0002632&gt;</t>
  </si>
  <si>
    <t>medial part of medial mammillary nucleus</t>
  </si>
  <si>
    <t>&lt;http://purl.obolibrary.org/obo/DHBA_10501&gt;</t>
  </si>
  <si>
    <t>medial part of MM</t>
  </si>
  <si>
    <t>&lt;http://purl.obolibrary.org/obo/DMBA_15730&gt;</t>
  </si>
  <si>
    <t>medial mammillary nucleus, median part</t>
  </si>
  <si>
    <t>&lt;http://purl.obolibrary.org/obo/MBA_732&gt;</t>
  </si>
  <si>
    <t>&lt;http://purl.obolibrary.org/obo/UBERON_0002614&gt;</t>
  </si>
  <si>
    <t>ventral medial nucleus of thalamus</t>
  </si>
  <si>
    <t>&lt;http://purl.obolibrary.org/obo/DHBA_10427&gt;</t>
  </si>
  <si>
    <t>ventral medial nucleus of the thalamus, left</t>
  </si>
  <si>
    <t>&lt;http://purl.obolibrary.org/obo/HBA_4421&gt;</t>
  </si>
  <si>
    <t>ventral medial nucleus of the thalamus</t>
  </si>
  <si>
    <t>&lt;http://purl.obolibrary.org/obo/MBA_685&gt;</t>
  </si>
  <si>
    <t>&lt;http://purl.obolibrary.org/obo/UBERON_0002875&gt;</t>
  </si>
  <si>
    <t>medial pericuneate nucleus</t>
  </si>
  <si>
    <t>&lt;http://purl.obolibrary.org/obo/DHBA_12527&gt;</t>
  </si>
  <si>
    <t>&lt;http://purl.obolibrary.org/obo/HBA_9584&gt;</t>
  </si>
  <si>
    <t>&lt;http://purl.obolibrary.org/obo/UBERON_0002035&gt;</t>
  </si>
  <si>
    <t>&lt;http://purl.obolibrary.org/obo/DHBA_10470&gt;</t>
  </si>
  <si>
    <t>medial preoptic nucleus, left</t>
  </si>
  <si>
    <t>&lt;http://purl.obolibrary.org/obo/HBA_4544&gt;</t>
  </si>
  <si>
    <t>&lt;http://purl.obolibrary.org/obo/UBERON_0007769&gt;</t>
  </si>
  <si>
    <t>medial preoptic area</t>
  </si>
  <si>
    <t>&lt;http://purl.obolibrary.org/obo/DHBA_266441547&gt;</t>
  </si>
  <si>
    <t>medial preoptic area, left</t>
  </si>
  <si>
    <t>&lt;http://purl.obolibrary.org/obo/HBA_4543&gt;</t>
  </si>
  <si>
    <t>&lt;http://purl.obolibrary.org/obo/MBA_523&gt;</t>
  </si>
  <si>
    <t>&lt;http://purl.obolibrary.org/obo/UBERON_0034910&gt;</t>
  </si>
  <si>
    <t>&lt;http://purl.obolibrary.org/obo/DHBA_12184&gt;</t>
  </si>
  <si>
    <t>&lt;http://purl.obolibrary.org/obo/UBERON_0002638&gt;</t>
  </si>
  <si>
    <t>medial nucleus of pulvinar</t>
  </si>
  <si>
    <t>&lt;http://purl.obolibrary.org/obo/DHBA_10411&gt;</t>
  </si>
  <si>
    <t>medial nucleus of the pulvinar, left</t>
  </si>
  <si>
    <t>&lt;http://purl.obolibrary.org/obo/HBA_4412&gt;</t>
  </si>
  <si>
    <t>&lt;http://purl.obolibrary.org/obo/UBERON_0007629&gt;</t>
  </si>
  <si>
    <t>medial septal complex</t>
  </si>
  <si>
    <t>&lt;http://purl.obolibrary.org/obo/MBA_904&gt;</t>
  </si>
  <si>
    <t>&lt;http://purl.obolibrary.org/obo/UBERON_0001877&gt;</t>
  </si>
  <si>
    <t>medial septal nucleus</t>
  </si>
  <si>
    <t>&lt;http://purl.obolibrary.org/obo/DHBA_10351&gt;</t>
  </si>
  <si>
    <t>&lt;http://purl.obolibrary.org/obo/DMBA_15764&gt;</t>
  </si>
  <si>
    <t>medial septal nucleus, left</t>
  </si>
  <si>
    <t>&lt;http://purl.obolibrary.org/obo/HBA_4302&gt;</t>
  </si>
  <si>
    <t>&lt;http://purl.obolibrary.org/obo/MBA_564&gt;</t>
  </si>
  <si>
    <t>&lt;http://purl.obolibrary.org/obo/UBERON_0023390&gt;</t>
  </si>
  <si>
    <t>solitary nucleus, left, meidal subnucleus</t>
  </si>
  <si>
    <t>&lt;http://purl.obolibrary.org/obo/HBA_9661&gt;</t>
  </si>
  <si>
    <t>&lt;http://purl.obolibrary.org/obo/UBERON_0002782&gt;</t>
  </si>
  <si>
    <t>medial superior olive</t>
  </si>
  <si>
    <t>&lt;http://purl.obolibrary.org/obo/DHBA_12470&gt;</t>
  </si>
  <si>
    <t>&lt;http://purl.obolibrary.org/obo/DMBA_17262&gt;</t>
  </si>
  <si>
    <t>medial superior olivary nucleus, left</t>
  </si>
  <si>
    <t>&lt;http://purl.obolibrary.org/obo/HBA_9184&gt;</t>
  </si>
  <si>
    <t>superior olivary complex, medial part</t>
  </si>
  <si>
    <t>&lt;http://purl.obolibrary.org/obo/MBA_105&gt;</t>
  </si>
  <si>
    <t>&lt;http://purl.obolibrary.org/obo/UBERON_0001722&gt;</t>
  </si>
  <si>
    <t>medial vestibular nucleus</t>
  </si>
  <si>
    <t>&lt;http://purl.obolibrary.org/obo/DHBA_12581&gt;</t>
  </si>
  <si>
    <t>medial vestibular nucleus, left</t>
  </si>
  <si>
    <t>&lt;http://purl.obolibrary.org/obo/HBA_9700&gt;</t>
  </si>
  <si>
    <t>&lt;http://purl.obolibrary.org/obo/MBA_202&gt;</t>
  </si>
  <si>
    <t>medial nucleus</t>
  </si>
  <si>
    <t>&lt;http://purl.obolibrary.org/obo/PBA_10125&gt;</t>
  </si>
  <si>
    <t>&lt;http://purl.obolibrary.org/obo/UBERON_0002272&gt;</t>
  </si>
  <si>
    <t>hypothalamic medial zone</t>
  </si>
  <si>
    <t>&lt;http://purl.obolibrary.org/obo/MBA_467&gt;</t>
  </si>
  <si>
    <t>&lt;http://purl.obolibrary.org/obo/UBERON_0002197&gt;</t>
  </si>
  <si>
    <t>median eminence</t>
  </si>
  <si>
    <t>&lt;http://purl.obolibrary.org/obo/DHBA_13338&gt;</t>
  </si>
  <si>
    <t>&lt;http://purl.obolibrary.org/obo/DMBA_15689&gt;</t>
  </si>
  <si>
    <t>&lt;http://purl.obolibrary.org/obo/HBA_12916&gt;</t>
  </si>
  <si>
    <t>&lt;http://purl.obolibrary.org/obo/MBA_10671&gt;</t>
  </si>
  <si>
    <t>&lt;http://purl.obolibrary.org/obo/UBERON_0002625&gt;</t>
  </si>
  <si>
    <t>&lt;http://purl.obolibrary.org/obo/UBERON_0003004&gt;</t>
  </si>
  <si>
    <t>median raphe nucleus</t>
  </si>
  <si>
    <t>&lt;http://purl.obolibrary.org/obo/DHBA_12235&gt;</t>
  </si>
  <si>
    <t>&lt;http://purl.obolibrary.org/obo/UBERON_0001896&gt;</t>
  </si>
  <si>
    <t>medullary hindbrain (medulla)</t>
  </si>
  <si>
    <t>&lt;http://purl.obolibrary.org/obo/DMBA_17352&gt;</t>
  </si>
  <si>
    <t>medulla</t>
  </si>
  <si>
    <t>&lt;http://purl.obolibrary.org/obo/MBA_354&gt;</t>
  </si>
  <si>
    <t>&lt;http://purl.obolibrary.org/obo/UBERON_0002692&gt;</t>
  </si>
  <si>
    <t>raphe nuclei of medulla</t>
  </si>
  <si>
    <t>&lt;http://purl.obolibrary.org/obo/HBA_9642&gt;</t>
  </si>
  <si>
    <t>&lt;http://purl.obolibrary.org/obo/UBERON_0002559&gt;</t>
  </si>
  <si>
    <t>medullary reticular formation</t>
  </si>
  <si>
    <t>&lt;http://purl.obolibrary.org/obo/DHBA_12616&gt;</t>
  </si>
  <si>
    <t>&lt;http://purl.obolibrary.org/obo/HBA_9587&gt;</t>
  </si>
  <si>
    <t>medullary reticular nucleus</t>
  </si>
  <si>
    <t>&lt;http://purl.obolibrary.org/obo/MBA_395&gt;</t>
  </si>
  <si>
    <t>&lt;http://purl.obolibrary.org/obo/UBERON_0001718&gt;</t>
  </si>
  <si>
    <t>midbrain trigeminal nucleus</t>
  </si>
  <si>
    <t>&lt;http://purl.obolibrary.org/obo/MBA_460&gt;</t>
  </si>
  <si>
    <t>&lt;http://purl.obolibrary.org/obo/UBERON_0002666&gt;</t>
  </si>
  <si>
    <t>mesencephalic trigeminal tract</t>
  </si>
  <si>
    <t>&lt;http://purl.obolibrary.org/obo/DHBA_12767&gt;</t>
  </si>
  <si>
    <t>&lt;http://purl.obolibrary.org/obo/HBA_265505458&gt;</t>
  </si>
  <si>
    <t>midbrain tract of the trigeminal nerve</t>
  </si>
  <si>
    <t>&lt;http://purl.obolibrary.org/obo/MBA_705&gt;</t>
  </si>
  <si>
    <t>&lt;http://purl.obolibrary.org/obo/UBERON_0019272&gt;</t>
  </si>
  <si>
    <t>mesomere 1</t>
  </si>
  <si>
    <t>&lt;http://purl.obolibrary.org/obo/DHBA_12316&gt;</t>
  </si>
  <si>
    <t>&lt;http://purl.obolibrary.org/obo/DMBA_16650&gt;</t>
  </si>
  <si>
    <t>&lt;http://purl.obolibrary.org/obo/UBERON_0019274&gt;</t>
  </si>
  <si>
    <t>mesomere 2</t>
  </si>
  <si>
    <t>&lt;http://purl.obolibrary.org/obo/DHBA_12317&gt;</t>
  </si>
  <si>
    <t>mesomere 2 (preisthmus or caudal midbrain)</t>
  </si>
  <si>
    <t>&lt;http://purl.obolibrary.org/obo/DMBA_16751&gt;</t>
  </si>
  <si>
    <t>&lt;http://purl.obolibrary.org/obo/UBERON_0002704&gt;</t>
  </si>
  <si>
    <t>&lt;http://purl.obolibrary.org/obo/UBERON_0001895&gt;</t>
  </si>
  <si>
    <t>metencephalon</t>
  </si>
  <si>
    <t>&lt;http://purl.obolibrary.org/obo/DHBA_10655&gt;</t>
  </si>
  <si>
    <t>&lt;http://purl.obolibrary.org/obo/HBA_4833&gt;</t>
  </si>
  <si>
    <t>&lt;http://purl.obolibrary.org/obo/UBERON_0001891&gt;</t>
  </si>
  <si>
    <t>midbrain (mesencephalon)</t>
  </si>
  <si>
    <t>&lt;http://purl.obolibrary.org/obo/DHBA_10648&gt;</t>
  </si>
  <si>
    <t>midbrain</t>
  </si>
  <si>
    <t>&lt;http://purl.obolibrary.org/obo/DMBA_16649&gt;</t>
  </si>
  <si>
    <t>mesencephalon</t>
  </si>
  <si>
    <t>&lt;http://purl.obolibrary.org/obo/HBA_9001&gt;</t>
  </si>
  <si>
    <t>&lt;http://purl.obolibrary.org/obo/MBA_313&gt;</t>
  </si>
  <si>
    <t>&lt;http://purl.obolibrary.org/obo/UBERON_0010285&gt;</t>
  </si>
  <si>
    <t>basal plate of midbrain</t>
  </si>
  <si>
    <t>&lt;http://purl.obolibrary.org/obo/DHBA_12322&gt;</t>
  </si>
  <si>
    <t>&lt;http://purl.obolibrary.org/obo/UBERON_0002289&gt;</t>
  </si>
  <si>
    <t>ventricle of midbrain</t>
  </si>
  <si>
    <t>&lt;http://purl.obolibrary.org/obo/DHBA_10651&gt;</t>
  </si>
  <si>
    <t>cerebral aqueduct</t>
  </si>
  <si>
    <t>&lt;http://purl.obolibrary.org/obo/DHBA_12369&gt;</t>
  </si>
  <si>
    <t>ventricles, midbrain</t>
  </si>
  <si>
    <t>&lt;http://purl.obolibrary.org/obo/DMBA_126651722&gt;</t>
  </si>
  <si>
    <t>cerebral aquaduct</t>
  </si>
  <si>
    <t>&lt;http://purl.obolibrary.org/obo/HBA_265505702&gt;</t>
  </si>
  <si>
    <t>&lt;http://purl.obolibrary.org/obo/MBA_140&gt;</t>
  </si>
  <si>
    <t>&lt;http://purl.obolibrary.org/obo/UBERON_0009661&gt;</t>
  </si>
  <si>
    <t>pretectal nuclear complex</t>
  </si>
  <si>
    <t>&lt;http://purl.obolibrary.org/obo/DHBA_12182&gt;</t>
  </si>
  <si>
    <t>nucleus of the pretectal area</t>
  </si>
  <si>
    <t>&lt;http://purl.obolibrary.org/obo/HBA_9083&gt;</t>
  </si>
  <si>
    <t>&lt;http://purl.obolibrary.org/obo/UBERON_0007412&gt;</t>
  </si>
  <si>
    <t>midbrain raphe nuclei</t>
  </si>
  <si>
    <t>&lt;http://purl.obolibrary.org/obo/DHBA_12222&gt;</t>
  </si>
  <si>
    <t>&lt;http://purl.obolibrary.org/obo/HBA_9455&gt;</t>
  </si>
  <si>
    <t>&lt;http://purl.obolibrary.org/obo/MBA_165&gt;</t>
  </si>
  <si>
    <t>&lt;http://purl.obolibrary.org/obo/UBERON_0002639&gt;</t>
  </si>
  <si>
    <t>midbrain reticular formation</t>
  </si>
  <si>
    <t>&lt;http://purl.obolibrary.org/obo/DHBA_12239&gt;</t>
  </si>
  <si>
    <t>&lt;http://purl.obolibrary.org/obo/HBA_9018&gt;</t>
  </si>
  <si>
    <t>&lt;http://purl.obolibrary.org/obo/UBERON_0002314&gt;</t>
  </si>
  <si>
    <t>midbrain tectum</t>
  </si>
  <si>
    <t>&lt;http://purl.obolibrary.org/obo/DHBA_12291&gt;</t>
  </si>
  <si>
    <t>&lt;http://purl.obolibrary.org/obo/HBA_9101&gt;</t>
  </si>
  <si>
    <t>&lt;http://purl.obolibrary.org/obo/UBERON_0001943&gt;</t>
  </si>
  <si>
    <t>midbrain tegmentum</t>
  </si>
  <si>
    <t>&lt;http://purl.obolibrary.org/obo/DHBA_12195&gt;</t>
  </si>
  <si>
    <t>&lt;http://purl.obolibrary.org/obo/HBA_9002&gt;</t>
  </si>
  <si>
    <t>&lt;http://purl.obolibrary.org/obo/UBERON_0003052&gt;</t>
  </si>
  <si>
    <t>isthmus</t>
  </si>
  <si>
    <t>&lt;http://purl.obolibrary.org/obo/DMBA_16810&gt;</t>
  </si>
  <si>
    <t>&lt;http://purl.obolibrary.org/obo/UBERON_0002152&gt;</t>
  </si>
  <si>
    <t>middle cerebellar peduncle</t>
  </si>
  <si>
    <t>&lt;http://purl.obolibrary.org/obo/DHBA_12768&gt;</t>
  </si>
  <si>
    <t>middle cerebellar peduncle, Right</t>
  </si>
  <si>
    <t>&lt;http://purl.obolibrary.org/obo/HBA_9294&gt;</t>
  </si>
  <si>
    <t>&lt;http://purl.obolibrary.org/obo/MBA_78&gt;</t>
  </si>
  <si>
    <t>&lt;http://purl.obolibrary.org/obo/UBERON_0002702&gt;</t>
  </si>
  <si>
    <t>middle frontal gyrus</t>
  </si>
  <si>
    <t>&lt;http://purl.obolibrary.org/obo/DHBA_12116&gt;</t>
  </si>
  <si>
    <t>&lt;http://purl.obolibrary.org/obo/HBA_4028&gt;</t>
  </si>
  <si>
    <t>&lt;http://purl.obolibrary.org/obo/UBERON_0014618&gt;</t>
  </si>
  <si>
    <t>medial frontal sulcus</t>
  </si>
  <si>
    <t>&lt;http://purl.obolibrary.org/obo/DHBA_146034816&gt;</t>
  </si>
  <si>
    <t>&lt;http://purl.obolibrary.org/obo/HBA_9359&gt;</t>
  </si>
  <si>
    <t>&lt;http://purl.obolibrary.org/obo/UBERON_0006788&gt;</t>
  </si>
  <si>
    <t>intermediate gray layer of superior colliculus</t>
  </si>
  <si>
    <t>&lt;http://purl.obolibrary.org/obo/DHBA_12299&gt;</t>
  </si>
  <si>
    <t>middle gray layer of the superior colliculus, left</t>
  </si>
  <si>
    <t>&lt;http://purl.obolibrary.org/obo/HBA_9119&gt;</t>
  </si>
  <si>
    <t>&lt;http://purl.obolibrary.org/obo/UBERON_0002771&gt;</t>
  </si>
  <si>
    <t>middle temporal gyrus</t>
  </si>
  <si>
    <t>&lt;http://purl.obolibrary.org/obo/DHBA_12141&gt;</t>
  </si>
  <si>
    <t>&lt;http://purl.obolibrary.org/obo/HBA_4140&gt;</t>
  </si>
  <si>
    <t>&lt;http://purl.obolibrary.org/obo/UBERON_0014689&gt;</t>
  </si>
  <si>
    <t>middle temporal sulcus</t>
  </si>
  <si>
    <t>&lt;http://purl.obolibrary.org/obo/HBA_10150&gt;</t>
  </si>
  <si>
    <t>&lt;http://purl.obolibrary.org/obo/UBERON_0006787&gt;</t>
  </si>
  <si>
    <t>intermediate white layer of superior colliculus</t>
  </si>
  <si>
    <t>&lt;http://purl.obolibrary.org/obo/DHBA_12300&gt;</t>
  </si>
  <si>
    <t>middle white layer of the superior colliculus, left</t>
  </si>
  <si>
    <t>&lt;http://purl.obolibrary.org/obo/HBA_9120&gt;</t>
  </si>
  <si>
    <t>&lt;http://purl.obolibrary.org/obo/UBERON_0002705&gt;</t>
  </si>
  <si>
    <t>&lt;http://purl.obolibrary.org/obo/UBERON_0002974&gt;</t>
  </si>
  <si>
    <t>cerebellar cortex, molecular layer</t>
  </si>
  <si>
    <t>&lt;http://purl.obolibrary.org/obo/MBA_1144&gt;</t>
  </si>
  <si>
    <t>&lt;http://purl.obolibrary.org/obo/UBERON_0002633&gt;</t>
  </si>
  <si>
    <t>motor nucleus of trigeminal nerve</t>
  </si>
  <si>
    <t>&lt;http://purl.obolibrary.org/obo/DHBA_12429&gt;</t>
  </si>
  <si>
    <t>motor nucleus of trigeminal nerve, left</t>
  </si>
  <si>
    <t>&lt;http://purl.obolibrary.org/obo/HBA_9206&gt;</t>
  </si>
  <si>
    <t>motor nucleus of trigeminal</t>
  </si>
  <si>
    <t>&lt;http://purl.obolibrary.org/obo/MBA_621&gt;</t>
  </si>
  <si>
    <t>&lt;http://purl.obolibrary.org/obo/UBERON_0010287&gt;</t>
  </si>
  <si>
    <t>motor root of facial nerve</t>
  </si>
  <si>
    <t>&lt;http://purl.obolibrary.org/obo/DHBA_12863&gt;</t>
  </si>
  <si>
    <t>&lt;http://purl.obolibrary.org/obo/UBERON_0002796&gt;</t>
  </si>
  <si>
    <t>motor root of trigeminal nerve</t>
  </si>
  <si>
    <t>&lt;http://purl.obolibrary.org/obo/DHBA_12866&gt;</t>
  </si>
  <si>
    <t>motor root of the trigeminal nerve</t>
  </si>
  <si>
    <t>&lt;http://purl.obolibrary.org/obo/MBA_93&gt;</t>
  </si>
  <si>
    <t>&lt;http://purl.obolibrary.org/obo/UBERON_0005290&gt;</t>
  </si>
  <si>
    <t>myelencephalon (medulla oblongata)</t>
  </si>
  <si>
    <t>&lt;http://purl.obolibrary.org/obo/DHBA_10662&gt;</t>
  </si>
  <si>
    <t>myelencephalon</t>
  </si>
  <si>
    <t>&lt;http://purl.obolibrary.org/obo/HBA_9512&gt;</t>
  </si>
  <si>
    <t>&lt;http://purl.obolibrary.org/obo/UBERON_0001950&gt;</t>
  </si>
  <si>
    <t>neocortex (isocortex)</t>
  </si>
  <si>
    <t>&lt;http://purl.obolibrary.org/obo/DHBA_10160&gt;</t>
  </si>
  <si>
    <t>isocortex</t>
  </si>
  <si>
    <t>&lt;http://purl.obolibrary.org/obo/MBA_315&gt;</t>
  </si>
  <si>
    <t>neocortex</t>
  </si>
  <si>
    <t>&lt;http://purl.obolibrary.org/obo/PBA_294021746&gt;</t>
  </si>
  <si>
    <t>&lt;http://purl.obolibrary.org/obo/UBERON_0001793&gt;</t>
  </si>
  <si>
    <t>&lt;http://purl.obolibrary.org/obo/UBERON_0011779&gt;</t>
  </si>
  <si>
    <t>&lt;http://purl.obolibrary.org/obo/UBERON_0010313&gt;</t>
  </si>
  <si>
    <t>root of intermediate nerve</t>
  </si>
  <si>
    <t>&lt;http://purl.obolibrary.org/obo/DHBA_12864&gt;</t>
  </si>
  <si>
    <t>sensory root of trigeminal nerve</t>
  </si>
  <si>
    <t>&lt;http://purl.obolibrary.org/obo/DHBA_12867&gt;</t>
  </si>
  <si>
    <t>descending trigeminal tract</t>
  </si>
  <si>
    <t>&lt;http://purl.obolibrary.org/obo/DMBA_17797&gt;</t>
  </si>
  <si>
    <t>intermediate nerve</t>
  </si>
  <si>
    <t>&lt;http://purl.obolibrary.org/obo/MBA_1131&gt;</t>
  </si>
  <si>
    <t>sensory root of the trigeminal nerve</t>
  </si>
  <si>
    <t>&lt;http://purl.obolibrary.org/obo/MBA_229&gt;</t>
  </si>
  <si>
    <t>spinal tract of the trigeminal nerve</t>
  </si>
  <si>
    <t>&lt;http://purl.obolibrary.org/obo/MBA_794&gt;</t>
  </si>
  <si>
    <t>terminal nerve</t>
  </si>
  <si>
    <t>&lt;http://purl.obolibrary.org/obo/MBA_885&gt;</t>
  </si>
  <si>
    <t>&lt;http://purl.obolibrary.org/obo/UBERON_0003075&gt;</t>
  </si>
  <si>
    <t>neural plate</t>
  </si>
  <si>
    <t>&lt;http://purl.obolibrary.org/obo/DHBA_10153&gt;</t>
  </si>
  <si>
    <t>&lt;http://purl.obolibrary.org/obo/DMBA_15565&gt;</t>
  </si>
  <si>
    <t>&lt;http://purl.obolibrary.org/obo/UBERON_0001049&gt;</t>
  </si>
  <si>
    <t>neural tube</t>
  </si>
  <si>
    <t>&lt;http://purl.obolibrary.org/obo/DHBA_10154&gt;</t>
  </si>
  <si>
    <t>&lt;http://purl.obolibrary.org/obo/UBERON_0002198&gt;</t>
  </si>
  <si>
    <t>neurohypophysis</t>
  </si>
  <si>
    <t>&lt;http://purl.obolibrary.org/obo/DMBA_15691&gt;</t>
  </si>
  <si>
    <t>&lt;http://purl.obolibrary.org/obo/UBERON_0004731&gt;</t>
  </si>
  <si>
    <t>&lt;http://purl.obolibrary.org/obo/UBERON_0014169&gt;</t>
  </si>
  <si>
    <t>nigrostriatal tract</t>
  </si>
  <si>
    <t>&lt;http://purl.obolibrary.org/obo/MBA_102&gt;</t>
  </si>
  <si>
    <t>&lt;http://purl.obolibrary.org/obo/UBERON_0001882&gt;</t>
  </si>
  <si>
    <t>nucleus accumbens</t>
  </si>
  <si>
    <t>&lt;http://purl.obolibrary.org/obo/DHBA_10339&gt;</t>
  </si>
  <si>
    <t>&lt;http://purl.obolibrary.org/obo/HBA_4290&gt;</t>
  </si>
  <si>
    <t>&lt;http://purl.obolibrary.org/obo/MBA_56&gt;</t>
  </si>
  <si>
    <t>&lt;http://purl.obolibrary.org/obo/PBA_10092&gt;</t>
  </si>
  <si>
    <t>&lt;http://purl.obolibrary.org/obo/UBERON_0001719&gt;</t>
  </si>
  <si>
    <t>ambiguus nucleus</t>
  </si>
  <si>
    <t>&lt;http://purl.obolibrary.org/obo/DHBA_12540&gt;</t>
  </si>
  <si>
    <t>&lt;http://purl.obolibrary.org/obo/HBA_9516&gt;</t>
  </si>
  <si>
    <t>nucleus ambiguus</t>
  </si>
  <si>
    <t>&lt;http://purl.obolibrary.org/obo/MBA_135&gt;</t>
  </si>
  <si>
    <t>&lt;http://purl.obolibrary.org/obo/UBERON_0035973&gt;</t>
  </si>
  <si>
    <t>nucleus incertus</t>
  </si>
  <si>
    <t>&lt;http://purl.obolibrary.org/obo/DHBA_146034972&gt;</t>
  </si>
  <si>
    <t>&lt;http://purl.obolibrary.org/obo/DMBA_17084&gt;</t>
  </si>
  <si>
    <t>&lt;http://purl.obolibrary.org/obo/MBA_604&gt;</t>
  </si>
  <si>
    <t>&lt;http://purl.obolibrary.org/obo/UBERON_0002876&gt;</t>
  </si>
  <si>
    <t>intercalated nucleus of medulla</t>
  </si>
  <si>
    <t>&lt;http://purl.obolibrary.org/obo/DHBA_12612&gt;</t>
  </si>
  <si>
    <t>intercalate nucleus</t>
  </si>
  <si>
    <t>&lt;http://purl.obolibrary.org/obo/DMBA_16339&gt;</t>
  </si>
  <si>
    <t>intercalated nucleus</t>
  </si>
  <si>
    <t>&lt;http://purl.obolibrary.org/obo/HBA_9572&gt;</t>
  </si>
  <si>
    <t>nucleus intercalatus</t>
  </si>
  <si>
    <t>&lt;http://purl.obolibrary.org/obo/MBA_161&gt;</t>
  </si>
  <si>
    <t>&lt;http://purl.obolibrary.org/obo/UBERON_0002933&gt;</t>
  </si>
  <si>
    <t>bed nucleus of the anterior commissure</t>
  </si>
  <si>
    <t>&lt;http://purl.obolibrary.org/obo/DMBA_15794&gt;</t>
  </si>
  <si>
    <t>nucleus of the anterior commissure, left</t>
  </si>
  <si>
    <t>&lt;http://purl.obolibrary.org/obo/HBA_4312&gt;</t>
  </si>
  <si>
    <t>&lt;http://purl.obolibrary.org/obo/MBA_287&gt;</t>
  </si>
  <si>
    <t>&lt;http://purl.obolibrary.org/obo/UBERON_0002308&gt;</t>
  </si>
  <si>
    <t>&lt;http://purl.obolibrary.org/obo/UBERON_0001879&gt;</t>
  </si>
  <si>
    <t>nucleus of diagonal band</t>
  </si>
  <si>
    <t>&lt;http://purl.obolibrary.org/obo/DHBA_10354&gt;</t>
  </si>
  <si>
    <t>nucleus of the diagonal band, left</t>
  </si>
  <si>
    <t>&lt;http://purl.obolibrary.org/obo/HBA_4309&gt;</t>
  </si>
  <si>
    <t>diagonal band nucleus</t>
  </si>
  <si>
    <t>&lt;http://purl.obolibrary.org/obo/MBA_596&gt;</t>
  </si>
  <si>
    <t>&lt;http://purl.obolibrary.org/obo/UBERON_0015233&gt;</t>
  </si>
  <si>
    <t>subparafascicular nucleus of thalamus</t>
  </si>
  <si>
    <t>&lt;http://purl.obolibrary.org/obo/DHBA_13054&gt;</t>
  </si>
  <si>
    <t>&lt;http://purl.obolibrary.org/obo/UBERON_0006840&gt;</t>
  </si>
  <si>
    <t>&lt;http://purl.obolibrary.org/obo/UBERON_0002893&gt;</t>
  </si>
  <si>
    <t>nucleus of lateral olfactory tract</t>
  </si>
  <si>
    <t>&lt;http://purl.obolibrary.org/obo/DHBA_10309&gt;</t>
  </si>
  <si>
    <t>nucleus of the lateral olfactory tract</t>
  </si>
  <si>
    <t>&lt;http://purl.obolibrary.org/obo/DMBA_15951&gt;</t>
  </si>
  <si>
    <t>&lt;http://purl.obolibrary.org/obo/HBA_4385&gt;</t>
  </si>
  <si>
    <t>&lt;http://purl.obolibrary.org/obo/MBA_619&gt;</t>
  </si>
  <si>
    <t>&lt;http://purl.obolibrary.org/obo/UBERON_0007635&gt;</t>
  </si>
  <si>
    <t>nucleus of the trapezoid body</t>
  </si>
  <si>
    <t>&lt;http://purl.obolibrary.org/obo/MBA_642&gt;</t>
  </si>
  <si>
    <t>&lt;http://purl.obolibrary.org/obo/UBERON_0007415&gt;</t>
  </si>
  <si>
    <t>midbrain reticular nucleus</t>
  </si>
  <si>
    <t>&lt;http://purl.obolibrary.org/obo/MBA_128&gt;</t>
  </si>
  <si>
    <t>&lt;http://purl.obolibrary.org/obo/UBERON_0002996&gt;</t>
  </si>
  <si>
    <t>&lt;http://purl.obolibrary.org/obo/HBA_9080&gt;</t>
  </si>
  <si>
    <t>&lt;http://purl.obolibrary.org/obo/UBERON_0007413&gt;</t>
  </si>
  <si>
    <t>reticulotegmental nucleus</t>
  </si>
  <si>
    <t>&lt;http://purl.obolibrary.org/obo/DHBA_12414&gt;</t>
  </si>
  <si>
    <t>parabrachial nuclei</t>
  </si>
  <si>
    <t>&lt;http://purl.obolibrary.org/obo/DHBA_12481&gt;</t>
  </si>
  <si>
    <t>paramedian reticular nucleus</t>
  </si>
  <si>
    <t>&lt;http://purl.obolibrary.org/obo/DHBA_12496&gt;</t>
  </si>
  <si>
    <t>&lt;http://purl.obolibrary.org/obo/DHBA_12497&gt;</t>
  </si>
  <si>
    <t>reticulotegmental nucleus, left</t>
  </si>
  <si>
    <t>&lt;http://purl.obolibrary.org/obo/HBA_9167&gt;</t>
  </si>
  <si>
    <t>pontine reticular nucleus</t>
  </si>
  <si>
    <t>&lt;http://purl.obolibrary.org/obo/MBA_146&gt;</t>
  </si>
  <si>
    <t>&lt;http://purl.obolibrary.org/obo/UBERON_0002711&gt;</t>
  </si>
  <si>
    <t>&lt;http://purl.obolibrary.org/obo/HBA_9027&gt;</t>
  </si>
  <si>
    <t>&lt;http://purl.obolibrary.org/obo/UBERON_0009050&gt;</t>
  </si>
  <si>
    <t>solitary nucleus</t>
  </si>
  <si>
    <t>&lt;http://purl.obolibrary.org/obo/DHBA_12557&gt;</t>
  </si>
  <si>
    <t>&lt;http://purl.obolibrary.org/obo/HBA_9653&gt;</t>
  </si>
  <si>
    <t>nucleus of the solitary tract</t>
  </si>
  <si>
    <t>&lt;http://purl.obolibrary.org/obo/MBA_651&gt;</t>
  </si>
  <si>
    <t>&lt;http://purl.obolibrary.org/obo/UBERON_0007692&gt;</t>
  </si>
  <si>
    <t>&lt;http://purl.obolibrary.org/obo/UBERON_0036012&gt;</t>
  </si>
  <si>
    <t>nucleus of the brachium of the inferior colliculus</t>
  </si>
  <si>
    <t>&lt;http://purl.obolibrary.org/obo/HBA_9483&gt;</t>
  </si>
  <si>
    <t>&lt;http://purl.obolibrary.org/obo/MBA_580&gt;</t>
  </si>
  <si>
    <t>&lt;http://purl.obolibrary.org/obo/UBERON_0007633&gt;</t>
  </si>
  <si>
    <t>nucleus of trapezoid body</t>
  </si>
  <si>
    <t>&lt;http://purl.obolibrary.org/obo/DHBA_12458&gt;</t>
  </si>
  <si>
    <t>trapezoid nuclei, left</t>
  </si>
  <si>
    <t>&lt;http://purl.obolibrary.org/obo/HBA_9185&gt;</t>
  </si>
  <si>
    <t>&lt;http://purl.obolibrary.org/obo/UBERON_0015234&gt;</t>
  </si>
  <si>
    <t>ventral anterior nucleus of thalamus</t>
  </si>
  <si>
    <t>&lt;http://purl.obolibrary.org/obo/DHBA_10417&gt;</t>
  </si>
  <si>
    <t>ventral posterior lateral nucleus</t>
  </si>
  <si>
    <t>&lt;http://purl.obolibrary.org/obo/DHBA_10424&gt;</t>
  </si>
  <si>
    <t>ventral posterior medial nucleus</t>
  </si>
  <si>
    <t>&lt;http://purl.obolibrary.org/obo/DHBA_10425&gt;</t>
  </si>
  <si>
    <t>ventral posterior inferior nucleus</t>
  </si>
  <si>
    <t>&lt;http://purl.obolibrary.org/obo/DHBA_10426&gt;</t>
  </si>
  <si>
    <t>peripeduncular nucleus</t>
  </si>
  <si>
    <t>&lt;http://purl.obolibrary.org/obo/DMBA_16342&gt;</t>
  </si>
  <si>
    <t>ventral anterior nucleus of the thalamus, left</t>
  </si>
  <si>
    <t>&lt;http://purl.obolibrary.org/obo/HBA_4418&gt;</t>
  </si>
  <si>
    <t>ventral posterior medial nucleus of the thalamus, left</t>
  </si>
  <si>
    <t>&lt;http://purl.obolibrary.org/obo/HBA_4424&gt;</t>
  </si>
  <si>
    <t>ventral posterior lateral nucleus of the thalamus, left</t>
  </si>
  <si>
    <t>&lt;http://purl.obolibrary.org/obo/HBA_4425&gt;</t>
  </si>
  <si>
    <t>ventral posterior inferior nucleus of the thalamus, left</t>
  </si>
  <si>
    <t>&lt;http://purl.obolibrary.org/obo/HBA_4426&gt;</t>
  </si>
  <si>
    <t>&lt;http://purl.obolibrary.org/obo/MBA_1044&gt;</t>
  </si>
  <si>
    <t>&lt;http://purl.obolibrary.org/obo/UBERON_0002160&gt;</t>
  </si>
  <si>
    <t>prepositus hypoglossal nucleus</t>
  </si>
  <si>
    <t>&lt;http://purl.obolibrary.org/obo/DHBA_12615&gt;</t>
  </si>
  <si>
    <t>prepositus nucleus</t>
  </si>
  <si>
    <t>&lt;http://purl.obolibrary.org/obo/HBA_9639&gt;</t>
  </si>
  <si>
    <t>nucleus prepositus</t>
  </si>
  <si>
    <t>&lt;http://purl.obolibrary.org/obo/MBA_169&gt;</t>
  </si>
  <si>
    <t>&lt;http://purl.obolibrary.org/obo/UBERON_0002156&gt;</t>
  </si>
  <si>
    <t>raphe magnus nucleus</t>
  </si>
  <si>
    <t>&lt;http://purl.obolibrary.org/obo/DHBA_12642&gt;</t>
  </si>
  <si>
    <t>nucleus raphe magnus</t>
  </si>
  <si>
    <t>&lt;http://purl.obolibrary.org/obo/HBA_9643&gt;</t>
  </si>
  <si>
    <t>&lt;http://purl.obolibrary.org/obo/MBA_206&gt;</t>
  </si>
  <si>
    <t>&lt;http://purl.obolibrary.org/obo/UBERON_0002684&gt;</t>
  </si>
  <si>
    <t>raphe obscurus nucleus</t>
  </si>
  <si>
    <t>&lt;http://purl.obolibrary.org/obo/DHBA_12643&gt;</t>
  </si>
  <si>
    <t>nucleus raphe obscurus</t>
  </si>
  <si>
    <t>&lt;http://purl.obolibrary.org/obo/HBA_9646&gt;</t>
  </si>
  <si>
    <t>&lt;http://purl.obolibrary.org/obo/MBA_222&gt;</t>
  </si>
  <si>
    <t>&lt;http://purl.obolibrary.org/obo/UBERON_0002157&gt;</t>
  </si>
  <si>
    <t>raphe pallidus nucleus</t>
  </si>
  <si>
    <t>&lt;http://purl.obolibrary.org/obo/DHBA_12644&gt;</t>
  </si>
  <si>
    <t>nucleus raphe pallidus</t>
  </si>
  <si>
    <t>&lt;http://purl.obolibrary.org/obo/HBA_9649&gt;</t>
  </si>
  <si>
    <t>&lt;http://purl.obolibrary.org/obo/MBA_230&gt;</t>
  </si>
  <si>
    <t>&lt;http://purl.obolibrary.org/obo/UBERON_0002587&gt;</t>
  </si>
  <si>
    <t>&lt;http://purl.obolibrary.org/obo/UBERON_0016540&gt;</t>
  </si>
  <si>
    <t>occipital neocortex</t>
  </si>
  <si>
    <t>&lt;http://purl.obolibrary.org/obo/DHBA_10268&gt;</t>
  </si>
  <si>
    <t>occipital cortex</t>
  </si>
  <si>
    <t>&lt;http://purl.obolibrary.org/obo/DMBA_16030&gt;</t>
  </si>
  <si>
    <t>&lt;http://purl.obolibrary.org/obo/PBA_4004&gt;</t>
  </si>
  <si>
    <t>&lt;http://purl.obolibrary.org/obo/UBERON_0022364&gt;</t>
  </si>
  <si>
    <t>occipitotemporal (fusiform) gyrus, occipital part</t>
  </si>
  <si>
    <t>&lt;http://purl.obolibrary.org/obo/DHBA_12152&gt;</t>
  </si>
  <si>
    <t>&lt;http://purl.obolibrary.org/obo/UBERON_0002021&gt;</t>
  </si>
  <si>
    <t>occipital lobe</t>
  </si>
  <si>
    <t>&lt;http://purl.obolibrary.org/obo/DHBA_12148&gt;</t>
  </si>
  <si>
    <t>&lt;http://purl.obolibrary.org/obo/HBA_4180&gt;</t>
  </si>
  <si>
    <t>&lt;http://purl.obolibrary.org/obo/UBERON_0002902&gt;</t>
  </si>
  <si>
    <t>occipital pole</t>
  </si>
  <si>
    <t>&lt;http://purl.obolibrary.org/obo/DHBA_12149&gt;</t>
  </si>
  <si>
    <t>&lt;http://purl.obolibrary.org/obo/HBA_4181&gt;</t>
  </si>
  <si>
    <t>&lt;http://purl.obolibrary.org/obo/UBERON_0019303&gt;</t>
  </si>
  <si>
    <t>occipital lobe sulci</t>
  </si>
  <si>
    <t>&lt;http://purl.obolibrary.org/obo/HBA_9386&gt;</t>
  </si>
  <si>
    <t>&lt;http://purl.obolibrary.org/obo/UBERON_0034754&gt;</t>
  </si>
  <si>
    <t>occipitofrontal fasciculus</t>
  </si>
  <si>
    <t>&lt;http://purl.obolibrary.org/obo/DHBA_10588&gt;</t>
  </si>
  <si>
    <t>&lt;http://purl.obolibrary.org/obo/HBA_9269&gt;</t>
  </si>
  <si>
    <t>&lt;http://purl.obolibrary.org/obo/UBERON_0002693&gt;</t>
  </si>
  <si>
    <t>occipitotemporal sulcus</t>
  </si>
  <si>
    <t>&lt;http://purl.obolibrary.org/obo/DHBA_10623&gt;</t>
  </si>
  <si>
    <t>&lt;http://purl.obolibrary.org/obo/UBERON_0001643&gt;</t>
  </si>
  <si>
    <t>occulomotor nerve</t>
  </si>
  <si>
    <t>&lt;http://purl.obolibrary.org/obo/HBA_9316&gt;</t>
  </si>
  <si>
    <t>oculomotor nerve</t>
  </si>
  <si>
    <t>&lt;http://purl.obolibrary.org/obo/MBA_832&gt;</t>
  </si>
  <si>
    <t>&lt;http://purl.obolibrary.org/obo/UBERON_0002668&gt;</t>
  </si>
  <si>
    <t>root of oculomotor nerve</t>
  </si>
  <si>
    <t>&lt;http://purl.obolibrary.org/obo/DHBA_12376&gt;</t>
  </si>
  <si>
    <t>oculomotor nerve root</t>
  </si>
  <si>
    <t>&lt;http://purl.obolibrary.org/obo/DMBA_17736&gt;</t>
  </si>
  <si>
    <t>&lt;http://purl.obolibrary.org/obo/UBERON_0001715&gt;</t>
  </si>
  <si>
    <t>oculomotor nucleus</t>
  </si>
  <si>
    <t>&lt;http://purl.obolibrary.org/obo/DHBA_12198&gt;</t>
  </si>
  <si>
    <t>oculomotor nuclear complex</t>
  </si>
  <si>
    <t>&lt;http://purl.obolibrary.org/obo/HBA_9030&gt;</t>
  </si>
  <si>
    <t>&lt;http://purl.obolibrary.org/obo/MBA_35&gt;</t>
  </si>
  <si>
    <t>&lt;http://purl.obolibrary.org/obo/UBERON_0002264&gt;</t>
  </si>
  <si>
    <t>olfactory bulb</t>
  </si>
  <si>
    <t>&lt;http://purl.obolibrary.org/obo/DHBA_10307&gt;</t>
  </si>
  <si>
    <t>olfactory bulb, left</t>
  </si>
  <si>
    <t>&lt;http://purl.obolibrary.org/obo/HBA_9303&gt;</t>
  </si>
  <si>
    <t>&lt;http://purl.obolibrary.org/obo/UBERON_0005376&gt;</t>
  </si>
  <si>
    <t>OB outer plexiform layer</t>
  </si>
  <si>
    <t>&lt;http://purl.obolibrary.org/obo/DMBA_15913&gt;</t>
  </si>
  <si>
    <t>&lt;http://purl.obolibrary.org/obo/UBERON_0005377&gt;</t>
  </si>
  <si>
    <t>glomerular layer of olfactory bulb</t>
  </si>
  <si>
    <t>&lt;http://purl.obolibrary.org/obo/DHBA_11327&gt;</t>
  </si>
  <si>
    <t>main olfactory bulb, glomerular layer</t>
  </si>
  <si>
    <t>&lt;http://purl.obolibrary.org/obo/MBA_212&gt;</t>
  </si>
  <si>
    <t>&lt;http://purl.obolibrary.org/obo/UBERON_0005378&gt;</t>
  </si>
  <si>
    <t>OB granular layer</t>
  </si>
  <si>
    <t>&lt;http://purl.obolibrary.org/obo/DMBA_15909&gt;</t>
  </si>
  <si>
    <t>main olfactory bulb, granule layer</t>
  </si>
  <si>
    <t>&lt;http://purl.obolibrary.org/obo/MBA_220&gt;</t>
  </si>
  <si>
    <t>&lt;http://purl.obolibrary.org/obo/UBERON_0005379&gt;</t>
  </si>
  <si>
    <t>inner plexiform layer of olfactory bulb</t>
  </si>
  <si>
    <t>&lt;http://purl.obolibrary.org/obo/DHBA_11330&gt;</t>
  </si>
  <si>
    <t>OB inner plexiform layer</t>
  </si>
  <si>
    <t>&lt;http://purl.obolibrary.org/obo/DMBA_15910&gt;</t>
  </si>
  <si>
    <t>main olfactory bulb, inner plexiform layer</t>
  </si>
  <si>
    <t>&lt;http://purl.obolibrary.org/obo/MBA_228&gt;</t>
  </si>
  <si>
    <t>&lt;http://purl.obolibrary.org/obo/UBERON_0023934&gt;</t>
  </si>
  <si>
    <t>&lt;http://purl.obolibrary.org/obo/UBERON_0004186&gt;</t>
  </si>
  <si>
    <t>mitral cell layer of olfactory bulb</t>
  </si>
  <si>
    <t>&lt;http://purl.obolibrary.org/obo/DHBA_11329&gt;</t>
  </si>
  <si>
    <t>OB mitral cell layer</t>
  </si>
  <si>
    <t>&lt;http://purl.obolibrary.org/obo/DMBA_15912&gt;</t>
  </si>
  <si>
    <t>&lt;http://purl.obolibrary.org/obo/UBERON_0005978&gt;</t>
  </si>
  <si>
    <t>olfactory nerve layer of olfactory bulb</t>
  </si>
  <si>
    <t>&lt;http://purl.obolibrary.org/obo/DHBA_11326&gt;</t>
  </si>
  <si>
    <t>olfactory nerve layer of main olfactory bulb</t>
  </si>
  <si>
    <t>&lt;http://purl.obolibrary.org/obo/MBA_1016&gt;</t>
  </si>
  <si>
    <t>&lt;http://purl.obolibrary.org/obo/UBERON_0002894&gt;</t>
  </si>
  <si>
    <t>olfactory area</t>
  </si>
  <si>
    <t>&lt;http://purl.obolibrary.org/obo/HBA_265504406&gt;</t>
  </si>
  <si>
    <t>&lt;http://purl.obolibrary.org/obo/UBERON_0001579&gt;</t>
  </si>
  <si>
    <t>olfactory nerve</t>
  </si>
  <si>
    <t>&lt;http://purl.obolibrary.org/obo/HBA_9300&gt;</t>
  </si>
  <si>
    <t>&lt;http://purl.obolibrary.org/obo/MBA_840&gt;</t>
  </si>
  <si>
    <t>&lt;http://purl.obolibrary.org/obo/UBERON_0002772&gt;</t>
  </si>
  <si>
    <t>olfactory sulcus</t>
  </si>
  <si>
    <t>&lt;http://purl.obolibrary.org/obo/DHBA_10624&gt;</t>
  </si>
  <si>
    <t>&lt;http://purl.obolibrary.org/obo/HBA_9361&gt;</t>
  </si>
  <si>
    <t>&lt;http://purl.obolibrary.org/obo/UBERON_0002265&gt;</t>
  </si>
  <si>
    <t>olfactory tract</t>
  </si>
  <si>
    <t>&lt;http://purl.obolibrary.org/obo/DHBA_12073&gt;</t>
  </si>
  <si>
    <t>olfactory striae</t>
  </si>
  <si>
    <t>&lt;http://purl.obolibrary.org/obo/DHBA_12074&gt;</t>
  </si>
  <si>
    <t>olfactory tract, left</t>
  </si>
  <si>
    <t>&lt;http://purl.obolibrary.org/obo/HBA_9302&gt;</t>
  </si>
  <si>
    <t>&lt;http://purl.obolibrary.org/obo/UBERON_0001883&gt;</t>
  </si>
  <si>
    <t>olfactory tubercle</t>
  </si>
  <si>
    <t>&lt;http://purl.obolibrary.org/obo/DHBA_10310&gt;</t>
  </si>
  <si>
    <t>olfactory tubercle, left</t>
  </si>
  <si>
    <t>&lt;http://purl.obolibrary.org/obo/HBA_10145&gt;</t>
  </si>
  <si>
    <t>&lt;http://purl.obolibrary.org/obo/MBA_754&gt;</t>
  </si>
  <si>
    <t>&lt;http://purl.obolibrary.org/obo/PBA_10096&gt;</t>
  </si>
  <si>
    <t>&lt;http://purl.obolibrary.org/obo/UBERON_0002565&gt;</t>
  </si>
  <si>
    <t>&lt;http://purl.obolibrary.org/obo/DHBA_12186&gt;</t>
  </si>
  <si>
    <t>&lt;http://purl.obolibrary.org/obo/HBA_9086&gt;</t>
  </si>
  <si>
    <t>&lt;http://purl.obolibrary.org/obo/UBERON_0002752&gt;</t>
  </si>
  <si>
    <t>olivocerebellar tract</t>
  </si>
  <si>
    <t>&lt;http://purl.obolibrary.org/obo/DHBA_12747&gt;</t>
  </si>
  <si>
    <t>&lt;http://purl.obolibrary.org/obo/MBA_404&gt;</t>
  </si>
  <si>
    <t>&lt;http://purl.obolibrary.org/obo/UBERON_0002775&gt;</t>
  </si>
  <si>
    <t>olivocochlear bundle</t>
  </si>
  <si>
    <t>&lt;http://purl.obolibrary.org/obo/DHBA_12771&gt;</t>
  </si>
  <si>
    <t>&lt;http://purl.obolibrary.org/obo/UBERON_0002980&gt;</t>
  </si>
  <si>
    <t>inferior frontal gyrus, opercular part</t>
  </si>
  <si>
    <t>&lt;http://purl.obolibrary.org/obo/DHBA_12119&gt;</t>
  </si>
  <si>
    <t>&lt;http://purl.obolibrary.org/obo/HBA_4041&gt;</t>
  </si>
  <si>
    <t>&lt;http://purl.obolibrary.org/obo/UBERON_0000959&gt;</t>
  </si>
  <si>
    <t>optic chiasm</t>
  </si>
  <si>
    <t>&lt;http://purl.obolibrary.org/obo/DHBA_10644&gt;</t>
  </si>
  <si>
    <t>&lt;http://purl.obolibrary.org/obo/DMBA_17783&gt;</t>
  </si>
  <si>
    <t>optic chiasm, left</t>
  </si>
  <si>
    <t>&lt;http://purl.obolibrary.org/obo/HBA_9310&gt;</t>
  </si>
  <si>
    <t>&lt;http://purl.obolibrary.org/obo/MBA_117&gt;</t>
  </si>
  <si>
    <t>&lt;http://purl.obolibrary.org/obo/UBERON_0022264&gt;</t>
  </si>
  <si>
    <t>optic radiation</t>
  </si>
  <si>
    <t>&lt;http://purl.obolibrary.org/obo/DHBA_266441621&gt;</t>
  </si>
  <si>
    <t>optic radiations, left</t>
  </si>
  <si>
    <t>&lt;http://purl.obolibrary.org/obo/HBA_9311&gt;</t>
  </si>
  <si>
    <t>&lt;http://purl.obolibrary.org/obo/UBERON_0001908&gt;</t>
  </si>
  <si>
    <t>optic tract</t>
  </si>
  <si>
    <t>&lt;http://purl.obolibrary.org/obo/DHBA_10589&gt;</t>
  </si>
  <si>
    <t>&lt;http://purl.obolibrary.org/obo/DMBA_17785&gt;</t>
  </si>
  <si>
    <t>optic tract, left</t>
  </si>
  <si>
    <t>&lt;http://purl.obolibrary.org/obo/HBA_9309&gt;</t>
  </si>
  <si>
    <t>&lt;http://purl.obolibrary.org/obo/MBA_125&gt;</t>
  </si>
  <si>
    <t>&lt;http://purl.obolibrary.org/obo/UBERON_0002591&gt;</t>
  </si>
  <si>
    <t>oral part of spinal trigeminal nucleus, left</t>
  </si>
  <si>
    <t>&lt;http://purl.obolibrary.org/obo/HBA_9679&gt;</t>
  </si>
  <si>
    <t>spinal nucleus of the trigeminal, oral part</t>
  </si>
  <si>
    <t>&lt;http://purl.obolibrary.org/obo/MBA_445&gt;</t>
  </si>
  <si>
    <t>&lt;http://purl.obolibrary.org/obo/UBERON_0002999&gt;</t>
  </si>
  <si>
    <t>pontine reticular nucleus, oral part</t>
  </si>
  <si>
    <t>&lt;http://purl.obolibrary.org/obo/DHBA_12494&gt;</t>
  </si>
  <si>
    <t>oral pontine reticular nucleus, left</t>
  </si>
  <si>
    <t>&lt;http://purl.obolibrary.org/obo/HBA_9166&gt;</t>
  </si>
  <si>
    <t>pontine reticular nucleus, ventral part</t>
  </si>
  <si>
    <t>&lt;http://purl.obolibrary.org/obo/MBA_552&gt;</t>
  </si>
  <si>
    <t>&lt;http://purl.obolibrary.org/obo/UBERON_0002641&gt;</t>
  </si>
  <si>
    <t>anterior nucleus of pulvinar</t>
  </si>
  <si>
    <t>&lt;http://purl.obolibrary.org/obo/DHBA_10410&gt;</t>
  </si>
  <si>
    <t>anterior nucleus of the pulvinar, left</t>
  </si>
  <si>
    <t>&lt;http://purl.obolibrary.org/obo/HBA_4411&gt;</t>
  </si>
  <si>
    <t>&lt;http://purl.obolibrary.org/obo/UBERON_0002593&gt;</t>
  </si>
  <si>
    <t>orbital operculum</t>
  </si>
  <si>
    <t>&lt;http://purl.obolibrary.org/obo/DHBA_12128&gt;</t>
  </si>
  <si>
    <t>&lt;http://purl.obolibrary.org/obo/UBERON_0002624&gt;</t>
  </si>
  <si>
    <t>inferior frontal gyrus, orbital part</t>
  </si>
  <si>
    <t>&lt;http://purl.obolibrary.org/obo/DHBA_12120&gt;</t>
  </si>
  <si>
    <t>&lt;http://purl.obolibrary.org/obo/HBA_4044&gt;</t>
  </si>
  <si>
    <t>&lt;http://purl.obolibrary.org/obo/UBERON_0002595&gt;</t>
  </si>
  <si>
    <t>orbital sulcus</t>
  </si>
  <si>
    <t>&lt;http://purl.obolibrary.org/obo/DHBA_10625&gt;</t>
  </si>
  <si>
    <t>&lt;http://purl.obolibrary.org/obo/HBA_9360&gt;</t>
  </si>
  <si>
    <t>&lt;http://purl.obolibrary.org/obo/UBERON_0004167&gt;</t>
  </si>
  <si>
    <t>orbital frontal cortex</t>
  </si>
  <si>
    <t>&lt;http://purl.obolibrary.org/obo/DHBA_10194&gt;</t>
  </si>
  <si>
    <t>&lt;http://purl.obolibrary.org/obo/UBERON_0011176&gt;</t>
  </si>
  <si>
    <t>bed nuclei of the stria terminalis, anterior division, oval nucleus</t>
  </si>
  <si>
    <t>&lt;http://purl.obolibrary.org/obo/MBA_554&gt;</t>
  </si>
  <si>
    <t>&lt;http://purl.obolibrary.org/obo/UBERON_0014735&gt;</t>
  </si>
  <si>
    <t>paleocortex (semicortex)</t>
  </si>
  <si>
    <t>&lt;http://purl.obolibrary.org/obo/DHBA_10306&gt;</t>
  </si>
  <si>
    <t>&lt;http://purl.obolibrary.org/obo/UBERON_0002671&gt;</t>
  </si>
  <si>
    <t>pallidotegmental tract</t>
  </si>
  <si>
    <t>&lt;http://purl.obolibrary.org/obo/DHBA_12078&gt;</t>
  </si>
  <si>
    <t>pallidotegmental fascicle</t>
  </si>
  <si>
    <t>&lt;http://purl.obolibrary.org/obo/MBA_134&gt;</t>
  </si>
  <si>
    <t>&lt;http://purl.obolibrary.org/obo/UBERON_0006514&gt;</t>
  </si>
  <si>
    <t>&lt;http://purl.obolibrary.org/obo/UBERON_0000203&gt;</t>
  </si>
  <si>
    <t>pallium</t>
  </si>
  <si>
    <t>&lt;http://purl.obolibrary.org/obo/DMBA_15903&gt;</t>
  </si>
  <si>
    <t>&lt;http://purl.obolibrary.org/obo/UBERON_0002140&gt;</t>
  </si>
  <si>
    <t>&lt;http://purl.obolibrary.org/obo/DHBA_12312&gt;</t>
  </si>
  <si>
    <t>&lt;http://purl.obolibrary.org/obo/HBA_9111&gt;</t>
  </si>
  <si>
    <t>&lt;http://purl.obolibrary.org/obo/UBERON_0007634&gt;</t>
  </si>
  <si>
    <t>parabrachial complex</t>
  </si>
  <si>
    <t>&lt;http://purl.obolibrary.org/obo/DMBA_16844&gt;</t>
  </si>
  <si>
    <t>parabrachial nucleus</t>
  </si>
  <si>
    <t>&lt;http://purl.obolibrary.org/obo/MBA_867&gt;</t>
  </si>
  <si>
    <t>&lt;http://purl.obolibrary.org/obo/UBERON_0013738&gt;</t>
  </si>
  <si>
    <t>parabrachial pigmented nucleus</t>
  </si>
  <si>
    <t>&lt;http://purl.obolibrary.org/obo/DHBA_12263&gt;</t>
  </si>
  <si>
    <t>parabrachial pigmented nucleus, left</t>
  </si>
  <si>
    <t>&lt;http://purl.obolibrary.org/obo/HBA_9473&gt;</t>
  </si>
  <si>
    <t>&lt;http://purl.obolibrary.org/obo/UBERON_0001924&gt;</t>
  </si>
  <si>
    <t>paracentral nucleus of thalamus</t>
  </si>
  <si>
    <t>&lt;http://purl.obolibrary.org/obo/DHBA_10446&gt;</t>
  </si>
  <si>
    <t>paracentral nucleus of the thalamus, left</t>
  </si>
  <si>
    <t>&lt;http://purl.obolibrary.org/obo/HBA_4435&gt;</t>
  </si>
  <si>
    <t>&lt;http://purl.obolibrary.org/obo/UBERON_0002598&gt;</t>
  </si>
  <si>
    <t>paracentral sulcus</t>
  </si>
  <si>
    <t>&lt;http://purl.obolibrary.org/obo/DHBA_10633&gt;</t>
  </si>
  <si>
    <t>&lt;http://purl.obolibrary.org/obo/HBA_9365&gt;</t>
  </si>
  <si>
    <t>&lt;http://purl.obolibrary.org/obo/UBERON_0022398&gt;</t>
  </si>
  <si>
    <t>paracingulate gyrus</t>
  </si>
  <si>
    <t>&lt;http://purl.obolibrary.org/obo/DHBA_146034872&gt;</t>
  </si>
  <si>
    <t>&lt;http://purl.obolibrary.org/obo/UBERON_0001922&gt;</t>
  </si>
  <si>
    <t>parafascicular nucleus of thalamus</t>
  </si>
  <si>
    <t>&lt;http://purl.obolibrary.org/obo/DHBA_10450&gt;</t>
  </si>
  <si>
    <t>parafascicular nucleus of the thalamus, left</t>
  </si>
  <si>
    <t>&lt;http://purl.obolibrary.org/obo/HBA_4439&gt;</t>
  </si>
  <si>
    <t>&lt;http://purl.obolibrary.org/obo/UBERON_0005351&gt;</t>
  </si>
  <si>
    <t>paraflocculus</t>
  </si>
  <si>
    <t>&lt;http://purl.obolibrary.org/obo/DMBA_16945&gt;</t>
  </si>
  <si>
    <t>&lt;http://purl.obolibrary.org/obo/MBA_1041&gt;</t>
  </si>
  <si>
    <t>&lt;http://purl.obolibrary.org/obo/UBERON_0016635&gt;</t>
  </si>
  <si>
    <t>paragigantocellular nucleus</t>
  </si>
  <si>
    <t>&lt;http://purl.obolibrary.org/obo/DHBA_12626&gt;</t>
  </si>
  <si>
    <t>paragigantocellular reticular nucleus</t>
  </si>
  <si>
    <t>&lt;http://purl.obolibrary.org/obo/MBA_938&gt;</t>
  </si>
  <si>
    <t>&lt;http://purl.obolibrary.org/obo/UBERON_0002973&gt;</t>
  </si>
  <si>
    <t>parahippocampal gyrus</t>
  </si>
  <si>
    <t>&lt;http://purl.obolibrary.org/obo/DHBA_12162&gt;</t>
  </si>
  <si>
    <t>&lt;http://purl.obolibrary.org/obo/HBA_4242&gt;</t>
  </si>
  <si>
    <t>&lt;http://purl.obolibrary.org/obo/UBERON_0005349&gt;</t>
  </si>
  <si>
    <t>&lt;http://purl.obolibrary.org/obo/UBERON_0007764&gt;</t>
  </si>
  <si>
    <t>&lt;http://purl.obolibrary.org/obo/MBA_995&gt;</t>
  </si>
  <si>
    <t>&lt;http://purl.obolibrary.org/obo/UBERON_0013737&gt;</t>
  </si>
  <si>
    <t>paranigral nucleus</t>
  </si>
  <si>
    <t>&lt;http://purl.obolibrary.org/obo/DHBA_12265&gt;</t>
  </si>
  <si>
    <t>paranigral nucleus, left</t>
  </si>
  <si>
    <t>&lt;http://purl.obolibrary.org/obo/HBA_9474&gt;</t>
  </si>
  <si>
    <t>&lt;http://purl.obolibrary.org/obo/UBERON_0002877&gt;</t>
  </si>
  <si>
    <t>parasolitary nucleus</t>
  </si>
  <si>
    <t>&lt;http://purl.obolibrary.org/obo/DHBA_12571&gt;</t>
  </si>
  <si>
    <t>&lt;http://purl.obolibrary.org/obo/MBA_859&gt;</t>
  </si>
  <si>
    <t>&lt;http://purl.obolibrary.org/obo/UBERON_0004683&gt;</t>
  </si>
  <si>
    <t>parasubicular cortex (parasubiculum)</t>
  </si>
  <si>
    <t>&lt;http://purl.obolibrary.org/obo/DHBA_10316&gt;</t>
  </si>
  <si>
    <t>parasubiculum</t>
  </si>
  <si>
    <t>&lt;http://purl.obolibrary.org/obo/DMBA_16186&gt;</t>
  </si>
  <si>
    <t>parasubiculum, left</t>
  </si>
  <si>
    <t>&lt;http://purl.obolibrary.org/obo/HBA_4253&gt;</t>
  </si>
  <si>
    <t>&lt;http://purl.obolibrary.org/obo/MBA_843&gt;</t>
  </si>
  <si>
    <t>&lt;http://purl.obolibrary.org/obo/UBERON_0002992&gt;</t>
  </si>
  <si>
    <t>parataenial nucleus of thalamus</t>
  </si>
  <si>
    <t>&lt;http://purl.obolibrary.org/obo/DHBA_10404&gt;</t>
  </si>
  <si>
    <t>parataenial nucleus of the thalamus, left</t>
  </si>
  <si>
    <t>&lt;http://purl.obolibrary.org/obo/HBA_4405&gt;</t>
  </si>
  <si>
    <t>&lt;http://purl.obolibrary.org/obo/UBERON_0002603&gt;</t>
  </si>
  <si>
    <t>paraterminal gyrus</t>
  </si>
  <si>
    <t>&lt;http://purl.obolibrary.org/obo/DHBA_12161&gt;</t>
  </si>
  <si>
    <t>&lt;http://purl.obolibrary.org/obo/HBA_4065&gt;</t>
  </si>
  <si>
    <t>&lt;http://purl.obolibrary.org/obo/UBERON_0016832&gt;</t>
  </si>
  <si>
    <t>paratrigeminal nucleus</t>
  </si>
  <si>
    <t>&lt;http://purl.obolibrary.org/obo/DHBA_12656&gt;</t>
  </si>
  <si>
    <t>&lt;http://purl.obolibrary.org/obo/HBA_9630&gt;</t>
  </si>
  <si>
    <t>&lt;http://purl.obolibrary.org/obo/UBERON_0001930&gt;</t>
  </si>
  <si>
    <t>paraventricular nucleus of hypothalamus</t>
  </si>
  <si>
    <t>&lt;http://purl.obolibrary.org/obo/DHBA_10476&gt;</t>
  </si>
  <si>
    <t>paraventricular nucleus of the hypothalamus</t>
  </si>
  <si>
    <t>&lt;http://purl.obolibrary.org/obo/HBA_12905&gt;</t>
  </si>
  <si>
    <t>&lt;http://purl.obolibrary.org/obo/UBERON_0001920&gt;</t>
  </si>
  <si>
    <t>paraventricular nucleus</t>
  </si>
  <si>
    <t>&lt;http://purl.obolibrary.org/obo/DHBA_10457&gt;</t>
  </si>
  <si>
    <t>paraventricular nuclei of thalamus</t>
  </si>
  <si>
    <t>&lt;http://purl.obolibrary.org/obo/HBA_4533&gt;</t>
  </si>
  <si>
    <t>&lt;http://purl.obolibrary.org/obo/UBERON_0014602&gt;</t>
  </si>
  <si>
    <t>descending division of paraventricular nucleus</t>
  </si>
  <si>
    <t>&lt;http://purl.obolibrary.org/obo/DHBA_10477&gt;</t>
  </si>
  <si>
    <t>paraventricular nucleus of the hypothalamus, left, descending division</t>
  </si>
  <si>
    <t>&lt;http://purl.obolibrary.org/obo/HBA_4575&gt;</t>
  </si>
  <si>
    <t>paraventricular hypothalamic nucleus, descending division</t>
  </si>
  <si>
    <t>&lt;http://purl.obolibrary.org/obo/MBA_63&gt;</t>
  </si>
  <si>
    <t>&lt;http://purl.obolibrary.org/obo/UBERON_0014596&gt;</t>
  </si>
  <si>
    <t>paraventricular nucleus of the hypothalamus, left, descending division, dorsal parvicellular part</t>
  </si>
  <si>
    <t>&lt;http://purl.obolibrary.org/obo/HBA_4577&gt;</t>
  </si>
  <si>
    <t>paraventricular hypothalamic nucleus, descending division, dorsal parvicellular part</t>
  </si>
  <si>
    <t>&lt;http://purl.obolibrary.org/obo/MBA_439&gt;</t>
  </si>
  <si>
    <t>&lt;http://purl.obolibrary.org/obo/UBERON_0014598&gt;</t>
  </si>
  <si>
    <t>paraventricular nucleus of the hypothalamus, left, descending division, forniceal part</t>
  </si>
  <si>
    <t>&lt;http://purl.obolibrary.org/obo/HBA_4579&gt;</t>
  </si>
  <si>
    <t>paraventricular hypothalamic nucleus, descending division, forniceal part</t>
  </si>
  <si>
    <t>&lt;http://purl.obolibrary.org/obo/MBA_447&gt;</t>
  </si>
  <si>
    <t>&lt;http://purl.obolibrary.org/obo/UBERON_0014597&gt;</t>
  </si>
  <si>
    <t>paraventricular nucleus of the hypothalamus, left, descending division, lateral parvicellular part</t>
  </si>
  <si>
    <t>&lt;http://purl.obolibrary.org/obo/HBA_4578&gt;</t>
  </si>
  <si>
    <t>paraventricular hypothalamic nucleus, descending division, lateral parvicellular part</t>
  </si>
  <si>
    <t>&lt;http://purl.obolibrary.org/obo/MBA_455&gt;</t>
  </si>
  <si>
    <t>&lt;http://purl.obolibrary.org/obo/UBERON_0014595&gt;</t>
  </si>
  <si>
    <t>paraventricular nucleus of the hypothalamus, left, descending division, medial parvicellular part, ventral zone</t>
  </si>
  <si>
    <t>&lt;http://purl.obolibrary.org/obo/HBA_4576&gt;</t>
  </si>
  <si>
    <t>paraventricular hypothalamic nucleus, descending division, medial parvicellular part, ventral zone</t>
  </si>
  <si>
    <t>&lt;http://purl.obolibrary.org/obo/MBA_464&gt;</t>
  </si>
  <si>
    <t>&lt;http://purl.obolibrary.org/obo/UBERON_0014603&gt;</t>
  </si>
  <si>
    <t>magnocellular division of paraventricular nucleus</t>
  </si>
  <si>
    <t>&lt;http://purl.obolibrary.org/obo/DHBA_10478&gt;</t>
  </si>
  <si>
    <t>paraventricular nucleus of the hypothalamus, left, magnocellular division</t>
  </si>
  <si>
    <t>&lt;http://purl.obolibrary.org/obo/HBA_4580&gt;</t>
  </si>
  <si>
    <t>paraventricular hypothalamic nucleus, magnocellular division</t>
  </si>
  <si>
    <t>&lt;http://purl.obolibrary.org/obo/MBA_71&gt;</t>
  </si>
  <si>
    <t>&lt;http://purl.obolibrary.org/obo/UBERON_0014599&gt;</t>
  </si>
  <si>
    <t>paraventricular nucleus of the hypothalamus, left, magnocellular division, anterior magnocellular part</t>
  </si>
  <si>
    <t>&lt;http://purl.obolibrary.org/obo/HBA_4581&gt;</t>
  </si>
  <si>
    <t>paraventricular hypothalamic nucleus, magnocellular division, anterior magnocellular part</t>
  </si>
  <si>
    <t>&lt;http://purl.obolibrary.org/obo/MBA_47&gt;</t>
  </si>
  <si>
    <t>&lt;http://purl.obolibrary.org/obo/UBERON_0014600&gt;</t>
  </si>
  <si>
    <t>paraventricular nucleus of the hypothalamus, left, magnocellular division, medial magnocellular part</t>
  </si>
  <si>
    <t>&lt;http://purl.obolibrary.org/obo/HBA_4582&gt;</t>
  </si>
  <si>
    <t>paraventricular hypothalamic nucleus, magnocellular division, medial magnocellular part</t>
  </si>
  <si>
    <t>&lt;http://purl.obolibrary.org/obo/MBA_79&gt;</t>
  </si>
  <si>
    <t>&lt;http://purl.obolibrary.org/obo/UBERON_0014601&gt;</t>
  </si>
  <si>
    <t>paraventricular nucleus of the hypothalamus, left, magnocellular division, posterior magnocellular part</t>
  </si>
  <si>
    <t>&lt;http://purl.obolibrary.org/obo/HBA_4583&gt;</t>
  </si>
  <si>
    <t>paraventricular hypothalamic nucleus, magnocellular division, posterior magnocellular part</t>
  </si>
  <si>
    <t>&lt;http://purl.obolibrary.org/obo/MBA_103&gt;</t>
  </si>
  <si>
    <t>&lt;http://purl.obolibrary.org/obo/UBERON_0022791&gt;</t>
  </si>
  <si>
    <t>paraventricular nucleus of the hypothalamus, left, magnocellular division, posterior magnocellular part, lateral zone</t>
  </si>
  <si>
    <t>&lt;http://purl.obolibrary.org/obo/HBA_4585&gt;</t>
  </si>
  <si>
    <t>&lt;http://purl.obolibrary.org/obo/UBERON_0022783&gt;</t>
  </si>
  <si>
    <t>paraventricular nucleus of the hypothalamus, left, magnocellular division, posterior magnocellular part, medial zone</t>
  </si>
  <si>
    <t>&lt;http://purl.obolibrary.org/obo/HBA_4584&gt;</t>
  </si>
  <si>
    <t>&lt;http://purl.obolibrary.org/obo/UBERON_0014604&gt;</t>
  </si>
  <si>
    <t>parvicellular division of paraventricular nucleus</t>
  </si>
  <si>
    <t>&lt;http://purl.obolibrary.org/obo/DHBA_10479&gt;</t>
  </si>
  <si>
    <t>paraventricular nucleus of the hypothalamus, left, parvicellular division</t>
  </si>
  <si>
    <t>&lt;http://purl.obolibrary.org/obo/HBA_4586&gt;</t>
  </si>
  <si>
    <t>paraventricular hypothalamic nucleus, parvicellular division</t>
  </si>
  <si>
    <t>&lt;http://purl.obolibrary.org/obo/MBA_94&gt;</t>
  </si>
  <si>
    <t>&lt;http://purl.obolibrary.org/obo/UBERON_0028918&gt;</t>
  </si>
  <si>
    <t>I-II, left, paravermis</t>
  </si>
  <si>
    <t>&lt;http://purl.obolibrary.org/obo/HBA_4717&gt;</t>
  </si>
  <si>
    <t>&lt;http://purl.obolibrary.org/obo/UBERON_0028919&gt;</t>
  </si>
  <si>
    <t>&lt;http://purl.obolibrary.org/obo/UBERON_0028920&gt;</t>
  </si>
  <si>
    <t>&lt;http://purl.obolibrary.org/obo/UBERON_0028921&gt;</t>
  </si>
  <si>
    <t>&lt;http://purl.obolibrary.org/obo/UBERON_0028922&gt;</t>
  </si>
  <si>
    <t>&lt;http://purl.obolibrary.org/obo/UBERON_0028923&gt;</t>
  </si>
  <si>
    <t>&lt;http://purl.obolibrary.org/obo/UBERON_0036043&gt;</t>
  </si>
  <si>
    <t>paravermis, flocculonodular lobe portion</t>
  </si>
  <si>
    <t>&lt;http://purl.obolibrary.org/obo/DHBA_12389&gt;</t>
  </si>
  <si>
    <t>X, left, paravermis</t>
  </si>
  <si>
    <t>&lt;http://purl.obolibrary.org/obo/HBA_4730&gt;</t>
  </si>
  <si>
    <t>&lt;http://purl.obolibrary.org/obo/UBERON_0027285&gt;</t>
  </si>
  <si>
    <t>paravermis of cerebellum</t>
  </si>
  <si>
    <t>&lt;http://purl.obolibrary.org/obo/DHBA_12384&gt;</t>
  </si>
  <si>
    <t>&lt;http://purl.obolibrary.org/obo/UBERON_0027310&gt;</t>
  </si>
  <si>
    <t>paravermis, anterior lobe portion</t>
  </si>
  <si>
    <t>&lt;http://purl.obolibrary.org/obo/DHBA_12385&gt;</t>
  </si>
  <si>
    <t>&lt;http://purl.obolibrary.org/obo/UBERON_0027309&gt;</t>
  </si>
  <si>
    <t>paravermis, posterior lobe portion</t>
  </si>
  <si>
    <t>&lt;http://purl.obolibrary.org/obo/DHBA_12386&gt;</t>
  </si>
  <si>
    <t>&lt;http://purl.obolibrary.org/obo/UBERON_0016530&gt;</t>
  </si>
  <si>
    <t>parietal neocortex</t>
  </si>
  <si>
    <t>&lt;http://purl.obolibrary.org/obo/DHBA_10208&gt;</t>
  </si>
  <si>
    <t>parietal cortex</t>
  </si>
  <si>
    <t>&lt;http://purl.obolibrary.org/obo/DMBA_16016&gt;</t>
  </si>
  <si>
    <t>&lt;http://purl.obolibrary.org/obo/UBERON_0001872&gt;</t>
  </si>
  <si>
    <t>parietal lobe</t>
  </si>
  <si>
    <t>&lt;http://purl.obolibrary.org/obo/DHBA_12131&gt;</t>
  </si>
  <si>
    <t>&lt;http://purl.obolibrary.org/obo/HBA_4084&gt;</t>
  </si>
  <si>
    <t>&lt;http://purl.obolibrary.org/obo/UBERON_0002911&gt;</t>
  </si>
  <si>
    <t>parietal operculum</t>
  </si>
  <si>
    <t>&lt;http://purl.obolibrary.org/obo/DHBA_13230&gt;</t>
  </si>
  <si>
    <t>&lt;http://purl.obolibrary.org/obo/UBERON_0002695&gt;</t>
  </si>
  <si>
    <t>parietooccipital fissure</t>
  </si>
  <si>
    <t>&lt;http://purl.obolibrary.org/obo/DHBA_10626&gt;</t>
  </si>
  <si>
    <t>parieto-occipital sulcus</t>
  </si>
  <si>
    <t>&lt;http://purl.obolibrary.org/obo/HBA_9392&gt;</t>
  </si>
  <si>
    <t>&lt;http://purl.obolibrary.org/obo/UBERON_0002617&gt;</t>
  </si>
  <si>
    <t>ventrolateral preoptic nucleus</t>
  </si>
  <si>
    <t>&lt;http://purl.obolibrary.org/obo/DMBA_15612&gt;</t>
  </si>
  <si>
    <t>ventral lateral posterior nucleus of the thalamus, left</t>
  </si>
  <si>
    <t>&lt;http://purl.obolibrary.org/obo/HBA_4423&gt;</t>
  </si>
  <si>
    <t>&lt;http://purl.obolibrary.org/obo/MBA_689&gt;</t>
  </si>
  <si>
    <t>&lt;http://purl.obolibrary.org/obo/UBERON_0002654&gt;</t>
  </si>
  <si>
    <t>ventral anterior nucleus of the thalamus, left, principal division</t>
  </si>
  <si>
    <t>&lt;http://purl.obolibrary.org/obo/HBA_4419&gt;</t>
  </si>
  <si>
    <t>&lt;http://purl.obolibrary.org/obo/UBERON_0003018&gt;</t>
  </si>
  <si>
    <t>parvocellular division of VPM</t>
  </si>
  <si>
    <t>&lt;http://purl.obolibrary.org/obo/DHBA_146034766&gt;</t>
  </si>
  <si>
    <t>ventral posteromedial nucleus of the thalamus, parvicellular part</t>
  </si>
  <si>
    <t>&lt;http://purl.obolibrary.org/obo/MBA_741&gt;</t>
  </si>
  <si>
    <t>&lt;http://purl.obolibrary.org/obo/UBERON_0013607&gt;</t>
  </si>
  <si>
    <t>dorsal lateral geniculate nucleus, parvocellular layers</t>
  </si>
  <si>
    <t>&lt;http://purl.obolibrary.org/obo/PBA_128013091&gt;</t>
  </si>
  <si>
    <t>&lt;http://purl.obolibrary.org/obo/UBERON_0002141&gt;</t>
  </si>
  <si>
    <t>parvicellular oculomotor nucleus</t>
  </si>
  <si>
    <t>&lt;http://purl.obolibrary.org/obo/DHBA_12219&gt;</t>
  </si>
  <si>
    <t>Edinger-Westphal nucleus</t>
  </si>
  <si>
    <t>&lt;http://purl.obolibrary.org/obo/HBA_9449&gt;</t>
  </si>
  <si>
    <t>edinger-Westphal nucleus</t>
  </si>
  <si>
    <t>&lt;http://purl.obolibrary.org/obo/MBA_975&gt;</t>
  </si>
  <si>
    <t>&lt;http://purl.obolibrary.org/obo/UBERON_0002938&gt;</t>
  </si>
  <si>
    <t>&lt;http://purl.obolibrary.org/obo/DHBA_12250&gt;</t>
  </si>
  <si>
    <t>parvocellular part of the red nucleus, left</t>
  </si>
  <si>
    <t>&lt;http://purl.obolibrary.org/obo/HBA_9056&gt;</t>
  </si>
  <si>
    <t>&lt;http://purl.obolibrary.org/obo/UBERON_0016633&gt;</t>
  </si>
  <si>
    <t>parvicellular reticular nucleus</t>
  </si>
  <si>
    <t>&lt;http://purl.obolibrary.org/obo/DHBA_12618&gt;</t>
  </si>
  <si>
    <t>&lt;http://purl.obolibrary.org/obo/HBA_9624&gt;</t>
  </si>
  <si>
    <t>&lt;http://purl.obolibrary.org/obo/MBA_852&gt;</t>
  </si>
  <si>
    <t>&lt;http://purl.obolibrary.org/obo/UBERON_0022236&gt;</t>
  </si>
  <si>
    <t>thalamic peduncles</t>
  </si>
  <si>
    <t>&lt;http://purl.obolibrary.org/obo/MBA_365&gt;</t>
  </si>
  <si>
    <t>&lt;http://purl.obolibrary.org/obo/UBERON_0002142&gt;</t>
  </si>
  <si>
    <t>&lt;http://purl.obolibrary.org/obo/UBERON_0034931&gt;</t>
  </si>
  <si>
    <t>perforant path</t>
  </si>
  <si>
    <t>&lt;http://purl.obolibrary.org/obo/DHBA_12080&gt;</t>
  </si>
  <si>
    <t>&lt;http://purl.obolibrary.org/obo/HBA_265505250&gt;</t>
  </si>
  <si>
    <t>&lt;http://purl.obolibrary.org/obo/MBA_713&gt;</t>
  </si>
  <si>
    <t>&lt;http://purl.obolibrary.org/obo/UBERON_0014736&gt;</t>
  </si>
  <si>
    <t>periallocortex</t>
  </si>
  <si>
    <t>&lt;http://purl.obolibrary.org/obo/DHBA_10313&gt;</t>
  </si>
  <si>
    <t>&lt;http://purl.obolibrary.org/obo/UBERON_0002656&gt;</t>
  </si>
  <si>
    <t>cortical amygdaloid nuclei</t>
  </si>
  <si>
    <t>&lt;http://purl.obolibrary.org/obo/DHBA_10373&gt;</t>
  </si>
  <si>
    <t>semilunar gyrus</t>
  </si>
  <si>
    <t>&lt;http://purl.obolibrary.org/obo/DHBA_12169&gt;</t>
  </si>
  <si>
    <t>&lt;http://purl.obolibrary.org/obo/UBERON_0002577&gt;</t>
  </si>
  <si>
    <t>cortex of inferior colliculus</t>
  </si>
  <si>
    <t>&lt;http://purl.obolibrary.org/obo/DHBA_12306&gt;</t>
  </si>
  <si>
    <t>pericentral nucleus of the inferior colliculus, left</t>
  </si>
  <si>
    <t>&lt;http://purl.obolibrary.org/obo/HBA_9106&gt;</t>
  </si>
  <si>
    <t>&lt;http://purl.obolibrary.org/obo/UBERON_0002274&gt;</t>
  </si>
  <si>
    <t>perifornical nucleus</t>
  </si>
  <si>
    <t>&lt;http://purl.obolibrary.org/obo/DHBA_11578&gt;</t>
  </si>
  <si>
    <t>&lt;http://purl.obolibrary.org/obo/HBA_12917&gt;</t>
  </si>
  <si>
    <t>&lt;http://purl.obolibrary.org/obo/UBERON_0002971&gt;</t>
  </si>
  <si>
    <t>periolivary nuclei</t>
  </si>
  <si>
    <t>&lt;http://purl.obolibrary.org/obo/DHBA_12464&gt;</t>
  </si>
  <si>
    <t>periolivary nucleus, left</t>
  </si>
  <si>
    <t>&lt;http://purl.obolibrary.org/obo/HBA_9179&gt;</t>
  </si>
  <si>
    <t>superior olivary complex, periolivary region</t>
  </si>
  <si>
    <t>&lt;http://purl.obolibrary.org/obo/MBA_122&gt;</t>
  </si>
  <si>
    <t>&lt;http://purl.obolibrary.org/obo/UBERON_0002144&gt;</t>
  </si>
  <si>
    <t>&lt;http://purl.obolibrary.org/obo/DHBA_12285&gt;</t>
  </si>
  <si>
    <t>&lt;http://purl.obolibrary.org/obo/HBA_9050&gt;</t>
  </si>
  <si>
    <t>&lt;http://purl.obolibrary.org/obo/UBERON_0006083&gt;</t>
  </si>
  <si>
    <t>perirhinal area</t>
  </si>
  <si>
    <t>&lt;http://purl.obolibrary.org/obo/MBA_922&gt;</t>
  </si>
  <si>
    <t>perirhinal cortex</t>
  </si>
  <si>
    <t>&lt;http://purl.obolibrary.org/obo/PBA_128012080&gt;</t>
  </si>
  <si>
    <t>&lt;http://purl.obolibrary.org/obo/UBERON_0002879&gt;</t>
  </si>
  <si>
    <t>peritrigeminal nucleus</t>
  </si>
  <si>
    <t>&lt;http://purl.obolibrary.org/obo/DHBA_12658&gt;</t>
  </si>
  <si>
    <t>&lt;http://purl.obolibrary.org/obo/HBA_9633&gt;</t>
  </si>
  <si>
    <t>&lt;http://purl.obolibrary.org/obo/UBERON_0002271&gt;</t>
  </si>
  <si>
    <t>periventricular zone</t>
  </si>
  <si>
    <t>&lt;http://purl.obolibrary.org/obo/MBA_157&gt;</t>
  </si>
  <si>
    <t>&lt;http://purl.obolibrary.org/obo/UBERON_0001905&gt;</t>
  </si>
  <si>
    <t>pineal body</t>
  </si>
  <si>
    <t>&lt;http://purl.obolibrary.org/obo/DHBA_10460&gt;</t>
  </si>
  <si>
    <t>pineal gland</t>
  </si>
  <si>
    <t>&lt;http://purl.obolibrary.org/obo/HBA_4532&gt;</t>
  </si>
  <si>
    <t>&lt;http://purl.obolibrary.org/obo/MBA_953&gt;</t>
  </si>
  <si>
    <t>&lt;http://purl.obolibrary.org/obo/UBERON_0011768&gt;</t>
  </si>
  <si>
    <t>pineal stalk</t>
  </si>
  <si>
    <t>&lt;http://purl.obolibrary.org/obo/MBA_730&gt;</t>
  </si>
  <si>
    <t>&lt;http://purl.obolibrary.org/obo/UBERON_0022283&gt;</t>
  </si>
  <si>
    <t>pineal recess of 3V</t>
  </si>
  <si>
    <t>&lt;http://purl.obolibrary.org/obo/DHBA_266441661&gt;</t>
  </si>
  <si>
    <t>&lt;http://purl.obolibrary.org/obo/UBERON_0004725&gt;</t>
  </si>
  <si>
    <t>piriform cortex</t>
  </si>
  <si>
    <t>&lt;http://purl.obolibrary.org/obo/DHBA_10311&gt;</t>
  </si>
  <si>
    <t>&lt;http://purl.obolibrary.org/obo/HBA_10142&gt;</t>
  </si>
  <si>
    <t>&lt;http://purl.obolibrary.org/obo/UBERON_0014280&gt;</t>
  </si>
  <si>
    <t>layer II of piriform cortex</t>
  </si>
  <si>
    <t>&lt;http://purl.obolibrary.org/obo/DHBA_11336&gt;</t>
  </si>
  <si>
    <t>&lt;http://purl.obolibrary.org/obo/UBERON_0000007&gt;</t>
  </si>
  <si>
    <t>pituitary body</t>
  </si>
  <si>
    <t>&lt;http://purl.obolibrary.org/obo/DHBA_10505&gt;</t>
  </si>
  <si>
    <t>&lt;http://purl.obolibrary.org/obo/HBA_4634&gt;</t>
  </si>
  <si>
    <t>&lt;http://purl.obolibrary.org/obo/UBERON_0002434&gt;</t>
  </si>
  <si>
    <t>infundibular stalk</t>
  </si>
  <si>
    <t>&lt;http://purl.obolibrary.org/obo/DHBA_10643&gt;</t>
  </si>
  <si>
    <t>infundibulum</t>
  </si>
  <si>
    <t>&lt;http://purl.obolibrary.org/obo/DMBA_15690&gt;</t>
  </si>
  <si>
    <t>intermediate frontal sulcus</t>
  </si>
  <si>
    <t>&lt;http://purl.obolibrary.org/obo/HBA_9358&gt;</t>
  </si>
  <si>
    <t>&lt;http://purl.obolibrary.org/obo/UBERON_0023861&gt;</t>
  </si>
  <si>
    <t>planum polare</t>
  </si>
  <si>
    <t>&lt;http://purl.obolibrary.org/obo/HBA_4177&gt;</t>
  </si>
  <si>
    <t>&lt;http://purl.obolibrary.org/obo/UBERON_0022268&gt;</t>
  </si>
  <si>
    <t>planum temporale</t>
  </si>
  <si>
    <t>&lt;http://purl.obolibrary.org/obo/DHBA_12145&gt;</t>
  </si>
  <si>
    <t>&lt;http://purl.obolibrary.org/obo/HBA_4171&gt;</t>
  </si>
  <si>
    <t>&lt;http://purl.obolibrary.org/obo/UBERON_0000988&gt;</t>
  </si>
  <si>
    <t>pons</t>
  </si>
  <si>
    <t>&lt;http://purl.obolibrary.org/obo/DHBA_10661&gt;</t>
  </si>
  <si>
    <t>&lt;http://purl.obolibrary.org/obo/HBA_9131&gt;</t>
  </si>
  <si>
    <t>&lt;http://purl.obolibrary.org/obo/MBA_771&gt;</t>
  </si>
  <si>
    <t>&lt;http://purl.obolibrary.org/obo/UBERON_0002151&gt;</t>
  </si>
  <si>
    <t>pontine nucleus</t>
  </si>
  <si>
    <t>&lt;http://purl.obolibrary.org/obo/DHBA_12406&gt;</t>
  </si>
  <si>
    <t>pontine nuclei</t>
  </si>
  <si>
    <t>&lt;http://purl.obolibrary.org/obo/HBA_9133&gt;</t>
  </si>
  <si>
    <t>pontine gray</t>
  </si>
  <si>
    <t>&lt;http://purl.obolibrary.org/obo/MBA_931&gt;</t>
  </si>
  <si>
    <t>&lt;http://purl.obolibrary.org/obo/UBERON_0002047&gt;</t>
  </si>
  <si>
    <t>raphe pontis nucleus</t>
  </si>
  <si>
    <t>&lt;http://purl.obolibrary.org/obo/DHBA_12471&gt;</t>
  </si>
  <si>
    <t>&lt;http://purl.obolibrary.org/obo/DHBA_12475&gt;</t>
  </si>
  <si>
    <t>pontine raphe nucleus,right</t>
  </si>
  <si>
    <t>&lt;http://purl.obolibrary.org/obo/HBA_9159&gt;</t>
  </si>
  <si>
    <t>nucleus raphe pontis</t>
  </si>
  <si>
    <t>&lt;http://purl.obolibrary.org/obo/MBA_238&gt;</t>
  </si>
  <si>
    <t>&lt;http://purl.obolibrary.org/obo/UBERON_0002573&gt;</t>
  </si>
  <si>
    <t>Pontine reticular formation</t>
  </si>
  <si>
    <t>&lt;http://purl.obolibrary.org/obo/DHBA_12480&gt;</t>
  </si>
  <si>
    <t>pontine reticular formation, left</t>
  </si>
  <si>
    <t>&lt;http://purl.obolibrary.org/obo/HBA_9161&gt;</t>
  </si>
  <si>
    <t>&lt;http://purl.obolibrary.org/obo/UBERON_0003023&gt;</t>
  </si>
  <si>
    <t>pontine tegmentum</t>
  </si>
  <si>
    <t>&lt;http://purl.obolibrary.org/obo/DHBA_12416&gt;</t>
  </si>
  <si>
    <t>&lt;http://purl.obolibrary.org/obo/HBA_9135&gt;</t>
  </si>
  <si>
    <t>&lt;http://purl.obolibrary.org/obo/UBERON_0002880&gt;</t>
  </si>
  <si>
    <t>pontobulbar nucleus</t>
  </si>
  <si>
    <t>&lt;http://purl.obolibrary.org/obo/DHBA_12614&gt;</t>
  </si>
  <si>
    <t>&lt;http://purl.obolibrary.org/obo/HBA_9636&gt;</t>
  </si>
  <si>
    <t>&lt;http://purl.obolibrary.org/obo/UBERON_0022421&gt;</t>
  </si>
  <si>
    <t>pontocerebellar tract</t>
  </si>
  <si>
    <t>&lt;http://purl.obolibrary.org/obo/DHBA_12769&gt;</t>
  </si>
  <si>
    <t>ponto-cerebellar tract</t>
  </si>
  <si>
    <t>&lt;http://purl.obolibrary.org/obo/HBA_265505470&gt;</t>
  </si>
  <si>
    <t>&lt;http://purl.obolibrary.org/obo/UBERON_0002581&gt;</t>
  </si>
  <si>
    <t>postcentral gyrus</t>
  </si>
  <si>
    <t>&lt;http://purl.obolibrary.org/obo/DHBA_12132&gt;</t>
  </si>
  <si>
    <t>&lt;http://purl.obolibrary.org/obo/HBA_4085&gt;</t>
  </si>
  <si>
    <t>&lt;http://purl.obolibrary.org/obo/UBERON_0002915&gt;</t>
  </si>
  <si>
    <t>postcentral sulcus</t>
  </si>
  <si>
    <t>&lt;http://purl.obolibrary.org/obo/DHBA_10627&gt;</t>
  </si>
  <si>
    <t>&lt;http://purl.obolibrary.org/obo/HBA_9371&gt;</t>
  </si>
  <si>
    <t>&lt;http://purl.obolibrary.org/obo/UBERON_0003016&gt;</t>
  </si>
  <si>
    <t>postcommissural fornix</t>
  </si>
  <si>
    <t>&lt;http://purl.obolibrary.org/obo/MBA_737&gt;</t>
  </si>
  <si>
    <t>&lt;http://purl.obolibrary.org/obo/UBERON_0022229&gt;</t>
  </si>
  <si>
    <t>posterior amygdalar nucleus</t>
  </si>
  <si>
    <t>&lt;http://purl.obolibrary.org/obo/MBA_780&gt;</t>
  </si>
  <si>
    <t>&lt;http://purl.obolibrary.org/obo/UBERON_0002901&gt;</t>
  </si>
  <si>
    <t>posterior (caudal) cingulate cortex</t>
  </si>
  <si>
    <t>&lt;http://purl.obolibrary.org/obo/DHBA_10285&gt;</t>
  </si>
  <si>
    <t>&lt;http://purl.obolibrary.org/obo/UBERON_0006115&gt;</t>
  </si>
  <si>
    <t>crus of the fornix</t>
  </si>
  <si>
    <t>&lt;http://purl.obolibrary.org/obo/DHBA_10579&gt;</t>
  </si>
  <si>
    <t>posterior column of the fornix, left</t>
  </si>
  <si>
    <t>&lt;http://purl.obolibrary.org/obo/HBA_9254&gt;</t>
  </si>
  <si>
    <t>&lt;http://purl.obolibrary.org/obo/UBERON_0000936&gt;</t>
  </si>
  <si>
    <t>posterior commissure</t>
  </si>
  <si>
    <t>&lt;http://purl.obolibrary.org/obo/DHBA_10567&gt;</t>
  </si>
  <si>
    <t>&lt;http://purl.obolibrary.org/obo/DMBA_17787&gt;</t>
  </si>
  <si>
    <t>&lt;http://purl.obolibrary.org/obo/HBA_9229&gt;</t>
  </si>
  <si>
    <t>&lt;http://purl.obolibrary.org/obo/MBA_158&gt;</t>
  </si>
  <si>
    <t>&lt;http://purl.obolibrary.org/obo/UBERON_0022427&gt;</t>
  </si>
  <si>
    <t>posterior portion of corona radiata</t>
  </si>
  <si>
    <t>&lt;http://purl.obolibrary.org/obo/DHBA_15543&gt;</t>
  </si>
  <si>
    <t>&lt;http://purl.obolibrary.org/obo/UBERON_0011177&gt;</t>
  </si>
  <si>
    <t>bed nuclei of the stria terminalis, posterior division</t>
  </si>
  <si>
    <t>&lt;http://purl.obolibrary.org/obo/MBA_367&gt;</t>
  </si>
  <si>
    <t>&lt;http://purl.obolibrary.org/obo/UBERON_0004672&gt;</t>
  </si>
  <si>
    <t>posterior horn of lateral ventricle</t>
  </si>
  <si>
    <t>&lt;http://purl.obolibrary.org/obo/DHBA_10599&gt;</t>
  </si>
  <si>
    <t>&lt;http://purl.obolibrary.org/obo/UBERON_0002770&gt;</t>
  </si>
  <si>
    <t>mammillary region</t>
  </si>
  <si>
    <t>&lt;http://purl.obolibrary.org/obo/HBA_4665&gt;</t>
  </si>
  <si>
    <t>&lt;http://purl.obolibrary.org/obo/UBERON_0006334&gt;</t>
  </si>
  <si>
    <t>&lt;http://purl.obolibrary.org/obo/UBERON_0014527&gt;</t>
  </si>
  <si>
    <t>posterior limb of internal capsule</t>
  </si>
  <si>
    <t>&lt;http://purl.obolibrary.org/obo/DHBA_10584&gt;</t>
  </si>
  <si>
    <t>&lt;http://purl.obolibrary.org/obo/UBERON_0004002&gt;</t>
  </si>
  <si>
    <t>posterior lobe</t>
  </si>
  <si>
    <t>&lt;http://purl.obolibrary.org/obo/DHBA_12844&gt;</t>
  </si>
  <si>
    <t>&lt;http://purl.obolibrary.org/obo/UBERON_0002652&gt;</t>
  </si>
  <si>
    <t>pontomesencephalic sulcus</t>
  </si>
  <si>
    <t>&lt;http://purl.obolibrary.org/obo/DHBA_12860&gt;</t>
  </si>
  <si>
    <t>&lt;http://purl.obolibrary.org/obo/UBERON_0002709&gt;</t>
  </si>
  <si>
    <t>posterior nuclear complex of thalamus</t>
  </si>
  <si>
    <t>&lt;http://purl.obolibrary.org/obo/DHBA_10428&gt;</t>
  </si>
  <si>
    <t>posterior complex of the thalamus</t>
  </si>
  <si>
    <t>&lt;http://purl.obolibrary.org/obo/MBA_1020&gt;</t>
  </si>
  <si>
    <t>&lt;http://purl.obolibrary.org/obo/UBERON_0002706&gt;</t>
  </si>
  <si>
    <t>&lt;http://purl.obolibrary.org/obo/DHBA_10503&gt;</t>
  </si>
  <si>
    <t>posterior hypothalamic area</t>
  </si>
  <si>
    <t>&lt;http://purl.obolibrary.org/obo/HBA_12910&gt;</t>
  </si>
  <si>
    <t>&lt;http://purl.obolibrary.org/obo/UBERON_0003030&gt;</t>
  </si>
  <si>
    <t>posterior nucleus of thalamus</t>
  </si>
  <si>
    <t>&lt;http://purl.obolibrary.org/obo/DHBA_10440&gt;</t>
  </si>
  <si>
    <t>posterior nucleus of the thalamus, left</t>
  </si>
  <si>
    <t>&lt;http://purl.obolibrary.org/obo/HBA_4431&gt;</t>
  </si>
  <si>
    <t>&lt;http://purl.obolibrary.org/obo/UBERON_0002575&gt;</t>
  </si>
  <si>
    <t>posterior orbital gyrus</t>
  </si>
  <si>
    <t>&lt;http://purl.obolibrary.org/obo/HBA_4056&gt;</t>
  </si>
  <si>
    <t>&lt;http://purl.obolibrary.org/obo/UBERON_0002657&gt;</t>
  </si>
  <si>
    <t>posterior parahippocampal gyrus</t>
  </si>
  <si>
    <t>&lt;http://purl.obolibrary.org/obo/DHBA_12164&gt;</t>
  </si>
  <si>
    <t>&lt;http://purl.obolibrary.org/obo/UBERON_0000433&gt;</t>
  </si>
  <si>
    <t>posterior paraventricular nucleus of thalamus, left</t>
  </si>
  <si>
    <t>&lt;http://purl.obolibrary.org/obo/HBA_4536&gt;</t>
  </si>
  <si>
    <t>&lt;http://purl.obolibrary.org/obo/UBERON_0035886&gt;</t>
  </si>
  <si>
    <t>posterior parietal association areas</t>
  </si>
  <si>
    <t>&lt;http://purl.obolibrary.org/obo/MBA_22&gt;</t>
  </si>
  <si>
    <t>&lt;http://purl.obolibrary.org/obo/UBERON_0034889&gt;</t>
  </si>
  <si>
    <t>posterior parietal cortex</t>
  </si>
  <si>
    <t>&lt;http://purl.obolibrary.org/obo/DHBA_10214&gt;</t>
  </si>
  <si>
    <t>&lt;http://purl.obolibrary.org/obo/UBERON_0002923&gt;</t>
  </si>
  <si>
    <t>caudal parolfactory sulcus</t>
  </si>
  <si>
    <t>&lt;http://purl.obolibrary.org/obo/DHBA_146034828&gt;</t>
  </si>
  <si>
    <t>posterior parolfactory sulcus</t>
  </si>
  <si>
    <t>&lt;http://purl.obolibrary.org/obo/HBA_9369&gt;</t>
  </si>
  <si>
    <t>&lt;http://purl.obolibrary.org/obo/UBERON_0003043&gt;</t>
  </si>
  <si>
    <t>anterior commissure, temporal limb</t>
  </si>
  <si>
    <t>&lt;http://purl.obolibrary.org/obo/MBA_908&gt;</t>
  </si>
  <si>
    <t>&lt;http://purl.obolibrary.org/obo/UBERON_0002708&gt;</t>
  </si>
  <si>
    <t>&lt;http://purl.obolibrary.org/obo/UBERON_0006848&gt;</t>
  </si>
  <si>
    <t>&lt;http://purl.obolibrary.org/obo/UBERON_0035934&gt;</t>
  </si>
  <si>
    <t>paracentral lobule, posterior part</t>
  </si>
  <si>
    <t>&lt;http://purl.obolibrary.org/obo/HBA_4125&gt;</t>
  </si>
  <si>
    <t>&lt;http://purl.obolibrary.org/obo/UBERON_0002753&gt;</t>
  </si>
  <si>
    <t>dorsal spinocerebellar tract</t>
  </si>
  <si>
    <t>&lt;http://purl.obolibrary.org/obo/DHBA_12746&gt;</t>
  </si>
  <si>
    <t>&lt;http://purl.obolibrary.org/obo/DMBA_17761&gt;</t>
  </si>
  <si>
    <t>&lt;http://purl.obolibrary.org/obo/MBA_553&gt;</t>
  </si>
  <si>
    <t>&lt;http://purl.obolibrary.org/obo/UBERON_0002814&gt;</t>
  </si>
  <si>
    <t>superior posterior fissure</t>
  </si>
  <si>
    <t>&lt;http://purl.obolibrary.org/obo/HBA_9411&gt;</t>
  </si>
  <si>
    <t>posterior superior fissure</t>
  </si>
  <si>
    <t>&lt;http://purl.obolibrary.org/obo/MBA_1112&gt;</t>
  </si>
  <si>
    <t>&lt;http://purl.obolibrary.org/obo/UBERON_0034747&gt;</t>
  </si>
  <si>
    <t>posterior thalamic radiation</t>
  </si>
  <si>
    <t>&lt;http://purl.obolibrary.org/obo/DHBA_12053&gt;</t>
  </si>
  <si>
    <t>&lt;http://purl.obolibrary.org/obo/UBERON_0023094&gt;</t>
  </si>
  <si>
    <t>posterodorsal nucleus of medial geniculate complex, left</t>
  </si>
  <si>
    <t>&lt;http://purl.obolibrary.org/obo/HBA_4447&gt;</t>
  </si>
  <si>
    <t>&lt;http://purl.obolibrary.org/obo/UBERON_0034999&gt;</t>
  </si>
  <si>
    <t>posterolateral cortical amygdaloid area</t>
  </si>
  <si>
    <t>&lt;http://purl.obolibrary.org/obo/DMBA_15999&gt;</t>
  </si>
  <si>
    <t>&lt;http://purl.obolibrary.org/obo/UBERON_0002818&gt;</t>
  </si>
  <si>
    <t>posterolateral fissure</t>
  </si>
  <si>
    <t>&lt;http://purl.obolibrary.org/obo/HBA_9417&gt;</t>
  </si>
  <si>
    <t>&lt;http://purl.obolibrary.org/obo/MBA_11&gt;</t>
  </si>
  <si>
    <t>&lt;http://purl.obolibrary.org/obo/UBERON_0035897&gt;</t>
  </si>
  <si>
    <t>posterolateral visual area</t>
  </si>
  <si>
    <t>&lt;http://purl.obolibrary.org/obo/MBA_425&gt;</t>
  </si>
  <si>
    <t>&lt;http://purl.obolibrary.org/obo/UBERON_0035919&gt;</t>
  </si>
  <si>
    <t>posterolateral visual area, layer 4</t>
  </si>
  <si>
    <t>&lt;http://purl.obolibrary.org/obo/MBA_869&gt;</t>
  </si>
  <si>
    <t>&lt;http://purl.obolibrary.org/obo/UBERON_0035001&gt;</t>
  </si>
  <si>
    <t>posteromedial cortical amygdaloid area</t>
  </si>
  <si>
    <t>&lt;http://purl.obolibrary.org/obo/DMBA_15950&gt;</t>
  </si>
  <si>
    <t>&lt;http://purl.obolibrary.org/obo/UBERON_0035900&gt;</t>
  </si>
  <si>
    <t>posteromedial visual area</t>
  </si>
  <si>
    <t>&lt;http://purl.obolibrary.org/obo/MBA_533&gt;</t>
  </si>
  <si>
    <t>&lt;http://purl.obolibrary.org/obo/UBERON_0035914&gt;</t>
  </si>
  <si>
    <t>posteromedial visual area, layer 4</t>
  </si>
  <si>
    <t>&lt;http://purl.obolibrary.org/obo/MBA_501&gt;</t>
  </si>
  <si>
    <t>&lt;http://purl.obolibrary.org/obo/UBERON_0035909&gt;</t>
  </si>
  <si>
    <t>posteromedial visual area, layer 6a</t>
  </si>
  <si>
    <t>&lt;http://purl.obolibrary.org/obo/MBA_257&gt;</t>
  </si>
  <si>
    <t>&lt;http://purl.obolibrary.org/obo/UBERON_0002831&gt;</t>
  </si>
  <si>
    <t>ventral cochlear nucleus, caudal part</t>
  </si>
  <si>
    <t>&lt;http://purl.obolibrary.org/obo/DHBA_12441&gt;</t>
  </si>
  <si>
    <t>posteroventral cochlear nucleus, left</t>
  </si>
  <si>
    <t>&lt;http://purl.obolibrary.org/obo/HBA_9533&gt;</t>
  </si>
  <si>
    <t>&lt;http://purl.obolibrary.org/obo/UBERON_0004922&gt;</t>
  </si>
  <si>
    <t>&lt;http://purl.obolibrary.org/obo/DHBA_10536&gt;</t>
  </si>
  <si>
    <t>subependymal zone</t>
  </si>
  <si>
    <t>&lt;http://purl.obolibrary.org/obo/MBA_98&gt;</t>
  </si>
  <si>
    <t>&lt;http://purl.obolibrary.org/obo/UBERON_0003936&gt;</t>
  </si>
  <si>
    <t>preoptic commissure</t>
  </si>
  <si>
    <t>&lt;http://purl.obolibrary.org/obo/MBA_174&gt;</t>
  </si>
  <si>
    <t>&lt;http://purl.obolibrary.org/obo/UBERON_0035890&gt;</t>
  </si>
  <si>
    <t>postrhinal area</t>
  </si>
  <si>
    <t>&lt;http://purl.obolibrary.org/obo/MBA_312782628&gt;</t>
  </si>
  <si>
    <t>&lt;http://purl.obolibrary.org/obo/UBERON_0035911&gt;</t>
  </si>
  <si>
    <t>postrhinal area, layer 4</t>
  </si>
  <si>
    <t>&lt;http://purl.obolibrary.org/obo/MBA_312782640&gt;</t>
  </si>
  <si>
    <t>&lt;http://purl.obolibrary.org/obo/UBERON_0035971&gt;</t>
  </si>
  <si>
    <t>postsubiculum</t>
  </si>
  <si>
    <t>&lt;http://purl.obolibrary.org/obo/MBA_1037&gt;</t>
  </si>
  <si>
    <t>&lt;http://purl.obolibrary.org/obo/UBERON_0006007&gt;</t>
  </si>
  <si>
    <t>pre-Botzinger complex</t>
  </si>
  <si>
    <t>&lt;http://purl.obolibrary.org/obo/DHBA_12659&gt;</t>
  </si>
  <si>
    <t>&lt;http://purl.obolibrary.org/obo/UBERON_0014473&gt;</t>
  </si>
  <si>
    <t>precentral fissure</t>
  </si>
  <si>
    <t>&lt;http://purl.obolibrary.org/obo/HBA_9407&gt;</t>
  </si>
  <si>
    <t>&lt;http://purl.obolibrary.org/obo/MBA_1087&gt;</t>
  </si>
  <si>
    <t>&lt;http://purl.obolibrary.org/obo/UBERON_0002703&gt;</t>
  </si>
  <si>
    <t>precentral gyrus</t>
  </si>
  <si>
    <t>&lt;http://purl.obolibrary.org/obo/DHBA_12114&gt;</t>
  </si>
  <si>
    <t>&lt;http://purl.obolibrary.org/obo/HBA_4010&gt;</t>
  </si>
  <si>
    <t>&lt;http://purl.obolibrary.org/obo/UBERON_0022252&gt;</t>
  </si>
  <si>
    <t>precentral sulcus</t>
  </si>
  <si>
    <t>&lt;http://purl.obolibrary.org/obo/DHBA_10628&gt;</t>
  </si>
  <si>
    <t>&lt;http://purl.obolibrary.org/obo/HBA_9355&gt;</t>
  </si>
  <si>
    <t>&lt;http://purl.obolibrary.org/obo/UBERON_0035926&gt;</t>
  </si>
  <si>
    <t>preculminate fissure</t>
  </si>
  <si>
    <t>&lt;http://purl.obolibrary.org/obo/HBA_9408&gt;</t>
  </si>
  <si>
    <t>&lt;http://purl.obolibrary.org/obo/MBA_1095&gt;</t>
  </si>
  <si>
    <t>&lt;http://purl.obolibrary.org/obo/UBERON_0006093&gt;</t>
  </si>
  <si>
    <t>precuneus</t>
  </si>
  <si>
    <t>&lt;http://purl.obolibrary.org/obo/DHBA_12137&gt;</t>
  </si>
  <si>
    <t>&lt;http://purl.obolibrary.org/obo/HBA_4118&gt;</t>
  </si>
  <si>
    <t>&lt;http://purl.obolibrary.org/obo/UBERON_0000451&gt;</t>
  </si>
  <si>
    <t>prefrontal cortex</t>
  </si>
  <si>
    <t>&lt;http://purl.obolibrary.org/obo/DHBA_10172&gt;</t>
  </si>
  <si>
    <t>&lt;http://purl.obolibrary.org/obo/UBERON_0002712&gt;</t>
  </si>
  <si>
    <t>premammillary nucleus, left</t>
  </si>
  <si>
    <t>&lt;http://purl.obolibrary.org/obo/HBA_4676&gt;</t>
  </si>
  <si>
    <t>&lt;http://purl.obolibrary.org/obo/UBERON_0016634&gt;</t>
  </si>
  <si>
    <t>premotor cortex (area 6)</t>
  </si>
  <si>
    <t>&lt;http://purl.obolibrary.org/obo/DHBA_10168&gt;</t>
  </si>
  <si>
    <t>secondary motor area</t>
  </si>
  <si>
    <t>&lt;http://purl.obolibrary.org/obo/MBA_993&gt;</t>
  </si>
  <si>
    <t>&lt;http://purl.obolibrary.org/obo/UBERON_0002698&gt;</t>
  </si>
  <si>
    <t>preoccipital notch</t>
  </si>
  <si>
    <t>&lt;http://purl.obolibrary.org/obo/DHBA_10645&gt;</t>
  </si>
  <si>
    <t>&lt;http://purl.obolibrary.org/obo/HBA_9387&gt;</t>
  </si>
  <si>
    <t>&lt;http://purl.obolibrary.org/obo/UBERON_0002976&gt;</t>
  </si>
  <si>
    <t>preolivary nucleus</t>
  </si>
  <si>
    <t>&lt;http://purl.obolibrary.org/obo/DHBA_266441709&gt;</t>
  </si>
  <si>
    <t>preolivary nucleus, left</t>
  </si>
  <si>
    <t>&lt;http://purl.obolibrary.org/obo/HBA_9180&gt;</t>
  </si>
  <si>
    <t>&lt;http://purl.obolibrary.org/obo/UBERON_0001928&gt;</t>
  </si>
  <si>
    <t>preoptic area</t>
  </si>
  <si>
    <t>&lt;http://purl.obolibrary.org/obo/DMBA_15577&gt;</t>
  </si>
  <si>
    <t>preoptic region</t>
  </si>
  <si>
    <t>&lt;http://purl.obolibrary.org/obo/HBA_4541&gt;</t>
  </si>
  <si>
    <t>&lt;http://purl.obolibrary.org/obo/UBERON_0007251&gt;</t>
  </si>
  <si>
    <t>&lt;http://purl.obolibrary.org/obo/UBERON_0002622&gt;</t>
  </si>
  <si>
    <t>&lt;http://purl.obolibrary.org/obo/UBERON_0002816&gt;</t>
  </si>
  <si>
    <t>prepyramidal fissure</t>
  </si>
  <si>
    <t>&lt;http://purl.obolibrary.org/obo/MBA_1119&gt;</t>
  </si>
  <si>
    <t>&lt;http://purl.obolibrary.org/obo/UBERON_0002590&gt;</t>
  </si>
  <si>
    <t>lateral olfactory gyrus</t>
  </si>
  <si>
    <t>&lt;http://purl.obolibrary.org/obo/DHBA_13229&gt;</t>
  </si>
  <si>
    <t>prepiriform region</t>
  </si>
  <si>
    <t>&lt;http://purl.obolibrary.org/obo/DHBA_266441677&gt;</t>
  </si>
  <si>
    <t>piriform area</t>
  </si>
  <si>
    <t>&lt;http://purl.obolibrary.org/obo/MBA_961&gt;</t>
  </si>
  <si>
    <t>&lt;http://purl.obolibrary.org/obo/UBERON_0001953&gt;</t>
  </si>
  <si>
    <t>presubicular cortex (presubiculum)</t>
  </si>
  <si>
    <t>&lt;http://purl.obolibrary.org/obo/DHBA_10315&gt;</t>
  </si>
  <si>
    <t>presubiculum</t>
  </si>
  <si>
    <t>&lt;http://purl.obolibrary.org/obo/DMBA_16172&gt;</t>
  </si>
  <si>
    <t>presubiculum, left</t>
  </si>
  <si>
    <t>&lt;http://purl.obolibrary.org/obo/HBA_4252&gt;</t>
  </si>
  <si>
    <t>&lt;http://purl.obolibrary.org/obo/MBA_1084&gt;</t>
  </si>
  <si>
    <t>&lt;http://purl.obolibrary.org/obo/UBERON_0006598&gt;</t>
  </si>
  <si>
    <t>&lt;http://purl.obolibrary.org/obo/UBERON_0014450&gt;</t>
  </si>
  <si>
    <t>&lt;http://purl.obolibrary.org/obo/UBERON_0001944&gt;</t>
  </si>
  <si>
    <t>&lt;http://purl.obolibrary.org/obo/DHBA_12181&gt;</t>
  </si>
  <si>
    <t>&lt;http://purl.obolibrary.org/obo/HBA_9079&gt;</t>
  </si>
  <si>
    <t>&lt;http://purl.obolibrary.org/obo/UBERON_0034751&gt;</t>
  </si>
  <si>
    <t>primary auditory cortex (core)</t>
  </si>
  <si>
    <t>&lt;http://purl.obolibrary.org/obo/DHBA_10236&gt;</t>
  </si>
  <si>
    <t>&lt;http://purl.obolibrary.org/obo/UBERON_0014471&gt;</t>
  </si>
  <si>
    <t>primary fissure</t>
  </si>
  <si>
    <t>&lt;http://purl.obolibrary.org/obo/HBA_9410&gt;</t>
  </si>
  <si>
    <t>&lt;http://purl.obolibrary.org/obo/MBA_1103&gt;</t>
  </si>
  <si>
    <t>&lt;http://purl.obolibrary.org/obo/UBERON_0001384&gt;</t>
  </si>
  <si>
    <t>posterior frontal cortex (motor cortex)</t>
  </si>
  <si>
    <t>&lt;http://purl.obolibrary.org/obo/DHBA_10162&gt;</t>
  </si>
  <si>
    <t>primary motor area</t>
  </si>
  <si>
    <t>&lt;http://purl.obolibrary.org/obo/MBA_985&gt;</t>
  </si>
  <si>
    <t>&lt;http://purl.obolibrary.org/obo/UBERON_0035873&gt;</t>
  </si>
  <si>
    <t>primary somatosensory area, barrel field, layer 1</t>
  </si>
  <si>
    <t>&lt;http://purl.obolibrary.org/obo/MBA_981&gt;</t>
  </si>
  <si>
    <t>&lt;http://purl.obolibrary.org/obo/UBERON_0035874&gt;</t>
  </si>
  <si>
    <t>primary somatosensory area, barrel field, layer 2/3</t>
  </si>
  <si>
    <t>&lt;http://purl.obolibrary.org/obo/MBA_201&gt;</t>
  </si>
  <si>
    <t>&lt;http://purl.obolibrary.org/obo/UBERON_0035877&gt;</t>
  </si>
  <si>
    <t>primary somatosensory area, barrel field, layer 4</t>
  </si>
  <si>
    <t>&lt;http://purl.obolibrary.org/obo/MBA_1047&gt;</t>
  </si>
  <si>
    <t>&lt;http://purl.obolibrary.org/obo/UBERON_0035872&gt;</t>
  </si>
  <si>
    <t>primary somatosensory area, barrel field, layer 5</t>
  </si>
  <si>
    <t>&lt;http://purl.obolibrary.org/obo/MBA_1070&gt;</t>
  </si>
  <si>
    <t>&lt;http://purl.obolibrary.org/obo/UBERON_0035876&gt;</t>
  </si>
  <si>
    <t>primary somatosensory area, barrel field, layer 6a</t>
  </si>
  <si>
    <t>&lt;http://purl.obolibrary.org/obo/MBA_1038&gt;</t>
  </si>
  <si>
    <t>&lt;http://purl.obolibrary.org/obo/UBERON_0035875&gt;</t>
  </si>
  <si>
    <t>primary somatosensory area, barrel field, layer 6b</t>
  </si>
  <si>
    <t>&lt;http://purl.obolibrary.org/obo/MBA_1062&gt;</t>
  </si>
  <si>
    <t>&lt;http://purl.obolibrary.org/obo/UBERON_0008933&gt;</t>
  </si>
  <si>
    <t>primary somatosensory cortex (area S1, areas 3,1,2)</t>
  </si>
  <si>
    <t>&lt;http://purl.obolibrary.org/obo/DHBA_10209&gt;</t>
  </si>
  <si>
    <t>primary somatosensory area</t>
  </si>
  <si>
    <t>&lt;http://purl.obolibrary.org/obo/MBA_322&gt;</t>
  </si>
  <si>
    <t>&lt;http://purl.obolibrary.org/obo/UBERON_0022434&gt;</t>
  </si>
  <si>
    <t>superior olivary nucleus</t>
  </si>
  <si>
    <t>&lt;http://purl.obolibrary.org/obo/DHBA_12468&gt;</t>
  </si>
  <si>
    <t>superior olive, left</t>
  </si>
  <si>
    <t>&lt;http://purl.obolibrary.org/obo/HBA_9182&gt;</t>
  </si>
  <si>
    <t>&lt;http://purl.obolibrary.org/obo/UBERON_0035907&gt;</t>
  </si>
  <si>
    <t>primary visual area, layer 2/3</t>
  </si>
  <si>
    <t>&lt;http://purl.obolibrary.org/obo/MBA_821&gt;</t>
  </si>
  <si>
    <t>&lt;http://purl.obolibrary.org/obo/UBERON_0035904&gt;</t>
  </si>
  <si>
    <t>primary visual area, layer 4</t>
  </si>
  <si>
    <t>&lt;http://purl.obolibrary.org/obo/MBA_721&gt;</t>
  </si>
  <si>
    <t>&lt;http://purl.obolibrary.org/obo/UBERON_0035906&gt;</t>
  </si>
  <si>
    <t>primary visual area, layer 5</t>
  </si>
  <si>
    <t>&lt;http://purl.obolibrary.org/obo/MBA_778&gt;</t>
  </si>
  <si>
    <t>&lt;http://purl.obolibrary.org/obo/UBERON_0035892&gt;</t>
  </si>
  <si>
    <t>primary visual area, layer 6a</t>
  </si>
  <si>
    <t>&lt;http://purl.obolibrary.org/obo/MBA_33&gt;</t>
  </si>
  <si>
    <t>&lt;http://purl.obolibrary.org/obo/UBERON_0002436&gt;</t>
  </si>
  <si>
    <t>primary visual area</t>
  </si>
  <si>
    <t>&lt;http://purl.obolibrary.org/obo/MBA_385&gt;</t>
  </si>
  <si>
    <t>primary visual cortex (V1, striate cortex, area 17)</t>
  </si>
  <si>
    <t>&lt;http://purl.obolibrary.org/obo/PBA_10026&gt;</t>
  </si>
  <si>
    <t>&lt;http://purl.obolibrary.org/obo/UBERON_0002158&gt;</t>
  </si>
  <si>
    <t>inferior olive, principal nucleus</t>
  </si>
  <si>
    <t>&lt;http://purl.obolibrary.org/obo/DHBA_12610&gt;</t>
  </si>
  <si>
    <t>principal inferior olivary nucleus, left</t>
  </si>
  <si>
    <t>&lt;http://purl.obolibrary.org/obo/HBA_9564&gt;</t>
  </si>
  <si>
    <t>&lt;http://purl.obolibrary.org/obo/UBERON_0011178&gt;</t>
  </si>
  <si>
    <t>bed nuclei of the stria terminalis, posterior division, principal nucleus</t>
  </si>
  <si>
    <t>&lt;http://purl.obolibrary.org/obo/MBA_578&gt;</t>
  </si>
  <si>
    <t>&lt;http://purl.obolibrary.org/obo/UBERON_0002572&gt;</t>
  </si>
  <si>
    <t>&lt;http://purl.obolibrary.org/obo/HBA_9089&gt;</t>
  </si>
  <si>
    <t>&lt;http://purl.obolibrary.org/obo/UBERON_0002597&gt;</t>
  </si>
  <si>
    <t>principal sensory nucleus of trigeminal nerve</t>
  </si>
  <si>
    <t>&lt;http://purl.obolibrary.org/obo/DHBA_12444&gt;</t>
  </si>
  <si>
    <t>principal sensory nucleus of trigeminal nerve, left</t>
  </si>
  <si>
    <t>&lt;http://purl.obolibrary.org/obo/HBA_9207&gt;</t>
  </si>
  <si>
    <t>principal sensory nucleus of the trigeminal</t>
  </si>
  <si>
    <t>&lt;http://purl.obolibrary.org/obo/MBA_7&gt;</t>
  </si>
  <si>
    <t>&lt;http://purl.obolibrary.org/obo/UBERON_0002981&gt;</t>
  </si>
  <si>
    <t>pulvinar of thalamus</t>
  </si>
  <si>
    <t>&lt;http://purl.obolibrary.org/obo/DHBA_10409&gt;</t>
  </si>
  <si>
    <t>&lt;http://purl.obolibrary.org/obo/UBERON_0001874&gt;</t>
  </si>
  <si>
    <t>putamen</t>
  </si>
  <si>
    <t>&lt;http://purl.obolibrary.org/obo/DHBA_10338&gt;</t>
  </si>
  <si>
    <t>&lt;http://purl.obolibrary.org/obo/DMBA_15857&gt;</t>
  </si>
  <si>
    <t>&lt;http://purl.obolibrary.org/obo/HBA_4287&gt;</t>
  </si>
  <si>
    <t>&lt;http://purl.obolibrary.org/obo/PBA_10086&gt;</t>
  </si>
  <si>
    <t>&lt;http://purl.obolibrary.org/obo/UBERON_0005159&gt;</t>
  </si>
  <si>
    <t>pyramidal part of medulla oblongata</t>
  </si>
  <si>
    <t>&lt;http://purl.obolibrary.org/obo/DHBA_12535&gt;</t>
  </si>
  <si>
    <t>&lt;http://purl.obolibrary.org/obo/UBERON_0002755&gt;</t>
  </si>
  <si>
    <t>pyramidal decussation</t>
  </si>
  <si>
    <t>&lt;http://purl.obolibrary.org/obo/DHBA_12772&gt;</t>
  </si>
  <si>
    <t>pyramidal tract decussation</t>
  </si>
  <si>
    <t>&lt;http://purl.obolibrary.org/obo/DMBA_17760&gt;</t>
  </si>
  <si>
    <t>&lt;http://purl.obolibrary.org/obo/HBA_12965&gt;</t>
  </si>
  <si>
    <t>&lt;http://purl.obolibrary.org/obo/MBA_198&gt;</t>
  </si>
  <si>
    <t>&lt;http://purl.obolibrary.org/obo/UBERON_0014548&gt;</t>
  </si>
  <si>
    <t>Field CA1, stratum pyramidale</t>
  </si>
  <si>
    <t>&lt;http://purl.obolibrary.org/obo/DMBA_16133&gt;</t>
  </si>
  <si>
    <t>field CA1, pyramidal layer</t>
  </si>
  <si>
    <t>&lt;http://purl.obolibrary.org/obo/MBA_407&gt;</t>
  </si>
  <si>
    <t>stratum pyramidale of CA1</t>
  </si>
  <si>
    <t>&lt;http://purl.obolibrary.org/obo/PBA_10060&gt;</t>
  </si>
  <si>
    <t>&lt;http://purl.obolibrary.org/obo/UBERON_0014549&gt;</t>
  </si>
  <si>
    <t>field CA2, pyramidal layer</t>
  </si>
  <si>
    <t>&lt;http://purl.obolibrary.org/obo/MBA_446&gt;</t>
  </si>
  <si>
    <t>stratum pyramidale of CA2</t>
  </si>
  <si>
    <t>&lt;http://purl.obolibrary.org/obo/PBA_10065&gt;</t>
  </si>
  <si>
    <t>&lt;http://purl.obolibrary.org/obo/UBERON_0014550&gt;</t>
  </si>
  <si>
    <t>field CA3, pyramidal layer</t>
  </si>
  <si>
    <t>&lt;http://purl.obolibrary.org/obo/MBA_495&gt;</t>
  </si>
  <si>
    <t>stratum pyramidale of CA3</t>
  </si>
  <si>
    <t>&lt;http://purl.obolibrary.org/obo/PBA_10070&gt;</t>
  </si>
  <si>
    <t>&lt;http://purl.obolibrary.org/obo/UBERON_0035924&gt;</t>
  </si>
  <si>
    <t>radiations of corpus callosum</t>
  </si>
  <si>
    <t>&lt;http://purl.obolibrary.org/obo/DHBA_12026&gt;</t>
  </si>
  <si>
    <t>&lt;http://purl.obolibrary.org/obo/HBA_265504962&gt;</t>
  </si>
  <si>
    <t>&lt;http://purl.obolibrary.org/obo/UBERON_0001947&gt;</t>
  </si>
  <si>
    <t>red nucleus</t>
  </si>
  <si>
    <t>&lt;http://purl.obolibrary.org/obo/DHBA_12247&gt;</t>
  </si>
  <si>
    <t>&lt;http://purl.obolibrary.org/obo/HBA_9053&gt;</t>
  </si>
  <si>
    <t>&lt;http://purl.obolibrary.org/obo/MBA_214&gt;</t>
  </si>
  <si>
    <t>&lt;http://purl.obolibrary.org/obo/UBERON_0002749&gt;</t>
  </si>
  <si>
    <t>vermis, anterior lobe portion</t>
  </si>
  <si>
    <t>&lt;http://purl.obolibrary.org/obo/DHBA_12379&gt;</t>
  </si>
  <si>
    <t>vermis, posterior lobe portion</t>
  </si>
  <si>
    <t>&lt;http://purl.obolibrary.org/obo/DHBA_12380&gt;</t>
  </si>
  <si>
    <t>vermis, posterior lobe portion, superior part</t>
  </si>
  <si>
    <t>&lt;http://purl.obolibrary.org/obo/DHBA_12381&gt;</t>
  </si>
  <si>
    <t>vermis, posterior lobe portion, inferior part</t>
  </si>
  <si>
    <t>&lt;http://purl.obolibrary.org/obo/DHBA_12382&gt;</t>
  </si>
  <si>
    <t>vermis, flocculonodular lobe portion (nodulus)</t>
  </si>
  <si>
    <t>&lt;http://purl.obolibrary.org/obo/DHBA_12383&gt;</t>
  </si>
  <si>
    <t>paravermis, posterior lobe portion, superior part</t>
  </si>
  <si>
    <t>&lt;http://purl.obolibrary.org/obo/DHBA_12387&gt;</t>
  </si>
  <si>
    <t>paravermis, posterior lobe portion, inferior part</t>
  </si>
  <si>
    <t>&lt;http://purl.obolibrary.org/obo/DHBA_12388&gt;</t>
  </si>
  <si>
    <t>lateral hemisphere, anterior lobe portion</t>
  </si>
  <si>
    <t>&lt;http://purl.obolibrary.org/obo/DHBA_12391&gt;</t>
  </si>
  <si>
    <t>lateral hemisphere, posterior lobe portion</t>
  </si>
  <si>
    <t>&lt;http://purl.obolibrary.org/obo/DHBA_12392&gt;</t>
  </si>
  <si>
    <t>lateral hemisphere, posterior lobe portion, superior part</t>
  </si>
  <si>
    <t>&lt;http://purl.obolibrary.org/obo/DHBA_12393&gt;</t>
  </si>
  <si>
    <t>lateral hemisphere, posterior lobe portion, inferior part</t>
  </si>
  <si>
    <t>&lt;http://purl.obolibrary.org/obo/DHBA_12394&gt;</t>
  </si>
  <si>
    <t>lateral hemisphere, flocculonodular lobe portion</t>
  </si>
  <si>
    <t>&lt;http://purl.obolibrary.org/obo/DHBA_12395&gt;</t>
  </si>
  <si>
    <t>lobule I (lingula)</t>
  </si>
  <si>
    <t>&lt;http://purl.obolibrary.org/obo/DHBA_12839&gt;</t>
  </si>
  <si>
    <t>lobule II (central lobule and wing, anterior part)</t>
  </si>
  <si>
    <t>&lt;http://purl.obolibrary.org/obo/DHBA_12840&gt;</t>
  </si>
  <si>
    <t>lobule VIIIA (pyramis and biventral lobule, anterior part)</t>
  </si>
  <si>
    <t>&lt;http://purl.obolibrary.org/obo/DHBA_12849&gt;</t>
  </si>
  <si>
    <t>molecular layer of VeA</t>
  </si>
  <si>
    <t>&lt;http://purl.obolibrary.org/obo/DHBA_13237&gt;</t>
  </si>
  <si>
    <t>Purkinje cell layer of VeA</t>
  </si>
  <si>
    <t>&lt;http://purl.obolibrary.org/obo/DHBA_13238&gt;</t>
  </si>
  <si>
    <t>granular cell layer of VeA</t>
  </si>
  <si>
    <t>&lt;http://purl.obolibrary.org/obo/DHBA_13239&gt;</t>
  </si>
  <si>
    <t>molecular layer of VePs</t>
  </si>
  <si>
    <t>&lt;http://purl.obolibrary.org/obo/DHBA_13240&gt;</t>
  </si>
  <si>
    <t>Purkinje cell layer of VePs</t>
  </si>
  <si>
    <t>&lt;http://purl.obolibrary.org/obo/DHBA_13241&gt;</t>
  </si>
  <si>
    <t>granular cell layer of VePs</t>
  </si>
  <si>
    <t>&lt;http://purl.obolibrary.org/obo/DHBA_13242&gt;</t>
  </si>
  <si>
    <t>molecular layer of VePi</t>
  </si>
  <si>
    <t>&lt;http://purl.obolibrary.org/obo/DHBA_13243&gt;</t>
  </si>
  <si>
    <t>Purkinje cell layer of VePi</t>
  </si>
  <si>
    <t>&lt;http://purl.obolibrary.org/obo/DHBA_13244&gt;</t>
  </si>
  <si>
    <t>granular cell layer of VePi</t>
  </si>
  <si>
    <t>&lt;http://purl.obolibrary.org/obo/DHBA_13245&gt;</t>
  </si>
  <si>
    <t>molecular layer of VeF</t>
  </si>
  <si>
    <t>&lt;http://purl.obolibrary.org/obo/DHBA_13246&gt;</t>
  </si>
  <si>
    <t>Purkinje cell layer of VeF</t>
  </si>
  <si>
    <t>&lt;http://purl.obolibrary.org/obo/DHBA_13247&gt;</t>
  </si>
  <si>
    <t>granular cell layer of VeF</t>
  </si>
  <si>
    <t>&lt;http://purl.obolibrary.org/obo/DHBA_13248&gt;</t>
  </si>
  <si>
    <t>molecular layer of PVA</t>
  </si>
  <si>
    <t>&lt;http://purl.obolibrary.org/obo/DHBA_13249&gt;</t>
  </si>
  <si>
    <t>Purkinje cell layer of PVA</t>
  </si>
  <si>
    <t>&lt;http://purl.obolibrary.org/obo/DHBA_13250&gt;</t>
  </si>
  <si>
    <t>granular cell layer of PVA</t>
  </si>
  <si>
    <t>&lt;http://purl.obolibrary.org/obo/DHBA_13251&gt;</t>
  </si>
  <si>
    <t>molecular layer of PVPs</t>
  </si>
  <si>
    <t>&lt;http://purl.obolibrary.org/obo/DHBA_13252&gt;</t>
  </si>
  <si>
    <t>Purkinje cell layer of PVPs</t>
  </si>
  <si>
    <t>&lt;http://purl.obolibrary.org/obo/DHBA_13253&gt;</t>
  </si>
  <si>
    <t>granular cell layer of PVPs</t>
  </si>
  <si>
    <t>&lt;http://purl.obolibrary.org/obo/DHBA_13254&gt;</t>
  </si>
  <si>
    <t>molecular layer of PVPi</t>
  </si>
  <si>
    <t>&lt;http://purl.obolibrary.org/obo/DHBA_13255&gt;</t>
  </si>
  <si>
    <t>Purkinje cell layer of PVPi</t>
  </si>
  <si>
    <t>&lt;http://purl.obolibrary.org/obo/DHBA_13256&gt;</t>
  </si>
  <si>
    <t>granular cell layer of PVPi</t>
  </si>
  <si>
    <t>&lt;http://purl.obolibrary.org/obo/DHBA_13257&gt;</t>
  </si>
  <si>
    <t>molecular layer of CBLA</t>
  </si>
  <si>
    <t>&lt;http://purl.obolibrary.org/obo/DHBA_13261&gt;</t>
  </si>
  <si>
    <t>Purkinje cell layer of CBLA</t>
  </si>
  <si>
    <t>&lt;http://purl.obolibrary.org/obo/DHBA_13262&gt;</t>
  </si>
  <si>
    <t>granular cell layer of CBLA</t>
  </si>
  <si>
    <t>&lt;http://purl.obolibrary.org/obo/DHBA_13263&gt;</t>
  </si>
  <si>
    <t>molecular layer of CBLPs</t>
  </si>
  <si>
    <t>&lt;http://purl.obolibrary.org/obo/DHBA_13264&gt;</t>
  </si>
  <si>
    <t>Purkinje cell layer of CBLPs</t>
  </si>
  <si>
    <t>&lt;http://purl.obolibrary.org/obo/DHBA_13265&gt;</t>
  </si>
  <si>
    <t>granular cell layer of CBLPs</t>
  </si>
  <si>
    <t>&lt;http://purl.obolibrary.org/obo/DHBA_13266&gt;</t>
  </si>
  <si>
    <t>molecular layer of CBLPi</t>
  </si>
  <si>
    <t>&lt;http://purl.obolibrary.org/obo/DHBA_13267&gt;</t>
  </si>
  <si>
    <t>Purkinje cell layer of CBLPi</t>
  </si>
  <si>
    <t>&lt;http://purl.obolibrary.org/obo/DHBA_13268&gt;</t>
  </si>
  <si>
    <t>granular cell layer of CBLPi</t>
  </si>
  <si>
    <t>&lt;http://purl.obolibrary.org/obo/DHBA_13269&gt;</t>
  </si>
  <si>
    <t>molecular layer of CBLF</t>
  </si>
  <si>
    <t>&lt;http://purl.obolibrary.org/obo/DHBA_13270&gt;</t>
  </si>
  <si>
    <t>Purkinje cell layer of CBLF</t>
  </si>
  <si>
    <t>&lt;http://purl.obolibrary.org/obo/DHBA_13271&gt;</t>
  </si>
  <si>
    <t>granular cell layer of CBLF</t>
  </si>
  <si>
    <t>&lt;http://purl.obolibrary.org/obo/DHBA_13272&gt;</t>
  </si>
  <si>
    <t>rhombic lip of cerebellar vermis</t>
  </si>
  <si>
    <t>&lt;http://purl.obolibrary.org/obo/DMBA_16815&gt;</t>
  </si>
  <si>
    <t>external granular layer of CbV</t>
  </si>
  <si>
    <t>&lt;http://purl.obolibrary.org/obo/DMBA_16816&gt;</t>
  </si>
  <si>
    <t>ventricular zone of cerebellar vermis</t>
  </si>
  <si>
    <t>&lt;http://purl.obolibrary.org/obo/DMBA_16817&gt;</t>
  </si>
  <si>
    <t>mantle zone of cerebellar vermis</t>
  </si>
  <si>
    <t>&lt;http://purl.obolibrary.org/obo/DMBA_16818&gt;</t>
  </si>
  <si>
    <t>periventricular stratum of cerebellar vermis</t>
  </si>
  <si>
    <t>&lt;http://purl.obolibrary.org/obo/DMBA_16819&gt;</t>
  </si>
  <si>
    <t>white matter of cerebellar vermis</t>
  </si>
  <si>
    <t>&lt;http://purl.obolibrary.org/obo/DMBA_16820&gt;</t>
  </si>
  <si>
    <t>intermediate stratum of cerebellar vermis</t>
  </si>
  <si>
    <t>&lt;http://purl.obolibrary.org/obo/DMBA_16821&gt;</t>
  </si>
  <si>
    <t>cerebellar nuclei of CbV</t>
  </si>
  <si>
    <t>&lt;http://purl.obolibrary.org/obo/DMBA_16822&gt;</t>
  </si>
  <si>
    <t>medial (main) part of Med</t>
  </si>
  <si>
    <t>&lt;http://purl.obolibrary.org/obo/DMBA_16824&gt;</t>
  </si>
  <si>
    <t>lateral part of Med</t>
  </si>
  <si>
    <t>&lt;http://purl.obolibrary.org/obo/DMBA_16825&gt;</t>
  </si>
  <si>
    <t>dorsolateral part of Med</t>
  </si>
  <si>
    <t>&lt;http://purl.obolibrary.org/obo/DMBA_16826&gt;</t>
  </si>
  <si>
    <t>isthmic vestibulocerebellar nucleus</t>
  </si>
  <si>
    <t>&lt;http://purl.obolibrary.org/obo/DMBA_16827&gt;</t>
  </si>
  <si>
    <t>superficial stratum of cerebellar vermis</t>
  </si>
  <si>
    <t>&lt;http://purl.obolibrary.org/obo/DMBA_16828&gt;</t>
  </si>
  <si>
    <t>cortex of cerebellar vermis</t>
  </si>
  <si>
    <t>&lt;http://purl.obolibrary.org/obo/DMBA_16829&gt;</t>
  </si>
  <si>
    <t>lobule 1 of cerebellar vermis</t>
  </si>
  <si>
    <t>&lt;http://purl.obolibrary.org/obo/DMBA_16830&gt;</t>
  </si>
  <si>
    <t>lobule 2 of cerebellar vermis</t>
  </si>
  <si>
    <t>&lt;http://purl.obolibrary.org/obo/DMBA_16831&gt;</t>
  </si>
  <si>
    <t>lobule 3 of cerebellar vermis</t>
  </si>
  <si>
    <t>&lt;http://purl.obolibrary.org/obo/DMBA_16832&gt;</t>
  </si>
  <si>
    <t>lobule 4 of cerebellar vermis</t>
  </si>
  <si>
    <t>&lt;http://purl.obolibrary.org/obo/DMBA_16833&gt;</t>
  </si>
  <si>
    <t>lobule 5 of cerebellar vermis</t>
  </si>
  <si>
    <t>&lt;http://purl.obolibrary.org/obo/DMBA_16834&gt;</t>
  </si>
  <si>
    <t>lobule 6 of cerebellar vermis</t>
  </si>
  <si>
    <t>&lt;http://purl.obolibrary.org/obo/DMBA_16835&gt;</t>
  </si>
  <si>
    <t>lobule 7 of cerebellar vermis</t>
  </si>
  <si>
    <t>&lt;http://purl.obolibrary.org/obo/DMBA_16836&gt;</t>
  </si>
  <si>
    <t>lobule 8 of cerebellar vermis</t>
  </si>
  <si>
    <t>&lt;http://purl.obolibrary.org/obo/DMBA_16837&gt;</t>
  </si>
  <si>
    <t>lobule 9 of cerebellar vermis</t>
  </si>
  <si>
    <t>&lt;http://purl.obolibrary.org/obo/DMBA_16838&gt;</t>
  </si>
  <si>
    <t>lobule 10 of cerebellar vermis</t>
  </si>
  <si>
    <t>&lt;http://purl.obolibrary.org/obo/DMBA_16839&gt;</t>
  </si>
  <si>
    <t>molecular layer of CbVCx</t>
  </si>
  <si>
    <t>&lt;http://purl.obolibrary.org/obo/DMBA_16840&gt;</t>
  </si>
  <si>
    <t>Purkinje cell layer of CbVCx</t>
  </si>
  <si>
    <t>&lt;http://purl.obolibrary.org/obo/DMBA_16841&gt;</t>
  </si>
  <si>
    <t>internal granular layer of CbVCx</t>
  </si>
  <si>
    <t>&lt;http://purl.obolibrary.org/obo/DMBA_16842&gt;</t>
  </si>
  <si>
    <t>external granular layer of CbH</t>
  </si>
  <si>
    <t>&lt;http://purl.obolibrary.org/obo/DMBA_16921&gt;</t>
  </si>
  <si>
    <t>ventricular zone of CbH</t>
  </si>
  <si>
    <t>&lt;http://purl.obolibrary.org/obo/DMBA_16922&gt;</t>
  </si>
  <si>
    <t>rhombic lip of CbH</t>
  </si>
  <si>
    <t>&lt;http://purl.obolibrary.org/obo/DMBA_16923&gt;</t>
  </si>
  <si>
    <t>mantle zone of CbH</t>
  </si>
  <si>
    <t>&lt;http://purl.obolibrary.org/obo/DMBA_16924&gt;</t>
  </si>
  <si>
    <t>periventricular stratum of CbH</t>
  </si>
  <si>
    <t>&lt;http://purl.obolibrary.org/obo/DMBA_16925&gt;</t>
  </si>
  <si>
    <t>intermediate stratum of CbH</t>
  </si>
  <si>
    <t>&lt;http://purl.obolibrary.org/obo/DMBA_16927&gt;</t>
  </si>
  <si>
    <t>cerebellar nuclei of CbH</t>
  </si>
  <si>
    <t>&lt;http://purl.obolibrary.org/obo/DMBA_16928&gt;</t>
  </si>
  <si>
    <t>dorsolateral part of Int</t>
  </si>
  <si>
    <t>&lt;http://purl.obolibrary.org/obo/DMBA_16931&gt;</t>
  </si>
  <si>
    <t>lateral (dentate) cerebellar nucleus</t>
  </si>
  <si>
    <t>&lt;http://purl.obolibrary.org/obo/DMBA_16933&gt;</t>
  </si>
  <si>
    <t>dorsolateral part of Lat</t>
  </si>
  <si>
    <t>&lt;http://purl.obolibrary.org/obo/DMBA_16934&gt;</t>
  </si>
  <si>
    <t>parvicellular part of Lat</t>
  </si>
  <si>
    <t>&lt;http://purl.obolibrary.org/obo/DMBA_16935&gt;</t>
  </si>
  <si>
    <t>r1 part of vestibulocerebellar nucleus</t>
  </si>
  <si>
    <t>&lt;http://purl.obolibrary.org/obo/DMBA_16936&gt;</t>
  </si>
  <si>
    <t>A4 noradrenergic cell group</t>
  </si>
  <si>
    <t>&lt;http://purl.obolibrary.org/obo/DMBA_16937&gt;</t>
  </si>
  <si>
    <t>superficial stratum of cerebellar hemisphere</t>
  </si>
  <si>
    <t>&lt;http://purl.obolibrary.org/obo/DMBA_16938&gt;</t>
  </si>
  <si>
    <t>crus 1 of the ansiform lobule</t>
  </si>
  <si>
    <t>&lt;http://purl.obolibrary.org/obo/DMBA_16941&gt;</t>
  </si>
  <si>
    <t>crus 2 of the ansiform lobule</t>
  </si>
  <si>
    <t>&lt;http://purl.obolibrary.org/obo/DMBA_16942&gt;</t>
  </si>
  <si>
    <t>copula of the pyramis</t>
  </si>
  <si>
    <t>&lt;http://purl.obolibrary.org/obo/DMBA_16944&gt;</t>
  </si>
  <si>
    <t>molecular layer of CbHCx</t>
  </si>
  <si>
    <t>&lt;http://purl.obolibrary.org/obo/DMBA_16947&gt;</t>
  </si>
  <si>
    <t>Purkinje cell layer of CbHCx</t>
  </si>
  <si>
    <t>&lt;http://purl.obolibrary.org/obo/DMBA_16948&gt;</t>
  </si>
  <si>
    <t>internal granular layer of CbHCx</t>
  </si>
  <si>
    <t>&lt;http://purl.obolibrary.org/obo/DMBA_16949&gt;</t>
  </si>
  <si>
    <t>superficial presubicular path</t>
  </si>
  <si>
    <t>&lt;http://purl.obolibrary.org/obo/HBA_265505362&gt;</t>
  </si>
  <si>
    <t>superficial presubicular path, left</t>
  </si>
  <si>
    <t>&lt;http://purl.obolibrary.org/obo/HBA_265505366&gt;</t>
  </si>
  <si>
    <t>superficial presubicular path, right</t>
  </si>
  <si>
    <t>&lt;http://purl.obolibrary.org/obo/HBA_265505370&gt;</t>
  </si>
  <si>
    <t>I-II</t>
  </si>
  <si>
    <t>&lt;http://purl.obolibrary.org/obo/HBA_4700&gt;</t>
  </si>
  <si>
    <t>&lt;http://purl.obolibrary.org/obo/HBA_4701&gt;</t>
  </si>
  <si>
    <t>&lt;http://purl.obolibrary.org/obo/HBA_4702&gt;</t>
  </si>
  <si>
    <t>&lt;http://purl.obolibrary.org/obo/HBA_4703&gt;</t>
  </si>
  <si>
    <t>&lt;http://purl.obolibrary.org/obo/HBA_4705&gt;</t>
  </si>
  <si>
    <t>VIIIA</t>
  </si>
  <si>
    <t>&lt;http://purl.obolibrary.org/obo/HBA_4709&gt;</t>
  </si>
  <si>
    <t>&lt;http://purl.obolibrary.org/obo/HBA_4710&gt;</t>
  </si>
  <si>
    <t>&lt;http://purl.obolibrary.org/obo/HBA_4711&gt;</t>
  </si>
  <si>
    <t>Flocculonodular Lobe of the Vermis</t>
  </si>
  <si>
    <t>&lt;http://purl.obolibrary.org/obo/HBA_4712&gt;</t>
  </si>
  <si>
    <t>copula pyramidis, granular layer</t>
  </si>
  <si>
    <t>&lt;http://purl.obolibrary.org/obo/MBA_10684&gt;</t>
  </si>
  <si>
    <t>copula pyramidis, Purkinje layer</t>
  </si>
  <si>
    <t>&lt;http://purl.obolibrary.org/obo/MBA_10685&gt;</t>
  </si>
  <si>
    <t>copula pyramidis, molecular layer</t>
  </si>
  <si>
    <t>&lt;http://purl.obolibrary.org/obo/MBA_10686&gt;</t>
  </si>
  <si>
    <t>intermediate zone of rostral cingulate cortex</t>
  </si>
  <si>
    <t>&lt;http://purl.obolibrary.org/obo/PBA_128011650&gt;</t>
  </si>
  <si>
    <t>intermediate zone of S1</t>
  </si>
  <si>
    <t>&lt;http://purl.obolibrary.org/obo/PBA_128011824&gt;</t>
  </si>
  <si>
    <t>intermediate cell dense zone of V1</t>
  </si>
  <si>
    <t>&lt;http://purl.obolibrary.org/obo/PBA_128012470&gt;</t>
  </si>
  <si>
    <t>intermediate zone of V1</t>
  </si>
  <si>
    <t>&lt;http://purl.obolibrary.org/obo/PBA_128012474&gt;</t>
  </si>
  <si>
    <t>&lt;http://purl.obolibrary.org/obo/UBERON_0001948&gt;</t>
  </si>
  <si>
    <t>central glial substance</t>
  </si>
  <si>
    <t>&lt;http://purl.obolibrary.org/obo/DHBA_12647&gt;</t>
  </si>
  <si>
    <t>laminar I of spinal cord</t>
  </si>
  <si>
    <t>&lt;http://purl.obolibrary.org/obo/DHBA_146035052&gt;</t>
  </si>
  <si>
    <t>laminar II of spinal cord</t>
  </si>
  <si>
    <t>&lt;http://purl.obolibrary.org/obo/DHBA_146035056&gt;</t>
  </si>
  <si>
    <t>laminar III and IV of spinal cord</t>
  </si>
  <si>
    <t>&lt;http://purl.obolibrary.org/obo/DHBA_146035060&gt;</t>
  </si>
  <si>
    <t>laminar V and VI of spinal cord</t>
  </si>
  <si>
    <t>&lt;http://purl.obolibrary.org/obo/DHBA_146035064&gt;</t>
  </si>
  <si>
    <t>laminar VII of spinal cord</t>
  </si>
  <si>
    <t>&lt;http://purl.obolibrary.org/obo/DHBA_146035068&gt;</t>
  </si>
  <si>
    <t>central cervical nucleus of spinal cord</t>
  </si>
  <si>
    <t>&lt;http://purl.obolibrary.org/obo/DHBA_146035072&gt;</t>
  </si>
  <si>
    <t>laminar VIII of spinal cord</t>
  </si>
  <si>
    <t>&lt;http://purl.obolibrary.org/obo/DHBA_146035076&gt;</t>
  </si>
  <si>
    <t>laminar IX of spinal cord</t>
  </si>
  <si>
    <t>&lt;http://purl.obolibrary.org/obo/DHBA_146035080&gt;</t>
  </si>
  <si>
    <t>laminar X of spinal cord</t>
  </si>
  <si>
    <t>&lt;http://purl.obolibrary.org/obo/DHBA_146035084&gt;</t>
  </si>
  <si>
    <t>white matter of spinal cord</t>
  </si>
  <si>
    <t>&lt;http://purl.obolibrary.org/obo/DHBA_146035088&gt;</t>
  </si>
  <si>
    <t>dorsal fasciculus of spinal cord</t>
  </si>
  <si>
    <t>&lt;http://purl.obolibrary.org/obo/DHBA_146035092&gt;</t>
  </si>
  <si>
    <t>lateral fasciculus of spinal cord</t>
  </si>
  <si>
    <t>&lt;http://purl.obolibrary.org/obo/DHBA_146035096&gt;</t>
  </si>
  <si>
    <t>posterior lateral tract of spinal cord</t>
  </si>
  <si>
    <t>&lt;http://purl.obolibrary.org/obo/DHBA_146035100&gt;</t>
  </si>
  <si>
    <t>ventral fasciculus of spinal cord</t>
  </si>
  <si>
    <t>&lt;http://purl.obolibrary.org/obo/DHBA_146035104&gt;</t>
  </si>
  <si>
    <t>central canal and ependyma of spinal cord</t>
  </si>
  <si>
    <t>&lt;http://purl.obolibrary.org/obo/DHBA_146035112&gt;</t>
  </si>
  <si>
    <t>surface structures of spinal cord</t>
  </si>
  <si>
    <t>&lt;http://purl.obolibrary.org/obo/DHBA_146035116&gt;</t>
  </si>
  <si>
    <t>ventral (anterior) median spinal sulcus</t>
  </si>
  <si>
    <t>&lt;http://purl.obolibrary.org/obo/DHBA_146035124&gt;</t>
  </si>
  <si>
    <t>blood vessels of spinal cord</t>
  </si>
  <si>
    <t>&lt;http://purl.obolibrary.org/obo/DHBA_266441741&gt;</t>
  </si>
  <si>
    <t>ventricular zone of SpA</t>
  </si>
  <si>
    <t>&lt;http://purl.obolibrary.org/obo/DMBA_111220942&gt;</t>
  </si>
  <si>
    <t>mantle zone of SpA</t>
  </si>
  <si>
    <t>&lt;http://purl.obolibrary.org/obo/DMBA_111220944&gt;</t>
  </si>
  <si>
    <t>ventricular zone of SpB</t>
  </si>
  <si>
    <t>&lt;http://purl.obolibrary.org/obo/DMBA_111220946&gt;</t>
  </si>
  <si>
    <t>mantle zone of SpB</t>
  </si>
  <si>
    <t>&lt;http://purl.obolibrary.org/obo/DMBA_111220948&gt;</t>
  </si>
  <si>
    <t>ventricular zone of SpF</t>
  </si>
  <si>
    <t>&lt;http://purl.obolibrary.org/obo/DMBA_112892439&gt;</t>
  </si>
  <si>
    <t>mantle zone of SpF</t>
  </si>
  <si>
    <t>&lt;http://purl.obolibrary.org/obo/DMBA_112892441&gt;</t>
  </si>
  <si>
    <t>periventricular stratum of SpF</t>
  </si>
  <si>
    <t>&lt;http://purl.obolibrary.org/obo/DMBA_112892443&gt;</t>
  </si>
  <si>
    <t>intermediate stratum of SpF</t>
  </si>
  <si>
    <t>&lt;http://purl.obolibrary.org/obo/DMBA_112892445&gt;</t>
  </si>
  <si>
    <t>superficial stratum of SpF</t>
  </si>
  <si>
    <t>&lt;http://purl.obolibrary.org/obo/DMBA_112892447&gt;</t>
  </si>
  <si>
    <t>ventricles, SpC roof plate</t>
  </si>
  <si>
    <t>&lt;http://purl.obolibrary.org/obo/DMBA_126652046&gt;</t>
  </si>
  <si>
    <t>ventricles, SpC alar plate</t>
  </si>
  <si>
    <t>&lt;http://purl.obolibrary.org/obo/DMBA_126652050&gt;</t>
  </si>
  <si>
    <t>ventricles, SpC basal plate (anterior horn)</t>
  </si>
  <si>
    <t>&lt;http://purl.obolibrary.org/obo/DMBA_126652054&gt;</t>
  </si>
  <si>
    <t>ventricles, SpC floor plate</t>
  </si>
  <si>
    <t>&lt;http://purl.obolibrary.org/obo/DMBA_126652058&gt;</t>
  </si>
  <si>
    <t>SpC roof plate</t>
  </si>
  <si>
    <t>&lt;http://purl.obolibrary.org/obo/DMBA_17652&gt;</t>
  </si>
  <si>
    <t>SpC alar plate</t>
  </si>
  <si>
    <t>&lt;http://purl.obolibrary.org/obo/DMBA_17653&gt;</t>
  </si>
  <si>
    <t>medial (cornucommissural) part of the spinal alar plate</t>
  </si>
  <si>
    <t>&lt;http://purl.obolibrary.org/obo/DMBA_17654&gt;</t>
  </si>
  <si>
    <t>ventricular zone of the SpAM</t>
  </si>
  <si>
    <t>&lt;http://purl.obolibrary.org/obo/DMBA_17655&gt;</t>
  </si>
  <si>
    <t>mantle zone of the SpAM</t>
  </si>
  <si>
    <t>&lt;http://purl.obolibrary.org/obo/DMBA_17656&gt;</t>
  </si>
  <si>
    <t>periventricular stratum of the SpAM</t>
  </si>
  <si>
    <t>&lt;http://purl.obolibrary.org/obo/DMBA_17657&gt;</t>
  </si>
  <si>
    <t>alar medial part of Rexed's layer 10</t>
  </si>
  <si>
    <t>&lt;http://purl.obolibrary.org/obo/DMBA_17658&gt;</t>
  </si>
  <si>
    <t>intermediate stratum of the SpAM</t>
  </si>
  <si>
    <t>&lt;http://purl.obolibrary.org/obo/DMBA_17659&gt;</t>
  </si>
  <si>
    <t>cornucommissural part of Rexed's layer 4</t>
  </si>
  <si>
    <t>&lt;http://purl.obolibrary.org/obo/DMBA_17660&gt;</t>
  </si>
  <si>
    <t>internal basilar (cervical) nucleus</t>
  </si>
  <si>
    <t>&lt;http://purl.obolibrary.org/obo/DMBA_17661&gt;</t>
  </si>
  <si>
    <t>dorsal (thoracic) nucleus of Clarke</t>
  </si>
  <si>
    <t>&lt;http://purl.obolibrary.org/obo/DMBA_17662&gt;</t>
  </si>
  <si>
    <t>lumbar dorsal commissural nucleus</t>
  </si>
  <si>
    <t>&lt;http://purl.obolibrary.org/obo/DMBA_17663&gt;</t>
  </si>
  <si>
    <t>sacral dorsal commissural nucleus</t>
  </si>
  <si>
    <t>&lt;http://purl.obolibrary.org/obo/DMBA_17664&gt;</t>
  </si>
  <si>
    <t>superficial stratum of the SpAM</t>
  </si>
  <si>
    <t>&lt;http://purl.obolibrary.org/obo/DMBA_17665&gt;</t>
  </si>
  <si>
    <t>lateral (dorsal horn) part of the spinal alar plate</t>
  </si>
  <si>
    <t>&lt;http://purl.obolibrary.org/obo/DMBA_17666&gt;</t>
  </si>
  <si>
    <t>ventricular zone of the SpAL</t>
  </si>
  <si>
    <t>&lt;http://purl.obolibrary.org/obo/DMBA_17667&gt;</t>
  </si>
  <si>
    <t>alar lateral part of Rexed's layer 10</t>
  </si>
  <si>
    <t>&lt;http://purl.obolibrary.org/obo/DMBA_17668&gt;</t>
  </si>
  <si>
    <t>mantle zone of the SpAL</t>
  </si>
  <si>
    <t>&lt;http://purl.obolibrary.org/obo/DMBA_17669&gt;</t>
  </si>
  <si>
    <t>periventricular stratum of the SpAL</t>
  </si>
  <si>
    <t>&lt;http://purl.obolibrary.org/obo/DMBA_17670&gt;</t>
  </si>
  <si>
    <t>intermediate stratum of the SpAL</t>
  </si>
  <si>
    <t>&lt;http://purl.obolibrary.org/obo/DMBA_17671&gt;</t>
  </si>
  <si>
    <t>Rexed's layer 3</t>
  </si>
  <si>
    <t>&lt;http://purl.obolibrary.org/obo/DMBA_17672&gt;</t>
  </si>
  <si>
    <t>Rexed's layer 4 (main or lateral part)</t>
  </si>
  <si>
    <t>&lt;http://purl.obolibrary.org/obo/DMBA_17673&gt;</t>
  </si>
  <si>
    <t>superficial stratum of the SpAL</t>
  </si>
  <si>
    <t>&lt;http://purl.obolibrary.org/obo/DMBA_17674&gt;</t>
  </si>
  <si>
    <t>Rexed's layer 1 (marginal layer)</t>
  </si>
  <si>
    <t>&lt;http://purl.obolibrary.org/obo/DMBA_17675&gt;</t>
  </si>
  <si>
    <t>Rexed's layer 2 (gelatinous substance)</t>
  </si>
  <si>
    <t>&lt;http://purl.obolibrary.org/obo/DMBA_17676&gt;</t>
  </si>
  <si>
    <t>ventral (liminal) part of the spinal alar plate</t>
  </si>
  <si>
    <t>&lt;http://purl.obolibrary.org/obo/DMBA_17677&gt;</t>
  </si>
  <si>
    <t>ventricular zone of the SpAV</t>
  </si>
  <si>
    <t>&lt;http://purl.obolibrary.org/obo/DMBA_17678&gt;</t>
  </si>
  <si>
    <t>mantle zone of the SpAV</t>
  </si>
  <si>
    <t>&lt;http://purl.obolibrary.org/obo/DMBA_17679&gt;</t>
  </si>
  <si>
    <t>periventricular stratum of the SpAV</t>
  </si>
  <si>
    <t>&lt;http://purl.obolibrary.org/obo/DMBA_17680&gt;</t>
  </si>
  <si>
    <t>alar ventral part of Rexed's layer 10</t>
  </si>
  <si>
    <t>&lt;http://purl.obolibrary.org/obo/DMBA_17681&gt;</t>
  </si>
  <si>
    <t>intermediate stratum of the SpAV</t>
  </si>
  <si>
    <t>&lt;http://purl.obolibrary.org/obo/DMBA_17682&gt;</t>
  </si>
  <si>
    <t>Rexed's layer 5 (neck of dorsal horn)</t>
  </si>
  <si>
    <t>&lt;http://purl.obolibrary.org/obo/DMBA_17683&gt;</t>
  </si>
  <si>
    <t>medial (deep) part of 5Sp</t>
  </si>
  <si>
    <t>&lt;http://purl.obolibrary.org/obo/DMBA_17684&gt;</t>
  </si>
  <si>
    <t>lateral (superficial) part of 5Sp</t>
  </si>
  <si>
    <t>&lt;http://purl.obolibrary.org/obo/DMBA_17685&gt;</t>
  </si>
  <si>
    <t>Rexed's layer 6 (basis of dorsal horn)</t>
  </si>
  <si>
    <t>&lt;http://purl.obolibrary.org/obo/DMBA_17686&gt;</t>
  </si>
  <si>
    <t>medial (deep) part of 6Sp</t>
  </si>
  <si>
    <t>&lt;http://purl.obolibrary.org/obo/DMBA_17687&gt;</t>
  </si>
  <si>
    <t>lateral (superficial) part of 6Sp</t>
  </si>
  <si>
    <t>&lt;http://purl.obolibrary.org/obo/DMBA_17688&gt;</t>
  </si>
  <si>
    <t>superficial stratum of the SpAV</t>
  </si>
  <si>
    <t>&lt;http://purl.obolibrary.org/obo/DMBA_17689&gt;</t>
  </si>
  <si>
    <t>SpC basal plate (anterior horn)</t>
  </si>
  <si>
    <t>&lt;http://purl.obolibrary.org/obo/DMBA_17692&gt;</t>
  </si>
  <si>
    <t>lateral part of SpB</t>
  </si>
  <si>
    <t>&lt;http://purl.obolibrary.org/obo/DMBA_17693&gt;</t>
  </si>
  <si>
    <t>ventricular zone of SpBL</t>
  </si>
  <si>
    <t>&lt;http://purl.obolibrary.org/obo/DMBA_17694&gt;</t>
  </si>
  <si>
    <t>mantle zone of SpBL</t>
  </si>
  <si>
    <t>&lt;http://purl.obolibrary.org/obo/DMBA_17695&gt;</t>
  </si>
  <si>
    <t>periventricular stratum of SpBL</t>
  </si>
  <si>
    <t>&lt;http://purl.obolibrary.org/obo/DMBA_17696&gt;</t>
  </si>
  <si>
    <t>basal lateral part of Rexed's layer 10</t>
  </si>
  <si>
    <t>&lt;http://purl.obolibrary.org/obo/DMBA_17697&gt;</t>
  </si>
  <si>
    <t>intermediate stratum of SpBL</t>
  </si>
  <si>
    <t>&lt;http://purl.obolibrary.org/obo/DMBA_17698&gt;</t>
  </si>
  <si>
    <t>Rexed's layer 7 (intermediate zone)</t>
  </si>
  <si>
    <t>&lt;http://purl.obolibrary.org/obo/DMBA_17699&gt;</t>
  </si>
  <si>
    <t>lumbar precerebellar nucleus</t>
  </si>
  <si>
    <t>&lt;http://purl.obolibrary.org/obo/DMBA_17700&gt;</t>
  </si>
  <si>
    <t>sacral precerebellar nucleus</t>
  </si>
  <si>
    <t>&lt;http://purl.obolibrary.org/obo/DMBA_17701&gt;</t>
  </si>
  <si>
    <t>central cervical nucleus</t>
  </si>
  <si>
    <t>&lt;http://purl.obolibrary.org/obo/DMBA_17702&gt;</t>
  </si>
  <si>
    <t>ventral horn lateral interneurons</t>
  </si>
  <si>
    <t>&lt;http://purl.obolibrary.org/obo/DMBA_17703&gt;</t>
  </si>
  <si>
    <t>thoracic sympathetic preganglionic neurons</t>
  </si>
  <si>
    <t>&lt;http://purl.obolibrary.org/obo/DMBA_17704&gt;</t>
  </si>
  <si>
    <t>intermediomedial nucleus</t>
  </si>
  <si>
    <t>&lt;http://purl.obolibrary.org/obo/DMBA_17705&gt;</t>
  </si>
  <si>
    <t>intermediolateral nucleus (lateral horn)</t>
  </si>
  <si>
    <t>&lt;http://purl.obolibrary.org/obo/DMBA_17706&gt;</t>
  </si>
  <si>
    <t>laterodorsal commissural nucleus</t>
  </si>
  <si>
    <t>&lt;http://purl.obolibrary.org/obo/DMBA_17707&gt;</t>
  </si>
  <si>
    <t>sacral parasympathetic preganglionic neurons</t>
  </si>
  <si>
    <t>&lt;http://purl.obolibrary.org/obo/DMBA_17708&gt;</t>
  </si>
  <si>
    <t>superficial stratum of SpBL</t>
  </si>
  <si>
    <t>&lt;http://purl.obolibrary.org/obo/DMBA_17709&gt;</t>
  </si>
  <si>
    <t>intermediate part of SpB</t>
  </si>
  <si>
    <t>&lt;http://purl.obolibrary.org/obo/DMBA_17710&gt;</t>
  </si>
  <si>
    <t>ventricular zone of SpBI</t>
  </si>
  <si>
    <t>&lt;http://purl.obolibrary.org/obo/DMBA_17711&gt;</t>
  </si>
  <si>
    <t>mantle zone of SpBI</t>
  </si>
  <si>
    <t>&lt;http://purl.obolibrary.org/obo/DMBA_17712&gt;</t>
  </si>
  <si>
    <t>periventricular stratum of SpBI</t>
  </si>
  <si>
    <t>&lt;http://purl.obolibrary.org/obo/DMBA_17713&gt;</t>
  </si>
  <si>
    <t>basal intermediate part of Rexed's layer 10</t>
  </si>
  <si>
    <t>&lt;http://purl.obolibrary.org/obo/DMBA_17714&gt;</t>
  </si>
  <si>
    <t>intermediate stratum of SpBI</t>
  </si>
  <si>
    <t>&lt;http://purl.obolibrary.org/obo/DMBA_17715&gt;</t>
  </si>
  <si>
    <t>Rexed's layer 9</t>
  </si>
  <si>
    <t>&lt;http://purl.obolibrary.org/obo/DMBA_17716&gt;</t>
  </si>
  <si>
    <t>motoneuron columns</t>
  </si>
  <si>
    <t>&lt;http://purl.obolibrary.org/obo/DMBA_17717&gt;</t>
  </si>
  <si>
    <t>medial motoneuron columns</t>
  </si>
  <si>
    <t>&lt;http://purl.obolibrary.org/obo/DMBA_17718&gt;</t>
  </si>
  <si>
    <t>lateral motoneuron columns</t>
  </si>
  <si>
    <t>&lt;http://purl.obolibrary.org/obo/DMBA_17719&gt;</t>
  </si>
  <si>
    <t>central motoneuron columns</t>
  </si>
  <si>
    <t>&lt;http://purl.obolibrary.org/obo/DMBA_17720&gt;</t>
  </si>
  <si>
    <t>Onuf's nucleus</t>
  </si>
  <si>
    <t>&lt;http://purl.obolibrary.org/obo/DMBA_17721&gt;</t>
  </si>
  <si>
    <t>medial (anal) part of Onuf's nucleus</t>
  </si>
  <si>
    <t>&lt;http://purl.obolibrary.org/obo/DMBA_17722&gt;</t>
  </si>
  <si>
    <t>lateral (urethral) part of Onuf's nucleus</t>
  </si>
  <si>
    <t>&lt;http://purl.obolibrary.org/obo/DMBA_17723&gt;</t>
  </si>
  <si>
    <t>superficial stratum of SpBI</t>
  </si>
  <si>
    <t>&lt;http://purl.obolibrary.org/obo/DMBA_17724&gt;</t>
  </si>
  <si>
    <t>medial part of SpB</t>
  </si>
  <si>
    <t>&lt;http://purl.obolibrary.org/obo/DMBA_17725&gt;</t>
  </si>
  <si>
    <t>ventricular zone of SpBM</t>
  </si>
  <si>
    <t>&lt;http://purl.obolibrary.org/obo/DMBA_17726&gt;</t>
  </si>
  <si>
    <t>mantle zone of SpBM</t>
  </si>
  <si>
    <t>&lt;http://purl.obolibrary.org/obo/DMBA_17727&gt;</t>
  </si>
  <si>
    <t>periventricular stratum of SpBM</t>
  </si>
  <si>
    <t>&lt;http://purl.obolibrary.org/obo/DMBA_17728&gt;</t>
  </si>
  <si>
    <t>basal medial part of Rexed's layer 10</t>
  </si>
  <si>
    <t>&lt;http://purl.obolibrary.org/obo/DMBA_17729&gt;</t>
  </si>
  <si>
    <t>intermediate stratum of SpBM</t>
  </si>
  <si>
    <t>&lt;http://purl.obolibrary.org/obo/DMBA_17730&gt;</t>
  </si>
  <si>
    <t>Rexed's layer 8</t>
  </si>
  <si>
    <t>&lt;http://purl.obolibrary.org/obo/DMBA_17731&gt;</t>
  </si>
  <si>
    <t>ventral horn medial interneurons</t>
  </si>
  <si>
    <t>&lt;http://purl.obolibrary.org/obo/DMBA_17732&gt;</t>
  </si>
  <si>
    <t>superficial stratum of SpBM</t>
  </si>
  <si>
    <t>&lt;http://purl.obolibrary.org/obo/DMBA_17733&gt;</t>
  </si>
  <si>
    <t>SpC floor plate</t>
  </si>
  <si>
    <t>&lt;http://purl.obolibrary.org/obo/DMBA_17734&gt;</t>
  </si>
  <si>
    <t>&lt;http://purl.obolibrary.org/obo/HBA_9525&gt;</t>
  </si>
  <si>
    <t>central glial substance, left</t>
  </si>
  <si>
    <t>&lt;http://purl.obolibrary.org/obo/HBA_9526&gt;</t>
  </si>
  <si>
    <t>central glial substance, right</t>
  </si>
  <si>
    <t>&lt;http://purl.obolibrary.org/obo/HBA_9527&gt;</t>
  </si>
  <si>
    <t>dorsal column</t>
  </si>
  <si>
    <t>&lt;http://purl.obolibrary.org/obo/MBA_514&gt;</t>
  </si>
  <si>
    <t>&lt;http://purl.obolibrary.org/obo/UBERON_0002147&gt;</t>
  </si>
  <si>
    <t>tegmental reticular nucleus</t>
  </si>
  <si>
    <t>&lt;http://purl.obolibrary.org/obo/MBA_574&gt;</t>
  </si>
  <si>
    <t>&lt;http://purl.obolibrary.org/obo/UBERON_0000966&gt;</t>
  </si>
  <si>
    <t>retina</t>
  </si>
  <si>
    <t>&lt;http://purl.obolibrary.org/obo/MBA_304325711&gt;</t>
  </si>
  <si>
    <t>&lt;http://purl.obolibrary.org/obo/UBERON_0035930&gt;</t>
  </si>
  <si>
    <t>retro-olivary cell group</t>
  </si>
  <si>
    <t>&lt;http://purl.obolibrary.org/obo/DHBA_12467&gt;</t>
  </si>
  <si>
    <t>retro-olivary cell group, left</t>
  </si>
  <si>
    <t>&lt;http://purl.obolibrary.org/obo/HBA_9181&gt;</t>
  </si>
  <si>
    <t>&lt;http://purl.obolibrary.org/obo/UBERON_0016848&gt;</t>
  </si>
  <si>
    <t>retroambiguus nucleus</t>
  </si>
  <si>
    <t>&lt;http://purl.obolibrary.org/obo/HBA_9650&gt;</t>
  </si>
  <si>
    <t>&lt;http://purl.obolibrary.org/obo/UBERON_0001933&gt;</t>
  </si>
  <si>
    <t>retrochiasmatic area</t>
  </si>
  <si>
    <t>&lt;http://purl.obolibrary.org/obo/MBA_173&gt;</t>
  </si>
  <si>
    <t>&lt;http://purl.obolibrary.org/obo/UBERON_0022230&gt;</t>
  </si>
  <si>
    <t>retrohippocampal region</t>
  </si>
  <si>
    <t>&lt;http://purl.obolibrary.org/obo/MBA_822&gt;</t>
  </si>
  <si>
    <t>&lt;http://purl.obolibrary.org/obo/UBERON_0034749&gt;</t>
  </si>
  <si>
    <t>retrolenticular portion</t>
  </si>
  <si>
    <t>&lt;http://purl.obolibrary.org/obo/DHBA_12052&gt;</t>
  </si>
  <si>
    <t>&lt;http://purl.obolibrary.org/obo/UBERON_0011172&gt;</t>
  </si>
  <si>
    <t>retrorubral field</t>
  </si>
  <si>
    <t>&lt;http://purl.obolibrary.org/obo/DHBA_12289&gt;</t>
  </si>
  <si>
    <t>&lt;http://purl.obolibrary.org/obo/DMBA_16884&gt;</t>
  </si>
  <si>
    <t>midbrain reticular nucleus, retrorubral area</t>
  </si>
  <si>
    <t>&lt;http://purl.obolibrary.org/obo/MBA_246&gt;</t>
  </si>
  <si>
    <t>&lt;http://purl.obolibrary.org/obo/UBERON_0014918&gt;</t>
  </si>
  <si>
    <t>retrosplenial area, ventral part</t>
  </si>
  <si>
    <t>&lt;http://purl.obolibrary.org/obo/MBA_886&gt;</t>
  </si>
  <si>
    <t>&lt;http://purl.obolibrary.org/obo/UBERON_0013531&gt;</t>
  </si>
  <si>
    <t>retrosplenial cortex</t>
  </si>
  <si>
    <t>&lt;http://purl.obolibrary.org/obo/DHBA_10324&gt;</t>
  </si>
  <si>
    <t>cingulate gyrus, retrospleninal part</t>
  </si>
  <si>
    <t>&lt;http://purl.obolibrary.org/obo/DHBA_266441669&gt;</t>
  </si>
  <si>
    <t>&lt;http://purl.obolibrary.org/obo/DMBA_16093&gt;</t>
  </si>
  <si>
    <t>retrosplenial area</t>
  </si>
  <si>
    <t>&lt;http://purl.obolibrary.org/obo/MBA_254&gt;</t>
  </si>
  <si>
    <t>&lt;http://purl.obolibrary.org/obo/UBERON_0009918&gt;</t>
  </si>
  <si>
    <t>retrotrapezoid nucleus</t>
  </si>
  <si>
    <t>&lt;http://purl.obolibrary.org/obo/DHBA_12531&gt;</t>
  </si>
  <si>
    <t>&lt;http://purl.obolibrary.org/obo/DMBA_17327&gt;</t>
  </si>
  <si>
    <t>&lt;http://purl.obolibrary.org/obo/UBERON_0001921&gt;</t>
  </si>
  <si>
    <t>reuniens nucleus (medioventral nucleus) of thalamus</t>
  </si>
  <si>
    <t>&lt;http://purl.obolibrary.org/obo/DHBA_10403&gt;</t>
  </si>
  <si>
    <t>&lt;http://purl.obolibrary.org/obo/UBERON_0002683&gt;</t>
  </si>
  <si>
    <t>rhinal sulcus</t>
  </si>
  <si>
    <t>&lt;http://purl.obolibrary.org/obo/DHBA_10636&gt;</t>
  </si>
  <si>
    <t>&lt;http://purl.obolibrary.org/obo/HBA_9383&gt;</t>
  </si>
  <si>
    <t>rhinal fissure</t>
  </si>
  <si>
    <t>&lt;http://purl.obolibrary.org/obo/MBA_1071&gt;</t>
  </si>
  <si>
    <t>&lt;http://purl.obolibrary.org/obo/UBERON_0006215&gt;</t>
  </si>
  <si>
    <t>rhombic lip</t>
  </si>
  <si>
    <t>&lt;http://purl.obolibrary.org/obo/DHBA_10664&gt;</t>
  </si>
  <si>
    <t>&lt;http://purl.obolibrary.org/obo/UBERON_0002955&gt;</t>
  </si>
  <si>
    <t>rhomboid (central) nucleus of thalamus</t>
  </si>
  <si>
    <t>&lt;http://purl.obolibrary.org/obo/DHBA_10447&gt;</t>
  </si>
  <si>
    <t>rhomboid nucleus of the thalamus, left</t>
  </si>
  <si>
    <t>&lt;http://purl.obolibrary.org/obo/HBA_4433&gt;</t>
  </si>
  <si>
    <t>&lt;http://purl.obolibrary.org/obo/UBERON_0001892&gt;</t>
  </si>
  <si>
    <t>hindbrain neuromeres</t>
  </si>
  <si>
    <t>&lt;http://purl.obolibrary.org/obo/DHBA_12664&gt;</t>
  </si>
  <si>
    <t>&lt;http://purl.obolibrary.org/obo/UBERON_0005499&gt;</t>
  </si>
  <si>
    <t>rhombomere 1</t>
  </si>
  <si>
    <t>&lt;http://purl.obolibrary.org/obo/DHBA_12667&gt;</t>
  </si>
  <si>
    <t>&lt;http://purl.obolibrary.org/obo/DMBA_16915&gt;</t>
  </si>
  <si>
    <t>&lt;http://purl.obolibrary.org/obo/UBERON_0005566&gt;</t>
  </si>
  <si>
    <t>r1 floor plate</t>
  </si>
  <si>
    <t>&lt;http://purl.obolibrary.org/obo/DMBA_17022&gt;</t>
  </si>
  <si>
    <t>&lt;http://purl.obolibrary.org/obo/UBERON_0005568&gt;</t>
  </si>
  <si>
    <t>r1 roof plate</t>
  </si>
  <si>
    <t>&lt;http://purl.obolibrary.org/obo/DMBA_16916&gt;</t>
  </si>
  <si>
    <t>&lt;http://purl.obolibrary.org/obo/UBERON_0019285&gt;</t>
  </si>
  <si>
    <t>rhombomere 10</t>
  </si>
  <si>
    <t>&lt;http://purl.obolibrary.org/obo/DMBA_17538&gt;</t>
  </si>
  <si>
    <t>&lt;http://purl.obolibrary.org/obo/UBERON_0019286&gt;</t>
  </si>
  <si>
    <t>rhombomere 11</t>
  </si>
  <si>
    <t>&lt;http://purl.obolibrary.org/obo/DMBA_17596&gt;</t>
  </si>
  <si>
    <t>&lt;http://purl.obolibrary.org/obo/UBERON_0005569&gt;</t>
  </si>
  <si>
    <t>rhombomere 2</t>
  </si>
  <si>
    <t>&lt;http://purl.obolibrary.org/obo/DHBA_12668&gt;</t>
  </si>
  <si>
    <t>&lt;http://purl.obolibrary.org/obo/DMBA_17023&gt;</t>
  </si>
  <si>
    <t>&lt;http://purl.obolibrary.org/obo/UBERON_0005570&gt;</t>
  </si>
  <si>
    <t>r2 floor plate</t>
  </si>
  <si>
    <t>&lt;http://purl.obolibrary.org/obo/DMBA_17091&gt;</t>
  </si>
  <si>
    <t>&lt;http://purl.obolibrary.org/obo/UBERON_0005572&gt;</t>
  </si>
  <si>
    <t>r2 roof plate</t>
  </si>
  <si>
    <t>&lt;http://purl.obolibrary.org/obo/DMBA_17024&gt;</t>
  </si>
  <si>
    <t>&lt;http://purl.obolibrary.org/obo/UBERON_0005507&gt;</t>
  </si>
  <si>
    <t>rhombomere 3</t>
  </si>
  <si>
    <t>&lt;http://purl.obolibrary.org/obo/DHBA_12669&gt;</t>
  </si>
  <si>
    <t>&lt;http://purl.obolibrary.org/obo/DMBA_17093&gt;</t>
  </si>
  <si>
    <t>&lt;http://purl.obolibrary.org/obo/UBERON_0005573&gt;</t>
  </si>
  <si>
    <t>r3 floor plate</t>
  </si>
  <si>
    <t>&lt;http://purl.obolibrary.org/obo/DMBA_17155&gt;</t>
  </si>
  <si>
    <t>&lt;http://purl.obolibrary.org/obo/UBERON_0005575&gt;</t>
  </si>
  <si>
    <t>r3 roof plate</t>
  </si>
  <si>
    <t>&lt;http://purl.obolibrary.org/obo/DMBA_17094&gt;</t>
  </si>
  <si>
    <t>&lt;http://purl.obolibrary.org/obo/UBERON_0005511&gt;</t>
  </si>
  <si>
    <t>rhombomere 4</t>
  </si>
  <si>
    <t>&lt;http://purl.obolibrary.org/obo/DHBA_12671&gt;</t>
  </si>
  <si>
    <t>&lt;http://purl.obolibrary.org/obo/DMBA_17156&gt;</t>
  </si>
  <si>
    <t>&lt;http://purl.obolibrary.org/obo/UBERON_0005576&gt;</t>
  </si>
  <si>
    <t>r4 floor plate</t>
  </si>
  <si>
    <t>&lt;http://purl.obolibrary.org/obo/DMBA_17219&gt;</t>
  </si>
  <si>
    <t>&lt;http://purl.obolibrary.org/obo/UBERON_0005578&gt;</t>
  </si>
  <si>
    <t>r4 roof plate</t>
  </si>
  <si>
    <t>&lt;http://purl.obolibrary.org/obo/DMBA_17157&gt;</t>
  </si>
  <si>
    <t>&lt;http://purl.obolibrary.org/obo/UBERON_0005515&gt;</t>
  </si>
  <si>
    <t>rhombomere 5</t>
  </si>
  <si>
    <t>&lt;http://purl.obolibrary.org/obo/DHBA_12673&gt;</t>
  </si>
  <si>
    <t>&lt;http://purl.obolibrary.org/obo/DMBA_17221&gt;</t>
  </si>
  <si>
    <t>&lt;http://purl.obolibrary.org/obo/UBERON_0005579&gt;</t>
  </si>
  <si>
    <t>r5 floor plate</t>
  </si>
  <si>
    <t>&lt;http://purl.obolibrary.org/obo/DMBA_17289&gt;</t>
  </si>
  <si>
    <t>&lt;http://purl.obolibrary.org/obo/UBERON_0005581&gt;</t>
  </si>
  <si>
    <t>r5 roof plate</t>
  </si>
  <si>
    <t>&lt;http://purl.obolibrary.org/obo/DMBA_17222&gt;</t>
  </si>
  <si>
    <t>&lt;http://purl.obolibrary.org/obo/UBERON_0005519&gt;</t>
  </si>
  <si>
    <t>rhombomere 6</t>
  </si>
  <si>
    <t>&lt;http://purl.obolibrary.org/obo/DHBA_12674&gt;</t>
  </si>
  <si>
    <t>&lt;http://purl.obolibrary.org/obo/DMBA_17290&gt;</t>
  </si>
  <si>
    <t>&lt;http://purl.obolibrary.org/obo/UBERON_0005582&gt;</t>
  </si>
  <si>
    <t>r6 floor plate</t>
  </si>
  <si>
    <t>&lt;http://purl.obolibrary.org/obo/DMBA_17351&gt;</t>
  </si>
  <si>
    <t>&lt;http://purl.obolibrary.org/obo/UBERON_0005584&gt;</t>
  </si>
  <si>
    <t>r6 roof plate</t>
  </si>
  <si>
    <t>&lt;http://purl.obolibrary.org/obo/DMBA_17291&gt;</t>
  </si>
  <si>
    <t>&lt;http://purl.obolibrary.org/obo/UBERON_0005523&gt;</t>
  </si>
  <si>
    <t>rhombomere 7</t>
  </si>
  <si>
    <t>&lt;http://purl.obolibrary.org/obo/DHBA_12675&gt;</t>
  </si>
  <si>
    <t>&lt;http://purl.obolibrary.org/obo/DMBA_17353&gt;</t>
  </si>
  <si>
    <t>&lt;http://purl.obolibrary.org/obo/UBERON_0005585&gt;</t>
  </si>
  <si>
    <t>r7 floor plate</t>
  </si>
  <si>
    <t>&lt;http://purl.obolibrary.org/obo/DMBA_17415&gt;</t>
  </si>
  <si>
    <t>&lt;http://purl.obolibrary.org/obo/UBERON_0005587&gt;</t>
  </si>
  <si>
    <t>r7 roof plate</t>
  </si>
  <si>
    <t>&lt;http://purl.obolibrary.org/obo/DMBA_17354&gt;</t>
  </si>
  <si>
    <t>&lt;http://purl.obolibrary.org/obo/UBERON_0005527&gt;</t>
  </si>
  <si>
    <t>rhombomere 8</t>
  </si>
  <si>
    <t>&lt;http://purl.obolibrary.org/obo/DHBA_12677&gt;</t>
  </si>
  <si>
    <t>root of vestibulocochlear nerve</t>
  </si>
  <si>
    <t>&lt;http://purl.obolibrary.org/obo/DHBA_12868&gt;</t>
  </si>
  <si>
    <t>&lt;http://purl.obolibrary.org/obo/DMBA_17416&gt;</t>
  </si>
  <si>
    <t>&lt;http://purl.obolibrary.org/obo/UBERON_0005588&gt;</t>
  </si>
  <si>
    <t>r8 floor plate</t>
  </si>
  <si>
    <t>&lt;http://purl.obolibrary.org/obo/DMBA_17475&gt;</t>
  </si>
  <si>
    <t>&lt;http://purl.obolibrary.org/obo/UBERON_0005590&gt;</t>
  </si>
  <si>
    <t>r8 roof plate</t>
  </si>
  <si>
    <t>&lt;http://purl.obolibrary.org/obo/DMBA_17417&gt;</t>
  </si>
  <si>
    <t>&lt;http://purl.obolibrary.org/obo/UBERON_0019284&gt;</t>
  </si>
  <si>
    <t>rhombomere 9</t>
  </si>
  <si>
    <t>&lt;http://purl.obolibrary.org/obo/DMBA_17476&gt;</t>
  </si>
  <si>
    <t>&lt;http://purl.obolibrary.org/obo/UBERON_0008885&gt;</t>
  </si>
  <si>
    <t>putamen, right</t>
  </si>
  <si>
    <t>&lt;http://purl.obolibrary.org/obo/HBA_4289&gt;</t>
  </si>
  <si>
    <t>&lt;http://purl.obolibrary.org/obo/UBERON_0003299&gt;</t>
  </si>
  <si>
    <t>roof plate of midbrain</t>
  </si>
  <si>
    <t>&lt;http://purl.obolibrary.org/obo/DHBA_12320&gt;</t>
  </si>
  <si>
    <t>&lt;http://purl.obolibrary.org/obo/UBERON_0002786&gt;</t>
  </si>
  <si>
    <t>root of abducens nerve</t>
  </si>
  <si>
    <t>&lt;http://purl.obolibrary.org/obo/DHBA_12861&gt;</t>
  </si>
  <si>
    <t>abducens nerve root</t>
  </si>
  <si>
    <t>&lt;http://purl.obolibrary.org/obo/DMBA_17741&gt;</t>
  </si>
  <si>
    <t>&lt;http://purl.obolibrary.org/obo/UBERON_0006843&gt;</t>
  </si>
  <si>
    <t>root of vagus nerve</t>
  </si>
  <si>
    <t>&lt;http://purl.obolibrary.org/obo/DHBA_12888&gt;</t>
  </si>
  <si>
    <t>vagal nerve root</t>
  </si>
  <si>
    <t>&lt;http://purl.obolibrary.org/obo/DMBA_17748&gt;</t>
  </si>
  <si>
    <t>&lt;http://purl.obolibrary.org/obo/UBERON_0002618&gt;</t>
  </si>
  <si>
    <t>root of trochlear nerve</t>
  </si>
  <si>
    <t>&lt;http://purl.obolibrary.org/obo/DHBA_12377&gt;</t>
  </si>
  <si>
    <t>trochlear nerve root</t>
  </si>
  <si>
    <t>&lt;http://purl.obolibrary.org/obo/DMBA_17737&gt;</t>
  </si>
  <si>
    <t>&lt;http://purl.obolibrary.org/obo/UBERON_0011213&gt;</t>
  </si>
  <si>
    <t>&lt;http://purl.obolibrary.org/obo/UBERON_0034777&gt;</t>
  </si>
  <si>
    <t>rostral CA1</t>
  </si>
  <si>
    <t>&lt;http://purl.obolibrary.org/obo/DHBA_11275&gt;</t>
  </si>
  <si>
    <t>&lt;http://purl.obolibrary.org/obo/UBERON_0034778&gt;</t>
  </si>
  <si>
    <t>rostral CA2</t>
  </si>
  <si>
    <t>&lt;http://purl.obolibrary.org/obo/DHBA_11285&gt;</t>
  </si>
  <si>
    <t>&lt;http://purl.obolibrary.org/obo/UBERON_0034779&gt;</t>
  </si>
  <si>
    <t>rostral CA3</t>
  </si>
  <si>
    <t>&lt;http://purl.obolibrary.org/obo/DHBA_11295&gt;</t>
  </si>
  <si>
    <t>&lt;http://purl.obolibrary.org/obo/UBERON_0019280&gt;</t>
  </si>
  <si>
    <t>rostral gyrus</t>
  </si>
  <si>
    <t>&lt;http://purl.obolibrary.org/obo/DHBA_146034876&gt;</t>
  </si>
  <si>
    <t>&lt;http://purl.obolibrary.org/obo/UBERON_0002717&gt;</t>
  </si>
  <si>
    <t>rostral interstitial nucleus of the medial longitudinal fasciculus</t>
  </si>
  <si>
    <t>&lt;http://purl.obolibrary.org/obo/HBA_9060&gt;</t>
  </si>
  <si>
    <t>rhinal incisure</t>
  </si>
  <si>
    <t>&lt;http://purl.obolibrary.org/obo/MBA_1078&gt;</t>
  </si>
  <si>
    <t>&lt;http://purl.obolibrary.org/obo/UBERON_0002965&gt;</t>
  </si>
  <si>
    <t>anterior group of intralaminar nuclei</t>
  </si>
  <si>
    <t>&lt;http://purl.obolibrary.org/obo/DHBA_10443&gt;</t>
  </si>
  <si>
    <t>rostral group of intralaminar nuclei</t>
  </si>
  <si>
    <t>&lt;http://purl.obolibrary.org/obo/HBA_12929&gt;</t>
  </si>
  <si>
    <t>&lt;http://purl.obolibrary.org/obo/UBERON_0013734&gt;</t>
  </si>
  <si>
    <t>rostral linear nucleus of the raphe</t>
  </si>
  <si>
    <t>&lt;http://purl.obolibrary.org/obo/DHBA_12234&gt;</t>
  </si>
  <si>
    <t>rostral linear nucleus</t>
  </si>
  <si>
    <t>&lt;http://purl.obolibrary.org/obo/DMBA_16748&gt;</t>
  </si>
  <si>
    <t>rostral linear nucleus, left</t>
  </si>
  <si>
    <t>&lt;http://purl.obolibrary.org/obo/HBA_9471&gt;</t>
  </si>
  <si>
    <t>rostral linear nucleus raphe</t>
  </si>
  <si>
    <t>&lt;http://purl.obolibrary.org/obo/MBA_197&gt;</t>
  </si>
  <si>
    <t>&lt;http://purl.obolibrary.org/obo/UBERON_0008881&gt;</t>
  </si>
  <si>
    <t>rostral migratory stream</t>
  </si>
  <si>
    <t>&lt;http://purl.obolibrary.org/obo/DHBA_10556&gt;</t>
  </si>
  <si>
    <t>rostral migratory stream (RMS)</t>
  </si>
  <si>
    <t>&lt;http://purl.obolibrary.org/obo/PBA_128012584&gt;</t>
  </si>
  <si>
    <t>&lt;http://purl.obolibrary.org/obo/UBERON_0035920&gt;</t>
  </si>
  <si>
    <t>rostrolateral area, layer 5</t>
  </si>
  <si>
    <t>&lt;http://purl.obolibrary.org/obo/MBA_312782616&gt;</t>
  </si>
  <si>
    <t>&lt;http://purl.obolibrary.org/obo/UBERON_0035912&gt;</t>
  </si>
  <si>
    <t>rostrolateral visual area</t>
  </si>
  <si>
    <t>&lt;http://purl.obolibrary.org/obo/MBA_417&gt;</t>
  </si>
  <si>
    <t>&lt;http://purl.obolibrary.org/obo/UBERON_0015703&gt;</t>
  </si>
  <si>
    <t>rostrum of corpus callosum</t>
  </si>
  <si>
    <t>&lt;http://purl.obolibrary.org/obo/DHBA_10562&gt;</t>
  </si>
  <si>
    <t>rostrum of the corpus callosum</t>
  </si>
  <si>
    <t>&lt;http://purl.obolibrary.org/obo/HBA_9226&gt;</t>
  </si>
  <si>
    <t>corpus callosum, rostrum</t>
  </si>
  <si>
    <t>&lt;http://purl.obolibrary.org/obo/MBA_979&gt;</t>
  </si>
  <si>
    <t>&lt;http://purl.obolibrary.org/obo/UBERON_0002714&gt;</t>
  </si>
  <si>
    <t>rubrospinal tract</t>
  </si>
  <si>
    <t>&lt;http://purl.obolibrary.org/obo/DHBA_12782&gt;</t>
  </si>
  <si>
    <t>&lt;http://purl.obolibrary.org/obo/DMBA_17792&gt;</t>
  </si>
  <si>
    <t>&lt;http://purl.obolibrary.org/obo/MBA_863&gt;</t>
  </si>
  <si>
    <t>&lt;http://purl.obolibrary.org/obo/UBERON_0035931&gt;</t>
  </si>
  <si>
    <t>sagittal stratum</t>
  </si>
  <si>
    <t>&lt;http://purl.obolibrary.org/obo/DHBA_12082&gt;</t>
  </si>
  <si>
    <t>&lt;http://purl.obolibrary.org/obo/HBA_265505286&gt;</t>
  </si>
  <si>
    <t>&lt;http://purl.obolibrary.org/obo/UBERON_0022423&gt;</t>
  </si>
  <si>
    <t>sagulum nucleus</t>
  </si>
  <si>
    <t>&lt;http://purl.obolibrary.org/obo/DHBA_12313&gt;</t>
  </si>
  <si>
    <t>&lt;http://purl.obolibrary.org/obo/HBA_9486&gt;</t>
  </si>
  <si>
    <t>&lt;http://purl.obolibrary.org/obo/UBERON_0034752&gt;</t>
  </si>
  <si>
    <t>secondary auditory cortex (belt, area 42)</t>
  </si>
  <si>
    <t>&lt;http://purl.obolibrary.org/obo/DHBA_10239&gt;</t>
  </si>
  <si>
    <t>&lt;http://purl.obolibrary.org/obo/UBERON_0002817&gt;</t>
  </si>
  <si>
    <t>secondary fissure</t>
  </si>
  <si>
    <t>&lt;http://purl.obolibrary.org/obo/HBA_9416&gt;</t>
  </si>
  <si>
    <t>&lt;http://purl.obolibrary.org/obo/MBA_3&gt;</t>
  </si>
  <si>
    <t>&lt;http://purl.obolibrary.org/obo/UBERON_0036218&gt;</t>
  </si>
  <si>
    <t>secondary prosencephalon</t>
  </si>
  <si>
    <t>&lt;http://purl.obolibrary.org/obo/DMBA_15567&gt;</t>
  </si>
  <si>
    <t>&lt;http://purl.obolibrary.org/obo/UBERON_0008934&gt;</t>
  </si>
  <si>
    <t>supplemental somatosensory area</t>
  </si>
  <si>
    <t>&lt;http://purl.obolibrary.org/obo/MBA_378&gt;</t>
  </si>
  <si>
    <t>&lt;http://purl.obolibrary.org/obo/UBERON_0004733&gt;</t>
  </si>
  <si>
    <t>&lt;http://purl.obolibrary.org/obo/UBERON_0001699&gt;</t>
  </si>
  <si>
    <t>&lt;http://purl.obolibrary.org/obo/UBERON_0009907&gt;</t>
  </si>
  <si>
    <t>&lt;http://purl.obolibrary.org/obo/UBERON_0002663&gt;</t>
  </si>
  <si>
    <t>septal nuclei</t>
  </si>
  <si>
    <t>&lt;http://purl.obolibrary.org/obo/DHBA_10350&gt;</t>
  </si>
  <si>
    <t>&lt;http://purl.obolibrary.org/obo/HBA_13002&gt;</t>
  </si>
  <si>
    <t>&lt;http://purl.obolibrary.org/obo/UBERON_0001878&gt;</t>
  </si>
  <si>
    <t>septofimbrial nucleus</t>
  </si>
  <si>
    <t>&lt;http://purl.obolibrary.org/obo/DHBA_13032&gt;</t>
  </si>
  <si>
    <t>&lt;http://purl.obolibrary.org/obo/DMBA_15780&gt;</t>
  </si>
  <si>
    <t>&lt;http://purl.obolibrary.org/obo/MBA_310&gt;</t>
  </si>
  <si>
    <t>&lt;http://purl.obolibrary.org/obo/UBERON_0007630&gt;</t>
  </si>
  <si>
    <t>septohippocampal nucleus</t>
  </si>
  <si>
    <t>&lt;http://purl.obolibrary.org/obo/DMBA_16204&gt;</t>
  </si>
  <si>
    <t>&lt;http://purl.obolibrary.org/obo/MBA_333&gt;</t>
  </si>
  <si>
    <t>&lt;http://purl.obolibrary.org/obo/UBERON_0019308&gt;</t>
  </si>
  <si>
    <t>septohypothalamic nucleus</t>
  </si>
  <si>
    <t>&lt;http://purl.obolibrary.org/obo/DHBA_13033&gt;</t>
  </si>
  <si>
    <t>&lt;http://purl.obolibrary.org/obo/DMBA_15761&gt;</t>
  </si>
  <si>
    <t>&lt;http://purl.obolibrary.org/obo/UBERON_0004714&gt;</t>
  </si>
  <si>
    <t>&lt;http://purl.obolibrary.org/obo/UBERON_0012171&gt;</t>
  </si>
  <si>
    <t>shell of nucleus accumbens</t>
  </si>
  <si>
    <t>&lt;http://purl.obolibrary.org/obo/DHBA_10341&gt;</t>
  </si>
  <si>
    <t>&lt;http://purl.obolibrary.org/obo/PBA_10094&gt;</t>
  </si>
  <si>
    <t>&lt;http://purl.obolibrary.org/obo/UBERON_0002718&gt;</t>
  </si>
  <si>
    <t>solitary tract</t>
  </si>
  <si>
    <t>&lt;http://purl.obolibrary.org/obo/DHBA_12783&gt;</t>
  </si>
  <si>
    <t>&lt;http://purl.obolibrary.org/obo/DMBA_17796&gt;</t>
  </si>
  <si>
    <t>&lt;http://purl.obolibrary.org/obo/HBA_265505626&gt;</t>
  </si>
  <si>
    <t>&lt;http://purl.obolibrary.org/obo/MBA_237&gt;</t>
  </si>
  <si>
    <t>&lt;http://purl.obolibrary.org/obo/UBERON_0008930&gt;</t>
  </si>
  <si>
    <t>somatosensory areas</t>
  </si>
  <si>
    <t>&lt;http://purl.obolibrary.org/obo/MBA_453&gt;</t>
  </si>
  <si>
    <t>&lt;http://purl.obolibrary.org/obo/UBERON_0002240&gt;</t>
  </si>
  <si>
    <t>spinal cord</t>
  </si>
  <si>
    <t>&lt;http://purl.obolibrary.org/obo/DHBA_12890&gt;</t>
  </si>
  <si>
    <t>&lt;http://purl.obolibrary.org/obo/DMBA_17651&gt;</t>
  </si>
  <si>
    <t>&lt;http://purl.obolibrary.org/obo/UBERON_0005373&gt;</t>
  </si>
  <si>
    <t>&lt;http://purl.obolibrary.org/obo/UBERON_0004677&gt;</t>
  </si>
  <si>
    <t>&lt;http://purl.obolibrary.org/obo/UBERON_0004170&gt;</t>
  </si>
  <si>
    <t>&lt;http://purl.obolibrary.org/obo/UBERON_0009623&gt;</t>
  </si>
  <si>
    <t>&lt;http://purl.obolibrary.org/obo/UBERON_0001717&gt;</t>
  </si>
  <si>
    <t>spinal trigeminal nucleus</t>
  </si>
  <si>
    <t>&lt;http://purl.obolibrary.org/obo/DHBA_12572&gt;</t>
  </si>
  <si>
    <t>&lt;http://purl.obolibrary.org/obo/HBA_9676&gt;</t>
  </si>
  <si>
    <t>&lt;http://purl.obolibrary.org/obo/UBERON_0014761&gt;</t>
  </si>
  <si>
    <t>spinal trigeminal tract</t>
  </si>
  <si>
    <t>&lt;http://purl.obolibrary.org/obo/DHBA_12792&gt;</t>
  </si>
  <si>
    <t>&lt;http://purl.obolibrary.org/obo/HBA_265505650&gt;</t>
  </si>
  <si>
    <t>&lt;http://purl.obolibrary.org/obo/UBERON_0002719&gt;</t>
  </si>
  <si>
    <t>spino-olivary tract</t>
  </si>
  <si>
    <t>&lt;http://purl.obolibrary.org/obo/DHBA_12793&gt;</t>
  </si>
  <si>
    <t>spino-olivary pathway</t>
  </si>
  <si>
    <t>&lt;http://purl.obolibrary.org/obo/MBA_261&gt;</t>
  </si>
  <si>
    <t>&lt;http://purl.obolibrary.org/obo/UBERON_0005413&gt;</t>
  </si>
  <si>
    <t>spinocerebellar tract</t>
  </si>
  <si>
    <t>&lt;http://purl.obolibrary.org/obo/DHBA_12749&gt;</t>
  </si>
  <si>
    <t>&lt;http://purl.obolibrary.org/obo/MBA_85&gt;</t>
  </si>
  <si>
    <t>&lt;http://purl.obolibrary.org/obo/UBERON_0007703&gt;</t>
  </si>
  <si>
    <t>spinothalamic tract</t>
  </si>
  <si>
    <t>&lt;http://purl.obolibrary.org/obo/DHBA_12789&gt;</t>
  </si>
  <si>
    <t>&lt;http://purl.obolibrary.org/obo/MBA_871&gt;</t>
  </si>
  <si>
    <t>&lt;http://purl.obolibrary.org/obo/UBERON_0002798&gt;</t>
  </si>
  <si>
    <t>spinotectal pathway</t>
  </si>
  <si>
    <t>&lt;http://purl.obolibrary.org/obo/MBA_277&gt;</t>
  </si>
  <si>
    <t>&lt;http://purl.obolibrary.org/obo/UBERON_0015708&gt;</t>
  </si>
  <si>
    <t>splenium of corpus callosum</t>
  </si>
  <si>
    <t>&lt;http://purl.obolibrary.org/obo/DHBA_10565&gt;</t>
  </si>
  <si>
    <t>splenium of the corpus callosum</t>
  </si>
  <si>
    <t>&lt;http://purl.obolibrary.org/obo/HBA_9225&gt;</t>
  </si>
  <si>
    <t>corpus callosum, splenium</t>
  </si>
  <si>
    <t>&lt;http://purl.obolibrary.org/obo/MBA_986&gt;</t>
  </si>
  <si>
    <t>&lt;http://purl.obolibrary.org/obo/UBERON_0034798&gt;</t>
  </si>
  <si>
    <t>&lt;http://purl.obolibrary.org/obo/UBERON_0034803&gt;</t>
  </si>
  <si>
    <t>&lt;http://purl.obolibrary.org/obo/UBERON_0034808&gt;</t>
  </si>
  <si>
    <t>&lt;http://purl.obolibrary.org/obo/UBERON_0034828&gt;</t>
  </si>
  <si>
    <t>&lt;http://purl.obolibrary.org/obo/UBERON_0034833&gt;</t>
  </si>
  <si>
    <t>&lt;http://purl.obolibrary.org/obo/UBERON_0034838&gt;</t>
  </si>
  <si>
    <t>&lt;http://purl.obolibrary.org/obo/UBERON_0034858&gt;</t>
  </si>
  <si>
    <t>&lt;http://purl.obolibrary.org/obo/UBERON_0034863&gt;</t>
  </si>
  <si>
    <t>&lt;http://purl.obolibrary.org/obo/UBERON_0034868&gt;</t>
  </si>
  <si>
    <t>&lt;http://purl.obolibrary.org/obo/UBERON_0006782&gt;</t>
  </si>
  <si>
    <t>stratum lemnisci of the superior colliculus, left</t>
  </si>
  <si>
    <t>&lt;http://purl.obolibrary.org/obo/HBA_9116&gt;</t>
  </si>
  <si>
    <t>&lt;http://purl.obolibrary.org/obo/UBERON_0034810&gt;</t>
  </si>
  <si>
    <t>&lt;http://purl.obolibrary.org/obo/UBERON_0034840&gt;</t>
  </si>
  <si>
    <t>&lt;http://purl.obolibrary.org/obo/UBERON_0034870&gt;</t>
  </si>
  <si>
    <t>&lt;http://purl.obolibrary.org/obo/UBERON_0034801&gt;</t>
  </si>
  <si>
    <t>&lt;http://purl.obolibrary.org/obo/UBERON_0034806&gt;</t>
  </si>
  <si>
    <t>&lt;http://purl.obolibrary.org/obo/UBERON_0034812&gt;</t>
  </si>
  <si>
    <t>&lt;http://purl.obolibrary.org/obo/UBERON_0034831&gt;</t>
  </si>
  <si>
    <t>&lt;http://purl.obolibrary.org/obo/UBERON_0034836&gt;</t>
  </si>
  <si>
    <t>&lt;http://purl.obolibrary.org/obo/UBERON_0034842&gt;</t>
  </si>
  <si>
    <t>&lt;http://purl.obolibrary.org/obo/UBERON_0034861&gt;</t>
  </si>
  <si>
    <t>&lt;http://purl.obolibrary.org/obo/UBERON_0034866&gt;</t>
  </si>
  <si>
    <t>&lt;http://purl.obolibrary.org/obo/UBERON_0034872&gt;</t>
  </si>
  <si>
    <t>&lt;http://purl.obolibrary.org/obo/UBERON_0034800&gt;</t>
  </si>
  <si>
    <t>&lt;http://purl.obolibrary.org/obo/UBERON_0034805&gt;</t>
  </si>
  <si>
    <t>&lt;http://purl.obolibrary.org/obo/UBERON_0034811&gt;</t>
  </si>
  <si>
    <t>&lt;http://purl.obolibrary.org/obo/UBERON_0034830&gt;</t>
  </si>
  <si>
    <t>&lt;http://purl.obolibrary.org/obo/UBERON_0034835&gt;</t>
  </si>
  <si>
    <t>&lt;http://purl.obolibrary.org/obo/UBERON_0034841&gt;</t>
  </si>
  <si>
    <t>&lt;http://purl.obolibrary.org/obo/UBERON_0034860&gt;</t>
  </si>
  <si>
    <t>&lt;http://purl.obolibrary.org/obo/UBERON_0034865&gt;</t>
  </si>
  <si>
    <t>&lt;http://purl.obolibrary.org/obo/UBERON_0034871&gt;</t>
  </si>
  <si>
    <t>&lt;http://purl.obolibrary.org/obo/UBERON_0034799&gt;</t>
  </si>
  <si>
    <t>&lt;http://purl.obolibrary.org/obo/UBERON_0034804&gt;</t>
  </si>
  <si>
    <t>&lt;http://purl.obolibrary.org/obo/UBERON_0034809&gt;</t>
  </si>
  <si>
    <t>&lt;http://purl.obolibrary.org/obo/UBERON_0034829&gt;</t>
  </si>
  <si>
    <t>&lt;http://purl.obolibrary.org/obo/UBERON_0034834&gt;</t>
  </si>
  <si>
    <t>&lt;http://purl.obolibrary.org/obo/UBERON_0034839&gt;</t>
  </si>
  <si>
    <t>&lt;http://purl.obolibrary.org/obo/UBERON_0034859&gt;</t>
  </si>
  <si>
    <t>&lt;http://purl.obolibrary.org/obo/UBERON_0034864&gt;</t>
  </si>
  <si>
    <t>&lt;http://purl.obolibrary.org/obo/UBERON_0034869&gt;</t>
  </si>
  <si>
    <t>&lt;http://purl.obolibrary.org/obo/UBERON_0002801&gt;</t>
  </si>
  <si>
    <t>stratum zonale of thalamus</t>
  </si>
  <si>
    <t>&lt;http://purl.obolibrary.org/obo/DHBA_12085&gt;</t>
  </si>
  <si>
    <t>&lt;http://purl.obolibrary.org/obo/HBA_265505326&gt;</t>
  </si>
  <si>
    <t>&lt;http://purl.obolibrary.org/obo/UBERON_0006086&gt;</t>
  </si>
  <si>
    <t>stria medullaris of thalamus</t>
  </si>
  <si>
    <t>&lt;http://purl.obolibrary.org/obo/DHBA_10590&gt;</t>
  </si>
  <si>
    <t>stria medullaris</t>
  </si>
  <si>
    <t>&lt;http://purl.obolibrary.org/obo/DMBA_17794&gt;</t>
  </si>
  <si>
    <t>&lt;http://purl.obolibrary.org/obo/HBA_9275&gt;</t>
  </si>
  <si>
    <t>&lt;http://purl.obolibrary.org/obo/MBA_802&gt;</t>
  </si>
  <si>
    <t>&lt;http://purl.obolibrary.org/obo/UBERON_0016555&gt;</t>
  </si>
  <si>
    <t>&lt;http://purl.obolibrary.org/obo/UBERON_0003029&gt;</t>
  </si>
  <si>
    <t>stria terminalis</t>
  </si>
  <si>
    <t>&lt;http://purl.obolibrary.org/obo/DHBA_10591&gt;</t>
  </si>
  <si>
    <t>&lt;http://purl.obolibrary.org/obo/HBA_9278&gt;</t>
  </si>
  <si>
    <t>&lt;http://purl.obolibrary.org/obo/MBA_301&gt;</t>
  </si>
  <si>
    <t>&lt;http://purl.obolibrary.org/obo/UBERON_0002435&gt;</t>
  </si>
  <si>
    <t>&lt;http://purl.obolibrary.org/obo/DHBA_10333&gt;</t>
  </si>
  <si>
    <t>&lt;http://purl.obolibrary.org/obo/HBA_4277&gt;</t>
  </si>
  <si>
    <t>&lt;http://purl.obolibrary.org/obo/PBA_10080&gt;</t>
  </si>
  <si>
    <t>&lt;http://purl.obolibrary.org/obo/UBERON_0010314&gt;</t>
  </si>
  <si>
    <t>primary motor cortex (area M1, area 4)</t>
  </si>
  <si>
    <t>&lt;http://purl.obolibrary.org/obo/DHBA_10163&gt;</t>
  </si>
  <si>
    <t>head and face region of M1</t>
  </si>
  <si>
    <t>&lt;http://purl.obolibrary.org/obo/DHBA_10164&gt;</t>
  </si>
  <si>
    <t>upper limb region of M1</t>
  </si>
  <si>
    <t>&lt;http://purl.obolibrary.org/obo/DHBA_10165&gt;</t>
  </si>
  <si>
    <t>trunk region of M1</t>
  </si>
  <si>
    <t>&lt;http://purl.obolibrary.org/obo/DHBA_10166&gt;</t>
  </si>
  <si>
    <t>lower limb region of M1</t>
  </si>
  <si>
    <t>&lt;http://purl.obolibrary.org/obo/DHBA_10167&gt;</t>
  </si>
  <si>
    <t>laterodorsal subdivision of area 6</t>
  </si>
  <si>
    <t>&lt;http://purl.obolibrary.org/obo/DHBA_10169&gt;</t>
  </si>
  <si>
    <t>lateroventral subdivision of area 6</t>
  </si>
  <si>
    <t>&lt;http://purl.obolibrary.org/obo/DHBA_10170&gt;</t>
  </si>
  <si>
    <t>medial subdivision of area 6 (area MII)</t>
  </si>
  <si>
    <t>&lt;http://purl.obolibrary.org/obo/DHBA_10171&gt;</t>
  </si>
  <si>
    <t>caudal portion of DFC (area 8)</t>
  </si>
  <si>
    <t>&lt;http://purl.obolibrary.org/obo/DHBA_10174&gt;</t>
  </si>
  <si>
    <t>laterodorsal subdivision of area 8</t>
  </si>
  <si>
    <t>&lt;http://purl.obolibrary.org/obo/DHBA_10175&gt;</t>
  </si>
  <si>
    <t>lateroventral subdivision of area 8</t>
  </si>
  <si>
    <t>&lt;http://purl.obolibrary.org/obo/DHBA_10176&gt;</t>
  </si>
  <si>
    <t>medial subdivision of area 8</t>
  </si>
  <si>
    <t>&lt;http://purl.obolibrary.org/obo/DHBA_10177&gt;</t>
  </si>
  <si>
    <t>rostrodorsal portion of DFC (area 9)</t>
  </si>
  <si>
    <t>&lt;http://purl.obolibrary.org/obo/DHBA_10178&gt;</t>
  </si>
  <si>
    <t>lateral subdivision of area 9</t>
  </si>
  <si>
    <t>&lt;http://purl.obolibrary.org/obo/DHBA_10179&gt;</t>
  </si>
  <si>
    <t>medial subdivision of area 9</t>
  </si>
  <si>
    <t>&lt;http://purl.obolibrary.org/obo/DHBA_10180&gt;</t>
  </si>
  <si>
    <t>intermediate portion of DFC (area 9/46)</t>
  </si>
  <si>
    <t>&lt;http://purl.obolibrary.org/obo/DHBA_10181&gt;</t>
  </si>
  <si>
    <t>dorsal subdivision of A9/46</t>
  </si>
  <si>
    <t>&lt;http://purl.obolibrary.org/obo/DHBA_10182&gt;</t>
  </si>
  <si>
    <t>ventral subdivision of A9/46</t>
  </si>
  <si>
    <t>&lt;http://purl.obolibrary.org/obo/DHBA_10183&gt;</t>
  </si>
  <si>
    <t>rostroventral portion of DFC (area 46)</t>
  </si>
  <si>
    <t>&lt;http://purl.obolibrary.org/obo/DHBA_10184&gt;</t>
  </si>
  <si>
    <t>ventrolateral prefrontal cortex</t>
  </si>
  <si>
    <t>&lt;http://purl.obolibrary.org/obo/DHBA_10185&gt;</t>
  </si>
  <si>
    <t>caudal portion of VFC (area 44)</t>
  </si>
  <si>
    <t>&lt;http://purl.obolibrary.org/obo/DHBA_10186&gt;</t>
  </si>
  <si>
    <t>rostral portion of VFC (area 45)</t>
  </si>
  <si>
    <t>&lt;http://purl.obolibrary.org/obo/DHBA_10187&gt;</t>
  </si>
  <si>
    <t>rostral subdivision of A45</t>
  </si>
  <si>
    <t>&lt;http://purl.obolibrary.org/obo/DHBA_10188&gt;</t>
  </si>
  <si>
    <t>caudal subdivision of A45</t>
  </si>
  <si>
    <t>&lt;http://purl.obolibrary.org/obo/DHBA_10189&gt;</t>
  </si>
  <si>
    <t>frontal polar cortex (area 10)</t>
  </si>
  <si>
    <t>&lt;http://purl.obolibrary.org/obo/DHBA_10190&gt;</t>
  </si>
  <si>
    <t>medial subdivision of area 10</t>
  </si>
  <si>
    <t>&lt;http://purl.obolibrary.org/obo/DHBA_10191&gt;</t>
  </si>
  <si>
    <t>lateral subdivision of area 10</t>
  </si>
  <si>
    <t>&lt;http://purl.obolibrary.org/obo/DHBA_10192&gt;</t>
  </si>
  <si>
    <t>orbital subdivision of area 10</t>
  </si>
  <si>
    <t>&lt;http://purl.obolibrary.org/obo/DHBA_10193&gt;</t>
  </si>
  <si>
    <t>medial orbital frontal cortex (area 14)</t>
  </si>
  <si>
    <t>&lt;http://purl.obolibrary.org/obo/DHBA_10195&gt;</t>
  </si>
  <si>
    <t>rostral subdivision of area 14</t>
  </si>
  <si>
    <t>&lt;http://purl.obolibrary.org/obo/DHBA_10196&gt;</t>
  </si>
  <si>
    <t>caudal subdivision of area 14</t>
  </si>
  <si>
    <t>&lt;http://purl.obolibrary.org/obo/DHBA_10197&gt;</t>
  </si>
  <si>
    <t>intermediate orbital frontal cortex</t>
  </si>
  <si>
    <t>&lt;http://purl.obolibrary.org/obo/DHBA_10198&gt;</t>
  </si>
  <si>
    <t>rostral division of OFCi (area 11)</t>
  </si>
  <si>
    <t>&lt;http://purl.obolibrary.org/obo/DHBA_10199&gt;</t>
  </si>
  <si>
    <t>medial subdivision of area 11</t>
  </si>
  <si>
    <t>&lt;http://purl.obolibrary.org/obo/DHBA_10200&gt;</t>
  </si>
  <si>
    <t>lateral subdivision of area 11</t>
  </si>
  <si>
    <t>&lt;http://purl.obolibrary.org/obo/DHBA_10201&gt;</t>
  </si>
  <si>
    <t>caudal division of OFCi (area 13)</t>
  </si>
  <si>
    <t>&lt;http://purl.obolibrary.org/obo/DHBA_10202&gt;</t>
  </si>
  <si>
    <t>medial subdivision of area 13</t>
  </si>
  <si>
    <t>&lt;http://purl.obolibrary.org/obo/DHBA_10203&gt;</t>
  </si>
  <si>
    <t>lateral subdivision of area 13</t>
  </si>
  <si>
    <t>&lt;http://purl.obolibrary.org/obo/DHBA_10204&gt;</t>
  </si>
  <si>
    <t>lateral orbital frontal cortex (area 12/47)</t>
  </si>
  <si>
    <t>&lt;http://purl.obolibrary.org/obo/DHBA_10205&gt;</t>
  </si>
  <si>
    <t>medial subdivision of area 12/47</t>
  </si>
  <si>
    <t>&lt;http://purl.obolibrary.org/obo/DHBA_10206&gt;</t>
  </si>
  <si>
    <t>lateral subdivision of area 12/47</t>
  </si>
  <si>
    <t>&lt;http://purl.obolibrary.org/obo/DHBA_10207&gt;</t>
  </si>
  <si>
    <t>head and face region of S1</t>
  </si>
  <si>
    <t>&lt;http://purl.obolibrary.org/obo/DHBA_10210&gt;</t>
  </si>
  <si>
    <t>upper limb region of S1</t>
  </si>
  <si>
    <t>&lt;http://purl.obolibrary.org/obo/DHBA_10211&gt;</t>
  </si>
  <si>
    <t>trunk region of S1</t>
  </si>
  <si>
    <t>&lt;http://purl.obolibrary.org/obo/DHBA_10212&gt;</t>
  </si>
  <si>
    <t>lower limb region of S1</t>
  </si>
  <si>
    <t>&lt;http://purl.obolibrary.org/obo/DHBA_10213&gt;</t>
  </si>
  <si>
    <t>rostral division of SPC (area 5)</t>
  </si>
  <si>
    <t>&lt;http://purl.obolibrary.org/obo/DHBA_10216&gt;</t>
  </si>
  <si>
    <t>cingulate subdivision of area 5</t>
  </si>
  <si>
    <t>&lt;http://purl.obolibrary.org/obo/DHBA_10217&gt;</t>
  </si>
  <si>
    <t>lateral subdivision of area 5</t>
  </si>
  <si>
    <t>&lt;http://purl.obolibrary.org/obo/DHBA_10218&gt;</t>
  </si>
  <si>
    <t>medial subdivision of area 5</t>
  </si>
  <si>
    <t>&lt;http://purl.obolibrary.org/obo/DHBA_10219&gt;</t>
  </si>
  <si>
    <t>caudal division of SPC (area 7)</t>
  </si>
  <si>
    <t>&lt;http://purl.obolibrary.org/obo/DHBA_10220&gt;</t>
  </si>
  <si>
    <t>rostral subdivision of area 7</t>
  </si>
  <si>
    <t>&lt;http://purl.obolibrary.org/obo/DHBA_10221&gt;</t>
  </si>
  <si>
    <t>medial subdivision of area 7</t>
  </si>
  <si>
    <t>&lt;http://purl.obolibrary.org/obo/DHBA_10222&gt;</t>
  </si>
  <si>
    <t>caudal subdivision of area 7</t>
  </si>
  <si>
    <t>&lt;http://purl.obolibrary.org/obo/DHBA_10223&gt;</t>
  </si>
  <si>
    <t>postcentral subdivision of area 7</t>
  </si>
  <si>
    <t>&lt;http://purl.obolibrary.org/obo/DHBA_10224&gt;</t>
  </si>
  <si>
    <t>posteroventral (inferior) parietal cortex</t>
  </si>
  <si>
    <t>&lt;http://purl.obolibrary.org/obo/DHBA_10225&gt;</t>
  </si>
  <si>
    <t>rostral division of IPC (area 40)</t>
  </si>
  <si>
    <t>&lt;http://purl.obolibrary.org/obo/DHBA_10226&gt;</t>
  </si>
  <si>
    <t>rostrodorsal subdivision of area 40</t>
  </si>
  <si>
    <t>&lt;http://purl.obolibrary.org/obo/DHBA_10227&gt;</t>
  </si>
  <si>
    <t>rostroventral subdivision of area 40</t>
  </si>
  <si>
    <t>&lt;http://purl.obolibrary.org/obo/DHBA_10228&gt;</t>
  </si>
  <si>
    <t>inferior subdivision of area 40</t>
  </si>
  <si>
    <t>&lt;http://purl.obolibrary.org/obo/DHBA_10231&gt;</t>
  </si>
  <si>
    <t>caudal division of IPC (area 39)</t>
  </si>
  <si>
    <t>&lt;http://purl.obolibrary.org/obo/DHBA_10232&gt;</t>
  </si>
  <si>
    <t>rostral subdivision of area 39</t>
  </si>
  <si>
    <t>&lt;http://purl.obolibrary.org/obo/DHBA_10233&gt;</t>
  </si>
  <si>
    <t>caudal subdivision of area 39</t>
  </si>
  <si>
    <t>&lt;http://purl.obolibrary.org/obo/DHBA_10234&gt;</t>
  </si>
  <si>
    <t>temporal neocortex</t>
  </si>
  <si>
    <t>&lt;http://purl.obolibrary.org/obo/DHBA_10235&gt;</t>
  </si>
  <si>
    <t>main portion of A1C (area TC, area 41)</t>
  </si>
  <si>
    <t>&lt;http://purl.obolibrary.org/obo/DHBA_10237&gt;</t>
  </si>
  <si>
    <t>rostral portion of A1C</t>
  </si>
  <si>
    <t>&lt;http://purl.obolibrary.org/obo/DHBA_10238&gt;</t>
  </si>
  <si>
    <t>superolateral temporal cortex</t>
  </si>
  <si>
    <t>&lt;http://purl.obolibrary.org/obo/DHBA_10240&gt;</t>
  </si>
  <si>
    <t>anterior (rostral) superior temporal cortex (area 22r)</t>
  </si>
  <si>
    <t>&lt;http://purl.obolibrary.org/obo/DHBA_10241&gt;</t>
  </si>
  <si>
    <t>intermediate superior temporal cortex (area 22i)</t>
  </si>
  <si>
    <t>&lt;http://purl.obolibrary.org/obo/DHBA_10242&gt;</t>
  </si>
  <si>
    <t>posterior (caudal) superior temporal cortex (area 22c)</t>
  </si>
  <si>
    <t>&lt;http://purl.obolibrary.org/obo/DHBA_10243&gt;</t>
  </si>
  <si>
    <t>polysensory temporal cortex (area 22p)</t>
  </si>
  <si>
    <t>&lt;http://purl.obolibrary.org/obo/DHBA_10244&gt;</t>
  </si>
  <si>
    <t>rostral division of 22p (area 22pr)</t>
  </si>
  <si>
    <t>&lt;http://purl.obolibrary.org/obo/DHBA_10245&gt;</t>
  </si>
  <si>
    <t>intermediate division of 22p (area 22pi)</t>
  </si>
  <si>
    <t>&lt;http://purl.obolibrary.org/obo/DHBA_10246&gt;</t>
  </si>
  <si>
    <t>caudal division of 22p (area 22pc)</t>
  </si>
  <si>
    <t>&lt;http://purl.obolibrary.org/obo/DHBA_10247&gt;</t>
  </si>
  <si>
    <t>midlateral temporal  cortex (area TEd, area 21)</t>
  </si>
  <si>
    <t>&lt;http://purl.obolibrary.org/obo/DHBA_10248&gt;</t>
  </si>
  <si>
    <t>rostral subdivision of area 21</t>
  </si>
  <si>
    <t>&lt;http://purl.obolibrary.org/obo/DHBA_10249&gt;</t>
  </si>
  <si>
    <t>intermediate subdivision of area 21</t>
  </si>
  <si>
    <t>&lt;http://purl.obolibrary.org/obo/DHBA_10250&gt;</t>
  </si>
  <si>
    <t>caudal subdivision of area 21</t>
  </si>
  <si>
    <t>&lt;http://purl.obolibrary.org/obo/DHBA_10251&gt;</t>
  </si>
  <si>
    <t>inferolateral temporal cortex (area TEv, area 20)</t>
  </si>
  <si>
    <t>&lt;http://purl.obolibrary.org/obo/DHBA_10252&gt;</t>
  </si>
  <si>
    <t>rostral subdivision of area 20</t>
  </si>
  <si>
    <t>&lt;http://purl.obolibrary.org/obo/DHBA_10253&gt;</t>
  </si>
  <si>
    <t>intermediate subdivision of area 20</t>
  </si>
  <si>
    <t>&lt;http://purl.obolibrary.org/obo/DHBA_10254&gt;</t>
  </si>
  <si>
    <t>caudal subdivision of area 20</t>
  </si>
  <si>
    <t>&lt;http://purl.obolibrary.org/obo/DHBA_10255&gt;</t>
  </si>
  <si>
    <t>midinferior (fusiform) temporal cortex</t>
  </si>
  <si>
    <t>&lt;http://purl.obolibrary.org/obo/DHBA_10256&gt;</t>
  </si>
  <si>
    <t>rostral division of MITC (area 36)</t>
  </si>
  <si>
    <t>&lt;http://purl.obolibrary.org/obo/DHBA_10257&gt;</t>
  </si>
  <si>
    <t>rostral subdivision of area 36</t>
  </si>
  <si>
    <t>&lt;http://purl.obolibrary.org/obo/DHBA_10258&gt;</t>
  </si>
  <si>
    <t>caudal subdivision of area 36</t>
  </si>
  <si>
    <t>&lt;http://purl.obolibrary.org/obo/DHBA_10259&gt;</t>
  </si>
  <si>
    <t>caudal division of MITC (area TF)</t>
  </si>
  <si>
    <t>&lt;http://purl.obolibrary.org/obo/DHBA_10260&gt;</t>
  </si>
  <si>
    <t>medial temporal-occipital cortex (area TFO)</t>
  </si>
  <si>
    <t>&lt;http://purl.obolibrary.org/obo/DHBA_10261&gt;</t>
  </si>
  <si>
    <t>lateral temporal-occipital cortex (area 37)</t>
  </si>
  <si>
    <t>&lt;http://purl.obolibrary.org/obo/DHBA_10262&gt;</t>
  </si>
  <si>
    <t>posterior parahippocampal cortex</t>
  </si>
  <si>
    <t>&lt;http://purl.obolibrary.org/obo/DHBA_10263&gt;</t>
  </si>
  <si>
    <t>medial division of PPHC (area TH)</t>
  </si>
  <si>
    <t>&lt;http://purl.obolibrary.org/obo/DHBA_10264&gt;</t>
  </si>
  <si>
    <t>lateral division of PPHC (area TL)</t>
  </si>
  <si>
    <t>&lt;http://purl.obolibrary.org/obo/DHBA_10265&gt;</t>
  </si>
  <si>
    <t>temporal polar cortex (area TG, area 38)</t>
  </si>
  <si>
    <t>&lt;http://purl.obolibrary.org/obo/DHBA_10266&gt;</t>
  </si>
  <si>
    <t>parainsular cortex</t>
  </si>
  <si>
    <t>&lt;http://purl.obolibrary.org/obo/DHBA_10267&gt;</t>
  </si>
  <si>
    <t>primary visual cortex (striate cortex, area V1/17)</t>
  </si>
  <si>
    <t>&lt;http://purl.obolibrary.org/obo/DHBA_10269&gt;</t>
  </si>
  <si>
    <t>peristriate cortex (area 19)</t>
  </si>
  <si>
    <t>&lt;http://purl.obolibrary.org/obo/DHBA_10272&gt;</t>
  </si>
  <si>
    <t>area V3 of peristriate cortex</t>
  </si>
  <si>
    <t>&lt;http://purl.obolibrary.org/obo/DHBA_10273&gt;</t>
  </si>
  <si>
    <t>area VP of peristriate cortex</t>
  </si>
  <si>
    <t>&lt;http://purl.obolibrary.org/obo/DHBA_10274&gt;</t>
  </si>
  <si>
    <t>area V3A of peristriate cortex</t>
  </si>
  <si>
    <t>&lt;http://purl.obolibrary.org/obo/DHBA_10275&gt;</t>
  </si>
  <si>
    <t>area V4 of peristriate cortex</t>
  </si>
  <si>
    <t>&lt;http://purl.obolibrary.org/obo/DHBA_10276&gt;</t>
  </si>
  <si>
    <t>anterior (rostral) cingulate (medial prefrontal) cortex</t>
  </si>
  <si>
    <t>&lt;http://purl.obolibrary.org/obo/DHBA_10278&gt;</t>
  </si>
  <si>
    <t>ventral division of MFC (area 24)</t>
  </si>
  <si>
    <t>&lt;http://purl.obolibrary.org/obo/DHBA_10279&gt;</t>
  </si>
  <si>
    <t>dorsorostral division of MFC (area 32)</t>
  </si>
  <si>
    <t>&lt;http://purl.obolibrary.org/obo/DHBA_10280&gt;</t>
  </si>
  <si>
    <t>subgenual (subcallosal) division of MFC (area 25)</t>
  </si>
  <si>
    <t>&lt;http://purl.obolibrary.org/obo/DHBA_10281&gt;</t>
  </si>
  <si>
    <t>midcingulate cortex</t>
  </si>
  <si>
    <t>&lt;http://purl.obolibrary.org/obo/DHBA_10282&gt;</t>
  </si>
  <si>
    <t>ventral division of MCC (area 24mc)</t>
  </si>
  <si>
    <t>&lt;http://purl.obolibrary.org/obo/DHBA_10283&gt;</t>
  </si>
  <si>
    <t>dorsal division of MCC (area 32mc)</t>
  </si>
  <si>
    <t>&lt;http://purl.obolibrary.org/obo/DHBA_10284&gt;</t>
  </si>
  <si>
    <t>ventral division of PCC (area 23)</t>
  </si>
  <si>
    <t>&lt;http://purl.obolibrary.org/obo/DHBA_10286&gt;</t>
  </si>
  <si>
    <t>dorsal division of PCC (area 31)</t>
  </si>
  <si>
    <t>&lt;http://purl.obolibrary.org/obo/DHBA_10287&gt;</t>
  </si>
  <si>
    <t>primary motor-sensory cortex (samples)</t>
  </si>
  <si>
    <t>&lt;http://purl.obolibrary.org/obo/DHBA_10291&gt;</t>
  </si>
  <si>
    <t>prosubiculum</t>
  </si>
  <si>
    <t>&lt;http://purl.obolibrary.org/obo/DHBA_10303&gt;</t>
  </si>
  <si>
    <t>piriform-entorhinal-amygdaloid area</t>
  </si>
  <si>
    <t>&lt;http://purl.obolibrary.org/obo/DHBA_10312&gt;</t>
  </si>
  <si>
    <t>periarchicortex</t>
  </si>
  <si>
    <t>&lt;http://purl.obolibrary.org/obo/DHBA_10314&gt;</t>
  </si>
  <si>
    <t>perirhinal cortex (area 35)</t>
  </si>
  <si>
    <t>&lt;http://purl.obolibrary.org/obo/DHBA_10320&gt;</t>
  </si>
  <si>
    <t>rostral subdivision of area 35</t>
  </si>
  <si>
    <t>&lt;http://purl.obolibrary.org/obo/DHBA_10321&gt;</t>
  </si>
  <si>
    <t>caudal subdivision of area 35</t>
  </si>
  <si>
    <t>&lt;http://purl.obolibrary.org/obo/DHBA_10322&gt;</t>
  </si>
  <si>
    <t>area 29 of retrosplenial cortex</t>
  </si>
  <si>
    <t>&lt;http://purl.obolibrary.org/obo/DHBA_10325&gt;</t>
  </si>
  <si>
    <t>area 30 of retrosplenial cortex</t>
  </si>
  <si>
    <t>&lt;http://purl.obolibrary.org/obo/DHBA_10326&gt;</t>
  </si>
  <si>
    <t>peripaleocortex</t>
  </si>
  <si>
    <t>&lt;http://purl.obolibrary.org/obo/DHBA_10327&gt;</t>
  </si>
  <si>
    <t>frontal agranular insular cortex (area FI)</t>
  </si>
  <si>
    <t>&lt;http://purl.obolibrary.org/obo/DHBA_10329&gt;</t>
  </si>
  <si>
    <t>temporal agranular insular cortex (area TI)</t>
  </si>
  <si>
    <t>&lt;http://purl.obolibrary.org/obo/DHBA_10330&gt;</t>
  </si>
  <si>
    <t>tail of caudate</t>
  </si>
  <si>
    <t>&lt;http://purl.obolibrary.org/obo/DHBA_10337&gt;</t>
  </si>
  <si>
    <t>&lt;http://purl.obolibrary.org/obo/DHBA_10343&gt;</t>
  </si>
  <si>
    <t>Ventral pallidus</t>
  </si>
  <si>
    <t>&lt;http://purl.obolibrary.org/obo/DHBA_10345&gt;</t>
  </si>
  <si>
    <t>Dorsal claustrum</t>
  </si>
  <si>
    <t>&lt;http://purl.obolibrary.org/obo/DHBA_10347&gt;</t>
  </si>
  <si>
    <t>vertical subdivision of nucleus of diagonal band</t>
  </si>
  <si>
    <t>&lt;http://purl.obolibrary.org/obo/DHBA_10355&gt;</t>
  </si>
  <si>
    <t>horizontal subdivision of nucleus of diagonal band</t>
  </si>
  <si>
    <t>&lt;http://purl.obolibrary.org/obo/DHBA_10356&gt;</t>
  </si>
  <si>
    <t>nucleus subputaminalis</t>
  </si>
  <si>
    <t>&lt;http://purl.obolibrary.org/obo/DHBA_10357&gt;</t>
  </si>
  <si>
    <t>scattered islands of Calleja</t>
  </si>
  <si>
    <t>&lt;http://purl.obolibrary.org/obo/DHBA_10360&gt;</t>
  </si>
  <si>
    <t>medial subdivision of central nucleus</t>
  </si>
  <si>
    <t>&lt;http://purl.obolibrary.org/obo/DHBA_10364&gt;</t>
  </si>
  <si>
    <t>lateral subdivision of central nucleus</t>
  </si>
  <si>
    <t>&lt;http://purl.obolibrary.org/obo/DHBA_10365&gt;</t>
  </si>
  <si>
    <t>basolateral nucleus (basal nucleus)</t>
  </si>
  <si>
    <t>&lt;http://purl.obolibrary.org/obo/DHBA_10368&gt;</t>
  </si>
  <si>
    <t>paralaminar nucleus</t>
  </si>
  <si>
    <t>&lt;http://purl.obolibrary.org/obo/DHBA_10370&gt;</t>
  </si>
  <si>
    <t>anterior cortical nucleus</t>
  </si>
  <si>
    <t>&lt;http://purl.obolibrary.org/obo/DHBA_10374&gt;</t>
  </si>
  <si>
    <t>posterior cortical nucleus</t>
  </si>
  <si>
    <t>&lt;http://purl.obolibrary.org/obo/DHBA_10375&gt;</t>
  </si>
  <si>
    <t>&lt;http://purl.obolibrary.org/obo/DHBA_10376&gt;</t>
  </si>
  <si>
    <t>amygdaloid transition areas</t>
  </si>
  <si>
    <t>&lt;http://purl.obolibrary.org/obo/DHBA_10379&gt;</t>
  </si>
  <si>
    <t>amygdalostriatal transition area</t>
  </si>
  <si>
    <t>&lt;http://purl.obolibrary.org/obo/DHBA_10381&gt;</t>
  </si>
  <si>
    <t>amygdalocortical (corticoamygdaloid) transition area</t>
  </si>
  <si>
    <t>&lt;http://purl.obolibrary.org/obo/DHBA_10382&gt;</t>
  </si>
  <si>
    <t>extended amygdala</t>
  </si>
  <si>
    <t>&lt;http://purl.obolibrary.org/obo/DHBA_10383&gt;</t>
  </si>
  <si>
    <t>sublenticular extended amygdala</t>
  </si>
  <si>
    <t>&lt;http://purl.obolibrary.org/obo/DHBA_10387&gt;</t>
  </si>
  <si>
    <t>interstitial nucleus of posterior limb of anterior commissure</t>
  </si>
  <si>
    <t>&lt;http://purl.obolibrary.org/obo/DHBA_10388&gt;</t>
  </si>
  <si>
    <t>CP in frontal neocortex</t>
  </si>
  <si>
    <t>&lt;http://purl.obolibrary.org/obo/DHBA_10516&gt;</t>
  </si>
  <si>
    <t>CP in occipital neocortex</t>
  </si>
  <si>
    <t>&lt;http://purl.obolibrary.org/obo/DHBA_10517&gt;</t>
  </si>
  <si>
    <t>CP in parietal neocortex</t>
  </si>
  <si>
    <t>&lt;http://purl.obolibrary.org/obo/DHBA_10518&gt;</t>
  </si>
  <si>
    <t>CP in temporal neocortex</t>
  </si>
  <si>
    <t>&lt;http://purl.obolibrary.org/obo/DHBA_10519&gt;</t>
  </si>
  <si>
    <t>CP in allocortex</t>
  </si>
  <si>
    <t>&lt;http://purl.obolibrary.org/obo/DHBA_10520&gt;</t>
  </si>
  <si>
    <t>CP in periallocortex</t>
  </si>
  <si>
    <t>&lt;http://purl.obolibrary.org/obo/DHBA_10521&gt;</t>
  </si>
  <si>
    <t>SP in frontal neocortex</t>
  </si>
  <si>
    <t>&lt;http://purl.obolibrary.org/obo/DHBA_10523&gt;</t>
  </si>
  <si>
    <t>SP in occipital neocortex</t>
  </si>
  <si>
    <t>&lt;http://purl.obolibrary.org/obo/DHBA_10524&gt;</t>
  </si>
  <si>
    <t>SP in parietal neocortex</t>
  </si>
  <si>
    <t>&lt;http://purl.obolibrary.org/obo/DHBA_10525&gt;</t>
  </si>
  <si>
    <t>SP in temporal neocortex</t>
  </si>
  <si>
    <t>&lt;http://purl.obolibrary.org/obo/DHBA_10526&gt;</t>
  </si>
  <si>
    <t>SP in allocortex</t>
  </si>
  <si>
    <t>&lt;http://purl.obolibrary.org/obo/DHBA_10527&gt;</t>
  </si>
  <si>
    <t>SP in periallocortex</t>
  </si>
  <si>
    <t>&lt;http://purl.obolibrary.org/obo/DHBA_10528&gt;</t>
  </si>
  <si>
    <t>genu of internal capsule</t>
  </si>
  <si>
    <t>&lt;http://purl.obolibrary.org/obo/DHBA_10583&gt;</t>
  </si>
  <si>
    <t>superior longitudinal fasciculus</t>
  </si>
  <si>
    <t>&lt;http://purl.obolibrary.org/obo/DHBA_10592&gt;</t>
  </si>
  <si>
    <t>uncinate fasciculus</t>
  </si>
  <si>
    <t>&lt;http://purl.obolibrary.org/obo/DHBA_10594&gt;</t>
  </si>
  <si>
    <t>marginal ramus of cis</t>
  </si>
  <si>
    <t>&lt;http://purl.obolibrary.org/obo/DHBA_10616&gt;</t>
  </si>
  <si>
    <t>transient structures of hindbrain</t>
  </si>
  <si>
    <t>&lt;http://purl.obolibrary.org/obo/DHBA_10663&gt;</t>
  </si>
  <si>
    <t>transient cell columns in pons</t>
  </si>
  <si>
    <t>&lt;http://purl.obolibrary.org/obo/DHBA_10667&gt;</t>
  </si>
  <si>
    <t>white matter of hindbrain</t>
  </si>
  <si>
    <t>&lt;http://purl.obolibrary.org/obo/DHBA_10668&gt;</t>
  </si>
  <si>
    <t>surface structures of hindbrain</t>
  </si>
  <si>
    <t>&lt;http://purl.obolibrary.org/obo/DHBA_10670&gt;</t>
  </si>
  <si>
    <t>layer I of area 14r</t>
  </si>
  <si>
    <t>&lt;http://purl.obolibrary.org/obo/DHBA_10738&gt;</t>
  </si>
  <si>
    <t>layer II of area 14r</t>
  </si>
  <si>
    <t>&lt;http://purl.obolibrary.org/obo/DHBA_10739&gt;</t>
  </si>
  <si>
    <t>layer III of area 14r</t>
  </si>
  <si>
    <t>&lt;http://purl.obolibrary.org/obo/DHBA_10740&gt;</t>
  </si>
  <si>
    <t>layer IV of area 14r</t>
  </si>
  <si>
    <t>&lt;http://purl.obolibrary.org/obo/DHBA_10741&gt;</t>
  </si>
  <si>
    <t>layer V of area 14r</t>
  </si>
  <si>
    <t>&lt;http://purl.obolibrary.org/obo/DHBA_10742&gt;</t>
  </si>
  <si>
    <t>layer VI of area 14r</t>
  </si>
  <si>
    <t>&lt;http://purl.obolibrary.org/obo/DHBA_10743&gt;</t>
  </si>
  <si>
    <t>layer I of area 14c</t>
  </si>
  <si>
    <t>&lt;http://purl.obolibrary.org/obo/DHBA_10744&gt;</t>
  </si>
  <si>
    <t>layer II of area 14c</t>
  </si>
  <si>
    <t>&lt;http://purl.obolibrary.org/obo/DHBA_10745&gt;</t>
  </si>
  <si>
    <t>layer III of area 14c</t>
  </si>
  <si>
    <t>&lt;http://purl.obolibrary.org/obo/DHBA_10746&gt;</t>
  </si>
  <si>
    <t>layer IV of area 14c</t>
  </si>
  <si>
    <t>&lt;http://purl.obolibrary.org/obo/DHBA_10747&gt;</t>
  </si>
  <si>
    <t>layer V of area 14c</t>
  </si>
  <si>
    <t>&lt;http://purl.obolibrary.org/obo/DHBA_10748&gt;</t>
  </si>
  <si>
    <t>layer VI of area 14c</t>
  </si>
  <si>
    <t>&lt;http://purl.obolibrary.org/obo/DHBA_10749&gt;</t>
  </si>
  <si>
    <t>layer I of area 11m</t>
  </si>
  <si>
    <t>&lt;http://purl.obolibrary.org/obo/DHBA_10750&gt;</t>
  </si>
  <si>
    <t>layer II of area 11m</t>
  </si>
  <si>
    <t>&lt;http://purl.obolibrary.org/obo/DHBA_10751&gt;</t>
  </si>
  <si>
    <t>layer III of area 11m</t>
  </si>
  <si>
    <t>&lt;http://purl.obolibrary.org/obo/DHBA_10752&gt;</t>
  </si>
  <si>
    <t>layer IV of area 11m</t>
  </si>
  <si>
    <t>&lt;http://purl.obolibrary.org/obo/DHBA_10753&gt;</t>
  </si>
  <si>
    <t>layer V of area 11m</t>
  </si>
  <si>
    <t>&lt;http://purl.obolibrary.org/obo/DHBA_10754&gt;</t>
  </si>
  <si>
    <t>layer VI of area 11m</t>
  </si>
  <si>
    <t>&lt;http://purl.obolibrary.org/obo/DHBA_10755&gt;</t>
  </si>
  <si>
    <t>layer I of area 11l</t>
  </si>
  <si>
    <t>&lt;http://purl.obolibrary.org/obo/DHBA_10756&gt;</t>
  </si>
  <si>
    <t>layer II of area 11l</t>
  </si>
  <si>
    <t>&lt;http://purl.obolibrary.org/obo/DHBA_10757&gt;</t>
  </si>
  <si>
    <t>layer III of area 11l</t>
  </si>
  <si>
    <t>&lt;http://purl.obolibrary.org/obo/DHBA_10758&gt;</t>
  </si>
  <si>
    <t>layer IV of area 11l</t>
  </si>
  <si>
    <t>&lt;http://purl.obolibrary.org/obo/DHBA_10759&gt;</t>
  </si>
  <si>
    <t>layer V of area 11l</t>
  </si>
  <si>
    <t>&lt;http://purl.obolibrary.org/obo/DHBA_10760&gt;</t>
  </si>
  <si>
    <t>layer VI of area 11l</t>
  </si>
  <si>
    <t>&lt;http://purl.obolibrary.org/obo/DHBA_10761&gt;</t>
  </si>
  <si>
    <t>layer I of area 13m</t>
  </si>
  <si>
    <t>&lt;http://purl.obolibrary.org/obo/DHBA_10762&gt;</t>
  </si>
  <si>
    <t>layer II of area 13m</t>
  </si>
  <si>
    <t>&lt;http://purl.obolibrary.org/obo/DHBA_10763&gt;</t>
  </si>
  <si>
    <t>layer III of area 13m</t>
  </si>
  <si>
    <t>&lt;http://purl.obolibrary.org/obo/DHBA_10764&gt;</t>
  </si>
  <si>
    <t>layer IV of area 13m</t>
  </si>
  <si>
    <t>&lt;http://purl.obolibrary.org/obo/DHBA_10765&gt;</t>
  </si>
  <si>
    <t>layer V of area 13m</t>
  </si>
  <si>
    <t>&lt;http://purl.obolibrary.org/obo/DHBA_10766&gt;</t>
  </si>
  <si>
    <t>layer VI of area 13m</t>
  </si>
  <si>
    <t>&lt;http://purl.obolibrary.org/obo/DHBA_10767&gt;</t>
  </si>
  <si>
    <t>layer I of area 13l</t>
  </si>
  <si>
    <t>&lt;http://purl.obolibrary.org/obo/DHBA_10768&gt;</t>
  </si>
  <si>
    <t>layer II of area 13l</t>
  </si>
  <si>
    <t>&lt;http://purl.obolibrary.org/obo/DHBA_10769&gt;</t>
  </si>
  <si>
    <t>layer III of area 13l</t>
  </si>
  <si>
    <t>&lt;http://purl.obolibrary.org/obo/DHBA_10770&gt;</t>
  </si>
  <si>
    <t>layer IV of area 13l</t>
  </si>
  <si>
    <t>&lt;http://purl.obolibrary.org/obo/DHBA_10771&gt;</t>
  </si>
  <si>
    <t>layer V of area 13l</t>
  </si>
  <si>
    <t>&lt;http://purl.obolibrary.org/obo/DHBA_10772&gt;</t>
  </si>
  <si>
    <t>layer VI of area 13l</t>
  </si>
  <si>
    <t>&lt;http://purl.obolibrary.org/obo/DHBA_10773&gt;</t>
  </si>
  <si>
    <t>layer I of area 12/47m</t>
  </si>
  <si>
    <t>&lt;http://purl.obolibrary.org/obo/DHBA_10774&gt;</t>
  </si>
  <si>
    <t>layer II of area 12/47m</t>
  </si>
  <si>
    <t>&lt;http://purl.obolibrary.org/obo/DHBA_10775&gt;</t>
  </si>
  <si>
    <t>layer III of area 12/47m</t>
  </si>
  <si>
    <t>&lt;http://purl.obolibrary.org/obo/DHBA_10776&gt;</t>
  </si>
  <si>
    <t>layer IV of area 12/47m</t>
  </si>
  <si>
    <t>&lt;http://purl.obolibrary.org/obo/DHBA_10777&gt;</t>
  </si>
  <si>
    <t>layer V of area 12/47m</t>
  </si>
  <si>
    <t>&lt;http://purl.obolibrary.org/obo/DHBA_10778&gt;</t>
  </si>
  <si>
    <t>layer VI of area 12/47m</t>
  </si>
  <si>
    <t>&lt;http://purl.obolibrary.org/obo/DHBA_10779&gt;</t>
  </si>
  <si>
    <t>layer I of area 12/47l</t>
  </si>
  <si>
    <t>&lt;http://purl.obolibrary.org/obo/DHBA_10780&gt;</t>
  </si>
  <si>
    <t>layer II of area 12/47l</t>
  </si>
  <si>
    <t>&lt;http://purl.obolibrary.org/obo/DHBA_10781&gt;</t>
  </si>
  <si>
    <t>layer III of area 12/47l</t>
  </si>
  <si>
    <t>&lt;http://purl.obolibrary.org/obo/DHBA_10782&gt;</t>
  </si>
  <si>
    <t>layer IV of area 12/47l</t>
  </si>
  <si>
    <t>&lt;http://purl.obolibrary.org/obo/DHBA_10783&gt;</t>
  </si>
  <si>
    <t>layer V of area 12/47l</t>
  </si>
  <si>
    <t>&lt;http://purl.obolibrary.org/obo/DHBA_10784&gt;</t>
  </si>
  <si>
    <t>layer VI of area 12/47l</t>
  </si>
  <si>
    <t>&lt;http://purl.obolibrary.org/obo/DHBA_10785&gt;</t>
  </si>
  <si>
    <t>layer I of area M1hf</t>
  </si>
  <si>
    <t>&lt;http://purl.obolibrary.org/obo/DHBA_10786&gt;</t>
  </si>
  <si>
    <t>layer II of area M1hf</t>
  </si>
  <si>
    <t>&lt;http://purl.obolibrary.org/obo/DHBA_10787&gt;</t>
  </si>
  <si>
    <t>layer III of area M1hf</t>
  </si>
  <si>
    <t>&lt;http://purl.obolibrary.org/obo/DHBA_10788&gt;</t>
  </si>
  <si>
    <t>layer V of area M1hf</t>
  </si>
  <si>
    <t>&lt;http://purl.obolibrary.org/obo/DHBA_10789&gt;</t>
  </si>
  <si>
    <t>layer VI of area M1hf</t>
  </si>
  <si>
    <t>&lt;http://purl.obolibrary.org/obo/DHBA_10790&gt;</t>
  </si>
  <si>
    <t>layer I of area M1ul</t>
  </si>
  <si>
    <t>&lt;http://purl.obolibrary.org/obo/DHBA_10791&gt;</t>
  </si>
  <si>
    <t>layer II of area M1ul</t>
  </si>
  <si>
    <t>&lt;http://purl.obolibrary.org/obo/DHBA_10792&gt;</t>
  </si>
  <si>
    <t>layer III of area M1ul</t>
  </si>
  <si>
    <t>&lt;http://purl.obolibrary.org/obo/DHBA_10793&gt;</t>
  </si>
  <si>
    <t>layer V of area M1ul</t>
  </si>
  <si>
    <t>&lt;http://purl.obolibrary.org/obo/DHBA_10794&gt;</t>
  </si>
  <si>
    <t>layer VI of area M1ul</t>
  </si>
  <si>
    <t>&lt;http://purl.obolibrary.org/obo/DHBA_10795&gt;</t>
  </si>
  <si>
    <t>layer I of area M1tr</t>
  </si>
  <si>
    <t>&lt;http://purl.obolibrary.org/obo/DHBA_10796&gt;</t>
  </si>
  <si>
    <t>layer II of area M1tr</t>
  </si>
  <si>
    <t>&lt;http://purl.obolibrary.org/obo/DHBA_10797&gt;</t>
  </si>
  <si>
    <t>layer III of area M1tr</t>
  </si>
  <si>
    <t>&lt;http://purl.obolibrary.org/obo/DHBA_10798&gt;</t>
  </si>
  <si>
    <t>layer V of area M1tr</t>
  </si>
  <si>
    <t>&lt;http://purl.obolibrary.org/obo/DHBA_10799&gt;</t>
  </si>
  <si>
    <t>layer VI of area M1tr</t>
  </si>
  <si>
    <t>&lt;http://purl.obolibrary.org/obo/DHBA_10800&gt;</t>
  </si>
  <si>
    <t>layer I of area M1lm</t>
  </si>
  <si>
    <t>&lt;http://purl.obolibrary.org/obo/DHBA_10801&gt;</t>
  </si>
  <si>
    <t>layer II of area M1lm</t>
  </si>
  <si>
    <t>&lt;http://purl.obolibrary.org/obo/DHBA_10802&gt;</t>
  </si>
  <si>
    <t>layer III of area M1lm</t>
  </si>
  <si>
    <t>&lt;http://purl.obolibrary.org/obo/DHBA_10803&gt;</t>
  </si>
  <si>
    <t>layer V of area M1lm</t>
  </si>
  <si>
    <t>&lt;http://purl.obolibrary.org/obo/DHBA_10804&gt;</t>
  </si>
  <si>
    <t>layer VI of area M1lm</t>
  </si>
  <si>
    <t>&lt;http://purl.obolibrary.org/obo/DHBA_10805&gt;</t>
  </si>
  <si>
    <t>layer I of area 6ld</t>
  </si>
  <si>
    <t>&lt;http://purl.obolibrary.org/obo/DHBA_10806&gt;</t>
  </si>
  <si>
    <t>layer II of area 6ld</t>
  </si>
  <si>
    <t>&lt;http://purl.obolibrary.org/obo/DHBA_10807&gt;</t>
  </si>
  <si>
    <t>layer III of area 6ld</t>
  </si>
  <si>
    <t>&lt;http://purl.obolibrary.org/obo/DHBA_10808&gt;</t>
  </si>
  <si>
    <t>layer V of area 6ld</t>
  </si>
  <si>
    <t>&lt;http://purl.obolibrary.org/obo/DHBA_10809&gt;</t>
  </si>
  <si>
    <t>layer VI of area 6ld</t>
  </si>
  <si>
    <t>&lt;http://purl.obolibrary.org/obo/DHBA_10810&gt;</t>
  </si>
  <si>
    <t>layer I of area 6lv</t>
  </si>
  <si>
    <t>&lt;http://purl.obolibrary.org/obo/DHBA_10811&gt;</t>
  </si>
  <si>
    <t>layer II of area 6lv</t>
  </si>
  <si>
    <t>&lt;http://purl.obolibrary.org/obo/DHBA_10812&gt;</t>
  </si>
  <si>
    <t>layer III of area 6lv</t>
  </si>
  <si>
    <t>&lt;http://purl.obolibrary.org/obo/DHBA_10813&gt;</t>
  </si>
  <si>
    <t>layer V of area 6lv</t>
  </si>
  <si>
    <t>&lt;http://purl.obolibrary.org/obo/DHBA_10814&gt;</t>
  </si>
  <si>
    <t>layer VI of area 6lv</t>
  </si>
  <si>
    <t>&lt;http://purl.obolibrary.org/obo/DHBA_10815&gt;</t>
  </si>
  <si>
    <t>layer I of area 6m</t>
  </si>
  <si>
    <t>&lt;http://purl.obolibrary.org/obo/DHBA_10816&gt;</t>
  </si>
  <si>
    <t>layer II of area 6m</t>
  </si>
  <si>
    <t>&lt;http://purl.obolibrary.org/obo/DHBA_10817&gt;</t>
  </si>
  <si>
    <t>layer III of area 6m</t>
  </si>
  <si>
    <t>&lt;http://purl.obolibrary.org/obo/DHBA_10818&gt;</t>
  </si>
  <si>
    <t>layer V of area 6m</t>
  </si>
  <si>
    <t>&lt;http://purl.obolibrary.org/obo/DHBA_10819&gt;</t>
  </si>
  <si>
    <t>layer VI of area 6m</t>
  </si>
  <si>
    <t>&lt;http://purl.obolibrary.org/obo/DHBA_10820&gt;</t>
  </si>
  <si>
    <t>layer I of area 8ld</t>
  </si>
  <si>
    <t>&lt;http://purl.obolibrary.org/obo/DHBA_10821&gt;</t>
  </si>
  <si>
    <t>layer II of area 8ld</t>
  </si>
  <si>
    <t>&lt;http://purl.obolibrary.org/obo/DHBA_10822&gt;</t>
  </si>
  <si>
    <t>layer III of area 8ld</t>
  </si>
  <si>
    <t>&lt;http://purl.obolibrary.org/obo/DHBA_10823&gt;</t>
  </si>
  <si>
    <t>layer IV of area 8ld</t>
  </si>
  <si>
    <t>&lt;http://purl.obolibrary.org/obo/DHBA_10824&gt;</t>
  </si>
  <si>
    <t>layer V of area 8ld</t>
  </si>
  <si>
    <t>&lt;http://purl.obolibrary.org/obo/DHBA_10825&gt;</t>
  </si>
  <si>
    <t>layer VI of area 8ld</t>
  </si>
  <si>
    <t>&lt;http://purl.obolibrary.org/obo/DHBA_10826&gt;</t>
  </si>
  <si>
    <t>layer I of area 8lv</t>
  </si>
  <si>
    <t>&lt;http://purl.obolibrary.org/obo/DHBA_10827&gt;</t>
  </si>
  <si>
    <t>layer II of area 8lv</t>
  </si>
  <si>
    <t>&lt;http://purl.obolibrary.org/obo/DHBA_10828&gt;</t>
  </si>
  <si>
    <t>layer III of area 8lv</t>
  </si>
  <si>
    <t>&lt;http://purl.obolibrary.org/obo/DHBA_10829&gt;</t>
  </si>
  <si>
    <t>layer IV of area 8lv</t>
  </si>
  <si>
    <t>&lt;http://purl.obolibrary.org/obo/DHBA_10830&gt;</t>
  </si>
  <si>
    <t>layer V of area 8lv</t>
  </si>
  <si>
    <t>&lt;http://purl.obolibrary.org/obo/DHBA_10831&gt;</t>
  </si>
  <si>
    <t>layer VI of area 8lv</t>
  </si>
  <si>
    <t>&lt;http://purl.obolibrary.org/obo/DHBA_10832&gt;</t>
  </si>
  <si>
    <t>layer I of area 8m</t>
  </si>
  <si>
    <t>&lt;http://purl.obolibrary.org/obo/DHBA_10833&gt;</t>
  </si>
  <si>
    <t>layer II of area 8m</t>
  </si>
  <si>
    <t>&lt;http://purl.obolibrary.org/obo/DHBA_10834&gt;</t>
  </si>
  <si>
    <t>layer III of area 8m</t>
  </si>
  <si>
    <t>&lt;http://purl.obolibrary.org/obo/DHBA_10835&gt;</t>
  </si>
  <si>
    <t>layer IV of area 8m</t>
  </si>
  <si>
    <t>&lt;http://purl.obolibrary.org/obo/DHBA_10836&gt;</t>
  </si>
  <si>
    <t>layer V of area 8m</t>
  </si>
  <si>
    <t>&lt;http://purl.obolibrary.org/obo/DHBA_10837&gt;</t>
  </si>
  <si>
    <t>layer VI of area 8m</t>
  </si>
  <si>
    <t>&lt;http://purl.obolibrary.org/obo/DHBA_10838&gt;</t>
  </si>
  <si>
    <t>layer I of area 9l</t>
  </si>
  <si>
    <t>&lt;http://purl.obolibrary.org/obo/DHBA_10839&gt;</t>
  </si>
  <si>
    <t>layer II of area 9l</t>
  </si>
  <si>
    <t>&lt;http://purl.obolibrary.org/obo/DHBA_10840&gt;</t>
  </si>
  <si>
    <t>layer III of area 9l</t>
  </si>
  <si>
    <t>&lt;http://purl.obolibrary.org/obo/DHBA_10841&gt;</t>
  </si>
  <si>
    <t>layer IV of area 9l</t>
  </si>
  <si>
    <t>&lt;http://purl.obolibrary.org/obo/DHBA_10842&gt;</t>
  </si>
  <si>
    <t>layer V of area 9l</t>
  </si>
  <si>
    <t>&lt;http://purl.obolibrary.org/obo/DHBA_10843&gt;</t>
  </si>
  <si>
    <t>layer VI of area 9l</t>
  </si>
  <si>
    <t>&lt;http://purl.obolibrary.org/obo/DHBA_10844&gt;</t>
  </si>
  <si>
    <t>layer I of area 9m</t>
  </si>
  <si>
    <t>&lt;http://purl.obolibrary.org/obo/DHBA_10845&gt;</t>
  </si>
  <si>
    <t>layer II of area 9m</t>
  </si>
  <si>
    <t>&lt;http://purl.obolibrary.org/obo/DHBA_10846&gt;</t>
  </si>
  <si>
    <t>layer III of area 9m</t>
  </si>
  <si>
    <t>&lt;http://purl.obolibrary.org/obo/DHBA_10847&gt;</t>
  </si>
  <si>
    <t>layer IV of area 9m</t>
  </si>
  <si>
    <t>&lt;http://purl.obolibrary.org/obo/DHBA_10848&gt;</t>
  </si>
  <si>
    <t>layer V of area 9m</t>
  </si>
  <si>
    <t>&lt;http://purl.obolibrary.org/obo/DHBA_10849&gt;</t>
  </si>
  <si>
    <t>layer VI of area 9m</t>
  </si>
  <si>
    <t>&lt;http://purl.obolibrary.org/obo/DHBA_10850&gt;</t>
  </si>
  <si>
    <t>layer I of area 9/46d</t>
  </si>
  <si>
    <t>&lt;http://purl.obolibrary.org/obo/DHBA_10851&gt;</t>
  </si>
  <si>
    <t>layer II of area 9/46d</t>
  </si>
  <si>
    <t>&lt;http://purl.obolibrary.org/obo/DHBA_10852&gt;</t>
  </si>
  <si>
    <t>layer III of area 9/46d</t>
  </si>
  <si>
    <t>&lt;http://purl.obolibrary.org/obo/DHBA_10853&gt;</t>
  </si>
  <si>
    <t>layer IV of area 9/46d</t>
  </si>
  <si>
    <t>&lt;http://purl.obolibrary.org/obo/DHBA_10854&gt;</t>
  </si>
  <si>
    <t>layer V of area 9/46d</t>
  </si>
  <si>
    <t>&lt;http://purl.obolibrary.org/obo/DHBA_10855&gt;</t>
  </si>
  <si>
    <t>layer VI of area 9/46d</t>
  </si>
  <si>
    <t>&lt;http://purl.obolibrary.org/obo/DHBA_10856&gt;</t>
  </si>
  <si>
    <t>layer I of area 9/46v</t>
  </si>
  <si>
    <t>&lt;http://purl.obolibrary.org/obo/DHBA_10857&gt;</t>
  </si>
  <si>
    <t>layer II of area 9/46v</t>
  </si>
  <si>
    <t>&lt;http://purl.obolibrary.org/obo/DHBA_10858&gt;</t>
  </si>
  <si>
    <t>layer III of area 9/46v</t>
  </si>
  <si>
    <t>&lt;http://purl.obolibrary.org/obo/DHBA_10859&gt;</t>
  </si>
  <si>
    <t>layer IV of area 9/46v</t>
  </si>
  <si>
    <t>&lt;http://purl.obolibrary.org/obo/DHBA_10860&gt;</t>
  </si>
  <si>
    <t>layer V of area 9/46v</t>
  </si>
  <si>
    <t>&lt;http://purl.obolibrary.org/obo/DHBA_10861&gt;</t>
  </si>
  <si>
    <t>layer VI of area 9/46v</t>
  </si>
  <si>
    <t>&lt;http://purl.obolibrary.org/obo/DHBA_10862&gt;</t>
  </si>
  <si>
    <t>dorsal subdivision of area 46</t>
  </si>
  <si>
    <t>&lt;http://purl.obolibrary.org/obo/DHBA_10863&gt;</t>
  </si>
  <si>
    <t>layer I of area 46d</t>
  </si>
  <si>
    <t>&lt;http://purl.obolibrary.org/obo/DHBA_10864&gt;</t>
  </si>
  <si>
    <t>layer II of area 46d</t>
  </si>
  <si>
    <t>&lt;http://purl.obolibrary.org/obo/DHBA_10865&gt;</t>
  </si>
  <si>
    <t>layer III of area 46d</t>
  </si>
  <si>
    <t>&lt;http://purl.obolibrary.org/obo/DHBA_10866&gt;</t>
  </si>
  <si>
    <t>layer IV of area 46d</t>
  </si>
  <si>
    <t>&lt;http://purl.obolibrary.org/obo/DHBA_10867&gt;</t>
  </si>
  <si>
    <t>layer V of area 46d</t>
  </si>
  <si>
    <t>&lt;http://purl.obolibrary.org/obo/DHBA_10868&gt;</t>
  </si>
  <si>
    <t>layer VI of area 46d</t>
  </si>
  <si>
    <t>&lt;http://purl.obolibrary.org/obo/DHBA_10869&gt;</t>
  </si>
  <si>
    <t>ventral subdivision of area 46</t>
  </si>
  <si>
    <t>&lt;http://purl.obolibrary.org/obo/DHBA_10870&gt;</t>
  </si>
  <si>
    <t>layer I of area 46v</t>
  </si>
  <si>
    <t>&lt;http://purl.obolibrary.org/obo/DHBA_10871&gt;</t>
  </si>
  <si>
    <t>layer II of area 46v</t>
  </si>
  <si>
    <t>&lt;http://purl.obolibrary.org/obo/DHBA_10872&gt;</t>
  </si>
  <si>
    <t>layer III of area 46v</t>
  </si>
  <si>
    <t>&lt;http://purl.obolibrary.org/obo/DHBA_10873&gt;</t>
  </si>
  <si>
    <t>layer IV of area 46v</t>
  </si>
  <si>
    <t>&lt;http://purl.obolibrary.org/obo/DHBA_10874&gt;</t>
  </si>
  <si>
    <t>layer V of area 46v</t>
  </si>
  <si>
    <t>&lt;http://purl.obolibrary.org/obo/DHBA_10875&gt;</t>
  </si>
  <si>
    <t>layer VI of area 46v</t>
  </si>
  <si>
    <t>&lt;http://purl.obolibrary.org/obo/DHBA_10876&gt;</t>
  </si>
  <si>
    <t>layer I of area 45r</t>
  </si>
  <si>
    <t>&lt;http://purl.obolibrary.org/obo/DHBA_10883&gt;</t>
  </si>
  <si>
    <t>layer II of area 45r</t>
  </si>
  <si>
    <t>&lt;http://purl.obolibrary.org/obo/DHBA_10884&gt;</t>
  </si>
  <si>
    <t>layer III of area 45r</t>
  </si>
  <si>
    <t>&lt;http://purl.obolibrary.org/obo/DHBA_10885&gt;</t>
  </si>
  <si>
    <t>layer IV of area 45r</t>
  </si>
  <si>
    <t>&lt;http://purl.obolibrary.org/obo/DHBA_10886&gt;</t>
  </si>
  <si>
    <t>layer V of area 45r</t>
  </si>
  <si>
    <t>&lt;http://purl.obolibrary.org/obo/DHBA_10887&gt;</t>
  </si>
  <si>
    <t>layer VI of area 45r</t>
  </si>
  <si>
    <t>&lt;http://purl.obolibrary.org/obo/DHBA_10888&gt;</t>
  </si>
  <si>
    <t>layer I of area 45c</t>
  </si>
  <si>
    <t>&lt;http://purl.obolibrary.org/obo/DHBA_10889&gt;</t>
  </si>
  <si>
    <t>layer II of area 45c</t>
  </si>
  <si>
    <t>&lt;http://purl.obolibrary.org/obo/DHBA_10890&gt;</t>
  </si>
  <si>
    <t>layer III of area 45c</t>
  </si>
  <si>
    <t>&lt;http://purl.obolibrary.org/obo/DHBA_10891&gt;</t>
  </si>
  <si>
    <t>layer IV of area 45c</t>
  </si>
  <si>
    <t>&lt;http://purl.obolibrary.org/obo/DHBA_10892&gt;</t>
  </si>
  <si>
    <t>layer V of area 45c</t>
  </si>
  <si>
    <t>&lt;http://purl.obolibrary.org/obo/DHBA_10893&gt;</t>
  </si>
  <si>
    <t>layer VI of area 45c</t>
  </si>
  <si>
    <t>&lt;http://purl.obolibrary.org/obo/DHBA_10894&gt;</t>
  </si>
  <si>
    <t>layer I of area 10m</t>
  </si>
  <si>
    <t>&lt;http://purl.obolibrary.org/obo/DHBA_10895&gt;</t>
  </si>
  <si>
    <t>layer II of area 10m</t>
  </si>
  <si>
    <t>&lt;http://purl.obolibrary.org/obo/DHBA_10896&gt;</t>
  </si>
  <si>
    <t>layer III of area 10m</t>
  </si>
  <si>
    <t>&lt;http://purl.obolibrary.org/obo/DHBA_10897&gt;</t>
  </si>
  <si>
    <t>layer IV of area 10m</t>
  </si>
  <si>
    <t>&lt;http://purl.obolibrary.org/obo/DHBA_10898&gt;</t>
  </si>
  <si>
    <t>layer V of area 10m</t>
  </si>
  <si>
    <t>&lt;http://purl.obolibrary.org/obo/DHBA_10899&gt;</t>
  </si>
  <si>
    <t>layer VI of area 10m</t>
  </si>
  <si>
    <t>&lt;http://purl.obolibrary.org/obo/DHBA_10900&gt;</t>
  </si>
  <si>
    <t>layer I of area 10l</t>
  </si>
  <si>
    <t>&lt;http://purl.obolibrary.org/obo/DHBA_10901&gt;</t>
  </si>
  <si>
    <t>layer II of area 10l</t>
  </si>
  <si>
    <t>&lt;http://purl.obolibrary.org/obo/DHBA_10902&gt;</t>
  </si>
  <si>
    <t>layer III of area 10l</t>
  </si>
  <si>
    <t>&lt;http://purl.obolibrary.org/obo/DHBA_10903&gt;</t>
  </si>
  <si>
    <t>layer IV of area 10l</t>
  </si>
  <si>
    <t>&lt;http://purl.obolibrary.org/obo/DHBA_10904&gt;</t>
  </si>
  <si>
    <t>layer V of area 10l</t>
  </si>
  <si>
    <t>&lt;http://purl.obolibrary.org/obo/DHBA_10905&gt;</t>
  </si>
  <si>
    <t>layer VI of area 10l</t>
  </si>
  <si>
    <t>&lt;http://purl.obolibrary.org/obo/DHBA_10906&gt;</t>
  </si>
  <si>
    <t>layer I of area 10o</t>
  </si>
  <si>
    <t>&lt;http://purl.obolibrary.org/obo/DHBA_10907&gt;</t>
  </si>
  <si>
    <t>layer II of area 10o</t>
  </si>
  <si>
    <t>&lt;http://purl.obolibrary.org/obo/DHBA_10908&gt;</t>
  </si>
  <si>
    <t>layer III of area 10o</t>
  </si>
  <si>
    <t>&lt;http://purl.obolibrary.org/obo/DHBA_10909&gt;</t>
  </si>
  <si>
    <t>layer IV of area 10o</t>
  </si>
  <si>
    <t>&lt;http://purl.obolibrary.org/obo/DHBA_10910&gt;</t>
  </si>
  <si>
    <t>layer V of area 10o</t>
  </si>
  <si>
    <t>&lt;http://purl.obolibrary.org/obo/DHBA_10911&gt;</t>
  </si>
  <si>
    <t>layer VI of area 10o</t>
  </si>
  <si>
    <t>&lt;http://purl.obolibrary.org/obo/DHBA_10912&gt;</t>
  </si>
  <si>
    <t>layer I of area S1hf</t>
  </si>
  <si>
    <t>&lt;http://purl.obolibrary.org/obo/DHBA_10913&gt;</t>
  </si>
  <si>
    <t>layer II of area S1hf</t>
  </si>
  <si>
    <t>&lt;http://purl.obolibrary.org/obo/DHBA_10914&gt;</t>
  </si>
  <si>
    <t>layer III of area S1hf</t>
  </si>
  <si>
    <t>&lt;http://purl.obolibrary.org/obo/DHBA_10915&gt;</t>
  </si>
  <si>
    <t>layer IV of area S1hf</t>
  </si>
  <si>
    <t>&lt;http://purl.obolibrary.org/obo/DHBA_10916&gt;</t>
  </si>
  <si>
    <t>layer V of area S1hf</t>
  </si>
  <si>
    <t>&lt;http://purl.obolibrary.org/obo/DHBA_10917&gt;</t>
  </si>
  <si>
    <t>layer VI of area S1hf</t>
  </si>
  <si>
    <t>&lt;http://purl.obolibrary.org/obo/DHBA_10918&gt;</t>
  </si>
  <si>
    <t>layer I of area S1ul</t>
  </si>
  <si>
    <t>&lt;http://purl.obolibrary.org/obo/DHBA_10919&gt;</t>
  </si>
  <si>
    <t>layer II of area S1ul</t>
  </si>
  <si>
    <t>&lt;http://purl.obolibrary.org/obo/DHBA_10920&gt;</t>
  </si>
  <si>
    <t>layer III of area S1ul</t>
  </si>
  <si>
    <t>&lt;http://purl.obolibrary.org/obo/DHBA_10921&gt;</t>
  </si>
  <si>
    <t>layer IV of area S1ul</t>
  </si>
  <si>
    <t>&lt;http://purl.obolibrary.org/obo/DHBA_10922&gt;</t>
  </si>
  <si>
    <t>layer V of area S1ul</t>
  </si>
  <si>
    <t>&lt;http://purl.obolibrary.org/obo/DHBA_10923&gt;</t>
  </si>
  <si>
    <t>layer VI of area S1ul</t>
  </si>
  <si>
    <t>&lt;http://purl.obolibrary.org/obo/DHBA_10924&gt;</t>
  </si>
  <si>
    <t>layer I of area S1tr</t>
  </si>
  <si>
    <t>&lt;http://purl.obolibrary.org/obo/DHBA_10925&gt;</t>
  </si>
  <si>
    <t>layer II of area S1tr</t>
  </si>
  <si>
    <t>&lt;http://purl.obolibrary.org/obo/DHBA_10926&gt;</t>
  </si>
  <si>
    <t>layer III of area S1tr</t>
  </si>
  <si>
    <t>&lt;http://purl.obolibrary.org/obo/DHBA_10927&gt;</t>
  </si>
  <si>
    <t>layer IV of area S1tr</t>
  </si>
  <si>
    <t>&lt;http://purl.obolibrary.org/obo/DHBA_10928&gt;</t>
  </si>
  <si>
    <t>layer V of area S1tr</t>
  </si>
  <si>
    <t>&lt;http://purl.obolibrary.org/obo/DHBA_10929&gt;</t>
  </si>
  <si>
    <t>layer VI of area S1tr</t>
  </si>
  <si>
    <t>&lt;http://purl.obolibrary.org/obo/DHBA_10930&gt;</t>
  </si>
  <si>
    <t>layer I of area S1lm</t>
  </si>
  <si>
    <t>&lt;http://purl.obolibrary.org/obo/DHBA_10931&gt;</t>
  </si>
  <si>
    <t>layer II of area S1lm</t>
  </si>
  <si>
    <t>&lt;http://purl.obolibrary.org/obo/DHBA_10932&gt;</t>
  </si>
  <si>
    <t>layer III of area S1lm</t>
  </si>
  <si>
    <t>&lt;http://purl.obolibrary.org/obo/DHBA_10933&gt;</t>
  </si>
  <si>
    <t>layer IV of area S1lm</t>
  </si>
  <si>
    <t>&lt;http://purl.obolibrary.org/obo/DHBA_10934&gt;</t>
  </si>
  <si>
    <t>layer V of area S1lm</t>
  </si>
  <si>
    <t>&lt;http://purl.obolibrary.org/obo/DHBA_10935&gt;</t>
  </si>
  <si>
    <t>layer VI of area S1lm</t>
  </si>
  <si>
    <t>&lt;http://purl.obolibrary.org/obo/DHBA_10936&gt;</t>
  </si>
  <si>
    <t>layer I of area 40rd</t>
  </si>
  <si>
    <t>&lt;http://purl.obolibrary.org/obo/DHBA_10937&gt;</t>
  </si>
  <si>
    <t>layer II of area 40rd</t>
  </si>
  <si>
    <t>&lt;http://purl.obolibrary.org/obo/DHBA_10938&gt;</t>
  </si>
  <si>
    <t>layer III of area 40rd</t>
  </si>
  <si>
    <t>&lt;http://purl.obolibrary.org/obo/DHBA_10939&gt;</t>
  </si>
  <si>
    <t>layer IV of area 40rd</t>
  </si>
  <si>
    <t>&lt;http://purl.obolibrary.org/obo/DHBA_10940&gt;</t>
  </si>
  <si>
    <t>layer V of area 40rd</t>
  </si>
  <si>
    <t>&lt;http://purl.obolibrary.org/obo/DHBA_10941&gt;</t>
  </si>
  <si>
    <t>layer VI of area 40rd</t>
  </si>
  <si>
    <t>&lt;http://purl.obolibrary.org/obo/DHBA_10942&gt;</t>
  </si>
  <si>
    <t>layer I of area 40rv</t>
  </si>
  <si>
    <t>&lt;http://purl.obolibrary.org/obo/DHBA_10943&gt;</t>
  </si>
  <si>
    <t>layer II of area 40rv</t>
  </si>
  <si>
    <t>&lt;http://purl.obolibrary.org/obo/DHBA_10944&gt;</t>
  </si>
  <si>
    <t>layer III of area 40rv</t>
  </si>
  <si>
    <t>&lt;http://purl.obolibrary.org/obo/DHBA_10945&gt;</t>
  </si>
  <si>
    <t>layer IV of area 40rv</t>
  </si>
  <si>
    <t>&lt;http://purl.obolibrary.org/obo/DHBA_10946&gt;</t>
  </si>
  <si>
    <t>layer V of area 40rv</t>
  </si>
  <si>
    <t>&lt;http://purl.obolibrary.org/obo/DHBA_10947&gt;</t>
  </si>
  <si>
    <t>layer VI of area 40rv</t>
  </si>
  <si>
    <t>&lt;http://purl.obolibrary.org/obo/DHBA_10948&gt;</t>
  </si>
  <si>
    <t>layer I of area 40in</t>
  </si>
  <si>
    <t>&lt;http://purl.obolibrary.org/obo/DHBA_10961&gt;</t>
  </si>
  <si>
    <t>layer II of area 40in</t>
  </si>
  <si>
    <t>&lt;http://purl.obolibrary.org/obo/DHBA_10962&gt;</t>
  </si>
  <si>
    <t>layer III of area 40in</t>
  </si>
  <si>
    <t>&lt;http://purl.obolibrary.org/obo/DHBA_10963&gt;</t>
  </si>
  <si>
    <t>layer IV of area 40in</t>
  </si>
  <si>
    <t>&lt;http://purl.obolibrary.org/obo/DHBA_10964&gt;</t>
  </si>
  <si>
    <t>layer V of area 40in</t>
  </si>
  <si>
    <t>&lt;http://purl.obolibrary.org/obo/DHBA_10965&gt;</t>
  </si>
  <si>
    <t>layer VI of area 40in</t>
  </si>
  <si>
    <t>&lt;http://purl.obolibrary.org/obo/DHBA_10966&gt;</t>
  </si>
  <si>
    <t>layer I of area 39r</t>
  </si>
  <si>
    <t>&lt;http://purl.obolibrary.org/obo/DHBA_10967&gt;</t>
  </si>
  <si>
    <t>layer II of area 39r</t>
  </si>
  <si>
    <t>&lt;http://purl.obolibrary.org/obo/DHBA_10968&gt;</t>
  </si>
  <si>
    <t>layer III of area 39r</t>
  </si>
  <si>
    <t>&lt;http://purl.obolibrary.org/obo/DHBA_10969&gt;</t>
  </si>
  <si>
    <t>layer IV of area 39r</t>
  </si>
  <si>
    <t>&lt;http://purl.obolibrary.org/obo/DHBA_10970&gt;</t>
  </si>
  <si>
    <t>layer V of area 39r</t>
  </si>
  <si>
    <t>&lt;http://purl.obolibrary.org/obo/DHBA_10971&gt;</t>
  </si>
  <si>
    <t>layer VI of area 39r</t>
  </si>
  <si>
    <t>&lt;http://purl.obolibrary.org/obo/DHBA_10972&gt;</t>
  </si>
  <si>
    <t>layer I of area 39c</t>
  </si>
  <si>
    <t>&lt;http://purl.obolibrary.org/obo/DHBA_10973&gt;</t>
  </si>
  <si>
    <t>layer II of area 39c</t>
  </si>
  <si>
    <t>&lt;http://purl.obolibrary.org/obo/DHBA_10974&gt;</t>
  </si>
  <si>
    <t>layer III of area 39c</t>
  </si>
  <si>
    <t>&lt;http://purl.obolibrary.org/obo/DHBA_10975&gt;</t>
  </si>
  <si>
    <t>layer IV of area 39c</t>
  </si>
  <si>
    <t>&lt;http://purl.obolibrary.org/obo/DHBA_10976&gt;</t>
  </si>
  <si>
    <t>layer V of area 39c</t>
  </si>
  <si>
    <t>&lt;http://purl.obolibrary.org/obo/DHBA_10977&gt;</t>
  </si>
  <si>
    <t>layer VI of area 39c</t>
  </si>
  <si>
    <t>&lt;http://purl.obolibrary.org/obo/DHBA_10978&gt;</t>
  </si>
  <si>
    <t>layer I of area 5ci</t>
  </si>
  <si>
    <t>&lt;http://purl.obolibrary.org/obo/DHBA_10979&gt;</t>
  </si>
  <si>
    <t>layer II of area 5ci</t>
  </si>
  <si>
    <t>&lt;http://purl.obolibrary.org/obo/DHBA_10980&gt;</t>
  </si>
  <si>
    <t>layer III of area 5ci</t>
  </si>
  <si>
    <t>&lt;http://purl.obolibrary.org/obo/DHBA_10981&gt;</t>
  </si>
  <si>
    <t>layer IV of area 5ci</t>
  </si>
  <si>
    <t>&lt;http://purl.obolibrary.org/obo/DHBA_10982&gt;</t>
  </si>
  <si>
    <t>layer V of area 5ci</t>
  </si>
  <si>
    <t>&lt;http://purl.obolibrary.org/obo/DHBA_10983&gt;</t>
  </si>
  <si>
    <t>layer VI of area 5ci</t>
  </si>
  <si>
    <t>&lt;http://purl.obolibrary.org/obo/DHBA_10984&gt;</t>
  </si>
  <si>
    <t>layer I of area 5l</t>
  </si>
  <si>
    <t>&lt;http://purl.obolibrary.org/obo/DHBA_10985&gt;</t>
  </si>
  <si>
    <t>layer II of area 5l</t>
  </si>
  <si>
    <t>&lt;http://purl.obolibrary.org/obo/DHBA_10986&gt;</t>
  </si>
  <si>
    <t>layer III of area 5l</t>
  </si>
  <si>
    <t>&lt;http://purl.obolibrary.org/obo/DHBA_10987&gt;</t>
  </si>
  <si>
    <t>layer IV of area 5l</t>
  </si>
  <si>
    <t>&lt;http://purl.obolibrary.org/obo/DHBA_10988&gt;</t>
  </si>
  <si>
    <t>layer V of area 5l</t>
  </si>
  <si>
    <t>&lt;http://purl.obolibrary.org/obo/DHBA_10989&gt;</t>
  </si>
  <si>
    <t>layer VI of area 5l</t>
  </si>
  <si>
    <t>&lt;http://purl.obolibrary.org/obo/DHBA_10990&gt;</t>
  </si>
  <si>
    <t>layer I of area 5m</t>
  </si>
  <si>
    <t>&lt;http://purl.obolibrary.org/obo/DHBA_10991&gt;</t>
  </si>
  <si>
    <t>layer II of area 5m</t>
  </si>
  <si>
    <t>&lt;http://purl.obolibrary.org/obo/DHBA_10992&gt;</t>
  </si>
  <si>
    <t>layer III of area 5m</t>
  </si>
  <si>
    <t>&lt;http://purl.obolibrary.org/obo/DHBA_10993&gt;</t>
  </si>
  <si>
    <t>layer IV of area 5m</t>
  </si>
  <si>
    <t>&lt;http://purl.obolibrary.org/obo/DHBA_10994&gt;</t>
  </si>
  <si>
    <t>layer V of area 5m</t>
  </si>
  <si>
    <t>&lt;http://purl.obolibrary.org/obo/DHBA_10995&gt;</t>
  </si>
  <si>
    <t>layer VI of area 5m</t>
  </si>
  <si>
    <t>&lt;http://purl.obolibrary.org/obo/DHBA_10996&gt;</t>
  </si>
  <si>
    <t>layer I of area 7r</t>
  </si>
  <si>
    <t>&lt;http://purl.obolibrary.org/obo/DHBA_10997&gt;</t>
  </si>
  <si>
    <t>layer II of area 7r</t>
  </si>
  <si>
    <t>&lt;http://purl.obolibrary.org/obo/DHBA_10998&gt;</t>
  </si>
  <si>
    <t>layer III of area 7r</t>
  </si>
  <si>
    <t>&lt;http://purl.obolibrary.org/obo/DHBA_10999&gt;</t>
  </si>
  <si>
    <t>layer IV of area 7r</t>
  </si>
  <si>
    <t>&lt;http://purl.obolibrary.org/obo/DHBA_11000&gt;</t>
  </si>
  <si>
    <t>layer V of area 7r</t>
  </si>
  <si>
    <t>&lt;http://purl.obolibrary.org/obo/DHBA_11001&gt;</t>
  </si>
  <si>
    <t>layer VI of area 7r</t>
  </si>
  <si>
    <t>&lt;http://purl.obolibrary.org/obo/DHBA_11002&gt;</t>
  </si>
  <si>
    <t>layer I of area 7m</t>
  </si>
  <si>
    <t>&lt;http://purl.obolibrary.org/obo/DHBA_11003&gt;</t>
  </si>
  <si>
    <t>layer II of area 7m</t>
  </si>
  <si>
    <t>&lt;http://purl.obolibrary.org/obo/DHBA_11004&gt;</t>
  </si>
  <si>
    <t>layer III of area 7m</t>
  </si>
  <si>
    <t>&lt;http://purl.obolibrary.org/obo/DHBA_11005&gt;</t>
  </si>
  <si>
    <t>layer IV of area 7m</t>
  </si>
  <si>
    <t>&lt;http://purl.obolibrary.org/obo/DHBA_11006&gt;</t>
  </si>
  <si>
    <t>layer V of area 7m</t>
  </si>
  <si>
    <t>&lt;http://purl.obolibrary.org/obo/DHBA_11007&gt;</t>
  </si>
  <si>
    <t>layer VI of area 7m</t>
  </si>
  <si>
    <t>&lt;http://purl.obolibrary.org/obo/DHBA_11008&gt;</t>
  </si>
  <si>
    <t>layer I of area 7c</t>
  </si>
  <si>
    <t>&lt;http://purl.obolibrary.org/obo/DHBA_11009&gt;</t>
  </si>
  <si>
    <t>layer II of area 7c</t>
  </si>
  <si>
    <t>&lt;http://purl.obolibrary.org/obo/DHBA_11010&gt;</t>
  </si>
  <si>
    <t>layer III of area 7c</t>
  </si>
  <si>
    <t>&lt;http://purl.obolibrary.org/obo/DHBA_11011&gt;</t>
  </si>
  <si>
    <t>layer IV of area 7c</t>
  </si>
  <si>
    <t>&lt;http://purl.obolibrary.org/obo/DHBA_11012&gt;</t>
  </si>
  <si>
    <t>layer V of area 7c</t>
  </si>
  <si>
    <t>&lt;http://purl.obolibrary.org/obo/DHBA_11013&gt;</t>
  </si>
  <si>
    <t>layer VI of area 7c</t>
  </si>
  <si>
    <t>&lt;http://purl.obolibrary.org/obo/DHBA_11014&gt;</t>
  </si>
  <si>
    <t>layer I of area 7pc</t>
  </si>
  <si>
    <t>&lt;http://purl.obolibrary.org/obo/DHBA_11015&gt;</t>
  </si>
  <si>
    <t>layer II of area 7pc</t>
  </si>
  <si>
    <t>&lt;http://purl.obolibrary.org/obo/DHBA_11016&gt;</t>
  </si>
  <si>
    <t>layer III of area 7pc</t>
  </si>
  <si>
    <t>&lt;http://purl.obolibrary.org/obo/DHBA_11017&gt;</t>
  </si>
  <si>
    <t>layer IV of area 7pc</t>
  </si>
  <si>
    <t>&lt;http://purl.obolibrary.org/obo/DHBA_11018&gt;</t>
  </si>
  <si>
    <t>layer V of area 7pc</t>
  </si>
  <si>
    <t>&lt;http://purl.obolibrary.org/obo/DHBA_11019&gt;</t>
  </si>
  <si>
    <t>layer VI of area 7pc</t>
  </si>
  <si>
    <t>&lt;http://purl.obolibrary.org/obo/DHBA_11020&gt;</t>
  </si>
  <si>
    <t>layer I of area 41</t>
  </si>
  <si>
    <t>&lt;http://purl.obolibrary.org/obo/DHBA_11021&gt;</t>
  </si>
  <si>
    <t>layer II of area 41</t>
  </si>
  <si>
    <t>&lt;http://purl.obolibrary.org/obo/DHBA_11022&gt;</t>
  </si>
  <si>
    <t>layer III of area 41</t>
  </si>
  <si>
    <t>&lt;http://purl.obolibrary.org/obo/DHBA_11023&gt;</t>
  </si>
  <si>
    <t>layer IV of area 41</t>
  </si>
  <si>
    <t>&lt;http://purl.obolibrary.org/obo/DHBA_11024&gt;</t>
  </si>
  <si>
    <t>layer V of area 41</t>
  </si>
  <si>
    <t>&lt;http://purl.obolibrary.org/obo/DHBA_11025&gt;</t>
  </si>
  <si>
    <t>layer VI of area 41</t>
  </si>
  <si>
    <t>&lt;http://purl.obolibrary.org/obo/DHBA_11026&gt;</t>
  </si>
  <si>
    <t>layer I of rostral primary auditory cortex</t>
  </si>
  <si>
    <t>&lt;http://purl.obolibrary.org/obo/DHBA_11027&gt;</t>
  </si>
  <si>
    <t>layer II of rostral primary auditory cortex</t>
  </si>
  <si>
    <t>&lt;http://purl.obolibrary.org/obo/DHBA_11028&gt;</t>
  </si>
  <si>
    <t>layer III of rostral primary auditory cortex</t>
  </si>
  <si>
    <t>&lt;http://purl.obolibrary.org/obo/DHBA_11029&gt;</t>
  </si>
  <si>
    <t>layer IV of rostral primary auditory cortex</t>
  </si>
  <si>
    <t>&lt;http://purl.obolibrary.org/obo/DHBA_11030&gt;</t>
  </si>
  <si>
    <t>layer V of rostral primary auditory cortex</t>
  </si>
  <si>
    <t>&lt;http://purl.obolibrary.org/obo/DHBA_11031&gt;</t>
  </si>
  <si>
    <t>layer VI of rostral primary auditory cortex</t>
  </si>
  <si>
    <t>&lt;http://purl.obolibrary.org/obo/DHBA_11032&gt;</t>
  </si>
  <si>
    <t>layer I of area 20r</t>
  </si>
  <si>
    <t>&lt;http://purl.obolibrary.org/obo/DHBA_11033&gt;</t>
  </si>
  <si>
    <t>layer II of area 20r</t>
  </si>
  <si>
    <t>&lt;http://purl.obolibrary.org/obo/DHBA_11034&gt;</t>
  </si>
  <si>
    <t>layer III of area 20r</t>
  </si>
  <si>
    <t>&lt;http://purl.obolibrary.org/obo/DHBA_11035&gt;</t>
  </si>
  <si>
    <t>layer IV of area 20r</t>
  </si>
  <si>
    <t>&lt;http://purl.obolibrary.org/obo/DHBA_11036&gt;</t>
  </si>
  <si>
    <t>layer V of area 20r</t>
  </si>
  <si>
    <t>&lt;http://purl.obolibrary.org/obo/DHBA_11037&gt;</t>
  </si>
  <si>
    <t>layer VI of area 20r</t>
  </si>
  <si>
    <t>&lt;http://purl.obolibrary.org/obo/DHBA_11038&gt;</t>
  </si>
  <si>
    <t>layer I of area 20i</t>
  </si>
  <si>
    <t>&lt;http://purl.obolibrary.org/obo/DHBA_11039&gt;</t>
  </si>
  <si>
    <t>layer II of area 20i</t>
  </si>
  <si>
    <t>&lt;http://purl.obolibrary.org/obo/DHBA_11040&gt;</t>
  </si>
  <si>
    <t>layer III of area 20i</t>
  </si>
  <si>
    <t>&lt;http://purl.obolibrary.org/obo/DHBA_11041&gt;</t>
  </si>
  <si>
    <t>layer IV of area 20i</t>
  </si>
  <si>
    <t>&lt;http://purl.obolibrary.org/obo/DHBA_11042&gt;</t>
  </si>
  <si>
    <t>layer V of area 20i</t>
  </si>
  <si>
    <t>&lt;http://purl.obolibrary.org/obo/DHBA_11043&gt;</t>
  </si>
  <si>
    <t>layer VI of area 20i</t>
  </si>
  <si>
    <t>&lt;http://purl.obolibrary.org/obo/DHBA_11044&gt;</t>
  </si>
  <si>
    <t>layer I of area 20c</t>
  </si>
  <si>
    <t>&lt;http://purl.obolibrary.org/obo/DHBA_11045&gt;</t>
  </si>
  <si>
    <t>layer II of area 20c</t>
  </si>
  <si>
    <t>&lt;http://purl.obolibrary.org/obo/DHBA_11046&gt;</t>
  </si>
  <si>
    <t>layer III of area 20c</t>
  </si>
  <si>
    <t>&lt;http://purl.obolibrary.org/obo/DHBA_11047&gt;</t>
  </si>
  <si>
    <t>layer IV of area 20c</t>
  </si>
  <si>
    <t>&lt;http://purl.obolibrary.org/obo/DHBA_11048&gt;</t>
  </si>
  <si>
    <t>layer V of area 20c</t>
  </si>
  <si>
    <t>&lt;http://purl.obolibrary.org/obo/DHBA_11049&gt;</t>
  </si>
  <si>
    <t>layer VI of area 20c</t>
  </si>
  <si>
    <t>&lt;http://purl.obolibrary.org/obo/DHBA_11050&gt;</t>
  </si>
  <si>
    <t>layer I of area 42</t>
  </si>
  <si>
    <t>&lt;http://purl.obolibrary.org/obo/DHBA_11051&gt;</t>
  </si>
  <si>
    <t>layer II of area 42</t>
  </si>
  <si>
    <t>&lt;http://purl.obolibrary.org/obo/DHBA_11052&gt;</t>
  </si>
  <si>
    <t>layer III of area 42</t>
  </si>
  <si>
    <t>&lt;http://purl.obolibrary.org/obo/DHBA_11053&gt;</t>
  </si>
  <si>
    <t>layer IV of area 42</t>
  </si>
  <si>
    <t>&lt;http://purl.obolibrary.org/obo/DHBA_11054&gt;</t>
  </si>
  <si>
    <t>layer V of area 42</t>
  </si>
  <si>
    <t>&lt;http://purl.obolibrary.org/obo/DHBA_11055&gt;</t>
  </si>
  <si>
    <t>layer VI of area 42</t>
  </si>
  <si>
    <t>&lt;http://purl.obolibrary.org/obo/DHBA_11056&gt;</t>
  </si>
  <si>
    <t>layer I of area 22c</t>
  </si>
  <si>
    <t>&lt;http://purl.obolibrary.org/obo/DHBA_11057&gt;</t>
  </si>
  <si>
    <t>layer II of area 22c</t>
  </si>
  <si>
    <t>&lt;http://purl.obolibrary.org/obo/DHBA_11058&gt;</t>
  </si>
  <si>
    <t>layer III of area 22c</t>
  </si>
  <si>
    <t>&lt;http://purl.obolibrary.org/obo/DHBA_11059&gt;</t>
  </si>
  <si>
    <t>layer IV of area 22c</t>
  </si>
  <si>
    <t>&lt;http://purl.obolibrary.org/obo/DHBA_11060&gt;</t>
  </si>
  <si>
    <t>layer V of area 22c</t>
  </si>
  <si>
    <t>&lt;http://purl.obolibrary.org/obo/DHBA_11061&gt;</t>
  </si>
  <si>
    <t>layer VI of area 22c</t>
  </si>
  <si>
    <t>&lt;http://purl.obolibrary.org/obo/DHBA_11062&gt;</t>
  </si>
  <si>
    <t>layer I of area 22r</t>
  </si>
  <si>
    <t>&lt;http://purl.obolibrary.org/obo/DHBA_11063&gt;</t>
  </si>
  <si>
    <t>layer II of area 22r</t>
  </si>
  <si>
    <t>&lt;http://purl.obolibrary.org/obo/DHBA_11064&gt;</t>
  </si>
  <si>
    <t>layer III of area 22r</t>
  </si>
  <si>
    <t>&lt;http://purl.obolibrary.org/obo/DHBA_11065&gt;</t>
  </si>
  <si>
    <t>layer IV of area 22r</t>
  </si>
  <si>
    <t>&lt;http://purl.obolibrary.org/obo/DHBA_11066&gt;</t>
  </si>
  <si>
    <t>layer V of area 22r</t>
  </si>
  <si>
    <t>&lt;http://purl.obolibrary.org/obo/DHBA_11067&gt;</t>
  </si>
  <si>
    <t>layer VI of area 22r</t>
  </si>
  <si>
    <t>&lt;http://purl.obolibrary.org/obo/DHBA_11068&gt;</t>
  </si>
  <si>
    <t>layer I of area 22i</t>
  </si>
  <si>
    <t>&lt;http://purl.obolibrary.org/obo/DHBA_11069&gt;</t>
  </si>
  <si>
    <t>layer II of area 22i</t>
  </si>
  <si>
    <t>&lt;http://purl.obolibrary.org/obo/DHBA_11070&gt;</t>
  </si>
  <si>
    <t>layer III of area 22i</t>
  </si>
  <si>
    <t>&lt;http://purl.obolibrary.org/obo/DHBA_11071&gt;</t>
  </si>
  <si>
    <t>layer IV of area 22i</t>
  </si>
  <si>
    <t>&lt;http://purl.obolibrary.org/obo/DHBA_11072&gt;</t>
  </si>
  <si>
    <t>layer V of area 22i</t>
  </si>
  <si>
    <t>&lt;http://purl.obolibrary.org/obo/DHBA_11073&gt;</t>
  </si>
  <si>
    <t>layer VI of area 22i</t>
  </si>
  <si>
    <t>&lt;http://purl.obolibrary.org/obo/DHBA_11074&gt;</t>
  </si>
  <si>
    <t>layer I of area 22pr</t>
  </si>
  <si>
    <t>&lt;http://purl.obolibrary.org/obo/DHBA_11075&gt;</t>
  </si>
  <si>
    <t>layer II of area 22pr</t>
  </si>
  <si>
    <t>&lt;http://purl.obolibrary.org/obo/DHBA_11076&gt;</t>
  </si>
  <si>
    <t>layer III of area 22pr</t>
  </si>
  <si>
    <t>&lt;http://purl.obolibrary.org/obo/DHBA_11077&gt;</t>
  </si>
  <si>
    <t>layer IV of area 22pr</t>
  </si>
  <si>
    <t>&lt;http://purl.obolibrary.org/obo/DHBA_11078&gt;</t>
  </si>
  <si>
    <t>layer V of area 22pr</t>
  </si>
  <si>
    <t>&lt;http://purl.obolibrary.org/obo/DHBA_11079&gt;</t>
  </si>
  <si>
    <t>layer VI of area 22pr</t>
  </si>
  <si>
    <t>&lt;http://purl.obolibrary.org/obo/DHBA_11080&gt;</t>
  </si>
  <si>
    <t>layer I of area 22pi</t>
  </si>
  <si>
    <t>&lt;http://purl.obolibrary.org/obo/DHBA_11081&gt;</t>
  </si>
  <si>
    <t>layer II of area 22pi</t>
  </si>
  <si>
    <t>&lt;http://purl.obolibrary.org/obo/DHBA_11082&gt;</t>
  </si>
  <si>
    <t>layer III of area 22pi</t>
  </si>
  <si>
    <t>&lt;http://purl.obolibrary.org/obo/DHBA_11083&gt;</t>
  </si>
  <si>
    <t>layer IV of area 22pi</t>
  </si>
  <si>
    <t>&lt;http://purl.obolibrary.org/obo/DHBA_11084&gt;</t>
  </si>
  <si>
    <t>layer V of area 22pi</t>
  </si>
  <si>
    <t>&lt;http://purl.obolibrary.org/obo/DHBA_11085&gt;</t>
  </si>
  <si>
    <t>layer VI of area 22pi</t>
  </si>
  <si>
    <t>&lt;http://purl.obolibrary.org/obo/DHBA_11086&gt;</t>
  </si>
  <si>
    <t>layer I of area 22pc</t>
  </si>
  <si>
    <t>&lt;http://purl.obolibrary.org/obo/DHBA_11087&gt;</t>
  </si>
  <si>
    <t>layer II of area 22pc</t>
  </si>
  <si>
    <t>&lt;http://purl.obolibrary.org/obo/DHBA_11088&gt;</t>
  </si>
  <si>
    <t>layer III of area 22pc</t>
  </si>
  <si>
    <t>&lt;http://purl.obolibrary.org/obo/DHBA_11089&gt;</t>
  </si>
  <si>
    <t>layer IV of area 22pc</t>
  </si>
  <si>
    <t>&lt;http://purl.obolibrary.org/obo/DHBA_11090&gt;</t>
  </si>
  <si>
    <t>layer V of area 22pc</t>
  </si>
  <si>
    <t>&lt;http://purl.obolibrary.org/obo/DHBA_11091&gt;</t>
  </si>
  <si>
    <t>layer VI of area 22pc</t>
  </si>
  <si>
    <t>&lt;http://purl.obolibrary.org/obo/DHBA_11092&gt;</t>
  </si>
  <si>
    <t>layer I of area 21r</t>
  </si>
  <si>
    <t>&lt;http://purl.obolibrary.org/obo/DHBA_11093&gt;</t>
  </si>
  <si>
    <t>layer II of area 21r</t>
  </si>
  <si>
    <t>&lt;http://purl.obolibrary.org/obo/DHBA_11094&gt;</t>
  </si>
  <si>
    <t>layer III of area 21r</t>
  </si>
  <si>
    <t>&lt;http://purl.obolibrary.org/obo/DHBA_11095&gt;</t>
  </si>
  <si>
    <t>layer IV of area 21r</t>
  </si>
  <si>
    <t>&lt;http://purl.obolibrary.org/obo/DHBA_11096&gt;</t>
  </si>
  <si>
    <t>layer V of area 21r</t>
  </si>
  <si>
    <t>&lt;http://purl.obolibrary.org/obo/DHBA_11097&gt;</t>
  </si>
  <si>
    <t>layer VI of area 21r</t>
  </si>
  <si>
    <t>&lt;http://purl.obolibrary.org/obo/DHBA_11098&gt;</t>
  </si>
  <si>
    <t>layer I of area 21i</t>
  </si>
  <si>
    <t>&lt;http://purl.obolibrary.org/obo/DHBA_11099&gt;</t>
  </si>
  <si>
    <t>layer II of area 21i</t>
  </si>
  <si>
    <t>&lt;http://purl.obolibrary.org/obo/DHBA_11100&gt;</t>
  </si>
  <si>
    <t>layer III of area 21i</t>
  </si>
  <si>
    <t>&lt;http://purl.obolibrary.org/obo/DHBA_11101&gt;</t>
  </si>
  <si>
    <t>layer IV of area 21i</t>
  </si>
  <si>
    <t>&lt;http://purl.obolibrary.org/obo/DHBA_11102&gt;</t>
  </si>
  <si>
    <t>layer V of area 21i</t>
  </si>
  <si>
    <t>&lt;http://purl.obolibrary.org/obo/DHBA_11103&gt;</t>
  </si>
  <si>
    <t>layer VI of area 21i</t>
  </si>
  <si>
    <t>&lt;http://purl.obolibrary.org/obo/DHBA_11104&gt;</t>
  </si>
  <si>
    <t>layer I of area 21c</t>
  </si>
  <si>
    <t>&lt;http://purl.obolibrary.org/obo/DHBA_11105&gt;</t>
  </si>
  <si>
    <t>layer II of area 21c</t>
  </si>
  <si>
    <t>&lt;http://purl.obolibrary.org/obo/DHBA_11106&gt;</t>
  </si>
  <si>
    <t>layer III of area 21c</t>
  </si>
  <si>
    <t>&lt;http://purl.obolibrary.org/obo/DHBA_11107&gt;</t>
  </si>
  <si>
    <t>layer IV of area 21c</t>
  </si>
  <si>
    <t>&lt;http://purl.obolibrary.org/obo/DHBA_11108&gt;</t>
  </si>
  <si>
    <t>layer V of area 21c</t>
  </si>
  <si>
    <t>&lt;http://purl.obolibrary.org/obo/DHBA_11109&gt;</t>
  </si>
  <si>
    <t>layer VI of area 21c</t>
  </si>
  <si>
    <t>&lt;http://purl.obolibrary.org/obo/DHBA_11110&gt;</t>
  </si>
  <si>
    <t>layer I of area 36r</t>
  </si>
  <si>
    <t>&lt;http://purl.obolibrary.org/obo/DHBA_11111&gt;</t>
  </si>
  <si>
    <t>layer II of area 36r</t>
  </si>
  <si>
    <t>&lt;http://purl.obolibrary.org/obo/DHBA_11112&gt;</t>
  </si>
  <si>
    <t>layer III of area 36r</t>
  </si>
  <si>
    <t>&lt;http://purl.obolibrary.org/obo/DHBA_11113&gt;</t>
  </si>
  <si>
    <t>layer IV of area 36r</t>
  </si>
  <si>
    <t>&lt;http://purl.obolibrary.org/obo/DHBA_11114&gt;</t>
  </si>
  <si>
    <t>layer V of area 36r</t>
  </si>
  <si>
    <t>&lt;http://purl.obolibrary.org/obo/DHBA_11115&gt;</t>
  </si>
  <si>
    <t>layer VI of area 36r</t>
  </si>
  <si>
    <t>&lt;http://purl.obolibrary.org/obo/DHBA_11116&gt;</t>
  </si>
  <si>
    <t>layer I of area 36c</t>
  </si>
  <si>
    <t>&lt;http://purl.obolibrary.org/obo/DHBA_11117&gt;</t>
  </si>
  <si>
    <t>layer II of area 36c</t>
  </si>
  <si>
    <t>&lt;http://purl.obolibrary.org/obo/DHBA_11118&gt;</t>
  </si>
  <si>
    <t>layer III of area 36c</t>
  </si>
  <si>
    <t>&lt;http://purl.obolibrary.org/obo/DHBA_11119&gt;</t>
  </si>
  <si>
    <t>layer IV of area 36c</t>
  </si>
  <si>
    <t>&lt;http://purl.obolibrary.org/obo/DHBA_11120&gt;</t>
  </si>
  <si>
    <t>layer V of area 36c</t>
  </si>
  <si>
    <t>&lt;http://purl.obolibrary.org/obo/DHBA_11121&gt;</t>
  </si>
  <si>
    <t>layer VI of area 36c</t>
  </si>
  <si>
    <t>&lt;http://purl.obolibrary.org/obo/DHBA_11122&gt;</t>
  </si>
  <si>
    <t>layer I of area TF</t>
  </si>
  <si>
    <t>&lt;http://purl.obolibrary.org/obo/DHBA_11123&gt;</t>
  </si>
  <si>
    <t>layer II of area TF</t>
  </si>
  <si>
    <t>&lt;http://purl.obolibrary.org/obo/DHBA_11124&gt;</t>
  </si>
  <si>
    <t>layer III of area TF</t>
  </si>
  <si>
    <t>&lt;http://purl.obolibrary.org/obo/DHBA_11125&gt;</t>
  </si>
  <si>
    <t>layer IV of area TF</t>
  </si>
  <si>
    <t>&lt;http://purl.obolibrary.org/obo/DHBA_11126&gt;</t>
  </si>
  <si>
    <t>layer V of area TF</t>
  </si>
  <si>
    <t>&lt;http://purl.obolibrary.org/obo/DHBA_11127&gt;</t>
  </si>
  <si>
    <t>layer VI of area TF</t>
  </si>
  <si>
    <t>&lt;http://purl.obolibrary.org/obo/DHBA_11128&gt;</t>
  </si>
  <si>
    <t>layer I of area TFO</t>
  </si>
  <si>
    <t>&lt;http://purl.obolibrary.org/obo/DHBA_11129&gt;</t>
  </si>
  <si>
    <t>layer II of area TFO</t>
  </si>
  <si>
    <t>&lt;http://purl.obolibrary.org/obo/DHBA_11130&gt;</t>
  </si>
  <si>
    <t>layer III of area TFO</t>
  </si>
  <si>
    <t>&lt;http://purl.obolibrary.org/obo/DHBA_11131&gt;</t>
  </si>
  <si>
    <t>layer IV of area TFO</t>
  </si>
  <si>
    <t>&lt;http://purl.obolibrary.org/obo/DHBA_11132&gt;</t>
  </si>
  <si>
    <t>layer V of area TFO</t>
  </si>
  <si>
    <t>&lt;http://purl.obolibrary.org/obo/DHBA_11133&gt;</t>
  </si>
  <si>
    <t>layer VI of area TFO</t>
  </si>
  <si>
    <t>&lt;http://purl.obolibrary.org/obo/DHBA_11134&gt;</t>
  </si>
  <si>
    <t>layer I of area 37</t>
  </si>
  <si>
    <t>&lt;http://purl.obolibrary.org/obo/DHBA_11135&gt;</t>
  </si>
  <si>
    <t>layer II of area 37</t>
  </si>
  <si>
    <t>&lt;http://purl.obolibrary.org/obo/DHBA_11136&gt;</t>
  </si>
  <si>
    <t>layer III of area 37</t>
  </si>
  <si>
    <t>&lt;http://purl.obolibrary.org/obo/DHBA_11137&gt;</t>
  </si>
  <si>
    <t>layer IV of area 37</t>
  </si>
  <si>
    <t>&lt;http://purl.obolibrary.org/obo/DHBA_11138&gt;</t>
  </si>
  <si>
    <t>layer V of area 37</t>
  </si>
  <si>
    <t>&lt;http://purl.obolibrary.org/obo/DHBA_11139&gt;</t>
  </si>
  <si>
    <t>layer VI of area 37</t>
  </si>
  <si>
    <t>&lt;http://purl.obolibrary.org/obo/DHBA_11140&gt;</t>
  </si>
  <si>
    <t>layer I of area TH</t>
  </si>
  <si>
    <t>&lt;http://purl.obolibrary.org/obo/DHBA_11141&gt;</t>
  </si>
  <si>
    <t>layer II of area TH</t>
  </si>
  <si>
    <t>&lt;http://purl.obolibrary.org/obo/DHBA_11142&gt;</t>
  </si>
  <si>
    <t>layer III of area TH</t>
  </si>
  <si>
    <t>&lt;http://purl.obolibrary.org/obo/DHBA_11143&gt;</t>
  </si>
  <si>
    <t>layer V of area TH</t>
  </si>
  <si>
    <t>&lt;http://purl.obolibrary.org/obo/DHBA_11144&gt;</t>
  </si>
  <si>
    <t>layer VI of area TH</t>
  </si>
  <si>
    <t>&lt;http://purl.obolibrary.org/obo/DHBA_11145&gt;</t>
  </si>
  <si>
    <t>layer I of area TL</t>
  </si>
  <si>
    <t>&lt;http://purl.obolibrary.org/obo/DHBA_11146&gt;</t>
  </si>
  <si>
    <t>layer II of area TL</t>
  </si>
  <si>
    <t>&lt;http://purl.obolibrary.org/obo/DHBA_11147&gt;</t>
  </si>
  <si>
    <t>layer III of area TL</t>
  </si>
  <si>
    <t>&lt;http://purl.obolibrary.org/obo/DHBA_11148&gt;</t>
  </si>
  <si>
    <t>layer IV of area TL</t>
  </si>
  <si>
    <t>&lt;http://purl.obolibrary.org/obo/DHBA_11149&gt;</t>
  </si>
  <si>
    <t>layer V of area TL</t>
  </si>
  <si>
    <t>&lt;http://purl.obolibrary.org/obo/DHBA_11150&gt;</t>
  </si>
  <si>
    <t>layer VI of area TL</t>
  </si>
  <si>
    <t>&lt;http://purl.obolibrary.org/obo/DHBA_11151&gt;</t>
  </si>
  <si>
    <t>layer I of area 38</t>
  </si>
  <si>
    <t>&lt;http://purl.obolibrary.org/obo/DHBA_11152&gt;</t>
  </si>
  <si>
    <t>layer II of area 38</t>
  </si>
  <si>
    <t>&lt;http://purl.obolibrary.org/obo/DHBA_11153&gt;</t>
  </si>
  <si>
    <t>layer III of area 38</t>
  </si>
  <si>
    <t>&lt;http://purl.obolibrary.org/obo/DHBA_11154&gt;</t>
  </si>
  <si>
    <t>layer IV of area 38</t>
  </si>
  <si>
    <t>&lt;http://purl.obolibrary.org/obo/DHBA_11155&gt;</t>
  </si>
  <si>
    <t>layer V of area 38</t>
  </si>
  <si>
    <t>&lt;http://purl.obolibrary.org/obo/DHBA_11156&gt;</t>
  </si>
  <si>
    <t>layer VI of area 38</t>
  </si>
  <si>
    <t>&lt;http://purl.obolibrary.org/obo/DHBA_11157&gt;</t>
  </si>
  <si>
    <t>layer I of parainsular cortex</t>
  </si>
  <si>
    <t>&lt;http://purl.obolibrary.org/obo/DHBA_11158&gt;</t>
  </si>
  <si>
    <t>layer II of parainsular cortex</t>
  </si>
  <si>
    <t>&lt;http://purl.obolibrary.org/obo/DHBA_11159&gt;</t>
  </si>
  <si>
    <t>layer III of parainsular cortex</t>
  </si>
  <si>
    <t>&lt;http://purl.obolibrary.org/obo/DHBA_11160&gt;</t>
  </si>
  <si>
    <t>layer IV of parainsular cortex</t>
  </si>
  <si>
    <t>&lt;http://purl.obolibrary.org/obo/DHBA_11161&gt;</t>
  </si>
  <si>
    <t>layer V of parainsular cortex</t>
  </si>
  <si>
    <t>&lt;http://purl.obolibrary.org/obo/DHBA_11162&gt;</t>
  </si>
  <si>
    <t>layer VI of parainsular cortex</t>
  </si>
  <si>
    <t>&lt;http://purl.obolibrary.org/obo/DHBA_11163&gt;</t>
  </si>
  <si>
    <t>layer I of area 17</t>
  </si>
  <si>
    <t>&lt;http://purl.obolibrary.org/obo/DHBA_11164&gt;</t>
  </si>
  <si>
    <t>layer II of area 17</t>
  </si>
  <si>
    <t>&lt;http://purl.obolibrary.org/obo/DHBA_11165&gt;</t>
  </si>
  <si>
    <t>layer III of area 17</t>
  </si>
  <si>
    <t>&lt;http://purl.obolibrary.org/obo/DHBA_11166&gt;</t>
  </si>
  <si>
    <t>layer IV of area 17</t>
  </si>
  <si>
    <t>&lt;http://purl.obolibrary.org/obo/DHBA_11167&gt;</t>
  </si>
  <si>
    <t>layer IVA of area 17</t>
  </si>
  <si>
    <t>&lt;http://purl.obolibrary.org/obo/DHBA_11168&gt;</t>
  </si>
  <si>
    <t>layer IVB of area 17</t>
  </si>
  <si>
    <t>&lt;http://purl.obolibrary.org/obo/DHBA_11169&gt;</t>
  </si>
  <si>
    <t>layer IVC of area 17</t>
  </si>
  <si>
    <t>&lt;http://purl.obolibrary.org/obo/DHBA_11170&gt;</t>
  </si>
  <si>
    <t>layer IVCa of area 17</t>
  </si>
  <si>
    <t>&lt;http://purl.obolibrary.org/obo/DHBA_11171&gt;</t>
  </si>
  <si>
    <t>layer IVCb of area 17</t>
  </si>
  <si>
    <t>&lt;http://purl.obolibrary.org/obo/DHBA_11172&gt;</t>
  </si>
  <si>
    <t>layer V of area 17</t>
  </si>
  <si>
    <t>&lt;http://purl.obolibrary.org/obo/DHBA_11173&gt;</t>
  </si>
  <si>
    <t>layer VI of area 17</t>
  </si>
  <si>
    <t>&lt;http://purl.obolibrary.org/obo/DHBA_11174&gt;</t>
  </si>
  <si>
    <t>layer I of area 18</t>
  </si>
  <si>
    <t>&lt;http://purl.obolibrary.org/obo/DHBA_11175&gt;</t>
  </si>
  <si>
    <t>layer II of area 18</t>
  </si>
  <si>
    <t>&lt;http://purl.obolibrary.org/obo/DHBA_11176&gt;</t>
  </si>
  <si>
    <t>layer III of area 18</t>
  </si>
  <si>
    <t>&lt;http://purl.obolibrary.org/obo/DHBA_11177&gt;</t>
  </si>
  <si>
    <t>layer IV of area 18</t>
  </si>
  <si>
    <t>&lt;http://purl.obolibrary.org/obo/DHBA_11178&gt;</t>
  </si>
  <si>
    <t>layer V of area 18</t>
  </si>
  <si>
    <t>&lt;http://purl.obolibrary.org/obo/DHBA_11179&gt;</t>
  </si>
  <si>
    <t>layer VI of area 18</t>
  </si>
  <si>
    <t>&lt;http://purl.obolibrary.org/obo/DHBA_11180&gt;</t>
  </si>
  <si>
    <t>layer I of area V3</t>
  </si>
  <si>
    <t>&lt;http://purl.obolibrary.org/obo/DHBA_11181&gt;</t>
  </si>
  <si>
    <t>layer II of area V3</t>
  </si>
  <si>
    <t>&lt;http://purl.obolibrary.org/obo/DHBA_11182&gt;</t>
  </si>
  <si>
    <t>layer III of area V3</t>
  </si>
  <si>
    <t>&lt;http://purl.obolibrary.org/obo/DHBA_11183&gt;</t>
  </si>
  <si>
    <t>layer IV of area V3</t>
  </si>
  <si>
    <t>&lt;http://purl.obolibrary.org/obo/DHBA_11184&gt;</t>
  </si>
  <si>
    <t>layer V of area V3</t>
  </si>
  <si>
    <t>&lt;http://purl.obolibrary.org/obo/DHBA_11185&gt;</t>
  </si>
  <si>
    <t>layer VI of area V3</t>
  </si>
  <si>
    <t>&lt;http://purl.obolibrary.org/obo/DHBA_11186&gt;</t>
  </si>
  <si>
    <t>layer I of area VP</t>
  </si>
  <si>
    <t>&lt;http://purl.obolibrary.org/obo/DHBA_11187&gt;</t>
  </si>
  <si>
    <t>layer II of area VP</t>
  </si>
  <si>
    <t>&lt;http://purl.obolibrary.org/obo/DHBA_11188&gt;</t>
  </si>
  <si>
    <t>layer III of area VP</t>
  </si>
  <si>
    <t>&lt;http://purl.obolibrary.org/obo/DHBA_11189&gt;</t>
  </si>
  <si>
    <t>layer IV of area VP</t>
  </si>
  <si>
    <t>&lt;http://purl.obolibrary.org/obo/DHBA_11190&gt;</t>
  </si>
  <si>
    <t>layer V of area VP</t>
  </si>
  <si>
    <t>&lt;http://purl.obolibrary.org/obo/DHBA_11191&gt;</t>
  </si>
  <si>
    <t>layer VI of area VP</t>
  </si>
  <si>
    <t>&lt;http://purl.obolibrary.org/obo/DHBA_11192&gt;</t>
  </si>
  <si>
    <t>layer I of area V3A</t>
  </si>
  <si>
    <t>&lt;http://purl.obolibrary.org/obo/DHBA_11193&gt;</t>
  </si>
  <si>
    <t>layer II of area V3A</t>
  </si>
  <si>
    <t>&lt;http://purl.obolibrary.org/obo/DHBA_11194&gt;</t>
  </si>
  <si>
    <t>layer III of area V3A</t>
  </si>
  <si>
    <t>&lt;http://purl.obolibrary.org/obo/DHBA_11195&gt;</t>
  </si>
  <si>
    <t>layer IV of area V3A</t>
  </si>
  <si>
    <t>&lt;http://purl.obolibrary.org/obo/DHBA_11196&gt;</t>
  </si>
  <si>
    <t>layer V of area V3A</t>
  </si>
  <si>
    <t>&lt;http://purl.obolibrary.org/obo/DHBA_11197&gt;</t>
  </si>
  <si>
    <t>layer VI of area V3A</t>
  </si>
  <si>
    <t>&lt;http://purl.obolibrary.org/obo/DHBA_11198&gt;</t>
  </si>
  <si>
    <t>layer I of area V4</t>
  </si>
  <si>
    <t>&lt;http://purl.obolibrary.org/obo/DHBA_11199&gt;</t>
  </si>
  <si>
    <t>layer II of area V4</t>
  </si>
  <si>
    <t>&lt;http://purl.obolibrary.org/obo/DHBA_11200&gt;</t>
  </si>
  <si>
    <t>layer III of area V4</t>
  </si>
  <si>
    <t>&lt;http://purl.obolibrary.org/obo/DHBA_11201&gt;</t>
  </si>
  <si>
    <t>layer IV of area V4</t>
  </si>
  <si>
    <t>&lt;http://purl.obolibrary.org/obo/DHBA_11202&gt;</t>
  </si>
  <si>
    <t>layer V of area V4</t>
  </si>
  <si>
    <t>&lt;http://purl.obolibrary.org/obo/DHBA_11203&gt;</t>
  </si>
  <si>
    <t>layer VI of area V4</t>
  </si>
  <si>
    <t>&lt;http://purl.obolibrary.org/obo/DHBA_11204&gt;</t>
  </si>
  <si>
    <t>layer I of area 24</t>
  </si>
  <si>
    <t>&lt;http://purl.obolibrary.org/obo/DHBA_11212&gt;</t>
  </si>
  <si>
    <t>layer II of area 24</t>
  </si>
  <si>
    <t>&lt;http://purl.obolibrary.org/obo/DHBA_11213&gt;</t>
  </si>
  <si>
    <t>layer III of area 24</t>
  </si>
  <si>
    <t>&lt;http://purl.obolibrary.org/obo/DHBA_11214&gt;</t>
  </si>
  <si>
    <t>layer Va of area 24</t>
  </si>
  <si>
    <t>&lt;http://purl.obolibrary.org/obo/DHBA_11215&gt;</t>
  </si>
  <si>
    <t>layer Vb of area 24</t>
  </si>
  <si>
    <t>&lt;http://purl.obolibrary.org/obo/DHBA_11216&gt;</t>
  </si>
  <si>
    <t>layer VI of area 24</t>
  </si>
  <si>
    <t>&lt;http://purl.obolibrary.org/obo/DHBA_11217&gt;</t>
  </si>
  <si>
    <t>layer I of area 32</t>
  </si>
  <si>
    <t>&lt;http://purl.obolibrary.org/obo/DHBA_11218&gt;</t>
  </si>
  <si>
    <t>layer II of area 32</t>
  </si>
  <si>
    <t>&lt;http://purl.obolibrary.org/obo/DHBA_11219&gt;</t>
  </si>
  <si>
    <t>layer III of area 32</t>
  </si>
  <si>
    <t>&lt;http://purl.obolibrary.org/obo/DHBA_11220&gt;</t>
  </si>
  <si>
    <t>layer IV of area 32</t>
  </si>
  <si>
    <t>&lt;http://purl.obolibrary.org/obo/DHBA_11221&gt;</t>
  </si>
  <si>
    <t>layer V of area 32</t>
  </si>
  <si>
    <t>&lt;http://purl.obolibrary.org/obo/DHBA_11222&gt;</t>
  </si>
  <si>
    <t>layer VI of area 32</t>
  </si>
  <si>
    <t>&lt;http://purl.obolibrary.org/obo/DHBA_11223&gt;</t>
  </si>
  <si>
    <t>layer I of area 25</t>
  </si>
  <si>
    <t>&lt;http://purl.obolibrary.org/obo/DHBA_11224&gt;</t>
  </si>
  <si>
    <t>layer II of area 25</t>
  </si>
  <si>
    <t>&lt;http://purl.obolibrary.org/obo/DHBA_11225&gt;</t>
  </si>
  <si>
    <t>layer III of area 25</t>
  </si>
  <si>
    <t>&lt;http://purl.obolibrary.org/obo/DHBA_11226&gt;</t>
  </si>
  <si>
    <t>layer V of area 25</t>
  </si>
  <si>
    <t>&lt;http://purl.obolibrary.org/obo/DHBA_11227&gt;</t>
  </si>
  <si>
    <t>layer VI of area 25</t>
  </si>
  <si>
    <t>&lt;http://purl.obolibrary.org/obo/DHBA_11228&gt;</t>
  </si>
  <si>
    <t>layer I of area 24mc</t>
  </si>
  <si>
    <t>&lt;http://purl.obolibrary.org/obo/DHBA_11229&gt;</t>
  </si>
  <si>
    <t>layer II of area 24mc</t>
  </si>
  <si>
    <t>&lt;http://purl.obolibrary.org/obo/DHBA_11230&gt;</t>
  </si>
  <si>
    <t>layer III of area 24mc</t>
  </si>
  <si>
    <t>&lt;http://purl.obolibrary.org/obo/DHBA_11231&gt;</t>
  </si>
  <si>
    <t>layer Va of area 24mc</t>
  </si>
  <si>
    <t>&lt;http://purl.obolibrary.org/obo/DHBA_11232&gt;</t>
  </si>
  <si>
    <t>layer Vb of area 24mc</t>
  </si>
  <si>
    <t>&lt;http://purl.obolibrary.org/obo/DHBA_11233&gt;</t>
  </si>
  <si>
    <t>layer VI of area 24mc</t>
  </si>
  <si>
    <t>&lt;http://purl.obolibrary.org/obo/DHBA_11234&gt;</t>
  </si>
  <si>
    <t>layer I of area 32mc</t>
  </si>
  <si>
    <t>&lt;http://purl.obolibrary.org/obo/DHBA_11235&gt;</t>
  </si>
  <si>
    <t>layer II of area 32mc</t>
  </si>
  <si>
    <t>&lt;http://purl.obolibrary.org/obo/DHBA_11236&gt;</t>
  </si>
  <si>
    <t>layer III of area 32mc</t>
  </si>
  <si>
    <t>&lt;http://purl.obolibrary.org/obo/DHBA_11237&gt;</t>
  </si>
  <si>
    <t>layer IV of area 32mc</t>
  </si>
  <si>
    <t>&lt;http://purl.obolibrary.org/obo/DHBA_11238&gt;</t>
  </si>
  <si>
    <t>layer V of area 32mc</t>
  </si>
  <si>
    <t>&lt;http://purl.obolibrary.org/obo/DHBA_11239&gt;</t>
  </si>
  <si>
    <t>layer VI of area 32mc</t>
  </si>
  <si>
    <t>&lt;http://purl.obolibrary.org/obo/DHBA_11240&gt;</t>
  </si>
  <si>
    <t>layer I of area 23</t>
  </si>
  <si>
    <t>&lt;http://purl.obolibrary.org/obo/DHBA_11241&gt;</t>
  </si>
  <si>
    <t>layer II of area 23</t>
  </si>
  <si>
    <t>&lt;http://purl.obolibrary.org/obo/DHBA_11242&gt;</t>
  </si>
  <si>
    <t>layer III of area 23</t>
  </si>
  <si>
    <t>&lt;http://purl.obolibrary.org/obo/DHBA_11243&gt;</t>
  </si>
  <si>
    <t>layer IV of area 23</t>
  </si>
  <si>
    <t>&lt;http://purl.obolibrary.org/obo/DHBA_11244&gt;</t>
  </si>
  <si>
    <t>layer V of area 23</t>
  </si>
  <si>
    <t>&lt;http://purl.obolibrary.org/obo/DHBA_11245&gt;</t>
  </si>
  <si>
    <t>layer VI of area 23</t>
  </si>
  <si>
    <t>&lt;http://purl.obolibrary.org/obo/DHBA_11246&gt;</t>
  </si>
  <si>
    <t>layer I of area 31</t>
  </si>
  <si>
    <t>&lt;http://purl.obolibrary.org/obo/DHBA_11247&gt;</t>
  </si>
  <si>
    <t>layer II of area 31</t>
  </si>
  <si>
    <t>&lt;http://purl.obolibrary.org/obo/DHBA_11248&gt;</t>
  </si>
  <si>
    <t>layer III of area 31</t>
  </si>
  <si>
    <t>&lt;http://purl.obolibrary.org/obo/DHBA_11249&gt;</t>
  </si>
  <si>
    <t>layer IV of area 31</t>
  </si>
  <si>
    <t>&lt;http://purl.obolibrary.org/obo/DHBA_11250&gt;</t>
  </si>
  <si>
    <t>layer V of area 31</t>
  </si>
  <si>
    <t>&lt;http://purl.obolibrary.org/obo/DHBA_11251&gt;</t>
  </si>
  <si>
    <t>layer VI of area 31</t>
  </si>
  <si>
    <t>&lt;http://purl.obolibrary.org/obo/DHBA_11252&gt;</t>
  </si>
  <si>
    <t>layer I of dysgranular insular cortex</t>
  </si>
  <si>
    <t>&lt;http://purl.obolibrary.org/obo/DHBA_11253&gt;</t>
  </si>
  <si>
    <t>layer II of dysgranular insular cortex</t>
  </si>
  <si>
    <t>&lt;http://purl.obolibrary.org/obo/DHBA_11254&gt;</t>
  </si>
  <si>
    <t>layer III of dysgranular insular cortex</t>
  </si>
  <si>
    <t>&lt;http://purl.obolibrary.org/obo/DHBA_11255&gt;</t>
  </si>
  <si>
    <t>layer IV of dysgranular insular cortex</t>
  </si>
  <si>
    <t>&lt;http://purl.obolibrary.org/obo/DHBA_11256&gt;</t>
  </si>
  <si>
    <t>layer V of dysgranular insular cortex</t>
  </si>
  <si>
    <t>&lt;http://purl.obolibrary.org/obo/DHBA_11257&gt;</t>
  </si>
  <si>
    <t>layer VI of dysgranular insular cortex</t>
  </si>
  <si>
    <t>&lt;http://purl.obolibrary.org/obo/DHBA_11258&gt;</t>
  </si>
  <si>
    <t>layer I of granular insular cortex</t>
  </si>
  <si>
    <t>&lt;http://purl.obolibrary.org/obo/DHBA_11259&gt;</t>
  </si>
  <si>
    <t>layer II of granular insular cortex</t>
  </si>
  <si>
    <t>&lt;http://purl.obolibrary.org/obo/DHBA_11260&gt;</t>
  </si>
  <si>
    <t>layer III of granular insular cortex</t>
  </si>
  <si>
    <t>&lt;http://purl.obolibrary.org/obo/DHBA_11261&gt;</t>
  </si>
  <si>
    <t>layer IV of granular insular cortex</t>
  </si>
  <si>
    <t>&lt;http://purl.obolibrary.org/obo/DHBA_11262&gt;</t>
  </si>
  <si>
    <t>layer V of granular insular cortex</t>
  </si>
  <si>
    <t>&lt;http://purl.obolibrary.org/obo/DHBA_11263&gt;</t>
  </si>
  <si>
    <t>layer VI of granular insular cortex</t>
  </si>
  <si>
    <t>&lt;http://purl.obolibrary.org/obo/DHBA_11264&gt;</t>
  </si>
  <si>
    <t>rostral dentate gyrus</t>
  </si>
  <si>
    <t>&lt;http://purl.obolibrary.org/obo/DHBA_11265&gt;</t>
  </si>
  <si>
    <t>molecular layer of rostral dentate gyrus</t>
  </si>
  <si>
    <t>&lt;http://purl.obolibrary.org/obo/DHBA_11266&gt;</t>
  </si>
  <si>
    <t>granular layer of rostral dentate gyrus</t>
  </si>
  <si>
    <t>&lt;http://purl.obolibrary.org/obo/DHBA_11267&gt;</t>
  </si>
  <si>
    <t>subgranular zone of rostral dentate gyrus</t>
  </si>
  <si>
    <t>&lt;http://purl.obolibrary.org/obo/DHBA_11268&gt;</t>
  </si>
  <si>
    <t>polyform layer of rostral dentate gyrus</t>
  </si>
  <si>
    <t>&lt;http://purl.obolibrary.org/obo/DHBA_11269&gt;</t>
  </si>
  <si>
    <t>caudal dentate gyrus</t>
  </si>
  <si>
    <t>&lt;http://purl.obolibrary.org/obo/DHBA_11270&gt;</t>
  </si>
  <si>
    <t>molecular layer of caudal dentate gyrus</t>
  </si>
  <si>
    <t>&lt;http://purl.obolibrary.org/obo/DHBA_11271&gt;</t>
  </si>
  <si>
    <t>granular layer of caudal dentate gyrus</t>
  </si>
  <si>
    <t>&lt;http://purl.obolibrary.org/obo/DHBA_11272&gt;</t>
  </si>
  <si>
    <t>subgranular zone of caudal dentate gyrus</t>
  </si>
  <si>
    <t>&lt;http://purl.obolibrary.org/obo/DHBA_11273&gt;</t>
  </si>
  <si>
    <t>polyform layer of caudal dentate gyrus</t>
  </si>
  <si>
    <t>&lt;http://purl.obolibrary.org/obo/DHBA_11274&gt;</t>
  </si>
  <si>
    <t>pyramidal cells of rostral CA4</t>
  </si>
  <si>
    <t>&lt;http://purl.obolibrary.org/obo/DHBA_11307&gt;</t>
  </si>
  <si>
    <t>pyramidal cells of caudal CA4</t>
  </si>
  <si>
    <t>&lt;http://purl.obolibrary.org/obo/DHBA_11308&gt;</t>
  </si>
  <si>
    <t>rostral subiculum</t>
  </si>
  <si>
    <t>&lt;http://purl.obolibrary.org/obo/DHBA_11309&gt;</t>
  </si>
  <si>
    <t>molecular layer of rostral subiculum</t>
  </si>
  <si>
    <t>&lt;http://purl.obolibrary.org/obo/DHBA_11310&gt;</t>
  </si>
  <si>
    <t>pyramidal layer of rostral subiculum</t>
  </si>
  <si>
    <t>&lt;http://purl.obolibrary.org/obo/DHBA_11311&gt;</t>
  </si>
  <si>
    <t>polymorphic layer of rostral subiculum</t>
  </si>
  <si>
    <t>&lt;http://purl.obolibrary.org/obo/DHBA_11312&gt;</t>
  </si>
  <si>
    <t>caudal subiculum</t>
  </si>
  <si>
    <t>&lt;http://purl.obolibrary.org/obo/DHBA_11313&gt;</t>
  </si>
  <si>
    <t>molecular layer of caudal subiculum</t>
  </si>
  <si>
    <t>&lt;http://purl.obolibrary.org/obo/DHBA_11314&gt;</t>
  </si>
  <si>
    <t>pyramidal layer of caudal subiculum</t>
  </si>
  <si>
    <t>&lt;http://purl.obolibrary.org/obo/DHBA_11315&gt;</t>
  </si>
  <si>
    <t>polymorphic layer of caudal subiculum</t>
  </si>
  <si>
    <t>&lt;http://purl.obolibrary.org/obo/DHBA_11316&gt;</t>
  </si>
  <si>
    <t>rostral prosubiculum</t>
  </si>
  <si>
    <t>&lt;http://purl.obolibrary.org/obo/DHBA_11317&gt;</t>
  </si>
  <si>
    <t>molecular layer of rostral prosubiculum</t>
  </si>
  <si>
    <t>&lt;http://purl.obolibrary.org/obo/DHBA_11318&gt;</t>
  </si>
  <si>
    <t>stratum pyramidale of rostral prosubiculum</t>
  </si>
  <si>
    <t>&lt;http://purl.obolibrary.org/obo/DHBA_11319&gt;</t>
  </si>
  <si>
    <t>stratum oriens of rostral prosubiculum</t>
  </si>
  <si>
    <t>&lt;http://purl.obolibrary.org/obo/DHBA_11320&gt;</t>
  </si>
  <si>
    <t>caudal prosubiculum</t>
  </si>
  <si>
    <t>&lt;http://purl.obolibrary.org/obo/DHBA_11321&gt;</t>
  </si>
  <si>
    <t>molecular layer of caudal prosubiculum</t>
  </si>
  <si>
    <t>&lt;http://purl.obolibrary.org/obo/DHBA_11322&gt;</t>
  </si>
  <si>
    <t>stratum pyramidale of caudal prosubiculum</t>
  </si>
  <si>
    <t>&lt;http://purl.obolibrary.org/obo/DHBA_11323&gt;</t>
  </si>
  <si>
    <t>stratum oriens of caudal prosubiculum</t>
  </si>
  <si>
    <t>&lt;http://purl.obolibrary.org/obo/DHBA_11324&gt;</t>
  </si>
  <si>
    <t>supracallosal subiculum</t>
  </si>
  <si>
    <t>&lt;http://purl.obolibrary.org/obo/DHBA_11325&gt;</t>
  </si>
  <si>
    <t>outer plexiform layer of olfactory bulb</t>
  </si>
  <si>
    <t>&lt;http://purl.obolibrary.org/obo/DHBA_11328&gt;</t>
  </si>
  <si>
    <t>granular cell layer of olfactory bulb</t>
  </si>
  <si>
    <t>&lt;http://purl.obolibrary.org/obo/DHBA_11331&gt;</t>
  </si>
  <si>
    <t>layer I olfactory tubercle</t>
  </si>
  <si>
    <t>&lt;http://purl.obolibrary.org/obo/DHBA_11332&gt;</t>
  </si>
  <si>
    <t>layer II olfactory tubercle</t>
  </si>
  <si>
    <t>&lt;http://purl.obolibrary.org/obo/DHBA_11333&gt;</t>
  </si>
  <si>
    <t>layer III olfactory tubercle</t>
  </si>
  <si>
    <t>&lt;http://purl.obolibrary.org/obo/DHBA_11334&gt;</t>
  </si>
  <si>
    <t>layer I of piriform cortex</t>
  </si>
  <si>
    <t>&lt;http://purl.obolibrary.org/obo/DHBA_11335&gt;</t>
  </si>
  <si>
    <t>layer III of piriform cortex</t>
  </si>
  <si>
    <t>&lt;http://purl.obolibrary.org/obo/DHBA_11337&gt;</t>
  </si>
  <si>
    <t>layer I of piriform-entorhinal-amygdaloid area</t>
  </si>
  <si>
    <t>&lt;http://purl.obolibrary.org/obo/DHBA_11338&gt;</t>
  </si>
  <si>
    <t>layer II of piriform-entorhinal-amygdaloid area</t>
  </si>
  <si>
    <t>&lt;http://purl.obolibrary.org/obo/DHBA_11339&gt;</t>
  </si>
  <si>
    <t>layer III of piriform-entorhinal-amygdaloid area</t>
  </si>
  <si>
    <t>&lt;http://purl.obolibrary.org/obo/DHBA_11340&gt;</t>
  </si>
  <si>
    <t>rostral presubiculum</t>
  </si>
  <si>
    <t>&lt;http://purl.obolibrary.org/obo/DHBA_11341&gt;</t>
  </si>
  <si>
    <t>superficial layers of rostral presubiculum</t>
  </si>
  <si>
    <t>&lt;http://purl.obolibrary.org/obo/DHBA_11342&gt;</t>
  </si>
  <si>
    <t>layer I of rostral presubiculum</t>
  </si>
  <si>
    <t>&lt;http://purl.obolibrary.org/obo/DHBA_11343&gt;</t>
  </si>
  <si>
    <t>layer II of rostral presubiculum</t>
  </si>
  <si>
    <t>&lt;http://purl.obolibrary.org/obo/DHBA_11344&gt;</t>
  </si>
  <si>
    <t>layer III of rostral presubiculum</t>
  </si>
  <si>
    <t>&lt;http://purl.obolibrary.org/obo/DHBA_11345&gt;</t>
  </si>
  <si>
    <t>lamina dissecans of rostral presubiculum</t>
  </si>
  <si>
    <t>&lt;http://purl.obolibrary.org/obo/DHBA_11346&gt;</t>
  </si>
  <si>
    <t>deep layers of rostral presubiculum</t>
  </si>
  <si>
    <t>&lt;http://purl.obolibrary.org/obo/DHBA_11347&gt;</t>
  </si>
  <si>
    <t>layer V of rostral presubiculum</t>
  </si>
  <si>
    <t>&lt;http://purl.obolibrary.org/obo/DHBA_11348&gt;</t>
  </si>
  <si>
    <t>layer VI of rostral presubiculum</t>
  </si>
  <si>
    <t>&lt;http://purl.obolibrary.org/obo/DHBA_11349&gt;</t>
  </si>
  <si>
    <t>caudal presubiculum (postsubiculum)</t>
  </si>
  <si>
    <t>&lt;http://purl.obolibrary.org/obo/DHBA_11350&gt;</t>
  </si>
  <si>
    <t>superficial layers of caudal presubiculum</t>
  </si>
  <si>
    <t>&lt;http://purl.obolibrary.org/obo/DHBA_11351&gt;</t>
  </si>
  <si>
    <t>layer I of caudal presubiculum</t>
  </si>
  <si>
    <t>&lt;http://purl.obolibrary.org/obo/DHBA_11352&gt;</t>
  </si>
  <si>
    <t>layer II of caudal presubiculum</t>
  </si>
  <si>
    <t>&lt;http://purl.obolibrary.org/obo/DHBA_11353&gt;</t>
  </si>
  <si>
    <t>layer III of caudal presubiculum</t>
  </si>
  <si>
    <t>&lt;http://purl.obolibrary.org/obo/DHBA_11354&gt;</t>
  </si>
  <si>
    <t>lamina dissecans of caudal presubiculum</t>
  </si>
  <si>
    <t>&lt;http://purl.obolibrary.org/obo/DHBA_11355&gt;</t>
  </si>
  <si>
    <t>deep layers of caudal presubiculum</t>
  </si>
  <si>
    <t>&lt;http://purl.obolibrary.org/obo/DHBA_11356&gt;</t>
  </si>
  <si>
    <t>layer V of caudal presubiculum</t>
  </si>
  <si>
    <t>&lt;http://purl.obolibrary.org/obo/DHBA_11357&gt;</t>
  </si>
  <si>
    <t>layer VI of caudal presubiculum</t>
  </si>
  <si>
    <t>&lt;http://purl.obolibrary.org/obo/DHBA_11358&gt;</t>
  </si>
  <si>
    <t>proximal parasubiculum</t>
  </si>
  <si>
    <t>&lt;http://purl.obolibrary.org/obo/DHBA_11359&gt;</t>
  </si>
  <si>
    <t>layer I of proximal parasubiculum</t>
  </si>
  <si>
    <t>&lt;http://purl.obolibrary.org/obo/DHBA_11360&gt;</t>
  </si>
  <si>
    <t>layers II/III of proximal parasubiculum</t>
  </si>
  <si>
    <t>&lt;http://purl.obolibrary.org/obo/DHBA_11361&gt;</t>
  </si>
  <si>
    <t>lamina dissecans of proximal parasubiculum</t>
  </si>
  <si>
    <t>&lt;http://purl.obolibrary.org/obo/DHBA_11362&gt;</t>
  </si>
  <si>
    <t>distal parasubiculum</t>
  </si>
  <si>
    <t>&lt;http://purl.obolibrary.org/obo/DHBA_11365&gt;</t>
  </si>
  <si>
    <t>layer I of distal parasubiculum</t>
  </si>
  <si>
    <t>&lt;http://purl.obolibrary.org/obo/DHBA_11366&gt;</t>
  </si>
  <si>
    <t>layers II/III of distal parasubiculum</t>
  </si>
  <si>
    <t>&lt;http://purl.obolibrary.org/obo/DHBA_11367&gt;</t>
  </si>
  <si>
    <t>lamina dissecans of distal parasubiculum</t>
  </si>
  <si>
    <t>&lt;http://purl.obolibrary.org/obo/DHBA_11368&gt;</t>
  </si>
  <si>
    <t>olfactory part of entorhinal cortex</t>
  </si>
  <si>
    <t>&lt;http://purl.obolibrary.org/obo/DHBA_11371&gt;</t>
  </si>
  <si>
    <t>superficial layers of olfactory entorhinal cortex</t>
  </si>
  <si>
    <t>&lt;http://purl.obolibrary.org/obo/DHBA_11372&gt;</t>
  </si>
  <si>
    <t>layer I of olfactory entorhinal cortex</t>
  </si>
  <si>
    <t>&lt;http://purl.obolibrary.org/obo/DHBA_11373&gt;</t>
  </si>
  <si>
    <t>layer II of olfactory entorhinal cortex</t>
  </si>
  <si>
    <t>&lt;http://purl.obolibrary.org/obo/DHBA_11374&gt;</t>
  </si>
  <si>
    <t>layer III of olfactory entorhinal cortex</t>
  </si>
  <si>
    <t>&lt;http://purl.obolibrary.org/obo/DHBA_11375&gt;</t>
  </si>
  <si>
    <t>layer IIIa of olfactory entorhinal cortex</t>
  </si>
  <si>
    <t>&lt;http://purl.obolibrary.org/obo/DHBA_11376&gt;</t>
  </si>
  <si>
    <t>layer IIIb of olfactory entorhinal cortex</t>
  </si>
  <si>
    <t>&lt;http://purl.obolibrary.org/obo/DHBA_11377&gt;</t>
  </si>
  <si>
    <t>deep layers of olfactory entorhinal cortex</t>
  </si>
  <si>
    <t>&lt;http://purl.obolibrary.org/obo/DHBA_11378&gt;</t>
  </si>
  <si>
    <t>layer V of olfactory entorhinal cortex</t>
  </si>
  <si>
    <t>&lt;http://purl.obolibrary.org/obo/DHBA_11379&gt;</t>
  </si>
  <si>
    <t>layer VI of olfactory entorhinal cortex</t>
  </si>
  <si>
    <t>&lt;http://purl.obolibrary.org/obo/DHBA_11380&gt;</t>
  </si>
  <si>
    <t>rostral part of entorhinal cortex</t>
  </si>
  <si>
    <t>&lt;http://purl.obolibrary.org/obo/DHBA_11381&gt;</t>
  </si>
  <si>
    <t>superficial layers of rostral entorhinal cortex</t>
  </si>
  <si>
    <t>&lt;http://purl.obolibrary.org/obo/DHBA_11382&gt;</t>
  </si>
  <si>
    <t>layer I of rostral entorhinal cortex</t>
  </si>
  <si>
    <t>&lt;http://purl.obolibrary.org/obo/DHBA_11383&gt;</t>
  </si>
  <si>
    <t>layer II of rostral entorhinal cortex</t>
  </si>
  <si>
    <t>&lt;http://purl.obolibrary.org/obo/DHBA_11384&gt;</t>
  </si>
  <si>
    <t>layer III of rostral entorhinal cortex</t>
  </si>
  <si>
    <t>&lt;http://purl.obolibrary.org/obo/DHBA_11385&gt;</t>
  </si>
  <si>
    <t>layer IIIa of rostral entorhinal cortex</t>
  </si>
  <si>
    <t>&lt;http://purl.obolibrary.org/obo/DHBA_11386&gt;</t>
  </si>
  <si>
    <t>layer IIIb of rostral entorhinal cortex</t>
  </si>
  <si>
    <t>&lt;http://purl.obolibrary.org/obo/DHBA_11387&gt;</t>
  </si>
  <si>
    <t>deep layers of rostral entorhinal cortex</t>
  </si>
  <si>
    <t>&lt;http://purl.obolibrary.org/obo/DHBA_11388&gt;</t>
  </si>
  <si>
    <t>layer V of rostral entorhinal cortex</t>
  </si>
  <si>
    <t>&lt;http://purl.obolibrary.org/obo/DHBA_11389&gt;</t>
  </si>
  <si>
    <t>layer VI of rostral entorhinal cortex</t>
  </si>
  <si>
    <t>&lt;http://purl.obolibrary.org/obo/DHBA_11390&gt;</t>
  </si>
  <si>
    <t>laterorostral part of entorhinal cortex</t>
  </si>
  <si>
    <t>&lt;http://purl.obolibrary.org/obo/DHBA_11391&gt;</t>
  </si>
  <si>
    <t>superficial layers of laterorostral entorhinal cortex</t>
  </si>
  <si>
    <t>&lt;http://purl.obolibrary.org/obo/DHBA_11392&gt;</t>
  </si>
  <si>
    <t>layer I of laterorostral entorhinal cortex</t>
  </si>
  <si>
    <t>&lt;http://purl.obolibrary.org/obo/DHBA_11393&gt;</t>
  </si>
  <si>
    <t>layer II of laterorostral entorhinal cortex</t>
  </si>
  <si>
    <t>&lt;http://purl.obolibrary.org/obo/DHBA_11394&gt;</t>
  </si>
  <si>
    <t>layer III of laterorostral entorhinal cortex</t>
  </si>
  <si>
    <t>&lt;http://purl.obolibrary.org/obo/DHBA_11395&gt;</t>
  </si>
  <si>
    <t>layer IIIa of laterorostral entorhinal cortex</t>
  </si>
  <si>
    <t>&lt;http://purl.obolibrary.org/obo/DHBA_11396&gt;</t>
  </si>
  <si>
    <t>layer IIIb of laterorostral entorhinal cortex</t>
  </si>
  <si>
    <t>&lt;http://purl.obolibrary.org/obo/DHBA_11397&gt;</t>
  </si>
  <si>
    <t>deep layers of laterorostral entorhinal cortex</t>
  </si>
  <si>
    <t>&lt;http://purl.obolibrary.org/obo/DHBA_11398&gt;</t>
  </si>
  <si>
    <t>layer V of laterorostral entorhinal cortex</t>
  </si>
  <si>
    <t>&lt;http://purl.obolibrary.org/obo/DHBA_11399&gt;</t>
  </si>
  <si>
    <t>layer VI of laterorostral entorhinal cortex</t>
  </si>
  <si>
    <t>&lt;http://purl.obolibrary.org/obo/DHBA_11400&gt;</t>
  </si>
  <si>
    <t>medial intermediate part of entorhinal cortex</t>
  </si>
  <si>
    <t>&lt;http://purl.obolibrary.org/obo/DHBA_11401&gt;</t>
  </si>
  <si>
    <t>superficial layers of medial intermediate entorhinal cortex</t>
  </si>
  <si>
    <t>&lt;http://purl.obolibrary.org/obo/DHBA_11402&gt;</t>
  </si>
  <si>
    <t>layer I of medial intermediate entorhinal cortex</t>
  </si>
  <si>
    <t>&lt;http://purl.obolibrary.org/obo/DHBA_11403&gt;</t>
  </si>
  <si>
    <t>layer II of medial intermediate entorhinal cortex</t>
  </si>
  <si>
    <t>&lt;http://purl.obolibrary.org/obo/DHBA_11404&gt;</t>
  </si>
  <si>
    <t>layer III of medial intermediate entorhinal cortex</t>
  </si>
  <si>
    <t>&lt;http://purl.obolibrary.org/obo/DHBA_11405&gt;</t>
  </si>
  <si>
    <t>layer IIIa of medial intermediate entorhinal cortex</t>
  </si>
  <si>
    <t>&lt;http://purl.obolibrary.org/obo/DHBA_11406&gt;</t>
  </si>
  <si>
    <t>layer IIIb of medial intermediate entorhinal cortex</t>
  </si>
  <si>
    <t>&lt;http://purl.obolibrary.org/obo/DHBA_11407&gt;</t>
  </si>
  <si>
    <t>lamina dissecans of medial intermediate entorhinal cortex</t>
  </si>
  <si>
    <t>&lt;http://purl.obolibrary.org/obo/DHBA_11408&gt;</t>
  </si>
  <si>
    <t>deep layers of medial intermediate entorhinal cortex</t>
  </si>
  <si>
    <t>&lt;http://purl.obolibrary.org/obo/DHBA_11409&gt;</t>
  </si>
  <si>
    <t>layer V of medial intermediate entorhinal cortex</t>
  </si>
  <si>
    <t>&lt;http://purl.obolibrary.org/obo/DHBA_11410&gt;</t>
  </si>
  <si>
    <t>layer VI of medial intermediate entorhinal cortex</t>
  </si>
  <si>
    <t>&lt;http://purl.obolibrary.org/obo/DHBA_11411&gt;</t>
  </si>
  <si>
    <t>lateral intermediate part of entorhinal cortex</t>
  </si>
  <si>
    <t>&lt;http://purl.obolibrary.org/obo/DHBA_11412&gt;</t>
  </si>
  <si>
    <t>superficial layers of lateral intermediate entorhinal cortex</t>
  </si>
  <si>
    <t>&lt;http://purl.obolibrary.org/obo/DHBA_11413&gt;</t>
  </si>
  <si>
    <t>layer I of lateral intermediate entorhinal cortex</t>
  </si>
  <si>
    <t>&lt;http://purl.obolibrary.org/obo/DHBA_11414&gt;</t>
  </si>
  <si>
    <t>layer II of lateral intermediate entorhinal cortex</t>
  </si>
  <si>
    <t>&lt;http://purl.obolibrary.org/obo/DHBA_11415&gt;</t>
  </si>
  <si>
    <t>layer III of lateral intermediate entorhinal cortex</t>
  </si>
  <si>
    <t>&lt;http://purl.obolibrary.org/obo/DHBA_11416&gt;</t>
  </si>
  <si>
    <t>layer IIIa of lateral intermediate entorhinal cortex</t>
  </si>
  <si>
    <t>&lt;http://purl.obolibrary.org/obo/DHBA_11417&gt;</t>
  </si>
  <si>
    <t>layer IIIb of lateral intermediate entorhinal cortex</t>
  </si>
  <si>
    <t>&lt;http://purl.obolibrary.org/obo/DHBA_11418&gt;</t>
  </si>
  <si>
    <t>lamina dissecans of lateral intermediate entorhinal cortex</t>
  </si>
  <si>
    <t>&lt;http://purl.obolibrary.org/obo/DHBA_11419&gt;</t>
  </si>
  <si>
    <t>deep layers of lateral intermediate entorhinal cortex</t>
  </si>
  <si>
    <t>&lt;http://purl.obolibrary.org/obo/DHBA_11420&gt;</t>
  </si>
  <si>
    <t>layer V of lateral intermediate entorhinal cortex</t>
  </si>
  <si>
    <t>&lt;http://purl.obolibrary.org/obo/DHBA_11421&gt;</t>
  </si>
  <si>
    <t>layer VI of lateral intermediate entorhinal cortex</t>
  </si>
  <si>
    <t>&lt;http://purl.obolibrary.org/obo/DHBA_11422&gt;</t>
  </si>
  <si>
    <t>caudal part of entorhinal cortex</t>
  </si>
  <si>
    <t>&lt;http://purl.obolibrary.org/obo/DHBA_11423&gt;</t>
  </si>
  <si>
    <t>superficial layers of caudal entorhinal cortex</t>
  </si>
  <si>
    <t>&lt;http://purl.obolibrary.org/obo/DHBA_11424&gt;</t>
  </si>
  <si>
    <t>layer I of caudal entorhinal cortex</t>
  </si>
  <si>
    <t>&lt;http://purl.obolibrary.org/obo/DHBA_11425&gt;</t>
  </si>
  <si>
    <t>layer II of caudal entorhinal cortex</t>
  </si>
  <si>
    <t>&lt;http://purl.obolibrary.org/obo/DHBA_11426&gt;</t>
  </si>
  <si>
    <t>layer III of caudal entorhinal cortex</t>
  </si>
  <si>
    <t>&lt;http://purl.obolibrary.org/obo/DHBA_11427&gt;</t>
  </si>
  <si>
    <t>layer IIIa of caudal entorhinal cortex</t>
  </si>
  <si>
    <t>&lt;http://purl.obolibrary.org/obo/DHBA_11428&gt;</t>
  </si>
  <si>
    <t>layer IIIb of caudal entorhinal cortex</t>
  </si>
  <si>
    <t>&lt;http://purl.obolibrary.org/obo/DHBA_11429&gt;</t>
  </si>
  <si>
    <t>lamina dissecans of caudal entorhinal cortex</t>
  </si>
  <si>
    <t>&lt;http://purl.obolibrary.org/obo/DHBA_11430&gt;</t>
  </si>
  <si>
    <t>deep layers of caudal entorhinal cortex</t>
  </si>
  <si>
    <t>&lt;http://purl.obolibrary.org/obo/DHBA_11431&gt;</t>
  </si>
  <si>
    <t>layer V of caudal entorhinal cortex</t>
  </si>
  <si>
    <t>&lt;http://purl.obolibrary.org/obo/DHBA_11432&gt;</t>
  </si>
  <si>
    <t>layer VI of caudal entorhinal cortex</t>
  </si>
  <si>
    <t>&lt;http://purl.obolibrary.org/obo/DHBA_11433&gt;</t>
  </si>
  <si>
    <t>caudal limiting part of entorhinal cortex</t>
  </si>
  <si>
    <t>&lt;http://purl.obolibrary.org/obo/DHBA_11434&gt;</t>
  </si>
  <si>
    <t>superficial layers of caudal limiting entorhinal cortex</t>
  </si>
  <si>
    <t>&lt;http://purl.obolibrary.org/obo/DHBA_11435&gt;</t>
  </si>
  <si>
    <t>layer I of caudal limiting entorhinal cortex</t>
  </si>
  <si>
    <t>&lt;http://purl.obolibrary.org/obo/DHBA_11436&gt;</t>
  </si>
  <si>
    <t>layer II of caudal limiting entorhinal cortex</t>
  </si>
  <si>
    <t>&lt;http://purl.obolibrary.org/obo/DHBA_11437&gt;</t>
  </si>
  <si>
    <t>layer III of caudal limiting entorhinal cortex</t>
  </si>
  <si>
    <t>&lt;http://purl.obolibrary.org/obo/DHBA_11438&gt;</t>
  </si>
  <si>
    <t>layer IIIa of caudal limiting entorhinal cortex</t>
  </si>
  <si>
    <t>&lt;http://purl.obolibrary.org/obo/DHBA_11439&gt;</t>
  </si>
  <si>
    <t>layer IIIb of caudal limiting entorhinal cortex</t>
  </si>
  <si>
    <t>&lt;http://purl.obolibrary.org/obo/DHBA_11440&gt;</t>
  </si>
  <si>
    <t>lamina dissecans of caudal limiting entorhinal cortex</t>
  </si>
  <si>
    <t>&lt;http://purl.obolibrary.org/obo/DHBA_11441&gt;</t>
  </si>
  <si>
    <t>deep layers of caudal limiting entorhinal cortex</t>
  </si>
  <si>
    <t>&lt;http://purl.obolibrary.org/obo/DHBA_11442&gt;</t>
  </si>
  <si>
    <t>layer V of caudal limiting entorhinal cortex</t>
  </si>
  <si>
    <t>&lt;http://purl.obolibrary.org/obo/DHBA_11443&gt;</t>
  </si>
  <si>
    <t>layer VI of caudal limiting entorhinal cortex</t>
  </si>
  <si>
    <t>&lt;http://purl.obolibrary.org/obo/DHBA_11444&gt;</t>
  </si>
  <si>
    <t>laterocaudal part of entorhinal cortex</t>
  </si>
  <si>
    <t>&lt;http://purl.obolibrary.org/obo/DHBA_11445&gt;</t>
  </si>
  <si>
    <t>superficial layers of laterocaudal entorhinal cortex</t>
  </si>
  <si>
    <t>&lt;http://purl.obolibrary.org/obo/DHBA_11446&gt;</t>
  </si>
  <si>
    <t>layer I of laterocaudal entorhinal cortex</t>
  </si>
  <si>
    <t>&lt;http://purl.obolibrary.org/obo/DHBA_11447&gt;</t>
  </si>
  <si>
    <t>layer II of laterocaudal entorhinal cortex</t>
  </si>
  <si>
    <t>&lt;http://purl.obolibrary.org/obo/DHBA_11448&gt;</t>
  </si>
  <si>
    <t>layer III of laterocaudal entorhinal cortex</t>
  </si>
  <si>
    <t>&lt;http://purl.obolibrary.org/obo/DHBA_11449&gt;</t>
  </si>
  <si>
    <t>layer IIIa of laterocaudal entorhinal cortex</t>
  </si>
  <si>
    <t>&lt;http://purl.obolibrary.org/obo/DHBA_11450&gt;</t>
  </si>
  <si>
    <t>layer IIIb of laterocaudal entorhinal cortex</t>
  </si>
  <si>
    <t>&lt;http://purl.obolibrary.org/obo/DHBA_11451&gt;</t>
  </si>
  <si>
    <t>deep layers of laterocaudal entorhinal cortex</t>
  </si>
  <si>
    <t>&lt;http://purl.obolibrary.org/obo/DHBA_11452&gt;</t>
  </si>
  <si>
    <t>layer V of laterocaudal entorhinal cortex</t>
  </si>
  <si>
    <t>&lt;http://purl.obolibrary.org/obo/DHBA_11453&gt;</t>
  </si>
  <si>
    <t>layer VI of laterocaudal entorhinal cortex</t>
  </si>
  <si>
    <t>&lt;http://purl.obolibrary.org/obo/DHBA_11454&gt;</t>
  </si>
  <si>
    <t>layer I of area 35r</t>
  </si>
  <si>
    <t>&lt;http://purl.obolibrary.org/obo/DHBA_11455&gt;</t>
  </si>
  <si>
    <t>layer II of area 35r</t>
  </si>
  <si>
    <t>&lt;http://purl.obolibrary.org/obo/DHBA_11456&gt;</t>
  </si>
  <si>
    <t>layer III of area 35r</t>
  </si>
  <si>
    <t>&lt;http://purl.obolibrary.org/obo/DHBA_11457&gt;</t>
  </si>
  <si>
    <t>layer IIIa of area 35r</t>
  </si>
  <si>
    <t>&lt;http://purl.obolibrary.org/obo/DHBA_11458&gt;</t>
  </si>
  <si>
    <t>layer IIIb of area 35r</t>
  </si>
  <si>
    <t>&lt;http://purl.obolibrary.org/obo/DHBA_11459&gt;</t>
  </si>
  <si>
    <t>layer IIIu of area 35r</t>
  </si>
  <si>
    <t>&lt;http://purl.obolibrary.org/obo/DHBA_11460&gt;</t>
  </si>
  <si>
    <t>layer V of area 35r</t>
  </si>
  <si>
    <t>&lt;http://purl.obolibrary.org/obo/DHBA_11461&gt;</t>
  </si>
  <si>
    <t>layer VI of area 35r</t>
  </si>
  <si>
    <t>&lt;http://purl.obolibrary.org/obo/DHBA_11462&gt;</t>
  </si>
  <si>
    <t>layer I of area 35c</t>
  </si>
  <si>
    <t>&lt;http://purl.obolibrary.org/obo/DHBA_11463&gt;</t>
  </si>
  <si>
    <t>layer II of area 35c</t>
  </si>
  <si>
    <t>&lt;http://purl.obolibrary.org/obo/DHBA_11464&gt;</t>
  </si>
  <si>
    <t>layer III of area 35c</t>
  </si>
  <si>
    <t>&lt;http://purl.obolibrary.org/obo/DHBA_11465&gt;</t>
  </si>
  <si>
    <t>layer IIIa of area 35c</t>
  </si>
  <si>
    <t>&lt;http://purl.obolibrary.org/obo/DHBA_11466&gt;</t>
  </si>
  <si>
    <t>layer IIIb of area 35c</t>
  </si>
  <si>
    <t>&lt;http://purl.obolibrary.org/obo/DHBA_11467&gt;</t>
  </si>
  <si>
    <t>layer IIIu of area 35c</t>
  </si>
  <si>
    <t>&lt;http://purl.obolibrary.org/obo/DHBA_11468&gt;</t>
  </si>
  <si>
    <t>layer V of area 35c</t>
  </si>
  <si>
    <t>&lt;http://purl.obolibrary.org/obo/DHBA_11469&gt;</t>
  </si>
  <si>
    <t>layer VI of area 35c</t>
  </si>
  <si>
    <t>&lt;http://purl.obolibrary.org/obo/DHBA_11470&gt;</t>
  </si>
  <si>
    <t>layer I of area 29</t>
  </si>
  <si>
    <t>&lt;http://purl.obolibrary.org/obo/DHBA_11476&gt;</t>
  </si>
  <si>
    <t>layer II of area 29</t>
  </si>
  <si>
    <t>&lt;http://purl.obolibrary.org/obo/DHBA_11477&gt;</t>
  </si>
  <si>
    <t>layer III of area 29</t>
  </si>
  <si>
    <t>&lt;http://purl.obolibrary.org/obo/DHBA_11478&gt;</t>
  </si>
  <si>
    <t>layer I of area 30</t>
  </si>
  <si>
    <t>&lt;http://purl.obolibrary.org/obo/DHBA_11481&gt;</t>
  </si>
  <si>
    <t>layer II of area 30</t>
  </si>
  <si>
    <t>&lt;http://purl.obolibrary.org/obo/DHBA_11482&gt;</t>
  </si>
  <si>
    <t>layer III of area 30</t>
  </si>
  <si>
    <t>&lt;http://purl.obolibrary.org/obo/DHBA_11483&gt;</t>
  </si>
  <si>
    <t>layer V of area 30</t>
  </si>
  <si>
    <t>&lt;http://purl.obolibrary.org/obo/DHBA_11484&gt;</t>
  </si>
  <si>
    <t>layer VI of area 30</t>
  </si>
  <si>
    <t>&lt;http://purl.obolibrary.org/obo/DHBA_11485&gt;</t>
  </si>
  <si>
    <t>layer I of area Iag</t>
  </si>
  <si>
    <t>&lt;http://purl.obolibrary.org/obo/DHBA_11486&gt;</t>
  </si>
  <si>
    <t>layer II of area Iag</t>
  </si>
  <si>
    <t>&lt;http://purl.obolibrary.org/obo/DHBA_11487&gt;</t>
  </si>
  <si>
    <t>layer III of area Iag</t>
  </si>
  <si>
    <t>&lt;http://purl.obolibrary.org/obo/DHBA_11488&gt;</t>
  </si>
  <si>
    <t>layer V of area Iag</t>
  </si>
  <si>
    <t>&lt;http://purl.obolibrary.org/obo/DHBA_11489&gt;</t>
  </si>
  <si>
    <t>layer VI of area Iag</t>
  </si>
  <si>
    <t>&lt;http://purl.obolibrary.org/obo/DHBA_11490&gt;</t>
  </si>
  <si>
    <t>layer I of area FI</t>
  </si>
  <si>
    <t>&lt;http://purl.obolibrary.org/obo/DHBA_11491&gt;</t>
  </si>
  <si>
    <t>layer II of area FI</t>
  </si>
  <si>
    <t>&lt;http://purl.obolibrary.org/obo/DHBA_11492&gt;</t>
  </si>
  <si>
    <t>layer III of area FI</t>
  </si>
  <si>
    <t>&lt;http://purl.obolibrary.org/obo/DHBA_11493&gt;</t>
  </si>
  <si>
    <t>layer V of area FI</t>
  </si>
  <si>
    <t>&lt;http://purl.obolibrary.org/obo/DHBA_11494&gt;</t>
  </si>
  <si>
    <t>layer VI of area FI</t>
  </si>
  <si>
    <t>&lt;http://purl.obolibrary.org/obo/DHBA_11495&gt;</t>
  </si>
  <si>
    <t>layer I of area TI</t>
  </si>
  <si>
    <t>&lt;http://purl.obolibrary.org/obo/DHBA_11496&gt;</t>
  </si>
  <si>
    <t>layer II of area TI</t>
  </si>
  <si>
    <t>&lt;http://purl.obolibrary.org/obo/DHBA_11497&gt;</t>
  </si>
  <si>
    <t>layer III of area TI</t>
  </si>
  <si>
    <t>&lt;http://purl.obolibrary.org/obo/DHBA_11498&gt;</t>
  </si>
  <si>
    <t>layer V of area TI</t>
  </si>
  <si>
    <t>&lt;http://purl.obolibrary.org/obo/DHBA_11499&gt;</t>
  </si>
  <si>
    <t>layer VI of area TI</t>
  </si>
  <si>
    <t>&lt;http://purl.obolibrary.org/obo/DHBA_11500&gt;</t>
  </si>
  <si>
    <t>dorsal part of CEm</t>
  </si>
  <si>
    <t>&lt;http://purl.obolibrary.org/obo/DHBA_11501&gt;</t>
  </si>
  <si>
    <t>ventral part of CEm</t>
  </si>
  <si>
    <t>&lt;http://purl.obolibrary.org/obo/DHBA_11502&gt;</t>
  </si>
  <si>
    <t>apical part of CEl</t>
  </si>
  <si>
    <t>&lt;http://purl.obolibrary.org/obo/DHBA_11503&gt;</t>
  </si>
  <si>
    <t>capsular part of CEl</t>
  </si>
  <si>
    <t>&lt;http://purl.obolibrary.org/obo/DHBA_11504&gt;</t>
  </si>
  <si>
    <t>paracapsular part of CEl</t>
  </si>
  <si>
    <t>&lt;http://purl.obolibrary.org/obo/DHBA_11505&gt;</t>
  </si>
  <si>
    <t>central part of CEl</t>
  </si>
  <si>
    <t>&lt;http://purl.obolibrary.org/obo/DHBA_11506&gt;</t>
  </si>
  <si>
    <t>dorsal division of lateral nucleus</t>
  </si>
  <si>
    <t>&lt;http://purl.obolibrary.org/obo/DHBA_11507&gt;</t>
  </si>
  <si>
    <t>dorsal rostral subdivision of lateral nucleus</t>
  </si>
  <si>
    <t>&lt;http://purl.obolibrary.org/obo/DHBA_11508&gt;</t>
  </si>
  <si>
    <t>dorsal lateral subdivision of lateral nucleus</t>
  </si>
  <si>
    <t>&lt;http://purl.obolibrary.org/obo/DHBA_11509&gt;</t>
  </si>
  <si>
    <t>comb-like part of LaDl</t>
  </si>
  <si>
    <t>&lt;http://purl.obolibrary.org/obo/DHBA_11510&gt;</t>
  </si>
  <si>
    <t>dorsal medial subdivision of lateral nucleus</t>
  </si>
  <si>
    <t>&lt;http://purl.obolibrary.org/obo/DHBA_11511&gt;</t>
  </si>
  <si>
    <t>intermediate division of lateral nucleus</t>
  </si>
  <si>
    <t>&lt;http://purl.obolibrary.org/obo/DHBA_11512&gt;</t>
  </si>
  <si>
    <t>ventral division of lateral nucleus</t>
  </si>
  <si>
    <t>&lt;http://purl.obolibrary.org/obo/DHBA_11513&gt;</t>
  </si>
  <si>
    <t>ventral lateral subdivision of lateral nucleus</t>
  </si>
  <si>
    <t>&lt;http://purl.obolibrary.org/obo/DHBA_11514&gt;</t>
  </si>
  <si>
    <t>ventral medial subdivision of lateral nucleus</t>
  </si>
  <si>
    <t>&lt;http://purl.obolibrary.org/obo/DHBA_11515&gt;</t>
  </si>
  <si>
    <t>dorsal (magnocellular) division of basolateral nucleus</t>
  </si>
  <si>
    <t>&lt;http://purl.obolibrary.org/obo/DHBA_11516&gt;</t>
  </si>
  <si>
    <t>dorsal lateral subdivision of basolateral nucleus</t>
  </si>
  <si>
    <t>&lt;http://purl.obolibrary.org/obo/DHBA_11517&gt;</t>
  </si>
  <si>
    <t>intermediate division of basolateral nucleus</t>
  </si>
  <si>
    <t>&lt;http://purl.obolibrary.org/obo/DHBA_11518&gt;</t>
  </si>
  <si>
    <t>ventral (parvicellular) division of basolateral nucleus</t>
  </si>
  <si>
    <t>&lt;http://purl.obolibrary.org/obo/DHBA_11519&gt;</t>
  </si>
  <si>
    <t>ventral lateral subdivision of basolateral nucleus</t>
  </si>
  <si>
    <t>&lt;http://purl.obolibrary.org/obo/DHBA_11520&gt;</t>
  </si>
  <si>
    <t>ventral medial subdivision of basolateral nucleus</t>
  </si>
  <si>
    <t>&lt;http://purl.obolibrary.org/obo/DHBA_11521&gt;</t>
  </si>
  <si>
    <t>dorsal division of basomedial nucleus</t>
  </si>
  <si>
    <t>&lt;http://purl.obolibrary.org/obo/DHBA_11522&gt;</t>
  </si>
  <si>
    <t>dorsolateral subdivision of basomedial nucleus</t>
  </si>
  <si>
    <t>&lt;http://purl.obolibrary.org/obo/DHBA_11523&gt;</t>
  </si>
  <si>
    <t>dorsomedial (magnocellular) subdivsion of basomedial nucleus</t>
  </si>
  <si>
    <t>&lt;http://purl.obolibrary.org/obo/DHBA_11524&gt;</t>
  </si>
  <si>
    <t>ventral division of basomedial nucleus</t>
  </si>
  <si>
    <t>&lt;http://purl.obolibrary.org/obo/DHBA_11525&gt;</t>
  </si>
  <si>
    <t>ventrolateral (parvocellular) subdivsion of basomedial nucleus</t>
  </si>
  <si>
    <t>&lt;http://purl.obolibrary.org/obo/DHBA_11526&gt;</t>
  </si>
  <si>
    <t>ventromedial  subdivsion of basomedial nucleus</t>
  </si>
  <si>
    <t>&lt;http://purl.obolibrary.org/obo/DHBA_11527&gt;</t>
  </si>
  <si>
    <t>dorsal subdivision of CoA</t>
  </si>
  <si>
    <t>&lt;http://purl.obolibrary.org/obo/DHBA_11528&gt;</t>
  </si>
  <si>
    <t>ventral subdivision of CoA</t>
  </si>
  <si>
    <t>&lt;http://purl.obolibrary.org/obo/DHBA_11529&gt;</t>
  </si>
  <si>
    <t>rostral subdivision of medial nucleus</t>
  </si>
  <si>
    <t>&lt;http://purl.obolibrary.org/obo/DHBA_11530&gt;</t>
  </si>
  <si>
    <t>caudal subdivision of medial nucleus</t>
  </si>
  <si>
    <t>&lt;http://purl.obolibrary.org/obo/DHBA_11531&gt;</t>
  </si>
  <si>
    <t>dorsal part of caudal medial nucleus</t>
  </si>
  <si>
    <t>&lt;http://purl.obolibrary.org/obo/DHBA_11532&gt;</t>
  </si>
  <si>
    <t>ventral part of caudal medial nucleus</t>
  </si>
  <si>
    <t>&lt;http://purl.obolibrary.org/obo/DHBA_11533&gt;</t>
  </si>
  <si>
    <t>rostral pole of caudate head</t>
  </si>
  <si>
    <t>&lt;http://purl.obolibrary.org/obo/DHBA_11534&gt;</t>
  </si>
  <si>
    <t>dorsolateral part of caudate head</t>
  </si>
  <si>
    <t>&lt;http://purl.obolibrary.org/obo/DHBA_11535&gt;</t>
  </si>
  <si>
    <t>ventromedial part of caudate head</t>
  </si>
  <si>
    <t>&lt;http://purl.obolibrary.org/obo/DHBA_11536&gt;</t>
  </si>
  <si>
    <t>rostral putamen</t>
  </si>
  <si>
    <t>&lt;http://purl.obolibrary.org/obo/DHBA_11537&gt;</t>
  </si>
  <si>
    <t>caudal putamen</t>
  </si>
  <si>
    <t>&lt;http://purl.obolibrary.org/obo/DHBA_11538&gt;</t>
  </si>
  <si>
    <t>laterodorsal part of putamen</t>
  </si>
  <si>
    <t>&lt;http://purl.obolibrary.org/obo/DHBA_11539&gt;</t>
  </si>
  <si>
    <t>intermediate part of putamen</t>
  </si>
  <si>
    <t>&lt;http://purl.obolibrary.org/obo/DHBA_11540&gt;</t>
  </si>
  <si>
    <t>medioventral part of putamen</t>
  </si>
  <si>
    <t>&lt;http://purl.obolibrary.org/obo/DHBA_11541&gt;</t>
  </si>
  <si>
    <t>marginal subdivision (cell groups) of putamen</t>
  </si>
  <si>
    <t>&lt;http://purl.obolibrary.org/obo/DHBA_11542&gt;</t>
  </si>
  <si>
    <t>lateral portion of the core</t>
  </si>
  <si>
    <t>&lt;http://purl.obolibrary.org/obo/DHBA_11543&gt;</t>
  </si>
  <si>
    <t>medial portion of the core</t>
  </si>
  <si>
    <t>&lt;http://purl.obolibrary.org/obo/DHBA_11544&gt;</t>
  </si>
  <si>
    <t>lateral portion of the shell</t>
  </si>
  <si>
    <t>&lt;http://purl.obolibrary.org/obo/DHBA_11545&gt;</t>
  </si>
  <si>
    <t>intermediate portion of the shell</t>
  </si>
  <si>
    <t>&lt;http://purl.obolibrary.org/obo/DHBA_11546&gt;</t>
  </si>
  <si>
    <t>medial portion of the shell</t>
  </si>
  <si>
    <t>&lt;http://purl.obolibrary.org/obo/DHBA_11547&gt;</t>
  </si>
  <si>
    <t>central portion of GPi</t>
  </si>
  <si>
    <t>&lt;http://purl.obolibrary.org/obo/DHBA_11548&gt;</t>
  </si>
  <si>
    <t>peripheral portion of GPi</t>
  </si>
  <si>
    <t>&lt;http://purl.obolibrary.org/obo/DHBA_11549&gt;</t>
  </si>
  <si>
    <t>dorsal division of lateral septal nucleus</t>
  </si>
  <si>
    <t>&lt;http://purl.obolibrary.org/obo/DHBA_11550&gt;</t>
  </si>
  <si>
    <t>intermediate division of lateral septal nucleus</t>
  </si>
  <si>
    <t>&lt;http://purl.obolibrary.org/obo/DHBA_11551&gt;</t>
  </si>
  <si>
    <t>ventral division of lateral septal nucleus</t>
  </si>
  <si>
    <t>&lt;http://purl.obolibrary.org/obo/DHBA_11552&gt;</t>
  </si>
  <si>
    <t>lateral cell groups of basal nucleus</t>
  </si>
  <si>
    <t>&lt;http://purl.obolibrary.org/obo/DHBA_11553&gt;</t>
  </si>
  <si>
    <t>medial cell groups of basal nucleus</t>
  </si>
  <si>
    <t>&lt;http://purl.obolibrary.org/obo/DHBA_11554&gt;</t>
  </si>
  <si>
    <t>rostral subdivision of BNSTm</t>
  </si>
  <si>
    <t>&lt;http://purl.obolibrary.org/obo/DHBA_11555&gt;</t>
  </si>
  <si>
    <t>caudal subdivision of BNSTm</t>
  </si>
  <si>
    <t>&lt;http://purl.obolibrary.org/obo/DHBA_11556&gt;</t>
  </si>
  <si>
    <t>lateral subdivision of BNSTmc</t>
  </si>
  <si>
    <t>&lt;http://purl.obolibrary.org/obo/DHBA_11557&gt;</t>
  </si>
  <si>
    <t>medial subdivision of BNSTmc</t>
  </si>
  <si>
    <t>&lt;http://purl.obolibrary.org/obo/DHBA_11559&gt;</t>
  </si>
  <si>
    <t>juxtacapsular subdivision of BNSTl</t>
  </si>
  <si>
    <t>&lt;http://purl.obolibrary.org/obo/DHBA_11561&gt;</t>
  </si>
  <si>
    <t>dorsal subdivision of BNSTl</t>
  </si>
  <si>
    <t>&lt;http://purl.obolibrary.org/obo/DHBA_11562&gt;</t>
  </si>
  <si>
    <t>ventral subdivision of BNSTl</t>
  </si>
  <si>
    <t>&lt;http://purl.obolibrary.org/obo/DHBA_11563&gt;</t>
  </si>
  <si>
    <t>caudal subdivision of BNSTl</t>
  </si>
  <si>
    <t>&lt;http://purl.obolibrary.org/obo/DHBA_11564&gt;</t>
  </si>
  <si>
    <t>supracapsular division of BNST</t>
  </si>
  <si>
    <t>&lt;http://purl.obolibrary.org/obo/DHBA_11565&gt;</t>
  </si>
  <si>
    <t>lateral column of BNSTsc</t>
  </si>
  <si>
    <t>&lt;http://purl.obolibrary.org/obo/DHBA_11566&gt;</t>
  </si>
  <si>
    <t>medial column of BNSTsc</t>
  </si>
  <si>
    <t>&lt;http://purl.obolibrary.org/obo/DHBA_11567&gt;</t>
  </si>
  <si>
    <t>intercalated nuclei of BNST</t>
  </si>
  <si>
    <t>&lt;http://purl.obolibrary.org/obo/DHBA_11568&gt;</t>
  </si>
  <si>
    <t>medial division of sublenticular extended amygdala</t>
  </si>
  <si>
    <t>&lt;http://purl.obolibrary.org/obo/DHBA_11569&gt;</t>
  </si>
  <si>
    <t>central division of sublenticular extended amygdala</t>
  </si>
  <si>
    <t>&lt;http://purl.obolibrary.org/obo/DHBA_11570&gt;</t>
  </si>
  <si>
    <t>CP in dorsomedial frontal cortex</t>
  </si>
  <si>
    <t>&lt;http://purl.obolibrary.org/obo/DHBA_11649&gt;</t>
  </si>
  <si>
    <t>outer CP in dorsomedial frontal cortex</t>
  </si>
  <si>
    <t>&lt;http://purl.obolibrary.org/obo/DHBA_11650&gt;</t>
  </si>
  <si>
    <t>inner CP in dorsomedial frontal cortex</t>
  </si>
  <si>
    <t>&lt;http://purl.obolibrary.org/obo/DHBA_11651&gt;</t>
  </si>
  <si>
    <t>CP in orbital frontal cortex</t>
  </si>
  <si>
    <t>&lt;http://purl.obolibrary.org/obo/DHBA_11652&gt;</t>
  </si>
  <si>
    <t>outer CP in orbital frontal cortex</t>
  </si>
  <si>
    <t>&lt;http://purl.obolibrary.org/obo/DHBA_11653&gt;</t>
  </si>
  <si>
    <t>inner CP in orbital frontal cortex</t>
  </si>
  <si>
    <t>&lt;http://purl.obolibrary.org/obo/DHBA_11654&gt;</t>
  </si>
  <si>
    <t>CP in posterior frontal cortex (motor cortex)</t>
  </si>
  <si>
    <t>&lt;http://purl.obolibrary.org/obo/DHBA_11655&gt;</t>
  </si>
  <si>
    <t>outer CP in posteror frontal cortex (motor cortex)</t>
  </si>
  <si>
    <t>&lt;http://purl.obolibrary.org/obo/DHBA_11656&gt;</t>
  </si>
  <si>
    <t>inner CP in posteror frontal cortex (motor cortex)</t>
  </si>
  <si>
    <t>&lt;http://purl.obolibrary.org/obo/DHBA_11657&gt;</t>
  </si>
  <si>
    <t>CP in dorsolateral prefrontal cortex</t>
  </si>
  <si>
    <t>&lt;http://purl.obolibrary.org/obo/DHBA_11658&gt;</t>
  </si>
  <si>
    <t>outer CP in dorsolateral prefrontal cortex</t>
  </si>
  <si>
    <t>&lt;http://purl.obolibrary.org/obo/DHBA_11659&gt;</t>
  </si>
  <si>
    <t>inner CP in dorsolateral prefrontal cortex</t>
  </si>
  <si>
    <t>&lt;http://purl.obolibrary.org/obo/DHBA_11660&gt;</t>
  </si>
  <si>
    <t>CP in ventrolateral prefrontal cortex</t>
  </si>
  <si>
    <t>&lt;http://purl.obolibrary.org/obo/DHBA_11661&gt;</t>
  </si>
  <si>
    <t>outer CP in ventrolateral prefrontal cortex</t>
  </si>
  <si>
    <t>&lt;http://purl.obolibrary.org/obo/DHBA_11662&gt;</t>
  </si>
  <si>
    <t>inner CP in ventrolateral prefrontal cortex</t>
  </si>
  <si>
    <t>&lt;http://purl.obolibrary.org/obo/DHBA_11663&gt;</t>
  </si>
  <si>
    <t>CP in frontal polar cortex</t>
  </si>
  <si>
    <t>&lt;http://purl.obolibrary.org/obo/DHBA_11664&gt;</t>
  </si>
  <si>
    <t>outer CP in frontal polar cortex</t>
  </si>
  <si>
    <t>&lt;http://purl.obolibrary.org/obo/DHBA_11665&gt;</t>
  </si>
  <si>
    <t>inner CP in frontal polar cortex</t>
  </si>
  <si>
    <t>&lt;http://purl.obolibrary.org/obo/DHBA_11666&gt;</t>
  </si>
  <si>
    <t>CP in primary visual cortex</t>
  </si>
  <si>
    <t>&lt;http://purl.obolibrary.org/obo/DHBA_11667&gt;</t>
  </si>
  <si>
    <t>outer CP in primary visual cortex</t>
  </si>
  <si>
    <t>&lt;http://purl.obolibrary.org/obo/DHBA_11668&gt;</t>
  </si>
  <si>
    <t>inner CP in primary visual cortex</t>
  </si>
  <si>
    <t>&lt;http://purl.obolibrary.org/obo/DHBA_11669&gt;</t>
  </si>
  <si>
    <t>CP in dorsomedial extrastriate cortex (V2)</t>
  </si>
  <si>
    <t>&lt;http://purl.obolibrary.org/obo/DHBA_11670&gt;</t>
  </si>
  <si>
    <t>outer CP in dorsomedial extrastriate cortex</t>
  </si>
  <si>
    <t>&lt;http://purl.obolibrary.org/obo/DHBA_11671&gt;</t>
  </si>
  <si>
    <t>inner CP in dorsomedial extrastriate cortex</t>
  </si>
  <si>
    <t>&lt;http://purl.obolibrary.org/obo/DHBA_11672&gt;</t>
  </si>
  <si>
    <t>CP in ventromedial extrastriate cortex (VP)</t>
  </si>
  <si>
    <t>&lt;http://purl.obolibrary.org/obo/DHBA_11673&gt;</t>
  </si>
  <si>
    <t>outer CP in ventromedial extrastriate cortex</t>
  </si>
  <si>
    <t>&lt;http://purl.obolibrary.org/obo/DHBA_11674&gt;</t>
  </si>
  <si>
    <t>inner CP in ventromedial extrastriate cortex</t>
  </si>
  <si>
    <t>&lt;http://purl.obolibrary.org/obo/DHBA_11675&gt;</t>
  </si>
  <si>
    <t>CP in midlateral extrastriate cortex (area 19)</t>
  </si>
  <si>
    <t>&lt;http://purl.obolibrary.org/obo/DHBA_11676&gt;</t>
  </si>
  <si>
    <t>outer CP in midlateral extrastriate cortex</t>
  </si>
  <si>
    <t>&lt;http://purl.obolibrary.org/obo/DHBA_11677&gt;</t>
  </si>
  <si>
    <t>inner CP in midlateral extrastriate cortex</t>
  </si>
  <si>
    <t>&lt;http://purl.obolibrary.org/obo/DHBA_11678&gt;</t>
  </si>
  <si>
    <t>CP in primary somatosensory cortex</t>
  </si>
  <si>
    <t>&lt;http://purl.obolibrary.org/obo/DHBA_11679&gt;</t>
  </si>
  <si>
    <t>outer CP in primary somatosensory cortex</t>
  </si>
  <si>
    <t>&lt;http://purl.obolibrary.org/obo/DHBA_11680&gt;</t>
  </si>
  <si>
    <t>inner CP in primary somatosensory cortex</t>
  </si>
  <si>
    <t>&lt;http://purl.obolibrary.org/obo/DHBA_11681&gt;</t>
  </si>
  <si>
    <t>CP in posterosuperior (dorsal) parietal cortex</t>
  </si>
  <si>
    <t>&lt;http://purl.obolibrary.org/obo/DHBA_11682&gt;</t>
  </si>
  <si>
    <t>outer CP in posterosuperior (dorsal) parietal cortex</t>
  </si>
  <si>
    <t>&lt;http://purl.obolibrary.org/obo/DHBA_11683&gt;</t>
  </si>
  <si>
    <t>inner CP in posterosuperior (dorsal) parietal cortex</t>
  </si>
  <si>
    <t>&lt;http://purl.obolibrary.org/obo/DHBA_11684&gt;</t>
  </si>
  <si>
    <t>CP in posteroinferior (ventral) parietal cortex</t>
  </si>
  <si>
    <t>&lt;http://purl.obolibrary.org/obo/DHBA_11685&gt;</t>
  </si>
  <si>
    <t>outer CP in posteroinferior (ventral) parietal cortex</t>
  </si>
  <si>
    <t>&lt;http://purl.obolibrary.org/obo/DHBA_11686&gt;</t>
  </si>
  <si>
    <t>inner CP in posteroinferior (ventral) parietal cortex</t>
  </si>
  <si>
    <t>&lt;http://purl.obolibrary.org/obo/DHBA_11687&gt;</t>
  </si>
  <si>
    <t>CP in dorsomedial parietal cortex (area 7m)</t>
  </si>
  <si>
    <t>&lt;http://purl.obolibrary.org/obo/DHBA_11688&gt;</t>
  </si>
  <si>
    <t>outer CP in dorsomedial parietal cortex (area 7m)</t>
  </si>
  <si>
    <t>&lt;http://purl.obolibrary.org/obo/DHBA_11689&gt;</t>
  </si>
  <si>
    <t>inner CP in dorsomedial parietal cortex (area 7m)</t>
  </si>
  <si>
    <t>&lt;http://purl.obolibrary.org/obo/DHBA_11690&gt;</t>
  </si>
  <si>
    <t>CP in primary auditory cortex</t>
  </si>
  <si>
    <t>&lt;http://purl.obolibrary.org/obo/DHBA_11691&gt;</t>
  </si>
  <si>
    <t>outer CP in primary auditory cortex</t>
  </si>
  <si>
    <t>&lt;http://purl.obolibrary.org/obo/DHBA_11692&gt;</t>
  </si>
  <si>
    <t>inner CP in primary auditory cortex</t>
  </si>
  <si>
    <t>&lt;http://purl.obolibrary.org/obo/DHBA_11693&gt;</t>
  </si>
  <si>
    <t>CP in superolateral temporal cortex</t>
  </si>
  <si>
    <t>&lt;http://purl.obolibrary.org/obo/DHBA_11694&gt;</t>
  </si>
  <si>
    <t>outer CP in superolateral temporal cortex</t>
  </si>
  <si>
    <t>&lt;http://purl.obolibrary.org/obo/DHBA_11695&gt;</t>
  </si>
  <si>
    <t>inner CP in superolateral temporal cortex</t>
  </si>
  <si>
    <t>&lt;http://purl.obolibrary.org/obo/DHBA_11696&gt;</t>
  </si>
  <si>
    <t>CP in inferolateral temporal cortex</t>
  </si>
  <si>
    <t>&lt;http://purl.obolibrary.org/obo/DHBA_11697&gt;</t>
  </si>
  <si>
    <t>outer CP in inferolateral temporal cortex</t>
  </si>
  <si>
    <t>&lt;http://purl.obolibrary.org/obo/DHBA_11698&gt;</t>
  </si>
  <si>
    <t>inner CP in inferolateral temporal cortex</t>
  </si>
  <si>
    <t>&lt;http://purl.obolibrary.org/obo/DHBA_11699&gt;</t>
  </si>
  <si>
    <t>CP in midinferior temporal cortex</t>
  </si>
  <si>
    <t>&lt;http://purl.obolibrary.org/obo/DHBA_11700&gt;</t>
  </si>
  <si>
    <t>outer CP in midinferior temporal cortex</t>
  </si>
  <si>
    <t>&lt;http://purl.obolibrary.org/obo/DHBA_11701&gt;</t>
  </si>
  <si>
    <t>inner CP in midinferior temporal cortex</t>
  </si>
  <si>
    <t>&lt;http://purl.obolibrary.org/obo/DHBA_11702&gt;</t>
  </si>
  <si>
    <t>CP in posterior parahippocampal cortex</t>
  </si>
  <si>
    <t>&lt;http://purl.obolibrary.org/obo/DHBA_11703&gt;</t>
  </si>
  <si>
    <t>outer CP in posterior parahippocampal cortex</t>
  </si>
  <si>
    <t>&lt;http://purl.obolibrary.org/obo/DHBA_11704&gt;</t>
  </si>
  <si>
    <t>inner CP in posterior parahippocampal cortex</t>
  </si>
  <si>
    <t>&lt;http://purl.obolibrary.org/obo/DHBA_11705&gt;</t>
  </si>
  <si>
    <t>CP in medial temporal-occipital cortex</t>
  </si>
  <si>
    <t>&lt;http://purl.obolibrary.org/obo/DHBA_11706&gt;</t>
  </si>
  <si>
    <t>outer CP in medial temporal-occipital cortex</t>
  </si>
  <si>
    <t>&lt;http://purl.obolibrary.org/obo/DHBA_11707&gt;</t>
  </si>
  <si>
    <t>inner CP in medial temporal-occipital cortex</t>
  </si>
  <si>
    <t>&lt;http://purl.obolibrary.org/obo/DHBA_11708&gt;</t>
  </si>
  <si>
    <t>CP in lateral temporal-occipital cortex</t>
  </si>
  <si>
    <t>&lt;http://purl.obolibrary.org/obo/DHBA_11709&gt;</t>
  </si>
  <si>
    <t>outer CP in lateral temporal-occipital cortex</t>
  </si>
  <si>
    <t>&lt;http://purl.obolibrary.org/obo/DHBA_11710&gt;</t>
  </si>
  <si>
    <t>inner CP in lateral temporal-occipital cortex</t>
  </si>
  <si>
    <t>&lt;http://purl.obolibrary.org/obo/DHBA_11711&gt;</t>
  </si>
  <si>
    <t>CP in temporal polar cortex</t>
  </si>
  <si>
    <t>&lt;http://purl.obolibrary.org/obo/DHBA_11712&gt;</t>
  </si>
  <si>
    <t>outer CP in temporal polar cortex</t>
  </si>
  <si>
    <t>&lt;http://purl.obolibrary.org/obo/DHBA_11713&gt;</t>
  </si>
  <si>
    <t>inner CP in temporal polar cortex</t>
  </si>
  <si>
    <t>&lt;http://purl.obolibrary.org/obo/DHBA_11714&gt;</t>
  </si>
  <si>
    <t>CP in cingulate neocortex</t>
  </si>
  <si>
    <t>&lt;http://purl.obolibrary.org/obo/DHBA_11715&gt;</t>
  </si>
  <si>
    <t>CP in rostral cingulate cortex</t>
  </si>
  <si>
    <t>&lt;http://purl.obolibrary.org/obo/DHBA_11716&gt;</t>
  </si>
  <si>
    <t>outer CP in rostral cingulate cortex</t>
  </si>
  <si>
    <t>&lt;http://purl.obolibrary.org/obo/DHBA_11717&gt;</t>
  </si>
  <si>
    <t>inner CP in rostral cingulate cortex</t>
  </si>
  <si>
    <t>&lt;http://purl.obolibrary.org/obo/DHBA_11718&gt;</t>
  </si>
  <si>
    <t>CP in midcingulate cortex</t>
  </si>
  <si>
    <t>&lt;http://purl.obolibrary.org/obo/DHBA_11719&gt;</t>
  </si>
  <si>
    <t>outer CP in midcingulate cortex</t>
  </si>
  <si>
    <t>&lt;http://purl.obolibrary.org/obo/DHBA_11720&gt;</t>
  </si>
  <si>
    <t>inner CP in midcingulate cortex</t>
  </si>
  <si>
    <t>&lt;http://purl.obolibrary.org/obo/DHBA_11721&gt;</t>
  </si>
  <si>
    <t>CP in caudal cingulate cortex</t>
  </si>
  <si>
    <t>&lt;http://purl.obolibrary.org/obo/DHBA_11722&gt;</t>
  </si>
  <si>
    <t>outer CP in caudal cingulate cortex</t>
  </si>
  <si>
    <t>&lt;http://purl.obolibrary.org/obo/DHBA_11723&gt;</t>
  </si>
  <si>
    <t>inner CP in caudal cingulate cortex</t>
  </si>
  <si>
    <t>&lt;http://purl.obolibrary.org/obo/DHBA_11724&gt;</t>
  </si>
  <si>
    <t>CP in subgenual (subcallosal) cingulate cortex</t>
  </si>
  <si>
    <t>&lt;http://purl.obolibrary.org/obo/DHBA_11725&gt;</t>
  </si>
  <si>
    <t>outer CP in subgenual (subcallosal) cingulate cortex</t>
  </si>
  <si>
    <t>&lt;http://purl.obolibrary.org/obo/DHBA_11726&gt;</t>
  </si>
  <si>
    <t>inner CP in subgenual (subcallosal) cingulate cortex</t>
  </si>
  <si>
    <t>&lt;http://purl.obolibrary.org/obo/DHBA_11727&gt;</t>
  </si>
  <si>
    <t>CP in insular neocortex</t>
  </si>
  <si>
    <t>&lt;http://purl.obolibrary.org/obo/DHBA_11728&gt;</t>
  </si>
  <si>
    <t>CP in dysgranular insular cortex</t>
  </si>
  <si>
    <t>&lt;http://purl.obolibrary.org/obo/DHBA_11729&gt;</t>
  </si>
  <si>
    <t>outer CP in dysgranular insular cortex</t>
  </si>
  <si>
    <t>&lt;http://purl.obolibrary.org/obo/DHBA_11730&gt;</t>
  </si>
  <si>
    <t>inner CP in dysgranular insular cortex</t>
  </si>
  <si>
    <t>&lt;http://purl.obolibrary.org/obo/DHBA_11731&gt;</t>
  </si>
  <si>
    <t>CP in granualr insular cortex</t>
  </si>
  <si>
    <t>&lt;http://purl.obolibrary.org/obo/DHBA_11732&gt;</t>
  </si>
  <si>
    <t>outer CP in granular insular cortex</t>
  </si>
  <si>
    <t>&lt;http://purl.obolibrary.org/obo/DHBA_11733&gt;</t>
  </si>
  <si>
    <t>inner CP in granular insular cortex</t>
  </si>
  <si>
    <t>&lt;http://purl.obolibrary.org/obo/DHBA_11734&gt;</t>
  </si>
  <si>
    <t>CP in hippocampal proper</t>
  </si>
  <si>
    <t>&lt;http://purl.obolibrary.org/obo/DHBA_11735&gt;</t>
  </si>
  <si>
    <t>CP in rostral hippocampus</t>
  </si>
  <si>
    <t>&lt;http://purl.obolibrary.org/obo/DHBA_11736&gt;</t>
  </si>
  <si>
    <t>CP in caudal hippocampus</t>
  </si>
  <si>
    <t>&lt;http://purl.obolibrary.org/obo/DHBA_11737&gt;</t>
  </si>
  <si>
    <t>CP in subicular cortex</t>
  </si>
  <si>
    <t>&lt;http://purl.obolibrary.org/obo/DHBA_11738&gt;</t>
  </si>
  <si>
    <t>CP in rostral subicular cortex</t>
  </si>
  <si>
    <t>&lt;http://purl.obolibrary.org/obo/DHBA_11739&gt;</t>
  </si>
  <si>
    <t>CP in caudal subicular cortex</t>
  </si>
  <si>
    <t>&lt;http://purl.obolibrary.org/obo/DHBA_11740&gt;</t>
  </si>
  <si>
    <t>CP in presubicular cortex</t>
  </si>
  <si>
    <t>&lt;http://purl.obolibrary.org/obo/DHBA_11741&gt;</t>
  </si>
  <si>
    <t>CP in entorhinal cortex</t>
  </si>
  <si>
    <t>&lt;http://purl.obolibrary.org/obo/DHBA_11742&gt;</t>
  </si>
  <si>
    <t>CP in olfactory entorhinal cortex</t>
  </si>
  <si>
    <t>&lt;http://purl.obolibrary.org/obo/DHBA_11743&gt;</t>
  </si>
  <si>
    <t>CP in rostral entorhinal cortex</t>
  </si>
  <si>
    <t>&lt;http://purl.obolibrary.org/obo/DHBA_11744&gt;</t>
  </si>
  <si>
    <t>CP in caudal entorhinal cortex</t>
  </si>
  <si>
    <t>&lt;http://purl.obolibrary.org/obo/DHBA_11745&gt;</t>
  </si>
  <si>
    <t>CP in perirhinal cortex</t>
  </si>
  <si>
    <t>&lt;http://purl.obolibrary.org/obo/DHBA_11746&gt;</t>
  </si>
  <si>
    <t>CP in rostral perirhinal cortex</t>
  </si>
  <si>
    <t>&lt;http://purl.obolibrary.org/obo/DHBA_11747&gt;</t>
  </si>
  <si>
    <t>outer CP in rostral perirhinal cortex</t>
  </si>
  <si>
    <t>&lt;http://purl.obolibrary.org/obo/DHBA_11748&gt;</t>
  </si>
  <si>
    <t>inner CP in rostral perirhinal cortex</t>
  </si>
  <si>
    <t>&lt;http://purl.obolibrary.org/obo/DHBA_11749&gt;</t>
  </si>
  <si>
    <t>CP in caudal perirhinal cortex</t>
  </si>
  <si>
    <t>&lt;http://purl.obolibrary.org/obo/DHBA_11750&gt;</t>
  </si>
  <si>
    <t>outer CP in caudal perirhinal cortex</t>
  </si>
  <si>
    <t>&lt;http://purl.obolibrary.org/obo/DHBA_11751&gt;</t>
  </si>
  <si>
    <t>inner CP in caudal perirhinal cortex</t>
  </si>
  <si>
    <t>&lt;http://purl.obolibrary.org/obo/DHBA_11752&gt;</t>
  </si>
  <si>
    <t>CP in retrosplenial cortex</t>
  </si>
  <si>
    <t>&lt;http://purl.obolibrary.org/obo/DHBA_11753&gt;</t>
  </si>
  <si>
    <t>outer CP in retrosplenial cortex</t>
  </si>
  <si>
    <t>&lt;http://purl.obolibrary.org/obo/DHBA_11754&gt;</t>
  </si>
  <si>
    <t>inner CP in retrosplenial cortex</t>
  </si>
  <si>
    <t>&lt;http://purl.obolibrary.org/obo/DHBA_11755&gt;</t>
  </si>
  <si>
    <t>SP in dorsomedial frontal cortex</t>
  </si>
  <si>
    <t>&lt;http://purl.obolibrary.org/obo/DHBA_11756&gt;</t>
  </si>
  <si>
    <t>SP in orbital frontal cortex</t>
  </si>
  <si>
    <t>&lt;http://purl.obolibrary.org/obo/DHBA_11757&gt;</t>
  </si>
  <si>
    <t>SP in posteror frontal cortex (motor cortex)</t>
  </si>
  <si>
    <t>&lt;http://purl.obolibrary.org/obo/DHBA_11758&gt;</t>
  </si>
  <si>
    <t>SP in dorsolateral prefrontal cortex</t>
  </si>
  <si>
    <t>&lt;http://purl.obolibrary.org/obo/DHBA_11759&gt;</t>
  </si>
  <si>
    <t>SP in ventrolateral prefrontal cortex</t>
  </si>
  <si>
    <t>&lt;http://purl.obolibrary.org/obo/DHBA_11760&gt;</t>
  </si>
  <si>
    <t>SP in frontal polar cortex</t>
  </si>
  <si>
    <t>&lt;http://purl.obolibrary.org/obo/DHBA_11761&gt;</t>
  </si>
  <si>
    <t>SP in primary visual cortex</t>
  </si>
  <si>
    <t>&lt;http://purl.obolibrary.org/obo/DHBA_11762&gt;</t>
  </si>
  <si>
    <t>SP in dorsomedial extrastriate cortex (V2)</t>
  </si>
  <si>
    <t>&lt;http://purl.obolibrary.org/obo/DHBA_11763&gt;</t>
  </si>
  <si>
    <t>SP in ventromedial extrastriate cortex (VP)</t>
  </si>
  <si>
    <t>&lt;http://purl.obolibrary.org/obo/DHBA_11764&gt;</t>
  </si>
  <si>
    <t>SP in midlateral extrastriate cortex (area 19)</t>
  </si>
  <si>
    <t>&lt;http://purl.obolibrary.org/obo/DHBA_11765&gt;</t>
  </si>
  <si>
    <t>SP in primary somatosensory cortex</t>
  </si>
  <si>
    <t>&lt;http://purl.obolibrary.org/obo/DHBA_11766&gt;</t>
  </si>
  <si>
    <t>SP in posterosuperior (dorsal) parietal cortex</t>
  </si>
  <si>
    <t>&lt;http://purl.obolibrary.org/obo/DHBA_11767&gt;</t>
  </si>
  <si>
    <t>SP in posteroinferior (ventral) parietal cortex</t>
  </si>
  <si>
    <t>&lt;http://purl.obolibrary.org/obo/DHBA_11768&gt;</t>
  </si>
  <si>
    <t>SP in dorsomedial parietal cortex (area 7m)</t>
  </si>
  <si>
    <t>&lt;http://purl.obolibrary.org/obo/DHBA_11769&gt;</t>
  </si>
  <si>
    <t>SP in primary auditory cortex</t>
  </si>
  <si>
    <t>&lt;http://purl.obolibrary.org/obo/DHBA_11770&gt;</t>
  </si>
  <si>
    <t>SP in superolateral temporal cortex</t>
  </si>
  <si>
    <t>&lt;http://purl.obolibrary.org/obo/DHBA_11771&gt;</t>
  </si>
  <si>
    <t>SP in inferolateral temporal cortex</t>
  </si>
  <si>
    <t>&lt;http://purl.obolibrary.org/obo/DHBA_11772&gt;</t>
  </si>
  <si>
    <t>SP in midinferior temporal cortex</t>
  </si>
  <si>
    <t>&lt;http://purl.obolibrary.org/obo/DHBA_11773&gt;</t>
  </si>
  <si>
    <t>SP in posterior parahippocampal cortex</t>
  </si>
  <si>
    <t>&lt;http://purl.obolibrary.org/obo/DHBA_11774&gt;</t>
  </si>
  <si>
    <t>SP in medial temporal-occipital cortex</t>
  </si>
  <si>
    <t>&lt;http://purl.obolibrary.org/obo/DHBA_11775&gt;</t>
  </si>
  <si>
    <t>SP in lateral temporal-occipital cortex</t>
  </si>
  <si>
    <t>&lt;http://purl.obolibrary.org/obo/DHBA_11776&gt;</t>
  </si>
  <si>
    <t>SP in temporal polar cortex</t>
  </si>
  <si>
    <t>&lt;http://purl.obolibrary.org/obo/DHBA_11777&gt;</t>
  </si>
  <si>
    <t>SP in cingulate neocortex</t>
  </si>
  <si>
    <t>&lt;http://purl.obolibrary.org/obo/DHBA_11778&gt;</t>
  </si>
  <si>
    <t>SP in rostral cingulate cortex</t>
  </si>
  <si>
    <t>&lt;http://purl.obolibrary.org/obo/DHBA_11779&gt;</t>
  </si>
  <si>
    <t>SP in midcingulate cortex</t>
  </si>
  <si>
    <t>&lt;http://purl.obolibrary.org/obo/DHBA_11780&gt;</t>
  </si>
  <si>
    <t>SP in caudal cingulate cortex</t>
  </si>
  <si>
    <t>&lt;http://purl.obolibrary.org/obo/DHBA_11781&gt;</t>
  </si>
  <si>
    <t>SP in subgenual (subcallosal) cingulate cortex</t>
  </si>
  <si>
    <t>&lt;http://purl.obolibrary.org/obo/DHBA_11782&gt;</t>
  </si>
  <si>
    <t>SP in insular neocortex</t>
  </si>
  <si>
    <t>&lt;http://purl.obolibrary.org/obo/DHBA_11783&gt;</t>
  </si>
  <si>
    <t>SP in dysgranular insular cortex</t>
  </si>
  <si>
    <t>&lt;http://purl.obolibrary.org/obo/DHBA_11784&gt;</t>
  </si>
  <si>
    <t>SP in granular insular cortex</t>
  </si>
  <si>
    <t>&lt;http://purl.obolibrary.org/obo/DHBA_11785&gt;</t>
  </si>
  <si>
    <t>SP in hippocampal proper</t>
  </si>
  <si>
    <t>&lt;http://purl.obolibrary.org/obo/DHBA_11786&gt;</t>
  </si>
  <si>
    <t>SP in subicular cortex</t>
  </si>
  <si>
    <t>&lt;http://purl.obolibrary.org/obo/DHBA_11787&gt;</t>
  </si>
  <si>
    <t>SP in presubicular cortex</t>
  </si>
  <si>
    <t>&lt;http://purl.obolibrary.org/obo/DHBA_11788&gt;</t>
  </si>
  <si>
    <t>SP in entorhinal cortex</t>
  </si>
  <si>
    <t>&lt;http://purl.obolibrary.org/obo/DHBA_11789&gt;</t>
  </si>
  <si>
    <t>SP in perirhinal cortex</t>
  </si>
  <si>
    <t>&lt;http://purl.obolibrary.org/obo/DHBA_11790&gt;</t>
  </si>
  <si>
    <t>SP in retrosplenial cortex</t>
  </si>
  <si>
    <t>&lt;http://purl.obolibrary.org/obo/DHBA_11791&gt;</t>
  </si>
  <si>
    <t>dorsal hippocampal commissure</t>
  </si>
  <si>
    <t>&lt;http://purl.obolibrary.org/obo/DHBA_12022&gt;</t>
  </si>
  <si>
    <t>ventral hippocampal commissure</t>
  </si>
  <si>
    <t>&lt;http://purl.obolibrary.org/obo/DHBA_12023&gt;</t>
  </si>
  <si>
    <t>prefrontopontine fibers</t>
  </si>
  <si>
    <t>&lt;http://purl.obolibrary.org/obo/DHBA_12042&gt;</t>
  </si>
  <si>
    <t>corticobulbar fibers</t>
  </si>
  <si>
    <t>&lt;http://purl.obolibrary.org/obo/DHBA_12044&gt;</t>
  </si>
  <si>
    <t>corticoreticular fibers</t>
  </si>
  <si>
    <t>&lt;http://purl.obolibrary.org/obo/DHBA_12045&gt;</t>
  </si>
  <si>
    <t>lenticulothalamic portion</t>
  </si>
  <si>
    <t>&lt;http://purl.obolibrary.org/obo/DHBA_12046&gt;</t>
  </si>
  <si>
    <t>corticospinal fibers</t>
  </si>
  <si>
    <t>&lt;http://purl.obolibrary.org/obo/DHBA_12047&gt;</t>
  </si>
  <si>
    <t>frontopontine fibers</t>
  </si>
  <si>
    <t>&lt;http://purl.obolibrary.org/obo/DHBA_12048&gt;</t>
  </si>
  <si>
    <t>superior thalamic radiation</t>
  </si>
  <si>
    <t>&lt;http://purl.obolibrary.org/obo/DHBA_12049&gt;</t>
  </si>
  <si>
    <t>corticorubral fibers</t>
  </si>
  <si>
    <t>&lt;http://purl.obolibrary.org/obo/DHBA_12051&gt;</t>
  </si>
  <si>
    <t>optic radiation (geniculocalcarine tract)</t>
  </si>
  <si>
    <t>&lt;http://purl.obolibrary.org/obo/DHBA_12054&gt;</t>
  </si>
  <si>
    <t>parietopontine fibers</t>
  </si>
  <si>
    <t>&lt;http://purl.obolibrary.org/obo/DHBA_12055&gt;</t>
  </si>
  <si>
    <t>occipitopontine fibers</t>
  </si>
  <si>
    <t>&lt;http://purl.obolibrary.org/obo/DHBA_12056&gt;</t>
  </si>
  <si>
    <t>occipitocollicular fibers</t>
  </si>
  <si>
    <t>&lt;http://purl.obolibrary.org/obo/DHBA_12057&gt;</t>
  </si>
  <si>
    <t>sublenticular portion</t>
  </si>
  <si>
    <t>&lt;http://purl.obolibrary.org/obo/DHBA_12058&gt;</t>
  </si>
  <si>
    <t>auditory radiation</t>
  </si>
  <si>
    <t>&lt;http://purl.obolibrary.org/obo/DHBA_12060&gt;</t>
  </si>
  <si>
    <t>temporopontine fibers</t>
  </si>
  <si>
    <t>&lt;http://purl.obolibrary.org/obo/DHBA_12061&gt;</t>
  </si>
  <si>
    <t>external sagittal stratum</t>
  </si>
  <si>
    <t>&lt;http://purl.obolibrary.org/obo/DHBA_12083&gt;</t>
  </si>
  <si>
    <t>internal sagittal stratum</t>
  </si>
  <si>
    <t>&lt;http://purl.obolibrary.org/obo/DHBA_12084&gt;</t>
  </si>
  <si>
    <t>lateral fissure, rostral ramus</t>
  </si>
  <si>
    <t>&lt;http://purl.obolibrary.org/obo/DHBA_12107&gt;</t>
  </si>
  <si>
    <t>lateral fissure, middle (ascending) ramus</t>
  </si>
  <si>
    <t>&lt;http://purl.obolibrary.org/obo/DHBA_12108&gt;</t>
  </si>
  <si>
    <t>lateral fissure, caudal ramus</t>
  </si>
  <si>
    <t>&lt;http://purl.obolibrary.org/obo/DHBA_12109&gt;</t>
  </si>
  <si>
    <t>gyrus rectus (straight gyrus)</t>
  </si>
  <si>
    <t>&lt;http://purl.obolibrary.org/obo/DHBA_12121&gt;</t>
  </si>
  <si>
    <t>anterior intermediate orbital gyrus</t>
  </si>
  <si>
    <t>&lt;http://purl.obolibrary.org/obo/DHBA_12123&gt;</t>
  </si>
  <si>
    <t>posterior intermediate orbital gyrus</t>
  </si>
  <si>
    <t>&lt;http://purl.obolibrary.org/obo/DHBA_12124&gt;</t>
  </si>
  <si>
    <t>paracentral lobule, rostral part</t>
  </si>
  <si>
    <t>&lt;http://purl.obolibrary.org/obo/DHBA_12126&gt;</t>
  </si>
  <si>
    <t>supraparietal lobule</t>
  </si>
  <si>
    <t>&lt;http://purl.obolibrary.org/obo/DHBA_12133&gt;</t>
  </si>
  <si>
    <t>paracentral lobule, caudal part</t>
  </si>
  <si>
    <t>&lt;http://purl.obolibrary.org/obo/DHBA_12138&gt;</t>
  </si>
  <si>
    <t>transverse temporal gyrus (Heschl's gyrus)</t>
  </si>
  <si>
    <t>&lt;http://purl.obolibrary.org/obo/DHBA_12144&gt;</t>
  </si>
  <si>
    <t>&lt;http://purl.obolibrary.org/obo/DHBA_12147&gt;</t>
  </si>
  <si>
    <t>cingulate gyrus, rostral (anterior) part</t>
  </si>
  <si>
    <t>&lt;http://purl.obolibrary.org/obo/DHBA_12157&gt;</t>
  </si>
  <si>
    <t>cingulate gyrus, caudal (posterior) part</t>
  </si>
  <si>
    <t>&lt;http://purl.obolibrary.org/obo/DHBA_12158&gt;</t>
  </si>
  <si>
    <t>cingulo-parahippocampal isthmus</t>
  </si>
  <si>
    <t>&lt;http://purl.obolibrary.org/obo/DHBA_12159&gt;</t>
  </si>
  <si>
    <t>subcallosal gyrus (parolfactory gyrus)</t>
  </si>
  <si>
    <t>&lt;http://purl.obolibrary.org/obo/DHBA_12160&gt;</t>
  </si>
  <si>
    <t>band of Giacomini</t>
  </si>
  <si>
    <t>&lt;http://purl.obolibrary.org/obo/DHBA_12167&gt;</t>
  </si>
  <si>
    <t>intralimbic gyrus</t>
  </si>
  <si>
    <t>&lt;http://purl.obolibrary.org/obo/DHBA_12168&gt;</t>
  </si>
  <si>
    <t>hippocampal gyrus (formation)</t>
  </si>
  <si>
    <t>&lt;http://purl.obolibrary.org/obo/DHBA_12170&gt;</t>
  </si>
  <si>
    <t>head of hippocampus</t>
  </si>
  <si>
    <t>&lt;http://purl.obolibrary.org/obo/DHBA_12171&gt;</t>
  </si>
  <si>
    <t>digitations of hippocampus</t>
  </si>
  <si>
    <t>&lt;http://purl.obolibrary.org/obo/DHBA_12172&gt;</t>
  </si>
  <si>
    <t>body of hippocampus</t>
  </si>
  <si>
    <t>&lt;http://purl.obolibrary.org/obo/DHBA_12173&gt;</t>
  </si>
  <si>
    <t>tail of hippocampus</t>
  </si>
  <si>
    <t>&lt;http://purl.obolibrary.org/obo/DHBA_12174&gt;</t>
  </si>
  <si>
    <t>long insular gyri</t>
  </si>
  <si>
    <t>&lt;http://purl.obolibrary.org/obo/DHBA_12177&gt;</t>
  </si>
  <si>
    <t>short insular gyri</t>
  </si>
  <si>
    <t>&lt;http://purl.obolibrary.org/obo/DHBA_12178&gt;</t>
  </si>
  <si>
    <t>ventral tegmental nucleus, infrafascicular part</t>
  </si>
  <si>
    <t>&lt;http://purl.obolibrary.org/obo/DHBA_12267&gt;</t>
  </si>
  <si>
    <t>ventral tegmental nucleus, principal part</t>
  </si>
  <si>
    <t>&lt;http://purl.obolibrary.org/obo/DHBA_12268&gt;</t>
  </si>
  <si>
    <t>ventral tegmental nucleus, suprafascicular part</t>
  </si>
  <si>
    <t>&lt;http://purl.obolibrary.org/obo/DHBA_12269&gt;</t>
  </si>
  <si>
    <t>cerebellorubral tract</t>
  </si>
  <si>
    <t>&lt;http://purl.obolibrary.org/obo/DHBA_12355&gt;</t>
  </si>
  <si>
    <t>cerebellothalamic tract</t>
  </si>
  <si>
    <t>&lt;http://purl.obolibrary.org/obo/DHBA_12356&gt;</t>
  </si>
  <si>
    <t>globose-emboliform-rubral tract</t>
  </si>
  <si>
    <t>&lt;http://purl.obolibrary.org/obo/DHBA_12358&gt;</t>
  </si>
  <si>
    <t>rubrocerebellar fibers</t>
  </si>
  <si>
    <t>&lt;http://purl.obolibrary.org/obo/DHBA_12359&gt;</t>
  </si>
  <si>
    <t>tectocerebellar fibers</t>
  </si>
  <si>
    <t>&lt;http://purl.obolibrary.org/obo/DHBA_12360&gt;</t>
  </si>
  <si>
    <t>ventral spinocerebellar tract, midbrain portion</t>
  </si>
  <si>
    <t>&lt;http://purl.obolibrary.org/obo/DHBA_12361&gt;</t>
  </si>
  <si>
    <t>tectopontine tract</t>
  </si>
  <si>
    <t>&lt;http://purl.obolibrary.org/obo/DHBA_12364&gt;</t>
  </si>
  <si>
    <t>dentate (lateral) nucleus</t>
  </si>
  <si>
    <t>&lt;http://purl.obolibrary.org/obo/DHBA_12396&gt;</t>
  </si>
  <si>
    <t>dentate nucleus, lateroventral part</t>
  </si>
  <si>
    <t>&lt;http://purl.obolibrary.org/obo/DHBA_12397&gt;</t>
  </si>
  <si>
    <t>dentate nucleus, mediodorsal part</t>
  </si>
  <si>
    <t>&lt;http://purl.obolibrary.org/obo/DHBA_12398&gt;</t>
  </si>
  <si>
    <t>fastigial nucleus, lateral part</t>
  </si>
  <si>
    <t>&lt;http://purl.obolibrary.org/obo/DHBA_12403&gt;</t>
  </si>
  <si>
    <t>fastigial nucleus, medial part</t>
  </si>
  <si>
    <t>&lt;http://purl.obolibrary.org/obo/DHBA_12404&gt;</t>
  </si>
  <si>
    <t>dorsal nucleus</t>
  </si>
  <si>
    <t>&lt;http://purl.obolibrary.org/obo/DHBA_12407&gt;</t>
  </si>
  <si>
    <t>dorsolateral nucleus</t>
  </si>
  <si>
    <t>&lt;http://purl.obolibrary.org/obo/DHBA_12408&gt;</t>
  </si>
  <si>
    <t>dorsomedial nucleus</t>
  </si>
  <si>
    <t>&lt;http://purl.obolibrary.org/obo/DHBA_12409&gt;</t>
  </si>
  <si>
    <t>&lt;http://purl.obolibrary.org/obo/DHBA_12410&gt;</t>
  </si>
  <si>
    <t>median nucleus</t>
  </si>
  <si>
    <t>&lt;http://purl.obolibrary.org/obo/DHBA_12411&gt;</t>
  </si>
  <si>
    <t>paramedian nucleus</t>
  </si>
  <si>
    <t>&lt;http://purl.obolibrary.org/obo/DHBA_12412&gt;</t>
  </si>
  <si>
    <t>efferent nuclei of cranial nerves in pons</t>
  </si>
  <si>
    <t>&lt;http://purl.obolibrary.org/obo/DHBA_12417&gt;</t>
  </si>
  <si>
    <t>accessory facial nucleus</t>
  </si>
  <si>
    <t>&lt;http://purl.obolibrary.org/obo/DHBA_12419&gt;</t>
  </si>
  <si>
    <t>facial nucleus, dorsal subnucleus</t>
  </si>
  <si>
    <t>&lt;http://purl.obolibrary.org/obo/DHBA_12421&gt;</t>
  </si>
  <si>
    <t>facial nucleus, ventrointermediate subnucleus</t>
  </si>
  <si>
    <t>&lt;http://purl.obolibrary.org/obo/DHBA_12422&gt;</t>
  </si>
  <si>
    <t>facial nucleus, ventromedial subnucleus</t>
  </si>
  <si>
    <t>&lt;http://purl.obolibrary.org/obo/DHBA_12424&gt;</t>
  </si>
  <si>
    <t>perifacial zone</t>
  </si>
  <si>
    <t>&lt;http://purl.obolibrary.org/obo/DHBA_12425&gt;</t>
  </si>
  <si>
    <t>facial nucleus, ventrolateral subnucleus</t>
  </si>
  <si>
    <t>&lt;http://purl.obolibrary.org/obo/DHBA_12427&gt;</t>
  </si>
  <si>
    <t>lacrimal nucleus</t>
  </si>
  <si>
    <t>&lt;http://purl.obolibrary.org/obo/DHBA_12428&gt;</t>
  </si>
  <si>
    <t>motor nucleus of trigeminal nerve, lateral pterygoid part</t>
  </si>
  <si>
    <t>&lt;http://purl.obolibrary.org/obo/DHBA_12430&gt;</t>
  </si>
  <si>
    <t>motor nucleus of trigeminal nerve, masseter part</t>
  </si>
  <si>
    <t>&lt;http://purl.obolibrary.org/obo/DHBA_12431&gt;</t>
  </si>
  <si>
    <t>motor nucleus of trigeminal nerve, medial pterygoid part</t>
  </si>
  <si>
    <t>&lt;http://purl.obolibrary.org/obo/DHBA_12432&gt;</t>
  </si>
  <si>
    <t>motor nucleus of trigeminal nerve, mylohyoid part</t>
  </si>
  <si>
    <t>&lt;http://purl.obolibrary.org/obo/DHBA_12433&gt;</t>
  </si>
  <si>
    <t>motor nucleus of trigeminal nerve, temporalis part</t>
  </si>
  <si>
    <t>&lt;http://purl.obolibrary.org/obo/DHBA_12434&gt;</t>
  </si>
  <si>
    <t>superior salivatory nucleus</t>
  </si>
  <si>
    <t>&lt;http://purl.obolibrary.org/obo/DHBA_12435&gt;</t>
  </si>
  <si>
    <t>afferent nuclei of cranial nerves in pons</t>
  </si>
  <si>
    <t>&lt;http://purl.obolibrary.org/obo/DHBA_12436&gt;</t>
  </si>
  <si>
    <t>ventral cochlear nucleus</t>
  </si>
  <si>
    <t>&lt;http://purl.obolibrary.org/obo/DHBA_12439&gt;</t>
  </si>
  <si>
    <t>granular cell layer of cochlear nuclei</t>
  </si>
  <si>
    <t>&lt;http://purl.obolibrary.org/obo/DHBA_12442&gt;</t>
  </si>
  <si>
    <t>mesencephalic nucleus of trigeminal nerve, pontine part</t>
  </si>
  <si>
    <t>&lt;http://purl.obolibrary.org/obo/DHBA_12443&gt;</t>
  </si>
  <si>
    <t>dorsomedial nucleus of Pr5</t>
  </si>
  <si>
    <t>&lt;http://purl.obolibrary.org/obo/DHBA_12445&gt;</t>
  </si>
  <si>
    <t>ventrolateral nucleus of Pr5</t>
  </si>
  <si>
    <t>&lt;http://purl.obolibrary.org/obo/DHBA_12446&gt;</t>
  </si>
  <si>
    <t>spinal nucleus of trigeminal nerve, oral subnucleus</t>
  </si>
  <si>
    <t>&lt;http://purl.obolibrary.org/obo/DHBA_12447&gt;</t>
  </si>
  <si>
    <t>vestibular nuclei in pons</t>
  </si>
  <si>
    <t>&lt;http://purl.obolibrary.org/obo/DHBA_12448&gt;</t>
  </si>
  <si>
    <t>lateral vestibular nucleus, magnocellular part</t>
  </si>
  <si>
    <t>&lt;http://purl.obolibrary.org/obo/DHBA_12450&gt;</t>
  </si>
  <si>
    <t>lateral vestibular nucleus, parvicellular part</t>
  </si>
  <si>
    <t>&lt;http://purl.obolibrary.org/obo/DHBA_12451&gt;</t>
  </si>
  <si>
    <t>superior vestibular nucleus</t>
  </si>
  <si>
    <t>&lt;http://purl.obolibrary.org/obo/DHBA_12452&gt;</t>
  </si>
  <si>
    <t>auditory relay nuclei in pons</t>
  </si>
  <si>
    <t>&lt;http://purl.obolibrary.org/obo/DHBA_12453&gt;</t>
  </si>
  <si>
    <t>superior paraolivary nucleus</t>
  </si>
  <si>
    <t>&lt;http://purl.obolibrary.org/obo/DHBA_12463&gt;</t>
  </si>
  <si>
    <t>medial periolivary nucleus</t>
  </si>
  <si>
    <t>&lt;http://purl.obolibrary.org/obo/DHBA_12466&gt;</t>
  </si>
  <si>
    <t>&lt;http://purl.obolibrary.org/obo/DHBA_12472&gt;</t>
  </si>
  <si>
    <t>&lt;http://purl.obolibrary.org/obo/DHBA_12473&gt;</t>
  </si>
  <si>
    <t>paramedian raphe nucleus, reticular part</t>
  </si>
  <si>
    <t>&lt;http://purl.obolibrary.org/obo/DHBA_12474&gt;</t>
  </si>
  <si>
    <t>raphe interpositus nucleus</t>
  </si>
  <si>
    <t>&lt;http://purl.obolibrary.org/obo/DHBA_12476&gt;</t>
  </si>
  <si>
    <t>lateral parabrachial nucleus, central part</t>
  </si>
  <si>
    <t>&lt;http://purl.obolibrary.org/obo/DHBA_12483&gt;</t>
  </si>
  <si>
    <t>lateral parabrachial nucleus, dorsal part</t>
  </si>
  <si>
    <t>&lt;http://purl.obolibrary.org/obo/DHBA_12484&gt;</t>
  </si>
  <si>
    <t>lateral parabrachial nucleus, external part</t>
  </si>
  <si>
    <t>&lt;http://purl.obolibrary.org/obo/DHBA_12485&gt;</t>
  </si>
  <si>
    <t>lateral parabrachial nucleus, superior part</t>
  </si>
  <si>
    <t>&lt;http://purl.obolibrary.org/obo/DHBA_12486&gt;</t>
  </si>
  <si>
    <t>medial parabrachial nucleus, external part</t>
  </si>
  <si>
    <t>&lt;http://purl.obolibrary.org/obo/DHBA_12488&gt;</t>
  </si>
  <si>
    <t>medial parabrachial nucleus, medial part</t>
  </si>
  <si>
    <t>&lt;http://purl.obolibrary.org/obo/DHBA_12489&gt;</t>
  </si>
  <si>
    <t>subpeduncular pigmented nucleus</t>
  </si>
  <si>
    <t>&lt;http://purl.obolibrary.org/obo/DHBA_12490&gt;</t>
  </si>
  <si>
    <t>reticular nuclei of pons</t>
  </si>
  <si>
    <t>&lt;http://purl.obolibrary.org/obo/DHBA_12492&gt;</t>
  </si>
  <si>
    <t>paralemniscal nucleus</t>
  </si>
  <si>
    <t>&lt;http://purl.obolibrary.org/obo/DHBA_12495&gt;</t>
  </si>
  <si>
    <t>group of noradrenergic neurons in pons</t>
  </si>
  <si>
    <t>&lt;http://purl.obolibrary.org/obo/DHBA_12498&gt;</t>
  </si>
  <si>
    <t>nucleus coeruleus</t>
  </si>
  <si>
    <t>&lt;http://purl.obolibrary.org/obo/DHBA_12499&gt;</t>
  </si>
  <si>
    <t>subcoeruleus nucleus, dorsal part</t>
  </si>
  <si>
    <t>&lt;http://purl.obolibrary.org/obo/DHBA_12501&gt;</t>
  </si>
  <si>
    <t>subcoeruleus nucleus, ventral part</t>
  </si>
  <si>
    <t>&lt;http://purl.obolibrary.org/obo/DHBA_12502&gt;</t>
  </si>
  <si>
    <t>other nuclei in pontine tegmentum</t>
  </si>
  <si>
    <t>&lt;http://purl.obolibrary.org/obo/DHBA_12503&gt;</t>
  </si>
  <si>
    <t>accessory trigeminal nucleus</t>
  </si>
  <si>
    <t>&lt;http://purl.obolibrary.org/obo/DHBA_12504&gt;</t>
  </si>
  <si>
    <t>alar interstitial nucleus</t>
  </si>
  <si>
    <t>&lt;http://purl.obolibrary.org/obo/DHBA_12505&gt;</t>
  </si>
  <si>
    <t>central nucleus of acoustic tract</t>
  </si>
  <si>
    <t>&lt;http://purl.obolibrary.org/obo/DHBA_12507&gt;</t>
  </si>
  <si>
    <t>dorsal tegmental nucleus, central part</t>
  </si>
  <si>
    <t>&lt;http://purl.obolibrary.org/obo/DHBA_12509&gt;</t>
  </si>
  <si>
    <t>dorsal tegmental nucleus, pericentral part</t>
  </si>
  <si>
    <t>&lt;http://purl.obolibrary.org/obo/DHBA_12510&gt;</t>
  </si>
  <si>
    <t>epicoeruleus nucleus</t>
  </si>
  <si>
    <t>&lt;http://purl.obolibrary.org/obo/DHBA_12512&gt;</t>
  </si>
  <si>
    <t>pontine gamma nucleus</t>
  </si>
  <si>
    <t>&lt;http://purl.obolibrary.org/obo/DHBA_12513&gt;</t>
  </si>
  <si>
    <t>intermediate interstitial nucleus of medial longitudinal fasciculus</t>
  </si>
  <si>
    <t>&lt;http://purl.obolibrary.org/obo/DHBA_12514&gt;</t>
  </si>
  <si>
    <t>interstitial nucleus of medial longitudinal fasciculus</t>
  </si>
  <si>
    <t>&lt;http://purl.obolibrary.org/obo/DHBA_12515&gt;</t>
  </si>
  <si>
    <t>intertrigeminal nucleus</t>
  </si>
  <si>
    <t>&lt;http://purl.obolibrary.org/obo/DHBA_12516&gt;</t>
  </si>
  <si>
    <t>juxtaolivary nucleus</t>
  </si>
  <si>
    <t>&lt;http://purl.obolibrary.org/obo/DHBA_12517&gt;</t>
  </si>
  <si>
    <t>laterodorsal tegmental nucleus, dorsal part</t>
  </si>
  <si>
    <t>&lt;http://purl.obolibrary.org/obo/DHBA_12520&gt;</t>
  </si>
  <si>
    <t>laterodorsal tegmental nucleus, ventral part</t>
  </si>
  <si>
    <t>&lt;http://purl.obolibrary.org/obo/DHBA_12521&gt;</t>
  </si>
  <si>
    <t>nucleus K</t>
  </si>
  <si>
    <t>&lt;http://purl.obolibrary.org/obo/DHBA_12522&gt;</t>
  </si>
  <si>
    <t>nucleus L</t>
  </si>
  <si>
    <t>&lt;http://purl.obolibrary.org/obo/DHBA_12523&gt;</t>
  </si>
  <si>
    <t>paraabducens nucleus</t>
  </si>
  <si>
    <t>&lt;http://purl.obolibrary.org/obo/DHBA_12524&gt;</t>
  </si>
  <si>
    <t>pericuneate nuclei</t>
  </si>
  <si>
    <t>&lt;http://purl.obolibrary.org/obo/DHBA_12525&gt;</t>
  </si>
  <si>
    <t>pontobulbar nucleus, inferior part</t>
  </si>
  <si>
    <t>&lt;http://purl.obolibrary.org/obo/DHBA_12528&gt;</t>
  </si>
  <si>
    <t>peritrigeminal zone</t>
  </si>
  <si>
    <t>&lt;http://purl.obolibrary.org/obo/DHBA_12529&gt;</t>
  </si>
  <si>
    <t>retrofacial nucleus</t>
  </si>
  <si>
    <t>&lt;http://purl.obolibrary.org/obo/DHBA_12530&gt;</t>
  </si>
  <si>
    <t>ventrolateral tegmental nucleus</t>
  </si>
  <si>
    <t>&lt;http://purl.obolibrary.org/obo/DHBA_12534&gt;</t>
  </si>
  <si>
    <t>conterminal nucleus</t>
  </si>
  <si>
    <t>&lt;http://purl.obolibrary.org/obo/DHBA_12537&gt;</t>
  </si>
  <si>
    <t>tegmentum of medulla oblongata</t>
  </si>
  <si>
    <t>&lt;http://purl.obolibrary.org/obo/DHBA_12538&gt;</t>
  </si>
  <si>
    <t>efferent nuclei of cranial nerves in the medulla oblongata</t>
  </si>
  <si>
    <t>&lt;http://purl.obolibrary.org/obo/DHBA_12539&gt;</t>
  </si>
  <si>
    <t>ambiguus nucleus, compact part</t>
  </si>
  <si>
    <t>&lt;http://purl.obolibrary.org/obo/DHBA_12541&gt;</t>
  </si>
  <si>
    <t>ambiguus nucleus, loose part</t>
  </si>
  <si>
    <t>&lt;http://purl.obolibrary.org/obo/DHBA_12542&gt;</t>
  </si>
  <si>
    <t>ambiguus nucleus, semicompact part</t>
  </si>
  <si>
    <t>&lt;http://purl.obolibrary.org/obo/DHBA_12543&gt;</t>
  </si>
  <si>
    <t>hypoglossal nucleus, geniohyoid part</t>
  </si>
  <si>
    <t>&lt;http://purl.obolibrary.org/obo/DHBA_12546&gt;</t>
  </si>
  <si>
    <t>hypoglossal nucleus, lateral part</t>
  </si>
  <si>
    <t>&lt;http://purl.obolibrary.org/obo/DHBA_12547&gt;</t>
  </si>
  <si>
    <t>hypoglossal nucleus, medial part</t>
  </si>
  <si>
    <t>&lt;http://purl.obolibrary.org/obo/DHBA_12548&gt;</t>
  </si>
  <si>
    <t>hypoglossal nucleus, ventral part</t>
  </si>
  <si>
    <t>&lt;http://purl.obolibrary.org/obo/DHBA_12549&gt;</t>
  </si>
  <si>
    <t>dorsal motor nucleus of vagus, caudointermediate part</t>
  </si>
  <si>
    <t>&lt;http://purl.obolibrary.org/obo/DHBA_12551&gt;</t>
  </si>
  <si>
    <t>dorsal motor nucleus of vagus, centrointermediate part</t>
  </si>
  <si>
    <t>&lt;http://purl.obolibrary.org/obo/DHBA_12552&gt;</t>
  </si>
  <si>
    <t>dorsal motor nucleus of vagus, dorsointermediate part</t>
  </si>
  <si>
    <t>&lt;http://purl.obolibrary.org/obo/DHBA_12553&gt;</t>
  </si>
  <si>
    <t>dorsal motor nucleus of vagus, dorsorostral part</t>
  </si>
  <si>
    <t>&lt;http://purl.obolibrary.org/obo/DHBA_12554&gt;</t>
  </si>
  <si>
    <t>dorsal motor nucleus of vagus, medial fringe</t>
  </si>
  <si>
    <t>&lt;http://purl.obolibrary.org/obo/DHBA_12555&gt;</t>
  </si>
  <si>
    <t>afferent nuclei of cranial nerves in medulla oblongata</t>
  </si>
  <si>
    <t>&lt;http://purl.obolibrary.org/obo/DHBA_12556&gt;</t>
  </si>
  <si>
    <t>solitary nucleus, commissural part</t>
  </si>
  <si>
    <t>&lt;http://purl.obolibrary.org/obo/DHBA_12558&gt;</t>
  </si>
  <si>
    <t>solitary nucleus, dorsal part</t>
  </si>
  <si>
    <t>&lt;http://purl.obolibrary.org/obo/DHBA_12559&gt;</t>
  </si>
  <si>
    <t>solitary nucleus, dorsolateral part</t>
  </si>
  <si>
    <t>&lt;http://purl.obolibrary.org/obo/DHBA_12560&gt;</t>
  </si>
  <si>
    <t>solitary nucleus, gelatinous part</t>
  </si>
  <si>
    <t>&lt;http://purl.obolibrary.org/obo/DHBA_12561&gt;</t>
  </si>
  <si>
    <t>solitary nucleus, intermediate part</t>
  </si>
  <si>
    <t>&lt;http://purl.obolibrary.org/obo/DHBA_12562&gt;</t>
  </si>
  <si>
    <t>solitary nucleus, interstitial part</t>
  </si>
  <si>
    <t>&lt;http://purl.obolibrary.org/obo/DHBA_12563&gt;</t>
  </si>
  <si>
    <t>solitary nucleus, interstitial part, caudal subdivision</t>
  </si>
  <si>
    <t>&lt;http://purl.obolibrary.org/obo/DHBA_12564&gt;</t>
  </si>
  <si>
    <t>solitary nucleus, interstitial part, rostral (tast) subdivision</t>
  </si>
  <si>
    <t>&lt;http://purl.obolibrary.org/obo/DHBA_12565&gt;</t>
  </si>
  <si>
    <t>solitary nucleus, medial part</t>
  </si>
  <si>
    <t>&lt;http://purl.obolibrary.org/obo/DHBA_12566&gt;</t>
  </si>
  <si>
    <t>solitary nucleus, paracommissural part</t>
  </si>
  <si>
    <t>&lt;http://purl.obolibrary.org/obo/DHBA_12567&gt;</t>
  </si>
  <si>
    <t>solitary nucleus, ventral part</t>
  </si>
  <si>
    <t>&lt;http://purl.obolibrary.org/obo/DHBA_12568&gt;</t>
  </si>
  <si>
    <t>subsolitary nucleus</t>
  </si>
  <si>
    <t>&lt;http://purl.obolibrary.org/obo/DHBA_12570&gt;</t>
  </si>
  <si>
    <t>layer 1 (marginal layer) of caudal spinal trigeminal nucleus</t>
  </si>
  <si>
    <t>&lt;http://purl.obolibrary.org/obo/DHBA_12574&gt;</t>
  </si>
  <si>
    <t>layer 2 (gelatenous layer) of caudal spinal trigeminal nucleus</t>
  </si>
  <si>
    <t>&lt;http://purl.obolibrary.org/obo/DHBA_12575&gt;</t>
  </si>
  <si>
    <t>layer 3/4 (magnocellular layer) of caudal spinal trigeminal nucleus</t>
  </si>
  <si>
    <t>&lt;http://purl.obolibrary.org/obo/DHBA_12576&gt;</t>
  </si>
  <si>
    <t>dorsomedial spinal trigeminal nucleus</t>
  </si>
  <si>
    <t>&lt;http://purl.obolibrary.org/obo/DHBA_12577&gt;</t>
  </si>
  <si>
    <t>vestibular nuclei in medulla</t>
  </si>
  <si>
    <t>&lt;http://purl.obolibrary.org/obo/DHBA_12579&gt;</t>
  </si>
  <si>
    <t>interstial nucleus of the vestibulocochlear nerve</t>
  </si>
  <si>
    <t>&lt;http://purl.obolibrary.org/obo/DHBA_12580&gt;</t>
  </si>
  <si>
    <t>medial vestibular nucleus, magnocellular part</t>
  </si>
  <si>
    <t>&lt;http://purl.obolibrary.org/obo/DHBA_12582&gt;</t>
  </si>
  <si>
    <t>medial vestibular nucleus, parvicellular part</t>
  </si>
  <si>
    <t>&lt;http://purl.obolibrary.org/obo/DHBA_12583&gt;</t>
  </si>
  <si>
    <t>nucleus of origin of vestibular efferents of vestibular nerve</t>
  </si>
  <si>
    <t>&lt;http://purl.obolibrary.org/obo/DHBA_12584&gt;</t>
  </si>
  <si>
    <t>spinal (inferior) vestibular nucleus</t>
  </si>
  <si>
    <t>&lt;http://purl.obolibrary.org/obo/DHBA_12585&gt;</t>
  </si>
  <si>
    <t>paravestibular nucleus</t>
  </si>
  <si>
    <t>&lt;http://purl.obolibrary.org/obo/DHBA_12586&gt;</t>
  </si>
  <si>
    <t>sensory relay nuclei in medulla oblongata</t>
  </si>
  <si>
    <t>&lt;http://purl.obolibrary.org/obo/DHBA_12587&gt;</t>
  </si>
  <si>
    <t>external (accessory/lateral) cuneate nucleus</t>
  </si>
  <si>
    <t>&lt;http://purl.obolibrary.org/obo/DHBA_12588&gt;</t>
  </si>
  <si>
    <t>Cuneate nucleus, rotundus part</t>
  </si>
  <si>
    <t>&lt;http://purl.obolibrary.org/obo/DHBA_12590&gt;</t>
  </si>
  <si>
    <t>Cuneate nucleus, triangular part</t>
  </si>
  <si>
    <t>&lt;http://purl.obolibrary.org/obo/DHBA_12591&gt;</t>
  </si>
  <si>
    <t>gracile nucleus, central part</t>
  </si>
  <si>
    <t>&lt;http://purl.obolibrary.org/obo/DHBA_12593&gt;</t>
  </si>
  <si>
    <t>gracile nucleus, rostral part (shell)</t>
  </si>
  <si>
    <t>&lt;http://purl.obolibrary.org/obo/DHBA_12594&gt;</t>
  </si>
  <si>
    <t>precerebellar nuclei</t>
  </si>
  <si>
    <t>&lt;http://purl.obolibrary.org/obo/DHBA_12595&gt;</t>
  </si>
  <si>
    <t>cribriform nucleus</t>
  </si>
  <si>
    <t>&lt;http://purl.obolibrary.org/obo/DHBA_12596&gt;</t>
  </si>
  <si>
    <t>caudal dorsal paramedian nucleus</t>
  </si>
  <si>
    <t>&lt;http://purl.obolibrary.org/obo/DHBA_12598&gt;</t>
  </si>
  <si>
    <t>rostral (oral) dorsal paramedian nucleus</t>
  </si>
  <si>
    <t>&lt;http://purl.obolibrary.org/obo/DHBA_12599&gt;</t>
  </si>
  <si>
    <t>inferior olive, dorsomedial cell group</t>
  </si>
  <si>
    <t>&lt;http://purl.obolibrary.org/obo/DHBA_12601&gt;</t>
  </si>
  <si>
    <t>inferior olive, dorsal nucleus, caudal part</t>
  </si>
  <si>
    <t>&lt;http://purl.obolibrary.org/obo/DHBA_12604&gt;</t>
  </si>
  <si>
    <t>Cap of Kooy of medial nucleus</t>
  </si>
  <si>
    <t>&lt;http://purl.obolibrary.org/obo/DHBA_12606&gt;</t>
  </si>
  <si>
    <t>subnucleus A of medial nucleus</t>
  </si>
  <si>
    <t>&lt;http://purl.obolibrary.org/obo/DHBA_12607&gt;</t>
  </si>
  <si>
    <t>subnucleus B of medial nucleus</t>
  </si>
  <si>
    <t>&lt;http://purl.obolibrary.org/obo/DHBA_12608&gt;</t>
  </si>
  <si>
    <t>subnucleus C of medial nucleus</t>
  </si>
  <si>
    <t>&lt;http://purl.obolibrary.org/obo/DHBA_12609&gt;</t>
  </si>
  <si>
    <t>ventrolateral outgrowth of inferior olive</t>
  </si>
  <si>
    <t>&lt;http://purl.obolibrary.org/obo/DHBA_12611&gt;</t>
  </si>
  <si>
    <t>dorsal reticular nucleus</t>
  </si>
  <si>
    <t>&lt;http://purl.obolibrary.org/obo/DHBA_12617&gt;</t>
  </si>
  <si>
    <t>alpha division of parvicellular reticular nucleus</t>
  </si>
  <si>
    <t>&lt;http://purl.obolibrary.org/obo/DHBA_12619&gt;</t>
  </si>
  <si>
    <t>caudoventrolateral reticular nucleus</t>
  </si>
  <si>
    <t>&lt;http://purl.obolibrary.org/obo/DHBA_12621&gt;</t>
  </si>
  <si>
    <t>noradrenaline/adrenaline cell group 1</t>
  </si>
  <si>
    <t>&lt;http://purl.obolibrary.org/obo/DHBA_12622&gt;</t>
  </si>
  <si>
    <t>rostral ventral respiratory cell group</t>
  </si>
  <si>
    <t>&lt;http://purl.obolibrary.org/obo/DHBA_12623&gt;</t>
  </si>
  <si>
    <t>rostroventrolateral reticular nucleus of hindbrain</t>
  </si>
  <si>
    <t>&lt;http://purl.obolibrary.org/obo/DHBA_12624&gt;</t>
  </si>
  <si>
    <t>alpha part of paragigantocellular nucleus</t>
  </si>
  <si>
    <t>&lt;http://purl.obolibrary.org/obo/DHBA_12627&gt;</t>
  </si>
  <si>
    <t>ventral gigantocellular reticular nucleus</t>
  </si>
  <si>
    <t>&lt;http://purl.obolibrary.org/obo/DHBA_12630&gt;</t>
  </si>
  <si>
    <t>alpha gigantocellular reticular nucleus</t>
  </si>
  <si>
    <t>&lt;http://purl.obolibrary.org/obo/DHBA_12631&gt;</t>
  </si>
  <si>
    <t>lateral reticular nuclei</t>
  </si>
  <si>
    <t>&lt;http://purl.obolibrary.org/obo/DHBA_12632&gt;</t>
  </si>
  <si>
    <t>lateral reticular nucleus (principal part)</t>
  </si>
  <si>
    <t>&lt;http://purl.obolibrary.org/obo/DHBA_12634&gt;</t>
  </si>
  <si>
    <t>lateral reticular nucleus, magnocellular part</t>
  </si>
  <si>
    <t>&lt;http://purl.obolibrary.org/obo/DHBA_12635&gt;</t>
  </si>
  <si>
    <t>lateral reticular nucleus, parvicellular part</t>
  </si>
  <si>
    <t>&lt;http://purl.obolibrary.org/obo/DHBA_12636&gt;</t>
  </si>
  <si>
    <t>lateral reticular nucleus, subtrigeminal part</t>
  </si>
  <si>
    <t>&lt;http://purl.obolibrary.org/obo/DHBA_12637&gt;</t>
  </si>
  <si>
    <t>medullary reticular nucleus, dorsal part (ventral reticular nucleus)</t>
  </si>
  <si>
    <t>&lt;http://purl.obolibrary.org/obo/DHBA_12639&gt;</t>
  </si>
  <si>
    <t>medullary reticular nucleus, ventral part (medial reticular nucleus)</t>
  </si>
  <si>
    <t>&lt;http://purl.obolibrary.org/obo/DHBA_12640&gt;</t>
  </si>
  <si>
    <t>raphe nuclei in medulla oblongata</t>
  </si>
  <si>
    <t>&lt;http://purl.obolibrary.org/obo/DHBA_12641&gt;</t>
  </si>
  <si>
    <t>other nuclei in medullary tegmentum</t>
  </si>
  <si>
    <t>&lt;http://purl.obolibrary.org/obo/DHBA_12645&gt;</t>
  </si>
  <si>
    <t>Botzinger complex</t>
  </si>
  <si>
    <t>&lt;http://purl.obolibrary.org/obo/DHBA_12646&gt;</t>
  </si>
  <si>
    <t>interfascicular hypoglossal nucleus</t>
  </si>
  <si>
    <t>&lt;http://purl.obolibrary.org/obo/DHBA_12650&gt;</t>
  </si>
  <si>
    <t>nucleus Z (posterodorsal subnucleus)</t>
  </si>
  <si>
    <t>&lt;http://purl.obolibrary.org/obo/DHBA_12651&gt;</t>
  </si>
  <si>
    <t>nucleus Y</t>
  </si>
  <si>
    <t>&lt;http://purl.obolibrary.org/obo/DHBA_12652&gt;</t>
  </si>
  <si>
    <t>nucleus of Roller</t>
  </si>
  <si>
    <t>&lt;http://purl.obolibrary.org/obo/DHBA_12654&gt;</t>
  </si>
  <si>
    <t>pararaphales nucleus</t>
  </si>
  <si>
    <t>&lt;http://purl.obolibrary.org/obo/DHBA_12655&gt;</t>
  </si>
  <si>
    <t>pericuneate nucleus</t>
  </si>
  <si>
    <t>&lt;http://purl.obolibrary.org/obo/DHBA_12657&gt;</t>
  </si>
  <si>
    <t>retroambiguous nucleus</t>
  </si>
  <si>
    <t>&lt;http://purl.obolibrary.org/obo/DHBA_12660&gt;</t>
  </si>
  <si>
    <t>spinal accessory (supraspinal) nucleus</t>
  </si>
  <si>
    <t>&lt;http://purl.obolibrary.org/obo/DHBA_12661&gt;</t>
  </si>
  <si>
    <t>supragenual nucleus</t>
  </si>
  <si>
    <t>&lt;http://purl.obolibrary.org/obo/DHBA_12662&gt;</t>
  </si>
  <si>
    <t>supralemniscal nucleus</t>
  </si>
  <si>
    <t>&lt;http://purl.obolibrary.org/obo/DHBA_12663&gt;</t>
  </si>
  <si>
    <t>rhombencephalic isthmus</t>
  </si>
  <si>
    <t>&lt;http://purl.obolibrary.org/obo/DHBA_12665&gt;</t>
  </si>
  <si>
    <t>rhombomere A</t>
  </si>
  <si>
    <t>&lt;http://purl.obolibrary.org/obo/DHBA_12666&gt;</t>
  </si>
  <si>
    <t>rhombomere B</t>
  </si>
  <si>
    <t>&lt;http://purl.obolibrary.org/obo/DHBA_12670&gt;</t>
  </si>
  <si>
    <t>rhombomere C</t>
  </si>
  <si>
    <t>&lt;http://purl.obolibrary.org/obo/DHBA_12672&gt;</t>
  </si>
  <si>
    <t>rhombomere D</t>
  </si>
  <si>
    <t>&lt;http://purl.obolibrary.org/obo/DHBA_12676&gt;</t>
  </si>
  <si>
    <t>ventricular (matrix) zone in hindbrain</t>
  </si>
  <si>
    <t>&lt;http://purl.obolibrary.org/obo/DHBA_12678&gt;</t>
  </si>
  <si>
    <t>ventricular (matrix) zone of cerebellum</t>
  </si>
  <si>
    <t>&lt;http://purl.obolibrary.org/obo/DHBA_12679&gt;</t>
  </si>
  <si>
    <t>ventricular (matrix) zone of pons</t>
  </si>
  <si>
    <t>&lt;http://purl.obolibrary.org/obo/DHBA_12680&gt;</t>
  </si>
  <si>
    <t>ventricular (matrix) zone of medulla</t>
  </si>
  <si>
    <t>&lt;http://purl.obolibrary.org/obo/DHBA_12681&gt;</t>
  </si>
  <si>
    <t>roof plate of intermediate zone of hindbrain</t>
  </si>
  <si>
    <t>&lt;http://purl.obolibrary.org/obo/DHBA_12683&gt;</t>
  </si>
  <si>
    <t>alar plate of intermediate zone of hindbrain</t>
  </si>
  <si>
    <t>&lt;http://purl.obolibrary.org/obo/DHBA_12684&gt;</t>
  </si>
  <si>
    <t>special somatic afferent cell column of hindbrain</t>
  </si>
  <si>
    <t>&lt;http://purl.obolibrary.org/obo/DHBA_12685&gt;</t>
  </si>
  <si>
    <t>general somatic afferent cell column of hindbrain</t>
  </si>
  <si>
    <t>&lt;http://purl.obolibrary.org/obo/DHBA_12686&gt;</t>
  </si>
  <si>
    <t>general visceral afferent cell column of hindbrain</t>
  </si>
  <si>
    <t>&lt;http://purl.obolibrary.org/obo/DHBA_12687&gt;</t>
  </si>
  <si>
    <t>special visceral afferent cell column of hindbrain</t>
  </si>
  <si>
    <t>&lt;http://purl.obolibrary.org/obo/DHBA_12688&gt;</t>
  </si>
  <si>
    <t>basal plate of intermediate zone of hindbrain</t>
  </si>
  <si>
    <t>&lt;http://purl.obolibrary.org/obo/DHBA_12689&gt;</t>
  </si>
  <si>
    <t>general visceral efferent cell column of hindbrain</t>
  </si>
  <si>
    <t>&lt;http://purl.obolibrary.org/obo/DHBA_12690&gt;</t>
  </si>
  <si>
    <t>special visceral efferent cell column of hindbrain</t>
  </si>
  <si>
    <t>&lt;http://purl.obolibrary.org/obo/DHBA_12691&gt;</t>
  </si>
  <si>
    <t>general somatic efferent cell column of hindbrain</t>
  </si>
  <si>
    <t>&lt;http://purl.obolibrary.org/obo/DHBA_12692&gt;</t>
  </si>
  <si>
    <t>floor plate of intermediate zone of hindbrain</t>
  </si>
  <si>
    <t>&lt;http://purl.obolibrary.org/obo/DHBA_12693&gt;</t>
  </si>
  <si>
    <t>marginal zone of pons</t>
  </si>
  <si>
    <t>&lt;http://purl.obolibrary.org/obo/DHBA_12696&gt;</t>
  </si>
  <si>
    <t>marginal zone of medulla</t>
  </si>
  <si>
    <t>&lt;http://purl.obolibrary.org/obo/DHBA_12697&gt;</t>
  </si>
  <si>
    <t>ventricular (neuroepithelial) zone of cerebellar plate</t>
  </si>
  <si>
    <t>&lt;http://purl.obolibrary.org/obo/DHBA_12699&gt;</t>
  </si>
  <si>
    <t>intermediate (mantle) zone of cerebellar plate</t>
  </si>
  <si>
    <t>&lt;http://purl.obolibrary.org/obo/DHBA_12700&gt;</t>
  </si>
  <si>
    <t>marginal (subpial stream) zone of cerebellar plate</t>
  </si>
  <si>
    <t>&lt;http://purl.obolibrary.org/obo/DHBA_12701&gt;</t>
  </si>
  <si>
    <t>external granular (germinal) layer of upper rhombic lip</t>
  </si>
  <si>
    <t>&lt;http://purl.obolibrary.org/obo/DHBA_12702&gt;</t>
  </si>
  <si>
    <t>external granular (germinal) layer of lower rhombic lip</t>
  </si>
  <si>
    <t>&lt;http://purl.obolibrary.org/obo/DHBA_12703&gt;</t>
  </si>
  <si>
    <t>medial cell column of pons</t>
  </si>
  <si>
    <t>&lt;http://purl.obolibrary.org/obo/DHBA_12704&gt;</t>
  </si>
  <si>
    <t>intermediate cell column of pons</t>
  </si>
  <si>
    <t>&lt;http://purl.obolibrary.org/obo/DHBA_12705&gt;</t>
  </si>
  <si>
    <t>lateral cell column of pons</t>
  </si>
  <si>
    <t>&lt;http://purl.obolibrary.org/obo/DHBA_12706&gt;</t>
  </si>
  <si>
    <t>transient Purkinje cell clusters</t>
  </si>
  <si>
    <t>&lt;http://purl.obolibrary.org/obo/DHBA_12707&gt;</t>
  </si>
  <si>
    <t>cluster A of Purkinje cells</t>
  </si>
  <si>
    <t>&lt;http://purl.obolibrary.org/obo/DHBA_12708&gt;</t>
  </si>
  <si>
    <t>cluster B of Purkinje cells</t>
  </si>
  <si>
    <t>&lt;http://purl.obolibrary.org/obo/DHBA_12709&gt;</t>
  </si>
  <si>
    <t>cluster C of Purkinje cells</t>
  </si>
  <si>
    <t>&lt;http://purl.obolibrary.org/obo/DHBA_12710&gt;</t>
  </si>
  <si>
    <t>cluster D of Purkinje cells</t>
  </si>
  <si>
    <t>&lt;http://purl.obolibrary.org/obo/DHBA_12711&gt;</t>
  </si>
  <si>
    <t>cluster E of Purkinje cells</t>
  </si>
  <si>
    <t>&lt;http://purl.obolibrary.org/obo/DHBA_12712&gt;</t>
  </si>
  <si>
    <t>cluster F of Purkinje cells</t>
  </si>
  <si>
    <t>&lt;http://purl.obolibrary.org/obo/DHBA_12713&gt;</t>
  </si>
  <si>
    <t>cluster G of Purkinje cells</t>
  </si>
  <si>
    <t>&lt;http://purl.obolibrary.org/obo/DHBA_12714&gt;</t>
  </si>
  <si>
    <t>cluster H of Purkinje cells</t>
  </si>
  <si>
    <t>&lt;http://purl.obolibrary.org/obo/DHBA_12715&gt;</t>
  </si>
  <si>
    <t>cerebellar swelling</t>
  </si>
  <si>
    <t>&lt;http://purl.obolibrary.org/obo/DHBA_12716&gt;</t>
  </si>
  <si>
    <t>internal cerebellar swelling</t>
  </si>
  <si>
    <t>&lt;http://purl.obolibrary.org/obo/DHBA_12717&gt;</t>
  </si>
  <si>
    <t>external cerebellar swelling</t>
  </si>
  <si>
    <t>&lt;http://purl.obolibrary.org/obo/DHBA_12718&gt;</t>
  </si>
  <si>
    <t>pontine flexures</t>
  </si>
  <si>
    <t>&lt;http://purl.obolibrary.org/obo/DHBA_12719&gt;</t>
  </si>
  <si>
    <t>cranial (metacephalic) slope</t>
  </si>
  <si>
    <t>&lt;http://purl.obolibrary.org/obo/DHBA_12720&gt;</t>
  </si>
  <si>
    <t>caudal (myelencephalic) slope</t>
  </si>
  <si>
    <t>&lt;http://purl.obolibrary.org/obo/DHBA_12721&gt;</t>
  </si>
  <si>
    <t>migratory streams in hindbrain</t>
  </si>
  <si>
    <t>&lt;http://purl.obolibrary.org/obo/DHBA_12722&gt;</t>
  </si>
  <si>
    <t>rostral (anterior) extramural migratory stream</t>
  </si>
  <si>
    <t>&lt;http://purl.obolibrary.org/obo/DHBA_12723&gt;</t>
  </si>
  <si>
    <t>caudal (posterior) extramural migratory stream</t>
  </si>
  <si>
    <t>&lt;http://purl.obolibrary.org/obo/DHBA_12724&gt;</t>
  </si>
  <si>
    <t>intramural migratory stream</t>
  </si>
  <si>
    <t>&lt;http://purl.obolibrary.org/obo/DHBA_12725&gt;</t>
  </si>
  <si>
    <t>pontobulbar body</t>
  </si>
  <si>
    <t>&lt;http://purl.obolibrary.org/obo/DHBA_12726&gt;</t>
  </si>
  <si>
    <t>rhombic grooves</t>
  </si>
  <si>
    <t>&lt;http://purl.obolibrary.org/obo/DHBA_12727&gt;</t>
  </si>
  <si>
    <t>ascending fibers of the facial nerve</t>
  </si>
  <si>
    <t>&lt;http://purl.obolibrary.org/obo/DHBA_12729&gt;</t>
  </si>
  <si>
    <t>dorsal external fibers</t>
  </si>
  <si>
    <t>&lt;http://purl.obolibrary.org/obo/DHBA_12734&gt;</t>
  </si>
  <si>
    <t>&lt;http://purl.obolibrary.org/obo/DHBA_12735&gt;</t>
  </si>
  <si>
    <t>hypothalamospinal tract</t>
  </si>
  <si>
    <t>&lt;http://purl.obolibrary.org/obo/DHBA_12740&gt;</t>
  </si>
  <si>
    <t>restiform body</t>
  </si>
  <si>
    <t>&lt;http://purl.obolibrary.org/obo/DHBA_12742&gt;</t>
  </si>
  <si>
    <t>cerebelloreticular fibers</t>
  </si>
  <si>
    <t>&lt;http://purl.obolibrary.org/obo/DHBA_12743&gt;</t>
  </si>
  <si>
    <t>cerebellovestibular fibers</t>
  </si>
  <si>
    <t>&lt;http://purl.obolibrary.org/obo/DHBA_12744&gt;</t>
  </si>
  <si>
    <t>reticulocerebellar tract, medullary division</t>
  </si>
  <si>
    <t>&lt;http://purl.obolibrary.org/obo/DHBA_12748&gt;</t>
  </si>
  <si>
    <t>fastigial reticular tract</t>
  </si>
  <si>
    <t>&lt;http://purl.obolibrary.org/obo/DHBA_12751&gt;</t>
  </si>
  <si>
    <t>fastigial vestibular tract</t>
  </si>
  <si>
    <t>&lt;http://purl.obolibrary.org/obo/DHBA_12752&gt;</t>
  </si>
  <si>
    <t>trigeminocerebellar tract</t>
  </si>
  <si>
    <t>&lt;http://purl.obolibrary.org/obo/DHBA_12753&gt;</t>
  </si>
  <si>
    <t>vestibulocerebellar tract</t>
  </si>
  <si>
    <t>&lt;http://purl.obolibrary.org/obo/DHBA_12754&gt;</t>
  </si>
  <si>
    <t>interstitiospinal tract</t>
  </si>
  <si>
    <t>&lt;http://purl.obolibrary.org/obo/DHBA_12757&gt;</t>
  </si>
  <si>
    <t>lateral bulboreticulospinal tract</t>
  </si>
  <si>
    <t>&lt;http://purl.obolibrary.org/obo/DHBA_12758&gt;</t>
  </si>
  <si>
    <t>lateral vestibulospinal tract</t>
  </si>
  <si>
    <t>&lt;http://purl.obolibrary.org/obo/DHBA_12761&gt;</t>
  </si>
  <si>
    <t>medial tegmental tract</t>
  </si>
  <si>
    <t>&lt;http://purl.obolibrary.org/obo/DHBA_12765&gt;</t>
  </si>
  <si>
    <t>medial vestibulospinal tract</t>
  </si>
  <si>
    <t>&lt;http://purl.obolibrary.org/obo/DHBA_12766&gt;</t>
  </si>
  <si>
    <t>reticulocerebellar tract, pontine division</t>
  </si>
  <si>
    <t>&lt;http://purl.obolibrary.org/obo/DHBA_12770&gt;</t>
  </si>
  <si>
    <t>pyramidal tract</t>
  </si>
  <si>
    <t>&lt;http://purl.obolibrary.org/obo/DHBA_12773&gt;</t>
  </si>
  <si>
    <t>corticoreticular tract</t>
  </si>
  <si>
    <t>&lt;http://purl.obolibrary.org/obo/DHBA_12775&gt;</t>
  </si>
  <si>
    <t>raphespinal tract</t>
  </si>
  <si>
    <t>&lt;http://purl.obolibrary.org/obo/DHBA_12777&gt;</t>
  </si>
  <si>
    <t>lateral raphespinal tract</t>
  </si>
  <si>
    <t>&lt;http://purl.obolibrary.org/obo/DHBA_12778&gt;</t>
  </si>
  <si>
    <t>ventral raphespinal tract</t>
  </si>
  <si>
    <t>&lt;http://purl.obolibrary.org/obo/DHBA_12779&gt;</t>
  </si>
  <si>
    <t>rubrobulbar tract</t>
  </si>
  <si>
    <t>&lt;http://purl.obolibrary.org/obo/DHBA_12780&gt;</t>
  </si>
  <si>
    <t>rubro-olivary tract</t>
  </si>
  <si>
    <t>&lt;http://purl.obolibrary.org/obo/DHBA_12781&gt;</t>
  </si>
  <si>
    <t>spinal lemniscus in hindbrain</t>
  </si>
  <si>
    <t>&lt;http://purl.obolibrary.org/obo/DHBA_12784&gt;</t>
  </si>
  <si>
    <t>spinobulbar tract</t>
  </si>
  <si>
    <t>&lt;http://purl.obolibrary.org/obo/DHBA_12785&gt;</t>
  </si>
  <si>
    <t>spinohypothalamic tract</t>
  </si>
  <si>
    <t>&lt;http://purl.obolibrary.org/obo/DHBA_12786&gt;</t>
  </si>
  <si>
    <t>spinomesencephalic tract</t>
  </si>
  <si>
    <t>&lt;http://purl.obolibrary.org/obo/DHBA_12787&gt;</t>
  </si>
  <si>
    <t>spinoreticular tract</t>
  </si>
  <si>
    <t>&lt;http://purl.obolibrary.org/obo/DHBA_12788&gt;</t>
  </si>
  <si>
    <t>spinovestibular tract</t>
  </si>
  <si>
    <t>&lt;http://purl.obolibrary.org/obo/DHBA_12790&gt;</t>
  </si>
  <si>
    <t>tectobulbar tract</t>
  </si>
  <si>
    <t>&lt;http://purl.obolibrary.org/obo/DHBA_12791&gt;</t>
  </si>
  <si>
    <t>tectospinal tract</t>
  </si>
  <si>
    <t>&lt;http://purl.obolibrary.org/obo/DHBA_12794&gt;</t>
  </si>
  <si>
    <t>transverse fibers of pons</t>
  </si>
  <si>
    <t>&lt;http://purl.obolibrary.org/obo/DHBA_12795&gt;</t>
  </si>
  <si>
    <t>trigeminothalamic tract</t>
  </si>
  <si>
    <t>&lt;http://purl.obolibrary.org/obo/DHBA_12797&gt;</t>
  </si>
  <si>
    <t>ventral corticospinal tract</t>
  </si>
  <si>
    <t>&lt;http://purl.obolibrary.org/obo/DHBA_12798&gt;</t>
  </si>
  <si>
    <t>ventral external fibers</t>
  </si>
  <si>
    <t>&lt;http://purl.obolibrary.org/obo/DHBA_12799&gt;</t>
  </si>
  <si>
    <t>ventral reticulospinal tract</t>
  </si>
  <si>
    <t>&lt;http://purl.obolibrary.org/obo/DHBA_12800&gt;</t>
  </si>
  <si>
    <t>ventral tegmental tract</t>
  </si>
  <si>
    <t>&lt;http://purl.obolibrary.org/obo/DHBA_12802&gt;</t>
  </si>
  <si>
    <t>vestibulomesencephalic tract</t>
  </si>
  <si>
    <t>&lt;http://purl.obolibrary.org/obo/DHBA_12804&gt;</t>
  </si>
  <si>
    <t>roof of fourth ventricle</t>
  </si>
  <si>
    <t>&lt;http://purl.obolibrary.org/obo/DHBA_12806&gt;</t>
  </si>
  <si>
    <t>lateral aperture (foramen of Luschka)</t>
  </si>
  <si>
    <t>&lt;http://purl.obolibrary.org/obo/DHBA_12809&gt;</t>
  </si>
  <si>
    <t>median aperture (foramen of Magendie)</t>
  </si>
  <si>
    <t>&lt;http://purl.obolibrary.org/obo/DHBA_12811&gt;</t>
  </si>
  <si>
    <t>obex</t>
  </si>
  <si>
    <t>&lt;http://purl.obolibrary.org/obo/DHBA_12812&gt;</t>
  </si>
  <si>
    <t>floor of fourth ventricle (rhomboid fossa)</t>
  </si>
  <si>
    <t>&lt;http://purl.obolibrary.org/obo/DHBA_12813&gt;</t>
  </si>
  <si>
    <t>facial colliculus</t>
  </si>
  <si>
    <t>&lt;http://purl.obolibrary.org/obo/DHBA_12814&gt;</t>
  </si>
  <si>
    <t>fovea inferior</t>
  </si>
  <si>
    <t>&lt;http://purl.obolibrary.org/obo/DHBA_12815&gt;</t>
  </si>
  <si>
    <t>fovea superior</t>
  </si>
  <si>
    <t>&lt;http://purl.obolibrary.org/obo/DHBA_12816&gt;</t>
  </si>
  <si>
    <t>funiculus seperans</t>
  </si>
  <si>
    <t>&lt;http://purl.obolibrary.org/obo/DHBA_12817&gt;</t>
  </si>
  <si>
    <t>hypoglossal trigone</t>
  </si>
  <si>
    <t>&lt;http://purl.obolibrary.org/obo/DHBA_12818&gt;</t>
  </si>
  <si>
    <t>medial eminence</t>
  </si>
  <si>
    <t>&lt;http://purl.obolibrary.org/obo/DHBA_12820&gt;</t>
  </si>
  <si>
    <t>median sulcus</t>
  </si>
  <si>
    <t>&lt;http://purl.obolibrary.org/obo/DHBA_12821&gt;</t>
  </si>
  <si>
    <t>stria medulares of the fourth ventricle</t>
  </si>
  <si>
    <t>&lt;http://purl.obolibrary.org/obo/DHBA_12822&gt;</t>
  </si>
  <si>
    <t>sulcus limitans</t>
  </si>
  <si>
    <t>&lt;http://purl.obolibrary.org/obo/DHBA_12823&gt;</t>
  </si>
  <si>
    <t>taenia cinerea</t>
  </si>
  <si>
    <t>&lt;http://purl.obolibrary.org/obo/DHBA_12824&gt;</t>
  </si>
  <si>
    <t>vagal trigone</t>
  </si>
  <si>
    <t>&lt;http://purl.obolibrary.org/obo/DHBA_12825&gt;</t>
  </si>
  <si>
    <t>central canal of medulla oblongata</t>
  </si>
  <si>
    <t>&lt;http://purl.obolibrary.org/obo/DHBA_12826&gt;</t>
  </si>
  <si>
    <t>surface structures of cerebellum</t>
  </si>
  <si>
    <t>&lt;http://purl.obolibrary.org/obo/DHBA_12827&gt;</t>
  </si>
  <si>
    <t>precentral (postlingual) fissure</t>
  </si>
  <si>
    <t>&lt;http://purl.obolibrary.org/obo/DHBA_12829&gt;</t>
  </si>
  <si>
    <t>postcentral (preculminate) fissure</t>
  </si>
  <si>
    <t>&lt;http://purl.obolibrary.org/obo/DHBA_12830&gt;</t>
  </si>
  <si>
    <t>primary (anterior superior) fissure</t>
  </si>
  <si>
    <t>&lt;http://purl.obolibrary.org/obo/DHBA_12831&gt;</t>
  </si>
  <si>
    <t>posterior superior (postclival) fissure</t>
  </si>
  <si>
    <t>&lt;http://purl.obolibrary.org/obo/DHBA_12832&gt;</t>
  </si>
  <si>
    <t>horizontal (intercrural) fissure</t>
  </si>
  <si>
    <t>&lt;http://purl.obolibrary.org/obo/DHBA_12833&gt;</t>
  </si>
  <si>
    <t>prepyramidal (prebiventral) fissure</t>
  </si>
  <si>
    <t>&lt;http://purl.obolibrary.org/obo/DHBA_12834&gt;</t>
  </si>
  <si>
    <t>secondary (post pyramidal) fissure</t>
  </si>
  <si>
    <t>&lt;http://purl.obolibrary.org/obo/DHBA_12835&gt;</t>
  </si>
  <si>
    <t>posterolateral (postnodular) fissure</t>
  </si>
  <si>
    <t>&lt;http://purl.obolibrary.org/obo/DHBA_12836&gt;</t>
  </si>
  <si>
    <t>cerebellar lobes and lobules</t>
  </si>
  <si>
    <t>&lt;http://purl.obolibrary.org/obo/DHBA_12837&gt;</t>
  </si>
  <si>
    <t>surface structures of pons</t>
  </si>
  <si>
    <t>&lt;http://purl.obolibrary.org/obo/DHBA_12856&gt;</t>
  </si>
  <si>
    <t>basilar sulcus</t>
  </si>
  <si>
    <t>&lt;http://purl.obolibrary.org/obo/DHBA_12857&gt;</t>
  </si>
  <si>
    <t>parabrachial recess</t>
  </si>
  <si>
    <t>&lt;http://purl.obolibrary.org/obo/DHBA_12858&gt;</t>
  </si>
  <si>
    <t>pontomedullary sulcus</t>
  </si>
  <si>
    <t>&lt;http://purl.obolibrary.org/obo/DHBA_12859&gt;</t>
  </si>
  <si>
    <t>root of trigeminal nerve</t>
  </si>
  <si>
    <t>&lt;http://purl.obolibrary.org/obo/DHBA_12865&gt;</t>
  </si>
  <si>
    <t>cochlear root of vestibulocochlear nerve</t>
  </si>
  <si>
    <t>&lt;http://purl.obolibrary.org/obo/DHBA_12870&gt;</t>
  </si>
  <si>
    <t>rostral (anterior) medullary velum</t>
  </si>
  <si>
    <t>&lt;http://purl.obolibrary.org/obo/DHBA_12871&gt;</t>
  </si>
  <si>
    <t>surface structures of medulla</t>
  </si>
  <si>
    <t>&lt;http://purl.obolibrary.org/obo/DHBA_12872&gt;</t>
  </si>
  <si>
    <t>anterolateral medullary sulcus</t>
  </si>
  <si>
    <t>&lt;http://purl.obolibrary.org/obo/DHBA_12873&gt;</t>
  </si>
  <si>
    <t>preolivary sulcus</t>
  </si>
  <si>
    <t>&lt;http://purl.obolibrary.org/obo/DHBA_12874&gt;</t>
  </si>
  <si>
    <t>cuneate tubercle</t>
  </si>
  <si>
    <t>&lt;http://purl.obolibrary.org/obo/DHBA_12875&gt;</t>
  </si>
  <si>
    <t>dorsal (posterior) median medullary sulcus</t>
  </si>
  <si>
    <t>&lt;http://purl.obolibrary.org/obo/DHBA_12876&gt;</t>
  </si>
  <si>
    <t>foramen caecum</t>
  </si>
  <si>
    <t>&lt;http://purl.obolibrary.org/obo/DHBA_12877&gt;</t>
  </si>
  <si>
    <t>gracile tubercle (clava)</t>
  </si>
  <si>
    <t>&lt;http://purl.obolibrary.org/obo/DHBA_12878&gt;</t>
  </si>
  <si>
    <t>inferior (caudal) medullary velum</t>
  </si>
  <si>
    <t>&lt;http://purl.obolibrary.org/obo/DHBA_12879&gt;</t>
  </si>
  <si>
    <t>dorsal intermedite medullary sulcus</t>
  </si>
  <si>
    <t>&lt;http://purl.obolibrary.org/obo/DHBA_12880&gt;</t>
  </si>
  <si>
    <t>dorsal lateral medullary sulcus</t>
  </si>
  <si>
    <t>&lt;http://purl.obolibrary.org/obo/DHBA_12881&gt;</t>
  </si>
  <si>
    <t>postolivary sulcus</t>
  </si>
  <si>
    <t>&lt;http://purl.obolibrary.org/obo/DHBA_12882&gt;</t>
  </si>
  <si>
    <t>cranial root of accessory nerve</t>
  </si>
  <si>
    <t>&lt;http://purl.obolibrary.org/obo/DHBA_12884&gt;</t>
  </si>
  <si>
    <t>spinal root of accessory nerve</t>
  </si>
  <si>
    <t>&lt;http://purl.obolibrary.org/obo/DHBA_12885&gt;</t>
  </si>
  <si>
    <t>ventral (anterior) median medullary sulcus</t>
  </si>
  <si>
    <t>&lt;http://purl.obolibrary.org/obo/DHBA_12889&gt;</t>
  </si>
  <si>
    <t>nuclear transitory zone of cerebellar plate</t>
  </si>
  <si>
    <t>&lt;http://purl.obolibrary.org/obo/DHBA_12981&gt;</t>
  </si>
  <si>
    <t>cortical transitory zone of cerebellar plate</t>
  </si>
  <si>
    <t>&lt;http://purl.obolibrary.org/obo/DHBA_12982&gt;</t>
  </si>
  <si>
    <t>subcentral cortex (gustatory cortex, area 43)</t>
  </si>
  <si>
    <t>&lt;http://purl.obolibrary.org/obo/DHBA_13010&gt;</t>
  </si>
  <si>
    <t>area prostriata</t>
  </si>
  <si>
    <t>&lt;http://purl.obolibrary.org/obo/DHBA_13011&gt;</t>
  </si>
  <si>
    <t>layer I of area prostriata</t>
  </si>
  <si>
    <t>&lt;http://purl.obolibrary.org/obo/DHBA_13012&gt;</t>
  </si>
  <si>
    <t>layer II of area prostriata</t>
  </si>
  <si>
    <t>&lt;http://purl.obolibrary.org/obo/DHBA_13013&gt;</t>
  </si>
  <si>
    <t>layer III of area prostriata</t>
  </si>
  <si>
    <t>&lt;http://purl.obolibrary.org/obo/DHBA_13014&gt;</t>
  </si>
  <si>
    <t>layer IV of area prostriata</t>
  </si>
  <si>
    <t>&lt;http://purl.obolibrary.org/obo/DHBA_13015&gt;</t>
  </si>
  <si>
    <t>layer V of area prostriata</t>
  </si>
  <si>
    <t>&lt;http://purl.obolibrary.org/obo/DHBA_13016&gt;</t>
  </si>
  <si>
    <t>layer VI of area prostriata</t>
  </si>
  <si>
    <t>&lt;http://purl.obolibrary.org/obo/DHBA_13017&gt;</t>
  </si>
  <si>
    <t>layers V/VI of proximal parasubiculum</t>
  </si>
  <si>
    <t>&lt;http://purl.obolibrary.org/obo/DHBA_13018&gt;</t>
  </si>
  <si>
    <t>layers V/VI of distal parasubiculum</t>
  </si>
  <si>
    <t>&lt;http://purl.obolibrary.org/obo/DHBA_13019&gt;</t>
  </si>
  <si>
    <t>lamina dissecans of olfactory entorhinal cortex</t>
  </si>
  <si>
    <t>&lt;http://purl.obolibrary.org/obo/DHBA_13020&gt;</t>
  </si>
  <si>
    <t>lamina dissecans of rostral entorhinal cortex</t>
  </si>
  <si>
    <t>&lt;http://purl.obolibrary.org/obo/DHBA_13021&gt;</t>
  </si>
  <si>
    <t>lamina dissecans of laterorostral entorhinal cortex</t>
  </si>
  <si>
    <t>&lt;http://purl.obolibrary.org/obo/DHBA_13022&gt;</t>
  </si>
  <si>
    <t>lamina dissecans of laterocaudal entorhinal cortex</t>
  </si>
  <si>
    <t>&lt;http://purl.obolibrary.org/obo/DHBA_13023&gt;</t>
  </si>
  <si>
    <t>layers V/VI of area 29</t>
  </si>
  <si>
    <t>&lt;http://purl.obolibrary.org/obo/DHBA_13024&gt;</t>
  </si>
  <si>
    <t>marginal layer of anterior cortical nucleus</t>
  </si>
  <si>
    <t>&lt;http://purl.obolibrary.org/obo/DHBA_13025&gt;</t>
  </si>
  <si>
    <t>marginal layer of posterior cortical nucleus</t>
  </si>
  <si>
    <t>&lt;http://purl.obolibrary.org/obo/DHBA_13026&gt;</t>
  </si>
  <si>
    <t>marginal layer of medial amygdaloid nucleus</t>
  </si>
  <si>
    <t>&lt;http://purl.obolibrary.org/obo/DHBA_13027&gt;</t>
  </si>
  <si>
    <t>marginal layer of amygdalohippocampal area</t>
  </si>
  <si>
    <t>&lt;http://purl.obolibrary.org/obo/DHBA_13028&gt;</t>
  </si>
  <si>
    <t>septohipocampal nucleus</t>
  </si>
  <si>
    <t>&lt;http://purl.obolibrary.org/obo/DHBA_13029&gt;</t>
  </si>
  <si>
    <t>lambdoid septal zone</t>
  </si>
  <si>
    <t>&lt;http://purl.obolibrary.org/obo/DHBA_13030&gt;</t>
  </si>
  <si>
    <t>paralambdoid septal nucleus</t>
  </si>
  <si>
    <t>&lt;http://purl.obolibrary.org/obo/DHBA_13031&gt;</t>
  </si>
  <si>
    <t>substantia innominata</t>
  </si>
  <si>
    <t>&lt;http://purl.obolibrary.org/obo/DHBA_13034&gt;</t>
  </si>
  <si>
    <t>marginal layer of AHTA</t>
  </si>
  <si>
    <t>&lt;http://purl.obolibrary.org/obo/DHBA_13035&gt;</t>
  </si>
  <si>
    <t>marginal layer of ACTA</t>
  </si>
  <si>
    <t>&lt;http://purl.obolibrary.org/obo/DHBA_13036&gt;</t>
  </si>
  <si>
    <t>CP in extrastriate cortex</t>
  </si>
  <si>
    <t>&lt;http://purl.obolibrary.org/obo/DHBA_13095&gt;</t>
  </si>
  <si>
    <t>CP in area prostriata</t>
  </si>
  <si>
    <t>&lt;http://purl.obolibrary.org/obo/DHBA_13096&gt;</t>
  </si>
  <si>
    <t>CP in polysensory temporal cortex</t>
  </si>
  <si>
    <t>&lt;http://purl.obolibrary.org/obo/DHBA_13097&gt;</t>
  </si>
  <si>
    <t>CP in midlateral temporal cortex</t>
  </si>
  <si>
    <t>&lt;http://purl.obolibrary.org/obo/DHBA_13098&gt;</t>
  </si>
  <si>
    <t>CP in rostral midinferior temporal cortex (area 36)</t>
  </si>
  <si>
    <t>&lt;http://purl.obolibrary.org/obo/DHBA_13099&gt;</t>
  </si>
  <si>
    <t>outer CP in (rostral) midinferior temporal cortex (area 36)</t>
  </si>
  <si>
    <t>&lt;http://purl.obolibrary.org/obo/DHBA_13100&gt;</t>
  </si>
  <si>
    <t>inner CP in (rostral) midinferior temporal cortex (area 36)</t>
  </si>
  <si>
    <t>&lt;http://purl.obolibrary.org/obo/DHBA_13101&gt;</t>
  </si>
  <si>
    <t>CP in caudal midinferior temporal cortex (area TF)</t>
  </si>
  <si>
    <t>&lt;http://purl.obolibrary.org/obo/DHBA_13102&gt;</t>
  </si>
  <si>
    <t>outer CP in caudal midinferior temporal cortex (area TF)</t>
  </si>
  <si>
    <t>&lt;http://purl.obolibrary.org/obo/DHBA_13103&gt;</t>
  </si>
  <si>
    <t>inner CP in caudal midinferior temporal cortex (area TF)</t>
  </si>
  <si>
    <t>&lt;http://purl.obolibrary.org/obo/DHBA_13104&gt;</t>
  </si>
  <si>
    <t>CP in parainsualr temporal cortex</t>
  </si>
  <si>
    <t>&lt;http://purl.obolibrary.org/obo/DHBA_13105&gt;</t>
  </si>
  <si>
    <t>CP in rostral presubicular cortex</t>
  </si>
  <si>
    <t>&lt;http://purl.obolibrary.org/obo/DHBA_13106&gt;</t>
  </si>
  <si>
    <t>CP in caudal presubicular cortex (postsubiculum)</t>
  </si>
  <si>
    <t>&lt;http://purl.obolibrary.org/obo/DHBA_13107&gt;</t>
  </si>
  <si>
    <t>CP in medial (posterior) entorhinal cortex</t>
  </si>
  <si>
    <t>&lt;http://purl.obolibrary.org/obo/DHBA_13108&gt;</t>
  </si>
  <si>
    <t>CP in lateral (anterior) entorhinal cortex</t>
  </si>
  <si>
    <t>&lt;http://purl.obolibrary.org/obo/DHBA_13109&gt;</t>
  </si>
  <si>
    <t>SP in extrastriate cortex</t>
  </si>
  <si>
    <t>&lt;http://purl.obolibrary.org/obo/DHBA_13110&gt;</t>
  </si>
  <si>
    <t>SP in area prostriata</t>
  </si>
  <si>
    <t>&lt;http://purl.obolibrary.org/obo/DHBA_13111&gt;</t>
  </si>
  <si>
    <t>SP in polysensory temporal cortex</t>
  </si>
  <si>
    <t>&lt;http://purl.obolibrary.org/obo/DHBA_13112&gt;</t>
  </si>
  <si>
    <t>SP in midlateral temporal cortex</t>
  </si>
  <si>
    <t>&lt;http://purl.obolibrary.org/obo/DHBA_13113&gt;</t>
  </si>
  <si>
    <t>SP in rostral midinferior temporal cortex (area 36)</t>
  </si>
  <si>
    <t>&lt;http://purl.obolibrary.org/obo/DHBA_13114&gt;</t>
  </si>
  <si>
    <t>SP in caudal midinferior temporal cortex (area TF)</t>
  </si>
  <si>
    <t>&lt;http://purl.obolibrary.org/obo/DHBA_13115&gt;</t>
  </si>
  <si>
    <t>SP in parainsular temporal cortex</t>
  </si>
  <si>
    <t>&lt;http://purl.obolibrary.org/obo/DHBA_13116&gt;</t>
  </si>
  <si>
    <t>SP in rostral hippocampal proper</t>
  </si>
  <si>
    <t>&lt;http://purl.obolibrary.org/obo/DHBA_13117&gt;</t>
  </si>
  <si>
    <t>SP in caudal hippocampal proper</t>
  </si>
  <si>
    <t>&lt;http://purl.obolibrary.org/obo/DHBA_13118&gt;</t>
  </si>
  <si>
    <t>SP in rostral subicular cortex</t>
  </si>
  <si>
    <t>&lt;http://purl.obolibrary.org/obo/DHBA_13119&gt;</t>
  </si>
  <si>
    <t>SP in caudal subicular cortex</t>
  </si>
  <si>
    <t>&lt;http://purl.obolibrary.org/obo/DHBA_13120&gt;</t>
  </si>
  <si>
    <t>SP in rostral presubicular cortex</t>
  </si>
  <si>
    <t>&lt;http://purl.obolibrary.org/obo/DHBA_13121&gt;</t>
  </si>
  <si>
    <t>SP in caudal presubicular cortex (postsubiculum)</t>
  </si>
  <si>
    <t>&lt;http://purl.obolibrary.org/obo/DHBA_13122&gt;</t>
  </si>
  <si>
    <t>SP in medial (posterior) entorhinal cortex</t>
  </si>
  <si>
    <t>&lt;http://purl.obolibrary.org/obo/DHBA_13123&gt;</t>
  </si>
  <si>
    <t>SP in lateral (anterior) entorhinal cortex</t>
  </si>
  <si>
    <t>&lt;http://purl.obolibrary.org/obo/DHBA_13124&gt;</t>
  </si>
  <si>
    <t>SP in rostral perirhinal cortex</t>
  </si>
  <si>
    <t>&lt;http://purl.obolibrary.org/obo/DHBA_13125&gt;</t>
  </si>
  <si>
    <t>SP in caudal perirhinal cortex</t>
  </si>
  <si>
    <t>&lt;http://purl.obolibrary.org/obo/DHBA_13126&gt;</t>
  </si>
  <si>
    <t>vertical portion of rostral migratory stream</t>
  </si>
  <si>
    <t>&lt;http://purl.obolibrary.org/obo/DHBA_13198&gt;</t>
  </si>
  <si>
    <t>horizontal portion of rostral migratory stream</t>
  </si>
  <si>
    <t>&lt;http://purl.obolibrary.org/obo/DHBA_13199&gt;</t>
  </si>
  <si>
    <t>rostral (common) portion of calcarine fissure</t>
  </si>
  <si>
    <t>&lt;http://purl.obolibrary.org/obo/DHBA_13217&gt;</t>
  </si>
  <si>
    <t>caudal portion of calcarine fissure</t>
  </si>
  <si>
    <t>&lt;http://purl.obolibrary.org/obo/DHBA_13218&gt;</t>
  </si>
  <si>
    <t>superior ramus of caudal calcarine fissure</t>
  </si>
  <si>
    <t>&lt;http://purl.obolibrary.org/obo/DHBA_13219&gt;</t>
  </si>
  <si>
    <t>inferior ramus of caudal calcarine fissure</t>
  </si>
  <si>
    <t>&lt;http://purl.obolibrary.org/obo/DHBA_13220&gt;</t>
  </si>
  <si>
    <t>medial orbital sulcus</t>
  </si>
  <si>
    <t>&lt;http://purl.obolibrary.org/obo/DHBA_13221&gt;</t>
  </si>
  <si>
    <t>lateral orbital sulcus</t>
  </si>
  <si>
    <t>&lt;http://purl.obolibrary.org/obo/DHBA_13222&gt;</t>
  </si>
  <si>
    <t>rostral (anterior) transverse temporal gyrus</t>
  </si>
  <si>
    <t>&lt;http://purl.obolibrary.org/obo/DHBA_13231&gt;</t>
  </si>
  <si>
    <t>caudal (posterior) transverse temporal gyrus</t>
  </si>
  <si>
    <t>&lt;http://purl.obolibrary.org/obo/DHBA_13232&gt;</t>
  </si>
  <si>
    <t>Retzius' gyrus</t>
  </si>
  <si>
    <t>&lt;http://purl.obolibrary.org/obo/DHBA_13233&gt;</t>
  </si>
  <si>
    <t>CP in parasubicular cortex</t>
  </si>
  <si>
    <t>&lt;http://purl.obolibrary.org/obo/DHBA_13280&gt;</t>
  </si>
  <si>
    <t>CP in agranular insular cortex</t>
  </si>
  <si>
    <t>&lt;http://purl.obolibrary.org/obo/DHBA_13281&gt;</t>
  </si>
  <si>
    <t>outer CP in agranular insular cortex</t>
  </si>
  <si>
    <t>&lt;http://purl.obolibrary.org/obo/DHBA_13282&gt;</t>
  </si>
  <si>
    <t>inner CP in agranular insular cortex</t>
  </si>
  <si>
    <t>&lt;http://purl.obolibrary.org/obo/DHBA_13283&gt;</t>
  </si>
  <si>
    <t>CP in piriform cortex</t>
  </si>
  <si>
    <t>&lt;http://purl.obolibrary.org/obo/DHBA_13284&gt;</t>
  </si>
  <si>
    <t>SP in parasubicular cortex</t>
  </si>
  <si>
    <t>&lt;http://purl.obolibrary.org/obo/DHBA_13285&gt;</t>
  </si>
  <si>
    <t>SP in agranular insular cortex</t>
  </si>
  <si>
    <t>&lt;http://purl.obolibrary.org/obo/DHBA_13286&gt;</t>
  </si>
  <si>
    <t>SP in piriform cortex</t>
  </si>
  <si>
    <t>&lt;http://purl.obolibrary.org/obo/DHBA_13287&gt;</t>
  </si>
  <si>
    <t>VZ part of RMSv</t>
  </si>
  <si>
    <t>&lt;http://purl.obolibrary.org/obo/DHBA_13315&gt;</t>
  </si>
  <si>
    <t>GE part of RMSv</t>
  </si>
  <si>
    <t>&lt;http://purl.obolibrary.org/obo/DHBA_13316&gt;</t>
  </si>
  <si>
    <t>SZ part of RMSv</t>
  </si>
  <si>
    <t>&lt;http://purl.obolibrary.org/obo/DHBA_13317&gt;</t>
  </si>
  <si>
    <t>VZ part of RMSh</t>
  </si>
  <si>
    <t>&lt;http://purl.obolibrary.org/obo/DHBA_13318&gt;</t>
  </si>
  <si>
    <t>GE part of RMSh</t>
  </si>
  <si>
    <t>&lt;http://purl.obolibrary.org/obo/DHBA_13319&gt;</t>
  </si>
  <si>
    <t>SZ part of RMSh</t>
  </si>
  <si>
    <t>&lt;http://purl.obolibrary.org/obo/DHBA_13320&gt;</t>
  </si>
  <si>
    <t>dorsolateral temporal neocortex</t>
  </si>
  <si>
    <t>&lt;http://purl.obolibrary.org/obo/DHBA_13322&gt;</t>
  </si>
  <si>
    <t>retroinsular cortex</t>
  </si>
  <si>
    <t>&lt;http://purl.obolibrary.org/obo/DHBA_13323&gt;</t>
  </si>
  <si>
    <t>ventrolateral temporal neocortex</t>
  </si>
  <si>
    <t>&lt;http://purl.obolibrary.org/obo/DHBA_13324&gt;</t>
  </si>
  <si>
    <t>marginal layer of SuS</t>
  </si>
  <si>
    <t>&lt;http://purl.obolibrary.org/obo/DHBA_13326&gt;</t>
  </si>
  <si>
    <t>principal layer of SuS</t>
  </si>
  <si>
    <t>&lt;http://purl.obolibrary.org/obo/DHBA_13327&gt;</t>
  </si>
  <si>
    <t>marginal layer of IG</t>
  </si>
  <si>
    <t>&lt;http://purl.obolibrary.org/obo/DHBA_13328&gt;</t>
  </si>
  <si>
    <t>principal layer of IG</t>
  </si>
  <si>
    <t>&lt;http://purl.obolibrary.org/obo/DHBA_13329&gt;</t>
  </si>
  <si>
    <t>supra-amygdaloid area</t>
  </si>
  <si>
    <t>&lt;http://purl.obolibrary.org/obo/DHBA_13330&gt;</t>
  </si>
  <si>
    <t>transient zones of cerebellar cortex</t>
  </si>
  <si>
    <t>&lt;http://purl.obolibrary.org/obo/DHBA_13345&gt;</t>
  </si>
  <si>
    <t>transient zones of cerebellar vermis</t>
  </si>
  <si>
    <t>&lt;http://purl.obolibrary.org/obo/DHBA_13346&gt;</t>
  </si>
  <si>
    <t>external granular (germinal) zone of the vermis</t>
  </si>
  <si>
    <t>&lt;http://purl.obolibrary.org/obo/DHBA_13347&gt;</t>
  </si>
  <si>
    <t>marginal zone of the vermis</t>
  </si>
  <si>
    <t>&lt;http://purl.obolibrary.org/obo/DHBA_13348&gt;</t>
  </si>
  <si>
    <t>Purkinje cell zone of the vermis</t>
  </si>
  <si>
    <t>&lt;http://purl.obolibrary.org/obo/DHBA_13349&gt;</t>
  </si>
  <si>
    <t>inner granular cell zone of the vermis</t>
  </si>
  <si>
    <t>&lt;http://purl.obolibrary.org/obo/DHBA_13350&gt;</t>
  </si>
  <si>
    <t>superficial (cell dense) portion of VeTi</t>
  </si>
  <si>
    <t>&lt;http://purl.obolibrary.org/obo/DHBA_13351&gt;</t>
  </si>
  <si>
    <t>deep (cell loose) portion of VeTi</t>
  </si>
  <si>
    <t>&lt;http://purl.obolibrary.org/obo/DHBA_13352&gt;</t>
  </si>
  <si>
    <t>ventricular (germinal) zone of the vermis</t>
  </si>
  <si>
    <t>&lt;http://purl.obolibrary.org/obo/DHBA_13353&gt;</t>
  </si>
  <si>
    <t>transient zones of cerebellar paravermis</t>
  </si>
  <si>
    <t>&lt;http://purl.obolibrary.org/obo/DHBA_13354&gt;</t>
  </si>
  <si>
    <t>external granular (germinal) zone of the paravermis</t>
  </si>
  <si>
    <t>&lt;http://purl.obolibrary.org/obo/DHBA_13355&gt;</t>
  </si>
  <si>
    <t>marginal zone of the paravermis</t>
  </si>
  <si>
    <t>&lt;http://purl.obolibrary.org/obo/DHBA_13356&gt;</t>
  </si>
  <si>
    <t>Purkinje cell zone of the paravermis</t>
  </si>
  <si>
    <t>&lt;http://purl.obolibrary.org/obo/DHBA_13357&gt;</t>
  </si>
  <si>
    <t>inner granular cell zone of the paravermis</t>
  </si>
  <si>
    <t>&lt;http://purl.obolibrary.org/obo/DHBA_13358&gt;</t>
  </si>
  <si>
    <t>superficial (cell dense) portion of PRVTi</t>
  </si>
  <si>
    <t>&lt;http://purl.obolibrary.org/obo/DHBA_13359&gt;</t>
  </si>
  <si>
    <t>deep (cell loose) portion of PRVTi</t>
  </si>
  <si>
    <t>&lt;http://purl.obolibrary.org/obo/DHBA_13360&gt;</t>
  </si>
  <si>
    <t>ventricular (germinal) zone of the paravermis</t>
  </si>
  <si>
    <t>&lt;http://purl.obolibrary.org/obo/DHBA_13361&gt;</t>
  </si>
  <si>
    <t>transient zones of cerebellar lateral hemisphere</t>
  </si>
  <si>
    <t>&lt;http://purl.obolibrary.org/obo/DHBA_13362&gt;</t>
  </si>
  <si>
    <t>external granular (germinal) zone of lateral hemisphere</t>
  </si>
  <si>
    <t>&lt;http://purl.obolibrary.org/obo/DHBA_13363&gt;</t>
  </si>
  <si>
    <t>marginal zone of lateral hemisphere</t>
  </si>
  <si>
    <t>&lt;http://purl.obolibrary.org/obo/DHBA_13364&gt;</t>
  </si>
  <si>
    <t>Purkinje cell zone of lateral hemisphere</t>
  </si>
  <si>
    <t>&lt;http://purl.obolibrary.org/obo/DHBA_13365&gt;</t>
  </si>
  <si>
    <t>inner granular cell zone of lateral hemisphere</t>
  </si>
  <si>
    <t>&lt;http://purl.obolibrary.org/obo/DHBA_13366&gt;</t>
  </si>
  <si>
    <t>superficial (cell dense) portion of CbLTi</t>
  </si>
  <si>
    <t>&lt;http://purl.obolibrary.org/obo/DHBA_13367&gt;</t>
  </si>
  <si>
    <t>deep (cell loose) portionof CbLTi</t>
  </si>
  <si>
    <t>&lt;http://purl.obolibrary.org/obo/DHBA_13368&gt;</t>
  </si>
  <si>
    <t>ventricular (germinal) zone of lateral hemisphere</t>
  </si>
  <si>
    <t>&lt;http://purl.obolibrary.org/obo/DHBA_13369&gt;</t>
  </si>
  <si>
    <t>transient zones of cerebellar flocculus</t>
  </si>
  <si>
    <t>&lt;http://purl.obolibrary.org/obo/DHBA_13370&gt;</t>
  </si>
  <si>
    <t>external granular (germinal) zone of flocculus</t>
  </si>
  <si>
    <t>&lt;http://purl.obolibrary.org/obo/DHBA_13371&gt;</t>
  </si>
  <si>
    <t>marginal zone of flocculus</t>
  </si>
  <si>
    <t>&lt;http://purl.obolibrary.org/obo/DHBA_13372&gt;</t>
  </si>
  <si>
    <t>Purkinje cell zone of flocculus</t>
  </si>
  <si>
    <t>&lt;http://purl.obolibrary.org/obo/DHBA_13373&gt;</t>
  </si>
  <si>
    <t>inner granular cell zone of flocculus</t>
  </si>
  <si>
    <t>&lt;http://purl.obolibrary.org/obo/DHBA_13374&gt;</t>
  </si>
  <si>
    <t>superficial (cell dense) portion of CbFTi</t>
  </si>
  <si>
    <t>&lt;http://purl.obolibrary.org/obo/DHBA_13375&gt;</t>
  </si>
  <si>
    <t>deep (cell loose) portionof CbFTi</t>
  </si>
  <si>
    <t>&lt;http://purl.obolibrary.org/obo/DHBA_13376&gt;</t>
  </si>
  <si>
    <t>ventricular (germinal) zone of flocculus</t>
  </si>
  <si>
    <t>&lt;http://purl.obolibrary.org/obo/DHBA_13377&gt;</t>
  </si>
  <si>
    <t>transient glia cell group of cerebellar deep nucleus</t>
  </si>
  <si>
    <t>&lt;http://purl.obolibrary.org/obo/DHBA_13378&gt;</t>
  </si>
  <si>
    <t>&lt;http://purl.obolibrary.org/obo/DHBA_146034622&gt;</t>
  </si>
  <si>
    <t>intermediate division of IPC (area 40/39)</t>
  </si>
  <si>
    <t>&lt;http://purl.obolibrary.org/obo/DHBA_146034630&gt;</t>
  </si>
  <si>
    <t>rostral subdivision of area 40/39</t>
  </si>
  <si>
    <t>&lt;http://purl.obolibrary.org/obo/DHBA_146034634&gt;</t>
  </si>
  <si>
    <t>layer I of area 40/39r</t>
  </si>
  <si>
    <t>&lt;http://purl.obolibrary.org/obo/DHBA_146034638&gt;</t>
  </si>
  <si>
    <t>layer II of area 40/39r</t>
  </si>
  <si>
    <t>&lt;http://purl.obolibrary.org/obo/DHBA_146034642&gt;</t>
  </si>
  <si>
    <t>layer III of area 40/39r</t>
  </si>
  <si>
    <t>&lt;http://purl.obolibrary.org/obo/DHBA_146034646&gt;</t>
  </si>
  <si>
    <t>layer IV of area 40/39r</t>
  </si>
  <si>
    <t>&lt;http://purl.obolibrary.org/obo/DHBA_146034650&gt;</t>
  </si>
  <si>
    <t>layer V of area 40/39r</t>
  </si>
  <si>
    <t>&lt;http://purl.obolibrary.org/obo/DHBA_146034654&gt;</t>
  </si>
  <si>
    <t>layer VI of area 40/39r</t>
  </si>
  <si>
    <t>&lt;http://purl.obolibrary.org/obo/DHBA_146034658&gt;</t>
  </si>
  <si>
    <t>caudal subdivision of area 40/39</t>
  </si>
  <si>
    <t>&lt;http://purl.obolibrary.org/obo/DHBA_146034662&gt;</t>
  </si>
  <si>
    <t>layer I of area 40/39c</t>
  </si>
  <si>
    <t>&lt;http://purl.obolibrary.org/obo/DHBA_146034666&gt;</t>
  </si>
  <si>
    <t>layer II of area 40/39c</t>
  </si>
  <si>
    <t>&lt;http://purl.obolibrary.org/obo/DHBA_146034670&gt;</t>
  </si>
  <si>
    <t>layer III of area 40/39c</t>
  </si>
  <si>
    <t>&lt;http://purl.obolibrary.org/obo/DHBA_146034674&gt;</t>
  </si>
  <si>
    <t>layer IV of area 40/39c</t>
  </si>
  <si>
    <t>&lt;http://purl.obolibrary.org/obo/DHBA_146034678&gt;</t>
  </si>
  <si>
    <t>layer V of area 40/39c</t>
  </si>
  <si>
    <t>&lt;http://purl.obolibrary.org/obo/DHBA_146034682&gt;</t>
  </si>
  <si>
    <t>layer VI of area 40/39c</t>
  </si>
  <si>
    <t>&lt;http://purl.obolibrary.org/obo/DHBA_146034686&gt;</t>
  </si>
  <si>
    <t>area x of visual cortex</t>
  </si>
  <si>
    <t>&lt;http://purl.obolibrary.org/obo/DHBA_146034690&gt;</t>
  </si>
  <si>
    <t>lateral olfactory area</t>
  </si>
  <si>
    <t>&lt;http://purl.obolibrary.org/obo/DHBA_146034694&gt;</t>
  </si>
  <si>
    <t>layer I of lateral olfactory area</t>
  </si>
  <si>
    <t>&lt;http://purl.obolibrary.org/obo/DHBA_146034698&gt;</t>
  </si>
  <si>
    <t>layer II of lateral olfactory area</t>
  </si>
  <si>
    <t>&lt;http://purl.obolibrary.org/obo/DHBA_146034702&gt;</t>
  </si>
  <si>
    <t>layer III of lateral olfactory area</t>
  </si>
  <si>
    <t>&lt;http://purl.obolibrary.org/obo/DHBA_146034706&gt;</t>
  </si>
  <si>
    <t>dorsal part of AAA</t>
  </si>
  <si>
    <t>&lt;http://purl.obolibrary.org/obo/DHBA_146034710&gt;</t>
  </si>
  <si>
    <t>ventral part of AAA</t>
  </si>
  <si>
    <t>&lt;http://purl.obolibrary.org/obo/DHBA_146034714&gt;</t>
  </si>
  <si>
    <t>dorsal subdivision of CoP</t>
  </si>
  <si>
    <t>&lt;http://purl.obolibrary.org/obo/DHBA_146034718&gt;</t>
  </si>
  <si>
    <t>venrtral subdivision of CoP</t>
  </si>
  <si>
    <t>&lt;http://purl.obolibrary.org/obo/DHBA_146034722&gt;</t>
  </si>
  <si>
    <t>magnocellular part of amygdalohippocampal area</t>
  </si>
  <si>
    <t>&lt;http://purl.obolibrary.org/obo/DHBA_146034726&gt;</t>
  </si>
  <si>
    <t>parvocellular part of amygdalohippocampal area</t>
  </si>
  <si>
    <t>&lt;http://purl.obolibrary.org/obo/DHBA_146034730&gt;</t>
  </si>
  <si>
    <t>glomerular subdivision of lateral nucleus</t>
  </si>
  <si>
    <t>&lt;http://purl.obolibrary.org/obo/DHBA_146034734&gt;</t>
  </si>
  <si>
    <t>glomerular part of paralaminar nucleus</t>
  </si>
  <si>
    <t>&lt;http://purl.obolibrary.org/obo/DHBA_146034738&gt;</t>
  </si>
  <si>
    <t>peri-caudate ependymal and subependymal zone</t>
  </si>
  <si>
    <t>&lt;http://purl.obolibrary.org/obo/DHBA_146034742&gt;</t>
  </si>
  <si>
    <t>caudate-putamen cell bridges</t>
  </si>
  <si>
    <t>&lt;http://purl.obolibrary.org/obo/DHBA_146034746&gt;</t>
  </si>
  <si>
    <t>ventral part of rostral putamen</t>
  </si>
  <si>
    <t>&lt;http://purl.obolibrary.org/obo/DHBA_146034750&gt;</t>
  </si>
  <si>
    <t>posteroventral putamen</t>
  </si>
  <si>
    <t>&lt;http://purl.obolibrary.org/obo/DHBA_146034754&gt;</t>
  </si>
  <si>
    <t>entopeduncular nucleus</t>
  </si>
  <si>
    <t>&lt;http://purl.obolibrary.org/obo/DHBA_146034758&gt;</t>
  </si>
  <si>
    <t>temporal claustrum</t>
  </si>
  <si>
    <t>&lt;http://purl.obolibrary.org/obo/DHBA_146034762&gt;</t>
  </si>
  <si>
    <t>collateral sulcus, rostral segment</t>
  </si>
  <si>
    <t>&lt;http://purl.obolibrary.org/obo/DHBA_146034772&gt;</t>
  </si>
  <si>
    <t>collateral sulcus, caudal segment</t>
  </si>
  <si>
    <t>&lt;http://purl.obolibrary.org/obo/DHBA_146034776&gt;</t>
  </si>
  <si>
    <t>parietooccipital fissure, lateral extension</t>
  </si>
  <si>
    <t>&lt;http://purl.obolibrary.org/obo/DHBA_146034780&gt;</t>
  </si>
  <si>
    <t>anterior transverse temporal sulcus</t>
  </si>
  <si>
    <t>&lt;http://purl.obolibrary.org/obo/DHBA_146034856&gt;</t>
  </si>
  <si>
    <t>posterior transverse temporal sulcus</t>
  </si>
  <si>
    <t>&lt;http://purl.obolibrary.org/obo/DHBA_146034860&gt;</t>
  </si>
  <si>
    <t>intermediate transverse temporal sulcus</t>
  </si>
  <si>
    <t>&lt;http://purl.obolibrary.org/obo/DHBA_146034864&gt;</t>
  </si>
  <si>
    <t>lateral extension of transverse temporal sulcus</t>
  </si>
  <si>
    <t>&lt;http://purl.obolibrary.org/obo/DHBA_146034868&gt;</t>
  </si>
  <si>
    <t>frontomarginal gyrus</t>
  </si>
  <si>
    <t>&lt;http://purl.obolibrary.org/obo/DHBA_146034884&gt;</t>
  </si>
  <si>
    <t>perirhinal gyrus ( rostral part of FuGt)</t>
  </si>
  <si>
    <t>&lt;http://purl.obolibrary.org/obo/DHBA_146034892&gt;</t>
  </si>
  <si>
    <t>perirhinal lobule</t>
  </si>
  <si>
    <t>&lt;http://purl.obolibrary.org/obo/DHBA_146034896&gt;</t>
  </si>
  <si>
    <t>occipitoparietal transition region</t>
  </si>
  <si>
    <t>&lt;http://purl.obolibrary.org/obo/DHBA_146034900&gt;</t>
  </si>
  <si>
    <t>occipitotemporal transition region</t>
  </si>
  <si>
    <t>&lt;http://purl.obolibrary.org/obo/DHBA_146034904&gt;</t>
  </si>
  <si>
    <t>ventral tegmental nucleus, rostral extension</t>
  </si>
  <si>
    <t>&lt;http://purl.obolibrary.org/obo/DHBA_146034960&gt;</t>
  </si>
  <si>
    <t>ependyma and subependymal layers of pons</t>
  </si>
  <si>
    <t>&lt;http://purl.obolibrary.org/obo/DHBA_146034968&gt;</t>
  </si>
  <si>
    <t>nucleus pararaphales</t>
  </si>
  <si>
    <t>&lt;http://purl.obolibrary.org/obo/DHBA_146034978&gt;</t>
  </si>
  <si>
    <t>basal interstitial nucleus</t>
  </si>
  <si>
    <t>&lt;http://purl.obolibrary.org/obo/DHBA_146034982&gt;</t>
  </si>
  <si>
    <t>ependyma and subependymal layers of the medulla</t>
  </si>
  <si>
    <t>&lt;http://purl.obolibrary.org/obo/DHBA_146034990&gt;</t>
  </si>
  <si>
    <t>internal basal nucleus</t>
  </si>
  <si>
    <t>&lt;http://purl.obolibrary.org/obo/DHBA_146034994&gt;</t>
  </si>
  <si>
    <t>notocuneate nucleus</t>
  </si>
  <si>
    <t>&lt;http://purl.obolibrary.org/obo/DHBA_146034998&gt;</t>
  </si>
  <si>
    <t>intravbiventral fissure</t>
  </si>
  <si>
    <t>&lt;http://purl.obolibrary.org/obo/DHBA_146035004&gt;</t>
  </si>
  <si>
    <t>isthmus of rhombencephalon</t>
  </si>
  <si>
    <t>&lt;http://purl.obolibrary.org/obo/DHBA_146035008&gt;</t>
  </si>
  <si>
    <t>adjoining structures of fourth ventricle</t>
  </si>
  <si>
    <t>&lt;http://purl.obolibrary.org/obo/DHBA_146035012&gt;</t>
  </si>
  <si>
    <t>CP in dorsolateral temporal cortex</t>
  </si>
  <si>
    <t>&lt;http://purl.obolibrary.org/obo/DHBA_15502&gt;</t>
  </si>
  <si>
    <t>CP in ventrolateral temporal cortex</t>
  </si>
  <si>
    <t>&lt;http://purl.obolibrary.org/obo/DHBA_15503&gt;</t>
  </si>
  <si>
    <t>SP in dorsolateral temporal cortex</t>
  </si>
  <si>
    <t>&lt;http://purl.obolibrary.org/obo/DHBA_15504&gt;</t>
  </si>
  <si>
    <t>SP in ventrolateral temporal cortex</t>
  </si>
  <si>
    <t>&lt;http://purl.obolibrary.org/obo/DHBA_15505&gt;</t>
  </si>
  <si>
    <t>rostral dysgranular insular cortex</t>
  </si>
  <si>
    <t>&lt;http://purl.obolibrary.org/obo/DHBA_15513&gt;</t>
  </si>
  <si>
    <t>caudal dysgranular insular cortex</t>
  </si>
  <si>
    <t>&lt;http://purl.obolibrary.org/obo/DHBA_15514&gt;</t>
  </si>
  <si>
    <t>layer I of caudal dysgranular insular cortex</t>
  </si>
  <si>
    <t>&lt;http://purl.obolibrary.org/obo/DHBA_15515&gt;</t>
  </si>
  <si>
    <t>layer II of caudal dysgranular insular cortex</t>
  </si>
  <si>
    <t>&lt;http://purl.obolibrary.org/obo/DHBA_15516&gt;</t>
  </si>
  <si>
    <t>layer III of caudal dysgranular insular cortex</t>
  </si>
  <si>
    <t>&lt;http://purl.obolibrary.org/obo/DHBA_15517&gt;</t>
  </si>
  <si>
    <t>layer IV of caudal dysgranular insular cortex</t>
  </si>
  <si>
    <t>&lt;http://purl.obolibrary.org/obo/DHBA_15518&gt;</t>
  </si>
  <si>
    <t>layer V of caudal dysgranular insular cortex</t>
  </si>
  <si>
    <t>&lt;http://purl.obolibrary.org/obo/DHBA_15519&gt;</t>
  </si>
  <si>
    <t>layer VI of caudal dysgranular insular cortex</t>
  </si>
  <si>
    <t>&lt;http://purl.obolibrary.org/obo/DHBA_15520&gt;</t>
  </si>
  <si>
    <t>rostral granular insular cortex</t>
  </si>
  <si>
    <t>&lt;http://purl.obolibrary.org/obo/DHBA_15521&gt;</t>
  </si>
  <si>
    <t>caudal granular insular cortex</t>
  </si>
  <si>
    <t>&lt;http://purl.obolibrary.org/obo/DHBA_15522&gt;</t>
  </si>
  <si>
    <t>layer I of caudal granular insular cortex</t>
  </si>
  <si>
    <t>&lt;http://purl.obolibrary.org/obo/DHBA_15523&gt;</t>
  </si>
  <si>
    <t>layer II of caudal granular insular cortex</t>
  </si>
  <si>
    <t>&lt;http://purl.obolibrary.org/obo/DHBA_15524&gt;</t>
  </si>
  <si>
    <t>layer III of caudal granular insular cortex</t>
  </si>
  <si>
    <t>&lt;http://purl.obolibrary.org/obo/DHBA_15525&gt;</t>
  </si>
  <si>
    <t>layer IV of caudal granular insular cortex</t>
  </si>
  <si>
    <t>&lt;http://purl.obolibrary.org/obo/DHBA_15526&gt;</t>
  </si>
  <si>
    <t>layer V of caudal granular insular cortex</t>
  </si>
  <si>
    <t>&lt;http://purl.obolibrary.org/obo/DHBA_15527&gt;</t>
  </si>
  <si>
    <t>layer VI of caudal granular insular cortex</t>
  </si>
  <si>
    <t>&lt;http://purl.obolibrary.org/obo/DHBA_15528&gt;</t>
  </si>
  <si>
    <t>deep (subplate) layer of SuS</t>
  </si>
  <si>
    <t>&lt;http://purl.obolibrary.org/obo/DHBA_15529&gt;</t>
  </si>
  <si>
    <t>deep (subplate) layer of IG</t>
  </si>
  <si>
    <t>&lt;http://purl.obolibrary.org/obo/DHBA_15530&gt;</t>
  </si>
  <si>
    <t>marginal layer of TT</t>
  </si>
  <si>
    <t>&lt;http://purl.obolibrary.org/obo/DHBA_15531&gt;</t>
  </si>
  <si>
    <t>principal layer of TT</t>
  </si>
  <si>
    <t>&lt;http://purl.obolibrary.org/obo/DHBA_15532&gt;</t>
  </si>
  <si>
    <t>deep (subplate) layer of TT</t>
  </si>
  <si>
    <t>&lt;http://purl.obolibrary.org/obo/DHBA_15533&gt;</t>
  </si>
  <si>
    <t>facial nucleus,stylohyoid part</t>
  </si>
  <si>
    <t>&lt;http://purl.obolibrary.org/obo/DHBA_15554&gt;</t>
  </si>
  <si>
    <t>reticulotegmental nucleus, dorsal part</t>
  </si>
  <si>
    <t>&lt;http://purl.obolibrary.org/obo/DHBA_15555&gt;</t>
  </si>
  <si>
    <t>B9 serotonin cells</t>
  </si>
  <si>
    <t>&lt;http://purl.obolibrary.org/obo/DHBA_15556&gt;</t>
  </si>
  <si>
    <t>dorsomedial tegmental area</t>
  </si>
  <si>
    <t>&lt;http://purl.obolibrary.org/obo/DHBA_15557&gt;</t>
  </si>
  <si>
    <t>dorsal motor nucleus of vagus, ventrointermediate part</t>
  </si>
  <si>
    <t>&lt;http://purl.obolibrary.org/obo/DHBA_15558&gt;</t>
  </si>
  <si>
    <t>dorsal motor nucleus of the vagus, ventrorostral part</t>
  </si>
  <si>
    <t>&lt;http://purl.obolibrary.org/obo/DHBA_15559&gt;</t>
  </si>
  <si>
    <t>austral nucleus</t>
  </si>
  <si>
    <t>&lt;http://purl.obolibrary.org/obo/DHBA_15560&gt;</t>
  </si>
  <si>
    <t>hilus of the inferior olive</t>
  </si>
  <si>
    <t>&lt;http://purl.obolibrary.org/obo/DHBA_15562&gt;</t>
  </si>
  <si>
    <t>dorsal subdivision of area 44</t>
  </si>
  <si>
    <t>&lt;http://purl.obolibrary.org/obo/DHBA_266441105&gt;</t>
  </si>
  <si>
    <t>layer I of area 44d</t>
  </si>
  <si>
    <t>&lt;http://purl.obolibrary.org/obo/DHBA_266441109&gt;</t>
  </si>
  <si>
    <t>layer II of area 44d</t>
  </si>
  <si>
    <t>&lt;http://purl.obolibrary.org/obo/DHBA_266441113&gt;</t>
  </si>
  <si>
    <t>layer III of area 44d</t>
  </si>
  <si>
    <t>&lt;http://purl.obolibrary.org/obo/DHBA_266441117&gt;</t>
  </si>
  <si>
    <t>layer IV of area 44d</t>
  </si>
  <si>
    <t>&lt;http://purl.obolibrary.org/obo/DHBA_266441121&gt;</t>
  </si>
  <si>
    <t>layer V of area 44d</t>
  </si>
  <si>
    <t>&lt;http://purl.obolibrary.org/obo/DHBA_266441125&gt;</t>
  </si>
  <si>
    <t>layer VI of area 44d</t>
  </si>
  <si>
    <t>&lt;http://purl.obolibrary.org/obo/DHBA_266441129&gt;</t>
  </si>
  <si>
    <t>ventral subdivision of area 44</t>
  </si>
  <si>
    <t>&lt;http://purl.obolibrary.org/obo/DHBA_266441133&gt;</t>
  </si>
  <si>
    <t>layer I of area 44v</t>
  </si>
  <si>
    <t>&lt;http://purl.obolibrary.org/obo/DHBA_266441137&gt;</t>
  </si>
  <si>
    <t>layer II of area 44v</t>
  </si>
  <si>
    <t>&lt;http://purl.obolibrary.org/obo/DHBA_266441141&gt;</t>
  </si>
  <si>
    <t>layer III of area 44v</t>
  </si>
  <si>
    <t>&lt;http://purl.obolibrary.org/obo/DHBA_266441145&gt;</t>
  </si>
  <si>
    <t>layer IV of area 44v</t>
  </si>
  <si>
    <t>&lt;http://purl.obolibrary.org/obo/DHBA_266441149&gt;</t>
  </si>
  <si>
    <t>layer V of area 44v</t>
  </si>
  <si>
    <t>&lt;http://purl.obolibrary.org/obo/DHBA_266441153&gt;</t>
  </si>
  <si>
    <t>layer VI of area 44v</t>
  </si>
  <si>
    <t>&lt;http://purl.obolibrary.org/obo/DHBA_266441157&gt;</t>
  </si>
  <si>
    <t>opercular subdivision of area 44</t>
  </si>
  <si>
    <t>&lt;http://purl.obolibrary.org/obo/DHBA_266441161&gt;</t>
  </si>
  <si>
    <t>layer I of area 44op</t>
  </si>
  <si>
    <t>&lt;http://purl.obolibrary.org/obo/DHBA_266441165&gt;</t>
  </si>
  <si>
    <t>layer II of area 44op</t>
  </si>
  <si>
    <t>&lt;http://purl.obolibrary.org/obo/DHBA_266441169&gt;</t>
  </si>
  <si>
    <t>layer III of area 44op</t>
  </si>
  <si>
    <t>&lt;http://purl.obolibrary.org/obo/DHBA_266441173&gt;</t>
  </si>
  <si>
    <t>layer IV of area 44op</t>
  </si>
  <si>
    <t>&lt;http://purl.obolibrary.org/obo/DHBA_266441177&gt;</t>
  </si>
  <si>
    <t>layer V of area 44op</t>
  </si>
  <si>
    <t>&lt;http://purl.obolibrary.org/obo/DHBA_266441181&gt;</t>
  </si>
  <si>
    <t>layer VI of area 44op</t>
  </si>
  <si>
    <t>&lt;http://purl.obolibrary.org/obo/DHBA_266441185&gt;</t>
  </si>
  <si>
    <t>opercular subdivision of A45</t>
  </si>
  <si>
    <t>&lt;http://purl.obolibrary.org/obo/DHBA_266441189&gt;</t>
  </si>
  <si>
    <t>layer I of area 45op</t>
  </si>
  <si>
    <t>&lt;http://purl.obolibrary.org/obo/DHBA_266441193&gt;</t>
  </si>
  <si>
    <t>layer II of area 45op</t>
  </si>
  <si>
    <t>&lt;http://purl.obolibrary.org/obo/DHBA_266441197&gt;</t>
  </si>
  <si>
    <t>layer III of area 45op</t>
  </si>
  <si>
    <t>&lt;http://purl.obolibrary.org/obo/DHBA_266441201&gt;</t>
  </si>
  <si>
    <t>layer IV of area 45op</t>
  </si>
  <si>
    <t>&lt;http://purl.obolibrary.org/obo/DHBA_266441205&gt;</t>
  </si>
  <si>
    <t>layer V of area 45op</t>
  </si>
  <si>
    <t>&lt;http://purl.obolibrary.org/obo/DHBA_266441209&gt;</t>
  </si>
  <si>
    <t>layer VI of area 45op</t>
  </si>
  <si>
    <t>&lt;http://purl.obolibrary.org/obo/DHBA_266441213&gt;</t>
  </si>
  <si>
    <t>area 6/32</t>
  </si>
  <si>
    <t>&lt;http://purl.obolibrary.org/obo/DHBA_266441217&gt;</t>
  </si>
  <si>
    <t>layer I of area 6/32</t>
  </si>
  <si>
    <t>&lt;http://purl.obolibrary.org/obo/DHBA_266441221&gt;</t>
  </si>
  <si>
    <t>layer II of area 6/32</t>
  </si>
  <si>
    <t>&lt;http://purl.obolibrary.org/obo/DHBA_266441225&gt;</t>
  </si>
  <si>
    <t>layer III of area 6/32</t>
  </si>
  <si>
    <t>&lt;http://purl.obolibrary.org/obo/DHBA_266441229&gt;</t>
  </si>
  <si>
    <t>layer IV of area 6/32</t>
  </si>
  <si>
    <t>&lt;http://purl.obolibrary.org/obo/DHBA_266441233&gt;</t>
  </si>
  <si>
    <t>layer V of area 6/32</t>
  </si>
  <si>
    <t>&lt;http://purl.obolibrary.org/obo/DHBA_266441237&gt;</t>
  </si>
  <si>
    <t>layer VI of area 6/32</t>
  </si>
  <si>
    <t>&lt;http://purl.obolibrary.org/obo/DHBA_266441241&gt;</t>
  </si>
  <si>
    <t>uncal dentate gyrus</t>
  </si>
  <si>
    <t>&lt;http://purl.obolibrary.org/obo/DHBA_266441247&gt;</t>
  </si>
  <si>
    <t>molecular layer of uncal dentate gyrus</t>
  </si>
  <si>
    <t>&lt;http://purl.obolibrary.org/obo/DHBA_266441251&gt;</t>
  </si>
  <si>
    <t>granular layer of uncal dentate gyrus</t>
  </si>
  <si>
    <t>&lt;http://purl.obolibrary.org/obo/DHBA_266441255&gt;</t>
  </si>
  <si>
    <t>subgranular zone of uncal dentate gyrus</t>
  </si>
  <si>
    <t>&lt;http://purl.obolibrary.org/obo/DHBA_266441259&gt;</t>
  </si>
  <si>
    <t>polyform layer of uncal dentate gyrus</t>
  </si>
  <si>
    <t>&lt;http://purl.obolibrary.org/obo/DHBA_266441263&gt;</t>
  </si>
  <si>
    <t>stratum moleculare of uncal CA1</t>
  </si>
  <si>
    <t>&lt;http://purl.obolibrary.org/obo/DHBA_266441275&gt;</t>
  </si>
  <si>
    <t>stratum lacunosum of uncal CA1</t>
  </si>
  <si>
    <t>&lt;http://purl.obolibrary.org/obo/DHBA_266441279&gt;</t>
  </si>
  <si>
    <t>stratum moleculare of rostral CA1</t>
  </si>
  <si>
    <t>&lt;http://purl.obolibrary.org/obo/DHBA_266441295&gt;</t>
  </si>
  <si>
    <t>stratum lacunosum of rostral CA1</t>
  </si>
  <si>
    <t>&lt;http://purl.obolibrary.org/obo/DHBA_266441299&gt;</t>
  </si>
  <si>
    <t>stratum moleculare of caudal CA1</t>
  </si>
  <si>
    <t>&lt;http://purl.obolibrary.org/obo/DHBA_266441303&gt;</t>
  </si>
  <si>
    <t>stratum lacunosum of caudal CA1</t>
  </si>
  <si>
    <t>&lt;http://purl.obolibrary.org/obo/DHBA_266441307&gt;</t>
  </si>
  <si>
    <t>stratum moleculare of uncal CA2</t>
  </si>
  <si>
    <t>&lt;http://purl.obolibrary.org/obo/DHBA_266441319&gt;</t>
  </si>
  <si>
    <t>stratum lacunosum of uncal CA2</t>
  </si>
  <si>
    <t>&lt;http://purl.obolibrary.org/obo/DHBA_266441323&gt;</t>
  </si>
  <si>
    <t>stratum moleculare of rostral CA2</t>
  </si>
  <si>
    <t>&lt;http://purl.obolibrary.org/obo/DHBA_266441339&gt;</t>
  </si>
  <si>
    <t>stratum lacunosum of rostral CA2</t>
  </si>
  <si>
    <t>&lt;http://purl.obolibrary.org/obo/DHBA_266441343&gt;</t>
  </si>
  <si>
    <t>stratum moleculare of caudal CA2</t>
  </si>
  <si>
    <t>&lt;http://purl.obolibrary.org/obo/DHBA_266441347&gt;</t>
  </si>
  <si>
    <t>stratum lacunosum of caudal CA2</t>
  </si>
  <si>
    <t>&lt;http://purl.obolibrary.org/obo/DHBA_266441351&gt;</t>
  </si>
  <si>
    <t>stratum moleculare of uncal CA3</t>
  </si>
  <si>
    <t>&lt;http://purl.obolibrary.org/obo/DHBA_266441363&gt;</t>
  </si>
  <si>
    <t>stratum lacunosum of uncal CA3</t>
  </si>
  <si>
    <t>&lt;http://purl.obolibrary.org/obo/DHBA_266441367&gt;</t>
  </si>
  <si>
    <t>stratum moleculare of rostral CA3</t>
  </si>
  <si>
    <t>&lt;http://purl.obolibrary.org/obo/DHBA_266441387&gt;</t>
  </si>
  <si>
    <t>stratum lacunosum of rostral CA3</t>
  </si>
  <si>
    <t>&lt;http://purl.obolibrary.org/obo/DHBA_266441391&gt;</t>
  </si>
  <si>
    <t>stratum moleculare of caudal CA3</t>
  </si>
  <si>
    <t>&lt;http://purl.obolibrary.org/obo/DHBA_266441395&gt;</t>
  </si>
  <si>
    <t>stratum lacunosum of caudal CA3</t>
  </si>
  <si>
    <t>&lt;http://purl.obolibrary.org/obo/DHBA_266441399&gt;</t>
  </si>
  <si>
    <t>pyramidal cells of uncal CA4</t>
  </si>
  <si>
    <t>&lt;http://purl.obolibrary.org/obo/DHBA_266441403&gt;</t>
  </si>
  <si>
    <t>uncal subiculum</t>
  </si>
  <si>
    <t>&lt;http://purl.obolibrary.org/obo/DHBA_266441407&gt;</t>
  </si>
  <si>
    <t>molecular layer of uncal subiculum</t>
  </si>
  <si>
    <t>&lt;http://purl.obolibrary.org/obo/DHBA_266441411&gt;</t>
  </si>
  <si>
    <t>pyramidal layer of uncal subiculum</t>
  </si>
  <si>
    <t>&lt;http://purl.obolibrary.org/obo/DHBA_266441415&gt;</t>
  </si>
  <si>
    <t>polymorphic layer of uncal subiculum</t>
  </si>
  <si>
    <t>&lt;http://purl.obolibrary.org/obo/DHBA_266441419&gt;</t>
  </si>
  <si>
    <t>uncal prosubiculum</t>
  </si>
  <si>
    <t>&lt;http://purl.obolibrary.org/obo/DHBA_266441423&gt;</t>
  </si>
  <si>
    <t>molecular layer of uncal prosubiculum</t>
  </si>
  <si>
    <t>&lt;http://purl.obolibrary.org/obo/DHBA_266441427&gt;</t>
  </si>
  <si>
    <t>stratum pyramidale of uncal prosubiculum</t>
  </si>
  <si>
    <t>&lt;http://purl.obolibrary.org/obo/DHBA_266441431&gt;</t>
  </si>
  <si>
    <t>stratum oriens of uncal prosubiculum</t>
  </si>
  <si>
    <t>&lt;http://purl.obolibrary.org/obo/DHBA_266441435&gt;</t>
  </si>
  <si>
    <t>lightly-stained cell islands of lateral olfactory area</t>
  </si>
  <si>
    <t>&lt;http://purl.obolibrary.org/obo/DHBA_266441439&gt;</t>
  </si>
  <si>
    <t>darkly-stained cell islands of lateral olfactory area</t>
  </si>
  <si>
    <t>&lt;http://purl.obolibrary.org/obo/DHBA_266441443&gt;</t>
  </si>
  <si>
    <t>medial division of basomedial nucleus</t>
  </si>
  <si>
    <t>&lt;http://purl.obolibrary.org/obo/DHBA_266441447&gt;</t>
  </si>
  <si>
    <t>basoventral nucleus</t>
  </si>
  <si>
    <t>&lt;http://purl.obolibrary.org/obo/DHBA_266441451&gt;</t>
  </si>
  <si>
    <t>intramedullary gray of the amygdala</t>
  </si>
  <si>
    <t>&lt;http://purl.obolibrary.org/obo/DHBA_266441457&gt;</t>
  </si>
  <si>
    <t>ventral subdivision of BNSTm</t>
  </si>
  <si>
    <t>&lt;http://purl.obolibrary.org/obo/DHBA_266441461&gt;</t>
  </si>
  <si>
    <t>central subdivision of BNSTl</t>
  </si>
  <si>
    <t>&lt;http://purl.obolibrary.org/obo/DHBA_266441465&gt;</t>
  </si>
  <si>
    <t>shell of central subdivision of BNSTl</t>
  </si>
  <si>
    <t>&lt;http://purl.obolibrary.org/obo/DHBA_266441469&gt;</t>
  </si>
  <si>
    <t>medial subdivision of BNSTlc</t>
  </si>
  <si>
    <t>&lt;http://purl.obolibrary.org/obo/DHBA_266441473&gt;</t>
  </si>
  <si>
    <t>dorsal subdivision of BNSTlc</t>
  </si>
  <si>
    <t>&lt;http://purl.obolibrary.org/obo/DHBA_266441477&gt;</t>
  </si>
  <si>
    <t>ventral subdivision of BNSTlc</t>
  </si>
  <si>
    <t>&lt;http://purl.obolibrary.org/obo/DHBA_266441481&gt;</t>
  </si>
  <si>
    <t>caudal septal nucleus</t>
  </si>
  <si>
    <t>&lt;http://purl.obolibrary.org/obo/DHBA_266441485&gt;</t>
  </si>
  <si>
    <t>triangular septal nucleus</t>
  </si>
  <si>
    <t>&lt;http://purl.obolibrary.org/obo/DHBA_266441491&gt;</t>
  </si>
  <si>
    <t>lightly-stained parvocellular islands of SI</t>
  </si>
  <si>
    <t>&lt;http://purl.obolibrary.org/obo/DHBA_266441495&gt;</t>
  </si>
  <si>
    <t>darkly-stained nanocellular islands of SI</t>
  </si>
  <si>
    <t>&lt;http://purl.obolibrary.org/obo/DHBA_266441499&gt;</t>
  </si>
  <si>
    <t>body of cc, rostral portion</t>
  </si>
  <si>
    <t>&lt;http://purl.obolibrary.org/obo/DHBA_266441567&gt;</t>
  </si>
  <si>
    <t>body of cc, intermediate portion</t>
  </si>
  <si>
    <t>&lt;http://purl.obolibrary.org/obo/DHBA_266441571&gt;</t>
  </si>
  <si>
    <t>body of cc, caudal portion</t>
  </si>
  <si>
    <t>&lt;http://purl.obolibrary.org/obo/DHBA_266441575&gt;</t>
  </si>
  <si>
    <t>forceps inferior</t>
  </si>
  <si>
    <t>&lt;http://purl.obolibrary.org/obo/DHBA_266441579&gt;</t>
  </si>
  <si>
    <t>column of the fornix, rostral portion</t>
  </si>
  <si>
    <t>&lt;http://purl.obolibrary.org/obo/DHBA_266441599&gt;</t>
  </si>
  <si>
    <t>column of the fornix, caudal portion</t>
  </si>
  <si>
    <t>&lt;http://purl.obolibrary.org/obo/DHBA_266441603&gt;</t>
  </si>
  <si>
    <t>superior longitudinal fasciculus, medial portion</t>
  </si>
  <si>
    <t>&lt;http://purl.obolibrary.org/obo/DHBA_266441641&gt;</t>
  </si>
  <si>
    <t>superior longitudinal fasciculus, intermediate portion</t>
  </si>
  <si>
    <t>&lt;http://purl.obolibrary.org/obo/DHBA_266441645&gt;</t>
  </si>
  <si>
    <t>superior longitudinal fasciculus, lateral portion</t>
  </si>
  <si>
    <t>&lt;http://purl.obolibrary.org/obo/DHBA_266441649&gt;</t>
  </si>
  <si>
    <t>atrium of lateral ventricle</t>
  </si>
  <si>
    <t>&lt;http://purl.obolibrary.org/obo/DHBA_266441657&gt;</t>
  </si>
  <si>
    <t>subicular complex</t>
  </si>
  <si>
    <t>&lt;http://purl.obolibrary.org/obo/DHBA_266441673&gt;</t>
  </si>
  <si>
    <t>linear nucleus of hindbrain</t>
  </si>
  <si>
    <t>&lt;http://purl.obolibrary.org/obo/DHBA_266441717&gt;</t>
  </si>
  <si>
    <t>uncinate (hooked) bundle of cerebellum</t>
  </si>
  <si>
    <t>&lt;http://purl.obolibrary.org/obo/DHBA_266441725&gt;</t>
  </si>
  <si>
    <t>blood vessels of hindbrain</t>
  </si>
  <si>
    <t>&lt;http://purl.obolibrary.org/obo/DHBA_266441737&gt;</t>
  </si>
  <si>
    <t>intraparietal subdivision of area 7 (A7ip)</t>
  </si>
  <si>
    <t>&lt;http://purl.obolibrary.org/obo/DHBA_267498979&gt;</t>
  </si>
  <si>
    <t>area 7ip, rostral part (A7ipr)</t>
  </si>
  <si>
    <t>&lt;http://purl.obolibrary.org/obo/DHBA_267498983&gt;</t>
  </si>
  <si>
    <t>layer I of area 7ipr</t>
  </si>
  <si>
    <t>&lt;http://purl.obolibrary.org/obo/DHBA_267498987&gt;</t>
  </si>
  <si>
    <t>layer II of area 7ipr</t>
  </si>
  <si>
    <t>&lt;http://purl.obolibrary.org/obo/DHBA_267498991&gt;</t>
  </si>
  <si>
    <t>layer III of area 7ipr</t>
  </si>
  <si>
    <t>&lt;http://purl.obolibrary.org/obo/DHBA_267498995&gt;</t>
  </si>
  <si>
    <t>layer IV of area 7ipr</t>
  </si>
  <si>
    <t>&lt;http://purl.obolibrary.org/obo/DHBA_267498999&gt;</t>
  </si>
  <si>
    <t>layer V of area 7ipr</t>
  </si>
  <si>
    <t>&lt;http://purl.obolibrary.org/obo/DHBA_267499003&gt;</t>
  </si>
  <si>
    <t>layer VI of area 7ipr</t>
  </si>
  <si>
    <t>&lt;http://purl.obolibrary.org/obo/DHBA_267499007&gt;</t>
  </si>
  <si>
    <t>area 7ip, caudal part (A7ipc)</t>
  </si>
  <si>
    <t>&lt;http://purl.obolibrary.org/obo/DHBA_267499011&gt;</t>
  </si>
  <si>
    <t>layer I of area 7ipc</t>
  </si>
  <si>
    <t>&lt;http://purl.obolibrary.org/obo/DHBA_267499015&gt;</t>
  </si>
  <si>
    <t>layer II of area 7ipc</t>
  </si>
  <si>
    <t>&lt;http://purl.obolibrary.org/obo/DHBA_267499019&gt;</t>
  </si>
  <si>
    <t>layer III of area 7ipc</t>
  </si>
  <si>
    <t>&lt;http://purl.obolibrary.org/obo/DHBA_267499023&gt;</t>
  </si>
  <si>
    <t>layer IV of area 7ipc</t>
  </si>
  <si>
    <t>&lt;http://purl.obolibrary.org/obo/DHBA_267499027&gt;</t>
  </si>
  <si>
    <t>layer V of area 7ipc</t>
  </si>
  <si>
    <t>&lt;http://purl.obolibrary.org/obo/DHBA_267499031&gt;</t>
  </si>
  <si>
    <t>layer VI of area 7ipc</t>
  </si>
  <si>
    <t>&lt;http://purl.obolibrary.org/obo/DHBA_267499035&gt;</t>
  </si>
  <si>
    <t>area V5 (middle temporal area)</t>
  </si>
  <si>
    <t>&lt;http://purl.obolibrary.org/obo/DHBA_267499039&gt;</t>
  </si>
  <si>
    <t>layer I of area V5/MT</t>
  </si>
  <si>
    <t>&lt;http://purl.obolibrary.org/obo/DHBA_267499043&gt;</t>
  </si>
  <si>
    <t>layer II of area V5/MT</t>
  </si>
  <si>
    <t>&lt;http://purl.obolibrary.org/obo/DHBA_267499047&gt;</t>
  </si>
  <si>
    <t>layer III of area V5/MT</t>
  </si>
  <si>
    <t>&lt;http://purl.obolibrary.org/obo/DHBA_267499051&gt;</t>
  </si>
  <si>
    <t>layer IV of area V5/MT</t>
  </si>
  <si>
    <t>&lt;http://purl.obolibrary.org/obo/DHBA_267499055&gt;</t>
  </si>
  <si>
    <t>layer V of area V5/MT</t>
  </si>
  <si>
    <t>&lt;http://purl.obolibrary.org/obo/DHBA_267499059&gt;</t>
  </si>
  <si>
    <t>layer VI of area V5/MT</t>
  </si>
  <si>
    <t>&lt;http://purl.obolibrary.org/obo/DHBA_267499063&gt;</t>
  </si>
  <si>
    <t>lateral occipito-temporal area</t>
  </si>
  <si>
    <t>&lt;http://purl.obolibrary.org/obo/DHBA_267499067&gt;</t>
  </si>
  <si>
    <t>layer I of area LO</t>
  </si>
  <si>
    <t>&lt;http://purl.obolibrary.org/obo/DHBA_267499071&gt;</t>
  </si>
  <si>
    <t>layer II of area LO</t>
  </si>
  <si>
    <t>&lt;http://purl.obolibrary.org/obo/DHBA_267499075&gt;</t>
  </si>
  <si>
    <t>layer III of area LO</t>
  </si>
  <si>
    <t>&lt;http://purl.obolibrary.org/obo/DHBA_267499079&gt;</t>
  </si>
  <si>
    <t>layer IV of area LO</t>
  </si>
  <si>
    <t>&lt;http://purl.obolibrary.org/obo/DHBA_267499083&gt;</t>
  </si>
  <si>
    <t>layer V of area LO</t>
  </si>
  <si>
    <t>&lt;http://purl.obolibrary.org/obo/DHBA_267499087&gt;</t>
  </si>
  <si>
    <t>layer VI of area LO</t>
  </si>
  <si>
    <t>&lt;http://purl.obolibrary.org/obo/DHBA_267499091&gt;</t>
  </si>
  <si>
    <t>area V3B of peristriate cortex</t>
  </si>
  <si>
    <t>&lt;http://purl.obolibrary.org/obo/DHBA_267499095&gt;</t>
  </si>
  <si>
    <t>layer I of area V3B</t>
  </si>
  <si>
    <t>&lt;http://purl.obolibrary.org/obo/DHBA_267499099&gt;</t>
  </si>
  <si>
    <t>layer II of area V3B</t>
  </si>
  <si>
    <t>&lt;http://purl.obolibrary.org/obo/DHBA_267499103&gt;</t>
  </si>
  <si>
    <t>layer III of area V3B</t>
  </si>
  <si>
    <t>&lt;http://purl.obolibrary.org/obo/DHBA_267499107&gt;</t>
  </si>
  <si>
    <t>layer IV of area V3B</t>
  </si>
  <si>
    <t>&lt;http://purl.obolibrary.org/obo/DHBA_267499111&gt;</t>
  </si>
  <si>
    <t>layer V of area V3B</t>
  </si>
  <si>
    <t>&lt;http://purl.obolibrary.org/obo/DHBA_267499115&gt;</t>
  </si>
  <si>
    <t>layer VI of area V3B</t>
  </si>
  <si>
    <t>&lt;http://purl.obolibrary.org/obo/DHBA_267499119&gt;</t>
  </si>
  <si>
    <t>area V6 of peristriate cortex</t>
  </si>
  <si>
    <t>&lt;http://purl.obolibrary.org/obo/DHBA_267499123&gt;</t>
  </si>
  <si>
    <t>layer I of area V6</t>
  </si>
  <si>
    <t>&lt;http://purl.obolibrary.org/obo/DHBA_267499127&gt;</t>
  </si>
  <si>
    <t>layer II of area V6</t>
  </si>
  <si>
    <t>&lt;http://purl.obolibrary.org/obo/DHBA_267499131&gt;</t>
  </si>
  <si>
    <t>layer III of area V6</t>
  </si>
  <si>
    <t>&lt;http://purl.obolibrary.org/obo/DHBA_267499135&gt;</t>
  </si>
  <si>
    <t>layer IV of area V6</t>
  </si>
  <si>
    <t>&lt;http://purl.obolibrary.org/obo/DHBA_267499139&gt;</t>
  </si>
  <si>
    <t>layer V of area V6</t>
  </si>
  <si>
    <t>&lt;http://purl.obolibrary.org/obo/DHBA_267499143&gt;</t>
  </si>
  <si>
    <t>layer VI of area V6</t>
  </si>
  <si>
    <t>&lt;http://purl.obolibrary.org/obo/DHBA_267499147&gt;</t>
  </si>
  <si>
    <t>area V6 of peristriate cortex (parieto-occipital area)</t>
  </si>
  <si>
    <t>&lt;http://purl.obolibrary.org/obo/DHBA_267499151&gt;</t>
  </si>
  <si>
    <t>layer I of area V6A</t>
  </si>
  <si>
    <t>&lt;http://purl.obolibrary.org/obo/DHBA_267499155&gt;</t>
  </si>
  <si>
    <t>layer II of area V6A</t>
  </si>
  <si>
    <t>&lt;http://purl.obolibrary.org/obo/DHBA_267499159&gt;</t>
  </si>
  <si>
    <t>layer III of area V6A</t>
  </si>
  <si>
    <t>&lt;http://purl.obolibrary.org/obo/DHBA_267499163&gt;</t>
  </si>
  <si>
    <t>layer IV of area V6A</t>
  </si>
  <si>
    <t>&lt;http://purl.obolibrary.org/obo/DHBA_267499167&gt;</t>
  </si>
  <si>
    <t>layer V of area V6A</t>
  </si>
  <si>
    <t>&lt;http://purl.obolibrary.org/obo/DHBA_267499171&gt;</t>
  </si>
  <si>
    <t>layer VI of area V6A</t>
  </si>
  <si>
    <t>&lt;http://purl.obolibrary.org/obo/DHBA_267499175&gt;</t>
  </si>
  <si>
    <t>area V7 of peristriate cortex</t>
  </si>
  <si>
    <t>&lt;http://purl.obolibrary.org/obo/DHBA_267499179&gt;</t>
  </si>
  <si>
    <t>layer I of area V7</t>
  </si>
  <si>
    <t>&lt;http://purl.obolibrary.org/obo/DHBA_267499183&gt;</t>
  </si>
  <si>
    <t>layer II of area V7</t>
  </si>
  <si>
    <t>&lt;http://purl.obolibrary.org/obo/DHBA_267499187&gt;</t>
  </si>
  <si>
    <t>layer III of area V7</t>
  </si>
  <si>
    <t>&lt;http://purl.obolibrary.org/obo/DHBA_267499191&gt;</t>
  </si>
  <si>
    <t>layer IV of area V7</t>
  </si>
  <si>
    <t>&lt;http://purl.obolibrary.org/obo/DHBA_267499195&gt;</t>
  </si>
  <si>
    <t>layer V of area V7</t>
  </si>
  <si>
    <t>&lt;http://purl.obolibrary.org/obo/DHBA_267499199&gt;</t>
  </si>
  <si>
    <t>layer VI of area V7</t>
  </si>
  <si>
    <t>&lt;http://purl.obolibrary.org/obo/DHBA_267499203&gt;</t>
  </si>
  <si>
    <t>basal interstitial nucleus of cerebellum</t>
  </si>
  <si>
    <t>&lt;http://purl.obolibrary.org/obo/DHBA_267499207&gt;</t>
  </si>
  <si>
    <t>ventricular zone of SPall</t>
  </si>
  <si>
    <t>&lt;http://purl.obolibrary.org/obo/DMBA_111220534&gt;</t>
  </si>
  <si>
    <t>mantle zone of SPall</t>
  </si>
  <si>
    <t>&lt;http://purl.obolibrary.org/obo/DMBA_111220536&gt;</t>
  </si>
  <si>
    <t>ventricular zone of CSPall</t>
  </si>
  <si>
    <t>&lt;http://purl.obolibrary.org/obo/DMBA_111220538&gt;</t>
  </si>
  <si>
    <t>mantle zone of CSPall</t>
  </si>
  <si>
    <t>&lt;http://purl.obolibrary.org/obo/DMBA_111220540&gt;</t>
  </si>
  <si>
    <t>periventricular stratum of CSPall</t>
  </si>
  <si>
    <t>&lt;http://purl.obolibrary.org/obo/DMBA_111220542&gt;</t>
  </si>
  <si>
    <t>intermediate stratum of CSPall</t>
  </si>
  <si>
    <t>&lt;http://purl.obolibrary.org/obo/DMBA_111220544&gt;</t>
  </si>
  <si>
    <t>superficial stratum of CSPall</t>
  </si>
  <si>
    <t>&lt;http://purl.obolibrary.org/obo/DMBA_111220546&gt;</t>
  </si>
  <si>
    <t>ventricular zone of Pall</t>
  </si>
  <si>
    <t>&lt;http://purl.obolibrary.org/obo/DMBA_111220548&gt;</t>
  </si>
  <si>
    <t>mantle zone of Pall</t>
  </si>
  <si>
    <t>&lt;http://purl.obolibrary.org/obo/DMBA_111220550&gt;</t>
  </si>
  <si>
    <t>ventricular zone of DPall</t>
  </si>
  <si>
    <t>&lt;http://purl.obolibrary.org/obo/DMBA_111220552&gt;</t>
  </si>
  <si>
    <t>mantle zone of DPall</t>
  </si>
  <si>
    <t>&lt;http://purl.obolibrary.org/obo/DMBA_111220554&gt;</t>
  </si>
  <si>
    <t>periventricular stratum of DPall</t>
  </si>
  <si>
    <t>&lt;http://purl.obolibrary.org/obo/DMBA_111220556&gt;</t>
  </si>
  <si>
    <t>intermediate stratum of DPall</t>
  </si>
  <si>
    <t>&lt;http://purl.obolibrary.org/obo/DMBA_111220558&gt;</t>
  </si>
  <si>
    <t>superficial stratum of DPall</t>
  </si>
  <si>
    <t>&lt;http://purl.obolibrary.org/obo/DMBA_111220560&gt;</t>
  </si>
  <si>
    <t>ventricular zone of MPall</t>
  </si>
  <si>
    <t>&lt;http://purl.obolibrary.org/obo/DMBA_111220562&gt;</t>
  </si>
  <si>
    <t>mantle zone of MPall</t>
  </si>
  <si>
    <t>&lt;http://purl.obolibrary.org/obo/DMBA_111220564&gt;</t>
  </si>
  <si>
    <t>periventricular stratum of MPall</t>
  </si>
  <si>
    <t>&lt;http://purl.obolibrary.org/obo/DMBA_111220566&gt;</t>
  </si>
  <si>
    <t>intermediate stratum of MPall</t>
  </si>
  <si>
    <t>&lt;http://purl.obolibrary.org/obo/DMBA_111220568&gt;</t>
  </si>
  <si>
    <t>superficial stratum of MPall</t>
  </si>
  <si>
    <t>&lt;http://purl.obolibrary.org/obo/DMBA_111220570&gt;</t>
  </si>
  <si>
    <t>layer 6a of PaS</t>
  </si>
  <si>
    <t>&lt;http://purl.obolibrary.org/obo/DMBA_111220572&gt;</t>
  </si>
  <si>
    <t>layer 6b of PaS</t>
  </si>
  <si>
    <t>&lt;http://purl.obolibrary.org/obo/DMBA_111220574&gt;</t>
  </si>
  <si>
    <t>ventricular zone of isADL</t>
  </si>
  <si>
    <t>&lt;http://purl.obolibrary.org/obo/DMBA_111220612&gt;</t>
  </si>
  <si>
    <t>mantle zone of isADL</t>
  </si>
  <si>
    <t>&lt;http://purl.obolibrary.org/obo/DMBA_111220614&gt;</t>
  </si>
  <si>
    <t>ventricular zone of isB</t>
  </si>
  <si>
    <t>&lt;http://purl.obolibrary.org/obo/DMBA_111220616&gt;</t>
  </si>
  <si>
    <t>mantle zone of isB</t>
  </si>
  <si>
    <t>&lt;http://purl.obolibrary.org/obo/DMBA_111220618&gt;</t>
  </si>
  <si>
    <t>ventricular zone of r1A</t>
  </si>
  <si>
    <t>&lt;http://purl.obolibrary.org/obo/DMBA_111220620&gt;</t>
  </si>
  <si>
    <t>mantle zone of r1A</t>
  </si>
  <si>
    <t>&lt;http://purl.obolibrary.org/obo/DMBA_111220622&gt;</t>
  </si>
  <si>
    <t>periventricular stratum of r1Ve</t>
  </si>
  <si>
    <t>&lt;http://purl.obolibrary.org/obo/DMBA_111220624&gt;</t>
  </si>
  <si>
    <t>intermediate stratum of r1Ve</t>
  </si>
  <si>
    <t>&lt;http://purl.obolibrary.org/obo/DMBA_111220626&gt;</t>
  </si>
  <si>
    <t>superficial stratum of r1Ve</t>
  </si>
  <si>
    <t>&lt;http://purl.obolibrary.org/obo/DMBA_111220628&gt;</t>
  </si>
  <si>
    <t>periventricular stratum of r1Tr</t>
  </si>
  <si>
    <t>&lt;http://purl.obolibrary.org/obo/DMBA_111220630&gt;</t>
  </si>
  <si>
    <t>intermediate stratum of r1Tr</t>
  </si>
  <si>
    <t>&lt;http://purl.obolibrary.org/obo/DMBA_111220632&gt;</t>
  </si>
  <si>
    <t>superficial stratum of r1Tr</t>
  </si>
  <si>
    <t>&lt;http://purl.obolibrary.org/obo/DMBA_111220634&gt;</t>
  </si>
  <si>
    <t>periventricular stratum of r1Lim</t>
  </si>
  <si>
    <t>&lt;http://purl.obolibrary.org/obo/DMBA_111220636&gt;</t>
  </si>
  <si>
    <t>intermediate stratum of r1Lim</t>
  </si>
  <si>
    <t>&lt;http://purl.obolibrary.org/obo/DMBA_111220638&gt;</t>
  </si>
  <si>
    <t>superficial stratum of r1Lim</t>
  </si>
  <si>
    <t>&lt;http://purl.obolibrary.org/obo/DMBA_111220640&gt;</t>
  </si>
  <si>
    <t>ventricular zone of r1B</t>
  </si>
  <si>
    <t>&lt;http://purl.obolibrary.org/obo/DMBA_111220642&gt;</t>
  </si>
  <si>
    <t>mantle zone of r1B</t>
  </si>
  <si>
    <t>&lt;http://purl.obolibrary.org/obo/DMBA_111220644&gt;</t>
  </si>
  <si>
    <t>ventricular zone of r2A</t>
  </si>
  <si>
    <t>&lt;http://purl.obolibrary.org/obo/DMBA_111220646&gt;</t>
  </si>
  <si>
    <t>mantle zone of r2A</t>
  </si>
  <si>
    <t>&lt;http://purl.obolibrary.org/obo/DMBA_111220648&gt;</t>
  </si>
  <si>
    <t>periventricular stratum of r2Co</t>
  </si>
  <si>
    <t>&lt;http://purl.obolibrary.org/obo/DMBA_111220650&gt;</t>
  </si>
  <si>
    <t>intermediate stratum of r2Co</t>
  </si>
  <si>
    <t>&lt;http://purl.obolibrary.org/obo/DMBA_111220652&gt;</t>
  </si>
  <si>
    <t>superficial stratum of r2Co</t>
  </si>
  <si>
    <t>&lt;http://purl.obolibrary.org/obo/DMBA_111220654&gt;</t>
  </si>
  <si>
    <t>periventricular stratum of r2Ve</t>
  </si>
  <si>
    <t>&lt;http://purl.obolibrary.org/obo/DMBA_111220656&gt;</t>
  </si>
  <si>
    <t>intermediate stratum of r2Ve</t>
  </si>
  <si>
    <t>&lt;http://purl.obolibrary.org/obo/DMBA_111220658&gt;</t>
  </si>
  <si>
    <t>superficial stratum of r2Ve</t>
  </si>
  <si>
    <t>&lt;http://purl.obolibrary.org/obo/DMBA_111220660&gt;</t>
  </si>
  <si>
    <t>periventricular stratum of r2Tr</t>
  </si>
  <si>
    <t>&lt;http://purl.obolibrary.org/obo/DMBA_111220662&gt;</t>
  </si>
  <si>
    <t>intermediate stratum of r2Tr</t>
  </si>
  <si>
    <t>&lt;http://purl.obolibrary.org/obo/DMBA_111220664&gt;</t>
  </si>
  <si>
    <t>superficial stratum of r2Tr</t>
  </si>
  <si>
    <t>&lt;http://purl.obolibrary.org/obo/DMBA_111220666&gt;</t>
  </si>
  <si>
    <t>periventricular stratum of r2Lim</t>
  </si>
  <si>
    <t>&lt;http://purl.obolibrary.org/obo/DMBA_111220668&gt;</t>
  </si>
  <si>
    <t>intermediate stratum of r2Lim</t>
  </si>
  <si>
    <t>&lt;http://purl.obolibrary.org/obo/DMBA_111220670&gt;</t>
  </si>
  <si>
    <t>superficial stratum of r2Lim</t>
  </si>
  <si>
    <t>&lt;http://purl.obolibrary.org/obo/DMBA_111220672&gt;</t>
  </si>
  <si>
    <t>ventricular zone of r2B</t>
  </si>
  <si>
    <t>&lt;http://purl.obolibrary.org/obo/DMBA_111220674&gt;</t>
  </si>
  <si>
    <t>mantle zone of r2B</t>
  </si>
  <si>
    <t>&lt;http://purl.obolibrary.org/obo/DMBA_111220676&gt;</t>
  </si>
  <si>
    <t>ventricular zone of r3A</t>
  </si>
  <si>
    <t>&lt;http://purl.obolibrary.org/obo/DMBA_111220678&gt;</t>
  </si>
  <si>
    <t>mantle zone of r3A</t>
  </si>
  <si>
    <t>&lt;http://purl.obolibrary.org/obo/DMBA_111220680&gt;</t>
  </si>
  <si>
    <t>periventricular stratum of r3Co</t>
  </si>
  <si>
    <t>&lt;http://purl.obolibrary.org/obo/DMBA_111220682&gt;</t>
  </si>
  <si>
    <t>intermediate stratum of r3Co</t>
  </si>
  <si>
    <t>&lt;http://purl.obolibrary.org/obo/DMBA_111220684&gt;</t>
  </si>
  <si>
    <t>superficial stratum of r3Co</t>
  </si>
  <si>
    <t>&lt;http://purl.obolibrary.org/obo/DMBA_111220686&gt;</t>
  </si>
  <si>
    <t>periventricular stratum of r3Ve</t>
  </si>
  <si>
    <t>&lt;http://purl.obolibrary.org/obo/DMBA_111220688&gt;</t>
  </si>
  <si>
    <t>intermediate stratum of r3Ve</t>
  </si>
  <si>
    <t>&lt;http://purl.obolibrary.org/obo/DMBA_111220690&gt;</t>
  </si>
  <si>
    <t>superficial stratum of r3Ve</t>
  </si>
  <si>
    <t>&lt;http://purl.obolibrary.org/obo/DMBA_111220692&gt;</t>
  </si>
  <si>
    <t>periventricular stratum of r3Tr</t>
  </si>
  <si>
    <t>&lt;http://purl.obolibrary.org/obo/DMBA_111220694&gt;</t>
  </si>
  <si>
    <t>intermediate stratum of r3Tr</t>
  </si>
  <si>
    <t>&lt;http://purl.obolibrary.org/obo/DMBA_111220696&gt;</t>
  </si>
  <si>
    <t>superficial stratum of r3Tr</t>
  </si>
  <si>
    <t>&lt;http://purl.obolibrary.org/obo/DMBA_111220698&gt;</t>
  </si>
  <si>
    <t>periventricular stratum of r3Lim</t>
  </si>
  <si>
    <t>&lt;http://purl.obolibrary.org/obo/DMBA_111220700&gt;</t>
  </si>
  <si>
    <t>intermediate stratum of r3Lim</t>
  </si>
  <si>
    <t>&lt;http://purl.obolibrary.org/obo/DMBA_111220702&gt;</t>
  </si>
  <si>
    <t>superficial stratum of r3Lim</t>
  </si>
  <si>
    <t>&lt;http://purl.obolibrary.org/obo/DMBA_111220704&gt;</t>
  </si>
  <si>
    <t>ventricular zone of r3B</t>
  </si>
  <si>
    <t>&lt;http://purl.obolibrary.org/obo/DMBA_111220706&gt;</t>
  </si>
  <si>
    <t>mantle zone of r3B</t>
  </si>
  <si>
    <t>&lt;http://purl.obolibrary.org/obo/DMBA_111220708&gt;</t>
  </si>
  <si>
    <t>ventricular zone of r4A</t>
  </si>
  <si>
    <t>&lt;http://purl.obolibrary.org/obo/DMBA_111220710&gt;</t>
  </si>
  <si>
    <t>mantle zone of r4A</t>
  </si>
  <si>
    <t>&lt;http://purl.obolibrary.org/obo/DMBA_111220712&gt;</t>
  </si>
  <si>
    <t>periventricular stratum of r4Co</t>
  </si>
  <si>
    <t>&lt;http://purl.obolibrary.org/obo/DMBA_111220714&gt;</t>
  </si>
  <si>
    <t>intermediate stratum of r4Co</t>
  </si>
  <si>
    <t>&lt;http://purl.obolibrary.org/obo/DMBA_111220716&gt;</t>
  </si>
  <si>
    <t>superficial stratum of r4Co</t>
  </si>
  <si>
    <t>&lt;http://purl.obolibrary.org/obo/DMBA_111220718&gt;</t>
  </si>
  <si>
    <t>periventricular stratum of r4Ve</t>
  </si>
  <si>
    <t>&lt;http://purl.obolibrary.org/obo/DMBA_111220720&gt;</t>
  </si>
  <si>
    <t>intermediate stratum of r4Ve</t>
  </si>
  <si>
    <t>&lt;http://purl.obolibrary.org/obo/DMBA_111220722&gt;</t>
  </si>
  <si>
    <t>superficial stratum of r4Ve</t>
  </si>
  <si>
    <t>&lt;http://purl.obolibrary.org/obo/DMBA_111220724&gt;</t>
  </si>
  <si>
    <t>periventricular stratum of r4Tr</t>
  </si>
  <si>
    <t>&lt;http://purl.obolibrary.org/obo/DMBA_111220726&gt;</t>
  </si>
  <si>
    <t>intermediate stratum of r4Tr</t>
  </si>
  <si>
    <t>&lt;http://purl.obolibrary.org/obo/DMBA_111220728&gt;</t>
  </si>
  <si>
    <t>superficial stratum of r4Tr</t>
  </si>
  <si>
    <t>&lt;http://purl.obolibrary.org/obo/DMBA_111220730&gt;</t>
  </si>
  <si>
    <t>periventricular stratum of r4Lim</t>
  </si>
  <si>
    <t>&lt;http://purl.obolibrary.org/obo/DMBA_111220732&gt;</t>
  </si>
  <si>
    <t>intermediate stratum of r4Lim</t>
  </si>
  <si>
    <t>&lt;http://purl.obolibrary.org/obo/DMBA_111220734&gt;</t>
  </si>
  <si>
    <t>superficial stratum of r4Lim</t>
  </si>
  <si>
    <t>&lt;http://purl.obolibrary.org/obo/DMBA_111220736&gt;</t>
  </si>
  <si>
    <t>ventricular zone of r4B</t>
  </si>
  <si>
    <t>&lt;http://purl.obolibrary.org/obo/DMBA_111220738&gt;</t>
  </si>
  <si>
    <t>mantle zone of r4B</t>
  </si>
  <si>
    <t>&lt;http://purl.obolibrary.org/obo/DMBA_111220740&gt;</t>
  </si>
  <si>
    <t>ventricular zone of r5A</t>
  </si>
  <si>
    <t>&lt;http://purl.obolibrary.org/obo/DMBA_111220742&gt;</t>
  </si>
  <si>
    <t>mantle zone of r5A</t>
  </si>
  <si>
    <t>&lt;http://purl.obolibrary.org/obo/DMBA_111220744&gt;</t>
  </si>
  <si>
    <t>periventricular stratum of r5Co</t>
  </si>
  <si>
    <t>&lt;http://purl.obolibrary.org/obo/DMBA_111220746&gt;</t>
  </si>
  <si>
    <t>intermediate stratum of r5Co</t>
  </si>
  <si>
    <t>&lt;http://purl.obolibrary.org/obo/DMBA_111220748&gt;</t>
  </si>
  <si>
    <t>superficial stratum of r5Co</t>
  </si>
  <si>
    <t>&lt;http://purl.obolibrary.org/obo/DMBA_111220750&gt;</t>
  </si>
  <si>
    <t>periventricular stratum of r5Ve</t>
  </si>
  <si>
    <t>&lt;http://purl.obolibrary.org/obo/DMBA_111220752&gt;</t>
  </si>
  <si>
    <t>intermediate stratum of r5Ve</t>
  </si>
  <si>
    <t>&lt;http://purl.obolibrary.org/obo/DMBA_111220754&gt;</t>
  </si>
  <si>
    <t>superficial stratum of r5Ve</t>
  </si>
  <si>
    <t>&lt;http://purl.obolibrary.org/obo/DMBA_111220756&gt;</t>
  </si>
  <si>
    <t>periventricular stratum of r5Tr</t>
  </si>
  <si>
    <t>&lt;http://purl.obolibrary.org/obo/DMBA_111220758&gt;</t>
  </si>
  <si>
    <t>intermediate stratum of r5Tr</t>
  </si>
  <si>
    <t>&lt;http://purl.obolibrary.org/obo/DMBA_111220760&gt;</t>
  </si>
  <si>
    <t>superficial stratum of r5Tr</t>
  </si>
  <si>
    <t>&lt;http://purl.obolibrary.org/obo/DMBA_111220762&gt;</t>
  </si>
  <si>
    <t>periventricular stratum of r5Lim</t>
  </si>
  <si>
    <t>&lt;http://purl.obolibrary.org/obo/DMBA_111220764&gt;</t>
  </si>
  <si>
    <t>intermediate stratum of r5Lim</t>
  </si>
  <si>
    <t>&lt;http://purl.obolibrary.org/obo/DMBA_111220766&gt;</t>
  </si>
  <si>
    <t>superficial stratum of r5Lim</t>
  </si>
  <si>
    <t>&lt;http://purl.obolibrary.org/obo/DMBA_111220768&gt;</t>
  </si>
  <si>
    <t>ventricular zone of r5B</t>
  </si>
  <si>
    <t>&lt;http://purl.obolibrary.org/obo/DMBA_111220770&gt;</t>
  </si>
  <si>
    <t>mantle zone of r5B</t>
  </si>
  <si>
    <t>&lt;http://purl.obolibrary.org/obo/DMBA_111220772&gt;</t>
  </si>
  <si>
    <t>ventricular zone of r6A</t>
  </si>
  <si>
    <t>&lt;http://purl.obolibrary.org/obo/DMBA_111220774&gt;</t>
  </si>
  <si>
    <t>mantle zone of r6A</t>
  </si>
  <si>
    <t>&lt;http://purl.obolibrary.org/obo/DMBA_111220776&gt;</t>
  </si>
  <si>
    <t>periventricular stratum of r6Co</t>
  </si>
  <si>
    <t>&lt;http://purl.obolibrary.org/obo/DMBA_111220778&gt;</t>
  </si>
  <si>
    <t>intermediate stratum of r6Co</t>
  </si>
  <si>
    <t>&lt;http://purl.obolibrary.org/obo/DMBA_111220780&gt;</t>
  </si>
  <si>
    <t>superficial stratum of r6Co</t>
  </si>
  <si>
    <t>&lt;http://purl.obolibrary.org/obo/DMBA_111220782&gt;</t>
  </si>
  <si>
    <t>periventricular stratum of r6Ve</t>
  </si>
  <si>
    <t>&lt;http://purl.obolibrary.org/obo/DMBA_111220784&gt;</t>
  </si>
  <si>
    <t>intermediate stratum of r6Ve</t>
  </si>
  <si>
    <t>&lt;http://purl.obolibrary.org/obo/DMBA_111220786&gt;</t>
  </si>
  <si>
    <t>superficial stratum of r6Ve</t>
  </si>
  <si>
    <t>&lt;http://purl.obolibrary.org/obo/DMBA_111220788&gt;</t>
  </si>
  <si>
    <t>periventricular stratum of r6Tr</t>
  </si>
  <si>
    <t>&lt;http://purl.obolibrary.org/obo/DMBA_111220790&gt;</t>
  </si>
  <si>
    <t>intermediate stratum of r6Tr</t>
  </si>
  <si>
    <t>&lt;http://purl.obolibrary.org/obo/DMBA_111220792&gt;</t>
  </si>
  <si>
    <t>superficial stratum of r6Tr</t>
  </si>
  <si>
    <t>&lt;http://purl.obolibrary.org/obo/DMBA_111220794&gt;</t>
  </si>
  <si>
    <t>periventricular stratum of r6Lim</t>
  </si>
  <si>
    <t>&lt;http://purl.obolibrary.org/obo/DMBA_111220796&gt;</t>
  </si>
  <si>
    <t>intermediate stratum of r6Lim</t>
  </si>
  <si>
    <t>&lt;http://purl.obolibrary.org/obo/DMBA_111220798&gt;</t>
  </si>
  <si>
    <t>superficial stratum of r6Lim</t>
  </si>
  <si>
    <t>&lt;http://purl.obolibrary.org/obo/DMBA_111220800&gt;</t>
  </si>
  <si>
    <t>ventricular zone of r6B</t>
  </si>
  <si>
    <t>&lt;http://purl.obolibrary.org/obo/DMBA_111220802&gt;</t>
  </si>
  <si>
    <t>mantle zone of r6B</t>
  </si>
  <si>
    <t>&lt;http://purl.obolibrary.org/obo/DMBA_111220804&gt;</t>
  </si>
  <si>
    <t>ventricular zone of r7A</t>
  </si>
  <si>
    <t>&lt;http://purl.obolibrary.org/obo/DMBA_111220806&gt;</t>
  </si>
  <si>
    <t>mantle zone of r7A</t>
  </si>
  <si>
    <t>&lt;http://purl.obolibrary.org/obo/DMBA_111220808&gt;</t>
  </si>
  <si>
    <t>periventricular stratum of r7Co</t>
  </si>
  <si>
    <t>&lt;http://purl.obolibrary.org/obo/DMBA_111220810&gt;</t>
  </si>
  <si>
    <t>intermediate stratum of r7Co</t>
  </si>
  <si>
    <t>&lt;http://purl.obolibrary.org/obo/DMBA_111220812&gt;</t>
  </si>
  <si>
    <t>superficial stratum of r7Co</t>
  </si>
  <si>
    <t>&lt;http://purl.obolibrary.org/obo/DMBA_111220814&gt;</t>
  </si>
  <si>
    <t>periventricular stratum of r7Ve</t>
  </si>
  <si>
    <t>&lt;http://purl.obolibrary.org/obo/DMBA_111220816&gt;</t>
  </si>
  <si>
    <t>intermediate stratum of r7Ve</t>
  </si>
  <si>
    <t>&lt;http://purl.obolibrary.org/obo/DMBA_111220818&gt;</t>
  </si>
  <si>
    <t>superficial stratum of r7Ve</t>
  </si>
  <si>
    <t>&lt;http://purl.obolibrary.org/obo/DMBA_111220820&gt;</t>
  </si>
  <si>
    <t>periventricular stratum of r7Tr</t>
  </si>
  <si>
    <t>&lt;http://purl.obolibrary.org/obo/DMBA_111220822&gt;</t>
  </si>
  <si>
    <t>intermediate stratum of r7Tr</t>
  </si>
  <si>
    <t>&lt;http://purl.obolibrary.org/obo/DMBA_111220824&gt;</t>
  </si>
  <si>
    <t>superficial stratum of r7Tr</t>
  </si>
  <si>
    <t>&lt;http://purl.obolibrary.org/obo/DMBA_111220826&gt;</t>
  </si>
  <si>
    <t>periventricular stratum of r7Lim</t>
  </si>
  <si>
    <t>&lt;http://purl.obolibrary.org/obo/DMBA_111220828&gt;</t>
  </si>
  <si>
    <t>intermediate stratum of r7Lim</t>
  </si>
  <si>
    <t>&lt;http://purl.obolibrary.org/obo/DMBA_111220830&gt;</t>
  </si>
  <si>
    <t>superficial stratum of r7Lim</t>
  </si>
  <si>
    <t>&lt;http://purl.obolibrary.org/obo/DMBA_111220832&gt;</t>
  </si>
  <si>
    <t>ventricular zone of r7B</t>
  </si>
  <si>
    <t>&lt;http://purl.obolibrary.org/obo/DMBA_111220834&gt;</t>
  </si>
  <si>
    <t>mantle zone of r7B</t>
  </si>
  <si>
    <t>&lt;http://purl.obolibrary.org/obo/DMBA_111220836&gt;</t>
  </si>
  <si>
    <t>ventricular zone of r8A</t>
  </si>
  <si>
    <t>&lt;http://purl.obolibrary.org/obo/DMBA_111220838&gt;</t>
  </si>
  <si>
    <t>mantle zone of r8A</t>
  </si>
  <si>
    <t>&lt;http://purl.obolibrary.org/obo/DMBA_111220840&gt;</t>
  </si>
  <si>
    <t>periventricular stratum of r8Ve</t>
  </si>
  <si>
    <t>&lt;http://purl.obolibrary.org/obo/DMBA_111220842&gt;</t>
  </si>
  <si>
    <t>intermediate stratum of r8Ve</t>
  </si>
  <si>
    <t>&lt;http://purl.obolibrary.org/obo/DMBA_111220844&gt;</t>
  </si>
  <si>
    <t>superficial stratum of r8Ve</t>
  </si>
  <si>
    <t>&lt;http://purl.obolibrary.org/obo/DMBA_111220846&gt;</t>
  </si>
  <si>
    <t>periventricular stratum of r8Tr</t>
  </si>
  <si>
    <t>&lt;http://purl.obolibrary.org/obo/DMBA_111220848&gt;</t>
  </si>
  <si>
    <t>intermediate stratum of r8Tr</t>
  </si>
  <si>
    <t>&lt;http://purl.obolibrary.org/obo/DMBA_111220850&gt;</t>
  </si>
  <si>
    <t>superficial stratum of r8Tr</t>
  </si>
  <si>
    <t>&lt;http://purl.obolibrary.org/obo/DMBA_111220852&gt;</t>
  </si>
  <si>
    <t>periventricular stratum of r8Lim</t>
  </si>
  <si>
    <t>&lt;http://purl.obolibrary.org/obo/DMBA_111220854&gt;</t>
  </si>
  <si>
    <t>intermediate stratum of r8Lim</t>
  </si>
  <si>
    <t>&lt;http://purl.obolibrary.org/obo/DMBA_111220856&gt;</t>
  </si>
  <si>
    <t>superficial stratum of r8Lim</t>
  </si>
  <si>
    <t>&lt;http://purl.obolibrary.org/obo/DMBA_111220858&gt;</t>
  </si>
  <si>
    <t>ventricular zone of r8B</t>
  </si>
  <si>
    <t>&lt;http://purl.obolibrary.org/obo/DMBA_111220860&gt;</t>
  </si>
  <si>
    <t>mantle zone of r8B</t>
  </si>
  <si>
    <t>&lt;http://purl.obolibrary.org/obo/DMBA_111220862&gt;</t>
  </si>
  <si>
    <t>ventricular zone of r9A</t>
  </si>
  <si>
    <t>&lt;http://purl.obolibrary.org/obo/DMBA_111220864&gt;</t>
  </si>
  <si>
    <t>mantle zone of r9A</t>
  </si>
  <si>
    <t>&lt;http://purl.obolibrary.org/obo/DMBA_111220866&gt;</t>
  </si>
  <si>
    <t>periventricular stratum of r9Ve</t>
  </si>
  <si>
    <t>&lt;http://purl.obolibrary.org/obo/DMBA_111220868&gt;</t>
  </si>
  <si>
    <t>intermediate stratum of r9Ve</t>
  </si>
  <si>
    <t>&lt;http://purl.obolibrary.org/obo/DMBA_111220870&gt;</t>
  </si>
  <si>
    <t>superficial stratum of r9Ve</t>
  </si>
  <si>
    <t>&lt;http://purl.obolibrary.org/obo/DMBA_111220872&gt;</t>
  </si>
  <si>
    <t>periventricular stratum of r9Tr</t>
  </si>
  <si>
    <t>&lt;http://purl.obolibrary.org/obo/DMBA_111220874&gt;</t>
  </si>
  <si>
    <t>intermediate stratum of r9Tr</t>
  </si>
  <si>
    <t>&lt;http://purl.obolibrary.org/obo/DMBA_111220876&gt;</t>
  </si>
  <si>
    <t>superficial stratum of r9Tr</t>
  </si>
  <si>
    <t>&lt;http://purl.obolibrary.org/obo/DMBA_111220878&gt;</t>
  </si>
  <si>
    <t>periventricular stratum of r9Lim</t>
  </si>
  <si>
    <t>&lt;http://purl.obolibrary.org/obo/DMBA_111220880&gt;</t>
  </si>
  <si>
    <t>intermediate stratum of r9Lim</t>
  </si>
  <si>
    <t>&lt;http://purl.obolibrary.org/obo/DMBA_111220882&gt;</t>
  </si>
  <si>
    <t>superficial stratum of r9Lim</t>
  </si>
  <si>
    <t>&lt;http://purl.obolibrary.org/obo/DMBA_111220884&gt;</t>
  </si>
  <si>
    <t>ventricular zone of r9B</t>
  </si>
  <si>
    <t>&lt;http://purl.obolibrary.org/obo/DMBA_111220886&gt;</t>
  </si>
  <si>
    <t>mantle zone of r9B</t>
  </si>
  <si>
    <t>&lt;http://purl.obolibrary.org/obo/DMBA_111220888&gt;</t>
  </si>
  <si>
    <t>ventricular zone of r10A</t>
  </si>
  <si>
    <t>&lt;http://purl.obolibrary.org/obo/DMBA_111220890&gt;</t>
  </si>
  <si>
    <t>mantle zone of r10A</t>
  </si>
  <si>
    <t>&lt;http://purl.obolibrary.org/obo/DMBA_111220892&gt;</t>
  </si>
  <si>
    <t>periventricular stratum of r10Ve</t>
  </si>
  <si>
    <t>&lt;http://purl.obolibrary.org/obo/DMBA_111220894&gt;</t>
  </si>
  <si>
    <t>intermediate stratum of r10Ve</t>
  </si>
  <si>
    <t>&lt;http://purl.obolibrary.org/obo/DMBA_111220896&gt;</t>
  </si>
  <si>
    <t>superficial stratum of r10Ve</t>
  </si>
  <si>
    <t>&lt;http://purl.obolibrary.org/obo/DMBA_111220898&gt;</t>
  </si>
  <si>
    <t>periventricular stratum of r10Tr</t>
  </si>
  <si>
    <t>&lt;http://purl.obolibrary.org/obo/DMBA_111220900&gt;</t>
  </si>
  <si>
    <t>intermediate stratum of r10Tr</t>
  </si>
  <si>
    <t>&lt;http://purl.obolibrary.org/obo/DMBA_111220902&gt;</t>
  </si>
  <si>
    <t>superficial stratum of r10Tr</t>
  </si>
  <si>
    <t>&lt;http://purl.obolibrary.org/obo/DMBA_111220904&gt;</t>
  </si>
  <si>
    <t>periventricular stratum of r10Lim</t>
  </si>
  <si>
    <t>&lt;http://purl.obolibrary.org/obo/DMBA_111220906&gt;</t>
  </si>
  <si>
    <t>intermediate stratum of r10Lim</t>
  </si>
  <si>
    <t>&lt;http://purl.obolibrary.org/obo/DMBA_111220908&gt;</t>
  </si>
  <si>
    <t>superficial stratum of r10Lim</t>
  </si>
  <si>
    <t>&lt;http://purl.obolibrary.org/obo/DMBA_111220910&gt;</t>
  </si>
  <si>
    <t>ventricular zone of r10B</t>
  </si>
  <si>
    <t>&lt;http://purl.obolibrary.org/obo/DMBA_111220912&gt;</t>
  </si>
  <si>
    <t>mantle zone of r10B</t>
  </si>
  <si>
    <t>&lt;http://purl.obolibrary.org/obo/DMBA_111220914&gt;</t>
  </si>
  <si>
    <t>ventricular zone of r11A</t>
  </si>
  <si>
    <t>&lt;http://purl.obolibrary.org/obo/DMBA_111220916&gt;</t>
  </si>
  <si>
    <t>mantle zone of r11A</t>
  </si>
  <si>
    <t>&lt;http://purl.obolibrary.org/obo/DMBA_111220918&gt;</t>
  </si>
  <si>
    <t>periventricular stratum of r11Ve</t>
  </si>
  <si>
    <t>&lt;http://purl.obolibrary.org/obo/DMBA_111220920&gt;</t>
  </si>
  <si>
    <t>intermediate stratum of r11Ve</t>
  </si>
  <si>
    <t>&lt;http://purl.obolibrary.org/obo/DMBA_111220922&gt;</t>
  </si>
  <si>
    <t>superficial stratum of r11Ve</t>
  </si>
  <si>
    <t>&lt;http://purl.obolibrary.org/obo/DMBA_111220924&gt;</t>
  </si>
  <si>
    <t>periventricular stratum of r11Tr</t>
  </si>
  <si>
    <t>&lt;http://purl.obolibrary.org/obo/DMBA_111220926&gt;</t>
  </si>
  <si>
    <t>intermediate stratum of r11Tr</t>
  </si>
  <si>
    <t>&lt;http://purl.obolibrary.org/obo/DMBA_111220928&gt;</t>
  </si>
  <si>
    <t>superficial stratum of r11Tr</t>
  </si>
  <si>
    <t>&lt;http://purl.obolibrary.org/obo/DMBA_111220930&gt;</t>
  </si>
  <si>
    <t>periventricular stratum of r11Lim</t>
  </si>
  <si>
    <t>&lt;http://purl.obolibrary.org/obo/DMBA_111220932&gt;</t>
  </si>
  <si>
    <t>intermediate stratum of r11Lim</t>
  </si>
  <si>
    <t>&lt;http://purl.obolibrary.org/obo/DMBA_111220934&gt;</t>
  </si>
  <si>
    <t>superficial stratum of r11Lim</t>
  </si>
  <si>
    <t>&lt;http://purl.obolibrary.org/obo/DMBA_111220936&gt;</t>
  </si>
  <si>
    <t>ventricular zone of r11B</t>
  </si>
  <si>
    <t>&lt;http://purl.obolibrary.org/obo/DMBA_111220938&gt;</t>
  </si>
  <si>
    <t>mantle zone of r11B</t>
  </si>
  <si>
    <t>&lt;http://purl.obolibrary.org/obo/DMBA_111220940&gt;</t>
  </si>
  <si>
    <t>ventricular zone of the Fc</t>
  </si>
  <si>
    <t>&lt;http://purl.obolibrary.org/obo/DMBA_112892267&gt;</t>
  </si>
  <si>
    <t>mantle zone of the Fc</t>
  </si>
  <si>
    <t>&lt;http://purl.obolibrary.org/obo/DMBA_112892269&gt;</t>
  </si>
  <si>
    <t>periventricular stratum of the Fc</t>
  </si>
  <si>
    <t>&lt;http://purl.obolibrary.org/obo/DMBA_112892271&gt;</t>
  </si>
  <si>
    <t>intermediate stratum of the Fc</t>
  </si>
  <si>
    <t>&lt;http://purl.obolibrary.org/obo/DMBA_112892273&gt;</t>
  </si>
  <si>
    <t>superficial stratum of the Fc</t>
  </si>
  <si>
    <t>&lt;http://purl.obolibrary.org/obo/DMBA_112892275&gt;</t>
  </si>
  <si>
    <t>pyramidal layer of Fc</t>
  </si>
  <si>
    <t>&lt;http://purl.obolibrary.org/obo/DMBA_112892277&gt;</t>
  </si>
  <si>
    <t>molecular layer of Fc</t>
  </si>
  <si>
    <t>&lt;http://purl.obolibrary.org/obo/DMBA_112892279&gt;</t>
  </si>
  <si>
    <t>periventricular stratum of isADL</t>
  </si>
  <si>
    <t>&lt;http://purl.obolibrary.org/obo/DMBA_112892309&gt;</t>
  </si>
  <si>
    <t>intermediate stratum of isADL</t>
  </si>
  <si>
    <t>&lt;http://purl.obolibrary.org/obo/DMBA_112892311&gt;</t>
  </si>
  <si>
    <t>superficial stratum of isADL</t>
  </si>
  <si>
    <t>&lt;http://purl.obolibrary.org/obo/DMBA_112892313&gt;</t>
  </si>
  <si>
    <t>lateral wings of the dorsal raphe nucleus</t>
  </si>
  <si>
    <t>&lt;http://purl.obolibrary.org/obo/DMBA_112892315&gt;</t>
  </si>
  <si>
    <t>periventricular stratum of isF</t>
  </si>
  <si>
    <t>&lt;http://purl.obolibrary.org/obo/DMBA_112892317&gt;</t>
  </si>
  <si>
    <t>intermediate stratum of isF</t>
  </si>
  <si>
    <t>&lt;http://purl.obolibrary.org/obo/DMBA_112892319&gt;</t>
  </si>
  <si>
    <t>superficial stratum of isF</t>
  </si>
  <si>
    <t>&lt;http://purl.obolibrary.org/obo/DMBA_112892321&gt;</t>
  </si>
  <si>
    <t>r8 liminar central gray</t>
  </si>
  <si>
    <t>&lt;http://purl.obolibrary.org/obo/DMBA_112892393&gt;</t>
  </si>
  <si>
    <t>r9 liminar central gray</t>
  </si>
  <si>
    <t>&lt;http://purl.obolibrary.org/obo/DMBA_112892405&gt;</t>
  </si>
  <si>
    <t>ventricular zone of r9F</t>
  </si>
  <si>
    <t>&lt;http://purl.obolibrary.org/obo/DMBA_112892407&gt;</t>
  </si>
  <si>
    <t>mantle zone of r9F</t>
  </si>
  <si>
    <t>&lt;http://purl.obolibrary.org/obo/DMBA_112892409&gt;</t>
  </si>
  <si>
    <t>periventricular stratum of r9F</t>
  </si>
  <si>
    <t>&lt;http://purl.obolibrary.org/obo/DMBA_112892411&gt;</t>
  </si>
  <si>
    <t>intermediate stratum of r9F</t>
  </si>
  <si>
    <t>&lt;http://purl.obolibrary.org/obo/DMBA_112892413&gt;</t>
  </si>
  <si>
    <t>superficial stratum of r9F</t>
  </si>
  <si>
    <t>&lt;http://purl.obolibrary.org/obo/DMBA_112892415&gt;</t>
  </si>
  <si>
    <t>r10 liminar central gray</t>
  </si>
  <si>
    <t>&lt;http://purl.obolibrary.org/obo/DMBA_112892417&gt;</t>
  </si>
  <si>
    <t>ventricular zone of r10F</t>
  </si>
  <si>
    <t>&lt;http://purl.obolibrary.org/obo/DMBA_112892419&gt;</t>
  </si>
  <si>
    <t>mantle zone of r10F</t>
  </si>
  <si>
    <t>&lt;http://purl.obolibrary.org/obo/DMBA_112892421&gt;</t>
  </si>
  <si>
    <t>periventricular stratum of r10F</t>
  </si>
  <si>
    <t>&lt;http://purl.obolibrary.org/obo/DMBA_112892423&gt;</t>
  </si>
  <si>
    <t>intermediate stratum of r10F</t>
  </si>
  <si>
    <t>&lt;http://purl.obolibrary.org/obo/DMBA_112892425&gt;</t>
  </si>
  <si>
    <t>superficial stratum of r10F</t>
  </si>
  <si>
    <t>&lt;http://purl.obolibrary.org/obo/DMBA_112892427&gt;</t>
  </si>
  <si>
    <t>ventricular zone of r11F</t>
  </si>
  <si>
    <t>&lt;http://purl.obolibrary.org/obo/DMBA_112892429&gt;</t>
  </si>
  <si>
    <t>mantle zone of r11F</t>
  </si>
  <si>
    <t>&lt;http://purl.obolibrary.org/obo/DMBA_112892431&gt;</t>
  </si>
  <si>
    <t>periventricular stratum of r11F</t>
  </si>
  <si>
    <t>&lt;http://purl.obolibrary.org/obo/DMBA_112892433&gt;</t>
  </si>
  <si>
    <t>intermediate stratum of r11F</t>
  </si>
  <si>
    <t>&lt;http://purl.obolibrary.org/obo/DMBA_112892435&gt;</t>
  </si>
  <si>
    <t>superficial stratum of r11F</t>
  </si>
  <si>
    <t>&lt;http://purl.obolibrary.org/obo/DMBA_112892437&gt;</t>
  </si>
  <si>
    <t>mantle zone of isR</t>
  </si>
  <si>
    <t>&lt;http://purl.obolibrary.org/obo/DMBA_114403715&gt;</t>
  </si>
  <si>
    <t>periventricular stratum of isR</t>
  </si>
  <si>
    <t>&lt;http://purl.obolibrary.org/obo/DMBA_114403719&gt;</t>
  </si>
  <si>
    <t>intermediate stratum of isR</t>
  </si>
  <si>
    <t>&lt;http://purl.obolibrary.org/obo/DMBA_114403723&gt;</t>
  </si>
  <si>
    <t>superficial stratum of isR</t>
  </si>
  <si>
    <t>&lt;http://purl.obolibrary.org/obo/DMBA_114403727&gt;</t>
  </si>
  <si>
    <t>r11 part of nucleus of Roller</t>
  </si>
  <si>
    <t>&lt;http://purl.obolibrary.org/obo/DMBA_114403731&gt;</t>
  </si>
  <si>
    <t>r1 part of vestibular nucleus Y</t>
  </si>
  <si>
    <t>&lt;http://purl.obolibrary.org/obo/DMBA_124372424&gt;</t>
  </si>
  <si>
    <t>r1 part of basolateral intermediate zone</t>
  </si>
  <si>
    <t>&lt;http://purl.obolibrary.org/obo/DMBA_124372428&gt;</t>
  </si>
  <si>
    <t>r1 part of BI intermediate zone</t>
  </si>
  <si>
    <t>&lt;http://purl.obolibrary.org/obo/DMBA_124372436&gt;</t>
  </si>
  <si>
    <t>r1 part of lateral pontine nuclei</t>
  </si>
  <si>
    <t>&lt;http://purl.obolibrary.org/obo/DMBA_124372440&gt;</t>
  </si>
  <si>
    <t>r2 part of vestibular nucleus Y</t>
  </si>
  <si>
    <t>&lt;http://purl.obolibrary.org/obo/DMBA_124372452&gt;</t>
  </si>
  <si>
    <t>r2 part of basolateral intermediate zone</t>
  </si>
  <si>
    <t>&lt;http://purl.obolibrary.org/obo/DMBA_124372456&gt;</t>
  </si>
  <si>
    <t>r2 part of lateral pontine nuclei</t>
  </si>
  <si>
    <t>&lt;http://purl.obolibrary.org/obo/DMBA_124372464&gt;</t>
  </si>
  <si>
    <t>r3 part of basolateral intermediate zone</t>
  </si>
  <si>
    <t>&lt;http://purl.obolibrary.org/obo/DMBA_124372468&gt;</t>
  </si>
  <si>
    <t>median part of IPPr</t>
  </si>
  <si>
    <t>&lt;http://purl.obolibrary.org/obo/DMBA_126531028&gt;</t>
  </si>
  <si>
    <t>ventricles, secondary prosencephalon</t>
  </si>
  <si>
    <t>&lt;http://purl.obolibrary.org/obo/DMBA_126651566&gt;</t>
  </si>
  <si>
    <t>ventricles, rostral secondary prosencephalon</t>
  </si>
  <si>
    <t>&lt;http://purl.obolibrary.org/obo/DMBA_126651570&gt;</t>
  </si>
  <si>
    <t>ventricles, preoptic telencephalon</t>
  </si>
  <si>
    <t>&lt;http://purl.obolibrary.org/obo/DMBA_126651574&gt;</t>
  </si>
  <si>
    <t>ventricles, preoptic roof plate</t>
  </si>
  <si>
    <t>&lt;http://purl.obolibrary.org/obo/DMBA_126651578&gt;</t>
  </si>
  <si>
    <t>ventricles, preoptic alar plate</t>
  </si>
  <si>
    <t>&lt;http://purl.obolibrary.org/obo/DMBA_126651582&gt;</t>
  </si>
  <si>
    <t>ventricles, terminal hypothalamus (rostral hypothalamus)</t>
  </si>
  <si>
    <t>&lt;http://purl.obolibrary.org/obo/DMBA_126651586&gt;</t>
  </si>
  <si>
    <t>ventricles, alar part of terminal hypothalamus</t>
  </si>
  <si>
    <t>&lt;http://purl.obolibrary.org/obo/DMBA_126651590&gt;</t>
  </si>
  <si>
    <t>ventricles, basal part of terminal hypothalamus</t>
  </si>
  <si>
    <t>&lt;http://purl.obolibrary.org/obo/DMBA_126651594&gt;</t>
  </si>
  <si>
    <t>ventricles, floor of terminal hypothalamus</t>
  </si>
  <si>
    <t>&lt;http://purl.obolibrary.org/obo/DMBA_126651598&gt;</t>
  </si>
  <si>
    <t>ventricles, caudal secondary prosencephalon</t>
  </si>
  <si>
    <t>&lt;http://purl.obolibrary.org/obo/DMBA_126651602&gt;</t>
  </si>
  <si>
    <t>ventricles, telencephalic vesicle</t>
  </si>
  <si>
    <t>&lt;http://purl.obolibrary.org/obo/DMBA_126651606&gt;</t>
  </si>
  <si>
    <t>ventricles, roof plate of evaginated telencephalic vesicle</t>
  </si>
  <si>
    <t>&lt;http://purl.obolibrary.org/obo/DMBA_126651610&gt;</t>
  </si>
  <si>
    <t>ventricles, alar plate of evaginated telencephalic vesicle</t>
  </si>
  <si>
    <t>&lt;http://purl.obolibrary.org/obo/DMBA_126651614&gt;</t>
  </si>
  <si>
    <t>ventricles, peduncular (caudal) hypothalamus</t>
  </si>
  <si>
    <t>&lt;http://purl.obolibrary.org/obo/DMBA_126651618&gt;</t>
  </si>
  <si>
    <t>ventricles, alar part of peduncular hypothalamus</t>
  </si>
  <si>
    <t>&lt;http://purl.obolibrary.org/obo/DMBA_126651622&gt;</t>
  </si>
  <si>
    <t>ventricles, basal peduncular hypothalamus</t>
  </si>
  <si>
    <t>&lt;http://purl.obolibrary.org/obo/DMBA_126651626&gt;</t>
  </si>
  <si>
    <t>ventricles, floor of peduncular hypothalamus</t>
  </si>
  <si>
    <t>&lt;http://purl.obolibrary.org/obo/DMBA_126651630&gt;</t>
  </si>
  <si>
    <t>ventricles, diencephalon</t>
  </si>
  <si>
    <t>&lt;http://purl.obolibrary.org/obo/DMBA_126651634&gt;</t>
  </si>
  <si>
    <t>ventricles, prosomere 3</t>
  </si>
  <si>
    <t>&lt;http://purl.obolibrary.org/obo/DMBA_126651638&gt;</t>
  </si>
  <si>
    <t>ventricles, prethalamus</t>
  </si>
  <si>
    <t>&lt;http://purl.obolibrary.org/obo/DMBA_126651642&gt;</t>
  </si>
  <si>
    <t>ventricles, roof plate of p3</t>
  </si>
  <si>
    <t>&lt;http://purl.obolibrary.org/obo/DMBA_126651646&gt;</t>
  </si>
  <si>
    <t>ventricles, alar plate of p3 (alar prethalamus)</t>
  </si>
  <si>
    <t>&lt;http://purl.obolibrary.org/obo/DMBA_126651650&gt;</t>
  </si>
  <si>
    <t>ventricles, prethalamic tegmentum</t>
  </si>
  <si>
    <t>&lt;http://purl.obolibrary.org/obo/DMBA_126651654&gt;</t>
  </si>
  <si>
    <t>ventricles, basal plate of p3</t>
  </si>
  <si>
    <t>&lt;http://purl.obolibrary.org/obo/DMBA_126651658&gt;</t>
  </si>
  <si>
    <t>ventricles, floor plate of p3</t>
  </si>
  <si>
    <t>&lt;http://purl.obolibrary.org/obo/DMBA_126651662&gt;</t>
  </si>
  <si>
    <t>ventricles, prosomere 2</t>
  </si>
  <si>
    <t>&lt;http://purl.obolibrary.org/obo/DMBA_126651666&gt;</t>
  </si>
  <si>
    <t>ventricles, thalamus</t>
  </si>
  <si>
    <t>&lt;http://purl.obolibrary.org/obo/DMBA_126651670&gt;</t>
  </si>
  <si>
    <t>ventricles, roof plate of p2 (epithalamic roofplate)</t>
  </si>
  <si>
    <t>&lt;http://purl.obolibrary.org/obo/DMBA_126651674&gt;</t>
  </si>
  <si>
    <t>ventricles, alar plate of p2 (alar thalamus)</t>
  </si>
  <si>
    <t>&lt;http://purl.obolibrary.org/obo/DMBA_126651678&gt;</t>
  </si>
  <si>
    <t>ventricles, thalamic tegmentum</t>
  </si>
  <si>
    <t>&lt;http://purl.obolibrary.org/obo/DMBA_126651682&gt;</t>
  </si>
  <si>
    <t>ventricles, basal plate of p2</t>
  </si>
  <si>
    <t>&lt;http://purl.obolibrary.org/obo/DMBA_126651686&gt;</t>
  </si>
  <si>
    <t>ventricles, floor plate of p2</t>
  </si>
  <si>
    <t>&lt;http://purl.obolibrary.org/obo/DMBA_126651690&gt;</t>
  </si>
  <si>
    <t>ventricles, prosomere 1</t>
  </si>
  <si>
    <t>&lt;http://purl.obolibrary.org/obo/DMBA_126651694&gt;</t>
  </si>
  <si>
    <t>ventricles, pretectum</t>
  </si>
  <si>
    <t>&lt;http://purl.obolibrary.org/obo/DMBA_126651698&gt;</t>
  </si>
  <si>
    <t>ventricles, roof plate of p1</t>
  </si>
  <si>
    <t>&lt;http://purl.obolibrary.org/obo/DMBA_126651702&gt;</t>
  </si>
  <si>
    <t>ventricles, alar plate of p1</t>
  </si>
  <si>
    <t>&lt;http://purl.obolibrary.org/obo/DMBA_126651706&gt;</t>
  </si>
  <si>
    <t>ventricles, pretectal tegmentum</t>
  </si>
  <si>
    <t>&lt;http://purl.obolibrary.org/obo/DMBA_126651710&gt;</t>
  </si>
  <si>
    <t>ventricles, basal plate of p1</t>
  </si>
  <si>
    <t>&lt;http://purl.obolibrary.org/obo/DMBA_126651714&gt;</t>
  </si>
  <si>
    <t>ventricles, floor plate of p1</t>
  </si>
  <si>
    <t>&lt;http://purl.obolibrary.org/obo/DMBA_126651718&gt;</t>
  </si>
  <si>
    <t>ventricles, mesomere 1</t>
  </si>
  <si>
    <t>&lt;http://purl.obolibrary.org/obo/DMBA_126651726&gt;</t>
  </si>
  <si>
    <t>ventricles, collicular (rostral) midbrain tectum</t>
  </si>
  <si>
    <t>&lt;http://purl.obolibrary.org/obo/DMBA_126651730&gt;</t>
  </si>
  <si>
    <t>ventricles, roof plate of m1</t>
  </si>
  <si>
    <t>&lt;http://purl.obolibrary.org/obo/DMBA_126651734&gt;</t>
  </si>
  <si>
    <t>ventricles, alar plate of m1</t>
  </si>
  <si>
    <t>&lt;http://purl.obolibrary.org/obo/DMBA_126651738&gt;</t>
  </si>
  <si>
    <t>ventricles, m1 (rostral) midbrain tegmentum</t>
  </si>
  <si>
    <t>&lt;http://purl.obolibrary.org/obo/DMBA_126651742&gt;</t>
  </si>
  <si>
    <t>ventricles, basal plate of m1</t>
  </si>
  <si>
    <t>&lt;http://purl.obolibrary.org/obo/DMBA_126651746&gt;</t>
  </si>
  <si>
    <t>ventricles, floor plate of m1</t>
  </si>
  <si>
    <t>&lt;http://purl.obolibrary.org/obo/DMBA_126651750&gt;</t>
  </si>
  <si>
    <t>ventricles, mesomere 2 (preisthmus or caudal midbrain)</t>
  </si>
  <si>
    <t>&lt;http://purl.obolibrary.org/obo/DMBA_126651754&gt;</t>
  </si>
  <si>
    <t>ventricles, preisthmic midbrain tectum</t>
  </si>
  <si>
    <t>&lt;http://purl.obolibrary.org/obo/DMBA_126651758&gt;</t>
  </si>
  <si>
    <t>ventricles, m2 roof</t>
  </si>
  <si>
    <t>&lt;http://purl.obolibrary.org/obo/DMBA_126651762&gt;</t>
  </si>
  <si>
    <t>ventricles, m2 alar plate</t>
  </si>
  <si>
    <t>&lt;http://purl.obolibrary.org/obo/DMBA_126651766&gt;</t>
  </si>
  <si>
    <t>ventricles, preisthmic tegmentum</t>
  </si>
  <si>
    <t>&lt;http://purl.obolibrary.org/obo/DMBA_126651770&gt;</t>
  </si>
  <si>
    <t>ventricles, m2 basal plate</t>
  </si>
  <si>
    <t>&lt;http://purl.obolibrary.org/obo/DMBA_126651774&gt;</t>
  </si>
  <si>
    <t>ventricles, m2 floor plate</t>
  </si>
  <si>
    <t>&lt;http://purl.obolibrary.org/obo/DMBA_126651778&gt;</t>
  </si>
  <si>
    <t>ventricles, prepontine hindbrain</t>
  </si>
  <si>
    <t>&lt;http://purl.obolibrary.org/obo/DMBA_126651786&gt;</t>
  </si>
  <si>
    <t>ventricles, isthmus</t>
  </si>
  <si>
    <t>&lt;http://purl.obolibrary.org/obo/DMBA_126651790&gt;</t>
  </si>
  <si>
    <t>ventricles, isthmic roof plate</t>
  </si>
  <si>
    <t>&lt;http://purl.obolibrary.org/obo/DMBA_126651794&gt;</t>
  </si>
  <si>
    <t>ventricles, isthmic alar plate</t>
  </si>
  <si>
    <t>&lt;http://purl.obolibrary.org/obo/DMBA_126651798&gt;</t>
  </si>
  <si>
    <t>ventricles, isthmic basal plate</t>
  </si>
  <si>
    <t>&lt;http://purl.obolibrary.org/obo/DMBA_126651802&gt;</t>
  </si>
  <si>
    <t>ventricles, isthmic floor plate</t>
  </si>
  <si>
    <t>&lt;http://purl.obolibrary.org/obo/DMBA_126651806&gt;</t>
  </si>
  <si>
    <t>ventricles, rhombomere 1</t>
  </si>
  <si>
    <t>&lt;http://purl.obolibrary.org/obo/DMBA_126651810&gt;</t>
  </si>
  <si>
    <t>ventricles, r1 roof plate</t>
  </si>
  <si>
    <t>&lt;http://purl.obolibrary.org/obo/DMBA_126651814&gt;</t>
  </si>
  <si>
    <t>ventricles, r1 alar plate</t>
  </si>
  <si>
    <t>&lt;http://purl.obolibrary.org/obo/DMBA_126651818&gt;</t>
  </si>
  <si>
    <t>ventricles, r1 basal plate</t>
  </si>
  <si>
    <t>&lt;http://purl.obolibrary.org/obo/DMBA_126651822&gt;</t>
  </si>
  <si>
    <t>ventricles, r1 floor plate</t>
  </si>
  <si>
    <t>&lt;http://purl.obolibrary.org/obo/DMBA_126651826&gt;</t>
  </si>
  <si>
    <t>ventricles, rhombomere 2</t>
  </si>
  <si>
    <t>&lt;http://purl.obolibrary.org/obo/DMBA_126651830&gt;</t>
  </si>
  <si>
    <t>ventricles, r2 roof plate</t>
  </si>
  <si>
    <t>&lt;http://purl.obolibrary.org/obo/DMBA_126651834&gt;</t>
  </si>
  <si>
    <t>ventricles, r2 alar plate</t>
  </si>
  <si>
    <t>&lt;http://purl.obolibrary.org/obo/DMBA_126651838&gt;</t>
  </si>
  <si>
    <t>ventricles, r2 basal plate</t>
  </si>
  <si>
    <t>&lt;http://purl.obolibrary.org/obo/DMBA_126651842&gt;</t>
  </si>
  <si>
    <t>ventricles, r2 floor plate</t>
  </si>
  <si>
    <t>&lt;http://purl.obolibrary.org/obo/DMBA_126651846&gt;</t>
  </si>
  <si>
    <t>ventricles, pontine hindbrain</t>
  </si>
  <si>
    <t>&lt;http://purl.obolibrary.org/obo/DMBA_126651850&gt;</t>
  </si>
  <si>
    <t>ventricles, rhombomere 3</t>
  </si>
  <si>
    <t>&lt;http://purl.obolibrary.org/obo/DMBA_126651854&gt;</t>
  </si>
  <si>
    <t>ventricles, r3 roof plate</t>
  </si>
  <si>
    <t>&lt;http://purl.obolibrary.org/obo/DMBA_126651858&gt;</t>
  </si>
  <si>
    <t>ventricles, r3 alar plate</t>
  </si>
  <si>
    <t>&lt;http://purl.obolibrary.org/obo/DMBA_126651862&gt;</t>
  </si>
  <si>
    <t>ventricles, r3 basal plate</t>
  </si>
  <si>
    <t>&lt;http://purl.obolibrary.org/obo/DMBA_126651866&gt;</t>
  </si>
  <si>
    <t>ventricles, r3 floor plate</t>
  </si>
  <si>
    <t>&lt;http://purl.obolibrary.org/obo/DMBA_126651870&gt;</t>
  </si>
  <si>
    <t>ventricles, rhombomere 4</t>
  </si>
  <si>
    <t>&lt;http://purl.obolibrary.org/obo/DMBA_126651874&gt;</t>
  </si>
  <si>
    <t>ventricles, r4 roof plate</t>
  </si>
  <si>
    <t>&lt;http://purl.obolibrary.org/obo/DMBA_126651878&gt;</t>
  </si>
  <si>
    <t>ventricles, r4 alar plate</t>
  </si>
  <si>
    <t>&lt;http://purl.obolibrary.org/obo/DMBA_126651882&gt;</t>
  </si>
  <si>
    <t>ventricles, r4 basal plate</t>
  </si>
  <si>
    <t>&lt;http://purl.obolibrary.org/obo/DMBA_126651886&gt;</t>
  </si>
  <si>
    <t>ventricles, r4 floor plate</t>
  </si>
  <si>
    <t>&lt;http://purl.obolibrary.org/obo/DMBA_126651890&gt;</t>
  </si>
  <si>
    <t>ventricles, pontomedullary hindbrain</t>
  </si>
  <si>
    <t>&lt;http://purl.obolibrary.org/obo/DMBA_126651894&gt;</t>
  </si>
  <si>
    <t>ventricles, rhombomere 5</t>
  </si>
  <si>
    <t>&lt;http://purl.obolibrary.org/obo/DMBA_126651898&gt;</t>
  </si>
  <si>
    <t>ventricles, r5 roof plate</t>
  </si>
  <si>
    <t>&lt;http://purl.obolibrary.org/obo/DMBA_126651902&gt;</t>
  </si>
  <si>
    <t>ventricles, r5 alar plate</t>
  </si>
  <si>
    <t>&lt;http://purl.obolibrary.org/obo/DMBA_126651906&gt;</t>
  </si>
  <si>
    <t>ventricles, r5 basal plate</t>
  </si>
  <si>
    <t>&lt;http://purl.obolibrary.org/obo/DMBA_126651910&gt;</t>
  </si>
  <si>
    <t>ventricles, r5 floor plate</t>
  </si>
  <si>
    <t>&lt;http://purl.obolibrary.org/obo/DMBA_126651914&gt;</t>
  </si>
  <si>
    <t>ventricles, rhombomere 6</t>
  </si>
  <si>
    <t>&lt;http://purl.obolibrary.org/obo/DMBA_126651918&gt;</t>
  </si>
  <si>
    <t>ventricles, r6 roof plate</t>
  </si>
  <si>
    <t>&lt;http://purl.obolibrary.org/obo/DMBA_126651922&gt;</t>
  </si>
  <si>
    <t>ventricles, r6 alar plate</t>
  </si>
  <si>
    <t>&lt;http://purl.obolibrary.org/obo/DMBA_126651926&gt;</t>
  </si>
  <si>
    <t>ventricles, r6 basal plate</t>
  </si>
  <si>
    <t>&lt;http://purl.obolibrary.org/obo/DMBA_126651930&gt;</t>
  </si>
  <si>
    <t>ventricles, r6 floor plate</t>
  </si>
  <si>
    <t>&lt;http://purl.obolibrary.org/obo/DMBA_126651934&gt;</t>
  </si>
  <si>
    <t>ventricles, medullary hindbrain (medulla)</t>
  </si>
  <si>
    <t>&lt;http://purl.obolibrary.org/obo/DMBA_126651938&gt;</t>
  </si>
  <si>
    <t>ventricles, rhombomere 7</t>
  </si>
  <si>
    <t>&lt;http://purl.obolibrary.org/obo/DMBA_126651942&gt;</t>
  </si>
  <si>
    <t>ventricles, r7 roof plate</t>
  </si>
  <si>
    <t>&lt;http://purl.obolibrary.org/obo/DMBA_126651946&gt;</t>
  </si>
  <si>
    <t>ventricles, r7 alar plate</t>
  </si>
  <si>
    <t>&lt;http://purl.obolibrary.org/obo/DMBA_126651950&gt;</t>
  </si>
  <si>
    <t>ventricles, r7 basal plate</t>
  </si>
  <si>
    <t>&lt;http://purl.obolibrary.org/obo/DMBA_126651954&gt;</t>
  </si>
  <si>
    <t>ventricles, r7 floor plate</t>
  </si>
  <si>
    <t>&lt;http://purl.obolibrary.org/obo/DMBA_126651958&gt;</t>
  </si>
  <si>
    <t>ventricles, rhombomere 8</t>
  </si>
  <si>
    <t>&lt;http://purl.obolibrary.org/obo/DMBA_126651962&gt;</t>
  </si>
  <si>
    <t>ventricles, r8 roof plate</t>
  </si>
  <si>
    <t>&lt;http://purl.obolibrary.org/obo/DMBA_126651966&gt;</t>
  </si>
  <si>
    <t>ventricles, r8 alar plate</t>
  </si>
  <si>
    <t>&lt;http://purl.obolibrary.org/obo/DMBA_126651970&gt;</t>
  </si>
  <si>
    <t>ventricles, r8 basal plate</t>
  </si>
  <si>
    <t>&lt;http://purl.obolibrary.org/obo/DMBA_126651974&gt;</t>
  </si>
  <si>
    <t>ventricles, r8 floor plate</t>
  </si>
  <si>
    <t>&lt;http://purl.obolibrary.org/obo/DMBA_126651978&gt;</t>
  </si>
  <si>
    <t>ventricles, rhombomere 9</t>
  </si>
  <si>
    <t>&lt;http://purl.obolibrary.org/obo/DMBA_126651982&gt;</t>
  </si>
  <si>
    <t>ventricles, r9 roof plate</t>
  </si>
  <si>
    <t>&lt;http://purl.obolibrary.org/obo/DMBA_126651986&gt;</t>
  </si>
  <si>
    <t>ventricles, r9 alar plate</t>
  </si>
  <si>
    <t>&lt;http://purl.obolibrary.org/obo/DMBA_126651990&gt;</t>
  </si>
  <si>
    <t>ventricles, r9 basal plate</t>
  </si>
  <si>
    <t>&lt;http://purl.obolibrary.org/obo/DMBA_126651994&gt;</t>
  </si>
  <si>
    <t>ventricles, r9 floor plate</t>
  </si>
  <si>
    <t>&lt;http://purl.obolibrary.org/obo/DMBA_126651998&gt;</t>
  </si>
  <si>
    <t>ventricles, rhombomere 10</t>
  </si>
  <si>
    <t>&lt;http://purl.obolibrary.org/obo/DMBA_126652002&gt;</t>
  </si>
  <si>
    <t>ventricles, r10 roof plate</t>
  </si>
  <si>
    <t>&lt;http://purl.obolibrary.org/obo/DMBA_126652006&gt;</t>
  </si>
  <si>
    <t>ventricles, r10 alar plate</t>
  </si>
  <si>
    <t>&lt;http://purl.obolibrary.org/obo/DMBA_126652010&gt;</t>
  </si>
  <si>
    <t>ventricles, r10 basal plate</t>
  </si>
  <si>
    <t>&lt;http://purl.obolibrary.org/obo/DMBA_126652014&gt;</t>
  </si>
  <si>
    <t>ventricles, r10 floor plate</t>
  </si>
  <si>
    <t>&lt;http://purl.obolibrary.org/obo/DMBA_126652018&gt;</t>
  </si>
  <si>
    <t>ventricles, rhombomere 11</t>
  </si>
  <si>
    <t>&lt;http://purl.obolibrary.org/obo/DMBA_126652022&gt;</t>
  </si>
  <si>
    <t>ventricles, r11 roof plate</t>
  </si>
  <si>
    <t>&lt;http://purl.obolibrary.org/obo/DMBA_126652026&gt;</t>
  </si>
  <si>
    <t>ventricles, r11 alar plate</t>
  </si>
  <si>
    <t>&lt;http://purl.obolibrary.org/obo/DMBA_126652030&gt;</t>
  </si>
  <si>
    <t>ventricles, r11 basal plate</t>
  </si>
  <si>
    <t>&lt;http://purl.obolibrary.org/obo/DMBA_126652034&gt;</t>
  </si>
  <si>
    <t>ventricles, r11 floor plate</t>
  </si>
  <si>
    <t>&lt;http://purl.obolibrary.org/obo/DMBA_126652038&gt;</t>
  </si>
  <si>
    <t>r11 part of the inferior olive</t>
  </si>
  <si>
    <t>&lt;http://purl.obolibrary.org/obo/DMBA_127201621&gt;</t>
  </si>
  <si>
    <t>roof plate of evaginated telencephalic vesicle</t>
  </si>
  <si>
    <t>&lt;http://purl.obolibrary.org/obo/DMBA_15740&gt;</t>
  </si>
  <si>
    <t>caudal septocommissural area</t>
  </si>
  <si>
    <t>&lt;http://purl.obolibrary.org/obo/DMBA_15741&gt;</t>
  </si>
  <si>
    <t>ventricular zone of CSCom</t>
  </si>
  <si>
    <t>&lt;http://purl.obolibrary.org/obo/DMBA_15742&gt;</t>
  </si>
  <si>
    <t>subfornical organ, circumventricular ependymal specialization</t>
  </si>
  <si>
    <t>&lt;http://purl.obolibrary.org/obo/DMBA_15743&gt;</t>
  </si>
  <si>
    <t>mantle zone of CSCom</t>
  </si>
  <si>
    <t>&lt;http://purl.obolibrary.org/obo/DMBA_15744&gt;</t>
  </si>
  <si>
    <t>periventricular stratum of CSCom</t>
  </si>
  <si>
    <t>&lt;http://purl.obolibrary.org/obo/DMBA_15745&gt;</t>
  </si>
  <si>
    <t>subfornical organ, periventricular part</t>
  </si>
  <si>
    <t>&lt;http://purl.obolibrary.org/obo/DMBA_15746&gt;</t>
  </si>
  <si>
    <t>intermediate stratum of CSCom</t>
  </si>
  <si>
    <t>&lt;http://purl.obolibrary.org/obo/DMBA_15747&gt;</t>
  </si>
  <si>
    <t>superficial stratum of CSCom</t>
  </si>
  <si>
    <t>&lt;http://purl.obolibrary.org/obo/DMBA_15748&gt;</t>
  </si>
  <si>
    <t>telencephalic choroidal formation</t>
  </si>
  <si>
    <t>&lt;http://purl.obolibrary.org/obo/DMBA_15749&gt;</t>
  </si>
  <si>
    <t>alar plate of evaginated telencephalic vesicle</t>
  </si>
  <si>
    <t>&lt;http://purl.obolibrary.org/obo/DMBA_15750&gt;</t>
  </si>
  <si>
    <t>subpallial septum</t>
  </si>
  <si>
    <t>&lt;http://purl.obolibrary.org/obo/DMBA_15752&gt;</t>
  </si>
  <si>
    <t>diagonal part of septum</t>
  </si>
  <si>
    <t>&lt;http://purl.obolibrary.org/obo/DMBA_15753&gt;</t>
  </si>
  <si>
    <t>ventricular zone of DgSe</t>
  </si>
  <si>
    <t>&lt;http://purl.obolibrary.org/obo/DMBA_15754&gt;</t>
  </si>
  <si>
    <t>mantle zone of DgSe</t>
  </si>
  <si>
    <t>&lt;http://purl.obolibrary.org/obo/DMBA_15755&gt;</t>
  </si>
  <si>
    <t>periventricular stratum of DgSe</t>
  </si>
  <si>
    <t>&lt;http://purl.obolibrary.org/obo/DMBA_15756&gt;</t>
  </si>
  <si>
    <t>lateral septal nucleus, ventral part</t>
  </si>
  <si>
    <t>&lt;http://purl.obolibrary.org/obo/DMBA_15757&gt;</t>
  </si>
  <si>
    <t>median supracommissural nucleus</t>
  </si>
  <si>
    <t>&lt;http://purl.obolibrary.org/obo/DMBA_15758&gt;</t>
  </si>
  <si>
    <t>intermediate stratum of DgSe</t>
  </si>
  <si>
    <t>&lt;http://purl.obolibrary.org/obo/DMBA_15759&gt;</t>
  </si>
  <si>
    <t>lateral septal nucleus, intermedio-ventral part</t>
  </si>
  <si>
    <t>&lt;http://purl.obolibrary.org/obo/DMBA_15760&gt;</t>
  </si>
  <si>
    <t>superficial stratum of DgSe</t>
  </si>
  <si>
    <t>&lt;http://purl.obolibrary.org/obo/DMBA_15762&gt;</t>
  </si>
  <si>
    <t>vertical nucleus of the diagonal band</t>
  </si>
  <si>
    <t>&lt;http://purl.obolibrary.org/obo/DMBA_15763&gt;</t>
  </si>
  <si>
    <t>pallidal septum</t>
  </si>
  <si>
    <t>&lt;http://purl.obolibrary.org/obo/DMBA_15765&gt;</t>
  </si>
  <si>
    <t>ventricular zone of PalSe</t>
  </si>
  <si>
    <t>&lt;http://purl.obolibrary.org/obo/DMBA_15766&gt;</t>
  </si>
  <si>
    <t>mantle zone of PalSe</t>
  </si>
  <si>
    <t>&lt;http://purl.obolibrary.org/obo/DMBA_15767&gt;</t>
  </si>
  <si>
    <t>periventricular stratum of PalSe</t>
  </si>
  <si>
    <t>&lt;http://purl.obolibrary.org/obo/DMBA_15768&gt;</t>
  </si>
  <si>
    <t>lateral septal nucleus, intermediate part, periventricular</t>
  </si>
  <si>
    <t>&lt;http://purl.obolibrary.org/obo/DMBA_15769&gt;</t>
  </si>
  <si>
    <t>intermediate stratum of PalSe</t>
  </si>
  <si>
    <t>&lt;http://purl.obolibrary.org/obo/DMBA_15770&gt;</t>
  </si>
  <si>
    <t>lateral septal nucleus, intermedio-intermediate part</t>
  </si>
  <si>
    <t>&lt;http://purl.obolibrary.org/obo/DMBA_15771&gt;</t>
  </si>
  <si>
    <t>&lt;http://purl.obolibrary.org/obo/DMBA_15772&gt;</t>
  </si>
  <si>
    <t>superficial stratum of PalSe</t>
  </si>
  <si>
    <t>&lt;http://purl.obolibrary.org/obo/DMBA_15773&gt;</t>
  </si>
  <si>
    <t>striatal septum</t>
  </si>
  <si>
    <t>&lt;http://purl.obolibrary.org/obo/DMBA_15774&gt;</t>
  </si>
  <si>
    <t>ventricular zone of StrSe</t>
  </si>
  <si>
    <t>&lt;http://purl.obolibrary.org/obo/DMBA_15775&gt;</t>
  </si>
  <si>
    <t>mantle zone of StrSe</t>
  </si>
  <si>
    <t>&lt;http://purl.obolibrary.org/obo/DMBA_15776&gt;</t>
  </si>
  <si>
    <t>periventricular part of StrSe</t>
  </si>
  <si>
    <t>&lt;http://purl.obolibrary.org/obo/DMBA_15777&gt;</t>
  </si>
  <si>
    <t>lateral septal nucleus, dorsal part</t>
  </si>
  <si>
    <t>&lt;http://purl.obolibrary.org/obo/DMBA_15778&gt;</t>
  </si>
  <si>
    <t>&lt;http://purl.obolibrary.org/obo/DMBA_15779&gt;</t>
  </si>
  <si>
    <t>intermediate part of StrSe</t>
  </si>
  <si>
    <t>&lt;http://purl.obolibrary.org/obo/DMBA_15781&gt;</t>
  </si>
  <si>
    <t>lateral septal nucleus, intermedio-dorsal part</t>
  </si>
  <si>
    <t>&lt;http://purl.obolibrary.org/obo/DMBA_15782&gt;</t>
  </si>
  <si>
    <t>superficial part of StrSe</t>
  </si>
  <si>
    <t>&lt;http://purl.obolibrary.org/obo/DMBA_15783&gt;</t>
  </si>
  <si>
    <t>paraseptal subpallium</t>
  </si>
  <si>
    <t>&lt;http://purl.obolibrary.org/obo/DMBA_15784&gt;</t>
  </si>
  <si>
    <t>septodiagonal transition area</t>
  </si>
  <si>
    <t>&lt;http://purl.obolibrary.org/obo/DMBA_15785&gt;</t>
  </si>
  <si>
    <t>ventricular zone of SeDg</t>
  </si>
  <si>
    <t>&lt;http://purl.obolibrary.org/obo/DMBA_15786&gt;</t>
  </si>
  <si>
    <t>mantle zone of SeDg</t>
  </si>
  <si>
    <t>&lt;http://purl.obolibrary.org/obo/DMBA_15787&gt;</t>
  </si>
  <si>
    <t>periventricular stratum of SeDg</t>
  </si>
  <si>
    <t>&lt;http://purl.obolibrary.org/obo/DMBA_15788&gt;</t>
  </si>
  <si>
    <t>bed nucleus of the stria terminalis, medioseptal division</t>
  </si>
  <si>
    <t>&lt;http://purl.obolibrary.org/obo/DMBA_15789&gt;</t>
  </si>
  <si>
    <t>nucleus of the stria terminalis, medial division, ventral part</t>
  </si>
  <si>
    <t>&lt;http://purl.obolibrary.org/obo/DMBA_15790&gt;</t>
  </si>
  <si>
    <t>nucleus of the stria terminalis, medial division, anterior part</t>
  </si>
  <si>
    <t>&lt;http://purl.obolibrary.org/obo/DMBA_15791&gt;</t>
  </si>
  <si>
    <t>intermediate stratum of SeDg</t>
  </si>
  <si>
    <t>&lt;http://purl.obolibrary.org/obo/DMBA_15792&gt;</t>
  </si>
  <si>
    <t>substantia innominata/basal nucleus, transitional part</t>
  </si>
  <si>
    <t>&lt;http://purl.obolibrary.org/obo/DMBA_15793&gt;</t>
  </si>
  <si>
    <t>superficial stratum of SeDg</t>
  </si>
  <si>
    <t>&lt;http://purl.obolibrary.org/obo/DMBA_15795&gt;</t>
  </si>
  <si>
    <t>horizontal nucleus of the diagonal band, transitional part</t>
  </si>
  <si>
    <t>&lt;http://purl.obolibrary.org/obo/DMBA_15796&gt;</t>
  </si>
  <si>
    <t>septopallidal transition area</t>
  </si>
  <si>
    <t>&lt;http://purl.obolibrary.org/obo/DMBA_15797&gt;</t>
  </si>
  <si>
    <t>ventricular zone of SePal</t>
  </si>
  <si>
    <t>&lt;http://purl.obolibrary.org/obo/DMBA_15798&gt;</t>
  </si>
  <si>
    <t>mantle zone of SePal</t>
  </si>
  <si>
    <t>&lt;http://purl.obolibrary.org/obo/DMBA_15799&gt;</t>
  </si>
  <si>
    <t>periventricular stratum of SePal</t>
  </si>
  <si>
    <t>&lt;http://purl.obolibrary.org/obo/DMBA_15800&gt;</t>
  </si>
  <si>
    <t>bed nucleus of the stria terminalis, lateroseptal division</t>
  </si>
  <si>
    <t>&lt;http://purl.obolibrary.org/obo/DMBA_15801&gt;</t>
  </si>
  <si>
    <t>nucleus of the stria terminalis, lateral division, intermediate part</t>
  </si>
  <si>
    <t>&lt;http://purl.obolibrary.org/obo/DMBA_15802&gt;</t>
  </si>
  <si>
    <t>intermediate stratum of SePal</t>
  </si>
  <si>
    <t>&lt;http://purl.obolibrary.org/obo/DMBA_15803&gt;</t>
  </si>
  <si>
    <t>septopallidal core nucleus</t>
  </si>
  <si>
    <t>&lt;http://purl.obolibrary.org/obo/DMBA_15804&gt;</t>
  </si>
  <si>
    <t>septopallidal shell area</t>
  </si>
  <si>
    <t>&lt;http://purl.obolibrary.org/obo/DMBA_15805&gt;</t>
  </si>
  <si>
    <t>superficial stratum of SePal</t>
  </si>
  <si>
    <t>&lt;http://purl.obolibrary.org/obo/DMBA_15806&gt;</t>
  </si>
  <si>
    <t>septopallidal part of the olfactory tuberculum</t>
  </si>
  <si>
    <t>&lt;http://purl.obolibrary.org/obo/DMBA_15807&gt;</t>
  </si>
  <si>
    <t>island of Calleja major</t>
  </si>
  <si>
    <t>&lt;http://purl.obolibrary.org/obo/DMBA_15808&gt;</t>
  </si>
  <si>
    <t>septostriatal transition area (accumbens)</t>
  </si>
  <si>
    <t>&lt;http://purl.obolibrary.org/obo/DMBA_15809&gt;</t>
  </si>
  <si>
    <t>ventricular zone of SeStr</t>
  </si>
  <si>
    <t>&lt;http://purl.obolibrary.org/obo/DMBA_15810&gt;</t>
  </si>
  <si>
    <t>mantle zone of SeStr</t>
  </si>
  <si>
    <t>&lt;http://purl.obolibrary.org/obo/DMBA_15811&gt;</t>
  </si>
  <si>
    <t>periventricular stratum of SeStr</t>
  </si>
  <si>
    <t>&lt;http://purl.obolibrary.org/obo/DMBA_15812&gt;</t>
  </si>
  <si>
    <t>accumbens nucleus, core domain</t>
  </si>
  <si>
    <t>&lt;http://purl.obolibrary.org/obo/DMBA_15813&gt;</t>
  </si>
  <si>
    <t>intermediate stratum of SeStr</t>
  </si>
  <si>
    <t>&lt;http://purl.obolibrary.org/obo/DMBA_15814&gt;</t>
  </si>
  <si>
    <t>accumbens nucleus, shell domain</t>
  </si>
  <si>
    <t>&lt;http://purl.obolibrary.org/obo/DMBA_15815&gt;</t>
  </si>
  <si>
    <t>superficial stratum of SeStr</t>
  </si>
  <si>
    <t>&lt;http://purl.obolibrary.org/obo/DMBA_15816&gt;</t>
  </si>
  <si>
    <t>septostriatal part of the olfactory tuberculum</t>
  </si>
  <si>
    <t>&lt;http://purl.obolibrary.org/obo/DMBA_15817&gt;</t>
  </si>
  <si>
    <t>central subpallium (classic basal ganglia)</t>
  </si>
  <si>
    <t>&lt;http://purl.obolibrary.org/obo/DMBA_15818&gt;</t>
  </si>
  <si>
    <t>diagonal domain</t>
  </si>
  <si>
    <t>&lt;http://purl.obolibrary.org/obo/DMBA_15819&gt;</t>
  </si>
  <si>
    <t>ventricular zone of Dg</t>
  </si>
  <si>
    <t>&lt;http://purl.obolibrary.org/obo/DMBA_15820&gt;</t>
  </si>
  <si>
    <t>mantle zone of Dg</t>
  </si>
  <si>
    <t>&lt;http://purl.obolibrary.org/obo/DMBA_15821&gt;</t>
  </si>
  <si>
    <t>periventricular stratum of Dg</t>
  </si>
  <si>
    <t>&lt;http://purl.obolibrary.org/obo/DMBA_15822&gt;</t>
  </si>
  <si>
    <t>bed nucleus of the stria terminalis, mediocentral division</t>
  </si>
  <si>
    <t>&lt;http://purl.obolibrary.org/obo/DMBA_15823&gt;</t>
  </si>
  <si>
    <t>posteromedial part of BSTMC</t>
  </si>
  <si>
    <t>&lt;http://purl.obolibrary.org/obo/DMBA_15824&gt;</t>
  </si>
  <si>
    <t>posterointermediate part of BSTMC</t>
  </si>
  <si>
    <t>&lt;http://purl.obolibrary.org/obo/DMBA_15825&gt;</t>
  </si>
  <si>
    <t>posterolateral part of BSTMC</t>
  </si>
  <si>
    <t>&lt;http://purl.obolibrary.org/obo/DMBA_15826&gt;</t>
  </si>
  <si>
    <t>extended amygdala, diagonal part</t>
  </si>
  <si>
    <t>&lt;http://purl.obolibrary.org/obo/DMBA_15827&gt;</t>
  </si>
  <si>
    <t>intermediate stratum of Dg</t>
  </si>
  <si>
    <t>&lt;http://purl.obolibrary.org/obo/DMBA_15828&gt;</t>
  </si>
  <si>
    <t>substantia innominata/basal nucleus</t>
  </si>
  <si>
    <t>&lt;http://purl.obolibrary.org/obo/DMBA_15829&gt;</t>
  </si>
  <si>
    <t>superficial stratum of Dg</t>
  </si>
  <si>
    <t>&lt;http://purl.obolibrary.org/obo/DMBA_15831&gt;</t>
  </si>
  <si>
    <t>horizontal nucleus of the diagonal band</t>
  </si>
  <si>
    <t>&lt;http://purl.obolibrary.org/obo/DMBA_15832&gt;</t>
  </si>
  <si>
    <t>magnocellular diagonal band nucleus</t>
  </si>
  <si>
    <t>&lt;http://purl.obolibrary.org/obo/DMBA_15833&gt;</t>
  </si>
  <si>
    <t>pallidum (globus pallidus complex)</t>
  </si>
  <si>
    <t>&lt;http://purl.obolibrary.org/obo/DMBA_15834&gt;</t>
  </si>
  <si>
    <t>ventricular zone of Pal</t>
  </si>
  <si>
    <t>&lt;http://purl.obolibrary.org/obo/DMBA_15835&gt;</t>
  </si>
  <si>
    <t>mantle zone of Pal</t>
  </si>
  <si>
    <t>&lt;http://purl.obolibrary.org/obo/DMBA_15836&gt;</t>
  </si>
  <si>
    <t>periventricular stratum of Pal</t>
  </si>
  <si>
    <t>&lt;http://purl.obolibrary.org/obo/DMBA_15837&gt;</t>
  </si>
  <si>
    <t>bed nucleus of the stria terminalis, laterocentral division</t>
  </si>
  <si>
    <t>&lt;http://purl.obolibrary.org/obo/DMBA_15838&gt;</t>
  </si>
  <si>
    <t>posterior part of BSTLC</t>
  </si>
  <si>
    <t>&lt;http://purl.obolibrary.org/obo/DMBA_15839&gt;</t>
  </si>
  <si>
    <t>juxtacapsular part of BSTLC</t>
  </si>
  <si>
    <t>&lt;http://purl.obolibrary.org/obo/DMBA_15840&gt;</t>
  </si>
  <si>
    <t>dorsal part of BSTLC</t>
  </si>
  <si>
    <t>&lt;http://purl.obolibrary.org/obo/DMBA_15841&gt;</t>
  </si>
  <si>
    <t>intermediate stratum of Pal</t>
  </si>
  <si>
    <t>&lt;http://purl.obolibrary.org/obo/DMBA_15842&gt;</t>
  </si>
  <si>
    <t>external globus pallidum</t>
  </si>
  <si>
    <t>&lt;http://purl.obolibrary.org/obo/DMBA_15843&gt;</t>
  </si>
  <si>
    <t>superficial stratum of Pal</t>
  </si>
  <si>
    <t>&lt;http://purl.obolibrary.org/obo/DMBA_15845&gt;</t>
  </si>
  <si>
    <t>pallidal part of olfactory tuberculum</t>
  </si>
  <si>
    <t>&lt;http://purl.obolibrary.org/obo/DMBA_15846&gt;</t>
  </si>
  <si>
    <t>plexiform layer of TuPal</t>
  </si>
  <si>
    <t>&lt;http://purl.obolibrary.org/obo/DMBA_15847&gt;</t>
  </si>
  <si>
    <t>corticoid layer of TuPal</t>
  </si>
  <si>
    <t>&lt;http://purl.obolibrary.org/obo/DMBA_15848&gt;</t>
  </si>
  <si>
    <t>polymorph layer of TuPal</t>
  </si>
  <si>
    <t>&lt;http://purl.obolibrary.org/obo/DMBA_15849&gt;</t>
  </si>
  <si>
    <t>pallidal islands of Calleja</t>
  </si>
  <si>
    <t>&lt;http://purl.obolibrary.org/obo/DMBA_15850&gt;</t>
  </si>
  <si>
    <t>ventricular zone of Str</t>
  </si>
  <si>
    <t>&lt;http://purl.obolibrary.org/obo/DMBA_15852&gt;</t>
  </si>
  <si>
    <t>mantle zone of Str</t>
  </si>
  <si>
    <t>&lt;http://purl.obolibrary.org/obo/DMBA_15853&gt;</t>
  </si>
  <si>
    <t>periventricular stratum of Str</t>
  </si>
  <si>
    <t>&lt;http://purl.obolibrary.org/obo/DMBA_15854&gt;</t>
  </si>
  <si>
    <t>intermediate stratum of Str</t>
  </si>
  <si>
    <t>&lt;http://purl.obolibrary.org/obo/DMBA_15856&gt;</t>
  </si>
  <si>
    <t>interstitial nucleus of the posterior limb of the anterior commissure</t>
  </si>
  <si>
    <t>&lt;http://purl.obolibrary.org/obo/DMBA_15859&gt;</t>
  </si>
  <si>
    <t>laterostriatal stripe</t>
  </si>
  <si>
    <t>&lt;http://purl.obolibrary.org/obo/DMBA_15860&gt;</t>
  </si>
  <si>
    <t>superficial stratum of Str</t>
  </si>
  <si>
    <t>&lt;http://purl.obolibrary.org/obo/DMBA_15861&gt;</t>
  </si>
  <si>
    <t>striatal part of olfactory tuberculum</t>
  </si>
  <si>
    <t>&lt;http://purl.obolibrary.org/obo/DMBA_15862&gt;</t>
  </si>
  <si>
    <t>plexiform layer of TuStr</t>
  </si>
  <si>
    <t>&lt;http://purl.obolibrary.org/obo/DMBA_15863&gt;</t>
  </si>
  <si>
    <t>corticoid layer of TuStr</t>
  </si>
  <si>
    <t>&lt;http://purl.obolibrary.org/obo/DMBA_15864&gt;</t>
  </si>
  <si>
    <t>polymorph layer of TuStr</t>
  </si>
  <si>
    <t>&lt;http://purl.obolibrary.org/obo/DMBA_15865&gt;</t>
  </si>
  <si>
    <t>striatal islands of Calleja</t>
  </si>
  <si>
    <t>&lt;http://purl.obolibrary.org/obo/DMBA_15866&gt;</t>
  </si>
  <si>
    <t>subpallial amygdala</t>
  </si>
  <si>
    <t>&lt;http://purl.obolibrary.org/obo/DMBA_15867&gt;</t>
  </si>
  <si>
    <t>striatal amygdala</t>
  </si>
  <si>
    <t>&lt;http://purl.obolibrary.org/obo/DMBA_15868&gt;</t>
  </si>
  <si>
    <t>ventricular zone of AStr</t>
  </si>
  <si>
    <t>&lt;http://purl.obolibrary.org/obo/DMBA_15869&gt;</t>
  </si>
  <si>
    <t>mantle zone of AStr</t>
  </si>
  <si>
    <t>&lt;http://purl.obolibrary.org/obo/DMBA_15870&gt;</t>
  </si>
  <si>
    <t>periventricular stratum of AStr</t>
  </si>
  <si>
    <t>&lt;http://purl.obolibrary.org/obo/DMBA_15871&gt;</t>
  </si>
  <si>
    <t>amygdalo-striatal transition</t>
  </si>
  <si>
    <t>&lt;http://purl.obolibrary.org/obo/DMBA_15872&gt;</t>
  </si>
  <si>
    <t>intermediate stratum of AStr</t>
  </si>
  <si>
    <t>&lt;http://purl.obolibrary.org/obo/DMBA_15873&gt;</t>
  </si>
  <si>
    <t>central amygdalar nucleus, lateral part</t>
  </si>
  <si>
    <t>&lt;http://purl.obolibrary.org/obo/DMBA_15874&gt;</t>
  </si>
  <si>
    <t>central amygdalar nucleus, capsular part</t>
  </si>
  <si>
    <t>&lt;http://purl.obolibrary.org/obo/DMBA_15875&gt;</t>
  </si>
  <si>
    <t>superficial stratum of AStr</t>
  </si>
  <si>
    <t>&lt;http://purl.obolibrary.org/obo/DMBA_15877&gt;</t>
  </si>
  <si>
    <t>pallidal amygdala</t>
  </si>
  <si>
    <t>&lt;http://purl.obolibrary.org/obo/DMBA_15878&gt;</t>
  </si>
  <si>
    <t>ventricular zone of APal</t>
  </si>
  <si>
    <t>&lt;http://purl.obolibrary.org/obo/DMBA_15879&gt;</t>
  </si>
  <si>
    <t>mantle zone of APal</t>
  </si>
  <si>
    <t>&lt;http://purl.obolibrary.org/obo/DMBA_15880&gt;</t>
  </si>
  <si>
    <t>periventricular stratum of APal</t>
  </si>
  <si>
    <t>&lt;http://purl.obolibrary.org/obo/DMBA_15881&gt;</t>
  </si>
  <si>
    <t>bed nucleus of stria terminalis, lateral amygdaloid division</t>
  </si>
  <si>
    <t>&lt;http://purl.obolibrary.org/obo/DMBA_15882&gt;</t>
  </si>
  <si>
    <t>intermediate stratum of APal</t>
  </si>
  <si>
    <t>&lt;http://purl.obolibrary.org/obo/DMBA_15883&gt;</t>
  </si>
  <si>
    <t>central amygdaloid nucleus, medial part</t>
  </si>
  <si>
    <t>&lt;http://purl.obolibrary.org/obo/DMBA_15884&gt;</t>
  </si>
  <si>
    <t>superficial stratum of APal</t>
  </si>
  <si>
    <t>&lt;http://purl.obolibrary.org/obo/DMBA_15885&gt;</t>
  </si>
  <si>
    <t>diagonal amygdala</t>
  </si>
  <si>
    <t>&lt;http://purl.obolibrary.org/obo/DMBA_15886&gt;</t>
  </si>
  <si>
    <t>ventricular zone of ADg</t>
  </si>
  <si>
    <t>&lt;http://purl.obolibrary.org/obo/DMBA_15887&gt;</t>
  </si>
  <si>
    <t>mantle zone of ADg</t>
  </si>
  <si>
    <t>&lt;http://purl.obolibrary.org/obo/DMBA_15888&gt;</t>
  </si>
  <si>
    <t>periventricular stratum of ADg</t>
  </si>
  <si>
    <t>&lt;http://purl.obolibrary.org/obo/DMBA_15889&gt;</t>
  </si>
  <si>
    <t>bed nucleus of the stria terminalis, medial amygdaloid division</t>
  </si>
  <si>
    <t>&lt;http://purl.obolibrary.org/obo/DMBA_15890&gt;</t>
  </si>
  <si>
    <t>intermediate stratum of ADg</t>
  </si>
  <si>
    <t>&lt;http://purl.obolibrary.org/obo/DMBA_15891&gt;</t>
  </si>
  <si>
    <t>superficial stratum of ADg</t>
  </si>
  <si>
    <t>&lt;http://purl.obolibrary.org/obo/DMBA_15892&gt;</t>
  </si>
  <si>
    <t>hypothalamic amygdala</t>
  </si>
  <si>
    <t>&lt;http://purl.obolibrary.org/obo/DMBA_15893&gt;</t>
  </si>
  <si>
    <t>ventricular zone of AHy</t>
  </si>
  <si>
    <t>&lt;http://purl.obolibrary.org/obo/DMBA_15894&gt;</t>
  </si>
  <si>
    <t>mantle zone of AHy</t>
  </si>
  <si>
    <t>&lt;http://purl.obolibrary.org/obo/DMBA_15895&gt;</t>
  </si>
  <si>
    <t>periventricular stratum of AHy</t>
  </si>
  <si>
    <t>&lt;http://purl.obolibrary.org/obo/DMBA_15896&gt;</t>
  </si>
  <si>
    <t>intermediate stratum of AHy</t>
  </si>
  <si>
    <t>&lt;http://purl.obolibrary.org/obo/DMBA_15897&gt;</t>
  </si>
  <si>
    <t>superficial stratum of AHy</t>
  </si>
  <si>
    <t>&lt;http://purl.obolibrary.org/obo/DMBA_15898&gt;</t>
  </si>
  <si>
    <t>medial amygdala, posterodorsal part</t>
  </si>
  <si>
    <t>&lt;http://purl.obolibrary.org/obo/DMBA_15899&gt;</t>
  </si>
  <si>
    <t>medial amygdala, posteroventral part</t>
  </si>
  <si>
    <t>&lt;http://purl.obolibrary.org/obo/DMBA_15900&gt;</t>
  </si>
  <si>
    <t>medial amygdala, anterodorsal part</t>
  </si>
  <si>
    <t>&lt;http://purl.obolibrary.org/obo/DMBA_15901&gt;</t>
  </si>
  <si>
    <t>medial amygdala, anteroventral part</t>
  </si>
  <si>
    <t>&lt;http://purl.obolibrary.org/obo/DMBA_15902&gt;</t>
  </si>
  <si>
    <t>olfactory bulb, principal part</t>
  </si>
  <si>
    <t>&lt;http://purl.obolibrary.org/obo/DMBA_15905&gt;</t>
  </si>
  <si>
    <t>ventricular zone of OB</t>
  </si>
  <si>
    <t>&lt;http://purl.obolibrary.org/obo/DMBA_15906&gt;</t>
  </si>
  <si>
    <t>mantle zone of OB</t>
  </si>
  <si>
    <t>&lt;http://purl.obolibrary.org/obo/DMBA_15907&gt;</t>
  </si>
  <si>
    <t>periventricular stratum of OB</t>
  </si>
  <si>
    <t>&lt;http://purl.obolibrary.org/obo/DMBA_15908&gt;</t>
  </si>
  <si>
    <t>intermediate stratum of OB</t>
  </si>
  <si>
    <t>&lt;http://purl.obolibrary.org/obo/DMBA_15911&gt;</t>
  </si>
  <si>
    <t>superficial stratum of OB</t>
  </si>
  <si>
    <t>&lt;http://purl.obolibrary.org/obo/DMBA_15914&gt;</t>
  </si>
  <si>
    <t>OB glomerular layer</t>
  </si>
  <si>
    <t>&lt;http://purl.obolibrary.org/obo/DMBA_15915&gt;</t>
  </si>
  <si>
    <t>OB olfactory fiber layer</t>
  </si>
  <si>
    <t>&lt;http://purl.obolibrary.org/obo/DMBA_15916&gt;</t>
  </si>
  <si>
    <t>anterior olfactory area, ventral part</t>
  </si>
  <si>
    <t>&lt;http://purl.obolibrary.org/obo/DMBA_15917&gt;</t>
  </si>
  <si>
    <t>ventricular zone of AOV</t>
  </si>
  <si>
    <t>&lt;http://purl.obolibrary.org/obo/DMBA_15918&gt;</t>
  </si>
  <si>
    <t>mantle zone of AOV</t>
  </si>
  <si>
    <t>&lt;http://purl.obolibrary.org/obo/DMBA_15919&gt;</t>
  </si>
  <si>
    <t>periventricular stratum of AOV</t>
  </si>
  <si>
    <t>&lt;http://purl.obolibrary.org/obo/DMBA_15920&gt;</t>
  </si>
  <si>
    <t>intermediate stratum of AOV</t>
  </si>
  <si>
    <t>&lt;http://purl.obolibrary.org/obo/DMBA_15921&gt;</t>
  </si>
  <si>
    <t>superficial stratum of AOV</t>
  </si>
  <si>
    <t>&lt;http://purl.obolibrary.org/obo/DMBA_15922&gt;</t>
  </si>
  <si>
    <t>layer 1 of AOV cortex</t>
  </si>
  <si>
    <t>&lt;http://purl.obolibrary.org/obo/DMBA_15923&gt;</t>
  </si>
  <si>
    <t>layer 2 of AOV cortex</t>
  </si>
  <si>
    <t>&lt;http://purl.obolibrary.org/obo/DMBA_15924&gt;</t>
  </si>
  <si>
    <t>layer 3 of AOV cortex</t>
  </si>
  <si>
    <t>&lt;http://purl.obolibrary.org/obo/DMBA_15925&gt;</t>
  </si>
  <si>
    <t>external part of AOV</t>
  </si>
  <si>
    <t>&lt;http://purl.obolibrary.org/obo/DMBA_15926&gt;</t>
  </si>
  <si>
    <t>navicular nucleus</t>
  </si>
  <si>
    <t>&lt;http://purl.obolibrary.org/obo/DMBA_15927&gt;</t>
  </si>
  <si>
    <t>ventropallial prepiriform area</t>
  </si>
  <si>
    <t>&lt;http://purl.obolibrary.org/obo/DMBA_15928&gt;</t>
  </si>
  <si>
    <t>ventricular zone of VPrP</t>
  </si>
  <si>
    <t>&lt;http://purl.obolibrary.org/obo/DMBA_15929&gt;</t>
  </si>
  <si>
    <t>mantle zone of VPrP</t>
  </si>
  <si>
    <t>&lt;http://purl.obolibrary.org/obo/DMBA_15930&gt;</t>
  </si>
  <si>
    <t>periventricular stratum of VPrP</t>
  </si>
  <si>
    <t>&lt;http://purl.obolibrary.org/obo/DMBA_15931&gt;</t>
  </si>
  <si>
    <t>intermediate stratum of VPrP</t>
  </si>
  <si>
    <t>&lt;http://purl.obolibrary.org/obo/DMBA_15932&gt;</t>
  </si>
  <si>
    <t>bed nucleus of the external capsule</t>
  </si>
  <si>
    <t>&lt;http://purl.obolibrary.org/obo/DMBA_15933&gt;</t>
  </si>
  <si>
    <t>dorsal endopiriform nucleus</t>
  </si>
  <si>
    <t>&lt;http://purl.obolibrary.org/obo/DMBA_15934&gt;</t>
  </si>
  <si>
    <t>ventral endopiriform nucleus</t>
  </si>
  <si>
    <t>&lt;http://purl.obolibrary.org/obo/DMBA_15935&gt;</t>
  </si>
  <si>
    <t>superficial stratum of VPrP</t>
  </si>
  <si>
    <t>&lt;http://purl.obolibrary.org/obo/DMBA_15936&gt;</t>
  </si>
  <si>
    <t>layer 1 of VPrP cortex</t>
  </si>
  <si>
    <t>&lt;http://purl.obolibrary.org/obo/DMBA_15937&gt;</t>
  </si>
  <si>
    <t>layer 2 of VPrP cortex</t>
  </si>
  <si>
    <t>&lt;http://purl.obolibrary.org/obo/DMBA_15938&gt;</t>
  </si>
  <si>
    <t>layer 3 of VPrP cortex</t>
  </si>
  <si>
    <t>&lt;http://purl.obolibrary.org/obo/DMBA_15939&gt;</t>
  </si>
  <si>
    <t>ventropallial amygdalopiriform area</t>
  </si>
  <si>
    <t>&lt;http://purl.obolibrary.org/obo/DMBA_15940&gt;</t>
  </si>
  <si>
    <t>ventricular zone of the VAP</t>
  </si>
  <si>
    <t>&lt;http://purl.obolibrary.org/obo/DMBA_15941&gt;</t>
  </si>
  <si>
    <t>mantle zone of VAP</t>
  </si>
  <si>
    <t>&lt;http://purl.obolibrary.org/obo/DMBA_15942&gt;</t>
  </si>
  <si>
    <t>periventricular stratum of the VAP</t>
  </si>
  <si>
    <t>&lt;http://purl.obolibrary.org/obo/DMBA_15943&gt;</t>
  </si>
  <si>
    <t>intermediate stratum of the VAP</t>
  </si>
  <si>
    <t>&lt;http://purl.obolibrary.org/obo/DMBA_15946&gt;</t>
  </si>
  <si>
    <t>basomedial amygdaloid nucleus, posterior part</t>
  </si>
  <si>
    <t>&lt;http://purl.obolibrary.org/obo/DMBA_15948&gt;</t>
  </si>
  <si>
    <t>superficial stratum of the VAP</t>
  </si>
  <si>
    <t>&lt;http://purl.obolibrary.org/obo/DMBA_15949&gt;</t>
  </si>
  <si>
    <t>layer 3 of LOT</t>
  </si>
  <si>
    <t>&lt;http://purl.obolibrary.org/obo/DMBA_15952&gt;</t>
  </si>
  <si>
    <t>layer 2 of LOT</t>
  </si>
  <si>
    <t>&lt;http://purl.obolibrary.org/obo/DMBA_15953&gt;</t>
  </si>
  <si>
    <t>layer 1 of LOT</t>
  </si>
  <si>
    <t>&lt;http://purl.obolibrary.org/obo/DMBA_15954&gt;</t>
  </si>
  <si>
    <t>nucleus of the accessory olfactory tract</t>
  </si>
  <si>
    <t>&lt;http://purl.obolibrary.org/obo/DMBA_15955&gt;</t>
  </si>
  <si>
    <t>ventricular zone of AOB</t>
  </si>
  <si>
    <t>&lt;http://purl.obolibrary.org/obo/DMBA_15958&gt;</t>
  </si>
  <si>
    <t>mantle zone of AOB</t>
  </si>
  <si>
    <t>&lt;http://purl.obolibrary.org/obo/DMBA_15959&gt;</t>
  </si>
  <si>
    <t>periventricular stratum of AOB</t>
  </si>
  <si>
    <t>&lt;http://purl.obolibrary.org/obo/DMBA_15960&gt;</t>
  </si>
  <si>
    <t>intermediate stratum of AOB</t>
  </si>
  <si>
    <t>&lt;http://purl.obolibrary.org/obo/DMBA_15963&gt;</t>
  </si>
  <si>
    <t>AOB, mitral cell layer</t>
  </si>
  <si>
    <t>&lt;http://purl.obolibrary.org/obo/DMBA_15964&gt;</t>
  </si>
  <si>
    <t>superficial stratum of AOB</t>
  </si>
  <si>
    <t>&lt;http://purl.obolibrary.org/obo/DMBA_15966&gt;</t>
  </si>
  <si>
    <t>AOB, fiber layer</t>
  </si>
  <si>
    <t>&lt;http://purl.obolibrary.org/obo/DMBA_15968&gt;</t>
  </si>
  <si>
    <t>anterior olfactory area, dorsal part</t>
  </si>
  <si>
    <t>&lt;http://purl.obolibrary.org/obo/DMBA_15969&gt;</t>
  </si>
  <si>
    <t>ventricular zone of AOD</t>
  </si>
  <si>
    <t>&lt;http://purl.obolibrary.org/obo/DMBA_15970&gt;</t>
  </si>
  <si>
    <t>mantle zone of AOD</t>
  </si>
  <si>
    <t>&lt;http://purl.obolibrary.org/obo/DMBA_15971&gt;</t>
  </si>
  <si>
    <t>periventricular stratum of AOD</t>
  </si>
  <si>
    <t>&lt;http://purl.obolibrary.org/obo/DMBA_15972&gt;</t>
  </si>
  <si>
    <t>intermediate stratum of AOD</t>
  </si>
  <si>
    <t>&lt;http://purl.obolibrary.org/obo/DMBA_15973&gt;</t>
  </si>
  <si>
    <t>superficial stratum of AOD</t>
  </si>
  <si>
    <t>&lt;http://purl.obolibrary.org/obo/DMBA_15974&gt;</t>
  </si>
  <si>
    <t>layer 1 of AOD cortex</t>
  </si>
  <si>
    <t>&lt;http://purl.obolibrary.org/obo/DMBA_15975&gt;</t>
  </si>
  <si>
    <t>layer 2 of AOD cortex</t>
  </si>
  <si>
    <t>&lt;http://purl.obolibrary.org/obo/DMBA_15976&gt;</t>
  </si>
  <si>
    <t>layer 3 of AOD cortex</t>
  </si>
  <si>
    <t>&lt;http://purl.obolibrary.org/obo/DMBA_15977&gt;</t>
  </si>
  <si>
    <t>external part of AOD</t>
  </si>
  <si>
    <t>&lt;http://purl.obolibrary.org/obo/DMBA_15978&gt;</t>
  </si>
  <si>
    <t>lateropallial prepiriform area</t>
  </si>
  <si>
    <t>&lt;http://purl.obolibrary.org/obo/DMBA_15979&gt;</t>
  </si>
  <si>
    <t>ventricular zone of LPrP</t>
  </si>
  <si>
    <t>&lt;http://purl.obolibrary.org/obo/DMBA_15980&gt;</t>
  </si>
  <si>
    <t>mantle zone of LPrP</t>
  </si>
  <si>
    <t>&lt;http://purl.obolibrary.org/obo/DMBA_15981&gt;</t>
  </si>
  <si>
    <t>periventricular stratum of LPrP</t>
  </si>
  <si>
    <t>&lt;http://purl.obolibrary.org/obo/DMBA_15982&gt;</t>
  </si>
  <si>
    <t>intermediate stratum of LPrP</t>
  </si>
  <si>
    <t>&lt;http://purl.obolibrary.org/obo/DMBA_15983&gt;</t>
  </si>
  <si>
    <t>superficial stratum of LPrP</t>
  </si>
  <si>
    <t>&lt;http://purl.obolibrary.org/obo/DMBA_15985&gt;</t>
  </si>
  <si>
    <t>layer 1 of LPrP cortex</t>
  </si>
  <si>
    <t>&lt;http://purl.obolibrary.org/obo/DMBA_15986&gt;</t>
  </si>
  <si>
    <t>layer 2 of LPrP cortex</t>
  </si>
  <si>
    <t>&lt;http://purl.obolibrary.org/obo/DMBA_15987&gt;</t>
  </si>
  <si>
    <t>layer 3 of LPrP cortex</t>
  </si>
  <si>
    <t>&lt;http://purl.obolibrary.org/obo/DMBA_15988&gt;</t>
  </si>
  <si>
    <t>lateropallial amygdalopiriform area</t>
  </si>
  <si>
    <t>&lt;http://purl.obolibrary.org/obo/DMBA_15989&gt;</t>
  </si>
  <si>
    <t>ventricular zone of LAP</t>
  </si>
  <si>
    <t>&lt;http://purl.obolibrary.org/obo/DMBA_15990&gt;</t>
  </si>
  <si>
    <t>mantle zone of LAP</t>
  </si>
  <si>
    <t>&lt;http://purl.obolibrary.org/obo/DMBA_15991&gt;</t>
  </si>
  <si>
    <t>periventricular stratum of LAP</t>
  </si>
  <si>
    <t>&lt;http://purl.obolibrary.org/obo/DMBA_15992&gt;</t>
  </si>
  <si>
    <t>intermediate stratum of LAP</t>
  </si>
  <si>
    <t>&lt;http://purl.obolibrary.org/obo/DMBA_15993&gt;</t>
  </si>
  <si>
    <t>basolateral amygdaloid nucleus, posterior part</t>
  </si>
  <si>
    <t>&lt;http://purl.obolibrary.org/obo/DMBA_15995&gt;</t>
  </si>
  <si>
    <t>basolateral amygdaloid nucleus, ventral part</t>
  </si>
  <si>
    <t>&lt;http://purl.obolibrary.org/obo/DMBA_15996&gt;</t>
  </si>
  <si>
    <t>superficial stratum of LAP</t>
  </si>
  <si>
    <t>&lt;http://purl.obolibrary.org/obo/DMBA_15997&gt;</t>
  </si>
  <si>
    <t>amygdalopiriform area</t>
  </si>
  <si>
    <t>&lt;http://purl.obolibrary.org/obo/DMBA_15998&gt;</t>
  </si>
  <si>
    <t>dorsal pallium/isocortex</t>
  </si>
  <si>
    <t>&lt;http://purl.obolibrary.org/obo/DMBA_16001&gt;</t>
  </si>
  <si>
    <t>ventricular zone of FCx</t>
  </si>
  <si>
    <t>&lt;http://purl.obolibrary.org/obo/DMBA_16003&gt;</t>
  </si>
  <si>
    <t>mantle zone of FCx</t>
  </si>
  <si>
    <t>&lt;http://purl.obolibrary.org/obo/DMBA_16004&gt;</t>
  </si>
  <si>
    <t>periventricular stratum of FCx (subventricular zone)</t>
  </si>
  <si>
    <t>&lt;http://purl.obolibrary.org/obo/DMBA_16005&gt;</t>
  </si>
  <si>
    <t>intermediate stratum of FCx (white matter/subplate)</t>
  </si>
  <si>
    <t>&lt;http://purl.obolibrary.org/obo/DMBA_16006&gt;</t>
  </si>
  <si>
    <t>superficial stratum of FCx (cortical plate/marginal zone)</t>
  </si>
  <si>
    <t>&lt;http://purl.obolibrary.org/obo/DMBA_16007&gt;</t>
  </si>
  <si>
    <t>layer 1 of FCx</t>
  </si>
  <si>
    <t>&lt;http://purl.obolibrary.org/obo/DMBA_16008&gt;</t>
  </si>
  <si>
    <t>layer 2 of FCx</t>
  </si>
  <si>
    <t>&lt;http://purl.obolibrary.org/obo/DMBA_16009&gt;</t>
  </si>
  <si>
    <t>layer 3 of FCx</t>
  </si>
  <si>
    <t>&lt;http://purl.obolibrary.org/obo/DMBA_16010&gt;</t>
  </si>
  <si>
    <t>layer 4 of FCx</t>
  </si>
  <si>
    <t>&lt;http://purl.obolibrary.org/obo/DMBA_16011&gt;</t>
  </si>
  <si>
    <t>layer 5 of FCx</t>
  </si>
  <si>
    <t>&lt;http://purl.obolibrary.org/obo/DMBA_16012&gt;</t>
  </si>
  <si>
    <t>layer 6 of FCx</t>
  </si>
  <si>
    <t>&lt;http://purl.obolibrary.org/obo/DMBA_16013&gt;</t>
  </si>
  <si>
    <t>sublayer 6a of FCx</t>
  </si>
  <si>
    <t>&lt;http://purl.obolibrary.org/obo/DMBA_16014&gt;</t>
  </si>
  <si>
    <t>sublayer 6b of FCx</t>
  </si>
  <si>
    <t>&lt;http://purl.obolibrary.org/obo/DMBA_16015&gt;</t>
  </si>
  <si>
    <t>ventricular zone of PCx</t>
  </si>
  <si>
    <t>&lt;http://purl.obolibrary.org/obo/DMBA_16017&gt;</t>
  </si>
  <si>
    <t>mantle zone of PCx</t>
  </si>
  <si>
    <t>&lt;http://purl.obolibrary.org/obo/DMBA_16018&gt;</t>
  </si>
  <si>
    <t>periventricular stratum of PCx (subventricular zone)</t>
  </si>
  <si>
    <t>&lt;http://purl.obolibrary.org/obo/DMBA_16019&gt;</t>
  </si>
  <si>
    <t>intermediate stratum of PCx (white matter/subplate)</t>
  </si>
  <si>
    <t>&lt;http://purl.obolibrary.org/obo/DMBA_16020&gt;</t>
  </si>
  <si>
    <t>superficial stratum of PCx (cortical plate/marginal zone)</t>
  </si>
  <si>
    <t>&lt;http://purl.obolibrary.org/obo/DMBA_16021&gt;</t>
  </si>
  <si>
    <t>layer 1 of PCx</t>
  </si>
  <si>
    <t>&lt;http://purl.obolibrary.org/obo/DMBA_16022&gt;</t>
  </si>
  <si>
    <t>layer 2 of PCx</t>
  </si>
  <si>
    <t>&lt;http://purl.obolibrary.org/obo/DMBA_16023&gt;</t>
  </si>
  <si>
    <t>layer 3 of PCx</t>
  </si>
  <si>
    <t>&lt;http://purl.obolibrary.org/obo/DMBA_16024&gt;</t>
  </si>
  <si>
    <t>layer 4 of PCx</t>
  </si>
  <si>
    <t>&lt;http://purl.obolibrary.org/obo/DMBA_16025&gt;</t>
  </si>
  <si>
    <t>layer 5 of PCx</t>
  </si>
  <si>
    <t>&lt;http://purl.obolibrary.org/obo/DMBA_16026&gt;</t>
  </si>
  <si>
    <t>layer 6 of PCx</t>
  </si>
  <si>
    <t>&lt;http://purl.obolibrary.org/obo/DMBA_16027&gt;</t>
  </si>
  <si>
    <t>sublayer 6a of PCx</t>
  </si>
  <si>
    <t>&lt;http://purl.obolibrary.org/obo/DMBA_16028&gt;</t>
  </si>
  <si>
    <t>sublayer 6b of PCx</t>
  </si>
  <si>
    <t>&lt;http://purl.obolibrary.org/obo/DMBA_16029&gt;</t>
  </si>
  <si>
    <t>ventricular zone of OCx</t>
  </si>
  <si>
    <t>&lt;http://purl.obolibrary.org/obo/DMBA_16031&gt;</t>
  </si>
  <si>
    <t>mantle zone of OCx</t>
  </si>
  <si>
    <t>&lt;http://purl.obolibrary.org/obo/DMBA_16032&gt;</t>
  </si>
  <si>
    <t>periventricular stratum of OCx (subventricular zone)</t>
  </si>
  <si>
    <t>&lt;http://purl.obolibrary.org/obo/DMBA_16033&gt;</t>
  </si>
  <si>
    <t>intermediate stratum of OCx (white matter/subplate)</t>
  </si>
  <si>
    <t>&lt;http://purl.obolibrary.org/obo/DMBA_16034&gt;</t>
  </si>
  <si>
    <t>superficial stratum of OCx (cortical plate/marginal zone)</t>
  </si>
  <si>
    <t>&lt;http://purl.obolibrary.org/obo/DMBA_16035&gt;</t>
  </si>
  <si>
    <t>layer 1 of OCx</t>
  </si>
  <si>
    <t>&lt;http://purl.obolibrary.org/obo/DMBA_16036&gt;</t>
  </si>
  <si>
    <t>layer 2 of OCx</t>
  </si>
  <si>
    <t>&lt;http://purl.obolibrary.org/obo/DMBA_16037&gt;</t>
  </si>
  <si>
    <t>layer 3 of OCx</t>
  </si>
  <si>
    <t>&lt;http://purl.obolibrary.org/obo/DMBA_16038&gt;</t>
  </si>
  <si>
    <t>layer 4 of OCx</t>
  </si>
  <si>
    <t>&lt;http://purl.obolibrary.org/obo/DMBA_16039&gt;</t>
  </si>
  <si>
    <t>layer 5 of OCx</t>
  </si>
  <si>
    <t>&lt;http://purl.obolibrary.org/obo/DMBA_16040&gt;</t>
  </si>
  <si>
    <t>layer 6 of OCx</t>
  </si>
  <si>
    <t>&lt;http://purl.obolibrary.org/obo/DMBA_16041&gt;</t>
  </si>
  <si>
    <t>sublayer 6a of OCx</t>
  </si>
  <si>
    <t>&lt;http://purl.obolibrary.org/obo/DMBA_16042&gt;</t>
  </si>
  <si>
    <t>sublayer 6b of OCx</t>
  </si>
  <si>
    <t>&lt;http://purl.obolibrary.org/obo/DMBA_16043&gt;</t>
  </si>
  <si>
    <t>temporal cortex</t>
  </si>
  <si>
    <t>&lt;http://purl.obolibrary.org/obo/DMBA_16044&gt;</t>
  </si>
  <si>
    <t>ventricular zone of TCx</t>
  </si>
  <si>
    <t>&lt;http://purl.obolibrary.org/obo/DMBA_16045&gt;</t>
  </si>
  <si>
    <t>mantle zone of TCx</t>
  </si>
  <si>
    <t>&lt;http://purl.obolibrary.org/obo/DMBA_16046&gt;</t>
  </si>
  <si>
    <t>periventricular stratum of TCx (subventricular zone)</t>
  </si>
  <si>
    <t>&lt;http://purl.obolibrary.org/obo/DMBA_16047&gt;</t>
  </si>
  <si>
    <t>intermediate stratum of TCx (white matter/subplate)</t>
  </si>
  <si>
    <t>&lt;http://purl.obolibrary.org/obo/DMBA_16048&gt;</t>
  </si>
  <si>
    <t>superficial stratum of TCx (cortical plate/marginal zone)</t>
  </si>
  <si>
    <t>&lt;http://purl.obolibrary.org/obo/DMBA_16049&gt;</t>
  </si>
  <si>
    <t>layer 1 of TCx</t>
  </si>
  <si>
    <t>&lt;http://purl.obolibrary.org/obo/DMBA_16050&gt;</t>
  </si>
  <si>
    <t>layer 2 of TCx</t>
  </si>
  <si>
    <t>&lt;http://purl.obolibrary.org/obo/DMBA_16051&gt;</t>
  </si>
  <si>
    <t>layer 3 of TCx</t>
  </si>
  <si>
    <t>&lt;http://purl.obolibrary.org/obo/DMBA_16052&gt;</t>
  </si>
  <si>
    <t>layer 4 of TCx</t>
  </si>
  <si>
    <t>&lt;http://purl.obolibrary.org/obo/DMBA_16053&gt;</t>
  </si>
  <si>
    <t>layer 5 of TCx</t>
  </si>
  <si>
    <t>&lt;http://purl.obolibrary.org/obo/DMBA_16054&gt;</t>
  </si>
  <si>
    <t>layer 6 of TCx</t>
  </si>
  <si>
    <t>&lt;http://purl.obolibrary.org/obo/DMBA_16055&gt;</t>
  </si>
  <si>
    <t>sublayer 6a of TCx</t>
  </si>
  <si>
    <t>&lt;http://purl.obolibrary.org/obo/DMBA_16056&gt;</t>
  </si>
  <si>
    <t>sublayer 6b of TCx</t>
  </si>
  <si>
    <t>&lt;http://purl.obolibrary.org/obo/DMBA_16057&gt;</t>
  </si>
  <si>
    <t>ventricular zone of InsCx</t>
  </si>
  <si>
    <t>&lt;http://purl.obolibrary.org/obo/DMBA_16059&gt;</t>
  </si>
  <si>
    <t>mantle zone of InsCx</t>
  </si>
  <si>
    <t>&lt;http://purl.obolibrary.org/obo/DMBA_16060&gt;</t>
  </si>
  <si>
    <t>periventricular stratum of InsCx (subventricular zone)</t>
  </si>
  <si>
    <t>&lt;http://purl.obolibrary.org/obo/DMBA_16061&gt;</t>
  </si>
  <si>
    <t>intermediate stratum of InsCx (white matter/subplate)</t>
  </si>
  <si>
    <t>&lt;http://purl.obolibrary.org/obo/DMBA_16062&gt;</t>
  </si>
  <si>
    <t>superficial stratum of InsCx (cortical plate/marginal zone)</t>
  </si>
  <si>
    <t>&lt;http://purl.obolibrary.org/obo/DMBA_16063&gt;</t>
  </si>
  <si>
    <t>layer 1 of InsCx</t>
  </si>
  <si>
    <t>&lt;http://purl.obolibrary.org/obo/DMBA_16064&gt;</t>
  </si>
  <si>
    <t>layer 2 of InsCx</t>
  </si>
  <si>
    <t>&lt;http://purl.obolibrary.org/obo/DMBA_16065&gt;</t>
  </si>
  <si>
    <t>layer 3 of InsCx</t>
  </si>
  <si>
    <t>&lt;http://purl.obolibrary.org/obo/DMBA_16066&gt;</t>
  </si>
  <si>
    <t>layer 4 of InsCx</t>
  </si>
  <si>
    <t>&lt;http://purl.obolibrary.org/obo/DMBA_16067&gt;</t>
  </si>
  <si>
    <t>layer 5 of InsCx</t>
  </si>
  <si>
    <t>&lt;http://purl.obolibrary.org/obo/DMBA_16068&gt;</t>
  </si>
  <si>
    <t>layer 6 of InsCx</t>
  </si>
  <si>
    <t>&lt;http://purl.obolibrary.org/obo/DMBA_16069&gt;</t>
  </si>
  <si>
    <t>sublayer 6a of InsCx</t>
  </si>
  <si>
    <t>&lt;http://purl.obolibrary.org/obo/DMBA_16070&gt;</t>
  </si>
  <si>
    <t>sublayer 6b of InsCx</t>
  </si>
  <si>
    <t>&lt;http://purl.obolibrary.org/obo/DMBA_16071&gt;</t>
  </si>
  <si>
    <t>ventricular zone of CCx</t>
  </si>
  <si>
    <t>&lt;http://purl.obolibrary.org/obo/DMBA_16073&gt;</t>
  </si>
  <si>
    <t>mantle zone of CCx</t>
  </si>
  <si>
    <t>&lt;http://purl.obolibrary.org/obo/DMBA_16074&gt;</t>
  </si>
  <si>
    <t>periventricular stratum of CCx (subventricular zone)</t>
  </si>
  <si>
    <t>&lt;http://purl.obolibrary.org/obo/DMBA_16075&gt;</t>
  </si>
  <si>
    <t>intermediate stratum of CCx (white matter/subplate)</t>
  </si>
  <si>
    <t>&lt;http://purl.obolibrary.org/obo/DMBA_16076&gt;</t>
  </si>
  <si>
    <t>superficial stratum of CCx (cortical plate/marginal zone)</t>
  </si>
  <si>
    <t>&lt;http://purl.obolibrary.org/obo/DMBA_16077&gt;</t>
  </si>
  <si>
    <t>layer 1 of CCx</t>
  </si>
  <si>
    <t>&lt;http://purl.obolibrary.org/obo/DMBA_16078&gt;</t>
  </si>
  <si>
    <t>layer 2 of CCx</t>
  </si>
  <si>
    <t>&lt;http://purl.obolibrary.org/obo/DMBA_16079&gt;</t>
  </si>
  <si>
    <t>layer 3 of CCx</t>
  </si>
  <si>
    <t>&lt;http://purl.obolibrary.org/obo/DMBA_16080&gt;</t>
  </si>
  <si>
    <t>layer 4 of CCx</t>
  </si>
  <si>
    <t>&lt;http://purl.obolibrary.org/obo/DMBA_16081&gt;</t>
  </si>
  <si>
    <t>layer 5 of CCx</t>
  </si>
  <si>
    <t>&lt;http://purl.obolibrary.org/obo/DMBA_16082&gt;</t>
  </si>
  <si>
    <t>layer 6 of CCx</t>
  </si>
  <si>
    <t>&lt;http://purl.obolibrary.org/obo/DMBA_16083&gt;</t>
  </si>
  <si>
    <t>sublayer 6a of CCx</t>
  </si>
  <si>
    <t>&lt;http://purl.obolibrary.org/obo/DMBA_16084&gt;</t>
  </si>
  <si>
    <t>sublayer 6b of CCx</t>
  </si>
  <si>
    <t>&lt;http://purl.obolibrary.org/obo/DMBA_16085&gt;</t>
  </si>
  <si>
    <t>layer 1 of PRh-Ect</t>
  </si>
  <si>
    <t>&lt;http://purl.obolibrary.org/obo/DMBA_16087&gt;</t>
  </si>
  <si>
    <t>layer 2 of PRh-Ect</t>
  </si>
  <si>
    <t>&lt;http://purl.obolibrary.org/obo/DMBA_16088&gt;</t>
  </si>
  <si>
    <t>layer 3 of PRh-Ect</t>
  </si>
  <si>
    <t>&lt;http://purl.obolibrary.org/obo/DMBA_16089&gt;</t>
  </si>
  <si>
    <t>layer 4 of PRh-Ect</t>
  </si>
  <si>
    <t>&lt;http://purl.obolibrary.org/obo/DMBA_16090&gt;</t>
  </si>
  <si>
    <t>layer 5 of PRh-Ect</t>
  </si>
  <si>
    <t>&lt;http://purl.obolibrary.org/obo/DMBA_16091&gt;</t>
  </si>
  <si>
    <t>layer 6 of PRh-Ect</t>
  </si>
  <si>
    <t>&lt;http://purl.obolibrary.org/obo/DMBA_16092&gt;</t>
  </si>
  <si>
    <t>layer 1 of RSC</t>
  </si>
  <si>
    <t>&lt;http://purl.obolibrary.org/obo/DMBA_16094&gt;</t>
  </si>
  <si>
    <t>layer 2 of RSC</t>
  </si>
  <si>
    <t>&lt;http://purl.obolibrary.org/obo/DMBA_16095&gt;</t>
  </si>
  <si>
    <t>layer 3 of RSC</t>
  </si>
  <si>
    <t>&lt;http://purl.obolibrary.org/obo/DMBA_16096&gt;</t>
  </si>
  <si>
    <t>layer 4 of RSC</t>
  </si>
  <si>
    <t>&lt;http://purl.obolibrary.org/obo/DMBA_16097&gt;</t>
  </si>
  <si>
    <t>layer 5 of RSC</t>
  </si>
  <si>
    <t>&lt;http://purl.obolibrary.org/obo/DMBA_16098&gt;</t>
  </si>
  <si>
    <t>layer 6 of RSC</t>
  </si>
  <si>
    <t>&lt;http://purl.obolibrary.org/obo/DMBA_16099&gt;</t>
  </si>
  <si>
    <t>layer 6a of RSC</t>
  </si>
  <si>
    <t>&lt;http://purl.obolibrary.org/obo/DMBA_16100&gt;</t>
  </si>
  <si>
    <t>layer 6b of RSC</t>
  </si>
  <si>
    <t>&lt;http://purl.obolibrary.org/obo/DMBA_16101&gt;</t>
  </si>
  <si>
    <t>ventricular zone of ERCx</t>
  </si>
  <si>
    <t>&lt;http://purl.obolibrary.org/obo/DMBA_16103&gt;</t>
  </si>
  <si>
    <t>mantle zone of ERCx</t>
  </si>
  <si>
    <t>&lt;http://purl.obolibrary.org/obo/DMBA_16104&gt;</t>
  </si>
  <si>
    <t>periventricular stratum of ERCx (subventricular zone)</t>
  </si>
  <si>
    <t>&lt;http://purl.obolibrary.org/obo/DMBA_16105&gt;</t>
  </si>
  <si>
    <t>intermediate stratum of ERCx (white matter/subplate)</t>
  </si>
  <si>
    <t>&lt;http://purl.obolibrary.org/obo/DMBA_16106&gt;</t>
  </si>
  <si>
    <t>superficial stratum of ERCx (cortical plate/marginal zone)</t>
  </si>
  <si>
    <t>&lt;http://purl.obolibrary.org/obo/DMBA_16107&gt;</t>
  </si>
  <si>
    <t>layer 1 of ERCx</t>
  </si>
  <si>
    <t>&lt;http://purl.obolibrary.org/obo/DMBA_16108&gt;</t>
  </si>
  <si>
    <t>layer 2 of ERCx</t>
  </si>
  <si>
    <t>&lt;http://purl.obolibrary.org/obo/DMBA_16109&gt;</t>
  </si>
  <si>
    <t>layer 3 of ERCx</t>
  </si>
  <si>
    <t>&lt;http://purl.obolibrary.org/obo/DMBA_16110&gt;</t>
  </si>
  <si>
    <t>layer 4 of ERCx</t>
  </si>
  <si>
    <t>&lt;http://purl.obolibrary.org/obo/DMBA_16111&gt;</t>
  </si>
  <si>
    <t>layer 5 of ERCx</t>
  </si>
  <si>
    <t>&lt;http://purl.obolibrary.org/obo/DMBA_16112&gt;</t>
  </si>
  <si>
    <t>layer 6 of ERCx</t>
  </si>
  <si>
    <t>&lt;http://purl.obolibrary.org/obo/DMBA_16113&gt;</t>
  </si>
  <si>
    <t>medial pallium (hippocampal allocortex)</t>
  </si>
  <si>
    <t>&lt;http://purl.obolibrary.org/obo/DMBA_16114&gt;</t>
  </si>
  <si>
    <t>ventricular zone of DG</t>
  </si>
  <si>
    <t>&lt;http://purl.obolibrary.org/obo/DMBA_16116&gt;</t>
  </si>
  <si>
    <t>mantle zone of DG</t>
  </si>
  <si>
    <t>&lt;http://purl.obolibrary.org/obo/DMBA_16117&gt;</t>
  </si>
  <si>
    <t>periventricular stratum of DG</t>
  </si>
  <si>
    <t>&lt;http://purl.obolibrary.org/obo/DMBA_16118&gt;</t>
  </si>
  <si>
    <t>intermediate stratum of DG</t>
  </si>
  <si>
    <t>&lt;http://purl.obolibrary.org/obo/DMBA_16119&gt;</t>
  </si>
  <si>
    <t>hilus of the DG</t>
  </si>
  <si>
    <t>&lt;http://purl.obolibrary.org/obo/DMBA_16120&gt;</t>
  </si>
  <si>
    <t>superficial stratum of DG</t>
  </si>
  <si>
    <t>&lt;http://purl.obolibrary.org/obo/DMBA_16121&gt;</t>
  </si>
  <si>
    <t>molecular layer of the DG</t>
  </si>
  <si>
    <t>&lt;http://purl.obolibrary.org/obo/DMBA_16123&gt;</t>
  </si>
  <si>
    <t>ventricular zone of CA</t>
  </si>
  <si>
    <t>&lt;http://purl.obolibrary.org/obo/DMBA_16125&gt;</t>
  </si>
  <si>
    <t>mantle zone of CA</t>
  </si>
  <si>
    <t>&lt;http://purl.obolibrary.org/obo/DMBA_16126&gt;</t>
  </si>
  <si>
    <t>periventricular stratum of CA</t>
  </si>
  <si>
    <t>&lt;http://purl.obolibrary.org/obo/DMBA_16127&gt;</t>
  </si>
  <si>
    <t>intermediate stratum of CA</t>
  </si>
  <si>
    <t>&lt;http://purl.obolibrary.org/obo/DMBA_16128&gt;</t>
  </si>
  <si>
    <t>superficial stratum of CA</t>
  </si>
  <si>
    <t>&lt;http://purl.obolibrary.org/obo/DMBA_16130&gt;</t>
  </si>
  <si>
    <t>Field CA2, stratum pyramidale</t>
  </si>
  <si>
    <t>&lt;http://purl.obolibrary.org/obo/DMBA_16139&gt;</t>
  </si>
  <si>
    <t>Field CA3, stratum pyramidale</t>
  </si>
  <si>
    <t>&lt;http://purl.obolibrary.org/obo/DMBA_16143&gt;</t>
  </si>
  <si>
    <t>ventricular zone of the IG</t>
  </si>
  <si>
    <t>&lt;http://purl.obolibrary.org/obo/DMBA_16148&gt;</t>
  </si>
  <si>
    <t>mantle zone of the IG</t>
  </si>
  <si>
    <t>&lt;http://purl.obolibrary.org/obo/DMBA_16149&gt;</t>
  </si>
  <si>
    <t>periventricular stratum of the IG</t>
  </si>
  <si>
    <t>&lt;http://purl.obolibrary.org/obo/DMBA_16150&gt;</t>
  </si>
  <si>
    <t>intermediate stratum of the IG</t>
  </si>
  <si>
    <t>&lt;http://purl.obolibrary.org/obo/DMBA_16151&gt;</t>
  </si>
  <si>
    <t>superficial stratum of the IG</t>
  </si>
  <si>
    <t>&lt;http://purl.obolibrary.org/obo/DMBA_16152&gt;</t>
  </si>
  <si>
    <t>pyramidal layer of IG</t>
  </si>
  <si>
    <t>&lt;http://purl.obolibrary.org/obo/DMBA_16153&gt;</t>
  </si>
  <si>
    <t>taenia tecta</t>
  </si>
  <si>
    <t>&lt;http://purl.obolibrary.org/obo/DMBA_16154&gt;</t>
  </si>
  <si>
    <t>ventricular zone of TTe</t>
  </si>
  <si>
    <t>&lt;http://purl.obolibrary.org/obo/DMBA_16155&gt;</t>
  </si>
  <si>
    <t>mantle zone of TTe</t>
  </si>
  <si>
    <t>&lt;http://purl.obolibrary.org/obo/DMBA_16156&gt;</t>
  </si>
  <si>
    <t>periventricular stratum of TTe</t>
  </si>
  <si>
    <t>&lt;http://purl.obolibrary.org/obo/DMBA_16157&gt;</t>
  </si>
  <si>
    <t>dorsal peduncular cortex, periventricular part</t>
  </si>
  <si>
    <t>&lt;http://purl.obolibrary.org/obo/DMBA_16158&gt;</t>
  </si>
  <si>
    <t>intermediate stratum of TTe</t>
  </si>
  <si>
    <t>&lt;http://purl.obolibrary.org/obo/DMBA_16159&gt;</t>
  </si>
  <si>
    <t>dorsal peduncular cortex, intermediate part</t>
  </si>
  <si>
    <t>&lt;http://purl.obolibrary.org/obo/DMBA_16160&gt;</t>
  </si>
  <si>
    <t>superficial stratum of TTe</t>
  </si>
  <si>
    <t>&lt;http://purl.obolibrary.org/obo/DMBA_16161&gt;</t>
  </si>
  <si>
    <t>pyramidal layer of taenia tecta</t>
  </si>
  <si>
    <t>&lt;http://purl.obolibrary.org/obo/DMBA_16162&gt;</t>
  </si>
  <si>
    <t>ventricular zone of S</t>
  </si>
  <si>
    <t>&lt;http://purl.obolibrary.org/obo/DMBA_16164&gt;</t>
  </si>
  <si>
    <t>mantle zone of S</t>
  </si>
  <si>
    <t>&lt;http://purl.obolibrary.org/obo/DMBA_16165&gt;</t>
  </si>
  <si>
    <t>periventricular stratum of S</t>
  </si>
  <si>
    <t>&lt;http://purl.obolibrary.org/obo/DMBA_16166&gt;</t>
  </si>
  <si>
    <t>intermediate stratum of S</t>
  </si>
  <si>
    <t>&lt;http://purl.obolibrary.org/obo/DMBA_16167&gt;</t>
  </si>
  <si>
    <t>superficial stratum of S</t>
  </si>
  <si>
    <t>&lt;http://purl.obolibrary.org/obo/DMBA_16169&gt;</t>
  </si>
  <si>
    <t>pyramidal layer of S</t>
  </si>
  <si>
    <t>&lt;http://purl.obolibrary.org/obo/DMBA_16170&gt;</t>
  </si>
  <si>
    <t>molecular layer of S</t>
  </si>
  <si>
    <t>&lt;http://purl.obolibrary.org/obo/DMBA_16171&gt;</t>
  </si>
  <si>
    <t>ventricular zone of PrS</t>
  </si>
  <si>
    <t>&lt;http://purl.obolibrary.org/obo/DMBA_16173&gt;</t>
  </si>
  <si>
    <t>mantle zone of PrS</t>
  </si>
  <si>
    <t>&lt;http://purl.obolibrary.org/obo/DMBA_16174&gt;</t>
  </si>
  <si>
    <t>periventricular stratum of PrS (subventricular zone)</t>
  </si>
  <si>
    <t>&lt;http://purl.obolibrary.org/obo/DMBA_16175&gt;</t>
  </si>
  <si>
    <t>intermediate stratum of PrS (white matter/subplate)</t>
  </si>
  <si>
    <t>&lt;http://purl.obolibrary.org/obo/DMBA_16176&gt;</t>
  </si>
  <si>
    <t>superficial stratum of PrS (cortical plate/marginal zone)</t>
  </si>
  <si>
    <t>&lt;http://purl.obolibrary.org/obo/DMBA_16177&gt;</t>
  </si>
  <si>
    <t>layer 1 of PrS</t>
  </si>
  <si>
    <t>&lt;http://purl.obolibrary.org/obo/DMBA_16178&gt;</t>
  </si>
  <si>
    <t>layer 2 of PrS</t>
  </si>
  <si>
    <t>&lt;http://purl.obolibrary.org/obo/DMBA_16179&gt;</t>
  </si>
  <si>
    <t>layer 3 of PrS</t>
  </si>
  <si>
    <t>&lt;http://purl.obolibrary.org/obo/DMBA_16180&gt;</t>
  </si>
  <si>
    <t>layer 4 of PrS (lamina dissecans)</t>
  </si>
  <si>
    <t>&lt;http://purl.obolibrary.org/obo/DMBA_16181&gt;</t>
  </si>
  <si>
    <t>layer 5 of PrS</t>
  </si>
  <si>
    <t>&lt;http://purl.obolibrary.org/obo/DMBA_16182&gt;</t>
  </si>
  <si>
    <t>layer 6 of PrS</t>
  </si>
  <si>
    <t>&lt;http://purl.obolibrary.org/obo/DMBA_16183&gt;</t>
  </si>
  <si>
    <t>layer 6a of PrS</t>
  </si>
  <si>
    <t>&lt;http://purl.obolibrary.org/obo/DMBA_16184&gt;</t>
  </si>
  <si>
    <t>layer 6b of PrS</t>
  </si>
  <si>
    <t>&lt;http://purl.obolibrary.org/obo/DMBA_16185&gt;</t>
  </si>
  <si>
    <t>ventricular zone of PaS</t>
  </si>
  <si>
    <t>&lt;http://purl.obolibrary.org/obo/DMBA_16187&gt;</t>
  </si>
  <si>
    <t>mantle zone of PaS</t>
  </si>
  <si>
    <t>&lt;http://purl.obolibrary.org/obo/DMBA_16188&gt;</t>
  </si>
  <si>
    <t>periventricular stratum of PaS (subventricular zone)</t>
  </si>
  <si>
    <t>&lt;http://purl.obolibrary.org/obo/DMBA_16189&gt;</t>
  </si>
  <si>
    <t>intermediate stratum of PaS (white matter/subplate)</t>
  </si>
  <si>
    <t>&lt;http://purl.obolibrary.org/obo/DMBA_16190&gt;</t>
  </si>
  <si>
    <t>superficial stratum of PaS (cortical plate/marginal zone)</t>
  </si>
  <si>
    <t>&lt;http://purl.obolibrary.org/obo/DMBA_16191&gt;</t>
  </si>
  <si>
    <t>layer 1 of PaS</t>
  </si>
  <si>
    <t>&lt;http://purl.obolibrary.org/obo/DMBA_16192&gt;</t>
  </si>
  <si>
    <t>layer 2 of PaS</t>
  </si>
  <si>
    <t>&lt;http://purl.obolibrary.org/obo/DMBA_16193&gt;</t>
  </si>
  <si>
    <t>layer 3 of PaS</t>
  </si>
  <si>
    <t>&lt;http://purl.obolibrary.org/obo/DMBA_16194&gt;</t>
  </si>
  <si>
    <t>layer 4 of PaS</t>
  </si>
  <si>
    <t>&lt;http://purl.obolibrary.org/obo/DMBA_16195&gt;</t>
  </si>
  <si>
    <t>layer 5 of PaS</t>
  </si>
  <si>
    <t>&lt;http://purl.obolibrary.org/obo/DMBA_16196&gt;</t>
  </si>
  <si>
    <t>layer 6 of PaS</t>
  </si>
  <si>
    <t>&lt;http://purl.obolibrary.org/obo/DMBA_16197&gt;</t>
  </si>
  <si>
    <t>pallial septum</t>
  </si>
  <si>
    <t>&lt;http://purl.obolibrary.org/obo/DMBA_16198&gt;</t>
  </si>
  <si>
    <t>ventricular zone of SePall</t>
  </si>
  <si>
    <t>&lt;http://purl.obolibrary.org/obo/DMBA_16199&gt;</t>
  </si>
  <si>
    <t>mantle zone of SePall</t>
  </si>
  <si>
    <t>&lt;http://purl.obolibrary.org/obo/DMBA_16200&gt;</t>
  </si>
  <si>
    <t>periventricular stratum of SePall</t>
  </si>
  <si>
    <t>&lt;http://purl.obolibrary.org/obo/DMBA_16201&gt;</t>
  </si>
  <si>
    <t>intermediate stratum of SePall</t>
  </si>
  <si>
    <t>&lt;http://purl.obolibrary.org/obo/DMBA_16202&gt;</t>
  </si>
  <si>
    <t>superficial stratum of SePall</t>
  </si>
  <si>
    <t>&lt;http://purl.obolibrary.org/obo/DMBA_16203&gt;</t>
  </si>
  <si>
    <t>telencephalo-hypothalamic transition area</t>
  </si>
  <si>
    <t>&lt;http://purl.obolibrary.org/obo/DMBA_16205&gt;</t>
  </si>
  <si>
    <t>ventricular zone of TelH</t>
  </si>
  <si>
    <t>&lt;http://purl.obolibrary.org/obo/DMBA_16206&gt;</t>
  </si>
  <si>
    <t>mantle zone of TelH</t>
  </si>
  <si>
    <t>&lt;http://purl.obolibrary.org/obo/DMBA_16207&gt;</t>
  </si>
  <si>
    <t>periventricular stratum of TelH</t>
  </si>
  <si>
    <t>&lt;http://purl.obolibrary.org/obo/DMBA_16208&gt;</t>
  </si>
  <si>
    <t>intermediate stratum of TelH</t>
  </si>
  <si>
    <t>&lt;http://purl.obolibrary.org/obo/DMBA_16209&gt;</t>
  </si>
  <si>
    <t>superficial stratum of TelH</t>
  </si>
  <si>
    <t>&lt;http://purl.obolibrary.org/obo/DMBA_16210&gt;</t>
  </si>
  <si>
    <t>prepontine hindbrain</t>
  </si>
  <si>
    <t>&lt;http://purl.obolibrary.org/obo/DMBA_16809&gt;</t>
  </si>
  <si>
    <t>isthmic roof plate</t>
  </si>
  <si>
    <t>&lt;http://purl.obolibrary.org/obo/DMBA_16811&gt;</t>
  </si>
  <si>
    <t>ventricular zone of isR</t>
  </si>
  <si>
    <t>&lt;http://purl.obolibrary.org/obo/DMBA_16812&gt;</t>
  </si>
  <si>
    <t>isthmic alar plate</t>
  </si>
  <si>
    <t>&lt;http://purl.obolibrary.org/obo/DMBA_16813&gt;</t>
  </si>
  <si>
    <t>dorsolateral (non-cerebellar) part of isA</t>
  </si>
  <si>
    <t>&lt;http://purl.obolibrary.org/obo/DMBA_16843&gt;</t>
  </si>
  <si>
    <t>ventricular zone of the PBC</t>
  </si>
  <si>
    <t>&lt;http://purl.obolibrary.org/obo/DMBA_16845&gt;</t>
  </si>
  <si>
    <t>mantle zone of the PBC</t>
  </si>
  <si>
    <t>&lt;http://purl.obolibrary.org/obo/DMBA_16846&gt;</t>
  </si>
  <si>
    <t>periventricular stratum of the PBC</t>
  </si>
  <si>
    <t>&lt;http://purl.obolibrary.org/obo/DMBA_16847&gt;</t>
  </si>
  <si>
    <t>parabrachial part of the periaqueductal gray</t>
  </si>
  <si>
    <t>&lt;http://purl.obolibrary.org/obo/DMBA_16848&gt;</t>
  </si>
  <si>
    <t>intermediate stratum of the PBC</t>
  </si>
  <si>
    <t>&lt;http://purl.obolibrary.org/obo/DMBA_16849&gt;</t>
  </si>
  <si>
    <t>superficial stratum of the PBC</t>
  </si>
  <si>
    <t>&lt;http://purl.obolibrary.org/obo/DMBA_16851&gt;</t>
  </si>
  <si>
    <t>isthmus proper</t>
  </si>
  <si>
    <t>&lt;http://purl.obolibrary.org/obo/DMBA_16854&gt;</t>
  </si>
  <si>
    <t>ventricular zone of Ist</t>
  </si>
  <si>
    <t>&lt;http://purl.obolibrary.org/obo/DMBA_16855&gt;</t>
  </si>
  <si>
    <t>mantle zone of Ist</t>
  </si>
  <si>
    <t>&lt;http://purl.obolibrary.org/obo/DMBA_16856&gt;</t>
  </si>
  <si>
    <t>periventricular stratum of Ist</t>
  </si>
  <si>
    <t>&lt;http://purl.obolibrary.org/obo/DMBA_16857&gt;</t>
  </si>
  <si>
    <t>isthmic part of the periaqueductal gray</t>
  </si>
  <si>
    <t>&lt;http://purl.obolibrary.org/obo/DMBA_16858&gt;</t>
  </si>
  <si>
    <t>intermediate stratum of Ist</t>
  </si>
  <si>
    <t>&lt;http://purl.obolibrary.org/obo/DMBA_16859&gt;</t>
  </si>
  <si>
    <t>superficial stratum of Ist</t>
  </si>
  <si>
    <t>&lt;http://purl.obolibrary.org/obo/DMBA_16861&gt;</t>
  </si>
  <si>
    <t>perilemniscal isthmic area</t>
  </si>
  <si>
    <t>&lt;http://purl.obolibrary.org/obo/DMBA_16863&gt;</t>
  </si>
  <si>
    <t>ventrolateral part of isA</t>
  </si>
  <si>
    <t>&lt;http://purl.obolibrary.org/obo/DMBA_16864&gt;</t>
  </si>
  <si>
    <t>liminal part of alar isthmus</t>
  </si>
  <si>
    <t>&lt;http://purl.obolibrary.org/obo/DMBA_16865&gt;</t>
  </si>
  <si>
    <t>ventricular zone of isLim</t>
  </si>
  <si>
    <t>&lt;http://purl.obolibrary.org/obo/DMBA_16866&gt;</t>
  </si>
  <si>
    <t>mantle zone of isLim</t>
  </si>
  <si>
    <t>&lt;http://purl.obolibrary.org/obo/DMBA_16867&gt;</t>
  </si>
  <si>
    <t>periventricular stratum of isLim</t>
  </si>
  <si>
    <t>&lt;http://purl.obolibrary.org/obo/DMBA_16868&gt;</t>
  </si>
  <si>
    <t>isthmic liminal part of the periaqueductal gray</t>
  </si>
  <si>
    <t>&lt;http://purl.obolibrary.org/obo/DMBA_16869&gt;</t>
  </si>
  <si>
    <t>isthmic part of mesencephalic trigeminal nucleus</t>
  </si>
  <si>
    <t>&lt;http://purl.obolibrary.org/obo/DMBA_16870&gt;</t>
  </si>
  <si>
    <t>intermediate stratum of isLim</t>
  </si>
  <si>
    <t>&lt;http://purl.obolibrary.org/obo/DMBA_16871&gt;</t>
  </si>
  <si>
    <t>microcellular tegmental nucleus</t>
  </si>
  <si>
    <t>&lt;http://purl.obolibrary.org/obo/DMBA_16872&gt;</t>
  </si>
  <si>
    <t>isthmic liminal reticular area</t>
  </si>
  <si>
    <t>&lt;http://purl.obolibrary.org/obo/DMBA_16873&gt;</t>
  </si>
  <si>
    <t>superficial stratum of isLim</t>
  </si>
  <si>
    <t>&lt;http://purl.obolibrary.org/obo/DMBA_16874&gt;</t>
  </si>
  <si>
    <t>isthmic part of the intermediate lateral lemniscal nucleus</t>
  </si>
  <si>
    <t>&lt;http://purl.obolibrary.org/obo/DMBA_16875&gt;</t>
  </si>
  <si>
    <t>isthmic basal plate</t>
  </si>
  <si>
    <t>&lt;http://purl.obolibrary.org/obo/DMBA_16876&gt;</t>
  </si>
  <si>
    <t>lateral part of the isB</t>
  </si>
  <si>
    <t>&lt;http://purl.obolibrary.org/obo/DMBA_16877&gt;</t>
  </si>
  <si>
    <t>ventricular zone of isBL</t>
  </si>
  <si>
    <t>&lt;http://purl.obolibrary.org/obo/DMBA_16878&gt;</t>
  </si>
  <si>
    <t>mantle zone of isBL</t>
  </si>
  <si>
    <t>&lt;http://purl.obolibrary.org/obo/DMBA_16879&gt;</t>
  </si>
  <si>
    <t>periventricular stratum of isBL</t>
  </si>
  <si>
    <t>&lt;http://purl.obolibrary.org/obo/DMBA_16880&gt;</t>
  </si>
  <si>
    <t>dorsolateral isthmic part of the dorsal raphe nucleus</t>
  </si>
  <si>
    <t>&lt;http://purl.obolibrary.org/obo/DMBA_16881&gt;</t>
  </si>
  <si>
    <t>intermediate stratum of isBL</t>
  </si>
  <si>
    <t>&lt;http://purl.obolibrary.org/obo/DMBA_16882&gt;</t>
  </si>
  <si>
    <t>isthmic part of basolateral isthmic reticular formation</t>
  </si>
  <si>
    <t>&lt;http://purl.obolibrary.org/obo/DMBA_16883&gt;</t>
  </si>
  <si>
    <t>superficial stratum of isBL</t>
  </si>
  <si>
    <t>&lt;http://purl.obolibrary.org/obo/DMBA_16885&gt;</t>
  </si>
  <si>
    <t>paralemniscal isthmic area</t>
  </si>
  <si>
    <t>&lt;http://purl.obolibrary.org/obo/DMBA_16886&gt;</t>
  </si>
  <si>
    <t>intermediate part of isB</t>
  </si>
  <si>
    <t>&lt;http://purl.obolibrary.org/obo/DMBA_16887&gt;</t>
  </si>
  <si>
    <t>ventricular zone of isBI</t>
  </si>
  <si>
    <t>&lt;http://purl.obolibrary.org/obo/DMBA_16888&gt;</t>
  </si>
  <si>
    <t>mantle zone of isBI</t>
  </si>
  <si>
    <t>&lt;http://purl.obolibrary.org/obo/DMBA_16889&gt;</t>
  </si>
  <si>
    <t>periventricular stratum of isBI</t>
  </si>
  <si>
    <t>&lt;http://purl.obolibrary.org/obo/DMBA_16890&gt;</t>
  </si>
  <si>
    <t>intermediate isthmic part of the dorsal raphe nucleus</t>
  </si>
  <si>
    <t>&lt;http://purl.obolibrary.org/obo/DMBA_16891&gt;</t>
  </si>
  <si>
    <t>isthmic part of mediodorsal tegmental nucleus</t>
  </si>
  <si>
    <t>&lt;http://purl.obolibrary.org/obo/DMBA_16892&gt;</t>
  </si>
  <si>
    <t>intermediate stratum of isBI</t>
  </si>
  <si>
    <t>&lt;http://purl.obolibrary.org/obo/DMBA_16893&gt;</t>
  </si>
  <si>
    <t>basointermediate isthmic reticular formation</t>
  </si>
  <si>
    <t>&lt;http://purl.obolibrary.org/obo/DMBA_16894&gt;</t>
  </si>
  <si>
    <t>superficial stratum of isBI</t>
  </si>
  <si>
    <t>&lt;http://purl.obolibrary.org/obo/DMBA_16895&gt;</t>
  </si>
  <si>
    <t>substantia nigra reticulata, isthmic part</t>
  </si>
  <si>
    <t>&lt;http://purl.obolibrary.org/obo/DMBA_16896&gt;</t>
  </si>
  <si>
    <t>medial part of the isB</t>
  </si>
  <si>
    <t>&lt;http://purl.obolibrary.org/obo/DMBA_16897&gt;</t>
  </si>
  <si>
    <t>ventricular zone of isBM</t>
  </si>
  <si>
    <t>&lt;http://purl.obolibrary.org/obo/DMBA_16898&gt;</t>
  </si>
  <si>
    <t>mantle zone of isBM</t>
  </si>
  <si>
    <t>&lt;http://purl.obolibrary.org/obo/DMBA_16899&gt;</t>
  </si>
  <si>
    <t>periventricular mantle of isBM</t>
  </si>
  <si>
    <t>&lt;http://purl.obolibrary.org/obo/DMBA_16900&gt;</t>
  </si>
  <si>
    <t>ventral isthmic part of dorsal raphe nucleus</t>
  </si>
  <si>
    <t>&lt;http://purl.obolibrary.org/obo/DMBA_16901&gt;</t>
  </si>
  <si>
    <t>intermediate mantle of isBM</t>
  </si>
  <si>
    <t>&lt;http://purl.obolibrary.org/obo/DMBA_16902&gt;</t>
  </si>
  <si>
    <t>trochlear shell</t>
  </si>
  <si>
    <t>&lt;http://purl.obolibrary.org/obo/DMBA_16904&gt;</t>
  </si>
  <si>
    <t>paratrochlear nucleus</t>
  </si>
  <si>
    <t>&lt;http://purl.obolibrary.org/obo/DMBA_16905&gt;</t>
  </si>
  <si>
    <t>caudal linear (raphe) nucleus</t>
  </si>
  <si>
    <t>&lt;http://purl.obolibrary.org/obo/DMBA_16906&gt;</t>
  </si>
  <si>
    <t>superficial mantle of isBM</t>
  </si>
  <si>
    <t>&lt;http://purl.obolibrary.org/obo/DMBA_16907&gt;</t>
  </si>
  <si>
    <t>substantia nigra compacta, isthmic part</t>
  </si>
  <si>
    <t>&lt;http://purl.obolibrary.org/obo/DMBA_16908&gt;</t>
  </si>
  <si>
    <t>interpeduncular nucleus, prodromal part</t>
  </si>
  <si>
    <t>&lt;http://purl.obolibrary.org/obo/DMBA_16909&gt;</t>
  </si>
  <si>
    <t>isthmic portion of paranigral nucleus</t>
  </si>
  <si>
    <t>&lt;http://purl.obolibrary.org/obo/DMBA_16910&gt;</t>
  </si>
  <si>
    <t>isthmic floor plate</t>
  </si>
  <si>
    <t>&lt;http://purl.obolibrary.org/obo/DMBA_16911&gt;</t>
  </si>
  <si>
    <t>ventricular zone of isF</t>
  </si>
  <si>
    <t>&lt;http://purl.obolibrary.org/obo/DMBA_16912&gt;</t>
  </si>
  <si>
    <t>mantle zone of isF</t>
  </si>
  <si>
    <t>&lt;http://purl.obolibrary.org/obo/DMBA_16913&gt;</t>
  </si>
  <si>
    <t>ventral tegmental area, isthmic part</t>
  </si>
  <si>
    <t>&lt;http://purl.obolibrary.org/obo/DMBA_16914&gt;</t>
  </si>
  <si>
    <t>cerebellar choroid tela</t>
  </si>
  <si>
    <t>&lt;http://purl.obolibrary.org/obo/DMBA_16917&gt;</t>
  </si>
  <si>
    <t>rhombic lip of r1R</t>
  </si>
  <si>
    <t>&lt;http://purl.obolibrary.org/obo/DMBA_16918&gt;</t>
  </si>
  <si>
    <t>r1 alar plate</t>
  </si>
  <si>
    <t>&lt;http://purl.obolibrary.org/obo/DMBA_16919&gt;</t>
  </si>
  <si>
    <t>r1 part of vestibular sensory column</t>
  </si>
  <si>
    <t>&lt;http://purl.obolibrary.org/obo/DMBA_16950&gt;</t>
  </si>
  <si>
    <t>ventricular zone of r1Ve</t>
  </si>
  <si>
    <t>&lt;http://purl.obolibrary.org/obo/DMBA_16951&gt;</t>
  </si>
  <si>
    <t>mantle zone of r1Ve</t>
  </si>
  <si>
    <t>&lt;http://purl.obolibrary.org/obo/DMBA_16952&gt;</t>
  </si>
  <si>
    <t>r1 part of superior vestibular nucleus</t>
  </si>
  <si>
    <t>&lt;http://purl.obolibrary.org/obo/DMBA_16953&gt;</t>
  </si>
  <si>
    <t>r1 part of trigeminal sensory column</t>
  </si>
  <si>
    <t>&lt;http://purl.obolibrary.org/obo/DMBA_16954&gt;</t>
  </si>
  <si>
    <t>ventricular zone of r1Tr</t>
  </si>
  <si>
    <t>&lt;http://purl.obolibrary.org/obo/DMBA_16955&gt;</t>
  </si>
  <si>
    <t>mantle zone of r1Tr</t>
  </si>
  <si>
    <t>&lt;http://purl.obolibrary.org/obo/DMBA_16956&gt;</t>
  </si>
  <si>
    <t>r1 part of principal trigeminal sensory nucleus</t>
  </si>
  <si>
    <t>&lt;http://purl.obolibrary.org/obo/DMBA_16957&gt;</t>
  </si>
  <si>
    <t>r1 part of dorsal parvicellular reticular formation</t>
  </si>
  <si>
    <t>&lt;http://purl.obolibrary.org/obo/DMBA_16958&gt;</t>
  </si>
  <si>
    <t>liminal part of alar r1</t>
  </si>
  <si>
    <t>&lt;http://purl.obolibrary.org/obo/DMBA_16959&gt;</t>
  </si>
  <si>
    <t>ventricular zone of r1Lim</t>
  </si>
  <si>
    <t>&lt;http://purl.obolibrary.org/obo/DMBA_16960&gt;</t>
  </si>
  <si>
    <t>mantle zone of r1Lim</t>
  </si>
  <si>
    <t>&lt;http://purl.obolibrary.org/obo/DMBA_16961&gt;</t>
  </si>
  <si>
    <t>r1 part of ventral parvicellular reticular formation</t>
  </si>
  <si>
    <t>&lt;http://purl.obolibrary.org/obo/DMBA_16962&gt;</t>
  </si>
  <si>
    <t>r1 liminal central gray</t>
  </si>
  <si>
    <t>&lt;http://purl.obolibrary.org/obo/DMBA_16963&gt;</t>
  </si>
  <si>
    <t>r1 part of the 'mesencephalic' trigeminal nucleus</t>
  </si>
  <si>
    <t>&lt;http://purl.obolibrary.org/obo/DMBA_16966&gt;</t>
  </si>
  <si>
    <t>r1 basal plate</t>
  </si>
  <si>
    <t>&lt;http://purl.obolibrary.org/obo/DMBA_16967&gt;</t>
  </si>
  <si>
    <t>lateral part of r1B</t>
  </si>
  <si>
    <t>&lt;http://purl.obolibrary.org/obo/DMBA_16968&gt;</t>
  </si>
  <si>
    <t>ventricular zone of r1BL</t>
  </si>
  <si>
    <t>&lt;http://purl.obolibrary.org/obo/DMBA_16969&gt;</t>
  </si>
  <si>
    <t>mantle zone of r1BL</t>
  </si>
  <si>
    <t>&lt;http://purl.obolibrary.org/obo/DMBA_16970&gt;</t>
  </si>
  <si>
    <t>periventricular stratum of r1BL</t>
  </si>
  <si>
    <t>&lt;http://purl.obolibrary.org/obo/DMBA_16971&gt;</t>
  </si>
  <si>
    <t>neuropeptide-S nucleus</t>
  </si>
  <si>
    <t>&lt;http://purl.obolibrary.org/obo/DMBA_16974&gt;</t>
  </si>
  <si>
    <t>intermediate stratum of r1BL</t>
  </si>
  <si>
    <t>&lt;http://purl.obolibrary.org/obo/DMBA_16975&gt;</t>
  </si>
  <si>
    <t>r1 part of central gray</t>
  </si>
  <si>
    <t>&lt;http://purl.obolibrary.org/obo/DMBA_16976&gt;</t>
  </si>
  <si>
    <t>supratrigeminal nucleus</t>
  </si>
  <si>
    <t>&lt;http://purl.obolibrary.org/obo/DMBA_16977&gt;</t>
  </si>
  <si>
    <t>r1 part of basolateral reticular formation</t>
  </si>
  <si>
    <t>&lt;http://purl.obolibrary.org/obo/DMBA_16978&gt;</t>
  </si>
  <si>
    <t>r1 part of medial paralemniscal nucleus</t>
  </si>
  <si>
    <t>&lt;http://purl.obolibrary.org/obo/DMBA_16979&gt;</t>
  </si>
  <si>
    <t>r1 part of lateral paralemniscal nucleus</t>
  </si>
  <si>
    <t>&lt;http://purl.obolibrary.org/obo/DMBA_16980&gt;</t>
  </si>
  <si>
    <t>superficial stratum of r1BL</t>
  </si>
  <si>
    <t>&lt;http://purl.obolibrary.org/obo/DMBA_16981&gt;</t>
  </si>
  <si>
    <t>r1 part of intermediate nucleus of the lateral lemniscus</t>
  </si>
  <si>
    <t>&lt;http://purl.obolibrary.org/obo/DMBA_16982&gt;</t>
  </si>
  <si>
    <t>retrorubral nucleus (superficial part of PPTg)</t>
  </si>
  <si>
    <t>&lt;http://purl.obolibrary.org/obo/DMBA_16983&gt;</t>
  </si>
  <si>
    <t>intermediate part of r1B</t>
  </si>
  <si>
    <t>&lt;http://purl.obolibrary.org/obo/DMBA_16984&gt;</t>
  </si>
  <si>
    <t>ventricular zone of r1BI</t>
  </si>
  <si>
    <t>&lt;http://purl.obolibrary.org/obo/DMBA_16985&gt;</t>
  </si>
  <si>
    <t>mantle zone of r1BI</t>
  </si>
  <si>
    <t>&lt;http://purl.obolibrary.org/obo/DMBA_16986&gt;</t>
  </si>
  <si>
    <t>periventricular stratum of r1BI</t>
  </si>
  <si>
    <t>&lt;http://purl.obolibrary.org/obo/DMBA_16987&gt;</t>
  </si>
  <si>
    <t>r1 part of basointermediate central gray</t>
  </si>
  <si>
    <t>&lt;http://purl.obolibrary.org/obo/DMBA_16988&gt;</t>
  </si>
  <si>
    <t>r1 part of mediodorsal tegmental nucleus</t>
  </si>
  <si>
    <t>&lt;http://purl.obolibrary.org/obo/DMBA_16989&gt;</t>
  </si>
  <si>
    <t>intermediate stratum of r1BI</t>
  </si>
  <si>
    <t>&lt;http://purl.obolibrary.org/obo/DMBA_16990&gt;</t>
  </si>
  <si>
    <t>r1 part of basointermediate reticular formation</t>
  </si>
  <si>
    <t>&lt;http://purl.obolibrary.org/obo/DMBA_16991&gt;</t>
  </si>
  <si>
    <t>nucleus subcoeruleus, r1 part</t>
  </si>
  <si>
    <t>&lt;http://purl.obolibrary.org/obo/DMBA_16992&gt;</t>
  </si>
  <si>
    <t>superficial stratum of r1BI</t>
  </si>
  <si>
    <t>&lt;http://purl.obolibrary.org/obo/DMBA_16993&gt;</t>
  </si>
  <si>
    <t>medial part of r1B</t>
  </si>
  <si>
    <t>&lt;http://purl.obolibrary.org/obo/DMBA_16994&gt;</t>
  </si>
  <si>
    <t>ventricular zone of r1BM</t>
  </si>
  <si>
    <t>&lt;http://purl.obolibrary.org/obo/DMBA_16995&gt;</t>
  </si>
  <si>
    <t>mantle zone of r1BM</t>
  </si>
  <si>
    <t>&lt;http://purl.obolibrary.org/obo/DMBA_16996&gt;</t>
  </si>
  <si>
    <t>periventricular stratum of r1BM</t>
  </si>
  <si>
    <t>&lt;http://purl.obolibrary.org/obo/DMBA_16997&gt;</t>
  </si>
  <si>
    <t>r1 part of dorsal raphe nucleus</t>
  </si>
  <si>
    <t>&lt;http://purl.obolibrary.org/obo/DMBA_16998&gt;</t>
  </si>
  <si>
    <t>sphenoid nucleus</t>
  </si>
  <si>
    <t>&lt;http://purl.obolibrary.org/obo/DMBA_16999&gt;</t>
  </si>
  <si>
    <t>core part of DTg</t>
  </si>
  <si>
    <t>&lt;http://purl.obolibrary.org/obo/DMBA_17001&gt;</t>
  </si>
  <si>
    <t>shell part of DTg</t>
  </si>
  <si>
    <t>&lt;http://purl.obolibrary.org/obo/DMBA_17002&gt;</t>
  </si>
  <si>
    <t>r1 basomedial central gray</t>
  </si>
  <si>
    <t>&lt;http://purl.obolibrary.org/obo/DMBA_17003&gt;</t>
  </si>
  <si>
    <t>intermediate stratum of r1BM</t>
  </si>
  <si>
    <t>&lt;http://purl.obolibrary.org/obo/DMBA_17004&gt;</t>
  </si>
  <si>
    <t>apical interpeduncular nucleus</t>
  </si>
  <si>
    <t>&lt;http://purl.obolibrary.org/obo/DMBA_17005&gt;</t>
  </si>
  <si>
    <t>rhabdoid interpeduncular nucleus</t>
  </si>
  <si>
    <t>&lt;http://purl.obolibrary.org/obo/DMBA_17006&gt;</t>
  </si>
  <si>
    <t>posterior tegmental nucleus</t>
  </si>
  <si>
    <t>&lt;http://purl.obolibrary.org/obo/DMBA_17009&gt;</t>
  </si>
  <si>
    <t>r1 part of paramedian raphe nucleus</t>
  </si>
  <si>
    <t>&lt;http://purl.obolibrary.org/obo/DMBA_17010&gt;</t>
  </si>
  <si>
    <t>r1 part of median raphe nucleus</t>
  </si>
  <si>
    <t>&lt;http://purl.obolibrary.org/obo/DMBA_17011&gt;</t>
  </si>
  <si>
    <t>r1 part of basomedial reticular formation</t>
  </si>
  <si>
    <t>&lt;http://purl.obolibrary.org/obo/DMBA_17012&gt;</t>
  </si>
  <si>
    <t>superficial stratum of r1BM</t>
  </si>
  <si>
    <t>&lt;http://purl.obolibrary.org/obo/DMBA_17013&gt;</t>
  </si>
  <si>
    <t>rostral interpeduncular nucleus</t>
  </si>
  <si>
    <t>&lt;http://purl.obolibrary.org/obo/DMBA_17014&gt;</t>
  </si>
  <si>
    <t>dorsomedial interpeduncular nucleus</t>
  </si>
  <si>
    <t>&lt;http://purl.obolibrary.org/obo/DMBA_17015&gt;</t>
  </si>
  <si>
    <t>dorsolateral interpeduncular nucleus</t>
  </si>
  <si>
    <t>&lt;http://purl.obolibrary.org/obo/DMBA_17016&gt;</t>
  </si>
  <si>
    <t>rostrolateral interpeduncular nucleus</t>
  </si>
  <si>
    <t>&lt;http://purl.obolibrary.org/obo/DMBA_17017&gt;</t>
  </si>
  <si>
    <t>caudal interpeduncular nucleus</t>
  </si>
  <si>
    <t>&lt;http://purl.obolibrary.org/obo/DMBA_17018&gt;</t>
  </si>
  <si>
    <t>caudodorsomedial interpeduncular nucleus</t>
  </si>
  <si>
    <t>&lt;http://purl.obolibrary.org/obo/DMBA_17019&gt;</t>
  </si>
  <si>
    <t>caudodorsolateral interpeduncular nucleus</t>
  </si>
  <si>
    <t>&lt;http://purl.obolibrary.org/obo/DMBA_17020&gt;</t>
  </si>
  <si>
    <t>caudolateral interpeduncular nucleus</t>
  </si>
  <si>
    <t>&lt;http://purl.obolibrary.org/obo/DMBA_17021&gt;</t>
  </si>
  <si>
    <t>r2 alar plate</t>
  </si>
  <si>
    <t>&lt;http://purl.obolibrary.org/obo/DMBA_17025&gt;</t>
  </si>
  <si>
    <t>r2 part of cochlear sensory column</t>
  </si>
  <si>
    <t>&lt;http://purl.obolibrary.org/obo/DMBA_17026&gt;</t>
  </si>
  <si>
    <t>ventricular zone of r2Co</t>
  </si>
  <si>
    <t>&lt;http://purl.obolibrary.org/obo/DMBA_17027&gt;</t>
  </si>
  <si>
    <t>mantle zone of r2Co</t>
  </si>
  <si>
    <t>&lt;http://purl.obolibrary.org/obo/DMBA_17028&gt;</t>
  </si>
  <si>
    <t>r2 part of dorsal cochlear nucleus</t>
  </si>
  <si>
    <t>&lt;http://purl.obolibrary.org/obo/DMBA_17029&gt;</t>
  </si>
  <si>
    <t>r2 part of anteroventral cochlear nucleus</t>
  </si>
  <si>
    <t>&lt;http://purl.obolibrary.org/obo/DMBA_17030&gt;</t>
  </si>
  <si>
    <t>r2 part of vestibular sensory column</t>
  </si>
  <si>
    <t>&lt;http://purl.obolibrary.org/obo/DMBA_17031&gt;</t>
  </si>
  <si>
    <t>ventricular zone of r2Ve</t>
  </si>
  <si>
    <t>&lt;http://purl.obolibrary.org/obo/DMBA_17032&gt;</t>
  </si>
  <si>
    <t>mantle zone of r2Ve</t>
  </si>
  <si>
    <t>&lt;http://purl.obolibrary.org/obo/DMBA_17033&gt;</t>
  </si>
  <si>
    <t>r2 part of superior vestibular nucleus</t>
  </si>
  <si>
    <t>&lt;http://purl.obolibrary.org/obo/DMBA_17034&gt;</t>
  </si>
  <si>
    <t>r2 part of trigeminal sensory column</t>
  </si>
  <si>
    <t>&lt;http://purl.obolibrary.org/obo/DMBA_17036&gt;</t>
  </si>
  <si>
    <t>ventricular zone of r2Tr</t>
  </si>
  <si>
    <t>&lt;http://purl.obolibrary.org/obo/DMBA_17037&gt;</t>
  </si>
  <si>
    <t>mantle zone of r2Tr</t>
  </si>
  <si>
    <t>&lt;http://purl.obolibrary.org/obo/DMBA_17038&gt;</t>
  </si>
  <si>
    <t>r2 part of principal trigeminal sensory nucleus</t>
  </si>
  <si>
    <t>&lt;http://purl.obolibrary.org/obo/DMBA_17039&gt;</t>
  </si>
  <si>
    <t>r2 part of trigeminal transition zone</t>
  </si>
  <si>
    <t>&lt;http://purl.obolibrary.org/obo/DMBA_17040&gt;</t>
  </si>
  <si>
    <t>r2 part of dorsal parvicellular reticular formation</t>
  </si>
  <si>
    <t>&lt;http://purl.obolibrary.org/obo/DMBA_17041&gt;</t>
  </si>
  <si>
    <t>liminal part of r2 alar plate</t>
  </si>
  <si>
    <t>&lt;http://purl.obolibrary.org/obo/DMBA_17042&gt;</t>
  </si>
  <si>
    <t>ventricular zone of r2Lim</t>
  </si>
  <si>
    <t>&lt;http://purl.obolibrary.org/obo/DMBA_17043&gt;</t>
  </si>
  <si>
    <t>mantle zone of r2Lim</t>
  </si>
  <si>
    <t>&lt;http://purl.obolibrary.org/obo/DMBA_17044&gt;</t>
  </si>
  <si>
    <t>r2 part of the trigeminal motor nucleus</t>
  </si>
  <si>
    <t>&lt;http://purl.obolibrary.org/obo/DMBA_17045&gt;</t>
  </si>
  <si>
    <t>temporal muscle trigeminal motor cell group</t>
  </si>
  <si>
    <t>&lt;http://purl.obolibrary.org/obo/DMBA_17046&gt;</t>
  </si>
  <si>
    <t>masseter muscle trigeminal motor cell group</t>
  </si>
  <si>
    <t>&lt;http://purl.obolibrary.org/obo/DMBA_17047&gt;</t>
  </si>
  <si>
    <t>pterigoid muscle trigeminal motor cell group</t>
  </si>
  <si>
    <t>&lt;http://purl.obolibrary.org/obo/DMBA_17048&gt;</t>
  </si>
  <si>
    <t>temporotympanic muscle trigeminal motor cell group</t>
  </si>
  <si>
    <t>&lt;http://purl.obolibrary.org/obo/DMBA_17049&gt;</t>
  </si>
  <si>
    <t>r2 liminal central gray</t>
  </si>
  <si>
    <t>&lt;http://purl.obolibrary.org/obo/DMBA_17050&gt;</t>
  </si>
  <si>
    <t>r2 part of the ventral parvicellular reticular formation</t>
  </si>
  <si>
    <t>&lt;http://purl.obolibrary.org/obo/DMBA_17051&gt;</t>
  </si>
  <si>
    <t>A7 noradrenergic cell group</t>
  </si>
  <si>
    <t>&lt;http://purl.obolibrary.org/obo/DMBA_17052&gt;</t>
  </si>
  <si>
    <t>r2 basal plate</t>
  </si>
  <si>
    <t>&lt;http://purl.obolibrary.org/obo/DMBA_17053&gt;</t>
  </si>
  <si>
    <t>lateral part of r2B</t>
  </si>
  <si>
    <t>&lt;http://purl.obolibrary.org/obo/DMBA_17054&gt;</t>
  </si>
  <si>
    <t>ventricular zone of r2BL</t>
  </si>
  <si>
    <t>&lt;http://purl.obolibrary.org/obo/DMBA_17055&gt;</t>
  </si>
  <si>
    <t>mantle zone of r2BL</t>
  </si>
  <si>
    <t>&lt;http://purl.obolibrary.org/obo/DMBA_17056&gt;</t>
  </si>
  <si>
    <t>periventricular stratum of r2BL</t>
  </si>
  <si>
    <t>&lt;http://purl.obolibrary.org/obo/DMBA_17057&gt;</t>
  </si>
  <si>
    <t>intermediate stratum of r2BL</t>
  </si>
  <si>
    <t>&lt;http://purl.obolibrary.org/obo/DMBA_17058&gt;</t>
  </si>
  <si>
    <t>r2 part of nucleus subcoeruleus</t>
  </si>
  <si>
    <t>&lt;http://purl.obolibrary.org/obo/DMBA_17059&gt;</t>
  </si>
  <si>
    <t>r2 part of medial paralemniscal nucleus</t>
  </si>
  <si>
    <t>&lt;http://purl.obolibrary.org/obo/DMBA_17060&gt;</t>
  </si>
  <si>
    <t>r2 part of lateral paralemniscal nucleus</t>
  </si>
  <si>
    <t>&lt;http://purl.obolibrary.org/obo/DMBA_17061&gt;</t>
  </si>
  <si>
    <t>r2 part of basolateral reticular formation</t>
  </si>
  <si>
    <t>&lt;http://purl.obolibrary.org/obo/DMBA_17062&gt;</t>
  </si>
  <si>
    <t>superficial stratum of r2BL</t>
  </si>
  <si>
    <t>&lt;http://purl.obolibrary.org/obo/DMBA_17063&gt;</t>
  </si>
  <si>
    <t>r2 part of ventral lateral lemniscal nucleus</t>
  </si>
  <si>
    <t>&lt;http://purl.obolibrary.org/obo/DMBA_17064&gt;</t>
  </si>
  <si>
    <t>B9 serotonergic cell group</t>
  </si>
  <si>
    <t>&lt;http://purl.obolibrary.org/obo/DMBA_17065&gt;</t>
  </si>
  <si>
    <t>intermediate part of r2B</t>
  </si>
  <si>
    <t>&lt;http://purl.obolibrary.org/obo/DMBA_17066&gt;</t>
  </si>
  <si>
    <t>ventricular zone of r2BI</t>
  </si>
  <si>
    <t>&lt;http://purl.obolibrary.org/obo/DMBA_17067&gt;</t>
  </si>
  <si>
    <t>mantle zone of r2BI</t>
  </si>
  <si>
    <t>&lt;http://purl.obolibrary.org/obo/DMBA_17068&gt;</t>
  </si>
  <si>
    <t>periventricular stratum of r2BI</t>
  </si>
  <si>
    <t>&lt;http://purl.obolibrary.org/obo/DMBA_17069&gt;</t>
  </si>
  <si>
    <t>r2 part of central gray</t>
  </si>
  <si>
    <t>&lt;http://purl.obolibrary.org/obo/DMBA_17070&gt;</t>
  </si>
  <si>
    <t>r2 part of CG beta nucleus</t>
  </si>
  <si>
    <t>&lt;http://purl.obolibrary.org/obo/DMBA_17071&gt;</t>
  </si>
  <si>
    <t>r2 part of CG alpha nucleus</t>
  </si>
  <si>
    <t>&lt;http://purl.obolibrary.org/obo/DMBA_17072&gt;</t>
  </si>
  <si>
    <t>r2 part of BI intermediate zone</t>
  </si>
  <si>
    <t>&lt;http://purl.obolibrary.org/obo/DMBA_17073&gt;</t>
  </si>
  <si>
    <t>intermediate stratum of r2BI</t>
  </si>
  <si>
    <t>&lt;http://purl.obolibrary.org/obo/DMBA_17074&gt;</t>
  </si>
  <si>
    <t>dorsomedial tegmental nucleus</t>
  </si>
  <si>
    <t>&lt;http://purl.obolibrary.org/obo/DMBA_17075&gt;</t>
  </si>
  <si>
    <t>r2 part of basointermediate reticular formation</t>
  </si>
  <si>
    <t>&lt;http://purl.obolibrary.org/obo/DMBA_17076&gt;</t>
  </si>
  <si>
    <t>r2 part of paramedian raphe nucleus</t>
  </si>
  <si>
    <t>&lt;http://purl.obolibrary.org/obo/DMBA_17077&gt;</t>
  </si>
  <si>
    <t>superficial stratum of r2BI</t>
  </si>
  <si>
    <t>&lt;http://purl.obolibrary.org/obo/DMBA_17078&gt;</t>
  </si>
  <si>
    <t>medial part of r2B</t>
  </si>
  <si>
    <t>&lt;http://purl.obolibrary.org/obo/DMBA_17079&gt;</t>
  </si>
  <si>
    <t>ventricular zone of r2BM</t>
  </si>
  <si>
    <t>&lt;http://purl.obolibrary.org/obo/DMBA_17080&gt;</t>
  </si>
  <si>
    <t>mantle zone of r2BM</t>
  </si>
  <si>
    <t>&lt;http://purl.obolibrary.org/obo/DMBA_17081&gt;</t>
  </si>
  <si>
    <t>periventricular stratum of r2BM</t>
  </si>
  <si>
    <t>&lt;http://purl.obolibrary.org/obo/DMBA_17082&gt;</t>
  </si>
  <si>
    <t>posterodorsal tegmental nucleus</t>
  </si>
  <si>
    <t>&lt;http://purl.obolibrary.org/obo/DMBA_17083&gt;</t>
  </si>
  <si>
    <t>intermediate stratum of r2BM</t>
  </si>
  <si>
    <t>&lt;http://purl.obolibrary.org/obo/DMBA_17085&gt;</t>
  </si>
  <si>
    <t>r2 part of basomedial reticular formation</t>
  </si>
  <si>
    <t>&lt;http://purl.obolibrary.org/obo/DMBA_17086&gt;</t>
  </si>
  <si>
    <t>r2 part of prepontine raphe nucleus</t>
  </si>
  <si>
    <t>&lt;http://purl.obolibrary.org/obo/DMBA_17087&gt;</t>
  </si>
  <si>
    <t>r2 part of median raphe nucleus</t>
  </si>
  <si>
    <t>&lt;http://purl.obolibrary.org/obo/DMBA_17088&gt;</t>
  </si>
  <si>
    <t>superficial stratum of r2BM</t>
  </si>
  <si>
    <t>&lt;http://purl.obolibrary.org/obo/DMBA_17089&gt;</t>
  </si>
  <si>
    <t>rostromedial tegmental nucleus</t>
  </si>
  <si>
    <t>&lt;http://purl.obolibrary.org/obo/DMBA_17090&gt;</t>
  </si>
  <si>
    <t>pontine hindbrain</t>
  </si>
  <si>
    <t>&lt;http://purl.obolibrary.org/obo/DMBA_17092&gt;</t>
  </si>
  <si>
    <t>r3 alar plate</t>
  </si>
  <si>
    <t>&lt;http://purl.obolibrary.org/obo/DMBA_17095&gt;</t>
  </si>
  <si>
    <t>r3 part of cochlear sensory column</t>
  </si>
  <si>
    <t>&lt;http://purl.obolibrary.org/obo/DMBA_17096&gt;</t>
  </si>
  <si>
    <t>ventricular zone of r3Co</t>
  </si>
  <si>
    <t>&lt;http://purl.obolibrary.org/obo/DMBA_17097&gt;</t>
  </si>
  <si>
    <t>mantle zone of r3Co</t>
  </si>
  <si>
    <t>&lt;http://purl.obolibrary.org/obo/DMBA_17098&gt;</t>
  </si>
  <si>
    <t>r3 part of dorsal cochlear nucleus</t>
  </si>
  <si>
    <t>&lt;http://purl.obolibrary.org/obo/DMBA_17099&gt;</t>
  </si>
  <si>
    <t>r3 part of anteroventral cochlear nucleus</t>
  </si>
  <si>
    <t>&lt;http://purl.obolibrary.org/obo/DMBA_17100&gt;</t>
  </si>
  <si>
    <t>r3 part of vestibular sensory column</t>
  </si>
  <si>
    <t>&lt;http://purl.obolibrary.org/obo/DMBA_17101&gt;</t>
  </si>
  <si>
    <t>ventricular zone of r3Ve</t>
  </si>
  <si>
    <t>&lt;http://purl.obolibrary.org/obo/DMBA_17102&gt;</t>
  </si>
  <si>
    <t>mantle zone of r3Ve</t>
  </si>
  <si>
    <t>&lt;http://purl.obolibrary.org/obo/DMBA_17103&gt;</t>
  </si>
  <si>
    <t>r3 part of lateral vestibular nucleus</t>
  </si>
  <si>
    <t>&lt;http://purl.obolibrary.org/obo/DMBA_17104&gt;</t>
  </si>
  <si>
    <t>r3 part of magnocellular medial vestibular nucleus</t>
  </si>
  <si>
    <t>&lt;http://purl.obolibrary.org/obo/DMBA_17105&gt;</t>
  </si>
  <si>
    <t>r3 part of parvicellular medial vestibular nucleus</t>
  </si>
  <si>
    <t>&lt;http://purl.obolibrary.org/obo/DMBA_17106&gt;</t>
  </si>
  <si>
    <t>r3 part of trigeminal sensory column</t>
  </si>
  <si>
    <t>&lt;http://purl.obolibrary.org/obo/DMBA_17107&gt;</t>
  </si>
  <si>
    <t>ventricular zone of r3Tr</t>
  </si>
  <si>
    <t>&lt;http://purl.obolibrary.org/obo/DMBA_17108&gt;</t>
  </si>
  <si>
    <t>mantle zone of r3Tr</t>
  </si>
  <si>
    <t>&lt;http://purl.obolibrary.org/obo/DMBA_17109&gt;</t>
  </si>
  <si>
    <t>r3 part of spinal trigeminal sensory column, oral part</t>
  </si>
  <si>
    <t>&lt;http://purl.obolibrary.org/obo/DMBA_17110&gt;</t>
  </si>
  <si>
    <t>r3 part of trigeminal transition zone</t>
  </si>
  <si>
    <t>&lt;http://purl.obolibrary.org/obo/DMBA_17111&gt;</t>
  </si>
  <si>
    <t>r3 part of dorsal parvicellular reticular formation</t>
  </si>
  <si>
    <t>&lt;http://purl.obolibrary.org/obo/DMBA_17112&gt;</t>
  </si>
  <si>
    <t>liminal part of r3 alar plate</t>
  </si>
  <si>
    <t>&lt;http://purl.obolibrary.org/obo/DMBA_17113&gt;</t>
  </si>
  <si>
    <t>ventricular zone of r3Lim</t>
  </si>
  <si>
    <t>&lt;http://purl.obolibrary.org/obo/DMBA_17114&gt;</t>
  </si>
  <si>
    <t>mantle zone of r3Lim</t>
  </si>
  <si>
    <t>&lt;http://purl.obolibrary.org/obo/DMBA_17115&gt;</t>
  </si>
  <si>
    <t>r3 part of the trigeminal motor nucleus</t>
  </si>
  <si>
    <t>&lt;http://purl.obolibrary.org/obo/DMBA_17116&gt;</t>
  </si>
  <si>
    <t>anterior digastric muscle trigeminal motor cell group</t>
  </si>
  <si>
    <t>&lt;http://purl.obolibrary.org/obo/DMBA_17117&gt;</t>
  </si>
  <si>
    <t>r3 part of ventral lateral lemniscal nucleus</t>
  </si>
  <si>
    <t>&lt;http://purl.obolibrary.org/obo/DMBA_17118&gt;</t>
  </si>
  <si>
    <t>r3 part of medial paralemniscal nucleus</t>
  </si>
  <si>
    <t>&lt;http://purl.obolibrary.org/obo/DMBA_17119&gt;</t>
  </si>
  <si>
    <t>r3 part of lateral paralemniscal nucleus</t>
  </si>
  <si>
    <t>&lt;http://purl.obolibrary.org/obo/DMBA_17120&gt;</t>
  </si>
  <si>
    <t>r3 part of ventral parvicellular reticular formation</t>
  </si>
  <si>
    <t>&lt;http://purl.obolibrary.org/obo/DMBA_17121&gt;</t>
  </si>
  <si>
    <t>r3 liminal central gray</t>
  </si>
  <si>
    <t>&lt;http://purl.obolibrary.org/obo/DMBA_17122&gt;</t>
  </si>
  <si>
    <t>r3 basal plate</t>
  </si>
  <si>
    <t>&lt;http://purl.obolibrary.org/obo/DMBA_17123&gt;</t>
  </si>
  <si>
    <t>lateral part of r3B</t>
  </si>
  <si>
    <t>&lt;http://purl.obolibrary.org/obo/DMBA_17124&gt;</t>
  </si>
  <si>
    <t>ventricular zone of r3BL</t>
  </si>
  <si>
    <t>&lt;http://purl.obolibrary.org/obo/DMBA_17125&gt;</t>
  </si>
  <si>
    <t>mantle zone of r3BL</t>
  </si>
  <si>
    <t>&lt;http://purl.obolibrary.org/obo/DMBA_17126&gt;</t>
  </si>
  <si>
    <t>periventricular stratum of r3BL</t>
  </si>
  <si>
    <t>&lt;http://purl.obolibrary.org/obo/DMBA_17127&gt;</t>
  </si>
  <si>
    <t>r3 part of basolateral central gray</t>
  </si>
  <si>
    <t>&lt;http://purl.obolibrary.org/obo/DMBA_17128&gt;</t>
  </si>
  <si>
    <t>intermediate stratum of r3BL</t>
  </si>
  <si>
    <t>&lt;http://purl.obolibrary.org/obo/DMBA_17129&gt;</t>
  </si>
  <si>
    <t>r3 part of basolateral reticular formation</t>
  </si>
  <si>
    <t>&lt;http://purl.obolibrary.org/obo/DMBA_17130&gt;</t>
  </si>
  <si>
    <t>superficial stratum of r3BL</t>
  </si>
  <si>
    <t>&lt;http://purl.obolibrary.org/obo/DMBA_17131&gt;</t>
  </si>
  <si>
    <t>intermediate part of r3B</t>
  </si>
  <si>
    <t>&lt;http://purl.obolibrary.org/obo/DMBA_17132&gt;</t>
  </si>
  <si>
    <t>ventricular zone of r3BI</t>
  </si>
  <si>
    <t>&lt;http://purl.obolibrary.org/obo/DMBA_17133&gt;</t>
  </si>
  <si>
    <t>mantle zone of r3BI</t>
  </si>
  <si>
    <t>&lt;http://purl.obolibrary.org/obo/DMBA_17134&gt;</t>
  </si>
  <si>
    <t>periventricular stratum of r3BI</t>
  </si>
  <si>
    <t>&lt;http://purl.obolibrary.org/obo/DMBA_17135&gt;</t>
  </si>
  <si>
    <t>r3 part of central gray nucleus alpha</t>
  </si>
  <si>
    <t>&lt;http://purl.obolibrary.org/obo/DMBA_17136&gt;</t>
  </si>
  <si>
    <t>r3 part of central gray nucleus beta</t>
  </si>
  <si>
    <t>&lt;http://purl.obolibrary.org/obo/DMBA_17137&gt;</t>
  </si>
  <si>
    <t>r3 part of BI intermediate zone</t>
  </si>
  <si>
    <t>&lt;http://purl.obolibrary.org/obo/DMBA_17138&gt;</t>
  </si>
  <si>
    <t>intermediate stratum of r3BI</t>
  </si>
  <si>
    <t>&lt;http://purl.obolibrary.org/obo/DMBA_17139&gt;</t>
  </si>
  <si>
    <t>r3 part of basointermediate reticular formation</t>
  </si>
  <si>
    <t>&lt;http://purl.obolibrary.org/obo/DMBA_17140&gt;</t>
  </si>
  <si>
    <t>superficial stratum of r3BI</t>
  </si>
  <si>
    <t>&lt;http://purl.obolibrary.org/obo/DMBA_17141&gt;</t>
  </si>
  <si>
    <t>r3 part of lateral pontine nuclei</t>
  </si>
  <si>
    <t>&lt;http://purl.obolibrary.org/obo/DMBA_17142&gt;</t>
  </si>
  <si>
    <t>medial part of r3B</t>
  </si>
  <si>
    <t>&lt;http://purl.obolibrary.org/obo/DMBA_17143&gt;</t>
  </si>
  <si>
    <t>ventricular zone of r3BM</t>
  </si>
  <si>
    <t>&lt;http://purl.obolibrary.org/obo/DMBA_17144&gt;</t>
  </si>
  <si>
    <t>mantle zone of r3BM</t>
  </si>
  <si>
    <t>&lt;http://purl.obolibrary.org/obo/DMBA_17145&gt;</t>
  </si>
  <si>
    <t>periventricular stratum of r3BM</t>
  </si>
  <si>
    <t>&lt;http://purl.obolibrary.org/obo/DMBA_17146&gt;</t>
  </si>
  <si>
    <t>r3 part of preabducens central gray</t>
  </si>
  <si>
    <t>&lt;http://purl.obolibrary.org/obo/DMBA_17147&gt;</t>
  </si>
  <si>
    <t>intermediate stratum of r3BM</t>
  </si>
  <si>
    <t>&lt;http://purl.obolibrary.org/obo/DMBA_17148&gt;</t>
  </si>
  <si>
    <t>r3 pontine raphe nucleus</t>
  </si>
  <si>
    <t>&lt;http://purl.obolibrary.org/obo/DMBA_17149&gt;</t>
  </si>
  <si>
    <t>r3 part of reticulotegmental nucleus, shell portion</t>
  </si>
  <si>
    <t>&lt;http://purl.obolibrary.org/obo/DMBA_17150&gt;</t>
  </si>
  <si>
    <t>r3 part of reticulotegmental nucleus, core portion</t>
  </si>
  <si>
    <t>&lt;http://purl.obolibrary.org/obo/DMBA_17151&gt;</t>
  </si>
  <si>
    <t>r3 part of basomedial reticular formation</t>
  </si>
  <si>
    <t>&lt;http://purl.obolibrary.org/obo/DMBA_17152&gt;</t>
  </si>
  <si>
    <t>superficial stratum of r3BM</t>
  </si>
  <si>
    <t>&lt;http://purl.obolibrary.org/obo/DMBA_17153&gt;</t>
  </si>
  <si>
    <t>r3 part of medial pontine nuclei</t>
  </si>
  <si>
    <t>&lt;http://purl.obolibrary.org/obo/DMBA_17154&gt;</t>
  </si>
  <si>
    <t>r4 alar plate</t>
  </si>
  <si>
    <t>&lt;http://purl.obolibrary.org/obo/DMBA_17158&gt;</t>
  </si>
  <si>
    <t>r4 part of cochlear sensory column</t>
  </si>
  <si>
    <t>&lt;http://purl.obolibrary.org/obo/DMBA_17159&gt;</t>
  </si>
  <si>
    <t>ventricular zone of r4Co</t>
  </si>
  <si>
    <t>&lt;http://purl.obolibrary.org/obo/DMBA_17160&gt;</t>
  </si>
  <si>
    <t>mantle zone of r4Co</t>
  </si>
  <si>
    <t>&lt;http://purl.obolibrary.org/obo/DMBA_17161&gt;</t>
  </si>
  <si>
    <t>r4 part of dorsal cochlear nucleus</t>
  </si>
  <si>
    <t>&lt;http://purl.obolibrary.org/obo/DMBA_17162&gt;</t>
  </si>
  <si>
    <t>r4 part of posteroventral cochlear nucleus</t>
  </si>
  <si>
    <t>&lt;http://purl.obolibrary.org/obo/DMBA_17163&gt;</t>
  </si>
  <si>
    <t>r4 part of vestibular sensory column</t>
  </si>
  <si>
    <t>&lt;http://purl.obolibrary.org/obo/DMBA_17164&gt;</t>
  </si>
  <si>
    <t>ventricular zone of r4Ve</t>
  </si>
  <si>
    <t>&lt;http://purl.obolibrary.org/obo/DMBA_17165&gt;</t>
  </si>
  <si>
    <t>mantle zone of r4Ve</t>
  </si>
  <si>
    <t>&lt;http://purl.obolibrary.org/obo/DMBA_17166&gt;</t>
  </si>
  <si>
    <t>r4 part of lateral vestibular nucleus</t>
  </si>
  <si>
    <t>&lt;http://purl.obolibrary.org/obo/DMBA_17167&gt;</t>
  </si>
  <si>
    <t>r4 part of magnocellular medial vestibular nucleus</t>
  </si>
  <si>
    <t>&lt;http://purl.obolibrary.org/obo/DMBA_17168&gt;</t>
  </si>
  <si>
    <t>r4 part of parvocellular medial vestibular nucleus</t>
  </si>
  <si>
    <t>&lt;http://purl.obolibrary.org/obo/DMBA_17169&gt;</t>
  </si>
  <si>
    <t>r4 part of trigeminal sensory column</t>
  </si>
  <si>
    <t>&lt;http://purl.obolibrary.org/obo/DMBA_17170&gt;</t>
  </si>
  <si>
    <t>ventricular zone of r4Tr</t>
  </si>
  <si>
    <t>&lt;http://purl.obolibrary.org/obo/DMBA_17171&gt;</t>
  </si>
  <si>
    <t>mantle zone of r4Tr</t>
  </si>
  <si>
    <t>&lt;http://purl.obolibrary.org/obo/DMBA_17172&gt;</t>
  </si>
  <si>
    <t>r4 part of descending trigeminal sensory nucleus, oral part</t>
  </si>
  <si>
    <t>&lt;http://purl.obolibrary.org/obo/DMBA_17173&gt;</t>
  </si>
  <si>
    <t>r4 part of trigeminal transition zone</t>
  </si>
  <si>
    <t>&lt;http://purl.obolibrary.org/obo/DMBA_17174&gt;</t>
  </si>
  <si>
    <t>r4 part of dorsal parvicellular reticular formation</t>
  </si>
  <si>
    <t>&lt;http://purl.obolibrary.org/obo/DMBA_17175&gt;</t>
  </si>
  <si>
    <t>liminal part of r4 alar plate</t>
  </si>
  <si>
    <t>&lt;http://purl.obolibrary.org/obo/DMBA_17176&gt;</t>
  </si>
  <si>
    <t>ventricular zone of r4Lim</t>
  </si>
  <si>
    <t>&lt;http://purl.obolibrary.org/obo/DMBA_17177&gt;</t>
  </si>
  <si>
    <t>mantle zone of r4Lim</t>
  </si>
  <si>
    <t>&lt;http://purl.obolibrary.org/obo/DMBA_17178&gt;</t>
  </si>
  <si>
    <t>r4 liminal central gray</t>
  </si>
  <si>
    <t>&lt;http://purl.obolibrary.org/obo/DMBA_17179&gt;</t>
  </si>
  <si>
    <t>r4 part of ventral parvicellular reticular formation</t>
  </si>
  <si>
    <t>&lt;http://purl.obolibrary.org/obo/DMBA_17180&gt;</t>
  </si>
  <si>
    <t>r4 part of A5 noradrenergic cell group</t>
  </si>
  <si>
    <t>&lt;http://purl.obolibrary.org/obo/DMBA_17181&gt;</t>
  </si>
  <si>
    <t>r4 basal plate</t>
  </si>
  <si>
    <t>&lt;http://purl.obolibrary.org/obo/DMBA_17182&gt;</t>
  </si>
  <si>
    <t>lateral part of r4B</t>
  </si>
  <si>
    <t>&lt;http://purl.obolibrary.org/obo/DMBA_17183&gt;</t>
  </si>
  <si>
    <t>ventricular zone of r4BL</t>
  </si>
  <si>
    <t>&lt;http://purl.obolibrary.org/obo/DMBA_17184&gt;</t>
  </si>
  <si>
    <t>mantle zone of r4BL</t>
  </si>
  <si>
    <t>&lt;http://purl.obolibrary.org/obo/DMBA_17185&gt;</t>
  </si>
  <si>
    <t>periventricular stratum of r4BL</t>
  </si>
  <si>
    <t>&lt;http://purl.obolibrary.org/obo/DMBA_17186&gt;</t>
  </si>
  <si>
    <t>r4 part of basolateral intermediate zone</t>
  </si>
  <si>
    <t>&lt;http://purl.obolibrary.org/obo/DMBA_17187&gt;</t>
  </si>
  <si>
    <t>intermediate stratum of r4BL</t>
  </si>
  <si>
    <t>&lt;http://purl.obolibrary.org/obo/DMBA_17188&gt;</t>
  </si>
  <si>
    <t>efferent vestibular nucleus</t>
  </si>
  <si>
    <t>&lt;http://purl.obolibrary.org/obo/DMBA_17189&gt;</t>
  </si>
  <si>
    <t>&lt;http://purl.obolibrary.org/obo/DMBA_17190&gt;</t>
  </si>
  <si>
    <t>r4 part of basolateral reticular formation</t>
  </si>
  <si>
    <t>&lt;http://purl.obolibrary.org/obo/DMBA_17191&gt;</t>
  </si>
  <si>
    <t>superficial stratum of r4BL</t>
  </si>
  <si>
    <t>&lt;http://purl.obolibrary.org/obo/DMBA_17192&gt;</t>
  </si>
  <si>
    <t>r4 part of ventral lateral lemniscal nucleus</t>
  </si>
  <si>
    <t>&lt;http://purl.obolibrary.org/obo/DMBA_17193&gt;</t>
  </si>
  <si>
    <t>r4 part of medial paralemniscal nucleus</t>
  </si>
  <si>
    <t>&lt;http://purl.obolibrary.org/obo/DMBA_17194&gt;</t>
  </si>
  <si>
    <t>r4 part of lateral paralemniscal nucleus</t>
  </si>
  <si>
    <t>&lt;http://purl.obolibrary.org/obo/DMBA_17195&gt;</t>
  </si>
  <si>
    <t>intermediate part of r4B</t>
  </si>
  <si>
    <t>&lt;http://purl.obolibrary.org/obo/DMBA_17196&gt;</t>
  </si>
  <si>
    <t>ventricular zone of r4BI</t>
  </si>
  <si>
    <t>&lt;http://purl.obolibrary.org/obo/DMBA_17197&gt;</t>
  </si>
  <si>
    <t>mantle zone of r4BI</t>
  </si>
  <si>
    <t>&lt;http://purl.obolibrary.org/obo/DMBA_17198&gt;</t>
  </si>
  <si>
    <t>periventricular stratum of r4BI</t>
  </si>
  <si>
    <t>&lt;http://purl.obolibrary.org/obo/DMBA_17199&gt;</t>
  </si>
  <si>
    <t>r4 part of basointermediate intermediate zone</t>
  </si>
  <si>
    <t>&lt;http://purl.obolibrary.org/obo/DMBA_17200&gt;</t>
  </si>
  <si>
    <t>r4 part of central gray nucleus alpha</t>
  </si>
  <si>
    <t>&lt;http://purl.obolibrary.org/obo/DMBA_17201&gt;</t>
  </si>
  <si>
    <t>r4 part of central gray nucleus beta</t>
  </si>
  <si>
    <t>&lt;http://purl.obolibrary.org/obo/DMBA_17202&gt;</t>
  </si>
  <si>
    <t>intermediate stratum of r4BI</t>
  </si>
  <si>
    <t>&lt;http://purl.obolibrary.org/obo/DMBA_17203&gt;</t>
  </si>
  <si>
    <t>r4 part of basointermediate reticular formation</t>
  </si>
  <si>
    <t>&lt;http://purl.obolibrary.org/obo/DMBA_17204&gt;</t>
  </si>
  <si>
    <t>superficial stratum of r4BI</t>
  </si>
  <si>
    <t>&lt;http://purl.obolibrary.org/obo/DMBA_17205&gt;</t>
  </si>
  <si>
    <t>r4 part of lateral pontine nuclei</t>
  </si>
  <si>
    <t>&lt;http://purl.obolibrary.org/obo/DMBA_17206&gt;</t>
  </si>
  <si>
    <t>medial part of r4B</t>
  </si>
  <si>
    <t>&lt;http://purl.obolibrary.org/obo/DMBA_17207&gt;</t>
  </si>
  <si>
    <t>ventricular zone of r4BM</t>
  </si>
  <si>
    <t>&lt;http://purl.obolibrary.org/obo/DMBA_17208&gt;</t>
  </si>
  <si>
    <t>mantle zone of r4BM</t>
  </si>
  <si>
    <t>&lt;http://purl.obolibrary.org/obo/DMBA_17209&gt;</t>
  </si>
  <si>
    <t>periventricular stratum of r4BM</t>
  </si>
  <si>
    <t>&lt;http://purl.obolibrary.org/obo/DMBA_17210&gt;</t>
  </si>
  <si>
    <t>r4 part of preabducens central gray</t>
  </si>
  <si>
    <t>&lt;http://purl.obolibrary.org/obo/DMBA_17211&gt;</t>
  </si>
  <si>
    <t>intermediate stratum of r4BM</t>
  </si>
  <si>
    <t>&lt;http://purl.obolibrary.org/obo/DMBA_17212&gt;</t>
  </si>
  <si>
    <t>r4 part of reticulotegmental nucleus, shell portion</t>
  </si>
  <si>
    <t>&lt;http://purl.obolibrary.org/obo/DMBA_17213&gt;</t>
  </si>
  <si>
    <t>r4 part of reticulotegmental nucleus, core portion</t>
  </si>
  <si>
    <t>&lt;http://purl.obolibrary.org/obo/DMBA_17214&gt;</t>
  </si>
  <si>
    <t>r4 part of basomedial reticular formation</t>
  </si>
  <si>
    <t>&lt;http://purl.obolibrary.org/obo/DMBA_17215&gt;</t>
  </si>
  <si>
    <t>r4 part of pontine raphe cell population</t>
  </si>
  <si>
    <t>&lt;http://purl.obolibrary.org/obo/DMBA_17216&gt;</t>
  </si>
  <si>
    <t>superficial stratum of r4BM</t>
  </si>
  <si>
    <t>&lt;http://purl.obolibrary.org/obo/DMBA_17217&gt;</t>
  </si>
  <si>
    <t>r4 part of medial pontine nuclei</t>
  </si>
  <si>
    <t>&lt;http://purl.obolibrary.org/obo/DMBA_17218&gt;</t>
  </si>
  <si>
    <t>pontomedullary hindbrain</t>
  </si>
  <si>
    <t>&lt;http://purl.obolibrary.org/obo/DMBA_17220&gt;</t>
  </si>
  <si>
    <t>r5 alar plate</t>
  </si>
  <si>
    <t>&lt;http://purl.obolibrary.org/obo/DMBA_17223&gt;</t>
  </si>
  <si>
    <t>r5 part of the cochlear column</t>
  </si>
  <si>
    <t>&lt;http://purl.obolibrary.org/obo/DMBA_17224&gt;</t>
  </si>
  <si>
    <t>ventricular zone of r5Co</t>
  </si>
  <si>
    <t>&lt;http://purl.obolibrary.org/obo/DMBA_17225&gt;</t>
  </si>
  <si>
    <t>mantle zone of r5Co</t>
  </si>
  <si>
    <t>&lt;http://purl.obolibrary.org/obo/DMBA_17226&gt;</t>
  </si>
  <si>
    <t>r5 part of dorsal cochlear nucleus</t>
  </si>
  <si>
    <t>&lt;http://purl.obolibrary.org/obo/DMBA_17227&gt;</t>
  </si>
  <si>
    <t>r5 part of posteroventral cochlear nucleus</t>
  </si>
  <si>
    <t>&lt;http://purl.obolibrary.org/obo/DMBA_17228&gt;</t>
  </si>
  <si>
    <t>r5 part of the vestibular column</t>
  </si>
  <si>
    <t>&lt;http://purl.obolibrary.org/obo/DMBA_17229&gt;</t>
  </si>
  <si>
    <t>ventricular zone of r5Ve</t>
  </si>
  <si>
    <t>&lt;http://purl.obolibrary.org/obo/DMBA_17230&gt;</t>
  </si>
  <si>
    <t>mantle zone of r5Ve</t>
  </si>
  <si>
    <t>&lt;http://purl.obolibrary.org/obo/DMBA_17231&gt;</t>
  </si>
  <si>
    <t>r5 part of spinal vestibular nucleus</t>
  </si>
  <si>
    <t>&lt;http://purl.obolibrary.org/obo/DMBA_17232&gt;</t>
  </si>
  <si>
    <t>r5 part of magnocellular medial vestibular nucleus</t>
  </si>
  <si>
    <t>&lt;http://purl.obolibrary.org/obo/DMBA_17233&gt;</t>
  </si>
  <si>
    <t>r5 part of parvocellular medial vestibular nucleus</t>
  </si>
  <si>
    <t>&lt;http://purl.obolibrary.org/obo/DMBA_17234&gt;</t>
  </si>
  <si>
    <t>r5 part of the trigeminal column</t>
  </si>
  <si>
    <t>&lt;http://purl.obolibrary.org/obo/DMBA_17235&gt;</t>
  </si>
  <si>
    <t>ventricular zone of r5Tr</t>
  </si>
  <si>
    <t>&lt;http://purl.obolibrary.org/obo/DMBA_17236&gt;</t>
  </si>
  <si>
    <t>mantle zone of r5Tr</t>
  </si>
  <si>
    <t>&lt;http://purl.obolibrary.org/obo/DMBA_17237&gt;</t>
  </si>
  <si>
    <t>r5 part of the oral Sp5 subnucleus</t>
  </si>
  <si>
    <t>&lt;http://purl.obolibrary.org/obo/DMBA_17238&gt;</t>
  </si>
  <si>
    <t>r5 part of trigeminal transition zone</t>
  </si>
  <si>
    <t>&lt;http://purl.obolibrary.org/obo/DMBA_17239&gt;</t>
  </si>
  <si>
    <t>r5 (gustatory) part of solitary complex</t>
  </si>
  <si>
    <t>&lt;http://purl.obolibrary.org/obo/DMBA_17240&gt;</t>
  </si>
  <si>
    <t>r5 part of dorsal parvicellular reticular formation</t>
  </si>
  <si>
    <t>&lt;http://purl.obolibrary.org/obo/DMBA_17241&gt;</t>
  </si>
  <si>
    <t>liminal part of the r5 alar plate</t>
  </si>
  <si>
    <t>&lt;http://purl.obolibrary.org/obo/DMBA_17242&gt;</t>
  </si>
  <si>
    <t>ventricular zone of r5Lim</t>
  </si>
  <si>
    <t>&lt;http://purl.obolibrary.org/obo/DMBA_17243&gt;</t>
  </si>
  <si>
    <t>mantle zone of r5Lim</t>
  </si>
  <si>
    <t>&lt;http://purl.obolibrary.org/obo/DMBA_17244&gt;</t>
  </si>
  <si>
    <t>r5 liminal central gray</t>
  </si>
  <si>
    <t>&lt;http://purl.obolibrary.org/obo/DMBA_17245&gt;</t>
  </si>
  <si>
    <t>r5 part of ventral parvicellular reticular formation</t>
  </si>
  <si>
    <t>&lt;http://purl.obolibrary.org/obo/DMBA_17246&gt;</t>
  </si>
  <si>
    <t>r5 part of A5 noradrenergic cell group</t>
  </si>
  <si>
    <t>&lt;http://purl.obolibrary.org/obo/DMBA_17247&gt;</t>
  </si>
  <si>
    <t>superior salivatory parasympathetic nucleus</t>
  </si>
  <si>
    <t>&lt;http://purl.obolibrary.org/obo/DMBA_17248&gt;</t>
  </si>
  <si>
    <t>nucleus of the central acoustic tract</t>
  </si>
  <si>
    <t>&lt;http://purl.obolibrary.org/obo/DMBA_17249&gt;</t>
  </si>
  <si>
    <t>r5 basal plate</t>
  </si>
  <si>
    <t>&lt;http://purl.obolibrary.org/obo/DMBA_17250&gt;</t>
  </si>
  <si>
    <t>lateral part of r5B</t>
  </si>
  <si>
    <t>&lt;http://purl.obolibrary.org/obo/DMBA_17251&gt;</t>
  </si>
  <si>
    <t>ventricular zone of r5BL</t>
  </si>
  <si>
    <t>&lt;http://purl.obolibrary.org/obo/DMBA_17252&gt;</t>
  </si>
  <si>
    <t>mantle zone of r5BL</t>
  </si>
  <si>
    <t>&lt;http://purl.obolibrary.org/obo/DMBA_17253&gt;</t>
  </si>
  <si>
    <t>periventricular stratum of r5BL</t>
  </si>
  <si>
    <t>&lt;http://purl.obolibrary.org/obo/DMBA_17254&gt;</t>
  </si>
  <si>
    <t>r5 part of basolateral intermediate zone</t>
  </si>
  <si>
    <t>&lt;http://purl.obolibrary.org/obo/DMBA_17255&gt;</t>
  </si>
  <si>
    <t>intermediate stratum of 5BL</t>
  </si>
  <si>
    <t>&lt;http://purl.obolibrary.org/obo/DMBA_17256&gt;</t>
  </si>
  <si>
    <t>r5 part of basolateral reticular formation</t>
  </si>
  <si>
    <t>&lt;http://purl.obolibrary.org/obo/DMBA_17257&gt;</t>
  </si>
  <si>
    <t>superficial stratum of r5BL</t>
  </si>
  <si>
    <t>&lt;http://purl.obolibrary.org/obo/DMBA_17258&gt;</t>
  </si>
  <si>
    <t>r5 part of ventral lateral lemniscal nucleus</t>
  </si>
  <si>
    <t>&lt;http://purl.obolibrary.org/obo/DMBA_17259&gt;</t>
  </si>
  <si>
    <t>rostral periolivary nucleus</t>
  </si>
  <si>
    <t>&lt;http://purl.obolibrary.org/obo/DMBA_17263&gt;</t>
  </si>
  <si>
    <t>superior periolivary nucleus</t>
  </si>
  <si>
    <t>&lt;http://purl.obolibrary.org/obo/DMBA_17264&gt;</t>
  </si>
  <si>
    <t>ventrolateral periolivary nucleus</t>
  </si>
  <si>
    <t>&lt;http://purl.obolibrary.org/obo/DMBA_17265&gt;</t>
  </si>
  <si>
    <t>intermediate part of r5B</t>
  </si>
  <si>
    <t>&lt;http://purl.obolibrary.org/obo/DMBA_17266&gt;</t>
  </si>
  <si>
    <t>ventricular zone of r5BI</t>
  </si>
  <si>
    <t>&lt;http://purl.obolibrary.org/obo/DMBA_17267&gt;</t>
  </si>
  <si>
    <t>mantle zone of r5BI</t>
  </si>
  <si>
    <t>&lt;http://purl.obolibrary.org/obo/DMBA_17268&gt;</t>
  </si>
  <si>
    <t>periventricular stratum of r5BI</t>
  </si>
  <si>
    <t>&lt;http://purl.obolibrary.org/obo/DMBA_17269&gt;</t>
  </si>
  <si>
    <t>r5 part of basointermediate intermediate zone</t>
  </si>
  <si>
    <t>&lt;http://purl.obolibrary.org/obo/DMBA_17270&gt;</t>
  </si>
  <si>
    <t>intermediate stratum of r5BI</t>
  </si>
  <si>
    <t>&lt;http://purl.obolibrary.org/obo/DMBA_17271&gt;</t>
  </si>
  <si>
    <t>r5 part of basointermediate reticular formation</t>
  </si>
  <si>
    <t>&lt;http://purl.obolibrary.org/obo/DMBA_17272&gt;</t>
  </si>
  <si>
    <t>superficial stratum of r5BI</t>
  </si>
  <si>
    <t>&lt;http://purl.obolibrary.org/obo/DMBA_17273&gt;</t>
  </si>
  <si>
    <t>medial part of r5B</t>
  </si>
  <si>
    <t>&lt;http://purl.obolibrary.org/obo/DMBA_17275&gt;</t>
  </si>
  <si>
    <t>ventricular zone of r5BM</t>
  </si>
  <si>
    <t>&lt;http://purl.obolibrary.org/obo/DMBA_17276&gt;</t>
  </si>
  <si>
    <t>mantle zone of r5BM</t>
  </si>
  <si>
    <t>&lt;http://purl.obolibrary.org/obo/DMBA_17277&gt;</t>
  </si>
  <si>
    <t>periventricular stratum of r5BM</t>
  </si>
  <si>
    <t>&lt;http://purl.obolibrary.org/obo/DMBA_17278&gt;</t>
  </si>
  <si>
    <t>intermediate stratum of r5BM</t>
  </si>
  <si>
    <t>&lt;http://purl.obolibrary.org/obo/DMBA_17280&gt;</t>
  </si>
  <si>
    <t>para-abducens nucleus</t>
  </si>
  <si>
    <t>&lt;http://purl.obolibrary.org/obo/DMBA_17281&gt;</t>
  </si>
  <si>
    <t>retropontine reticular area</t>
  </si>
  <si>
    <t>&lt;http://purl.obolibrary.org/obo/DMBA_17282&gt;</t>
  </si>
  <si>
    <t>r5 part of basomedial reticular formation</t>
  </si>
  <si>
    <t>&lt;http://purl.obolibrary.org/obo/DMBA_17283&gt;</t>
  </si>
  <si>
    <t>nucleus raphe magnus, r5 part</t>
  </si>
  <si>
    <t>&lt;http://purl.obolibrary.org/obo/DMBA_17284&gt;</t>
  </si>
  <si>
    <t>nucleus raphe interpositus</t>
  </si>
  <si>
    <t>&lt;http://purl.obolibrary.org/obo/DMBA_17285&gt;</t>
  </si>
  <si>
    <t>superficial stratum of r5BM</t>
  </si>
  <si>
    <t>&lt;http://purl.obolibrary.org/obo/DMBA_17286&gt;</t>
  </si>
  <si>
    <t>medial trapezoid nucleus</t>
  </si>
  <si>
    <t>&lt;http://purl.obolibrary.org/obo/DMBA_17287&gt;</t>
  </si>
  <si>
    <t>ventromedial periolivary nucleus</t>
  </si>
  <si>
    <t>&lt;http://purl.obolibrary.org/obo/DMBA_17288&gt;</t>
  </si>
  <si>
    <t>r6 alar plate</t>
  </si>
  <si>
    <t>&lt;http://purl.obolibrary.org/obo/DMBA_17292&gt;</t>
  </si>
  <si>
    <t>r6 part of the cochlear column</t>
  </si>
  <si>
    <t>&lt;http://purl.obolibrary.org/obo/DMBA_17293&gt;</t>
  </si>
  <si>
    <t>ventricular zone of r6Co</t>
  </si>
  <si>
    <t>&lt;http://purl.obolibrary.org/obo/DMBA_17294&gt;</t>
  </si>
  <si>
    <t>mantle zone of r6Co</t>
  </si>
  <si>
    <t>&lt;http://purl.obolibrary.org/obo/DMBA_17295&gt;</t>
  </si>
  <si>
    <t>r6 part of dorsal cochlear nucleus</t>
  </si>
  <si>
    <t>&lt;http://purl.obolibrary.org/obo/DMBA_17296&gt;</t>
  </si>
  <si>
    <t>r6 part of posteroventral cochlear nucleus</t>
  </si>
  <si>
    <t>&lt;http://purl.obolibrary.org/obo/DMBA_17297&gt;</t>
  </si>
  <si>
    <t>r6 part of the vestibular column</t>
  </si>
  <si>
    <t>&lt;http://purl.obolibrary.org/obo/DMBA_17298&gt;</t>
  </si>
  <si>
    <t>ventricular zone of r6Ve</t>
  </si>
  <si>
    <t>&lt;http://purl.obolibrary.org/obo/DMBA_17299&gt;</t>
  </si>
  <si>
    <t>mantle zone of r6Ve</t>
  </si>
  <si>
    <t>&lt;http://purl.obolibrary.org/obo/DMBA_17300&gt;</t>
  </si>
  <si>
    <t>r6 part of spinal vestibular nucleus</t>
  </si>
  <si>
    <t>&lt;http://purl.obolibrary.org/obo/DMBA_17301&gt;</t>
  </si>
  <si>
    <t>r6 part of magnocellular medial vestibular nucleus</t>
  </si>
  <si>
    <t>&lt;http://purl.obolibrary.org/obo/DMBA_17302&gt;</t>
  </si>
  <si>
    <t>r6 part of parvocellular medial vestibular nucleus</t>
  </si>
  <si>
    <t>&lt;http://purl.obolibrary.org/obo/DMBA_17303&gt;</t>
  </si>
  <si>
    <t>r6 part of the trigeminal column</t>
  </si>
  <si>
    <t>&lt;http://purl.obolibrary.org/obo/DMBA_17304&gt;</t>
  </si>
  <si>
    <t>ventricular zone of r6Tr</t>
  </si>
  <si>
    <t>&lt;http://purl.obolibrary.org/obo/DMBA_17305&gt;</t>
  </si>
  <si>
    <t>mantle zone of r6Tr</t>
  </si>
  <si>
    <t>&lt;http://purl.obolibrary.org/obo/DMBA_17306&gt;</t>
  </si>
  <si>
    <t>r6 part of spinal trigeminal nucleus, pars oralis</t>
  </si>
  <si>
    <t>&lt;http://purl.obolibrary.org/obo/DMBA_17307&gt;</t>
  </si>
  <si>
    <t>r6 part of trigeminal transition zone</t>
  </si>
  <si>
    <t>&lt;http://purl.obolibrary.org/obo/DMBA_17308&gt;</t>
  </si>
  <si>
    <t>r6 (gustatory) part of solitary complex</t>
  </si>
  <si>
    <t>&lt;http://purl.obolibrary.org/obo/DMBA_17309&gt;</t>
  </si>
  <si>
    <t>r6 part of dorsal parvicellular reticular formation</t>
  </si>
  <si>
    <t>&lt;http://purl.obolibrary.org/obo/DMBA_17310&gt;</t>
  </si>
  <si>
    <t>liminal part of the r6 alar plate</t>
  </si>
  <si>
    <t>&lt;http://purl.obolibrary.org/obo/DMBA_17311&gt;</t>
  </si>
  <si>
    <t>ventricular zone of r6Lim</t>
  </si>
  <si>
    <t>&lt;http://purl.obolibrary.org/obo/DMBA_17312&gt;</t>
  </si>
  <si>
    <t>mantle zone of r6Lim</t>
  </si>
  <si>
    <t>&lt;http://purl.obolibrary.org/obo/DMBA_17313&gt;</t>
  </si>
  <si>
    <t>r6 liminal central gray</t>
  </si>
  <si>
    <t>&lt;http://purl.obolibrary.org/obo/DMBA_17314&gt;</t>
  </si>
  <si>
    <t>r6 part of ventral parvicellular reticular formation</t>
  </si>
  <si>
    <t>&lt;http://purl.obolibrary.org/obo/DMBA_17315&gt;</t>
  </si>
  <si>
    <t>inferior salivatory parasympathetic nucleus</t>
  </si>
  <si>
    <t>&lt;http://purl.obolibrary.org/obo/DMBA_17316&gt;</t>
  </si>
  <si>
    <t>r6 basal plate</t>
  </si>
  <si>
    <t>&lt;http://purl.obolibrary.org/obo/DMBA_17318&gt;</t>
  </si>
  <si>
    <t>lateral part of r6B</t>
  </si>
  <si>
    <t>&lt;http://purl.obolibrary.org/obo/DMBA_17319&gt;</t>
  </si>
  <si>
    <t>ventricular zone of r6BL</t>
  </si>
  <si>
    <t>&lt;http://purl.obolibrary.org/obo/DMBA_17320&gt;</t>
  </si>
  <si>
    <t>mantle zone of r6BL</t>
  </si>
  <si>
    <t>&lt;http://purl.obolibrary.org/obo/DMBA_17321&gt;</t>
  </si>
  <si>
    <t>periventricular stratum of r6BL</t>
  </si>
  <si>
    <t>&lt;http://purl.obolibrary.org/obo/DMBA_17322&gt;</t>
  </si>
  <si>
    <t>r6 part of basolateral intermediate zone</t>
  </si>
  <si>
    <t>&lt;http://purl.obolibrary.org/obo/DMBA_17323&gt;</t>
  </si>
  <si>
    <t>intermediate stratum of r6BL</t>
  </si>
  <si>
    <t>&lt;http://purl.obolibrary.org/obo/DMBA_17324&gt;</t>
  </si>
  <si>
    <t>r6 part of the basolateral reticular formation</t>
  </si>
  <si>
    <t>&lt;http://purl.obolibrary.org/obo/DMBA_17325&gt;</t>
  </si>
  <si>
    <t>superficial stratum of r6BL</t>
  </si>
  <si>
    <t>&lt;http://purl.obolibrary.org/obo/DMBA_17326&gt;</t>
  </si>
  <si>
    <t>intermediate part of r6B</t>
  </si>
  <si>
    <t>&lt;http://purl.obolibrary.org/obo/DMBA_17328&gt;</t>
  </si>
  <si>
    <t>ventricular zone of r6BI</t>
  </si>
  <si>
    <t>&lt;http://purl.obolibrary.org/obo/DMBA_17329&gt;</t>
  </si>
  <si>
    <t>mantle zone of r6BI</t>
  </si>
  <si>
    <t>&lt;http://purl.obolibrary.org/obo/DMBA_17330&gt;</t>
  </si>
  <si>
    <t>periventricular stratum of r6BI</t>
  </si>
  <si>
    <t>&lt;http://purl.obolibrary.org/obo/DMBA_17331&gt;</t>
  </si>
  <si>
    <t>r6 part of basointermediate intermediate zone</t>
  </si>
  <si>
    <t>&lt;http://purl.obolibrary.org/obo/DMBA_17332&gt;</t>
  </si>
  <si>
    <t>intermediate stratum of r6BI</t>
  </si>
  <si>
    <t>&lt;http://purl.obolibrary.org/obo/DMBA_17333&gt;</t>
  </si>
  <si>
    <t>r6 part of basointermediate reticular formation</t>
  </si>
  <si>
    <t>&lt;http://purl.obolibrary.org/obo/DMBA_17334&gt;</t>
  </si>
  <si>
    <t>superficial stratum of r6BI</t>
  </si>
  <si>
    <t>&lt;http://purl.obolibrary.org/obo/DMBA_17335&gt;</t>
  </si>
  <si>
    <t>r6 part of paragigantocellular nucleus</t>
  </si>
  <si>
    <t>&lt;http://purl.obolibrary.org/obo/DMBA_17336&gt;</t>
  </si>
  <si>
    <t>r6 part of rostral ventromedial reticular area</t>
  </si>
  <si>
    <t>&lt;http://purl.obolibrary.org/obo/DMBA_17337&gt;</t>
  </si>
  <si>
    <t>medial part of r6B</t>
  </si>
  <si>
    <t>&lt;http://purl.obolibrary.org/obo/DMBA_17338&gt;</t>
  </si>
  <si>
    <t>ventricular zone of r6BM</t>
  </si>
  <si>
    <t>&lt;http://purl.obolibrary.org/obo/DMBA_17339&gt;</t>
  </si>
  <si>
    <t>mantle zone of r6BM</t>
  </si>
  <si>
    <t>&lt;http://purl.obolibrary.org/obo/DMBA_17340&gt;</t>
  </si>
  <si>
    <t>periventricular stratum of r6BM</t>
  </si>
  <si>
    <t>&lt;http://purl.obolibrary.org/obo/DMBA_17341&gt;</t>
  </si>
  <si>
    <t>r6 part of nucleus prepositus</t>
  </si>
  <si>
    <t>&lt;http://purl.obolibrary.org/obo/DMBA_17342&gt;</t>
  </si>
  <si>
    <t>intermediate stratum of r6BM</t>
  </si>
  <si>
    <t>&lt;http://purl.obolibrary.org/obo/DMBA_17343&gt;</t>
  </si>
  <si>
    <t>r6 part of basomedial reticular formation</t>
  </si>
  <si>
    <t>&lt;http://purl.obolibrary.org/obo/DMBA_17344&gt;</t>
  </si>
  <si>
    <t>raphe magnus nucleus, r6 part</t>
  </si>
  <si>
    <t>&lt;http://purl.obolibrary.org/obo/DMBA_17345&gt;</t>
  </si>
  <si>
    <t>r6 part of gigantocellular reticular area</t>
  </si>
  <si>
    <t>&lt;http://purl.obolibrary.org/obo/DMBA_17346&gt;</t>
  </si>
  <si>
    <t>r6 part of ventral gigangocellular reticular area</t>
  </si>
  <si>
    <t>&lt;http://purl.obolibrary.org/obo/DMBA_17347&gt;</t>
  </si>
  <si>
    <t>superficial stratum of r6BM</t>
  </si>
  <si>
    <t>&lt;http://purl.obolibrary.org/obo/DMBA_17348&gt;</t>
  </si>
  <si>
    <t>r6 part of nucleus raphe pallidus</t>
  </si>
  <si>
    <t>&lt;http://purl.obolibrary.org/obo/DMBA_17349&gt;</t>
  </si>
  <si>
    <t>r6 part of parapyramidal nucleus</t>
  </si>
  <si>
    <t>&lt;http://purl.obolibrary.org/obo/DMBA_17350&gt;</t>
  </si>
  <si>
    <t>r7 alar plate</t>
  </si>
  <si>
    <t>&lt;http://purl.obolibrary.org/obo/DMBA_17355&gt;</t>
  </si>
  <si>
    <t>r7 part of cochlear column</t>
  </si>
  <si>
    <t>&lt;http://purl.obolibrary.org/obo/DMBA_17356&gt;</t>
  </si>
  <si>
    <t>ventricular zone of r7Co</t>
  </si>
  <si>
    <t>&lt;http://purl.obolibrary.org/obo/DMBA_17357&gt;</t>
  </si>
  <si>
    <t>mantle zone of r7Co</t>
  </si>
  <si>
    <t>&lt;http://purl.obolibrary.org/obo/DMBA_17358&gt;</t>
  </si>
  <si>
    <t>r7 part of the dorsal cochlear nucleus</t>
  </si>
  <si>
    <t>&lt;http://purl.obolibrary.org/obo/DMBA_17359&gt;</t>
  </si>
  <si>
    <t>r7 part of the posteroventral cochlear nucleus</t>
  </si>
  <si>
    <t>&lt;http://purl.obolibrary.org/obo/DMBA_17360&gt;</t>
  </si>
  <si>
    <t>r7 part of the vestibular column</t>
  </si>
  <si>
    <t>&lt;http://purl.obolibrary.org/obo/DMBA_17361&gt;</t>
  </si>
  <si>
    <t>ventricular zone of r7Ve</t>
  </si>
  <si>
    <t>&lt;http://purl.obolibrary.org/obo/DMBA_17362&gt;</t>
  </si>
  <si>
    <t>mantle zone of r7Ve</t>
  </si>
  <si>
    <t>&lt;http://purl.obolibrary.org/obo/DMBA_17363&gt;</t>
  </si>
  <si>
    <t>r7 part of spinal vestibular nucleus</t>
  </si>
  <si>
    <t>&lt;http://purl.obolibrary.org/obo/DMBA_17364&gt;</t>
  </si>
  <si>
    <t>r7 part of parvocellular medial vestibular nucleus</t>
  </si>
  <si>
    <t>&lt;http://purl.obolibrary.org/obo/DMBA_17365&gt;</t>
  </si>
  <si>
    <t>r7 part of the trigeminal column</t>
  </si>
  <si>
    <t>&lt;http://purl.obolibrary.org/obo/DMBA_17366&gt;</t>
  </si>
  <si>
    <t>ventricular zone of r7Tr</t>
  </si>
  <si>
    <t>&lt;http://purl.obolibrary.org/obo/DMBA_17367&gt;</t>
  </si>
  <si>
    <t>mantle zone of r7Tr</t>
  </si>
  <si>
    <t>&lt;http://purl.obolibrary.org/obo/DMBA_17368&gt;</t>
  </si>
  <si>
    <t>r7 part of spinal trigeminal nucleus, interpolar part</t>
  </si>
  <si>
    <t>&lt;http://purl.obolibrary.org/obo/DMBA_17369&gt;</t>
  </si>
  <si>
    <t>r7 part of trigeminal transition zone</t>
  </si>
  <si>
    <t>&lt;http://purl.obolibrary.org/obo/DMBA_17370&gt;</t>
  </si>
  <si>
    <t>r7 (gustatory) part of solitary complex</t>
  </si>
  <si>
    <t>&lt;http://purl.obolibrary.org/obo/DMBA_17371&gt;</t>
  </si>
  <si>
    <t>r7 part of dorsal parvicellular reticular formation</t>
  </si>
  <si>
    <t>&lt;http://purl.obolibrary.org/obo/DMBA_17372&gt;</t>
  </si>
  <si>
    <t>liminal part of the r7 alar plate</t>
  </si>
  <si>
    <t>&lt;http://purl.obolibrary.org/obo/DMBA_17373&gt;</t>
  </si>
  <si>
    <t>ventricular zone of r7Lim</t>
  </si>
  <si>
    <t>&lt;http://purl.obolibrary.org/obo/DMBA_17374&gt;</t>
  </si>
  <si>
    <t>mantle zone of r7Lim</t>
  </si>
  <si>
    <t>&lt;http://purl.obolibrary.org/obo/DMBA_17375&gt;</t>
  </si>
  <si>
    <t>r7 liminal central gray</t>
  </si>
  <si>
    <t>&lt;http://purl.obolibrary.org/obo/DMBA_17376&gt;</t>
  </si>
  <si>
    <t>vagal motor nucleus</t>
  </si>
  <si>
    <t>&lt;http://purl.obolibrary.org/obo/DMBA_17377&gt;</t>
  </si>
  <si>
    <t>r7 portion of ambiguous motor nucleus</t>
  </si>
  <si>
    <t>&lt;http://purl.obolibrary.org/obo/DMBA_17378&gt;</t>
  </si>
  <si>
    <t>r7 part of ventral parvicellular reticular formation</t>
  </si>
  <si>
    <t>&lt;http://purl.obolibrary.org/obo/DMBA_17379&gt;</t>
  </si>
  <si>
    <t>r7 basal plate</t>
  </si>
  <si>
    <t>&lt;http://purl.obolibrary.org/obo/DMBA_17380&gt;</t>
  </si>
  <si>
    <t>lateral part of r7B</t>
  </si>
  <si>
    <t>&lt;http://purl.obolibrary.org/obo/DMBA_17381&gt;</t>
  </si>
  <si>
    <t>ventricular zone of r7BL</t>
  </si>
  <si>
    <t>&lt;http://purl.obolibrary.org/obo/DMBA_17382&gt;</t>
  </si>
  <si>
    <t>mantle zone of r7BL</t>
  </si>
  <si>
    <t>&lt;http://purl.obolibrary.org/obo/DMBA_17383&gt;</t>
  </si>
  <si>
    <t>periventricular stratum of r7BL</t>
  </si>
  <si>
    <t>&lt;http://purl.obolibrary.org/obo/DMBA_17384&gt;</t>
  </si>
  <si>
    <t>r7 part of the basolateral intermediate zone</t>
  </si>
  <si>
    <t>&lt;http://purl.obolibrary.org/obo/DMBA_17385&gt;</t>
  </si>
  <si>
    <t>intermediate stratum of r7BL</t>
  </si>
  <si>
    <t>&lt;http://purl.obolibrary.org/obo/DMBA_17386&gt;</t>
  </si>
  <si>
    <t>r7 part of basolateral reticular formation</t>
  </si>
  <si>
    <t>&lt;http://purl.obolibrary.org/obo/DMBA_17387&gt;</t>
  </si>
  <si>
    <t>superficial stratum of r7BL</t>
  </si>
  <si>
    <t>&lt;http://purl.obolibrary.org/obo/DMBA_17388&gt;</t>
  </si>
  <si>
    <t>rostral ventrolateral reticular area</t>
  </si>
  <si>
    <t>&lt;http://purl.obolibrary.org/obo/DMBA_17389&gt;</t>
  </si>
  <si>
    <t>intermediate part of r7B</t>
  </si>
  <si>
    <t>&lt;http://purl.obolibrary.org/obo/DMBA_17390&gt;</t>
  </si>
  <si>
    <t>ventricular zone of r7BI</t>
  </si>
  <si>
    <t>&lt;http://purl.obolibrary.org/obo/DMBA_17391&gt;</t>
  </si>
  <si>
    <t>mantle zone of r7BI</t>
  </si>
  <si>
    <t>&lt;http://purl.obolibrary.org/obo/DMBA_17392&gt;</t>
  </si>
  <si>
    <t>periventricular stratum of r7BI</t>
  </si>
  <si>
    <t>&lt;http://purl.obolibrary.org/obo/DMBA_17393&gt;</t>
  </si>
  <si>
    <t>r7 part of the basointermediate intermediate zone</t>
  </si>
  <si>
    <t>&lt;http://purl.obolibrary.org/obo/DMBA_17394&gt;</t>
  </si>
  <si>
    <t>intermediate stratum of r7BI</t>
  </si>
  <si>
    <t>&lt;http://purl.obolibrary.org/obo/DMBA_17395&gt;</t>
  </si>
  <si>
    <t>r7 part of the basointermediate reticular formation</t>
  </si>
  <si>
    <t>&lt;http://purl.obolibrary.org/obo/DMBA_17396&gt;</t>
  </si>
  <si>
    <t>superficial stratum of r7BI</t>
  </si>
  <si>
    <t>&lt;http://purl.obolibrary.org/obo/DMBA_17397&gt;</t>
  </si>
  <si>
    <t>r7 part of paragigantocellular nucleus</t>
  </si>
  <si>
    <t>&lt;http://purl.obolibrary.org/obo/DMBA_17398&gt;</t>
  </si>
  <si>
    <t>r7 part of rostral ventromedial reticular area</t>
  </si>
  <si>
    <t>&lt;http://purl.obolibrary.org/obo/DMBA_17399&gt;</t>
  </si>
  <si>
    <t>medial part of r7B</t>
  </si>
  <si>
    <t>&lt;http://purl.obolibrary.org/obo/DMBA_17400&gt;</t>
  </si>
  <si>
    <t>ventricular zone of r7BM</t>
  </si>
  <si>
    <t>&lt;http://purl.obolibrary.org/obo/DMBA_17401&gt;</t>
  </si>
  <si>
    <t>mantle zone of r7BM</t>
  </si>
  <si>
    <t>&lt;http://purl.obolibrary.org/obo/DMBA_17402&gt;</t>
  </si>
  <si>
    <t>periventricular stratum of r7BM</t>
  </si>
  <si>
    <t>&lt;http://purl.obolibrary.org/obo/DMBA_17403&gt;</t>
  </si>
  <si>
    <t>r7 part of nucleus prepositus</t>
  </si>
  <si>
    <t>&lt;http://purl.obolibrary.org/obo/DMBA_17404&gt;</t>
  </si>
  <si>
    <t>r7 portion of the hypoglossal motor nucleus</t>
  </si>
  <si>
    <t>&lt;http://purl.obolibrary.org/obo/DMBA_17405&gt;</t>
  </si>
  <si>
    <t>r7 part of the nucleus of Roller</t>
  </si>
  <si>
    <t>&lt;http://purl.obolibrary.org/obo/DMBA_17406&gt;</t>
  </si>
  <si>
    <t>intermediate stratum of r7BM</t>
  </si>
  <si>
    <t>&lt;http://purl.obolibrary.org/obo/DMBA_17407&gt;</t>
  </si>
  <si>
    <t>r7 raphe obscurus cell population</t>
  </si>
  <si>
    <t>&lt;http://purl.obolibrary.org/obo/DMBA_17408&gt;</t>
  </si>
  <si>
    <t>r7 part of basomedial reticular formation</t>
  </si>
  <si>
    <t>&lt;http://purl.obolibrary.org/obo/DMBA_17409&gt;</t>
  </si>
  <si>
    <t>r7 part of gigantocellular reticular area</t>
  </si>
  <si>
    <t>&lt;http://purl.obolibrary.org/obo/DMBA_17410&gt;</t>
  </si>
  <si>
    <t>r7 part of ventral gigangocellular reticular area</t>
  </si>
  <si>
    <t>&lt;http://purl.obolibrary.org/obo/DMBA_17411&gt;</t>
  </si>
  <si>
    <t>superficial stratum of r7BM</t>
  </si>
  <si>
    <t>&lt;http://purl.obolibrary.org/obo/DMBA_17412&gt;</t>
  </si>
  <si>
    <t>r7 raphe pallidus cell population</t>
  </si>
  <si>
    <t>&lt;http://purl.obolibrary.org/obo/DMBA_17413&gt;</t>
  </si>
  <si>
    <t>r7 part of parapyramidal nucleus</t>
  </si>
  <si>
    <t>&lt;http://purl.obolibrary.org/obo/DMBA_17414&gt;</t>
  </si>
  <si>
    <t>r8 alar plate</t>
  </si>
  <si>
    <t>&lt;http://purl.obolibrary.org/obo/DMBA_17418&gt;</t>
  </si>
  <si>
    <t>r8 part of the vestibular column</t>
  </si>
  <si>
    <t>&lt;http://purl.obolibrary.org/obo/DMBA_17419&gt;</t>
  </si>
  <si>
    <t>ventricular zone of r8Ve</t>
  </si>
  <si>
    <t>&lt;http://purl.obolibrary.org/obo/DMBA_17420&gt;</t>
  </si>
  <si>
    <t>mantle zone of r8Ve</t>
  </si>
  <si>
    <t>&lt;http://purl.obolibrary.org/obo/DMBA_17421&gt;</t>
  </si>
  <si>
    <t>r8 part of spinal vestibular nucleus</t>
  </si>
  <si>
    <t>&lt;http://purl.obolibrary.org/obo/DMBA_17422&gt;</t>
  </si>
  <si>
    <t>r8 part of parvocellular medial vestibular nucleus</t>
  </si>
  <si>
    <t>&lt;http://purl.obolibrary.org/obo/DMBA_17423&gt;</t>
  </si>
  <si>
    <t>r8 part of the trigeminal column</t>
  </si>
  <si>
    <t>&lt;http://purl.obolibrary.org/obo/DMBA_17424&gt;</t>
  </si>
  <si>
    <t>ventricular zone of r8Tr</t>
  </si>
  <si>
    <t>&lt;http://purl.obolibrary.org/obo/DMBA_17425&gt;</t>
  </si>
  <si>
    <t>mantle zone of r8Tr</t>
  </si>
  <si>
    <t>&lt;http://purl.obolibrary.org/obo/DMBA_17426&gt;</t>
  </si>
  <si>
    <t>r8 part of spinal trigeminal nucleus, interpolar part</t>
  </si>
  <si>
    <t>&lt;http://purl.obolibrary.org/obo/DMBA_17427&gt;</t>
  </si>
  <si>
    <t>r8 part of trigeminal transition zone</t>
  </si>
  <si>
    <t>&lt;http://purl.obolibrary.org/obo/DMBA_17428&gt;</t>
  </si>
  <si>
    <t>r8 (gustatory) part of solitary complex</t>
  </si>
  <si>
    <t>&lt;http://purl.obolibrary.org/obo/DMBA_17429&gt;</t>
  </si>
  <si>
    <t>r8 part of dorsal parvicellular reticular formation</t>
  </si>
  <si>
    <t>&lt;http://purl.obolibrary.org/obo/DMBA_17430&gt;</t>
  </si>
  <si>
    <t>liminal part of the r8 alar plate</t>
  </si>
  <si>
    <t>&lt;http://purl.obolibrary.org/obo/DMBA_17431&gt;</t>
  </si>
  <si>
    <t>ventricular zone of r8Lim</t>
  </si>
  <si>
    <t>&lt;http://purl.obolibrary.org/obo/DMBA_17432&gt;</t>
  </si>
  <si>
    <t>mantle zone of r8Lim</t>
  </si>
  <si>
    <t>&lt;http://purl.obolibrary.org/obo/DMBA_17433&gt;</t>
  </si>
  <si>
    <t>r8 part of ventral parvicellular reticular formation</t>
  </si>
  <si>
    <t>&lt;http://purl.obolibrary.org/obo/DMBA_17434&gt;</t>
  </si>
  <si>
    <t>r8 portion of vagal motor nucleus</t>
  </si>
  <si>
    <t>&lt;http://purl.obolibrary.org/obo/DMBA_17435&gt;</t>
  </si>
  <si>
    <t>r8 portion of ambiguous motor nucleus</t>
  </si>
  <si>
    <t>&lt;http://purl.obolibrary.org/obo/DMBA_17436&gt;</t>
  </si>
  <si>
    <t>r8 basal plate</t>
  </si>
  <si>
    <t>&lt;http://purl.obolibrary.org/obo/DMBA_17437&gt;</t>
  </si>
  <si>
    <t>lateral part of r8B</t>
  </si>
  <si>
    <t>&lt;http://purl.obolibrary.org/obo/DMBA_17438&gt;</t>
  </si>
  <si>
    <t>ventricular zone of r8BL</t>
  </si>
  <si>
    <t>&lt;http://purl.obolibrary.org/obo/DMBA_17439&gt;</t>
  </si>
  <si>
    <t>mantle zone of r8BL</t>
  </si>
  <si>
    <t>&lt;http://purl.obolibrary.org/obo/DMBA_17440&gt;</t>
  </si>
  <si>
    <t>periventricular stratum of r8BL</t>
  </si>
  <si>
    <t>&lt;http://purl.obolibrary.org/obo/DMBA_17441&gt;</t>
  </si>
  <si>
    <t>r8 part of basolateral intermediate zone</t>
  </si>
  <si>
    <t>&lt;http://purl.obolibrary.org/obo/DMBA_17442&gt;</t>
  </si>
  <si>
    <t>intermediate stratum of r8BL</t>
  </si>
  <si>
    <t>&lt;http://purl.obolibrary.org/obo/DMBA_17443&gt;</t>
  </si>
  <si>
    <t>r8 part of basolateral reticular formation</t>
  </si>
  <si>
    <t>&lt;http://purl.obolibrary.org/obo/DMBA_17444&gt;</t>
  </si>
  <si>
    <t>superficial stratum of r8BL</t>
  </si>
  <si>
    <t>&lt;http://purl.obolibrary.org/obo/DMBA_17445&gt;</t>
  </si>
  <si>
    <t>r8 part of lateral reticular nucleus</t>
  </si>
  <si>
    <t>&lt;http://purl.obolibrary.org/obo/DMBA_17446&gt;</t>
  </si>
  <si>
    <t>parvocellular part of r8LRt</t>
  </si>
  <si>
    <t>&lt;http://purl.obolibrary.org/obo/DMBA_17447&gt;</t>
  </si>
  <si>
    <t>r8 part of linear nucleus</t>
  </si>
  <si>
    <t>&lt;http://purl.obolibrary.org/obo/DMBA_17448&gt;</t>
  </si>
  <si>
    <t>intermediate part of r8B</t>
  </si>
  <si>
    <t>&lt;http://purl.obolibrary.org/obo/DMBA_17449&gt;</t>
  </si>
  <si>
    <t>ventricular zone of r8BI</t>
  </si>
  <si>
    <t>&lt;http://purl.obolibrary.org/obo/DMBA_17450&gt;</t>
  </si>
  <si>
    <t>mantle zone of r8BI</t>
  </si>
  <si>
    <t>&lt;http://purl.obolibrary.org/obo/DMBA_17451&gt;</t>
  </si>
  <si>
    <t>periventricular stratum of r8BI</t>
  </si>
  <si>
    <t>&lt;http://purl.obolibrary.org/obo/DMBA_17452&gt;</t>
  </si>
  <si>
    <t>r8 part of basointermediate intermediate zone</t>
  </si>
  <si>
    <t>&lt;http://purl.obolibrary.org/obo/DMBA_17453&gt;</t>
  </si>
  <si>
    <t>r8 part of nucleus intercalatus Staderini</t>
  </si>
  <si>
    <t>&lt;http://purl.obolibrary.org/obo/DMBA_17454&gt;</t>
  </si>
  <si>
    <t>intermediate stratum of r8BI</t>
  </si>
  <si>
    <t>&lt;http://purl.obolibrary.org/obo/DMBA_17455&gt;</t>
  </si>
  <si>
    <t>r8 part of basointermediate reticular formation</t>
  </si>
  <si>
    <t>&lt;http://purl.obolibrary.org/obo/DMBA_17456&gt;</t>
  </si>
  <si>
    <t>superficial stratum of r8BI</t>
  </si>
  <si>
    <t>&lt;http://purl.obolibrary.org/obo/DMBA_17457&gt;</t>
  </si>
  <si>
    <t>r8 part of rostral ventromedial reticular area</t>
  </si>
  <si>
    <t>&lt;http://purl.obolibrary.org/obo/DMBA_17458&gt;</t>
  </si>
  <si>
    <t>r8 part of the paragigantocellular nucleus</t>
  </si>
  <si>
    <t>&lt;http://purl.obolibrary.org/obo/DMBA_17459&gt;</t>
  </si>
  <si>
    <t>medial part of r8B</t>
  </si>
  <si>
    <t>&lt;http://purl.obolibrary.org/obo/DMBA_17460&gt;</t>
  </si>
  <si>
    <t>ventricular zone of r8BM</t>
  </si>
  <si>
    <t>&lt;http://purl.obolibrary.org/obo/DMBA_17461&gt;</t>
  </si>
  <si>
    <t>mantle zone of r8BM</t>
  </si>
  <si>
    <t>&lt;http://purl.obolibrary.org/obo/DMBA_17462&gt;</t>
  </si>
  <si>
    <t>periventricular stratum of r8BM</t>
  </si>
  <si>
    <t>&lt;http://purl.obolibrary.org/obo/DMBA_17463&gt;</t>
  </si>
  <si>
    <t>r8 part of nucleus prepositus</t>
  </si>
  <si>
    <t>&lt;http://purl.obolibrary.org/obo/DMBA_17464&gt;</t>
  </si>
  <si>
    <t>r8 portion of the hypoglossal motor nucleus</t>
  </si>
  <si>
    <t>&lt;http://purl.obolibrary.org/obo/DMBA_17465&gt;</t>
  </si>
  <si>
    <t>r8 part of nucleus of Roller</t>
  </si>
  <si>
    <t>&lt;http://purl.obolibrary.org/obo/DMBA_17466&gt;</t>
  </si>
  <si>
    <t>intermediate stratum of r8BM</t>
  </si>
  <si>
    <t>&lt;http://purl.obolibrary.org/obo/DMBA_17467&gt;</t>
  </si>
  <si>
    <t>r8 raphe obscurus cell population</t>
  </si>
  <si>
    <t>&lt;http://purl.obolibrary.org/obo/DMBA_17468&gt;</t>
  </si>
  <si>
    <t>r8 part of basomedial reticular formation</t>
  </si>
  <si>
    <t>&lt;http://purl.obolibrary.org/obo/DMBA_17469&gt;</t>
  </si>
  <si>
    <t>r8 part of gigantocellular reticular area</t>
  </si>
  <si>
    <t>&lt;http://purl.obolibrary.org/obo/DMBA_17470&gt;</t>
  </si>
  <si>
    <t>r8 part of ventral gigangocellular reticular area</t>
  </si>
  <si>
    <t>&lt;http://purl.obolibrary.org/obo/DMBA_17471&gt;</t>
  </si>
  <si>
    <t>superficial stratum of r8BM</t>
  </si>
  <si>
    <t>&lt;http://purl.obolibrary.org/obo/DMBA_17472&gt;</t>
  </si>
  <si>
    <t>r8 raphe pallidus cell population</t>
  </si>
  <si>
    <t>&lt;http://purl.obolibrary.org/obo/DMBA_17473&gt;</t>
  </si>
  <si>
    <t>r8 part of inferior olive</t>
  </si>
  <si>
    <t>&lt;http://purl.obolibrary.org/obo/DMBA_17474&gt;</t>
  </si>
  <si>
    <t>r9 roof plate</t>
  </si>
  <si>
    <t>&lt;http://purl.obolibrary.org/obo/DMBA_17477&gt;</t>
  </si>
  <si>
    <t>r9 alar plate</t>
  </si>
  <si>
    <t>&lt;http://purl.obolibrary.org/obo/DMBA_17478&gt;</t>
  </si>
  <si>
    <t>r9 part of the vestibular column</t>
  </si>
  <si>
    <t>&lt;http://purl.obolibrary.org/obo/DMBA_17479&gt;</t>
  </si>
  <si>
    <t>ventricular zone of r9Ve</t>
  </si>
  <si>
    <t>&lt;http://purl.obolibrary.org/obo/DMBA_17480&gt;</t>
  </si>
  <si>
    <t>mantle zone of r9Ve</t>
  </si>
  <si>
    <t>&lt;http://purl.obolibrary.org/obo/DMBA_17481&gt;</t>
  </si>
  <si>
    <t>r9 part of spinal vestibular nucleus</t>
  </si>
  <si>
    <t>&lt;http://purl.obolibrary.org/obo/DMBA_17482&gt;</t>
  </si>
  <si>
    <t>r9 part of parvocellular medial vestibular nucleus</t>
  </si>
  <si>
    <t>&lt;http://purl.obolibrary.org/obo/DMBA_17483&gt;</t>
  </si>
  <si>
    <t>r9 part of external cuneate nucleus</t>
  </si>
  <si>
    <t>&lt;http://purl.obolibrary.org/obo/DMBA_17484&gt;</t>
  </si>
  <si>
    <t>r9 part of the trigeminal column</t>
  </si>
  <si>
    <t>&lt;http://purl.obolibrary.org/obo/DMBA_17485&gt;</t>
  </si>
  <si>
    <t>ventricular zone of r9Tr</t>
  </si>
  <si>
    <t>&lt;http://purl.obolibrary.org/obo/DMBA_17486&gt;</t>
  </si>
  <si>
    <t>mantle zone of r9Tr</t>
  </si>
  <si>
    <t>&lt;http://purl.obolibrary.org/obo/DMBA_17487&gt;</t>
  </si>
  <si>
    <t>r9 part of spinal trigeminal nucleus, interpolar part</t>
  </si>
  <si>
    <t>&lt;http://purl.obolibrary.org/obo/DMBA_17488&gt;</t>
  </si>
  <si>
    <t>r9 part of trigeminal transition zone</t>
  </si>
  <si>
    <t>&lt;http://purl.obolibrary.org/obo/DMBA_17489&gt;</t>
  </si>
  <si>
    <t>r9 (gustatory) part of solitary complex</t>
  </si>
  <si>
    <t>&lt;http://purl.obolibrary.org/obo/DMBA_17490&gt;</t>
  </si>
  <si>
    <t>r9 part of nucleus gracilis</t>
  </si>
  <si>
    <t>&lt;http://purl.obolibrary.org/obo/DMBA_17491&gt;</t>
  </si>
  <si>
    <t>r9 part of nucleus cuneatus</t>
  </si>
  <si>
    <t>&lt;http://purl.obolibrary.org/obo/DMBA_17492&gt;</t>
  </si>
  <si>
    <t>r9 part of dorsal parvicellular reticular formation</t>
  </si>
  <si>
    <t>&lt;http://purl.obolibrary.org/obo/DMBA_17493&gt;</t>
  </si>
  <si>
    <t>liminal part of the r9 alar plate</t>
  </si>
  <si>
    <t>&lt;http://purl.obolibrary.org/obo/DMBA_17494&gt;</t>
  </si>
  <si>
    <t>ventricular zone of r9Lim</t>
  </si>
  <si>
    <t>&lt;http://purl.obolibrary.org/obo/DMBA_17495&gt;</t>
  </si>
  <si>
    <t>mantle zone of r9Lim</t>
  </si>
  <si>
    <t>&lt;http://purl.obolibrary.org/obo/DMBA_17496&gt;</t>
  </si>
  <si>
    <t>r9 part of ventral parvicellular reticular formation</t>
  </si>
  <si>
    <t>&lt;http://purl.obolibrary.org/obo/DMBA_17497&gt;</t>
  </si>
  <si>
    <t>r9 portion of vagal motor nucleus (postmigratory)</t>
  </si>
  <si>
    <t>&lt;http://purl.obolibrary.org/obo/DMBA_17498&gt;</t>
  </si>
  <si>
    <t>r9 portion of ambiguous motor nucleus (postmigratory)</t>
  </si>
  <si>
    <t>&lt;http://purl.obolibrary.org/obo/DMBA_17499&gt;</t>
  </si>
  <si>
    <t>r9 basal plate</t>
  </si>
  <si>
    <t>&lt;http://purl.obolibrary.org/obo/DMBA_17500&gt;</t>
  </si>
  <si>
    <t>lateral part of r9B</t>
  </si>
  <si>
    <t>&lt;http://purl.obolibrary.org/obo/DMBA_17501&gt;</t>
  </si>
  <si>
    <t>ventricular zone of r9BL</t>
  </si>
  <si>
    <t>&lt;http://purl.obolibrary.org/obo/DMBA_17502&gt;</t>
  </si>
  <si>
    <t>mantle zone of r9BL</t>
  </si>
  <si>
    <t>&lt;http://purl.obolibrary.org/obo/DMBA_17503&gt;</t>
  </si>
  <si>
    <t>periventricular stratum of r9BL</t>
  </si>
  <si>
    <t>&lt;http://purl.obolibrary.org/obo/DMBA_17504&gt;</t>
  </si>
  <si>
    <t>r9 part of the basolateral intermediate zone</t>
  </si>
  <si>
    <t>&lt;http://purl.obolibrary.org/obo/DMBA_17505&gt;</t>
  </si>
  <si>
    <t>intermediate stratum of r9BL</t>
  </si>
  <si>
    <t>&lt;http://purl.obolibrary.org/obo/DMBA_17506&gt;</t>
  </si>
  <si>
    <t>r9 part of the basolateral reticular formation</t>
  </si>
  <si>
    <t>&lt;http://purl.obolibrary.org/obo/DMBA_17507&gt;</t>
  </si>
  <si>
    <t>superficial stratum of r9BL</t>
  </si>
  <si>
    <t>&lt;http://purl.obolibrary.org/obo/DMBA_17508&gt;</t>
  </si>
  <si>
    <t>r9 part of the lateral reticular nucleus</t>
  </si>
  <si>
    <t>&lt;http://purl.obolibrary.org/obo/DMBA_17509&gt;</t>
  </si>
  <si>
    <t>parvocellular part of the r9LRt</t>
  </si>
  <si>
    <t>&lt;http://purl.obolibrary.org/obo/DMBA_17510&gt;</t>
  </si>
  <si>
    <t>r9 part of linear nucleus</t>
  </si>
  <si>
    <t>&lt;http://purl.obolibrary.org/obo/DMBA_17511&gt;</t>
  </si>
  <si>
    <t>intermediate part of r9B</t>
  </si>
  <si>
    <t>&lt;http://purl.obolibrary.org/obo/DMBA_17512&gt;</t>
  </si>
  <si>
    <t>ventricular zone of r9BI</t>
  </si>
  <si>
    <t>&lt;http://purl.obolibrary.org/obo/DMBA_17513&gt;</t>
  </si>
  <si>
    <t>mantle zone of r9BI</t>
  </si>
  <si>
    <t>&lt;http://purl.obolibrary.org/obo/DMBA_17514&gt;</t>
  </si>
  <si>
    <t>periventricular stratum of r9BI</t>
  </si>
  <si>
    <t>&lt;http://purl.obolibrary.org/obo/DMBA_17515&gt;</t>
  </si>
  <si>
    <t>r9 part of basointermediate intermediate zone</t>
  </si>
  <si>
    <t>&lt;http://purl.obolibrary.org/obo/DMBA_17516&gt;</t>
  </si>
  <si>
    <t>r9 part of nucleus intercalatus Staderini</t>
  </si>
  <si>
    <t>&lt;http://purl.obolibrary.org/obo/DMBA_17517&gt;</t>
  </si>
  <si>
    <t>intermediate stratum of r9BI</t>
  </si>
  <si>
    <t>&lt;http://purl.obolibrary.org/obo/DMBA_17518&gt;</t>
  </si>
  <si>
    <t>r9 part of basointermediate reticular formation</t>
  </si>
  <si>
    <t>&lt;http://purl.obolibrary.org/obo/DMBA_17519&gt;</t>
  </si>
  <si>
    <t>superficial stratum of r9BI</t>
  </si>
  <si>
    <t>&lt;http://purl.obolibrary.org/obo/DMBA_17520&gt;</t>
  </si>
  <si>
    <t>r9 part of paragigantocellular nucleus</t>
  </si>
  <si>
    <t>&lt;http://purl.obolibrary.org/obo/DMBA_17521&gt;</t>
  </si>
  <si>
    <t>r9 part of rostral ventromedial reticular area</t>
  </si>
  <si>
    <t>&lt;http://purl.obolibrary.org/obo/DMBA_17522&gt;</t>
  </si>
  <si>
    <t>medial part of r9B</t>
  </si>
  <si>
    <t>&lt;http://purl.obolibrary.org/obo/DMBA_17523&gt;</t>
  </si>
  <si>
    <t>ventricular zone of r9BM</t>
  </si>
  <si>
    <t>&lt;http://purl.obolibrary.org/obo/DMBA_17524&gt;</t>
  </si>
  <si>
    <t>mantle zone of r9BM</t>
  </si>
  <si>
    <t>&lt;http://purl.obolibrary.org/obo/DMBA_17525&gt;</t>
  </si>
  <si>
    <t>periventricular stratum of r9BM</t>
  </si>
  <si>
    <t>&lt;http://purl.obolibrary.org/obo/DMBA_17526&gt;</t>
  </si>
  <si>
    <t>r9 portion of the hypoglossal motor nucleus</t>
  </si>
  <si>
    <t>&lt;http://purl.obolibrary.org/obo/DMBA_17527&gt;</t>
  </si>
  <si>
    <t>r9 part of nucleus of Roller</t>
  </si>
  <si>
    <t>&lt;http://purl.obolibrary.org/obo/DMBA_17528&gt;</t>
  </si>
  <si>
    <t>intermediate stratum of r9BM</t>
  </si>
  <si>
    <t>&lt;http://purl.obolibrary.org/obo/DMBA_17529&gt;</t>
  </si>
  <si>
    <t>r9 raphe obscurus cell population</t>
  </si>
  <si>
    <t>&lt;http://purl.obolibrary.org/obo/DMBA_17530&gt;</t>
  </si>
  <si>
    <t>r9 part of basomedial reticular formation</t>
  </si>
  <si>
    <t>&lt;http://purl.obolibrary.org/obo/DMBA_17531&gt;</t>
  </si>
  <si>
    <t>r9 part of gigantocellular reticular area</t>
  </si>
  <si>
    <t>&lt;http://purl.obolibrary.org/obo/DMBA_17532&gt;</t>
  </si>
  <si>
    <t>r9 part of ventral gigangocellular reticular area</t>
  </si>
  <si>
    <t>&lt;http://purl.obolibrary.org/obo/DMBA_17533&gt;</t>
  </si>
  <si>
    <t>superficial stratum of r9BM</t>
  </si>
  <si>
    <t>&lt;http://purl.obolibrary.org/obo/DMBA_17534&gt;</t>
  </si>
  <si>
    <t>r9 raphe pallidus cell population</t>
  </si>
  <si>
    <t>&lt;http://purl.obolibrary.org/obo/DMBA_17535&gt;</t>
  </si>
  <si>
    <t>r9 part of the inferior olive</t>
  </si>
  <si>
    <t>&lt;http://purl.obolibrary.org/obo/DMBA_17536&gt;</t>
  </si>
  <si>
    <t>r9 floor plate</t>
  </si>
  <si>
    <t>&lt;http://purl.obolibrary.org/obo/DMBA_17537&gt;</t>
  </si>
  <si>
    <t>r10 roof plate</t>
  </si>
  <si>
    <t>&lt;http://purl.obolibrary.org/obo/DMBA_17539&gt;</t>
  </si>
  <si>
    <t>r10 alar plate</t>
  </si>
  <si>
    <t>&lt;http://purl.obolibrary.org/obo/DMBA_17540&gt;</t>
  </si>
  <si>
    <t>r10 part of the vestibular column</t>
  </si>
  <si>
    <t>&lt;http://purl.obolibrary.org/obo/DMBA_17541&gt;</t>
  </si>
  <si>
    <t>ventricular zone of r10Ve</t>
  </si>
  <si>
    <t>&lt;http://purl.obolibrary.org/obo/DMBA_17542&gt;</t>
  </si>
  <si>
    <t>mantle zone of r10Ve</t>
  </si>
  <si>
    <t>&lt;http://purl.obolibrary.org/obo/DMBA_17543&gt;</t>
  </si>
  <si>
    <t>r10 part of spinal vestibular nucleus</t>
  </si>
  <si>
    <t>&lt;http://purl.obolibrary.org/obo/DMBA_17544&gt;</t>
  </si>
  <si>
    <t>r10 part of parvocellular medial vestibular nucleus</t>
  </si>
  <si>
    <t>&lt;http://purl.obolibrary.org/obo/DMBA_17545&gt;</t>
  </si>
  <si>
    <t>r10 part of external cuneate nucleus</t>
  </si>
  <si>
    <t>&lt;http://purl.obolibrary.org/obo/DMBA_17546&gt;</t>
  </si>
  <si>
    <t>r10 part of the trigeminal column</t>
  </si>
  <si>
    <t>&lt;http://purl.obolibrary.org/obo/DMBA_17547&gt;</t>
  </si>
  <si>
    <t>ventricular zone of r10Tr</t>
  </si>
  <si>
    <t>&lt;http://purl.obolibrary.org/obo/DMBA_17548&gt;</t>
  </si>
  <si>
    <t>mantle zone of r10Tr</t>
  </si>
  <si>
    <t>&lt;http://purl.obolibrary.org/obo/DMBA_17549&gt;</t>
  </si>
  <si>
    <t>r10 part of spinal trigeminal nucleus, caudal part</t>
  </si>
  <si>
    <t>&lt;http://purl.obolibrary.org/obo/DMBA_17550&gt;</t>
  </si>
  <si>
    <t>r10 part of trigeminal transition zone</t>
  </si>
  <si>
    <t>&lt;http://purl.obolibrary.org/obo/DMBA_17551&gt;</t>
  </si>
  <si>
    <t>r10 part of solitary complex</t>
  </si>
  <si>
    <t>&lt;http://purl.obolibrary.org/obo/DMBA_17552&gt;</t>
  </si>
  <si>
    <t>r10 part of nucleus gracilis</t>
  </si>
  <si>
    <t>&lt;http://purl.obolibrary.org/obo/DMBA_17553&gt;</t>
  </si>
  <si>
    <t>r10 part of nucleus cuneatus</t>
  </si>
  <si>
    <t>&lt;http://purl.obolibrary.org/obo/DMBA_17554&gt;</t>
  </si>
  <si>
    <t>r10 part of dorsal parvicellular reticular formation</t>
  </si>
  <si>
    <t>&lt;http://purl.obolibrary.org/obo/DMBA_17555&gt;</t>
  </si>
  <si>
    <t>liminal part of the r10 alar plate</t>
  </si>
  <si>
    <t>&lt;http://purl.obolibrary.org/obo/DMBA_17556&gt;</t>
  </si>
  <si>
    <t>ventricular zone of r10Lim</t>
  </si>
  <si>
    <t>&lt;http://purl.obolibrary.org/obo/DMBA_17557&gt;</t>
  </si>
  <si>
    <t>mantle zone of r10Lim</t>
  </si>
  <si>
    <t>&lt;http://purl.obolibrary.org/obo/DMBA_17558&gt;</t>
  </si>
  <si>
    <t>r10 part of ventral parvicellular reticular formation</t>
  </si>
  <si>
    <t>&lt;http://purl.obolibrary.org/obo/DMBA_17559&gt;</t>
  </si>
  <si>
    <t>r10 part of vagal motor nucleus</t>
  </si>
  <si>
    <t>&lt;http://purl.obolibrary.org/obo/DMBA_17560&gt;</t>
  </si>
  <si>
    <t>r10 portion of ambiguous motor nucleus</t>
  </si>
  <si>
    <t>&lt;http://purl.obolibrary.org/obo/DMBA_17561&gt;</t>
  </si>
  <si>
    <t>r10 basal plate</t>
  </si>
  <si>
    <t>&lt;http://purl.obolibrary.org/obo/DMBA_17562&gt;</t>
  </si>
  <si>
    <t>lateral part of r10B</t>
  </si>
  <si>
    <t>&lt;http://purl.obolibrary.org/obo/DMBA_17563&gt;</t>
  </si>
  <si>
    <t>ventricular zone of r10BL</t>
  </si>
  <si>
    <t>&lt;http://purl.obolibrary.org/obo/DMBA_17564&gt;</t>
  </si>
  <si>
    <t>mantle zone of r10BL</t>
  </si>
  <si>
    <t>&lt;http://purl.obolibrary.org/obo/DMBA_17565&gt;</t>
  </si>
  <si>
    <t>periventricular stratum of r10BL</t>
  </si>
  <si>
    <t>&lt;http://purl.obolibrary.org/obo/DMBA_17566&gt;</t>
  </si>
  <si>
    <t>r10 part of the basolateral intermediate zone</t>
  </si>
  <si>
    <t>&lt;http://purl.obolibrary.org/obo/DMBA_17567&gt;</t>
  </si>
  <si>
    <t>intermediate stratum of r10BL</t>
  </si>
  <si>
    <t>&lt;http://purl.obolibrary.org/obo/DMBA_17568&gt;</t>
  </si>
  <si>
    <t>r10 part of basolateral reticular formation</t>
  </si>
  <si>
    <t>&lt;http://purl.obolibrary.org/obo/DMBA_17569&gt;</t>
  </si>
  <si>
    <t>superficial stratum of r10BL</t>
  </si>
  <si>
    <t>&lt;http://purl.obolibrary.org/obo/DMBA_17570&gt;</t>
  </si>
  <si>
    <t>intermediate part of r10B</t>
  </si>
  <si>
    <t>&lt;http://purl.obolibrary.org/obo/DMBA_17571&gt;</t>
  </si>
  <si>
    <t>ventricular zone of r10BI</t>
  </si>
  <si>
    <t>&lt;http://purl.obolibrary.org/obo/DMBA_17572&gt;</t>
  </si>
  <si>
    <t>mantle zone of r10BI</t>
  </si>
  <si>
    <t>&lt;http://purl.obolibrary.org/obo/DMBA_17573&gt;</t>
  </si>
  <si>
    <t>periventricular stratum of r10BI</t>
  </si>
  <si>
    <t>&lt;http://purl.obolibrary.org/obo/DMBA_17574&gt;</t>
  </si>
  <si>
    <t>r10 part of nucleus intercalatus Staderini</t>
  </si>
  <si>
    <t>&lt;http://purl.obolibrary.org/obo/DMBA_17575&gt;</t>
  </si>
  <si>
    <t>r10 part of basointermediate intermediate zone</t>
  </si>
  <si>
    <t>&lt;http://purl.obolibrary.org/obo/DMBA_17576&gt;</t>
  </si>
  <si>
    <t>intermediate stratum of r10BI</t>
  </si>
  <si>
    <t>&lt;http://purl.obolibrary.org/obo/DMBA_17577&gt;</t>
  </si>
  <si>
    <t>r10 part of accessory motor nucleus</t>
  </si>
  <si>
    <t>&lt;http://purl.obolibrary.org/obo/DMBA_17578&gt;</t>
  </si>
  <si>
    <t>r10 part of basointermediate reticular formation</t>
  </si>
  <si>
    <t>&lt;http://purl.obolibrary.org/obo/DMBA_17579&gt;</t>
  </si>
  <si>
    <t>superficial stratum of r10BI</t>
  </si>
  <si>
    <t>&lt;http://purl.obolibrary.org/obo/DMBA_17580&gt;</t>
  </si>
  <si>
    <t>medial part of r10B</t>
  </si>
  <si>
    <t>&lt;http://purl.obolibrary.org/obo/DMBA_17581&gt;</t>
  </si>
  <si>
    <t>ventricular zone of r10BM</t>
  </si>
  <si>
    <t>&lt;http://purl.obolibrary.org/obo/DMBA_17582&gt;</t>
  </si>
  <si>
    <t>mantle zone of r10BM</t>
  </si>
  <si>
    <t>&lt;http://purl.obolibrary.org/obo/DMBA_17583&gt;</t>
  </si>
  <si>
    <t>periventricular stratum of r10BM</t>
  </si>
  <si>
    <t>&lt;http://purl.obolibrary.org/obo/DMBA_17584&gt;</t>
  </si>
  <si>
    <t>r10 portion of the hypoglossal motor nucleus</t>
  </si>
  <si>
    <t>&lt;http://purl.obolibrary.org/obo/DMBA_17585&gt;</t>
  </si>
  <si>
    <t>r10 part of nucleus of Roller</t>
  </si>
  <si>
    <t>&lt;http://purl.obolibrary.org/obo/DMBA_17586&gt;</t>
  </si>
  <si>
    <t>intermediate stratum of r10BM</t>
  </si>
  <si>
    <t>&lt;http://purl.obolibrary.org/obo/DMBA_17587&gt;</t>
  </si>
  <si>
    <t>r10 raphe obscurus cell population</t>
  </si>
  <si>
    <t>&lt;http://purl.obolibrary.org/obo/DMBA_17588&gt;</t>
  </si>
  <si>
    <t>r10 part of basomedial reticular formation</t>
  </si>
  <si>
    <t>&lt;http://purl.obolibrary.org/obo/DMBA_17589&gt;</t>
  </si>
  <si>
    <t>r10 part of gigantocellular reticular area</t>
  </si>
  <si>
    <t>&lt;http://purl.obolibrary.org/obo/DMBA_17590&gt;</t>
  </si>
  <si>
    <t>r10 part of ventral gigangocellular reticular area</t>
  </si>
  <si>
    <t>&lt;http://purl.obolibrary.org/obo/DMBA_17591&gt;</t>
  </si>
  <si>
    <t>superficial stratum of r10BM</t>
  </si>
  <si>
    <t>&lt;http://purl.obolibrary.org/obo/DMBA_17592&gt;</t>
  </si>
  <si>
    <t>r10 raphe pallidus cell population</t>
  </si>
  <si>
    <t>&lt;http://purl.obolibrary.org/obo/DMBA_17593&gt;</t>
  </si>
  <si>
    <t>r10 part of the inferior olive</t>
  </si>
  <si>
    <t>&lt;http://purl.obolibrary.org/obo/DMBA_17594&gt;</t>
  </si>
  <si>
    <t>r10 floor plate</t>
  </si>
  <si>
    <t>&lt;http://purl.obolibrary.org/obo/DMBA_17595&gt;</t>
  </si>
  <si>
    <t>r11 roof plate</t>
  </si>
  <si>
    <t>&lt;http://purl.obolibrary.org/obo/DMBA_17597&gt;</t>
  </si>
  <si>
    <t>r11 alar plate</t>
  </si>
  <si>
    <t>&lt;http://purl.obolibrary.org/obo/DMBA_17598&gt;</t>
  </si>
  <si>
    <t>r11 part of the vestibular column</t>
  </si>
  <si>
    <t>&lt;http://purl.obolibrary.org/obo/DMBA_17599&gt;</t>
  </si>
  <si>
    <t>ventricular zone of r11Ve</t>
  </si>
  <si>
    <t>&lt;http://purl.obolibrary.org/obo/DMBA_17600&gt;</t>
  </si>
  <si>
    <t>mantle zone of r11Ve</t>
  </si>
  <si>
    <t>&lt;http://purl.obolibrary.org/obo/DMBA_17601&gt;</t>
  </si>
  <si>
    <t>r11 part of the external uneate nucleus</t>
  </si>
  <si>
    <t>&lt;http://purl.obolibrary.org/obo/DMBA_17602&gt;</t>
  </si>
  <si>
    <t>r11 part of the trigeminal column</t>
  </si>
  <si>
    <t>&lt;http://purl.obolibrary.org/obo/DMBA_17603&gt;</t>
  </si>
  <si>
    <t>ventricular zone of r11Tr</t>
  </si>
  <si>
    <t>&lt;http://purl.obolibrary.org/obo/DMBA_17604&gt;</t>
  </si>
  <si>
    <t>mantle zone of r11Tr</t>
  </si>
  <si>
    <t>&lt;http://purl.obolibrary.org/obo/DMBA_17605&gt;</t>
  </si>
  <si>
    <t>r11 part of spinal trigeminal nucleus, caudal part</t>
  </si>
  <si>
    <t>&lt;http://purl.obolibrary.org/obo/DMBA_17606&gt;</t>
  </si>
  <si>
    <t>r11 part of trigeminal transition zone</t>
  </si>
  <si>
    <t>&lt;http://purl.obolibrary.org/obo/DMBA_17607&gt;</t>
  </si>
  <si>
    <t>r11 part of solitary complex</t>
  </si>
  <si>
    <t>&lt;http://purl.obolibrary.org/obo/DMBA_17608&gt;</t>
  </si>
  <si>
    <t>r11 part of nucleus gracilis</t>
  </si>
  <si>
    <t>&lt;http://purl.obolibrary.org/obo/DMBA_17609&gt;</t>
  </si>
  <si>
    <t>r11 part of nucleus cuneatus</t>
  </si>
  <si>
    <t>&lt;http://purl.obolibrary.org/obo/DMBA_17610&gt;</t>
  </si>
  <si>
    <t>r11 part of dorsal parvicellular reticular formation</t>
  </si>
  <si>
    <t>&lt;http://purl.obolibrary.org/obo/DMBA_17611&gt;</t>
  </si>
  <si>
    <t>liminal part of the r11 alar plate</t>
  </si>
  <si>
    <t>&lt;http://purl.obolibrary.org/obo/DMBA_17612&gt;</t>
  </si>
  <si>
    <t>ventricular zone of r11Lim</t>
  </si>
  <si>
    <t>&lt;http://purl.obolibrary.org/obo/DMBA_17613&gt;</t>
  </si>
  <si>
    <t>mantle zone of r11Lim</t>
  </si>
  <si>
    <t>&lt;http://purl.obolibrary.org/obo/DMBA_17614&gt;</t>
  </si>
  <si>
    <t>r11 liminal central gray</t>
  </si>
  <si>
    <t>&lt;http://purl.obolibrary.org/obo/DMBA_17615&gt;</t>
  </si>
  <si>
    <t>r11 part of ventral parvicellular reticular formation</t>
  </si>
  <si>
    <t>&lt;http://purl.obolibrary.org/obo/DMBA_17616&gt;</t>
  </si>
  <si>
    <t>r11 part of vagal motor nucleus (postmigratory)</t>
  </si>
  <si>
    <t>&lt;http://purl.obolibrary.org/obo/DMBA_17617&gt;</t>
  </si>
  <si>
    <t>r11 part of the accessory motor nucleus (postmigratory)</t>
  </si>
  <si>
    <t>&lt;http://purl.obolibrary.org/obo/DMBA_17618&gt;</t>
  </si>
  <si>
    <t>r11 part of nucleus ambiguous</t>
  </si>
  <si>
    <t>&lt;http://purl.obolibrary.org/obo/DMBA_17619&gt;</t>
  </si>
  <si>
    <t>r11 basal plate</t>
  </si>
  <si>
    <t>&lt;http://purl.obolibrary.org/obo/DMBA_17620&gt;</t>
  </si>
  <si>
    <t>lateral part of r11B</t>
  </si>
  <si>
    <t>&lt;http://purl.obolibrary.org/obo/DMBA_17621&gt;</t>
  </si>
  <si>
    <t>ventricular zone of r11BL</t>
  </si>
  <si>
    <t>&lt;http://purl.obolibrary.org/obo/DMBA_17622&gt;</t>
  </si>
  <si>
    <t>mantle zone of r11BL</t>
  </si>
  <si>
    <t>&lt;http://purl.obolibrary.org/obo/DMBA_17623&gt;</t>
  </si>
  <si>
    <t>periventricular stratum of r11BL</t>
  </si>
  <si>
    <t>&lt;http://purl.obolibrary.org/obo/DMBA_17624&gt;</t>
  </si>
  <si>
    <t>r11 part of the basolateral intermediate zone</t>
  </si>
  <si>
    <t>&lt;http://purl.obolibrary.org/obo/DMBA_17625&gt;</t>
  </si>
  <si>
    <t>intermediate stratum of r11BL</t>
  </si>
  <si>
    <t>&lt;http://purl.obolibrary.org/obo/DMBA_17626&gt;</t>
  </si>
  <si>
    <t>r11 part of basolateral reticular formation</t>
  </si>
  <si>
    <t>&lt;http://purl.obolibrary.org/obo/DMBA_17627&gt;</t>
  </si>
  <si>
    <t>superficial stratum of r11BL</t>
  </si>
  <si>
    <t>&lt;http://purl.obolibrary.org/obo/DMBA_17628&gt;</t>
  </si>
  <si>
    <t>intermediate part of r11B</t>
  </si>
  <si>
    <t>&lt;http://purl.obolibrary.org/obo/DMBA_17629&gt;</t>
  </si>
  <si>
    <t>ventricular zone of r11BI</t>
  </si>
  <si>
    <t>&lt;http://purl.obolibrary.org/obo/DMBA_17630&gt;</t>
  </si>
  <si>
    <t>mantle zone of r11BI</t>
  </si>
  <si>
    <t>&lt;http://purl.obolibrary.org/obo/DMBA_17631&gt;</t>
  </si>
  <si>
    <t>periventricular stratum of r11BI</t>
  </si>
  <si>
    <t>&lt;http://purl.obolibrary.org/obo/DMBA_17632&gt;</t>
  </si>
  <si>
    <t>r11 part of basointermediate intermediate zone</t>
  </si>
  <si>
    <t>&lt;http://purl.obolibrary.org/obo/DMBA_17633&gt;</t>
  </si>
  <si>
    <t>r11 part of accessory motor nucleus</t>
  </si>
  <si>
    <t>&lt;http://purl.obolibrary.org/obo/DMBA_17634&gt;</t>
  </si>
  <si>
    <t>intermediate stratum of r11BI</t>
  </si>
  <si>
    <t>&lt;http://purl.obolibrary.org/obo/DMBA_17635&gt;</t>
  </si>
  <si>
    <t>r11 part of basointermediate reticular formation</t>
  </si>
  <si>
    <t>&lt;http://purl.obolibrary.org/obo/DMBA_17636&gt;</t>
  </si>
  <si>
    <t>superficial stratum of r11BI</t>
  </si>
  <si>
    <t>&lt;http://purl.obolibrary.org/obo/DMBA_17637&gt;</t>
  </si>
  <si>
    <t>medial part of r11B</t>
  </si>
  <si>
    <t>&lt;http://purl.obolibrary.org/obo/DMBA_17638&gt;</t>
  </si>
  <si>
    <t>ventricular zone of r11BM</t>
  </si>
  <si>
    <t>&lt;http://purl.obolibrary.org/obo/DMBA_17639&gt;</t>
  </si>
  <si>
    <t>mantle zone of r11BM</t>
  </si>
  <si>
    <t>&lt;http://purl.obolibrary.org/obo/DMBA_17640&gt;</t>
  </si>
  <si>
    <t>periventricular stratum of r11BM</t>
  </si>
  <si>
    <t>&lt;http://purl.obolibrary.org/obo/DMBA_17641&gt;</t>
  </si>
  <si>
    <t>r11 part of hypoglossal motor nucleus</t>
  </si>
  <si>
    <t>&lt;http://purl.obolibrary.org/obo/DMBA_17642&gt;</t>
  </si>
  <si>
    <t>intermediate stratum of r11BM</t>
  </si>
  <si>
    <t>&lt;http://purl.obolibrary.org/obo/DMBA_17643&gt;</t>
  </si>
  <si>
    <t>r11 part of nucleus raphe obscurus</t>
  </si>
  <si>
    <t>&lt;http://purl.obolibrary.org/obo/DMBA_17644&gt;</t>
  </si>
  <si>
    <t>r11 part of basomedial reticular formation</t>
  </si>
  <si>
    <t>&lt;http://purl.obolibrary.org/obo/DMBA_17645&gt;</t>
  </si>
  <si>
    <t>r11 part of gigantocellular reticular area</t>
  </si>
  <si>
    <t>&lt;http://purl.obolibrary.org/obo/DMBA_17646&gt;</t>
  </si>
  <si>
    <t>r11 part of ventral gigangocellular reticular area</t>
  </si>
  <si>
    <t>&lt;http://purl.obolibrary.org/obo/DMBA_17647&gt;</t>
  </si>
  <si>
    <t>superficial stratum of r11BM</t>
  </si>
  <si>
    <t>&lt;http://purl.obolibrary.org/obo/DMBA_17648&gt;</t>
  </si>
  <si>
    <t>r11 part of nucleus raphe pallidus</t>
  </si>
  <si>
    <t>&lt;http://purl.obolibrary.org/obo/DMBA_17649&gt;</t>
  </si>
  <si>
    <t>r11 floor plate</t>
  </si>
  <si>
    <t>&lt;http://purl.obolibrary.org/obo/DMBA_17650&gt;</t>
  </si>
  <si>
    <t>trigeminal nerve root</t>
  </si>
  <si>
    <t>&lt;http://purl.obolibrary.org/obo/DMBA_17739&gt;</t>
  </si>
  <si>
    <t>vestibulocochlear nerve root</t>
  </si>
  <si>
    <t>&lt;http://purl.obolibrary.org/obo/DMBA_17746&gt;</t>
  </si>
  <si>
    <t>&lt;http://purl.obolibrary.org/obo/DMBA_17802&gt;</t>
  </si>
  <si>
    <t>ventral tegmental decussation</t>
  </si>
  <si>
    <t>&lt;http://purl.obolibrary.org/obo/DMBA_17807&gt;</t>
  </si>
  <si>
    <t>piriform cortex, left</t>
  </si>
  <si>
    <t>&lt;http://purl.obolibrary.org/obo/HBA_10143&gt;</t>
  </si>
  <si>
    <t>piriform cortex, right</t>
  </si>
  <si>
    <t>&lt;http://purl.obolibrary.org/obo/HBA_10144&gt;</t>
  </si>
  <si>
    <t>olfactory tubercle, right</t>
  </si>
  <si>
    <t>&lt;http://purl.obolibrary.org/obo/HBA_10146&gt;</t>
  </si>
  <si>
    <t>central gray of the pons, left</t>
  </si>
  <si>
    <t>&lt;http://purl.obolibrary.org/obo/HBA_10148&gt;</t>
  </si>
  <si>
    <t>central gray of the pons, right</t>
  </si>
  <si>
    <t>&lt;http://purl.obolibrary.org/obo/HBA_10149&gt;</t>
  </si>
  <si>
    <t>tail of the caudate nucleus</t>
  </si>
  <si>
    <t>&lt;http://purl.obolibrary.org/obo/HBA_12901&gt;</t>
  </si>
  <si>
    <t>&lt;http://purl.obolibrary.org/obo/HBA_12950&gt;</t>
  </si>
  <si>
    <t>central tegmental tract, Left</t>
  </si>
  <si>
    <t>&lt;http://purl.obolibrary.org/obo/HBA_12951&gt;</t>
  </si>
  <si>
    <t>fasciculus retroflexus, Left</t>
  </si>
  <si>
    <t>&lt;http://purl.obolibrary.org/obo/HBA_12954&gt;</t>
  </si>
  <si>
    <t>fasciculus retroflexus, Right</t>
  </si>
  <si>
    <t>&lt;http://purl.obolibrary.org/obo/HBA_12955&gt;</t>
  </si>
  <si>
    <t>&lt;http://purl.obolibrary.org/obo/HBA_12956&gt;</t>
  </si>
  <si>
    <t>lateral lemniscus, Left</t>
  </si>
  <si>
    <t>&lt;http://purl.obolibrary.org/obo/HBA_12957&gt;</t>
  </si>
  <si>
    <t>&lt;http://purl.obolibrary.org/obo/HBA_12959&gt;</t>
  </si>
  <si>
    <t>medial lemniscus, Left</t>
  </si>
  <si>
    <t>&lt;http://purl.obolibrary.org/obo/HBA_12960&gt;</t>
  </si>
  <si>
    <t>&lt;http://purl.obolibrary.org/obo/HBA_12962&gt;</t>
  </si>
  <si>
    <t>pyramidal tract, Left</t>
  </si>
  <si>
    <t>&lt;http://purl.obolibrary.org/obo/HBA_12963&gt;</t>
  </si>
  <si>
    <t>pyramidal tract, Right</t>
  </si>
  <si>
    <t>&lt;http://purl.obolibrary.org/obo/HBA_12964&gt;</t>
  </si>
  <si>
    <t>&lt;http://purl.obolibrary.org/obo/HBA_13003&gt;</t>
  </si>
  <si>
    <t>olfactory area, left</t>
  </si>
  <si>
    <t>&lt;http://purl.obolibrary.org/obo/HBA_265504410&gt;</t>
  </si>
  <si>
    <t>olfactory area, right</t>
  </si>
  <si>
    <t>&lt;http://purl.obolibrary.org/obo/HBA_265504414&gt;</t>
  </si>
  <si>
    <t>indusium griseum, left</t>
  </si>
  <si>
    <t>&lt;http://purl.obolibrary.org/obo/HBA_265504428&gt;</t>
  </si>
  <si>
    <t>indusium griseum, right</t>
  </si>
  <si>
    <t>&lt;http://purl.obolibrary.org/obo/HBA_265504432&gt;</t>
  </si>
  <si>
    <t>prosubiculum, left</t>
  </si>
  <si>
    <t>&lt;http://purl.obolibrary.org/obo/HBA_265504436&gt;</t>
  </si>
  <si>
    <t>subiculum proper, left</t>
  </si>
  <si>
    <t>&lt;http://purl.obolibrary.org/obo/HBA_265504440&gt;</t>
  </si>
  <si>
    <t>prosubiculum, right</t>
  </si>
  <si>
    <t>&lt;http://purl.obolibrary.org/obo/HBA_265504444&gt;</t>
  </si>
  <si>
    <t>subiculum proper, right</t>
  </si>
  <si>
    <t>&lt;http://purl.obolibrary.org/obo/HBA_265504448&gt;</t>
  </si>
  <si>
    <t>amygdalohippocampal area, left, marginal layer</t>
  </si>
  <si>
    <t>&lt;http://purl.obolibrary.org/obo/HBA_265504460&gt;</t>
  </si>
  <si>
    <t>amygdalohippocampal area, right, magnocellular division</t>
  </si>
  <si>
    <t>&lt;http://purl.obolibrary.org/obo/HBA_265504464&gt;</t>
  </si>
  <si>
    <t>amygdalohippocampal area, right, parvocellular division</t>
  </si>
  <si>
    <t>&lt;http://purl.obolibrary.org/obo/HBA_265504468&gt;</t>
  </si>
  <si>
    <t>amygdalohippocampal area, right, marginal layer</t>
  </si>
  <si>
    <t>&lt;http://purl.obolibrary.org/obo/HBA_265504472&gt;</t>
  </si>
  <si>
    <t>anterior amygdaloid area, left</t>
  </si>
  <si>
    <t>&lt;http://purl.obolibrary.org/obo/HBA_265504480&gt;</t>
  </si>
  <si>
    <t>anterior amygdaloid area, left, dorsal division</t>
  </si>
  <si>
    <t>&lt;http://purl.obolibrary.org/obo/HBA_265504484&gt;</t>
  </si>
  <si>
    <t>anterior amygdaloid area, left, ventral division</t>
  </si>
  <si>
    <t>&lt;http://purl.obolibrary.org/obo/HBA_265504488&gt;</t>
  </si>
  <si>
    <t>anterior amygdaloid area, right</t>
  </si>
  <si>
    <t>&lt;http://purl.obolibrary.org/obo/HBA_265504492&gt;</t>
  </si>
  <si>
    <t>anterior amygdaloid area, right, dorsal division</t>
  </si>
  <si>
    <t>&lt;http://purl.obolibrary.org/obo/HBA_265504496&gt;</t>
  </si>
  <si>
    <t>anterior amygdaloid area, right, ventral division</t>
  </si>
  <si>
    <t>&lt;http://purl.obolibrary.org/obo/HBA_265504500&gt;</t>
  </si>
  <si>
    <t>basolateral nucleus, left, dorsolateral division</t>
  </si>
  <si>
    <t>&lt;http://purl.obolibrary.org/obo/HBA_265504504&gt;</t>
  </si>
  <si>
    <t>basolateral nucleus, left, ventrolateral division</t>
  </si>
  <si>
    <t>&lt;http://purl.obolibrary.org/obo/HBA_265504508&gt;</t>
  </si>
  <si>
    <t>basolateral nucleus, left, ventromedial divison</t>
  </si>
  <si>
    <t>&lt;http://purl.obolibrary.org/obo/HBA_265504512&gt;</t>
  </si>
  <si>
    <t>basolateral nucleus, right, dorsolateral division</t>
  </si>
  <si>
    <t>&lt;http://purl.obolibrary.org/obo/HBA_265504516&gt;</t>
  </si>
  <si>
    <t>basolateral nucleus, right, ventrolateral division</t>
  </si>
  <si>
    <t>&lt;http://purl.obolibrary.org/obo/HBA_265504520&gt;</t>
  </si>
  <si>
    <t>basolateral nucleus, right, ventromedial divison</t>
  </si>
  <si>
    <t>&lt;http://purl.obolibrary.org/obo/HBA_265504524&gt;</t>
  </si>
  <si>
    <t>basomedial nucleus, left, dorsal division</t>
  </si>
  <si>
    <t>&lt;http://purl.obolibrary.org/obo/HBA_265504528&gt;</t>
  </si>
  <si>
    <t>basomedial nucleus, left, dorsolateral division</t>
  </si>
  <si>
    <t>&lt;http://purl.obolibrary.org/obo/HBA_265504534&gt;</t>
  </si>
  <si>
    <t>basomedial nucleus, left, medial division</t>
  </si>
  <si>
    <t>&lt;http://purl.obolibrary.org/obo/HBA_265504538&gt;</t>
  </si>
  <si>
    <t>basomedial nucleus, left, ventral division</t>
  </si>
  <si>
    <t>&lt;http://purl.obolibrary.org/obo/HBA_265504542&gt;</t>
  </si>
  <si>
    <t>basomedial nucleus, right, dorsal division</t>
  </si>
  <si>
    <t>&lt;http://purl.obolibrary.org/obo/HBA_265504550&gt;</t>
  </si>
  <si>
    <t>basomedial nucleus, right, dorsolateral division</t>
  </si>
  <si>
    <t>&lt;http://purl.obolibrary.org/obo/HBA_265504556&gt;</t>
  </si>
  <si>
    <t>basomedial nucleus, right, medial division</t>
  </si>
  <si>
    <t>&lt;http://purl.obolibrary.org/obo/HBA_265504561&gt;</t>
  </si>
  <si>
    <t>basomedial nucleus, right, ventral division</t>
  </si>
  <si>
    <t>&lt;http://purl.obolibrary.org/obo/HBA_265504565&gt;</t>
  </si>
  <si>
    <t>central nucleus, medial division, left, dorsal part</t>
  </si>
  <si>
    <t>&lt;http://purl.obolibrary.org/obo/HBA_265504574&gt;</t>
  </si>
  <si>
    <t>central nucleus, medial division, left, ventral part</t>
  </si>
  <si>
    <t>&lt;http://purl.obolibrary.org/obo/HBA_265504578&gt;</t>
  </si>
  <si>
    <t>central nucleus, lateral division, left, apical part</t>
  </si>
  <si>
    <t>&lt;http://purl.obolibrary.org/obo/HBA_265504583&gt;</t>
  </si>
  <si>
    <t>central nucleus, lateral division, left, capsular part</t>
  </si>
  <si>
    <t>&lt;http://purl.obolibrary.org/obo/HBA_265504587&gt;</t>
  </si>
  <si>
    <t>central nucleus, lateral division, left, paracapsular part</t>
  </si>
  <si>
    <t>&lt;http://purl.obolibrary.org/obo/HBA_265504591&gt;</t>
  </si>
  <si>
    <t>central nucleus, lateral division, left, central part</t>
  </si>
  <si>
    <t>&lt;http://purl.obolibrary.org/obo/HBA_265504596&gt;</t>
  </si>
  <si>
    <t>central nucleus, medial division, right, dorsal part</t>
  </si>
  <si>
    <t>&lt;http://purl.obolibrary.org/obo/HBA_265504600&gt;</t>
  </si>
  <si>
    <t>central nucleus, medial division, right, ventral part</t>
  </si>
  <si>
    <t>&lt;http://purl.obolibrary.org/obo/HBA_265504604&gt;</t>
  </si>
  <si>
    <t>central nucleus, lateral division, right, apical part</t>
  </si>
  <si>
    <t>&lt;http://purl.obolibrary.org/obo/HBA_265504608&gt;</t>
  </si>
  <si>
    <t>central nucleus, lateral division, right, capsular part</t>
  </si>
  <si>
    <t>&lt;http://purl.obolibrary.org/obo/HBA_265504612&gt;</t>
  </si>
  <si>
    <t>central nucleus, lateral division, right, paracapsular part</t>
  </si>
  <si>
    <t>&lt;http://purl.obolibrary.org/obo/HBA_265504616&gt;</t>
  </si>
  <si>
    <t>central nucleus, lateral division, right, central part</t>
  </si>
  <si>
    <t>&lt;http://purl.obolibrary.org/obo/HBA_265504620&gt;</t>
  </si>
  <si>
    <t>anterior cortical nucleus, left, dorsal division</t>
  </si>
  <si>
    <t>&lt;http://purl.obolibrary.org/obo/HBA_265504624&gt;</t>
  </si>
  <si>
    <t>anterior cortical nucleus, left, ventral division</t>
  </si>
  <si>
    <t>&lt;http://purl.obolibrary.org/obo/HBA_265504628&gt;</t>
  </si>
  <si>
    <t>anterior cortical nucleus, left, marginal layer</t>
  </si>
  <si>
    <t>&lt;http://purl.obolibrary.org/obo/HBA_265504632&gt;</t>
  </si>
  <si>
    <t>medial nucleus, left, anterior division</t>
  </si>
  <si>
    <t>&lt;http://purl.obolibrary.org/obo/HBA_265504636&gt;</t>
  </si>
  <si>
    <t>medial nucleus, left, posterior division</t>
  </si>
  <si>
    <t>&lt;http://purl.obolibrary.org/obo/HBA_265504640&gt;</t>
  </si>
  <si>
    <t>medial nucleus, left, posterior division, dorsal part</t>
  </si>
  <si>
    <t>&lt;http://purl.obolibrary.org/obo/HBA_265504644&gt;</t>
  </si>
  <si>
    <t>medial nucleus, left, posterior division, ventral part</t>
  </si>
  <si>
    <t>&lt;http://purl.obolibrary.org/obo/HBA_265504648&gt;</t>
  </si>
  <si>
    <t>medial nucleus, left, marginal layer</t>
  </si>
  <si>
    <t>&lt;http://purl.obolibrary.org/obo/HBA_265504652&gt;</t>
  </si>
  <si>
    <t>posterior cortical nucleus, left, dorsal division</t>
  </si>
  <si>
    <t>&lt;http://purl.obolibrary.org/obo/HBA_265504656&gt;</t>
  </si>
  <si>
    <t>posterior cortical nucleus, left, ventral division</t>
  </si>
  <si>
    <t>&lt;http://purl.obolibrary.org/obo/HBA_265504660&gt;</t>
  </si>
  <si>
    <t>posterior cortical nucleus, left, marginal layer</t>
  </si>
  <si>
    <t>&lt;http://purl.obolibrary.org/obo/HBA_265504664&gt;</t>
  </si>
  <si>
    <t>anterior cortical nucleus, right, dorsal division</t>
  </si>
  <si>
    <t>&lt;http://purl.obolibrary.org/obo/HBA_265504668&gt;</t>
  </si>
  <si>
    <t>anterior cortical nucleus, right, ventral division</t>
  </si>
  <si>
    <t>&lt;http://purl.obolibrary.org/obo/HBA_265504672&gt;</t>
  </si>
  <si>
    <t>anterior cortical nucleus, right, marginal layer</t>
  </si>
  <si>
    <t>&lt;http://purl.obolibrary.org/obo/HBA_265504676&gt;</t>
  </si>
  <si>
    <t>medial nucleus, right, anterior division</t>
  </si>
  <si>
    <t>&lt;http://purl.obolibrary.org/obo/HBA_265504680&gt;</t>
  </si>
  <si>
    <t>medial nucleus, right, posterior division</t>
  </si>
  <si>
    <t>&lt;http://purl.obolibrary.org/obo/HBA_265504684&gt;</t>
  </si>
  <si>
    <t>medial nucleus, right, posterior division, dorsal part</t>
  </si>
  <si>
    <t>&lt;http://purl.obolibrary.org/obo/HBA_265504688&gt;</t>
  </si>
  <si>
    <t>medial nucleus, right, posterior division, ventral part</t>
  </si>
  <si>
    <t>&lt;http://purl.obolibrary.org/obo/HBA_265504692&gt;</t>
  </si>
  <si>
    <t>medial nucleus, right, marginal layer</t>
  </si>
  <si>
    <t>&lt;http://purl.obolibrary.org/obo/HBA_265504696&gt;</t>
  </si>
  <si>
    <t>posterior cortical nucleus, right, dorsal division</t>
  </si>
  <si>
    <t>&lt;http://purl.obolibrary.org/obo/HBA_265504700&gt;</t>
  </si>
  <si>
    <t>posterior cortical nucleus, right, ventral division</t>
  </si>
  <si>
    <t>&lt;http://purl.obolibrary.org/obo/HBA_265504704&gt;</t>
  </si>
  <si>
    <t>posterior cortical nucleus, right, marginal layer</t>
  </si>
  <si>
    <t>&lt;http://purl.obolibrary.org/obo/HBA_265504708&gt;</t>
  </si>
  <si>
    <t>lateral nucleus, left, dorsal division</t>
  </si>
  <si>
    <t>&lt;http://purl.obolibrary.org/obo/HBA_265504712&gt;</t>
  </si>
  <si>
    <t>lateral nucleus, left, dorsal anterior division</t>
  </si>
  <si>
    <t>&lt;http://purl.obolibrary.org/obo/HBA_265504716&gt;</t>
  </si>
  <si>
    <t>lateral nucleus, left, dorsal lateral division</t>
  </si>
  <si>
    <t>&lt;http://purl.obolibrary.org/obo/HBA_265504722&gt;</t>
  </si>
  <si>
    <t>lateral nucleus, left, dorsal lateral division, comb-like part</t>
  </si>
  <si>
    <t>&lt;http://purl.obolibrary.org/obo/HBA_265504726&gt;</t>
  </si>
  <si>
    <t>lateral nucleus, left, intermediate division</t>
  </si>
  <si>
    <t>&lt;http://purl.obolibrary.org/obo/HBA_265504730&gt;</t>
  </si>
  <si>
    <t>lateral nucleus, left, ventral division</t>
  </si>
  <si>
    <t>&lt;http://purl.obolibrary.org/obo/HBA_265504734&gt;</t>
  </si>
  <si>
    <t>lateral nucleus, left, ventral medial division</t>
  </si>
  <si>
    <t>&lt;http://purl.obolibrary.org/obo/HBA_265504740&gt;</t>
  </si>
  <si>
    <t>lateral nucleus, left, glomerular division</t>
  </si>
  <si>
    <t>&lt;http://purl.obolibrary.org/obo/HBA_265504744&gt;</t>
  </si>
  <si>
    <t>lateral nucleus, right, dorsal division</t>
  </si>
  <si>
    <t>&lt;http://purl.obolibrary.org/obo/HBA_265504748&gt;</t>
  </si>
  <si>
    <t>lateral nucleus, right, dorsal anterior division</t>
  </si>
  <si>
    <t>&lt;http://purl.obolibrary.org/obo/HBA_265504752&gt;</t>
  </si>
  <si>
    <t>lateral nucleus, right, dorsal lateral division</t>
  </si>
  <si>
    <t>&lt;http://purl.obolibrary.org/obo/HBA_265504758&gt;</t>
  </si>
  <si>
    <t>lateral nucleus, right, dorsal lateral division, comb-like part</t>
  </si>
  <si>
    <t>&lt;http://purl.obolibrary.org/obo/HBA_265504762&gt;</t>
  </si>
  <si>
    <t>lateral nucleus, right, intermediate division</t>
  </si>
  <si>
    <t>&lt;http://purl.obolibrary.org/obo/HBA_265504766&gt;</t>
  </si>
  <si>
    <t>lateral nucleus, right, ventral division</t>
  </si>
  <si>
    <t>&lt;http://purl.obolibrary.org/obo/HBA_265504770&gt;</t>
  </si>
  <si>
    <t>lateral nucleus, right, ventral medial division</t>
  </si>
  <si>
    <t>&lt;http://purl.obolibrary.org/obo/HBA_265504776&gt;</t>
  </si>
  <si>
    <t>lateral nucleus, right, glomerular division</t>
  </si>
  <si>
    <t>&lt;http://purl.obolibrary.org/obo/HBA_265504780&gt;</t>
  </si>
  <si>
    <t>paralmainar nucleus, left, glomerular part</t>
  </si>
  <si>
    <t>&lt;http://purl.obolibrary.org/obo/HBA_265504784&gt;</t>
  </si>
  <si>
    <t>paralmainar nucleus, right, glomerular part</t>
  </si>
  <si>
    <t>&lt;http://purl.obolibrary.org/obo/HBA_265504788&gt;</t>
  </si>
  <si>
    <t>islands of calleja, right</t>
  </si>
  <si>
    <t>&lt;http://purl.obolibrary.org/obo/HBA_265504796&gt;</t>
  </si>
  <si>
    <t>&lt;http://purl.obolibrary.org/obo/HBA_265504864&gt;</t>
  </si>
  <si>
    <t>dorsomedial tegmental area, left</t>
  </si>
  <si>
    <t>&lt;http://purl.obolibrary.org/obo/HBA_265504868&gt;</t>
  </si>
  <si>
    <t>dorsomedial tegmental area, right</t>
  </si>
  <si>
    <t>&lt;http://purl.obolibrary.org/obo/HBA_265504872&gt;</t>
  </si>
  <si>
    <t>dorsal tegmental nucleus, left</t>
  </si>
  <si>
    <t>&lt;http://purl.obolibrary.org/obo/HBA_265504880&gt;</t>
  </si>
  <si>
    <t>dorsal tegmental nucleus, right</t>
  </si>
  <si>
    <t>&lt;http://purl.obolibrary.org/obo/HBA_265504884&gt;</t>
  </si>
  <si>
    <t>intermediate nucleus of lateral lemniscus, left</t>
  </si>
  <si>
    <t>&lt;http://purl.obolibrary.org/obo/HBA_265504892&gt;</t>
  </si>
  <si>
    <t>intermediate nucleus of lateral lemniscus, right</t>
  </si>
  <si>
    <t>&lt;http://purl.obolibrary.org/obo/HBA_265504896&gt;</t>
  </si>
  <si>
    <t>superior paraolivary nucleus, left</t>
  </si>
  <si>
    <t>&lt;http://purl.obolibrary.org/obo/HBA_265504906&gt;</t>
  </si>
  <si>
    <t>superior paraolivary nucleus, right</t>
  </si>
  <si>
    <t>&lt;http://purl.obolibrary.org/obo/HBA_265504910&gt;</t>
  </si>
  <si>
    <t>central gray of the medulla, left</t>
  </si>
  <si>
    <t>&lt;http://purl.obolibrary.org/obo/HBA_265504918&gt;</t>
  </si>
  <si>
    <t>central gray of the medulla, right</t>
  </si>
  <si>
    <t>&lt;http://purl.obolibrary.org/obo/HBA_265504922&gt;</t>
  </si>
  <si>
    <t>&lt;http://purl.obolibrary.org/obo/HBA_265504926&gt;</t>
  </si>
  <si>
    <t>external (accessory/lateral) cuneate nucleus, left</t>
  </si>
  <si>
    <t>&lt;http://purl.obolibrary.org/obo/HBA_265504930&gt;</t>
  </si>
  <si>
    <t>external (accessory/lateral) cuneate nucleus, right</t>
  </si>
  <si>
    <t>&lt;http://purl.obolibrary.org/obo/HBA_265504934&gt;</t>
  </si>
  <si>
    <t>beta inferior olivary nucleus, left</t>
  </si>
  <si>
    <t>&lt;http://purl.obolibrary.org/obo/HBA_265504938&gt;</t>
  </si>
  <si>
    <t>beta inferior olivary nucleus, right</t>
  </si>
  <si>
    <t>&lt;http://purl.obolibrary.org/obo/HBA_265504942&gt;</t>
  </si>
  <si>
    <t>&lt;http://purl.obolibrary.org/obo/HBA_265504950&gt;</t>
  </si>
  <si>
    <t>nucleus pararaphales, left</t>
  </si>
  <si>
    <t>&lt;http://purl.obolibrary.org/obo/HBA_265504954&gt;</t>
  </si>
  <si>
    <t>nucleus pararaphales, right</t>
  </si>
  <si>
    <t>&lt;http://purl.obolibrary.org/obo/HBA_265504958&gt;</t>
  </si>
  <si>
    <t>supramamillary commissure</t>
  </si>
  <si>
    <t>&lt;http://purl.obolibrary.org/obo/HBA_265504970&gt;</t>
  </si>
  <si>
    <t>acoustic radiation, left</t>
  </si>
  <si>
    <t>&lt;http://purl.obolibrary.org/obo/HBA_265504978&gt;</t>
  </si>
  <si>
    <t>acoustic radiation, right</t>
  </si>
  <si>
    <t>&lt;http://purl.obolibrary.org/obo/HBA_265504982&gt;</t>
  </si>
  <si>
    <t>amygdalotegmental tract</t>
  </si>
  <si>
    <t>&lt;http://purl.obolibrary.org/obo/HBA_265504986&gt;</t>
  </si>
  <si>
    <t>amygdalotegmental tract, left</t>
  </si>
  <si>
    <t>&lt;http://purl.obolibrary.org/obo/HBA_265504990&gt;</t>
  </si>
  <si>
    <t>amygdalotegmental tract, right</t>
  </si>
  <si>
    <t>&lt;http://purl.obolibrary.org/obo/HBA_265504994&gt;</t>
  </si>
  <si>
    <t>angular bundle</t>
  </si>
  <si>
    <t>&lt;http://purl.obolibrary.org/obo/HBA_265504998&gt;</t>
  </si>
  <si>
    <t>angular bundle, left</t>
  </si>
  <si>
    <t>&lt;http://purl.obolibrary.org/obo/HBA_265505002&gt;</t>
  </si>
  <si>
    <t>angular bundle, right</t>
  </si>
  <si>
    <t>&lt;http://purl.obolibrary.org/obo/HBA_265505006&gt;</t>
  </si>
  <si>
    <t>&lt;http://purl.obolibrary.org/obo/HBA_265505010&gt;</t>
  </si>
  <si>
    <t>ansa peduncularis, left</t>
  </si>
  <si>
    <t>&lt;http://purl.obolibrary.org/obo/HBA_265505014&gt;</t>
  </si>
  <si>
    <t>ansa peduncularis, right</t>
  </si>
  <si>
    <t>&lt;http://purl.obolibrary.org/obo/HBA_265505018&gt;</t>
  </si>
  <si>
    <t>bundle X</t>
  </si>
  <si>
    <t>&lt;http://purl.obolibrary.org/obo/HBA_265505022&gt;</t>
  </si>
  <si>
    <t>bundle X, left</t>
  </si>
  <si>
    <t>&lt;http://purl.obolibrary.org/obo/HBA_265505026&gt;</t>
  </si>
  <si>
    <t>bundle X, right</t>
  </si>
  <si>
    <t>&lt;http://purl.obolibrary.org/obo/HBA_265505030&gt;</t>
  </si>
  <si>
    <t>comb fibers</t>
  </si>
  <si>
    <t>&lt;http://purl.obolibrary.org/obo/HBA_265505034&gt;</t>
  </si>
  <si>
    <t>comb fibers, left</t>
  </si>
  <si>
    <t>&lt;http://purl.obolibrary.org/obo/HBA_265505038&gt;</t>
  </si>
  <si>
    <t>comb fibers, right</t>
  </si>
  <si>
    <t>&lt;http://purl.obolibrary.org/obo/HBA_265505042&gt;</t>
  </si>
  <si>
    <t>corona radiata, left</t>
  </si>
  <si>
    <t>&lt;http://purl.obolibrary.org/obo/HBA_265505050&gt;</t>
  </si>
  <si>
    <t>corona radiata, right</t>
  </si>
  <si>
    <t>&lt;http://purl.obolibrary.org/obo/HBA_265505054&gt;</t>
  </si>
  <si>
    <t>corticobulbar tract, supracapsular part</t>
  </si>
  <si>
    <t>&lt;http://purl.obolibrary.org/obo/HBA_265505062&gt;</t>
  </si>
  <si>
    <t>corticobulbar tract, supracapsular part, left</t>
  </si>
  <si>
    <t>&lt;http://purl.obolibrary.org/obo/HBA_265505066&gt;</t>
  </si>
  <si>
    <t>corticobulbar tract, supracapsular part, right</t>
  </si>
  <si>
    <t>&lt;http://purl.obolibrary.org/obo/HBA_265505070&gt;</t>
  </si>
  <si>
    <t>corticobulbar tract, infracapsular part</t>
  </si>
  <si>
    <t>&lt;http://purl.obolibrary.org/obo/HBA_265505074&gt;</t>
  </si>
  <si>
    <t>corticobulbar tract, infracapsular part, left</t>
  </si>
  <si>
    <t>&lt;http://purl.obolibrary.org/obo/HBA_265505078&gt;</t>
  </si>
  <si>
    <t>corticobulbar tract, infracapsular part, right</t>
  </si>
  <si>
    <t>&lt;http://purl.obolibrary.org/obo/HBA_265505082&gt;</t>
  </si>
  <si>
    <t>external medullary lamina of globus pallidus, left</t>
  </si>
  <si>
    <t>&lt;http://purl.obolibrary.org/obo/HBA_265505090&gt;</t>
  </si>
  <si>
    <t>external medullary lamina of globus pallidus, right</t>
  </si>
  <si>
    <t>&lt;http://purl.obolibrary.org/obo/HBA_265505094&gt;</t>
  </si>
  <si>
    <t>external medullary lamina of thalamus, left</t>
  </si>
  <si>
    <t>&lt;http://purl.obolibrary.org/obo/HBA_265505102&gt;</t>
  </si>
  <si>
    <t>external medullary lamina of thalamus, right</t>
  </si>
  <si>
    <t>&lt;http://purl.obolibrary.org/obo/HBA_265505106&gt;</t>
  </si>
  <si>
    <t>inferior thalamic peduncle, left</t>
  </si>
  <si>
    <t>&lt;http://purl.obolibrary.org/obo/HBA_265505114&gt;</t>
  </si>
  <si>
    <t>inferior thalamic peduncle, right</t>
  </si>
  <si>
    <t>&lt;http://purl.obolibrary.org/obo/HBA_265505118&gt;</t>
  </si>
  <si>
    <t>internal medullary lamina of globus pallidus, left</t>
  </si>
  <si>
    <t>&lt;http://purl.obolibrary.org/obo/HBA_265505126&gt;</t>
  </si>
  <si>
    <t>internal medullary lamina of globus pallidus, right</t>
  </si>
  <si>
    <t>&lt;http://purl.obolibrary.org/obo/HBA_265505130&gt;</t>
  </si>
  <si>
    <t>internal medullary lamina of thalamus, left</t>
  </si>
  <si>
    <t>&lt;http://purl.obolibrary.org/obo/HBA_265505138&gt;</t>
  </si>
  <si>
    <t>internal medullary lamina of thalamus, right</t>
  </si>
  <si>
    <t>&lt;http://purl.obolibrary.org/obo/HBA_265505142&gt;</t>
  </si>
  <si>
    <t>lateral longitudinal stria, left</t>
  </si>
  <si>
    <t>&lt;http://purl.obolibrary.org/obo/HBA_265505150&gt;</t>
  </si>
  <si>
    <t>lateral longitudinal stria, right</t>
  </si>
  <si>
    <t>&lt;http://purl.obolibrary.org/obo/HBA_265505154&gt;</t>
  </si>
  <si>
    <t>mammillary peduncle, left</t>
  </si>
  <si>
    <t>&lt;http://purl.obolibrary.org/obo/HBA_265505170&gt;</t>
  </si>
  <si>
    <t>mammillary peduncle, right</t>
  </si>
  <si>
    <t>&lt;http://purl.obolibrary.org/obo/HBA_265505174&gt;</t>
  </si>
  <si>
    <t>mammillotegmental tract, left</t>
  </si>
  <si>
    <t>&lt;http://purl.obolibrary.org/obo/HBA_265505182&gt;</t>
  </si>
  <si>
    <t>mammillotegmental tract, right</t>
  </si>
  <si>
    <t>&lt;http://purl.obolibrary.org/obo/HBA_265505186&gt;</t>
  </si>
  <si>
    <t>medial forebrain bundle, left</t>
  </si>
  <si>
    <t>&lt;http://purl.obolibrary.org/obo/HBA_265505194&gt;</t>
  </si>
  <si>
    <t>medial forebrain bundle, right</t>
  </si>
  <si>
    <t>&lt;http://purl.obolibrary.org/obo/HBA_265505198&gt;</t>
  </si>
  <si>
    <t>medial longitudinal stria, left</t>
  </si>
  <si>
    <t>&lt;http://purl.obolibrary.org/obo/HBA_265505206&gt;</t>
  </si>
  <si>
    <t>medial longitudinal stria, right</t>
  </si>
  <si>
    <t>&lt;http://purl.obolibrary.org/obo/HBA_265505210&gt;</t>
  </si>
  <si>
    <t>Meyer's loop of optic radiation , left</t>
  </si>
  <si>
    <t>&lt;http://purl.obolibrary.org/obo/HBA_265505218&gt;</t>
  </si>
  <si>
    <t>Meyer's loop of optic radiation , right</t>
  </si>
  <si>
    <t>&lt;http://purl.obolibrary.org/obo/HBA_265505222&gt;</t>
  </si>
  <si>
    <t>middle longitudinal fasciculus</t>
  </si>
  <si>
    <t>&lt;http://purl.obolibrary.org/obo/HBA_265505226&gt;</t>
  </si>
  <si>
    <t>middle longitudinal fasciculus, left</t>
  </si>
  <si>
    <t>&lt;http://purl.obolibrary.org/obo/HBA_265505230&gt;</t>
  </si>
  <si>
    <t>middle longitudinal fasciculus, right</t>
  </si>
  <si>
    <t>&lt;http://purl.obolibrary.org/obo/HBA_265505234&gt;</t>
  </si>
  <si>
    <t>orbito-polar tract</t>
  </si>
  <si>
    <t>&lt;http://purl.obolibrary.org/obo/HBA_265505238&gt;</t>
  </si>
  <si>
    <t>orbito-polar tract, left</t>
  </si>
  <si>
    <t>&lt;http://purl.obolibrary.org/obo/HBA_265505242&gt;</t>
  </si>
  <si>
    <t>orbito-polar tract, right</t>
  </si>
  <si>
    <t>&lt;http://purl.obolibrary.org/obo/HBA_265505246&gt;</t>
  </si>
  <si>
    <t>perforant path, left</t>
  </si>
  <si>
    <t>&lt;http://purl.obolibrary.org/obo/HBA_265505254&gt;</t>
  </si>
  <si>
    <t>perforant path, right</t>
  </si>
  <si>
    <t>&lt;http://purl.obolibrary.org/obo/HBA_265505258&gt;</t>
  </si>
  <si>
    <t>pontine bundle</t>
  </si>
  <si>
    <t>&lt;http://purl.obolibrary.org/obo/HBA_265505262&gt;</t>
  </si>
  <si>
    <t>pontine bundle, left</t>
  </si>
  <si>
    <t>&lt;http://purl.obolibrary.org/obo/HBA_265505266&gt;</t>
  </si>
  <si>
    <t>pontine bundle, right</t>
  </si>
  <si>
    <t>&lt;http://purl.obolibrary.org/obo/HBA_265505270&gt;</t>
  </si>
  <si>
    <t>rostral thalamic peduncle, left</t>
  </si>
  <si>
    <t>&lt;http://purl.obolibrary.org/obo/HBA_265505278&gt;</t>
  </si>
  <si>
    <t>rostral thalamic peduncle, right</t>
  </si>
  <si>
    <t>&lt;http://purl.obolibrary.org/obo/HBA_265505282&gt;</t>
  </si>
  <si>
    <t>sagittal stratum, left</t>
  </si>
  <si>
    <t>&lt;http://purl.obolibrary.org/obo/HBA_265505290&gt;</t>
  </si>
  <si>
    <t>external sagittal stratum, left</t>
  </si>
  <si>
    <t>&lt;http://purl.obolibrary.org/obo/HBA_265505294&gt;</t>
  </si>
  <si>
    <t>internal sagittal stratum, left</t>
  </si>
  <si>
    <t>&lt;http://purl.obolibrary.org/obo/HBA_265505298&gt;</t>
  </si>
  <si>
    <t>sagittal stratum, right</t>
  </si>
  <si>
    <t>&lt;http://purl.obolibrary.org/obo/HBA_265505302&gt;</t>
  </si>
  <si>
    <t>external sagittal stratum, right</t>
  </si>
  <si>
    <t>&lt;http://purl.obolibrary.org/obo/HBA_265505306&gt;</t>
  </si>
  <si>
    <t>internal sagittal stratum, right</t>
  </si>
  <si>
    <t>&lt;http://purl.obolibrary.org/obo/HBA_265505310&gt;</t>
  </si>
  <si>
    <t>short association fibers</t>
  </si>
  <si>
    <t>&lt;http://purl.obolibrary.org/obo/HBA_265505314&gt;</t>
  </si>
  <si>
    <t>short association fibers, left</t>
  </si>
  <si>
    <t>&lt;http://purl.obolibrary.org/obo/HBA_265505318&gt;</t>
  </si>
  <si>
    <t>short association fibers, right</t>
  </si>
  <si>
    <t>&lt;http://purl.obolibrary.org/obo/HBA_265505322&gt;</t>
  </si>
  <si>
    <t>stratum zonale of thalamus, left</t>
  </si>
  <si>
    <t>&lt;http://purl.obolibrary.org/obo/HBA_265505330&gt;</t>
  </si>
  <si>
    <t>stratum zonale of thalamus, right</t>
  </si>
  <si>
    <t>&lt;http://purl.obolibrary.org/obo/HBA_265505334&gt;</t>
  </si>
  <si>
    <t>subcallosal fasciculus, left</t>
  </si>
  <si>
    <t>&lt;http://purl.obolibrary.org/obo/HBA_265505342&gt;</t>
  </si>
  <si>
    <t>subcallosal fasciculus, right</t>
  </si>
  <si>
    <t>&lt;http://purl.obolibrary.org/obo/HBA_265505346&gt;</t>
  </si>
  <si>
    <t>subthalamic fasciculus, left</t>
  </si>
  <si>
    <t>&lt;http://purl.obolibrary.org/obo/HBA_265505354&gt;</t>
  </si>
  <si>
    <t>subthalamic fasciculus, right</t>
  </si>
  <si>
    <t>&lt;http://purl.obolibrary.org/obo/HBA_265505358&gt;</t>
  </si>
  <si>
    <t>mesencephalic trigeminal tract, left</t>
  </si>
  <si>
    <t>&lt;http://purl.obolibrary.org/obo/HBA_265505462&gt;</t>
  </si>
  <si>
    <t>mesencephalic trigeminal tract, right</t>
  </si>
  <si>
    <t>&lt;http://purl.obolibrary.org/obo/HBA_265505466&gt;</t>
  </si>
  <si>
    <t>ponto-cerebellar tract, left</t>
  </si>
  <si>
    <t>&lt;http://purl.obolibrary.org/obo/HBA_265505474&gt;</t>
  </si>
  <si>
    <t>ponto-cerebellar tract, right</t>
  </si>
  <si>
    <t>&lt;http://purl.obolibrary.org/obo/HBA_265505478&gt;</t>
  </si>
  <si>
    <t>cortico-pontine fibers, left</t>
  </si>
  <si>
    <t>&lt;http://purl.obolibrary.org/obo/HBA_265505494&gt;</t>
  </si>
  <si>
    <t>cortico-pontine fibers, right</t>
  </si>
  <si>
    <t>&lt;http://purl.obolibrary.org/obo/HBA_265505498&gt;</t>
  </si>
  <si>
    <t>longitudinal fasciculus of the pons, left</t>
  </si>
  <si>
    <t>&lt;http://purl.obolibrary.org/obo/HBA_265505506&gt;</t>
  </si>
  <si>
    <t>longitudinal fasciculus of the pons, right</t>
  </si>
  <si>
    <t>&lt;http://purl.obolibrary.org/obo/HBA_265505510&gt;</t>
  </si>
  <si>
    <t>lateral olfactory tract, right</t>
  </si>
  <si>
    <t>&lt;http://purl.obolibrary.org/obo/HBA_265505522&gt;</t>
  </si>
  <si>
    <t>medial olfactory tract, right</t>
  </si>
  <si>
    <t>&lt;http://purl.obolibrary.org/obo/HBA_265505526&gt;</t>
  </si>
  <si>
    <t>supraoptic dicussation, left</t>
  </si>
  <si>
    <t>&lt;http://purl.obolibrary.org/obo/HBA_265505530&gt;</t>
  </si>
  <si>
    <t>supraoptic dicussation, right</t>
  </si>
  <si>
    <t>&lt;http://purl.obolibrary.org/obo/HBA_265505534&gt;</t>
  </si>
  <si>
    <t>amiculum of the olive, left</t>
  </si>
  <si>
    <t>&lt;http://purl.obolibrary.org/obo/HBA_265505542&gt;</t>
  </si>
  <si>
    <t>amiculum of the olive, right</t>
  </si>
  <si>
    <t>&lt;http://purl.obolibrary.org/obo/HBA_265505546&gt;</t>
  </si>
  <si>
    <t>cuneate fasciculus, left</t>
  </si>
  <si>
    <t>&lt;http://purl.obolibrary.org/obo/HBA_265505554&gt;</t>
  </si>
  <si>
    <t>cuneate fasciculus, right</t>
  </si>
  <si>
    <t>&lt;http://purl.obolibrary.org/obo/HBA_265505558&gt;</t>
  </si>
  <si>
    <t>corticobulbar tract, hindbrain portion</t>
  </si>
  <si>
    <t>&lt;http://purl.obolibrary.org/obo/HBA_265505562&gt;</t>
  </si>
  <si>
    <t>corticobulbar tract, hindbrain portion, left</t>
  </si>
  <si>
    <t>&lt;http://purl.obolibrary.org/obo/HBA_265505566&gt;</t>
  </si>
  <si>
    <t>corticobulbar tract, hindbrain portion, right</t>
  </si>
  <si>
    <t>&lt;http://purl.obolibrary.org/obo/HBA_265505570&gt;</t>
  </si>
  <si>
    <t>corticospinal tract, left</t>
  </si>
  <si>
    <t>&lt;http://purl.obolibrary.org/obo/HBA_265505578&gt;</t>
  </si>
  <si>
    <t>corticospinal tract, right</t>
  </si>
  <si>
    <t>&lt;http://purl.obolibrary.org/obo/HBA_265505582&gt;</t>
  </si>
  <si>
    <t>gracile fasciculus, left</t>
  </si>
  <si>
    <t>&lt;http://purl.obolibrary.org/obo/HBA_265505590&gt;</t>
  </si>
  <si>
    <t>gracile fasciculus, right</t>
  </si>
  <si>
    <t>&lt;http://purl.obolibrary.org/obo/HBA_265505594&gt;</t>
  </si>
  <si>
    <t>&lt;http://purl.obolibrary.org/obo/HBA_265505598&gt;</t>
  </si>
  <si>
    <t>hilus of the inferior olive, left</t>
  </si>
  <si>
    <t>&lt;http://purl.obolibrary.org/obo/HBA_265505602&gt;</t>
  </si>
  <si>
    <t>hilus of the inferior olive, right</t>
  </si>
  <si>
    <t>&lt;http://purl.obolibrary.org/obo/HBA_265505606&gt;</t>
  </si>
  <si>
    <t>internal arcuate fibers, left</t>
  </si>
  <si>
    <t>&lt;http://purl.obolibrary.org/obo/HBA_265505614&gt;</t>
  </si>
  <si>
    <t>internal arcuate fibers, right</t>
  </si>
  <si>
    <t>&lt;http://purl.obolibrary.org/obo/HBA_265505618&gt;</t>
  </si>
  <si>
    <t>solitary tract, left</t>
  </si>
  <si>
    <t>&lt;http://purl.obolibrary.org/obo/HBA_265505630&gt;</t>
  </si>
  <si>
    <t>solitary tract, right</t>
  </si>
  <si>
    <t>&lt;http://purl.obolibrary.org/obo/HBA_265505634&gt;</t>
  </si>
  <si>
    <t>&lt;http://purl.obolibrary.org/obo/HBA_265505638&gt;</t>
  </si>
  <si>
    <t>spinal lemniscus in hindbrain, left</t>
  </si>
  <si>
    <t>&lt;http://purl.obolibrary.org/obo/HBA_265505642&gt;</t>
  </si>
  <si>
    <t>spinal lemniscus in hindbrain, right</t>
  </si>
  <si>
    <t>&lt;http://purl.obolibrary.org/obo/HBA_265505646&gt;</t>
  </si>
  <si>
    <t>spinal trigeminal tract, left</t>
  </si>
  <si>
    <t>&lt;http://purl.obolibrary.org/obo/HBA_265505654&gt;</t>
  </si>
  <si>
    <t>spinal trigeminal tract, right</t>
  </si>
  <si>
    <t>&lt;http://purl.obolibrary.org/obo/HBA_265505658&gt;</t>
  </si>
  <si>
    <t>&lt;http://purl.obolibrary.org/obo/HBA_265505662&gt;</t>
  </si>
  <si>
    <t>tectospinal tract, left</t>
  </si>
  <si>
    <t>&lt;http://purl.obolibrary.org/obo/HBA_265505666&gt;</t>
  </si>
  <si>
    <t>tectospinal tract, right</t>
  </si>
  <si>
    <t>&lt;http://purl.obolibrary.org/obo/HBA_265505670&gt;</t>
  </si>
  <si>
    <t>&lt;http://purl.obolibrary.org/obo/HBA_265505674&gt;</t>
  </si>
  <si>
    <t>ventral tegmental tract, left</t>
  </si>
  <si>
    <t>&lt;http://purl.obolibrary.org/obo/HBA_265505678&gt;</t>
  </si>
  <si>
    <t>ventral tegmental tract, right</t>
  </si>
  <si>
    <t>&lt;http://purl.obolibrary.org/obo/HBA_265505682&gt;</t>
  </si>
  <si>
    <t>&lt;http://purl.obolibrary.org/obo/HBA_265505686&gt;</t>
  </si>
  <si>
    <t>vestibulomesencephalic tract, left</t>
  </si>
  <si>
    <t>&lt;http://purl.obolibrary.org/obo/HBA_265505690&gt;</t>
  </si>
  <si>
    <t>vestibulomesencephalic tract, right</t>
  </si>
  <si>
    <t>&lt;http://purl.obolibrary.org/obo/HBA_265505694&gt;</t>
  </si>
  <si>
    <t>septum pallucidum</t>
  </si>
  <si>
    <t>&lt;http://purl.obolibrary.org/obo/HBA_265505706&gt;</t>
  </si>
  <si>
    <t>&lt;http://purl.obolibrary.org/obo/HBA_272788859&gt;</t>
  </si>
  <si>
    <t>pontine gamma nucleus, left</t>
  </si>
  <si>
    <t>&lt;http://purl.obolibrary.org/obo/HBA_272788863&gt;</t>
  </si>
  <si>
    <t>pontine gamma nucleus, right</t>
  </si>
  <si>
    <t>&lt;http://purl.obolibrary.org/obo/HBA_272788867&gt;</t>
  </si>
  <si>
    <t>precentral gyrus, left</t>
  </si>
  <si>
    <t>&lt;http://purl.obolibrary.org/obo/HBA_4011&gt;</t>
  </si>
  <si>
    <t>precentral gyrus, left, bank of the precentral sulcus</t>
  </si>
  <si>
    <t>&lt;http://purl.obolibrary.org/obo/HBA_4012&gt;</t>
  </si>
  <si>
    <t>precentral gyrus, left, superior lateral aspect of gyrus</t>
  </si>
  <si>
    <t>&lt;http://purl.obolibrary.org/obo/HBA_4013&gt;</t>
  </si>
  <si>
    <t>precentral gyrus, left, inferior lateral aspect of gyrus</t>
  </si>
  <si>
    <t>&lt;http://purl.obolibrary.org/obo/HBA_4014&gt;</t>
  </si>
  <si>
    <t>precentral gyrus, left, bank of the central sulcus</t>
  </si>
  <si>
    <t>&lt;http://purl.obolibrary.org/obo/HBA_4015&gt;</t>
  </si>
  <si>
    <t>precentral gyrus, right</t>
  </si>
  <si>
    <t>&lt;http://purl.obolibrary.org/obo/HBA_4016&gt;</t>
  </si>
  <si>
    <t>precentral gyrus, right, bank of the precentral sulcus</t>
  </si>
  <si>
    <t>&lt;http://purl.obolibrary.org/obo/HBA_4017&gt;</t>
  </si>
  <si>
    <t>precentral gyrus, right, superior lateral aspect of gyrus</t>
  </si>
  <si>
    <t>&lt;http://purl.obolibrary.org/obo/HBA_4018&gt;</t>
  </si>
  <si>
    <t>precentral gyrus, right, inferior lateral aspect of gyrus</t>
  </si>
  <si>
    <t>&lt;http://purl.obolibrary.org/obo/HBA_4019&gt;</t>
  </si>
  <si>
    <t>precentral gyrus, right, bank of the central sulcus</t>
  </si>
  <si>
    <t>&lt;http://purl.obolibrary.org/obo/HBA_4020&gt;</t>
  </si>
  <si>
    <t>superior frontal gyrus, left</t>
  </si>
  <si>
    <t>&lt;http://purl.obolibrary.org/obo/HBA_4022&gt;</t>
  </si>
  <si>
    <t>superior frontal gyrus, left, medial bank of gyrus</t>
  </si>
  <si>
    <t>&lt;http://purl.obolibrary.org/obo/HBA_4023&gt;</t>
  </si>
  <si>
    <t>superior frontal gyrus, left, lateral bank of gyrus</t>
  </si>
  <si>
    <t>&lt;http://purl.obolibrary.org/obo/HBA_4024&gt;</t>
  </si>
  <si>
    <t>superior frontal gyrus, right</t>
  </si>
  <si>
    <t>&lt;http://purl.obolibrary.org/obo/HBA_4025&gt;</t>
  </si>
  <si>
    <t>superior frontal gyrus, right, medial bank of gyrus</t>
  </si>
  <si>
    <t>&lt;http://purl.obolibrary.org/obo/HBA_4026&gt;</t>
  </si>
  <si>
    <t>superior frontal gyrus, right, lateral bank of gyrus</t>
  </si>
  <si>
    <t>&lt;http://purl.obolibrary.org/obo/HBA_4027&gt;</t>
  </si>
  <si>
    <t>middle frontal gyrus, left</t>
  </si>
  <si>
    <t>&lt;http://purl.obolibrary.org/obo/HBA_4029&gt;</t>
  </si>
  <si>
    <t>middle frontal gyrus, left, superior bank of gyrus</t>
  </si>
  <si>
    <t>&lt;http://purl.obolibrary.org/obo/HBA_4030&gt;</t>
  </si>
  <si>
    <t>middle frontal gyrus, left, inferior bank of gyrus</t>
  </si>
  <si>
    <t>&lt;http://purl.obolibrary.org/obo/HBA_4031&gt;</t>
  </si>
  <si>
    <t>middle frontal gyrus, right</t>
  </si>
  <si>
    <t>&lt;http://purl.obolibrary.org/obo/HBA_4032&gt;</t>
  </si>
  <si>
    <t>middle frontal gyrus, right, superior bank of gyrus</t>
  </si>
  <si>
    <t>&lt;http://purl.obolibrary.org/obo/HBA_4033&gt;</t>
  </si>
  <si>
    <t>middle frontal gyrus, right, inferior bank of gyrus</t>
  </si>
  <si>
    <t>&lt;http://purl.obolibrary.org/obo/HBA_4034&gt;</t>
  </si>
  <si>
    <t>inferior frontal gyrus, left</t>
  </si>
  <si>
    <t>&lt;http://purl.obolibrary.org/obo/HBA_4036&gt;</t>
  </si>
  <si>
    <t>inferior frontal gyrus, right</t>
  </si>
  <si>
    <t>&lt;http://purl.obolibrary.org/obo/HBA_4037&gt;</t>
  </si>
  <si>
    <t>inferior frontal gyrus, triangular part, left</t>
  </si>
  <si>
    <t>&lt;http://purl.obolibrary.org/obo/HBA_4039&gt;</t>
  </si>
  <si>
    <t>inferior frontal gyrus, triangular part, right</t>
  </si>
  <si>
    <t>&lt;http://purl.obolibrary.org/obo/HBA_4040&gt;</t>
  </si>
  <si>
    <t>inferior frontal gyrus, opercular part, left</t>
  </si>
  <si>
    <t>&lt;http://purl.obolibrary.org/obo/HBA_4042&gt;</t>
  </si>
  <si>
    <t>inferior frontal gyrus, opercular part, right</t>
  </si>
  <si>
    <t>&lt;http://purl.obolibrary.org/obo/HBA_4043&gt;</t>
  </si>
  <si>
    <t>inferior frontal gyrus, orbital part, left</t>
  </si>
  <si>
    <t>&lt;http://purl.obolibrary.org/obo/HBA_4045&gt;</t>
  </si>
  <si>
    <t>inferior frontal gyrus, orbital part, right</t>
  </si>
  <si>
    <t>&lt;http://purl.obolibrary.org/obo/HBA_4046&gt;</t>
  </si>
  <si>
    <t>gyrus rectus, left</t>
  </si>
  <si>
    <t>&lt;http://purl.obolibrary.org/obo/HBA_4048&gt;</t>
  </si>
  <si>
    <t>gyrus rectus, right</t>
  </si>
  <si>
    <t>&lt;http://purl.obolibrary.org/obo/HBA_4049&gt;</t>
  </si>
  <si>
    <t>medial orbital gyrus, left</t>
  </si>
  <si>
    <t>&lt;http://purl.obolibrary.org/obo/HBA_4051&gt;</t>
  </si>
  <si>
    <t>medial orbital gyrus, right</t>
  </si>
  <si>
    <t>&lt;http://purl.obolibrary.org/obo/HBA_4052&gt;</t>
  </si>
  <si>
    <t>anterior orbital gyrus, left</t>
  </si>
  <si>
    <t>&lt;http://purl.obolibrary.org/obo/HBA_4054&gt;</t>
  </si>
  <si>
    <t>anterior orbital gyrus, right</t>
  </si>
  <si>
    <t>&lt;http://purl.obolibrary.org/obo/HBA_4055&gt;</t>
  </si>
  <si>
    <t>posterior orbital gyrus, left</t>
  </si>
  <si>
    <t>&lt;http://purl.obolibrary.org/obo/HBA_4057&gt;</t>
  </si>
  <si>
    <t>posterior orbital gyrus, right</t>
  </si>
  <si>
    <t>&lt;http://purl.obolibrary.org/obo/HBA_4058&gt;</t>
  </si>
  <si>
    <t>lateral orbital gyrus, left</t>
  </si>
  <si>
    <t>&lt;http://purl.obolibrary.org/obo/HBA_4060&gt;</t>
  </si>
  <si>
    <t>lateral orbital gyrus, right</t>
  </si>
  <si>
    <t>&lt;http://purl.obolibrary.org/obo/HBA_4061&gt;</t>
  </si>
  <si>
    <t>subcallosal cingulate gyrus</t>
  </si>
  <si>
    <t>&lt;http://purl.obolibrary.org/obo/HBA_4062&gt;</t>
  </si>
  <si>
    <t>subcallosal cingulate gyrus, left</t>
  </si>
  <si>
    <t>&lt;http://purl.obolibrary.org/obo/HBA_4063&gt;</t>
  </si>
  <si>
    <t>subcallosal cingulate gyrus, right</t>
  </si>
  <si>
    <t>&lt;http://purl.obolibrary.org/obo/HBA_4064&gt;</t>
  </si>
  <si>
    <t>paraterminal gyrus, left</t>
  </si>
  <si>
    <t>&lt;http://purl.obolibrary.org/obo/HBA_4066&gt;</t>
  </si>
  <si>
    <t>paraterminal gyrus, right</t>
  </si>
  <si>
    <t>&lt;http://purl.obolibrary.org/obo/HBA_4067&gt;</t>
  </si>
  <si>
    <t>parolfactory gyri</t>
  </si>
  <si>
    <t>&lt;http://purl.obolibrary.org/obo/HBA_4068&gt;</t>
  </si>
  <si>
    <t>parolfactory gyri, left</t>
  </si>
  <si>
    <t>&lt;http://purl.obolibrary.org/obo/HBA_4069&gt;</t>
  </si>
  <si>
    <t>parolfactory gyri, right</t>
  </si>
  <si>
    <t>&lt;http://purl.obolibrary.org/obo/HBA_4070&gt;</t>
  </si>
  <si>
    <t>paracentral lobule, anterior part, left</t>
  </si>
  <si>
    <t>&lt;http://purl.obolibrary.org/obo/HBA_4072&gt;</t>
  </si>
  <si>
    <t>paracentral lobule, anterior part, left, superior bank of gyrus</t>
  </si>
  <si>
    <t>&lt;http://purl.obolibrary.org/obo/HBA_4073&gt;</t>
  </si>
  <si>
    <t>paracentral lobule, anterior part, left, inferior bank of gyrus</t>
  </si>
  <si>
    <t>&lt;http://purl.obolibrary.org/obo/HBA_4074&gt;</t>
  </si>
  <si>
    <t>paracentral lobule, anterior part, right</t>
  </si>
  <si>
    <t>&lt;http://purl.obolibrary.org/obo/HBA_4075&gt;</t>
  </si>
  <si>
    <t>paracentral lobule, anterior part, right, superior bank of gyrus</t>
  </si>
  <si>
    <t>&lt;http://purl.obolibrary.org/obo/HBA_4076&gt;</t>
  </si>
  <si>
    <t>paracentral lobule, anterior part, right, inferior bank of gyrus</t>
  </si>
  <si>
    <t>&lt;http://purl.obolibrary.org/obo/HBA_4077&gt;</t>
  </si>
  <si>
    <t>frontal operculum, left</t>
  </si>
  <si>
    <t>&lt;http://purl.obolibrary.org/obo/HBA_4079&gt;</t>
  </si>
  <si>
    <t>frontal operculum, right</t>
  </si>
  <si>
    <t>&lt;http://purl.obolibrary.org/obo/HBA_4080&gt;</t>
  </si>
  <si>
    <t>postcentral gyrus, left</t>
  </si>
  <si>
    <t>&lt;http://purl.obolibrary.org/obo/HBA_4086&gt;</t>
  </si>
  <si>
    <t>postcentral gyrus, left, bank of the central sulcus</t>
  </si>
  <si>
    <t>&lt;http://purl.obolibrary.org/obo/HBA_4087&gt;</t>
  </si>
  <si>
    <t>postcentral gyrus, left, superior lateral aspect of gyrus</t>
  </si>
  <si>
    <t>&lt;http://purl.obolibrary.org/obo/HBA_4088&gt;</t>
  </si>
  <si>
    <t>postcentral gyrus, left, inferior lateral aspect of gyrus</t>
  </si>
  <si>
    <t>&lt;http://purl.obolibrary.org/obo/HBA_4089&gt;</t>
  </si>
  <si>
    <t>postcentral gyrus, left, bank of the posterior central sulcus</t>
  </si>
  <si>
    <t>&lt;http://purl.obolibrary.org/obo/HBA_4090&gt;</t>
  </si>
  <si>
    <t>postcentral gyrus, right</t>
  </si>
  <si>
    <t>&lt;http://purl.obolibrary.org/obo/HBA_4091&gt;</t>
  </si>
  <si>
    <t>postcentral gyrus, right, bank of the central sulcus</t>
  </si>
  <si>
    <t>&lt;http://purl.obolibrary.org/obo/HBA_4092&gt;</t>
  </si>
  <si>
    <t>postcentral gyrus, right, superior lateral aspect of gyrus</t>
  </si>
  <si>
    <t>&lt;http://purl.obolibrary.org/obo/HBA_4093&gt;</t>
  </si>
  <si>
    <t>postcentral gyrus, right, inferior lateral aspect of gyrus</t>
  </si>
  <si>
    <t>&lt;http://purl.obolibrary.org/obo/HBA_4094&gt;</t>
  </si>
  <si>
    <t>postcentral gyrus, right, bank of the posterior central sulcus</t>
  </si>
  <si>
    <t>&lt;http://purl.obolibrary.org/obo/HBA_4095&gt;</t>
  </si>
  <si>
    <t>superior parietal lobule, left</t>
  </si>
  <si>
    <t>&lt;http://purl.obolibrary.org/obo/HBA_4097&gt;</t>
  </si>
  <si>
    <t>superior parietal lobule, left, superior bank of gyrus</t>
  </si>
  <si>
    <t>&lt;http://purl.obolibrary.org/obo/HBA_4098&gt;</t>
  </si>
  <si>
    <t>superior parietal lobule, left, inferior bank of gyrus</t>
  </si>
  <si>
    <t>&lt;http://purl.obolibrary.org/obo/HBA_4099&gt;</t>
  </si>
  <si>
    <t>superior parietal lobule, right</t>
  </si>
  <si>
    <t>&lt;http://purl.obolibrary.org/obo/HBA_4100&gt;</t>
  </si>
  <si>
    <t>superior parietal lobule, right, superior bank of gyrus</t>
  </si>
  <si>
    <t>&lt;http://purl.obolibrary.org/obo/HBA_4101&gt;</t>
  </si>
  <si>
    <t>superior parietal lobule, right, inferior bank of gyrus</t>
  </si>
  <si>
    <t>&lt;http://purl.obolibrary.org/obo/HBA_4102&gt;</t>
  </si>
  <si>
    <t>supramarginal gyrus, left</t>
  </si>
  <si>
    <t>&lt;http://purl.obolibrary.org/obo/HBA_4105&gt;</t>
  </si>
  <si>
    <t>supramarginal gyrus, left, superior bank of gyrus</t>
  </si>
  <si>
    <t>&lt;http://purl.obolibrary.org/obo/HBA_4106&gt;</t>
  </si>
  <si>
    <t>supramarginal gyrus, left, inferior bank of gyrus</t>
  </si>
  <si>
    <t>&lt;http://purl.obolibrary.org/obo/HBA_4107&gt;</t>
  </si>
  <si>
    <t>supramarginal gyrus, right</t>
  </si>
  <si>
    <t>&lt;http://purl.obolibrary.org/obo/HBA_4108&gt;</t>
  </si>
  <si>
    <t>supramarginal gyrus, right, superior bank of gyrus</t>
  </si>
  <si>
    <t>&lt;http://purl.obolibrary.org/obo/HBA_4109&gt;</t>
  </si>
  <si>
    <t>supramarginal gyrus, right, inferior bank of gyrus</t>
  </si>
  <si>
    <t>&lt;http://purl.obolibrary.org/obo/HBA_4110&gt;</t>
  </si>
  <si>
    <t>angular gyrus, left</t>
  </si>
  <si>
    <t>&lt;http://purl.obolibrary.org/obo/HBA_4112&gt;</t>
  </si>
  <si>
    <t>angular gyrus, left, superior bank of gyrus</t>
  </si>
  <si>
    <t>&lt;http://purl.obolibrary.org/obo/HBA_4113&gt;</t>
  </si>
  <si>
    <t>angular gyrus, left, inferior bank of gyrus</t>
  </si>
  <si>
    <t>&lt;http://purl.obolibrary.org/obo/HBA_4114&gt;</t>
  </si>
  <si>
    <t>angular gyrus, right</t>
  </si>
  <si>
    <t>&lt;http://purl.obolibrary.org/obo/HBA_4115&gt;</t>
  </si>
  <si>
    <t>angular gyrus, right, superior bank of gyrus</t>
  </si>
  <si>
    <t>&lt;http://purl.obolibrary.org/obo/HBA_4116&gt;</t>
  </si>
  <si>
    <t>angular gyrus, right, inferior bank of gyrus</t>
  </si>
  <si>
    <t>&lt;http://purl.obolibrary.org/obo/HBA_4117&gt;</t>
  </si>
  <si>
    <t>precuneus, left</t>
  </si>
  <si>
    <t>&lt;http://purl.obolibrary.org/obo/HBA_4119&gt;</t>
  </si>
  <si>
    <t>precuneus, left, superior lateral bank of gyrus</t>
  </si>
  <si>
    <t>&lt;http://purl.obolibrary.org/obo/HBA_4120&gt;</t>
  </si>
  <si>
    <t>precuneus, left, inferior lateral bank of gyrus</t>
  </si>
  <si>
    <t>&lt;http://purl.obolibrary.org/obo/HBA_4121&gt;</t>
  </si>
  <si>
    <t>precuneus, right</t>
  </si>
  <si>
    <t>&lt;http://purl.obolibrary.org/obo/HBA_4122&gt;</t>
  </si>
  <si>
    <t>precuneus, right, superior lateral bank of gyrus</t>
  </si>
  <si>
    <t>&lt;http://purl.obolibrary.org/obo/HBA_4123&gt;</t>
  </si>
  <si>
    <t>precuneus, right, inferior lateral bank of gyrus</t>
  </si>
  <si>
    <t>&lt;http://purl.obolibrary.org/obo/HBA_4124&gt;</t>
  </si>
  <si>
    <t>paracentral lobule, posterior part, left</t>
  </si>
  <si>
    <t>&lt;http://purl.obolibrary.org/obo/HBA_4126&gt;</t>
  </si>
  <si>
    <t>paracentral lobule, posterior part, left, lateral bank of gyrus</t>
  </si>
  <si>
    <t>&lt;http://purl.obolibrary.org/obo/HBA_4127&gt;</t>
  </si>
  <si>
    <t>paracentral lobule, posterior part, left, bank of cingulate sulcus</t>
  </si>
  <si>
    <t>&lt;http://purl.obolibrary.org/obo/HBA_4128&gt;</t>
  </si>
  <si>
    <t>paracentral lobule, posterior part, right</t>
  </si>
  <si>
    <t>&lt;http://purl.obolibrary.org/obo/HBA_4129&gt;</t>
  </si>
  <si>
    <t>paracentral lobule, posterior part, right, lateral bank of gyrus</t>
  </si>
  <si>
    <t>&lt;http://purl.obolibrary.org/obo/HBA_4130&gt;</t>
  </si>
  <si>
    <t>paracentral lobule, posterior part, right, bank of cingulate sulcus</t>
  </si>
  <si>
    <t>&lt;http://purl.obolibrary.org/obo/HBA_4131&gt;</t>
  </si>
  <si>
    <t>superior temporal gyrus, left</t>
  </si>
  <si>
    <t>&lt;http://purl.obolibrary.org/obo/HBA_4134&gt;</t>
  </si>
  <si>
    <t>superior temporal gyrus, left, lateral bank of gyrus</t>
  </si>
  <si>
    <t>&lt;http://purl.obolibrary.org/obo/HBA_4135&gt;</t>
  </si>
  <si>
    <t>superior temporal gyrus, left, inferior bank of gyrus</t>
  </si>
  <si>
    <t>&lt;http://purl.obolibrary.org/obo/HBA_4136&gt;</t>
  </si>
  <si>
    <t>superior temporal gyrus, right</t>
  </si>
  <si>
    <t>&lt;http://purl.obolibrary.org/obo/HBA_4137&gt;</t>
  </si>
  <si>
    <t>superior temporal gyrus, right, lateral bank of gyrus</t>
  </si>
  <si>
    <t>&lt;http://purl.obolibrary.org/obo/HBA_4138&gt;</t>
  </si>
  <si>
    <t>superior temporal gyrus, right, inferior bank of gyrus</t>
  </si>
  <si>
    <t>&lt;http://purl.obolibrary.org/obo/HBA_4139&gt;</t>
  </si>
  <si>
    <t>middle temporal gyrus, left</t>
  </si>
  <si>
    <t>&lt;http://purl.obolibrary.org/obo/HBA_4141&gt;</t>
  </si>
  <si>
    <t>middle temporal gyrus, left, superior bank of gyrus</t>
  </si>
  <si>
    <t>&lt;http://purl.obolibrary.org/obo/HBA_4142&gt;</t>
  </si>
  <si>
    <t>middle temporal gyrus, left, inferior bank of gyrus</t>
  </si>
  <si>
    <t>&lt;http://purl.obolibrary.org/obo/HBA_4143&gt;</t>
  </si>
  <si>
    <t>middle temporal gyrus, right</t>
  </si>
  <si>
    <t>&lt;http://purl.obolibrary.org/obo/HBA_4144&gt;</t>
  </si>
  <si>
    <t>middle temporal gyrus, right, superior bank of gyrus</t>
  </si>
  <si>
    <t>&lt;http://purl.obolibrary.org/obo/HBA_4145&gt;</t>
  </si>
  <si>
    <t>middle temporal gyrus, right, inferior bank of gyrus</t>
  </si>
  <si>
    <t>&lt;http://purl.obolibrary.org/obo/HBA_4146&gt;</t>
  </si>
  <si>
    <t>inferior temporal gyrus, left</t>
  </si>
  <si>
    <t>&lt;http://purl.obolibrary.org/obo/HBA_4148&gt;</t>
  </si>
  <si>
    <t>inferior temporal gyrus, left, bank of the its</t>
  </si>
  <si>
    <t>&lt;http://purl.obolibrary.org/obo/HBA_4149&gt;</t>
  </si>
  <si>
    <t>inferior temporal gyrus, left, lateral bank of gyrus</t>
  </si>
  <si>
    <t>&lt;http://purl.obolibrary.org/obo/HBA_4150&gt;</t>
  </si>
  <si>
    <t>inferior temporal gyrus, left, bank of mts</t>
  </si>
  <si>
    <t>&lt;http://purl.obolibrary.org/obo/HBA_4151&gt;</t>
  </si>
  <si>
    <t>inferior temporal gyrus, right</t>
  </si>
  <si>
    <t>&lt;http://purl.obolibrary.org/obo/HBA_4152&gt;</t>
  </si>
  <si>
    <t>inferior temporal gyrus, right, bank of the its</t>
  </si>
  <si>
    <t>&lt;http://purl.obolibrary.org/obo/HBA_4153&gt;</t>
  </si>
  <si>
    <t>inferior temporal gyrus, right, lateral bank of gyrus</t>
  </si>
  <si>
    <t>&lt;http://purl.obolibrary.org/obo/HBA_4154&gt;</t>
  </si>
  <si>
    <t>inferior temporal gyrus, right, bank of mts</t>
  </si>
  <si>
    <t>&lt;http://purl.obolibrary.org/obo/HBA_4155&gt;</t>
  </si>
  <si>
    <t>fusiform gyrus, left</t>
  </si>
  <si>
    <t>&lt;http://purl.obolibrary.org/obo/HBA_4157&gt;</t>
  </si>
  <si>
    <t>fusiform gyrus, left, bank of the its</t>
  </si>
  <si>
    <t>&lt;http://purl.obolibrary.org/obo/HBA_4158&gt;</t>
  </si>
  <si>
    <t>fusiform gyrus, left, lateral bank of gyrus</t>
  </si>
  <si>
    <t>&lt;http://purl.obolibrary.org/obo/HBA_4159&gt;</t>
  </si>
  <si>
    <t>fusiform gyrus, left, bank of cos</t>
  </si>
  <si>
    <t>&lt;http://purl.obolibrary.org/obo/HBA_4160&gt;</t>
  </si>
  <si>
    <t>fusiform gyrus, right</t>
  </si>
  <si>
    <t>&lt;http://purl.obolibrary.org/obo/HBA_4161&gt;</t>
  </si>
  <si>
    <t>fusiform gyrus, right, bank of the its</t>
  </si>
  <si>
    <t>&lt;http://purl.obolibrary.org/obo/HBA_4162&gt;</t>
  </si>
  <si>
    <t>fusiform gyrus, right, lateral bank of gyrus</t>
  </si>
  <si>
    <t>&lt;http://purl.obolibrary.org/obo/HBA_4163&gt;</t>
  </si>
  <si>
    <t>fusiform gyrus, right, bank of cos</t>
  </si>
  <si>
    <t>&lt;http://purl.obolibrary.org/obo/HBA_4164&gt;</t>
  </si>
  <si>
    <t>Heschl's gyrus, left</t>
  </si>
  <si>
    <t>&lt;http://purl.obolibrary.org/obo/HBA_4166&gt;</t>
  </si>
  <si>
    <t>Heschl's gyrus, right</t>
  </si>
  <si>
    <t>&lt;http://purl.obolibrary.org/obo/HBA_4167&gt;</t>
  </si>
  <si>
    <t>transverse gyri</t>
  </si>
  <si>
    <t>&lt;http://purl.obolibrary.org/obo/HBA_4168&gt;</t>
  </si>
  <si>
    <t>transverse gyri, left</t>
  </si>
  <si>
    <t>&lt;http://purl.obolibrary.org/obo/HBA_4169&gt;</t>
  </si>
  <si>
    <t>transverse gyri, right</t>
  </si>
  <si>
    <t>&lt;http://purl.obolibrary.org/obo/HBA_4170&gt;</t>
  </si>
  <si>
    <t>planum temporale, left</t>
  </si>
  <si>
    <t>&lt;http://purl.obolibrary.org/obo/HBA_4172&gt;</t>
  </si>
  <si>
    <t>planum temporale, right</t>
  </si>
  <si>
    <t>&lt;http://purl.obolibrary.org/obo/HBA_4173&gt;</t>
  </si>
  <si>
    <t>temporal pole, left</t>
  </si>
  <si>
    <t>&lt;http://purl.obolibrary.org/obo/HBA_4175&gt;</t>
  </si>
  <si>
    <t>temporal pole, right</t>
  </si>
  <si>
    <t>&lt;http://purl.obolibrary.org/obo/HBA_4176&gt;</t>
  </si>
  <si>
    <t>planum polare, left</t>
  </si>
  <si>
    <t>&lt;http://purl.obolibrary.org/obo/HBA_4178&gt;</t>
  </si>
  <si>
    <t>planum polare, right</t>
  </si>
  <si>
    <t>&lt;http://purl.obolibrary.org/obo/HBA_4179&gt;</t>
  </si>
  <si>
    <t>occipital pole, left</t>
  </si>
  <si>
    <t>&lt;http://purl.obolibrary.org/obo/HBA_4182&gt;</t>
  </si>
  <si>
    <t>occipital pole, right</t>
  </si>
  <si>
    <t>&lt;http://purl.obolibrary.org/obo/HBA_4183&gt;</t>
  </si>
  <si>
    <t>cuneus, left</t>
  </si>
  <si>
    <t>&lt;http://purl.obolibrary.org/obo/HBA_4185&gt;</t>
  </si>
  <si>
    <t>cuneus, left, peristriate</t>
  </si>
  <si>
    <t>&lt;http://purl.obolibrary.org/obo/HBA_4186&gt;</t>
  </si>
  <si>
    <t>cuneus, left, striate</t>
  </si>
  <si>
    <t>&lt;http://purl.obolibrary.org/obo/HBA_4187&gt;</t>
  </si>
  <si>
    <t>cuneus, right</t>
  </si>
  <si>
    <t>&lt;http://purl.obolibrary.org/obo/HBA_4188&gt;</t>
  </si>
  <si>
    <t>cuneus, right, peristriate</t>
  </si>
  <si>
    <t>&lt;http://purl.obolibrary.org/obo/HBA_4189&gt;</t>
  </si>
  <si>
    <t>cuneus, right, striate</t>
  </si>
  <si>
    <t>&lt;http://purl.obolibrary.org/obo/HBA_4190&gt;</t>
  </si>
  <si>
    <t>lingual gyrus, left</t>
  </si>
  <si>
    <t>&lt;http://purl.obolibrary.org/obo/HBA_4192&gt;</t>
  </si>
  <si>
    <t>lingual gyrus, left, peristriate</t>
  </si>
  <si>
    <t>&lt;http://purl.obolibrary.org/obo/HBA_4193&gt;</t>
  </si>
  <si>
    <t>lingual gyrus, left, striate</t>
  </si>
  <si>
    <t>&lt;http://purl.obolibrary.org/obo/HBA_4194&gt;</t>
  </si>
  <si>
    <t>lingual gyrus, right</t>
  </si>
  <si>
    <t>&lt;http://purl.obolibrary.org/obo/HBA_4195&gt;</t>
  </si>
  <si>
    <t>lingual gyrus, right, peristriate</t>
  </si>
  <si>
    <t>&lt;http://purl.obolibrary.org/obo/HBA_4196&gt;</t>
  </si>
  <si>
    <t>lingual gyrus, right, striate</t>
  </si>
  <si>
    <t>&lt;http://purl.obolibrary.org/obo/HBA_4197&gt;</t>
  </si>
  <si>
    <t>occipito-temporal gyrus</t>
  </si>
  <si>
    <t>&lt;http://purl.obolibrary.org/obo/HBA_4198&gt;</t>
  </si>
  <si>
    <t>occipito-temporal gyrus, left</t>
  </si>
  <si>
    <t>&lt;http://purl.obolibrary.org/obo/HBA_4199&gt;</t>
  </si>
  <si>
    <t>occipito-temporal gyrus, left, superior bank of gyrus</t>
  </si>
  <si>
    <t>&lt;http://purl.obolibrary.org/obo/HBA_4200&gt;</t>
  </si>
  <si>
    <t>occipito-temporal gyrus, left, inferior bank of gyrus</t>
  </si>
  <si>
    <t>&lt;http://purl.obolibrary.org/obo/HBA_4201&gt;</t>
  </si>
  <si>
    <t>occipito-temporal gyrus, right</t>
  </si>
  <si>
    <t>&lt;http://purl.obolibrary.org/obo/HBA_4202&gt;</t>
  </si>
  <si>
    <t>occipito-temporal gyrus, right, superior bank of gyrus</t>
  </si>
  <si>
    <t>&lt;http://purl.obolibrary.org/obo/HBA_4203&gt;</t>
  </si>
  <si>
    <t>occipito-temporal gyrus, right, inferior bank of gyrus</t>
  </si>
  <si>
    <t>&lt;http://purl.obolibrary.org/obo/HBA_4204&gt;</t>
  </si>
  <si>
    <t>inferior occipital gyrus, left</t>
  </si>
  <si>
    <t>&lt;http://purl.obolibrary.org/obo/HBA_4206&gt;</t>
  </si>
  <si>
    <t>inferior occipital gyrus, left, superior bank of gyrus</t>
  </si>
  <si>
    <t>&lt;http://purl.obolibrary.org/obo/HBA_4207&gt;</t>
  </si>
  <si>
    <t>inferior occipital gyrus, left, inferior bank of gyrus</t>
  </si>
  <si>
    <t>&lt;http://purl.obolibrary.org/obo/HBA_4208&gt;</t>
  </si>
  <si>
    <t>inferior occipital gyrus, right</t>
  </si>
  <si>
    <t>&lt;http://purl.obolibrary.org/obo/HBA_4209&gt;</t>
  </si>
  <si>
    <t>inferior occipital gyrus, right, superior bank of gyrus</t>
  </si>
  <si>
    <t>&lt;http://purl.obolibrary.org/obo/HBA_4210&gt;</t>
  </si>
  <si>
    <t>inferior occipital gyrus, right, inferior bank of gyrus</t>
  </si>
  <si>
    <t>&lt;http://purl.obolibrary.org/obo/HBA_4211&gt;</t>
  </si>
  <si>
    <t>superior occipital gyrus, left</t>
  </si>
  <si>
    <t>&lt;http://purl.obolibrary.org/obo/HBA_4213&gt;</t>
  </si>
  <si>
    <t>superior occipital gyrus, left, superior bank of gyrus</t>
  </si>
  <si>
    <t>&lt;http://purl.obolibrary.org/obo/HBA_4214&gt;</t>
  </si>
  <si>
    <t>superior occipital gyrus, left, inferior bank of gyrus</t>
  </si>
  <si>
    <t>&lt;http://purl.obolibrary.org/obo/HBA_4215&gt;</t>
  </si>
  <si>
    <t>superior occipital gyrus, right</t>
  </si>
  <si>
    <t>&lt;http://purl.obolibrary.org/obo/HBA_4216&gt;</t>
  </si>
  <si>
    <t>superior occipital gyrus, right, superior bank of gyrus</t>
  </si>
  <si>
    <t>&lt;http://purl.obolibrary.org/obo/HBA_4217&gt;</t>
  </si>
  <si>
    <t>superior occipital gyrus, right, inferior bank of gyrus</t>
  </si>
  <si>
    <t>&lt;http://purl.obolibrary.org/obo/HBA_4218&gt;</t>
  </si>
  <si>
    <t>cingulate gyrus, frontal part</t>
  </si>
  <si>
    <t>&lt;http://purl.obolibrary.org/obo/HBA_4221&gt;</t>
  </si>
  <si>
    <t>cingulate gyrus, frontal part, left</t>
  </si>
  <si>
    <t>&lt;http://purl.obolibrary.org/obo/HBA_4222&gt;</t>
  </si>
  <si>
    <t>cingulate gyrus, frontal part, left, superior bank of gyrus</t>
  </si>
  <si>
    <t>&lt;http://purl.obolibrary.org/obo/HBA_4223&gt;</t>
  </si>
  <si>
    <t>cingulate gyrus, frontal part, left, inferior bank of gyrus</t>
  </si>
  <si>
    <t>&lt;http://purl.obolibrary.org/obo/HBA_4224&gt;</t>
  </si>
  <si>
    <t>cingulate gyrus, frontal part, right</t>
  </si>
  <si>
    <t>&lt;http://purl.obolibrary.org/obo/HBA_4225&gt;</t>
  </si>
  <si>
    <t>cingulate gyrus, frontal part, right, superior bank of gyrus</t>
  </si>
  <si>
    <t>&lt;http://purl.obolibrary.org/obo/HBA_4226&gt;</t>
  </si>
  <si>
    <t>cingulate gyrus, frontal part, right, inferior bank of gyrus</t>
  </si>
  <si>
    <t>&lt;http://purl.obolibrary.org/obo/HBA_4227&gt;</t>
  </si>
  <si>
    <t>cingulate gyrus, parietal part</t>
  </si>
  <si>
    <t>&lt;http://purl.obolibrary.org/obo/HBA_4228&gt;</t>
  </si>
  <si>
    <t>cingulate gyrus, parietal part, left</t>
  </si>
  <si>
    <t>&lt;http://purl.obolibrary.org/obo/HBA_4229&gt;</t>
  </si>
  <si>
    <t>cingulate gyrus, parietal part, left, superior bank of gyrus</t>
  </si>
  <si>
    <t>&lt;http://purl.obolibrary.org/obo/HBA_4230&gt;</t>
  </si>
  <si>
    <t>cingulate gyrus, parietal part, left, inferior bank of gyrus</t>
  </si>
  <si>
    <t>&lt;http://purl.obolibrary.org/obo/HBA_4231&gt;</t>
  </si>
  <si>
    <t>cingulate gyrus, parietal part, right</t>
  </si>
  <si>
    <t>&lt;http://purl.obolibrary.org/obo/HBA_4232&gt;</t>
  </si>
  <si>
    <t>cingulate gyrus, parietal part, right, superior bank of gyrus</t>
  </si>
  <si>
    <t>&lt;http://purl.obolibrary.org/obo/HBA_4233&gt;</t>
  </si>
  <si>
    <t>cingulate gyrus, parietal part, right, inferior bank of gyrus</t>
  </si>
  <si>
    <t>&lt;http://purl.obolibrary.org/obo/HBA_4234&gt;</t>
  </si>
  <si>
    <t>cingulate gyrus, retrosplenial part</t>
  </si>
  <si>
    <t>&lt;http://purl.obolibrary.org/obo/HBA_4235&gt;</t>
  </si>
  <si>
    <t>cingulate gyrus, retrosplenial part, left</t>
  </si>
  <si>
    <t>&lt;http://purl.obolibrary.org/obo/HBA_4236&gt;</t>
  </si>
  <si>
    <t>cingulate gyrus, retrosplenial part, left, superior bank of gyrus</t>
  </si>
  <si>
    <t>&lt;http://purl.obolibrary.org/obo/HBA_4237&gt;</t>
  </si>
  <si>
    <t>cingulate gyrus, retrosplenial part, left, inferior bank of gyrus</t>
  </si>
  <si>
    <t>&lt;http://purl.obolibrary.org/obo/HBA_4238&gt;</t>
  </si>
  <si>
    <t>cingulate gyrus, retrosplenial part, right</t>
  </si>
  <si>
    <t>&lt;http://purl.obolibrary.org/obo/HBA_4239&gt;</t>
  </si>
  <si>
    <t>cingulate gyrus, retrosplenial part, right, superior bank of gyrus</t>
  </si>
  <si>
    <t>&lt;http://purl.obolibrary.org/obo/HBA_4240&gt;</t>
  </si>
  <si>
    <t>cingulate gyrus, retrosplenial part, right, inferior bank of gyrus</t>
  </si>
  <si>
    <t>&lt;http://purl.obolibrary.org/obo/HBA_4241&gt;</t>
  </si>
  <si>
    <t>parahippocampal gyrus, left</t>
  </si>
  <si>
    <t>&lt;http://purl.obolibrary.org/obo/HBA_4243&gt;</t>
  </si>
  <si>
    <t>parahippocampal gyrus, left, lateral bank of gyrus</t>
  </si>
  <si>
    <t>&lt;http://purl.obolibrary.org/obo/HBA_4244&gt;</t>
  </si>
  <si>
    <t>parahippocampal gyrus, left, bank of the cos</t>
  </si>
  <si>
    <t>&lt;http://purl.obolibrary.org/obo/HBA_4245&gt;</t>
  </si>
  <si>
    <t>parahippocampal gyrus, right</t>
  </si>
  <si>
    <t>&lt;http://purl.obolibrary.org/obo/HBA_4246&gt;</t>
  </si>
  <si>
    <t>parahippocampal gyrus, right, lateral bank of gyrus</t>
  </si>
  <si>
    <t>&lt;http://purl.obolibrary.org/obo/HBA_4247&gt;</t>
  </si>
  <si>
    <t>parahippocampal gyrus, right, bank of the cos</t>
  </si>
  <si>
    <t>&lt;http://purl.obolibrary.org/obo/HBA_4248&gt;</t>
  </si>
  <si>
    <t>subiculum, left</t>
  </si>
  <si>
    <t>&lt;http://purl.obolibrary.org/obo/HBA_4251&gt;</t>
  </si>
  <si>
    <t>CA1 field, left</t>
  </si>
  <si>
    <t>&lt;http://purl.obolibrary.org/obo/HBA_4254&gt;</t>
  </si>
  <si>
    <t>CA2 field, left</t>
  </si>
  <si>
    <t>&lt;http://purl.obolibrary.org/obo/HBA_4255&gt;</t>
  </si>
  <si>
    <t>CA3 field, left</t>
  </si>
  <si>
    <t>&lt;http://purl.obolibrary.org/obo/HBA_4256&gt;</t>
  </si>
  <si>
    <t>CA4 field, left</t>
  </si>
  <si>
    <t>&lt;http://purl.obolibrary.org/obo/HBA_4257&gt;</t>
  </si>
  <si>
    <t>dentate gyrus, left</t>
  </si>
  <si>
    <t>&lt;http://purl.obolibrary.org/obo/HBA_4258&gt;</t>
  </si>
  <si>
    <t>subiculum, right</t>
  </si>
  <si>
    <t>&lt;http://purl.obolibrary.org/obo/HBA_4260&gt;</t>
  </si>
  <si>
    <t>presubiculum, right</t>
  </si>
  <si>
    <t>&lt;http://purl.obolibrary.org/obo/HBA_4261&gt;</t>
  </si>
  <si>
    <t>parasubiculum, right</t>
  </si>
  <si>
    <t>&lt;http://purl.obolibrary.org/obo/HBA_4262&gt;</t>
  </si>
  <si>
    <t>CA1 field, right</t>
  </si>
  <si>
    <t>&lt;http://purl.obolibrary.org/obo/HBA_4263&gt;</t>
  </si>
  <si>
    <t>CA2 field, right</t>
  </si>
  <si>
    <t>&lt;http://purl.obolibrary.org/obo/HBA_4264&gt;</t>
  </si>
  <si>
    <t>CA3 field, right</t>
  </si>
  <si>
    <t>&lt;http://purl.obolibrary.org/obo/HBA_4265&gt;</t>
  </si>
  <si>
    <t>CA4 field, right</t>
  </si>
  <si>
    <t>&lt;http://purl.obolibrary.org/obo/HBA_4266&gt;</t>
  </si>
  <si>
    <t>dentate gyrus, right</t>
  </si>
  <si>
    <t>&lt;http://purl.obolibrary.org/obo/HBA_4267&gt;</t>
  </si>
  <si>
    <t>&lt;http://purl.obolibrary.org/obo/HBA_4269&gt;</t>
  </si>
  <si>
    <t>long insular gyri, left</t>
  </si>
  <si>
    <t>&lt;http://purl.obolibrary.org/obo/HBA_4270&gt;</t>
  </si>
  <si>
    <t>long insular gyri, right</t>
  </si>
  <si>
    <t>&lt;http://purl.obolibrary.org/obo/HBA_4271&gt;</t>
  </si>
  <si>
    <t>&lt;http://purl.obolibrary.org/obo/HBA_4272&gt;</t>
  </si>
  <si>
    <t>short insular gyri, left</t>
  </si>
  <si>
    <t>&lt;http://purl.obolibrary.org/obo/HBA_4273&gt;</t>
  </si>
  <si>
    <t>short insular gyri, right</t>
  </si>
  <si>
    <t>&lt;http://purl.obolibrary.org/obo/HBA_4274&gt;</t>
  </si>
  <si>
    <t>head of caudate nucleus, left</t>
  </si>
  <si>
    <t>&lt;http://purl.obolibrary.org/obo/HBA_4280&gt;</t>
  </si>
  <si>
    <t>tail of caudate nucleus, left</t>
  </si>
  <si>
    <t>&lt;http://purl.obolibrary.org/obo/HBA_4281&gt;</t>
  </si>
  <si>
    <t>body of caudate nucleus, left</t>
  </si>
  <si>
    <t>&lt;http://purl.obolibrary.org/obo/HBA_4282&gt;</t>
  </si>
  <si>
    <t>head of caudate nucleus, right</t>
  </si>
  <si>
    <t>&lt;http://purl.obolibrary.org/obo/HBA_4284&gt;</t>
  </si>
  <si>
    <t>tail of caudate nucleus, right</t>
  </si>
  <si>
    <t>&lt;http://purl.obolibrary.org/obo/HBA_4285&gt;</t>
  </si>
  <si>
    <t>body of caudate nucleus, right</t>
  </si>
  <si>
    <t>&lt;http://purl.obolibrary.org/obo/HBA_4286&gt;</t>
  </si>
  <si>
    <t>nucleus accumbens, left</t>
  </si>
  <si>
    <t>&lt;http://purl.obolibrary.org/obo/HBA_4291&gt;</t>
  </si>
  <si>
    <t>nucleus accumbens, right</t>
  </si>
  <si>
    <t>&lt;http://purl.obolibrary.org/obo/HBA_4292&gt;</t>
  </si>
  <si>
    <t>globus pallidus, external segment, left</t>
  </si>
  <si>
    <t>&lt;http://purl.obolibrary.org/obo/HBA_4295&gt;</t>
  </si>
  <si>
    <t>globus pallidus, internal segment, left</t>
  </si>
  <si>
    <t>&lt;http://purl.obolibrary.org/obo/HBA_4296&gt;</t>
  </si>
  <si>
    <t>globus pallidus, external segment, right</t>
  </si>
  <si>
    <t>&lt;http://purl.obolibrary.org/obo/HBA_4298&gt;</t>
  </si>
  <si>
    <t>globus pallidus, internal segment, right</t>
  </si>
  <si>
    <t>&lt;http://purl.obolibrary.org/obo/HBA_4299&gt;</t>
  </si>
  <si>
    <t>septal nuclei, left</t>
  </si>
  <si>
    <t>&lt;http://purl.obolibrary.org/obo/HBA_4301&gt;</t>
  </si>
  <si>
    <t>septal nuclei, right</t>
  </si>
  <si>
    <t>&lt;http://purl.obolibrary.org/obo/HBA_4304&gt;</t>
  </si>
  <si>
    <t>medial septal nucleus, right</t>
  </si>
  <si>
    <t>&lt;http://purl.obolibrary.org/obo/HBA_4305&gt;</t>
  </si>
  <si>
    <t>lateral septal nucleus, right</t>
  </si>
  <si>
    <t>&lt;http://purl.obolibrary.org/obo/HBA_4306&gt;</t>
  </si>
  <si>
    <t>substantia innominata, left</t>
  </si>
  <si>
    <t>&lt;http://purl.obolibrary.org/obo/HBA_4307&gt;</t>
  </si>
  <si>
    <t>nucleus of the diagonal band, left, horizontal division</t>
  </si>
  <si>
    <t>&lt;http://purl.obolibrary.org/obo/HBA_4310&gt;</t>
  </si>
  <si>
    <t>nucleus of the diagonal band, left, vertical division</t>
  </si>
  <si>
    <t>&lt;http://purl.obolibrary.org/obo/HBA_4311&gt;</t>
  </si>
  <si>
    <t>substantia innominata, right</t>
  </si>
  <si>
    <t>&lt;http://purl.obolibrary.org/obo/HBA_4314&gt;</t>
  </si>
  <si>
    <t>basal nucleus of meynert, right</t>
  </si>
  <si>
    <t>&lt;http://purl.obolibrary.org/obo/HBA_4315&gt;</t>
  </si>
  <si>
    <t>nucleus of the diagonal band, right</t>
  </si>
  <si>
    <t>&lt;http://purl.obolibrary.org/obo/HBA_4316&gt;</t>
  </si>
  <si>
    <t>nucleus of the diagonal band, right, horizontal division</t>
  </si>
  <si>
    <t>&lt;http://purl.obolibrary.org/obo/HBA_4317&gt;</t>
  </si>
  <si>
    <t>nucleus of the diagonal band, right, vertical division</t>
  </si>
  <si>
    <t>&lt;http://purl.obolibrary.org/obo/HBA_4318&gt;</t>
  </si>
  <si>
    <t>nucleus of the anterior commissure, right</t>
  </si>
  <si>
    <t>&lt;http://purl.obolibrary.org/obo/HBA_4319&gt;</t>
  </si>
  <si>
    <t>bed  nucleus of stria terminalis, right</t>
  </si>
  <si>
    <t>&lt;http://purl.obolibrary.org/obo/HBA_4320&gt;</t>
  </si>
  <si>
    <t>claustrum, left</t>
  </si>
  <si>
    <t>&lt;http://purl.obolibrary.org/obo/HBA_4322&gt;</t>
  </si>
  <si>
    <t>claustrum, right</t>
  </si>
  <si>
    <t>&lt;http://purl.obolibrary.org/obo/HBA_4323&gt;</t>
  </si>
  <si>
    <t>anterior olfactory nucleus, left</t>
  </si>
  <si>
    <t>&lt;http://purl.obolibrary.org/obo/HBA_4325&gt;</t>
  </si>
  <si>
    <t>anterior olfactory nucleus, right</t>
  </si>
  <si>
    <t>&lt;http://purl.obolibrary.org/obo/HBA_4326&gt;</t>
  </si>
  <si>
    <t>amygdalohippocampal transition zone</t>
  </si>
  <si>
    <t>&lt;http://purl.obolibrary.org/obo/HBA_4328&gt;</t>
  </si>
  <si>
    <t>amygdalohippocampal transition zone, left</t>
  </si>
  <si>
    <t>&lt;http://purl.obolibrary.org/obo/HBA_4329&gt;</t>
  </si>
  <si>
    <t>amygdalohippocampal transition zone, right</t>
  </si>
  <si>
    <t>&lt;http://purl.obolibrary.org/obo/HBA_4335&gt;</t>
  </si>
  <si>
    <t>amygdalohippocampal area, right</t>
  </si>
  <si>
    <t>&lt;http://purl.obolibrary.org/obo/HBA_4336&gt;</t>
  </si>
  <si>
    <t>basolateral nucleus, left</t>
  </si>
  <si>
    <t>&lt;http://purl.obolibrary.org/obo/HBA_4342&gt;</t>
  </si>
  <si>
    <t>basolateral nucleus, left, magnocellular (dorsal)</t>
  </si>
  <si>
    <t>&lt;http://purl.obolibrary.org/obo/HBA_4343&gt;</t>
  </si>
  <si>
    <t>basolateral nucleus, left, intermediate</t>
  </si>
  <si>
    <t>&lt;http://purl.obolibrary.org/obo/HBA_4344&gt;</t>
  </si>
  <si>
    <t>basolateral nucleus, left, parvicellular (ventral)</t>
  </si>
  <si>
    <t>&lt;http://purl.obolibrary.org/obo/HBA_4345&gt;</t>
  </si>
  <si>
    <t>basolateral nucleus, right</t>
  </si>
  <si>
    <t>&lt;http://purl.obolibrary.org/obo/HBA_4346&gt;</t>
  </si>
  <si>
    <t>basolateral nucleus, right, magnocellular (dorsal)</t>
  </si>
  <si>
    <t>&lt;http://purl.obolibrary.org/obo/HBA_4347&gt;</t>
  </si>
  <si>
    <t>basolateral nucleus, right, intermediate</t>
  </si>
  <si>
    <t>&lt;http://purl.obolibrary.org/obo/HBA_4348&gt;</t>
  </si>
  <si>
    <t>basolateral nucleus, right, parvicellular (ventral)</t>
  </si>
  <si>
    <t>&lt;http://purl.obolibrary.org/obo/HBA_4349&gt;</t>
  </si>
  <si>
    <t>basomedial nucleus, left</t>
  </si>
  <si>
    <t>&lt;http://purl.obolibrary.org/obo/HBA_4351&gt;</t>
  </si>
  <si>
    <t>basomedial nucleus, left, magnocellular division</t>
  </si>
  <si>
    <t>&lt;http://purl.obolibrary.org/obo/HBA_4352&gt;</t>
  </si>
  <si>
    <t>basomedial nucleus, left, parvicellular division</t>
  </si>
  <si>
    <t>&lt;http://purl.obolibrary.org/obo/HBA_4353&gt;</t>
  </si>
  <si>
    <t>basomedial nucleus, left, ventromedial division</t>
  </si>
  <si>
    <t>&lt;http://purl.obolibrary.org/obo/HBA_4354&gt;</t>
  </si>
  <si>
    <t>basomedial nucleus, right</t>
  </si>
  <si>
    <t>&lt;http://purl.obolibrary.org/obo/HBA_4355&gt;</t>
  </si>
  <si>
    <t>basomedial nucleus, right, magnocellular division</t>
  </si>
  <si>
    <t>&lt;http://purl.obolibrary.org/obo/HBA_4356&gt;</t>
  </si>
  <si>
    <t>basomedial nucleus, right, parvicellular division</t>
  </si>
  <si>
    <t>&lt;http://purl.obolibrary.org/obo/HBA_4357&gt;</t>
  </si>
  <si>
    <t>basomedial nucleus, right, ventromedial division</t>
  </si>
  <si>
    <t>&lt;http://purl.obolibrary.org/obo/HBA_4358&gt;</t>
  </si>
  <si>
    <t>central nucleus, left</t>
  </si>
  <si>
    <t>&lt;http://purl.obolibrary.org/obo/HBA_4360&gt;</t>
  </si>
  <si>
    <t>central nucleus, medial division, left</t>
  </si>
  <si>
    <t>&lt;http://purl.obolibrary.org/obo/HBA_4361&gt;</t>
  </si>
  <si>
    <t>central nucleus, lateral division, left</t>
  </si>
  <si>
    <t>&lt;http://purl.obolibrary.org/obo/HBA_4362&gt;</t>
  </si>
  <si>
    <t>central nucleus, right</t>
  </si>
  <si>
    <t>&lt;http://purl.obolibrary.org/obo/HBA_4363&gt;</t>
  </si>
  <si>
    <t>central nucleus, medial division, right</t>
  </si>
  <si>
    <t>&lt;http://purl.obolibrary.org/obo/HBA_4364&gt;</t>
  </si>
  <si>
    <t>central nucleus, lateral division, right</t>
  </si>
  <si>
    <t>&lt;http://purl.obolibrary.org/obo/HBA_4365&gt;</t>
  </si>
  <si>
    <t>cortico-medial group</t>
  </si>
  <si>
    <t>&lt;http://purl.obolibrary.org/obo/HBA_4366&gt;</t>
  </si>
  <si>
    <t>cortico-medial group, left</t>
  </si>
  <si>
    <t>&lt;http://purl.obolibrary.org/obo/HBA_4367&gt;</t>
  </si>
  <si>
    <t>anterior cortical nucleus, left</t>
  </si>
  <si>
    <t>&lt;http://purl.obolibrary.org/obo/HBA_4368&gt;</t>
  </si>
  <si>
    <t>posterior cortical nucleus, left</t>
  </si>
  <si>
    <t>&lt;http://purl.obolibrary.org/obo/HBA_4369&gt;</t>
  </si>
  <si>
    <t>medial nucleus, left</t>
  </si>
  <si>
    <t>&lt;http://purl.obolibrary.org/obo/HBA_4370&gt;</t>
  </si>
  <si>
    <t>cortico-medial group, right</t>
  </si>
  <si>
    <t>&lt;http://purl.obolibrary.org/obo/HBA_4371&gt;</t>
  </si>
  <si>
    <t>anterior cortical nucleus, right</t>
  </si>
  <si>
    <t>&lt;http://purl.obolibrary.org/obo/HBA_4372&gt;</t>
  </si>
  <si>
    <t>posterior cortical nucleus, right</t>
  </si>
  <si>
    <t>&lt;http://purl.obolibrary.org/obo/HBA_4373&gt;</t>
  </si>
  <si>
    <t>medial nucleus, right</t>
  </si>
  <si>
    <t>&lt;http://purl.obolibrary.org/obo/HBA_4374&gt;</t>
  </si>
  <si>
    <t>intercalated nuclei, left</t>
  </si>
  <si>
    <t>&lt;http://purl.obolibrary.org/obo/HBA_4376&gt;</t>
  </si>
  <si>
    <t>intercalated nuclei, right</t>
  </si>
  <si>
    <t>&lt;http://purl.obolibrary.org/obo/HBA_4377&gt;</t>
  </si>
  <si>
    <t>lateral nucleus, left</t>
  </si>
  <si>
    <t>&lt;http://purl.obolibrary.org/obo/HBA_4379&gt;</t>
  </si>
  <si>
    <t>lateral nucleus, left, dorsal medial division</t>
  </si>
  <si>
    <t>&lt;http://purl.obolibrary.org/obo/HBA_4380&gt;</t>
  </si>
  <si>
    <t>lateral nucleus, left, ventral lateral division</t>
  </si>
  <si>
    <t>&lt;http://purl.obolibrary.org/obo/HBA_4381&gt;</t>
  </si>
  <si>
    <t>lateral nucleus, right</t>
  </si>
  <si>
    <t>&lt;http://purl.obolibrary.org/obo/HBA_4382&gt;</t>
  </si>
  <si>
    <t>lateral nucleus, right, dorsal medial division</t>
  </si>
  <si>
    <t>&lt;http://purl.obolibrary.org/obo/HBA_4383&gt;</t>
  </si>
  <si>
    <t>lateral nucleus, right, ventral lateral division</t>
  </si>
  <si>
    <t>&lt;http://purl.obolibrary.org/obo/HBA_4384&gt;</t>
  </si>
  <si>
    <t>nucleus of the lateral olfactory tract, left</t>
  </si>
  <si>
    <t>&lt;http://purl.obolibrary.org/obo/HBA_4386&gt;</t>
  </si>
  <si>
    <t>nucleus of the lateral olfactory tract, right</t>
  </si>
  <si>
    <t>&lt;http://purl.obolibrary.org/obo/HBA_4387&gt;</t>
  </si>
  <si>
    <t>&lt;http://purl.obolibrary.org/obo/HBA_4388&gt;</t>
  </si>
  <si>
    <t>paralmainar nucleus, left</t>
  </si>
  <si>
    <t>&lt;http://purl.obolibrary.org/obo/HBA_4389&gt;</t>
  </si>
  <si>
    <t>paralmainar nucleus, right</t>
  </si>
  <si>
    <t>&lt;http://purl.obolibrary.org/obo/HBA_4390&gt;</t>
  </si>
  <si>
    <t>thalamic fasciculus, left</t>
  </si>
  <si>
    <t>&lt;http://purl.obolibrary.org/obo/HBA_4509&gt;</t>
  </si>
  <si>
    <t>lenticular fasciculus, left</t>
  </si>
  <si>
    <t>&lt;http://purl.obolibrary.org/obo/HBA_4510&gt;</t>
  </si>
  <si>
    <t>thalamic fasciculus, right</t>
  </si>
  <si>
    <t>&lt;http://purl.obolibrary.org/obo/HBA_4515&gt;</t>
  </si>
  <si>
    <t>lenticular fasciculus, right</t>
  </si>
  <si>
    <t>&lt;http://purl.obolibrary.org/obo/HBA_4516&gt;</t>
  </si>
  <si>
    <t>dentate nucleus, left</t>
  </si>
  <si>
    <t>&lt;http://purl.obolibrary.org/obo/HBA_4782&gt;</t>
  </si>
  <si>
    <t>emboliform nucleus, left</t>
  </si>
  <si>
    <t>&lt;http://purl.obolibrary.org/obo/HBA_4783&gt;</t>
  </si>
  <si>
    <t>fastigial nucleus, left</t>
  </si>
  <si>
    <t>&lt;http://purl.obolibrary.org/obo/HBA_4784&gt;</t>
  </si>
  <si>
    <t>globose nucleus, left</t>
  </si>
  <si>
    <t>&lt;http://purl.obolibrary.org/obo/HBA_4785&gt;</t>
  </si>
  <si>
    <t>dentate nucleus, right</t>
  </si>
  <si>
    <t>&lt;http://purl.obolibrary.org/obo/HBA_4787&gt;</t>
  </si>
  <si>
    <t>emboliform nucleus, right</t>
  </si>
  <si>
    <t>&lt;http://purl.obolibrary.org/obo/HBA_4788&gt;</t>
  </si>
  <si>
    <t>fastigial nucleus, right</t>
  </si>
  <si>
    <t>&lt;http://purl.obolibrary.org/obo/HBA_4789&gt;</t>
  </si>
  <si>
    <t>globose nucleus, right</t>
  </si>
  <si>
    <t>&lt;http://purl.obolibrary.org/obo/HBA_4790&gt;</t>
  </si>
  <si>
    <t>frontal pole, left</t>
  </si>
  <si>
    <t>&lt;http://purl.obolibrary.org/obo/HBA_4889&gt;</t>
  </si>
  <si>
    <t>frontal pole, left, superior aspect</t>
  </si>
  <si>
    <t>&lt;http://purl.obolibrary.org/obo/HBA_4890&gt;</t>
  </si>
  <si>
    <t>frontal pole, left, inferior aspect</t>
  </si>
  <si>
    <t>&lt;http://purl.obolibrary.org/obo/HBA_4891&gt;</t>
  </si>
  <si>
    <t>frontal pole, left, medial aspect</t>
  </si>
  <si>
    <t>&lt;http://purl.obolibrary.org/obo/HBA_4892&gt;</t>
  </si>
  <si>
    <t>frontal pole, right</t>
  </si>
  <si>
    <t>&lt;http://purl.obolibrary.org/obo/HBA_4893&gt;</t>
  </si>
  <si>
    <t>frontal pole, right, superior aspect</t>
  </si>
  <si>
    <t>&lt;http://purl.obolibrary.org/obo/HBA_4894&gt;</t>
  </si>
  <si>
    <t>frontal pole, right, inferior aspect</t>
  </si>
  <si>
    <t>&lt;http://purl.obolibrary.org/obo/HBA_4895&gt;</t>
  </si>
  <si>
    <t>frontal pole, right, medial aspect</t>
  </si>
  <si>
    <t>&lt;http://purl.obolibrary.org/obo/HBA_4896&gt;</t>
  </si>
  <si>
    <t>superior rostral gyrus, left</t>
  </si>
  <si>
    <t>&lt;http://purl.obolibrary.org/obo/HBA_4898&gt;</t>
  </si>
  <si>
    <t>superior rostral gyrus, right</t>
  </si>
  <si>
    <t>&lt;http://purl.obolibrary.org/obo/HBA_4899&gt;</t>
  </si>
  <si>
    <t>inferior rostral gyrus, left</t>
  </si>
  <si>
    <t>&lt;http://purl.obolibrary.org/obo/HBA_4901&gt;</t>
  </si>
  <si>
    <t>inferior rostral gyrus, right</t>
  </si>
  <si>
    <t>&lt;http://purl.obolibrary.org/obo/HBA_4902&gt;</t>
  </si>
  <si>
    <t>temporal pole, left, superior aspect</t>
  </si>
  <si>
    <t>&lt;http://purl.obolibrary.org/obo/HBA_4903&gt;</t>
  </si>
  <si>
    <t>temporal pole, left, inferior aspect</t>
  </si>
  <si>
    <t>&lt;http://purl.obolibrary.org/obo/HBA_4904&gt;</t>
  </si>
  <si>
    <t>temporal pole, left, medial aspect</t>
  </si>
  <si>
    <t>&lt;http://purl.obolibrary.org/obo/HBA_4905&gt;</t>
  </si>
  <si>
    <t>temporal pole, right, superior aspect</t>
  </si>
  <si>
    <t>&lt;http://purl.obolibrary.org/obo/HBA_4906&gt;</t>
  </si>
  <si>
    <t>temporal pole, right, inferior aspect</t>
  </si>
  <si>
    <t>&lt;http://purl.obolibrary.org/obo/HBA_4907&gt;</t>
  </si>
  <si>
    <t>temporal pole, right, medial aspect</t>
  </si>
  <si>
    <t>&lt;http://purl.obolibrary.org/obo/HBA_4908&gt;</t>
  </si>
  <si>
    <t>occipital pole, left, superior aspect</t>
  </si>
  <si>
    <t>&lt;http://purl.obolibrary.org/obo/HBA_4909&gt;</t>
  </si>
  <si>
    <t>occipital pole, left, inferior aspect</t>
  </si>
  <si>
    <t>&lt;http://purl.obolibrary.org/obo/HBA_4910&gt;</t>
  </si>
  <si>
    <t>occipital pole, left, lateral aspect</t>
  </si>
  <si>
    <t>&lt;http://purl.obolibrary.org/obo/HBA_4911&gt;</t>
  </si>
  <si>
    <t>occipital pole, right, superior aspect</t>
  </si>
  <si>
    <t>&lt;http://purl.obolibrary.org/obo/HBA_4912&gt;</t>
  </si>
  <si>
    <t>occipital pole, right, inferior aspect</t>
  </si>
  <si>
    <t>&lt;http://purl.obolibrary.org/obo/HBA_4913&gt;</t>
  </si>
  <si>
    <t>occipital pole, right, lateral aspect</t>
  </si>
  <si>
    <t>&lt;http://purl.obolibrary.org/obo/HBA_4914&gt;</t>
  </si>
  <si>
    <t>ventral tegmental nucleus, left</t>
  </si>
  <si>
    <t>&lt;http://purl.obolibrary.org/obo/HBA_9070&gt;</t>
  </si>
  <si>
    <t>ventral tegmental nucleus, right</t>
  </si>
  <si>
    <t>&lt;http://purl.obolibrary.org/obo/HBA_9071&gt;</t>
  </si>
  <si>
    <t>abducens nucleus, left</t>
  </si>
  <si>
    <t>&lt;http://purl.obolibrary.org/obo/HBA_9137&gt;</t>
  </si>
  <si>
    <t>abducens nucleus, right</t>
  </si>
  <si>
    <t>&lt;http://purl.obolibrary.org/obo/HBA_9138&gt;</t>
  </si>
  <si>
    <t>dorsal nucleus of lateral lemniscus, left</t>
  </si>
  <si>
    <t>&lt;http://purl.obolibrary.org/obo/HBA_9140&gt;</t>
  </si>
  <si>
    <t>dorsal nucleus of lateral lemniscus, right</t>
  </si>
  <si>
    <t>&lt;http://purl.obolibrary.org/obo/HBA_9141&gt;</t>
  </si>
  <si>
    <t>facial motor nucleus, left</t>
  </si>
  <si>
    <t>&lt;http://purl.obolibrary.org/obo/HBA_9143&gt;</t>
  </si>
  <si>
    <t>facial motor nucleus, right</t>
  </si>
  <si>
    <t>&lt;http://purl.obolibrary.org/obo/HBA_9144&gt;</t>
  </si>
  <si>
    <t>lateral parabrachial nucleus, left</t>
  </si>
  <si>
    <t>&lt;http://purl.obolibrary.org/obo/HBA_9146&gt;</t>
  </si>
  <si>
    <t>lateral parabrachial nucleus, right</t>
  </si>
  <si>
    <t>&lt;http://purl.obolibrary.org/obo/HBA_9147&gt;</t>
  </si>
  <si>
    <t>locus ceruleus, left</t>
  </si>
  <si>
    <t>&lt;http://purl.obolibrary.org/obo/HBA_9149&gt;</t>
  </si>
  <si>
    <t>locus ceruleus, right</t>
  </si>
  <si>
    <t>&lt;http://purl.obolibrary.org/obo/HBA_9150&gt;</t>
  </si>
  <si>
    <t>&lt;http://purl.obolibrary.org/obo/HBA_9151&gt;</t>
  </si>
  <si>
    <t>medial parabrachial nucleus, left</t>
  </si>
  <si>
    <t>&lt;http://purl.obolibrary.org/obo/HBA_9152&gt;</t>
  </si>
  <si>
    <t>nucleus subceruleus, left</t>
  </si>
  <si>
    <t>&lt;http://purl.obolibrary.org/obo/HBA_9155&gt;</t>
  </si>
  <si>
    <t>nucleus subceruleus, right</t>
  </si>
  <si>
    <t>&lt;http://purl.obolibrary.org/obo/HBA_9156&gt;</t>
  </si>
  <si>
    <t>pontine raphe nucleus</t>
  </si>
  <si>
    <t>&lt;http://purl.obolibrary.org/obo/HBA_9157&gt;</t>
  </si>
  <si>
    <t>pontine raphe nucleus, left</t>
  </si>
  <si>
    <t>&lt;http://purl.obolibrary.org/obo/HBA_9158&gt;</t>
  </si>
  <si>
    <t>paramedian pontine reticular formation</t>
  </si>
  <si>
    <t>&lt;http://purl.obolibrary.org/obo/HBA_9160&gt;</t>
  </si>
  <si>
    <t>pontine reticular formation, right</t>
  </si>
  <si>
    <t>&lt;http://purl.obolibrary.org/obo/HBA_9169&gt;</t>
  </si>
  <si>
    <t>caudal pontine reticular nucleus, right</t>
  </si>
  <si>
    <t>&lt;http://purl.obolibrary.org/obo/HBA_9170&gt;</t>
  </si>
  <si>
    <t>oral pontine reticular nucleus, right</t>
  </si>
  <si>
    <t>&lt;http://purl.obolibrary.org/obo/HBA_9174&gt;</t>
  </si>
  <si>
    <t>reticulotegmental nucleus, right</t>
  </si>
  <si>
    <t>&lt;http://purl.obolibrary.org/obo/HBA_9175&gt;</t>
  </si>
  <si>
    <t>superior olivary complex, left</t>
  </si>
  <si>
    <t>&lt;http://purl.obolibrary.org/obo/HBA_9178&gt;</t>
  </si>
  <si>
    <t>superior olivary complex, right</t>
  </si>
  <si>
    <t>&lt;http://purl.obolibrary.org/obo/HBA_9186&gt;</t>
  </si>
  <si>
    <t>periolivary nucleus, right</t>
  </si>
  <si>
    <t>&lt;http://purl.obolibrary.org/obo/HBA_9187&gt;</t>
  </si>
  <si>
    <t>preolivary nucleus, right</t>
  </si>
  <si>
    <t>&lt;http://purl.obolibrary.org/obo/HBA_9188&gt;</t>
  </si>
  <si>
    <t>retro-olivary cell group, right</t>
  </si>
  <si>
    <t>&lt;http://purl.obolibrary.org/obo/HBA_9189&gt;</t>
  </si>
  <si>
    <t>superior olive, right</t>
  </si>
  <si>
    <t>&lt;http://purl.obolibrary.org/obo/HBA_9190&gt;</t>
  </si>
  <si>
    <t>lateral superior olivary nucleus, right</t>
  </si>
  <si>
    <t>&lt;http://purl.obolibrary.org/obo/HBA_9191&gt;</t>
  </si>
  <si>
    <t>medial superior olivary nucleus, right</t>
  </si>
  <si>
    <t>&lt;http://purl.obolibrary.org/obo/HBA_9192&gt;</t>
  </si>
  <si>
    <t>trapezoid nuclei, right</t>
  </si>
  <si>
    <t>&lt;http://purl.obolibrary.org/obo/HBA_9193&gt;</t>
  </si>
  <si>
    <t>&lt;http://purl.obolibrary.org/obo/HBA_9194&gt;</t>
  </si>
  <si>
    <t>superior salivatory nucleus, left</t>
  </si>
  <si>
    <t>&lt;http://purl.obolibrary.org/obo/HBA_9195&gt;</t>
  </si>
  <si>
    <t>superior salivatory nucleus, right</t>
  </si>
  <si>
    <t>&lt;http://purl.obolibrary.org/obo/HBA_9196&gt;</t>
  </si>
  <si>
    <t>trapezoid body, left</t>
  </si>
  <si>
    <t>&lt;http://purl.obolibrary.org/obo/HBA_9198&gt;</t>
  </si>
  <si>
    <t>trapezoid body, right</t>
  </si>
  <si>
    <t>&lt;http://purl.obolibrary.org/obo/HBA_9199&gt;</t>
  </si>
  <si>
    <t>ventral nucleus of lateral lemniscus, left</t>
  </si>
  <si>
    <t>&lt;http://purl.obolibrary.org/obo/HBA_9201&gt;</t>
  </si>
  <si>
    <t>ventral nucleus of lateral lemniscus, right</t>
  </si>
  <si>
    <t>&lt;http://purl.obolibrary.org/obo/HBA_9202&gt;</t>
  </si>
  <si>
    <t>trigeminal nuclei, left</t>
  </si>
  <si>
    <t>&lt;http://purl.obolibrary.org/obo/HBA_9204&gt;</t>
  </si>
  <si>
    <t>trigeminal nuclei, right</t>
  </si>
  <si>
    <t>&lt;http://purl.obolibrary.org/obo/HBA_9211&gt;</t>
  </si>
  <si>
    <t>mesencephalic nucleus of trigeminal nerve, right</t>
  </si>
  <si>
    <t>&lt;http://purl.obolibrary.org/obo/HBA_9212&gt;</t>
  </si>
  <si>
    <t>motor nucleus of trigeminal nerve, right</t>
  </si>
  <si>
    <t>&lt;http://purl.obolibrary.org/obo/HBA_9213&gt;</t>
  </si>
  <si>
    <t>principal sensory nucleus of trigeminal nerve, right</t>
  </si>
  <si>
    <t>&lt;http://purl.obolibrary.org/obo/HBA_9214&gt;</t>
  </si>
  <si>
    <t>telencephalic white matter</t>
  </si>
  <si>
    <t>&lt;http://purl.obolibrary.org/obo/HBA_9219&gt;</t>
  </si>
  <si>
    <t>telencephalic white matter tracts</t>
  </si>
  <si>
    <t>&lt;http://purl.obolibrary.org/obo/HBA_9230&gt;</t>
  </si>
  <si>
    <t>arcuate fasciculus, left</t>
  </si>
  <si>
    <t>&lt;http://purl.obolibrary.org/obo/HBA_9232&gt;</t>
  </si>
  <si>
    <t>arcuate fasciculus, right</t>
  </si>
  <si>
    <t>&lt;http://purl.obolibrary.org/obo/HBA_9233&gt;</t>
  </si>
  <si>
    <t>alveus, left</t>
  </si>
  <si>
    <t>&lt;http://purl.obolibrary.org/obo/HBA_9235&gt;</t>
  </si>
  <si>
    <t>alveus, right</t>
  </si>
  <si>
    <t>&lt;http://purl.obolibrary.org/obo/HBA_9236&gt;</t>
  </si>
  <si>
    <t>ansa lenticularis, left</t>
  </si>
  <si>
    <t>&lt;http://purl.obolibrary.org/obo/HBA_9238&gt;</t>
  </si>
  <si>
    <t>ansa lenticularis, right</t>
  </si>
  <si>
    <t>&lt;http://purl.obolibrary.org/obo/HBA_9239&gt;</t>
  </si>
  <si>
    <t>cingulum bundle, left</t>
  </si>
  <si>
    <t>&lt;http://purl.obolibrary.org/obo/HBA_9241&gt;</t>
  </si>
  <si>
    <t>cingulum bundle, right</t>
  </si>
  <si>
    <t>&lt;http://purl.obolibrary.org/obo/HBA_9242&gt;</t>
  </si>
  <si>
    <t>external capsule, left</t>
  </si>
  <si>
    <t>&lt;http://purl.obolibrary.org/obo/HBA_9244&gt;</t>
  </si>
  <si>
    <t>external capsule, right</t>
  </si>
  <si>
    <t>&lt;http://purl.obolibrary.org/obo/HBA_9245&gt;</t>
  </si>
  <si>
    <t>extreme capsule, left</t>
  </si>
  <si>
    <t>&lt;http://purl.obolibrary.org/obo/HBA_9247&gt;</t>
  </si>
  <si>
    <t>extreme capsule, right</t>
  </si>
  <si>
    <t>&lt;http://purl.obolibrary.org/obo/HBA_9248&gt;</t>
  </si>
  <si>
    <t>fornix, left</t>
  </si>
  <si>
    <t>&lt;http://purl.obolibrary.org/obo/HBA_9250&gt;</t>
  </si>
  <si>
    <t>fornix, right</t>
  </si>
  <si>
    <t>&lt;http://purl.obolibrary.org/obo/HBA_9255&gt;</t>
  </si>
  <si>
    <t>anterior column of the fornix, right</t>
  </si>
  <si>
    <t>&lt;http://purl.obolibrary.org/obo/HBA_9256&gt;</t>
  </si>
  <si>
    <t>body of the fornix, right</t>
  </si>
  <si>
    <t>&lt;http://purl.obolibrary.org/obo/HBA_9257&gt;</t>
  </si>
  <si>
    <t>fimbria, right</t>
  </si>
  <si>
    <t>&lt;http://purl.obolibrary.org/obo/HBA_9258&gt;</t>
  </si>
  <si>
    <t>posterior column of the fornix, right</t>
  </si>
  <si>
    <t>&lt;http://purl.obolibrary.org/obo/HBA_9259&gt;</t>
  </si>
  <si>
    <t>inferior longitudinal fasciculus, left</t>
  </si>
  <si>
    <t>&lt;http://purl.obolibrary.org/obo/HBA_9261&gt;</t>
  </si>
  <si>
    <t>inferior longitudinal fasciculus, right</t>
  </si>
  <si>
    <t>&lt;http://purl.obolibrary.org/obo/HBA_9262&gt;</t>
  </si>
  <si>
    <t>internal capsule, left</t>
  </si>
  <si>
    <t>&lt;http://purl.obolibrary.org/obo/HBA_9264&gt;</t>
  </si>
  <si>
    <t>internal capsule, right</t>
  </si>
  <si>
    <t>&lt;http://purl.obolibrary.org/obo/HBA_9265&gt;</t>
  </si>
  <si>
    <t>mammillothalamic tract, left</t>
  </si>
  <si>
    <t>&lt;http://purl.obolibrary.org/obo/HBA_9267&gt;</t>
  </si>
  <si>
    <t>mammillothalamic tract, right</t>
  </si>
  <si>
    <t>&lt;http://purl.obolibrary.org/obo/HBA_9268&gt;</t>
  </si>
  <si>
    <t>occipitofrontal fasciculus, left</t>
  </si>
  <si>
    <t>&lt;http://purl.obolibrary.org/obo/HBA_9270&gt;</t>
  </si>
  <si>
    <t>occipitofrontal fasciculus, right</t>
  </si>
  <si>
    <t>&lt;http://purl.obolibrary.org/obo/HBA_9271&gt;</t>
  </si>
  <si>
    <t>perpendicular fasciculus</t>
  </si>
  <si>
    <t>&lt;http://purl.obolibrary.org/obo/HBA_9272&gt;</t>
  </si>
  <si>
    <t>perpendicular fasciculus, left</t>
  </si>
  <si>
    <t>&lt;http://purl.obolibrary.org/obo/HBA_9273&gt;</t>
  </si>
  <si>
    <t>perpendicular fasciculus, right</t>
  </si>
  <si>
    <t>&lt;http://purl.obolibrary.org/obo/HBA_9274&gt;</t>
  </si>
  <si>
    <t>stria medullaris, left</t>
  </si>
  <si>
    <t>&lt;http://purl.obolibrary.org/obo/HBA_9276&gt;</t>
  </si>
  <si>
    <t>stria medullaris, right</t>
  </si>
  <si>
    <t>&lt;http://purl.obolibrary.org/obo/HBA_9277&gt;</t>
  </si>
  <si>
    <t>stria terminalis, left</t>
  </si>
  <si>
    <t>&lt;http://purl.obolibrary.org/obo/HBA_9279&gt;</t>
  </si>
  <si>
    <t>stria terminalis, right</t>
  </si>
  <si>
    <t>&lt;http://purl.obolibrary.org/obo/HBA_9280&gt;</t>
  </si>
  <si>
    <t>&lt;http://purl.obolibrary.org/obo/HBA_9281&gt;</t>
  </si>
  <si>
    <t>superior longitudinal fasciculus, left</t>
  </si>
  <si>
    <t>&lt;http://purl.obolibrary.org/obo/HBA_9282&gt;</t>
  </si>
  <si>
    <t>superior longitudinal fasciculus, right</t>
  </si>
  <si>
    <t>&lt;http://purl.obolibrary.org/obo/HBA_9283&gt;</t>
  </si>
  <si>
    <t>uncinate fasciculus of the forebrain, left</t>
  </si>
  <si>
    <t>&lt;http://purl.obolibrary.org/obo/HBA_9285&gt;</t>
  </si>
  <si>
    <t>uncinate fasciculus of the forebrain, right</t>
  </si>
  <si>
    <t>&lt;http://purl.obolibrary.org/obo/HBA_9286&gt;</t>
  </si>
  <si>
    <t>&lt;http://purl.obolibrary.org/obo/HBA_9289&gt;</t>
  </si>
  <si>
    <t>inferior cerebellar peduncle, Left</t>
  </si>
  <si>
    <t>&lt;http://purl.obolibrary.org/obo/HBA_9290&gt;</t>
  </si>
  <si>
    <t>&lt;http://purl.obolibrary.org/obo/HBA_9292&gt;</t>
  </si>
  <si>
    <t>middle cerebellar peduncle, Left</t>
  </si>
  <si>
    <t>&lt;http://purl.obolibrary.org/obo/HBA_9293&gt;</t>
  </si>
  <si>
    <t>superior cerebellar peduncle</t>
  </si>
  <si>
    <t>&lt;http://purl.obolibrary.org/obo/HBA_9295&gt;</t>
  </si>
  <si>
    <t>superior cerebellar peduncle, Left</t>
  </si>
  <si>
    <t>&lt;http://purl.obolibrary.org/obo/HBA_9296&gt;</t>
  </si>
  <si>
    <t>olfactory nerve, left</t>
  </si>
  <si>
    <t>&lt;http://purl.obolibrary.org/obo/HBA_9301&gt;</t>
  </si>
  <si>
    <t>olfactory nerve, right</t>
  </si>
  <si>
    <t>&lt;http://purl.obolibrary.org/obo/HBA_9304&gt;</t>
  </si>
  <si>
    <t>olfactory tract, right</t>
  </si>
  <si>
    <t>&lt;http://purl.obolibrary.org/obo/HBA_9305&gt;</t>
  </si>
  <si>
    <t>olfactory bulb, right</t>
  </si>
  <si>
    <t>&lt;http://purl.obolibrary.org/obo/HBA_9306&gt;</t>
  </si>
  <si>
    <t>optic nerve, left</t>
  </si>
  <si>
    <t>&lt;http://purl.obolibrary.org/obo/HBA_9308&gt;</t>
  </si>
  <si>
    <t>optic nerve, right</t>
  </si>
  <si>
    <t>&lt;http://purl.obolibrary.org/obo/HBA_9312&gt;</t>
  </si>
  <si>
    <t>optic tract, right</t>
  </si>
  <si>
    <t>&lt;http://purl.obolibrary.org/obo/HBA_9313&gt;</t>
  </si>
  <si>
    <t>optic chiasm, right</t>
  </si>
  <si>
    <t>&lt;http://purl.obolibrary.org/obo/HBA_9314&gt;</t>
  </si>
  <si>
    <t>optic radiations, right</t>
  </si>
  <si>
    <t>&lt;http://purl.obolibrary.org/obo/HBA_9315&gt;</t>
  </si>
  <si>
    <t>occulomotor nerve, left</t>
  </si>
  <si>
    <t>&lt;http://purl.obolibrary.org/obo/HBA_9317&gt;</t>
  </si>
  <si>
    <t>occulomotor nerve, right</t>
  </si>
  <si>
    <t>&lt;http://purl.obolibrary.org/obo/HBA_9318&gt;</t>
  </si>
  <si>
    <t>trochlear nerve, left</t>
  </si>
  <si>
    <t>&lt;http://purl.obolibrary.org/obo/HBA_9320&gt;</t>
  </si>
  <si>
    <t>trochlear nerve, right</t>
  </si>
  <si>
    <t>&lt;http://purl.obolibrary.org/obo/HBA_9321&gt;</t>
  </si>
  <si>
    <t>trigeminal nerve, left</t>
  </si>
  <si>
    <t>&lt;http://purl.obolibrary.org/obo/HBA_9323&gt;</t>
  </si>
  <si>
    <t>trigeminal nerve, right</t>
  </si>
  <si>
    <t>&lt;http://purl.obolibrary.org/obo/HBA_9324&gt;</t>
  </si>
  <si>
    <t>abducens nerve, left</t>
  </si>
  <si>
    <t>&lt;http://purl.obolibrary.org/obo/HBA_9326&gt;</t>
  </si>
  <si>
    <t>abducens nerve, right</t>
  </si>
  <si>
    <t>&lt;http://purl.obolibrary.org/obo/HBA_9327&gt;</t>
  </si>
  <si>
    <t>facial nerve, left</t>
  </si>
  <si>
    <t>&lt;http://purl.obolibrary.org/obo/HBA_9329&gt;</t>
  </si>
  <si>
    <t>facial nerve, right</t>
  </si>
  <si>
    <t>&lt;http://purl.obolibrary.org/obo/HBA_9330&gt;</t>
  </si>
  <si>
    <t>vestibulchochlear nerve, left</t>
  </si>
  <si>
    <t>&lt;http://purl.obolibrary.org/obo/HBA_9332&gt;</t>
  </si>
  <si>
    <t>vestibulochochlear nerve, right</t>
  </si>
  <si>
    <t>&lt;http://purl.obolibrary.org/obo/HBA_9333&gt;</t>
  </si>
  <si>
    <t>glossopharyngeal nerve, left</t>
  </si>
  <si>
    <t>&lt;http://purl.obolibrary.org/obo/HBA_9335&gt;</t>
  </si>
  <si>
    <t>glossopharyngeal nerve, right</t>
  </si>
  <si>
    <t>&lt;http://purl.obolibrary.org/obo/HBA_9336&gt;</t>
  </si>
  <si>
    <t>vagus nerve, left</t>
  </si>
  <si>
    <t>&lt;http://purl.obolibrary.org/obo/HBA_9338&gt;</t>
  </si>
  <si>
    <t>vagus nerve, right</t>
  </si>
  <si>
    <t>&lt;http://purl.obolibrary.org/obo/HBA_9339&gt;</t>
  </si>
  <si>
    <t>accessory nerve, left</t>
  </si>
  <si>
    <t>&lt;http://purl.obolibrary.org/obo/HBA_9341&gt;</t>
  </si>
  <si>
    <t>accessory nerve, right</t>
  </si>
  <si>
    <t>&lt;http://purl.obolibrary.org/obo/HBA_9342&gt;</t>
  </si>
  <si>
    <t>hypoglossal nerve, left</t>
  </si>
  <si>
    <t>&lt;http://purl.obolibrary.org/obo/HBA_9344&gt;</t>
  </si>
  <si>
    <t>hypoglossal nerve, right</t>
  </si>
  <si>
    <t>&lt;http://purl.obolibrary.org/obo/HBA_9345&gt;</t>
  </si>
  <si>
    <t>&lt;http://purl.obolibrary.org/obo/HBA_9346&gt;</t>
  </si>
  <si>
    <t>dorsal longitudinal fasciculus, Left</t>
  </si>
  <si>
    <t>&lt;http://purl.obolibrary.org/obo/HBA_9347&gt;</t>
  </si>
  <si>
    <t>&lt;http://purl.obolibrary.org/obo/HBA_9349&gt;</t>
  </si>
  <si>
    <t>medial longitudinal fasciculus, Left</t>
  </si>
  <si>
    <t>&lt;http://purl.obolibrary.org/obo/HBA_9350&gt;</t>
  </si>
  <si>
    <t>anteiror parolfactory sulcus</t>
  </si>
  <si>
    <t>&lt;http://purl.obolibrary.org/obo/HBA_9368&gt;</t>
  </si>
  <si>
    <t>parietal lobe sulci</t>
  </si>
  <si>
    <t>&lt;http://purl.obolibrary.org/obo/HBA_9370&gt;</t>
  </si>
  <si>
    <t>primary intermediate sulcus</t>
  </si>
  <si>
    <t>&lt;http://purl.obolibrary.org/obo/HBA_9373&gt;</t>
  </si>
  <si>
    <t>secondary intermediate sulcus</t>
  </si>
  <si>
    <t>&lt;http://purl.obolibrary.org/obo/HBA_9374&gt;</t>
  </si>
  <si>
    <t>superior parietal sulcus</t>
  </si>
  <si>
    <t>&lt;http://purl.obolibrary.org/obo/HBA_9375&gt;</t>
  </si>
  <si>
    <t>temporal lobe sulci</t>
  </si>
  <si>
    <t>&lt;http://purl.obolibrary.org/obo/HBA_9377&gt;</t>
  </si>
  <si>
    <t>parahippocampal sulcus</t>
  </si>
  <si>
    <t>&lt;http://purl.obolibrary.org/obo/HBA_9381&gt;</t>
  </si>
  <si>
    <t>parahippocampal ramus</t>
  </si>
  <si>
    <t>&lt;http://purl.obolibrary.org/obo/HBA_9382&gt;</t>
  </si>
  <si>
    <t>limbic lobe sulci</t>
  </si>
  <si>
    <t>&lt;http://purl.obolibrary.org/obo/HBA_9393&gt;</t>
  </si>
  <si>
    <t>sulcus semi-anularis</t>
  </si>
  <si>
    <t>&lt;http://purl.obolibrary.org/obo/HBA_9395&gt;</t>
  </si>
  <si>
    <t>uncal sulcus</t>
  </si>
  <si>
    <t>&lt;http://purl.obolibrary.org/obo/HBA_9396&gt;</t>
  </si>
  <si>
    <t>prepyramidal/prebiventer fissure</t>
  </si>
  <si>
    <t>&lt;http://purl.obolibrary.org/obo/HBA_9414&gt;</t>
  </si>
  <si>
    <t>intrabiventer fissure</t>
  </si>
  <si>
    <t>&lt;http://purl.obolibrary.org/obo/HBA_9415&gt;</t>
  </si>
  <si>
    <t>lateral dorsal tegmental nucleus</t>
  </si>
  <si>
    <t>&lt;http://purl.obolibrary.org/obo/HBA_9452&gt;</t>
  </si>
  <si>
    <t>lateral dorsal tegmental nucleus, left</t>
  </si>
  <si>
    <t>&lt;http://purl.obolibrary.org/obo/HBA_9453&gt;</t>
  </si>
  <si>
    <t>lateral dorsal tegmental nucleus, right</t>
  </si>
  <si>
    <t>&lt;http://purl.obolibrary.org/obo/HBA_9454&gt;</t>
  </si>
  <si>
    <t>pontine nuclei, left</t>
  </si>
  <si>
    <t>&lt;http://purl.obolibrary.org/obo/HBA_9492&gt;</t>
  </si>
  <si>
    <t>pontine nuclei, right</t>
  </si>
  <si>
    <t>&lt;http://purl.obolibrary.org/obo/HBA_9493&gt;</t>
  </si>
  <si>
    <t>&lt;http://purl.obolibrary.org/obo/HBA_9494&gt;</t>
  </si>
  <si>
    <t>accessory facial nucleus, left</t>
  </si>
  <si>
    <t>&lt;http://purl.obolibrary.org/obo/HBA_9495&gt;</t>
  </si>
  <si>
    <t>accessory facial nucleus, right</t>
  </si>
  <si>
    <t>&lt;http://purl.obolibrary.org/obo/HBA_9496&gt;</t>
  </si>
  <si>
    <t>&lt;http://purl.obolibrary.org/obo/HBA_9497&gt;</t>
  </si>
  <si>
    <t>accessory trigeminal nucleus, left</t>
  </si>
  <si>
    <t>&lt;http://purl.obolibrary.org/obo/HBA_9498&gt;</t>
  </si>
  <si>
    <t>accessory trigeminal nucleus, right</t>
  </si>
  <si>
    <t>&lt;http://purl.obolibrary.org/obo/HBA_9499&gt;</t>
  </si>
  <si>
    <t>facial motor nucleus, left, medial part</t>
  </si>
  <si>
    <t>&lt;http://purl.obolibrary.org/obo/HBA_9500&gt;</t>
  </si>
  <si>
    <t>facial motor nucleus, left, lateral part</t>
  </si>
  <si>
    <t>&lt;http://purl.obolibrary.org/obo/HBA_9501&gt;</t>
  </si>
  <si>
    <t>facial motor nucleus, left, intermediate part</t>
  </si>
  <si>
    <t>&lt;http://purl.obolibrary.org/obo/HBA_9502&gt;</t>
  </si>
  <si>
    <t>facial motor nucleus, left, ventral part</t>
  </si>
  <si>
    <t>&lt;http://purl.obolibrary.org/obo/HBA_9503&gt;</t>
  </si>
  <si>
    <t>facial motor nucleus, left, ventrolateral part</t>
  </si>
  <si>
    <t>&lt;http://purl.obolibrary.org/obo/HBA_9504&gt;</t>
  </si>
  <si>
    <t>facial motor nucleus, left, perifacial zone</t>
  </si>
  <si>
    <t>&lt;http://purl.obolibrary.org/obo/HBA_9505&gt;</t>
  </si>
  <si>
    <t>facial motor nucleus, right, medial part</t>
  </si>
  <si>
    <t>&lt;http://purl.obolibrary.org/obo/HBA_9506&gt;</t>
  </si>
  <si>
    <t>facial motor nucleus, right, lateral part</t>
  </si>
  <si>
    <t>&lt;http://purl.obolibrary.org/obo/HBA_9507&gt;</t>
  </si>
  <si>
    <t>facial motor nucleus, right, intermediate part</t>
  </si>
  <si>
    <t>&lt;http://purl.obolibrary.org/obo/HBA_9508&gt;</t>
  </si>
  <si>
    <t>facial motor nucleus, right, ventral part</t>
  </si>
  <si>
    <t>&lt;http://purl.obolibrary.org/obo/HBA_9509&gt;</t>
  </si>
  <si>
    <t>facial motor nucleus, right, ventrolateral part</t>
  </si>
  <si>
    <t>&lt;http://purl.obolibrary.org/obo/HBA_9510&gt;</t>
  </si>
  <si>
    <t>facial motor nucleus, right, perifacial zone</t>
  </si>
  <si>
    <t>&lt;http://purl.obolibrary.org/obo/HBA_9511&gt;</t>
  </si>
  <si>
    <t>accessory cuneate nucleus, left</t>
  </si>
  <si>
    <t>&lt;http://purl.obolibrary.org/obo/HBA_9514&gt;</t>
  </si>
  <si>
    <t>accessory cuneate nucleus, right</t>
  </si>
  <si>
    <t>&lt;http://purl.obolibrary.org/obo/HBA_9515&gt;</t>
  </si>
  <si>
    <t>ambiguus nucleus, left</t>
  </si>
  <si>
    <t>&lt;http://purl.obolibrary.org/obo/HBA_9517&gt;</t>
  </si>
  <si>
    <t>ambiguus nucleus, right</t>
  </si>
  <si>
    <t>&lt;http://purl.obolibrary.org/obo/HBA_9518&gt;</t>
  </si>
  <si>
    <t>arcuate nucleus of medulla, left</t>
  </si>
  <si>
    <t>&lt;http://purl.obolibrary.org/obo/HBA_9520&gt;</t>
  </si>
  <si>
    <t>arcuate nucleus of medulla, right</t>
  </si>
  <si>
    <t>&lt;http://purl.obolibrary.org/obo/HBA_9521&gt;</t>
  </si>
  <si>
    <t>area postrema, left</t>
  </si>
  <si>
    <t>&lt;http://purl.obolibrary.org/obo/HBA_9523&gt;</t>
  </si>
  <si>
    <t>area postrema, right</t>
  </si>
  <si>
    <t>&lt;http://purl.obolibrary.org/obo/HBA_9524&gt;</t>
  </si>
  <si>
    <t>cochlear nuclei, left</t>
  </si>
  <si>
    <t>&lt;http://purl.obolibrary.org/obo/HBA_9529&gt;</t>
  </si>
  <si>
    <t>ventral cochlear nuclei, left</t>
  </si>
  <si>
    <t>&lt;http://purl.obolibrary.org/obo/HBA_9531&gt;</t>
  </si>
  <si>
    <t>cochlear nuclei, right</t>
  </si>
  <si>
    <t>&lt;http://purl.obolibrary.org/obo/HBA_9534&gt;</t>
  </si>
  <si>
    <t>dorsal cochlear nucleus, right</t>
  </si>
  <si>
    <t>&lt;http://purl.obolibrary.org/obo/HBA_9535&gt;</t>
  </si>
  <si>
    <t>ventral cochlear nuclei, right</t>
  </si>
  <si>
    <t>&lt;http://purl.obolibrary.org/obo/HBA_9536&gt;</t>
  </si>
  <si>
    <t>anteroventral cochlear nucleus, right</t>
  </si>
  <si>
    <t>&lt;http://purl.obolibrary.org/obo/HBA_9537&gt;</t>
  </si>
  <si>
    <t>posteroventral cochlear nucleus, right</t>
  </si>
  <si>
    <t>&lt;http://purl.obolibrary.org/obo/HBA_9538&gt;</t>
  </si>
  <si>
    <t>conterminalis</t>
  </si>
  <si>
    <t>&lt;http://purl.obolibrary.org/obo/HBA_9539&gt;</t>
  </si>
  <si>
    <t>conterminalis, left</t>
  </si>
  <si>
    <t>&lt;http://purl.obolibrary.org/obo/HBA_9540&gt;</t>
  </si>
  <si>
    <t>conterminalis, right</t>
  </si>
  <si>
    <t>&lt;http://purl.obolibrary.org/obo/HBA_9541&gt;</t>
  </si>
  <si>
    <t>cuneate nucleus, left</t>
  </si>
  <si>
    <t>&lt;http://purl.obolibrary.org/obo/HBA_9543&gt;</t>
  </si>
  <si>
    <t>cuneate nucleus, right</t>
  </si>
  <si>
    <t>&lt;http://purl.obolibrary.org/obo/HBA_9544&gt;</t>
  </si>
  <si>
    <t>dorsal motor nucleus of the vagus, left</t>
  </si>
  <si>
    <t>&lt;http://purl.obolibrary.org/obo/HBA_9546&gt;</t>
  </si>
  <si>
    <t>dorsal motor nucleus of the vagus, right</t>
  </si>
  <si>
    <t>&lt;http://purl.obolibrary.org/obo/HBA_9547&gt;</t>
  </si>
  <si>
    <t>endolemniscal nucleus, left</t>
  </si>
  <si>
    <t>&lt;http://purl.obolibrary.org/obo/HBA_9549&gt;</t>
  </si>
  <si>
    <t>endolemniscal nucleus, right</t>
  </si>
  <si>
    <t>&lt;http://purl.obolibrary.org/obo/HBA_9550&gt;</t>
  </si>
  <si>
    <t>epifascicular nucleus, left</t>
  </si>
  <si>
    <t>&lt;http://purl.obolibrary.org/obo/HBA_9552&gt;</t>
  </si>
  <si>
    <t>epifascicular nucleus, right</t>
  </si>
  <si>
    <t>&lt;http://purl.obolibrary.org/obo/HBA_9553&gt;</t>
  </si>
  <si>
    <t>gracile nucleus, left</t>
  </si>
  <si>
    <t>&lt;http://purl.obolibrary.org/obo/HBA_9555&gt;</t>
  </si>
  <si>
    <t>gracile nucleus, right</t>
  </si>
  <si>
    <t>&lt;http://purl.obolibrary.org/obo/HBA_9556&gt;</t>
  </si>
  <si>
    <t>hypoglossal nucleus, left</t>
  </si>
  <si>
    <t>&lt;http://purl.obolibrary.org/obo/HBA_9558&gt;</t>
  </si>
  <si>
    <t>hypoglossal nucleus, right</t>
  </si>
  <si>
    <t>&lt;http://purl.obolibrary.org/obo/HBA_9559&gt;</t>
  </si>
  <si>
    <t>inferior olivary complex, left</t>
  </si>
  <si>
    <t>&lt;http://purl.obolibrary.org/obo/HBA_9561&gt;</t>
  </si>
  <si>
    <t>inferior olivary complex, right</t>
  </si>
  <si>
    <t>&lt;http://purl.obolibrary.org/obo/HBA_9565&gt;</t>
  </si>
  <si>
    <t>dorsal accessory inferior olivary nucleus, right</t>
  </si>
  <si>
    <t>&lt;http://purl.obolibrary.org/obo/HBA_9566&gt;</t>
  </si>
  <si>
    <t>medial accessory inferior olivary nucleus, right</t>
  </si>
  <si>
    <t>&lt;http://purl.obolibrary.org/obo/HBA_9567&gt;</t>
  </si>
  <si>
    <t>principal inferior olivary nucleus, right</t>
  </si>
  <si>
    <t>&lt;http://purl.obolibrary.org/obo/HBA_9568&gt;</t>
  </si>
  <si>
    <t>inferior salivatory nucleus, left</t>
  </si>
  <si>
    <t>&lt;http://purl.obolibrary.org/obo/HBA_9570&gt;</t>
  </si>
  <si>
    <t>inferior salivatory nucleus, right</t>
  </si>
  <si>
    <t>&lt;http://purl.obolibrary.org/obo/HBA_9571&gt;</t>
  </si>
  <si>
    <t>intercalated nucleus, left</t>
  </si>
  <si>
    <t>&lt;http://purl.obolibrary.org/obo/HBA_9573&gt;</t>
  </si>
  <si>
    <t>intercalated nucleus, right</t>
  </si>
  <si>
    <t>&lt;http://purl.obolibrary.org/obo/HBA_9574&gt;</t>
  </si>
  <si>
    <t>&lt;http://purl.obolibrary.org/obo/HBA_9575&gt;</t>
  </si>
  <si>
    <t>interfascicular hypoglossal nucleus, left</t>
  </si>
  <si>
    <t>&lt;http://purl.obolibrary.org/obo/HBA_9576&gt;</t>
  </si>
  <si>
    <t>interfascicular hypoglossal nucleus, right</t>
  </si>
  <si>
    <t>&lt;http://purl.obolibrary.org/obo/HBA_9577&gt;</t>
  </si>
  <si>
    <t>interpositus nucleus, left</t>
  </si>
  <si>
    <t>&lt;http://purl.obolibrary.org/obo/HBA_9579&gt;</t>
  </si>
  <si>
    <t>interpositus nucleus, right</t>
  </si>
  <si>
    <t>&lt;http://purl.obolibrary.org/obo/HBA_9580&gt;</t>
  </si>
  <si>
    <t>lateral pericuneate nucleus, left</t>
  </si>
  <si>
    <t>&lt;http://purl.obolibrary.org/obo/HBA_9582&gt;</t>
  </si>
  <si>
    <t>lateral pericuneate nucleus, right</t>
  </si>
  <si>
    <t>&lt;http://purl.obolibrary.org/obo/HBA_9583&gt;</t>
  </si>
  <si>
    <t>medial pericuneate nucleus, left</t>
  </si>
  <si>
    <t>&lt;http://purl.obolibrary.org/obo/HBA_9585&gt;</t>
  </si>
  <si>
    <t>medial pericuneate nucleus, right</t>
  </si>
  <si>
    <t>&lt;http://purl.obolibrary.org/obo/HBA_9586&gt;</t>
  </si>
  <si>
    <t>central medullary reticular group, left</t>
  </si>
  <si>
    <t>&lt;http://purl.obolibrary.org/obo/HBA_9589&gt;</t>
  </si>
  <si>
    <t>central reticular nucleus of the medulla, left</t>
  </si>
  <si>
    <t>&lt;http://purl.obolibrary.org/obo/HBA_9590&gt;</t>
  </si>
  <si>
    <t>medial reticular nucleus of the medulla, left</t>
  </si>
  <si>
    <t>&lt;http://purl.obolibrary.org/obo/HBA_9591&gt;</t>
  </si>
  <si>
    <t>ventral reticular nucleus of the medulla, left</t>
  </si>
  <si>
    <t>&lt;http://purl.obolibrary.org/obo/HBA_9592&gt;</t>
  </si>
  <si>
    <t>central medullary reticular group, right</t>
  </si>
  <si>
    <t>&lt;http://purl.obolibrary.org/obo/HBA_9593&gt;</t>
  </si>
  <si>
    <t>central reticular nucleus of the medulla, right</t>
  </si>
  <si>
    <t>&lt;http://purl.obolibrary.org/obo/HBA_9594&gt;</t>
  </si>
  <si>
    <t>medial reticular nucleus of the medulla, right</t>
  </si>
  <si>
    <t>&lt;http://purl.obolibrary.org/obo/HBA_9595&gt;</t>
  </si>
  <si>
    <t>ventral reticular nucleus of the medulla, right</t>
  </si>
  <si>
    <t>&lt;http://purl.obolibrary.org/obo/HBA_9596&gt;</t>
  </si>
  <si>
    <t>gigantocellular group, left</t>
  </si>
  <si>
    <t>&lt;http://purl.obolibrary.org/obo/HBA_9598&gt;</t>
  </si>
  <si>
    <t>paragigantocellular nucleus, alpha part, left</t>
  </si>
  <si>
    <t>&lt;http://purl.obolibrary.org/obo/HBA_9599&gt;</t>
  </si>
  <si>
    <t>gigantocellular nucleus, ventral part, left</t>
  </si>
  <si>
    <t>&lt;http://purl.obolibrary.org/obo/HBA_9603&gt;</t>
  </si>
  <si>
    <t>gigantocellular group, right</t>
  </si>
  <si>
    <t>&lt;http://purl.obolibrary.org/obo/HBA_9604&gt;</t>
  </si>
  <si>
    <t>paragigantocellular nucleus, alpha part, right</t>
  </si>
  <si>
    <t>&lt;http://purl.obolibrary.org/obo/HBA_9605&gt;</t>
  </si>
  <si>
    <t>dorsal paragigantocellular nucleus, right</t>
  </si>
  <si>
    <t>&lt;http://purl.obolibrary.org/obo/HBA_9606&gt;</t>
  </si>
  <si>
    <t>lateral paragigantocellular nucleus, right</t>
  </si>
  <si>
    <t>&lt;http://purl.obolibrary.org/obo/HBA_9607&gt;</t>
  </si>
  <si>
    <t>gigantocellular nucleus, right</t>
  </si>
  <si>
    <t>&lt;http://purl.obolibrary.org/obo/HBA_9608&gt;</t>
  </si>
  <si>
    <t>gigantocellular nucleus, ventral part, right</t>
  </si>
  <si>
    <t>&lt;http://purl.obolibrary.org/obo/HBA_9609&gt;</t>
  </si>
  <si>
    <t>intermediate zone, right</t>
  </si>
  <si>
    <t>&lt;http://purl.obolibrary.org/obo/HBA_9612&gt;</t>
  </si>
  <si>
    <t>lateral medullary reticular group, left</t>
  </si>
  <si>
    <t>&lt;http://purl.obolibrary.org/obo/HBA_9614&gt;</t>
  </si>
  <si>
    <t>epiolivary nucleus, left</t>
  </si>
  <si>
    <t>&lt;http://purl.obolibrary.org/obo/HBA_9615&gt;</t>
  </si>
  <si>
    <t>subtrigeminal division, left</t>
  </si>
  <si>
    <t>&lt;http://purl.obolibrary.org/obo/HBA_9617&gt;</t>
  </si>
  <si>
    <t>parvocellular division, left</t>
  </si>
  <si>
    <t>&lt;http://purl.obolibrary.org/obo/HBA_9618&gt;</t>
  </si>
  <si>
    <t>lateral medullary reticular group, right</t>
  </si>
  <si>
    <t>&lt;http://purl.obolibrary.org/obo/HBA_9619&gt;</t>
  </si>
  <si>
    <t>epiolivary nucleus, right</t>
  </si>
  <si>
    <t>&lt;http://purl.obolibrary.org/obo/HBA_9620&gt;</t>
  </si>
  <si>
    <t>lateral reticular nucleus, right</t>
  </si>
  <si>
    <t>&lt;http://purl.obolibrary.org/obo/HBA_9621&gt;</t>
  </si>
  <si>
    <t>subtrigeminal division, right</t>
  </si>
  <si>
    <t>&lt;http://purl.obolibrary.org/obo/HBA_9622&gt;</t>
  </si>
  <si>
    <t>parvocellular division, right</t>
  </si>
  <si>
    <t>&lt;http://purl.obolibrary.org/obo/HBA_9623&gt;</t>
  </si>
  <si>
    <t>parvicellular reticular nucleus, left</t>
  </si>
  <si>
    <t>&lt;http://purl.obolibrary.org/obo/HBA_9625&gt;</t>
  </si>
  <si>
    <t>parvicellular reticular nucleus, right</t>
  </si>
  <si>
    <t>&lt;http://purl.obolibrary.org/obo/HBA_9626&gt;</t>
  </si>
  <si>
    <t>&lt;http://purl.obolibrary.org/obo/HBA_9627&gt;</t>
  </si>
  <si>
    <t>nucleus of Roller, left</t>
  </si>
  <si>
    <t>&lt;http://purl.obolibrary.org/obo/HBA_9628&gt;</t>
  </si>
  <si>
    <t>nucleus of Roller, right</t>
  </si>
  <si>
    <t>&lt;http://purl.obolibrary.org/obo/HBA_9629&gt;</t>
  </si>
  <si>
    <t>paratrigeminal nucleus, left</t>
  </si>
  <si>
    <t>&lt;http://purl.obolibrary.org/obo/HBA_9631&gt;</t>
  </si>
  <si>
    <t>paratrigeminal nucleus, right</t>
  </si>
  <si>
    <t>&lt;http://purl.obolibrary.org/obo/HBA_9632&gt;</t>
  </si>
  <si>
    <t>peritrigeminal nucleus, left</t>
  </si>
  <si>
    <t>&lt;http://purl.obolibrary.org/obo/HBA_9634&gt;</t>
  </si>
  <si>
    <t>peritrigeminal nucleus, right</t>
  </si>
  <si>
    <t>&lt;http://purl.obolibrary.org/obo/HBA_9635&gt;</t>
  </si>
  <si>
    <t>pontobulbar nucleus, left</t>
  </si>
  <si>
    <t>&lt;http://purl.obolibrary.org/obo/HBA_9637&gt;</t>
  </si>
  <si>
    <t>pontobulbar nucleus, right</t>
  </si>
  <si>
    <t>&lt;http://purl.obolibrary.org/obo/HBA_9638&gt;</t>
  </si>
  <si>
    <t>prepositus nucleus, left</t>
  </si>
  <si>
    <t>&lt;http://purl.obolibrary.org/obo/HBA_9640&gt;</t>
  </si>
  <si>
    <t>prepositus nucleus, right</t>
  </si>
  <si>
    <t>&lt;http://purl.obolibrary.org/obo/HBA_9641&gt;</t>
  </si>
  <si>
    <t>nucleus raphe magnus, left</t>
  </si>
  <si>
    <t>&lt;http://purl.obolibrary.org/obo/HBA_9644&gt;</t>
  </si>
  <si>
    <t>nucleus raphe magnus, right</t>
  </si>
  <si>
    <t>&lt;http://purl.obolibrary.org/obo/HBA_9645&gt;</t>
  </si>
  <si>
    <t>nucleus raphe obscurus, left</t>
  </si>
  <si>
    <t>&lt;http://purl.obolibrary.org/obo/HBA_9647&gt;</t>
  </si>
  <si>
    <t>nucleus raphe obscurus, right</t>
  </si>
  <si>
    <t>&lt;http://purl.obolibrary.org/obo/HBA_9648&gt;</t>
  </si>
  <si>
    <t>retroambiguus nucleus, left</t>
  </si>
  <si>
    <t>&lt;http://purl.obolibrary.org/obo/HBA_9651&gt;</t>
  </si>
  <si>
    <t>retroambiguus nucleus, right</t>
  </si>
  <si>
    <t>&lt;http://purl.obolibrary.org/obo/HBA_9652&gt;</t>
  </si>
  <si>
    <t>solitary nucleus, left</t>
  </si>
  <si>
    <t>&lt;http://purl.obolibrary.org/obo/HBA_9654&gt;</t>
  </si>
  <si>
    <t>solitary nucleus, left, commissural subnucleus</t>
  </si>
  <si>
    <t>&lt;http://purl.obolibrary.org/obo/HBA_9655&gt;</t>
  </si>
  <si>
    <t>solitary nucleus, left, dorsal subnucleus</t>
  </si>
  <si>
    <t>&lt;http://purl.obolibrary.org/obo/HBA_9656&gt;</t>
  </si>
  <si>
    <t>solitary nucleus, left, dorsolateral subnucleus</t>
  </si>
  <si>
    <t>&lt;http://purl.obolibrary.org/obo/HBA_9657&gt;</t>
  </si>
  <si>
    <t>solitary nucleus, left, gelantinosus subnucleus</t>
  </si>
  <si>
    <t>&lt;http://purl.obolibrary.org/obo/HBA_9658&gt;</t>
  </si>
  <si>
    <t>solitary nucleus, left, interstitial subnucleus</t>
  </si>
  <si>
    <t>&lt;http://purl.obolibrary.org/obo/HBA_9659&gt;</t>
  </si>
  <si>
    <t>solitary nucleus, left, intermediate subnucleus</t>
  </si>
  <si>
    <t>&lt;http://purl.obolibrary.org/obo/HBA_9660&gt;</t>
  </si>
  <si>
    <t>solitary nucleus, left, paracommissural part</t>
  </si>
  <si>
    <t>&lt;http://purl.obolibrary.org/obo/HBA_9662&gt;</t>
  </si>
  <si>
    <t>solitary nucleus, left, ventral subnucleus</t>
  </si>
  <si>
    <t>&lt;http://purl.obolibrary.org/obo/HBA_9663&gt;</t>
  </si>
  <si>
    <t>solitary nucleus, right</t>
  </si>
  <si>
    <t>&lt;http://purl.obolibrary.org/obo/HBA_9665&gt;</t>
  </si>
  <si>
    <t>solitary nucleus, right, commissural subnucleus</t>
  </si>
  <si>
    <t>&lt;http://purl.obolibrary.org/obo/HBA_9666&gt;</t>
  </si>
  <si>
    <t>solitary nucleus, right, dorsal subnucleus</t>
  </si>
  <si>
    <t>&lt;http://purl.obolibrary.org/obo/HBA_9667&gt;</t>
  </si>
  <si>
    <t>solitary nucleus, right, dorsolateral subnucleus</t>
  </si>
  <si>
    <t>&lt;http://purl.obolibrary.org/obo/HBA_9668&gt;</t>
  </si>
  <si>
    <t>solitary nucleus, right, gelantinosus subnucleus</t>
  </si>
  <si>
    <t>&lt;http://purl.obolibrary.org/obo/HBA_9669&gt;</t>
  </si>
  <si>
    <t>solitary nucleus, right, interstitial subnucleus</t>
  </si>
  <si>
    <t>&lt;http://purl.obolibrary.org/obo/HBA_9670&gt;</t>
  </si>
  <si>
    <t>solitary nucleus, right, intermediate subnucleus</t>
  </si>
  <si>
    <t>&lt;http://purl.obolibrary.org/obo/HBA_9671&gt;</t>
  </si>
  <si>
    <t>solitary nucleus, right, meidal subnucleus</t>
  </si>
  <si>
    <t>&lt;http://purl.obolibrary.org/obo/HBA_9672&gt;</t>
  </si>
  <si>
    <t>solitary nucleus, right, paracommissural part</t>
  </si>
  <si>
    <t>&lt;http://purl.obolibrary.org/obo/HBA_9673&gt;</t>
  </si>
  <si>
    <t>solitary nucleus, right, ventral subnucleus</t>
  </si>
  <si>
    <t>&lt;http://purl.obolibrary.org/obo/HBA_9674&gt;</t>
  </si>
  <si>
    <t>ventrolateral subnucleus of solitary tract, right</t>
  </si>
  <si>
    <t>&lt;http://purl.obolibrary.org/obo/HBA_9675&gt;</t>
  </si>
  <si>
    <t>spinal trigeminal nucleus, left</t>
  </si>
  <si>
    <t>&lt;http://purl.obolibrary.org/obo/HBA_9677&gt;</t>
  </si>
  <si>
    <t>caudal spinal trigeminal nucleus, left</t>
  </si>
  <si>
    <t>&lt;http://purl.obolibrary.org/obo/HBA_9680&gt;</t>
  </si>
  <si>
    <t>caudal spinal trigeminal nucleus, left, gelatenous part</t>
  </si>
  <si>
    <t>&lt;http://purl.obolibrary.org/obo/HBA_9681&gt;</t>
  </si>
  <si>
    <t>caudal spinal trigeminal nucleus, left, magnocellular part</t>
  </si>
  <si>
    <t>&lt;http://purl.obolibrary.org/obo/HBA_9682&gt;</t>
  </si>
  <si>
    <t>caudal spinal trigeminal nucleus, left, zonal part</t>
  </si>
  <si>
    <t>&lt;http://purl.obolibrary.org/obo/HBA_9683&gt;</t>
  </si>
  <si>
    <t>spinal trigeminal nucleus, right</t>
  </si>
  <si>
    <t>&lt;http://purl.obolibrary.org/obo/HBA_9684&gt;</t>
  </si>
  <si>
    <t>interpolar part of spinal trigeminal nucleus, right</t>
  </si>
  <si>
    <t>&lt;http://purl.obolibrary.org/obo/HBA_9685&gt;</t>
  </si>
  <si>
    <t>oral part of spinal trigeminal nucleus, right</t>
  </si>
  <si>
    <t>&lt;http://purl.obolibrary.org/obo/HBA_9686&gt;</t>
  </si>
  <si>
    <t>caudal spinal trigeminal nucleus, right</t>
  </si>
  <si>
    <t>&lt;http://purl.obolibrary.org/obo/HBA_9687&gt;</t>
  </si>
  <si>
    <t>caudal spinal trigeminal nucleus, right, gelatenous part</t>
  </si>
  <si>
    <t>&lt;http://purl.obolibrary.org/obo/HBA_9688&gt;</t>
  </si>
  <si>
    <t>caudal spinal trigeminal nucleus, right, magnocellular part</t>
  </si>
  <si>
    <t>&lt;http://purl.obolibrary.org/obo/HBA_9689&gt;</t>
  </si>
  <si>
    <t>caudal spinal trigeminal nucleus, right, zonal part</t>
  </si>
  <si>
    <t>&lt;http://purl.obolibrary.org/obo/HBA_9690&gt;</t>
  </si>
  <si>
    <t>suprageniculate nucleus of the medulla</t>
  </si>
  <si>
    <t>&lt;http://purl.obolibrary.org/obo/HBA_9691&gt;</t>
  </si>
  <si>
    <t>suprageniculate nucleus of the medulla, left</t>
  </si>
  <si>
    <t>&lt;http://purl.obolibrary.org/obo/HBA_9692&gt;</t>
  </si>
  <si>
    <t>suprageniculate nucleus of the medulla, right</t>
  </si>
  <si>
    <t>&lt;http://purl.obolibrary.org/obo/HBA_9693&gt;</t>
  </si>
  <si>
    <t>supraspinal nucleus</t>
  </si>
  <si>
    <t>&lt;http://purl.obolibrary.org/obo/HBA_9694&gt;</t>
  </si>
  <si>
    <t>supraspinal nucleus, left</t>
  </si>
  <si>
    <t>&lt;http://purl.obolibrary.org/obo/HBA_9695&gt;</t>
  </si>
  <si>
    <t>supraspinal nucleus, right</t>
  </si>
  <si>
    <t>&lt;http://purl.obolibrary.org/obo/HBA_9696&gt;</t>
  </si>
  <si>
    <t>vestibular nuclei, left</t>
  </si>
  <si>
    <t>&lt;http://purl.obolibrary.org/obo/HBA_9698&gt;</t>
  </si>
  <si>
    <t>superior vestibular nucleus, left</t>
  </si>
  <si>
    <t>&lt;http://purl.obolibrary.org/obo/HBA_9701&gt;</t>
  </si>
  <si>
    <t>vestibular nuclei, right</t>
  </si>
  <si>
    <t>&lt;http://purl.obolibrary.org/obo/HBA_9703&gt;</t>
  </si>
  <si>
    <t>lateral vestibular nucleus, right</t>
  </si>
  <si>
    <t>&lt;http://purl.obolibrary.org/obo/HBA_9704&gt;</t>
  </si>
  <si>
    <t>medial vestibular nucleus, right</t>
  </si>
  <si>
    <t>&lt;http://purl.obolibrary.org/obo/HBA_9705&gt;</t>
  </si>
  <si>
    <t>superior vestibular nucleus, right</t>
  </si>
  <si>
    <t>&lt;http://purl.obolibrary.org/obo/HBA_9706&gt;</t>
  </si>
  <si>
    <t>spinal vestibular nucleus, right</t>
  </si>
  <si>
    <t>&lt;http://purl.obolibrary.org/obo/HBA_9707&gt;</t>
  </si>
  <si>
    <t>primary auditory area</t>
  </si>
  <si>
    <t>&lt;http://purl.obolibrary.org/obo/MBA_1002&gt;</t>
  </si>
  <si>
    <t>primary auditory area, layer 6b</t>
  </si>
  <si>
    <t>&lt;http://purl.obolibrary.org/obo/MBA_1005&gt;</t>
  </si>
  <si>
    <t>primary somatosensory area, trunk, layer 1</t>
  </si>
  <si>
    <t>&lt;http://purl.obolibrary.org/obo/MBA_1006&gt;</t>
  </si>
  <si>
    <t>&lt;http://purl.obolibrary.org/obo/MBA_101&gt;</t>
  </si>
  <si>
    <t>visceral area, layer 4</t>
  </si>
  <si>
    <t>&lt;http://purl.obolibrary.org/obo/MBA_1010&gt;</t>
  </si>
  <si>
    <t>anterior cingulate area, dorsal part, layer 5</t>
  </si>
  <si>
    <t>&lt;http://purl.obolibrary.org/obo/MBA_1015&gt;</t>
  </si>
  <si>
    <t>ventral auditory area</t>
  </si>
  <si>
    <t>&lt;http://purl.obolibrary.org/obo/MBA_1018&gt;</t>
  </si>
  <si>
    <t>secondary motor area, layer 6a</t>
  </si>
  <si>
    <t>&lt;http://purl.obolibrary.org/obo/MBA_1021&gt;</t>
  </si>
  <si>
    <t>ventral auditory area, layer 5</t>
  </si>
  <si>
    <t>&lt;http://purl.obolibrary.org/obo/MBA_1023&gt;</t>
  </si>
  <si>
    <t>primary somatosensory area, upper limb, layer 6b</t>
  </si>
  <si>
    <t>&lt;http://purl.obolibrary.org/obo/MBA_1026&gt;</t>
  </si>
  <si>
    <t>posterior auditory area</t>
  </si>
  <si>
    <t>&lt;http://purl.obolibrary.org/obo/MBA_1027&gt;</t>
  </si>
  <si>
    <t>primary somatosensory area, lower limb, layer 1</t>
  </si>
  <si>
    <t>&lt;http://purl.obolibrary.org/obo/MBA_1030&gt;</t>
  </si>
  <si>
    <t>taenia tecta, dorsal part, layer 1</t>
  </si>
  <si>
    <t>&lt;http://purl.obolibrary.org/obo/MBA_1034&gt;</t>
  </si>
  <si>
    <t>supplemental somatosensory area, layer 4</t>
  </si>
  <si>
    <t>&lt;http://purl.obolibrary.org/obo/MBA_1035&gt;</t>
  </si>
  <si>
    <t>agranular insular area, dorsal part</t>
  </si>
  <si>
    <t>&lt;http://purl.obolibrary.org/obo/MBA_104&gt;</t>
  </si>
  <si>
    <t>taenia tecta, dorsal part, layer 2</t>
  </si>
  <si>
    <t>&lt;http://purl.obolibrary.org/obo/MBA_1042&gt;</t>
  </si>
  <si>
    <t>ectorhinal area/Layer 6b</t>
  </si>
  <si>
    <t>&lt;http://purl.obolibrary.org/obo/MBA_1045&gt;</t>
  </si>
  <si>
    <t>anteromedial visual area, layer 6a</t>
  </si>
  <si>
    <t>&lt;http://purl.obolibrary.org/obo/MBA_1046&gt;</t>
  </si>
  <si>
    <t>taenia tecta, dorsal part, layer 3</t>
  </si>
  <si>
    <t>&lt;http://purl.obolibrary.org/obo/MBA_1050&gt;</t>
  </si>
  <si>
    <t>anterior cingulate area, layer 2/3</t>
  </si>
  <si>
    <t>&lt;http://purl.obolibrary.org/obo/MBA_1053&gt;</t>
  </si>
  <si>
    <t>infralimbic area, layer 6a</t>
  </si>
  <si>
    <t>&lt;http://purl.obolibrary.org/obo/MBA_1054&gt;</t>
  </si>
  <si>
    <t>gustatory areas</t>
  </si>
  <si>
    <t>&lt;http://purl.obolibrary.org/obo/MBA_1057&gt;</t>
  </si>
  <si>
    <t>visceral area, layer 5</t>
  </si>
  <si>
    <t>&lt;http://purl.obolibrary.org/obo/MBA_1058&gt;</t>
  </si>
  <si>
    <t>taenia tecta, dorsal part, layer 4</t>
  </si>
  <si>
    <t>&lt;http://purl.obolibrary.org/obo/MBA_1059&gt;</t>
  </si>
  <si>
    <t>anteromedial visual area, layer 2/3</t>
  </si>
  <si>
    <t>&lt;http://purl.obolibrary.org/obo/MBA_1066&gt;</t>
  </si>
  <si>
    <t>taenia tecta, ventral part, layer 1</t>
  </si>
  <si>
    <t>&lt;http://purl.obolibrary.org/obo/MBA_1067&gt;</t>
  </si>
  <si>
    <t>parapyramidal nucleus</t>
  </si>
  <si>
    <t>&lt;http://purl.obolibrary.org/obo/MBA_1069&gt;</t>
  </si>
  <si>
    <t>parasubiculum, layer 1</t>
  </si>
  <si>
    <t>&lt;http://purl.obolibrary.org/obo/MBA_10693&gt;</t>
  </si>
  <si>
    <t>parasubiculum, layer 2</t>
  </si>
  <si>
    <t>&lt;http://purl.obolibrary.org/obo/MBA_10694&gt;</t>
  </si>
  <si>
    <t>parasubiculum, layer 3</t>
  </si>
  <si>
    <t>&lt;http://purl.obolibrary.org/obo/MBA_10695&gt;</t>
  </si>
  <si>
    <t>postsubiculum, layer 1</t>
  </si>
  <si>
    <t>&lt;http://purl.obolibrary.org/obo/MBA_10696&gt;</t>
  </si>
  <si>
    <t>postsubiculum, layer 2</t>
  </si>
  <si>
    <t>&lt;http://purl.obolibrary.org/obo/MBA_10697&gt;</t>
  </si>
  <si>
    <t>postsubiculum, layer 3</t>
  </si>
  <si>
    <t>&lt;http://purl.obolibrary.org/obo/MBA_10698&gt;</t>
  </si>
  <si>
    <t>presubiculum, layer 1</t>
  </si>
  <si>
    <t>&lt;http://purl.obolibrary.org/obo/MBA_10699&gt;</t>
  </si>
  <si>
    <t>somatomotor areas, Layer 1</t>
  </si>
  <si>
    <t>&lt;http://purl.obolibrary.org/obo/MBA_107&gt;</t>
  </si>
  <si>
    <t>presubiculum, layer 2</t>
  </si>
  <si>
    <t>&lt;http://purl.obolibrary.org/obo/MBA_10700&gt;</t>
  </si>
  <si>
    <t>presubiculum, layer 3</t>
  </si>
  <si>
    <t>&lt;http://purl.obolibrary.org/obo/MBA_10701&gt;</t>
  </si>
  <si>
    <t>anterolateral visual area, layer 1</t>
  </si>
  <si>
    <t>&lt;http://purl.obolibrary.org/obo/MBA_1074&gt;</t>
  </si>
  <si>
    <t>taenia tecta, ventral part, layer 2</t>
  </si>
  <si>
    <t>&lt;http://purl.obolibrary.org/obo/MBA_1075&gt;</t>
  </si>
  <si>
    <t>efferent cochleovestibular bundle</t>
  </si>
  <si>
    <t>&lt;http://purl.obolibrary.org/obo/MBA_1076&gt;</t>
  </si>
  <si>
    <t>hippocampal region</t>
  </si>
  <si>
    <t>&lt;http://purl.obolibrary.org/obo/MBA_1080&gt;</t>
  </si>
  <si>
    <t>infralimbic area, layer 6b</t>
  </si>
  <si>
    <t>&lt;http://purl.obolibrary.org/obo/MBA_1081&gt;</t>
  </si>
  <si>
    <t>taenia tecta, ventral part, layer 3</t>
  </si>
  <si>
    <t>&lt;http://purl.obolibrary.org/obo/MBA_1082&gt;</t>
  </si>
  <si>
    <t>secondary motor area, layer 6b</t>
  </si>
  <si>
    <t>&lt;http://purl.obolibrary.org/obo/MBA_1085&gt;</t>
  </si>
  <si>
    <t>primary somatosensory area, trunk, layer 4</t>
  </si>
  <si>
    <t>&lt;http://purl.obolibrary.org/obo/MBA_1086&gt;</t>
  </si>
  <si>
    <t>supplemental somatosensory area, layer 5</t>
  </si>
  <si>
    <t>&lt;http://purl.obolibrary.org/obo/MBA_1090&gt;</t>
  </si>
  <si>
    <t>primary somatosensory area, lower limb, layer 4</t>
  </si>
  <si>
    <t>&lt;http://purl.obolibrary.org/obo/MBA_1094&gt;</t>
  </si>
  <si>
    <t>medullary reticular nucleus, dorsal part</t>
  </si>
  <si>
    <t>&lt;http://purl.obolibrary.org/obo/MBA_1098&gt;</t>
  </si>
  <si>
    <t>agranular insular area, dorsal part, layer 5</t>
  </si>
  <si>
    <t>&lt;http://purl.obolibrary.org/obo/MBA_1101&gt;</t>
  </si>
  <si>
    <t>primary somatosensory area, mouth, layer 6a</t>
  </si>
  <si>
    <t>&lt;http://purl.obolibrary.org/obo/MBA_1102&gt;</t>
  </si>
  <si>
    <t>visceral area, layer 2/3</t>
  </si>
  <si>
    <t>&lt;http://purl.obolibrary.org/obo/MBA_1106&gt;</t>
  </si>
  <si>
    <t>medullary reticular nucleus, ventral part</t>
  </si>
  <si>
    <t>&lt;http://purl.obolibrary.org/obo/MBA_1107&gt;</t>
  </si>
  <si>
    <t>agranular insular area, posterior part</t>
  </si>
  <si>
    <t>&lt;http://purl.obolibrary.org/obo/MBA_111&gt;</t>
  </si>
  <si>
    <t>primary somatosensory area, trunk, layer 5</t>
  </si>
  <si>
    <t>&lt;http://purl.obolibrary.org/obo/MBA_1111&gt;</t>
  </si>
  <si>
    <t>anterolateral visual area, layer 4</t>
  </si>
  <si>
    <t>&lt;http://purl.obolibrary.org/obo/MBA_1114&gt;</t>
  </si>
  <si>
    <t>pons, behavioral state related</t>
  </si>
  <si>
    <t>&lt;http://purl.obolibrary.org/obo/MBA_1117&gt;</t>
  </si>
  <si>
    <t>granular lamina of the cochlear nuclei</t>
  </si>
  <si>
    <t>&lt;http://purl.obolibrary.org/obo/MBA_112&gt;</t>
  </si>
  <si>
    <t>entorhinal area, lateral part, layer 1</t>
  </si>
  <si>
    <t>&lt;http://purl.obolibrary.org/obo/MBA_1121&gt;</t>
  </si>
  <si>
    <t>orbital area, ventrolateral part, layer 5</t>
  </si>
  <si>
    <t>&lt;http://purl.obolibrary.org/obo/MBA_1125&gt;</t>
  </si>
  <si>
    <t>temporal association areas, layer 2/3</t>
  </si>
  <si>
    <t>&lt;http://purl.obolibrary.org/obo/MBA_1127&gt;</t>
  </si>
  <si>
    <t>primary somatosensory area, lower limb, layer 5</t>
  </si>
  <si>
    <t>&lt;http://purl.obolibrary.org/obo/MBA_1128&gt;</t>
  </si>
  <si>
    <t>primary somatosensory area, lower limb, layer 2/3</t>
  </si>
  <si>
    <t>&lt;http://purl.obolibrary.org/obo/MBA_113&gt;</t>
  </si>
  <si>
    <t>pons, sensory related</t>
  </si>
  <si>
    <t>&lt;http://purl.obolibrary.org/obo/MBA_1132&gt;</t>
  </si>
  <si>
    <t>entorhinal area, medial part, ventral zone, layer 5/6</t>
  </si>
  <si>
    <t>&lt;http://purl.obolibrary.org/obo/MBA_1133&gt;</t>
  </si>
  <si>
    <t>nucleus of the lateral olfactory tract, layer 3</t>
  </si>
  <si>
    <t>&lt;http://purl.obolibrary.org/obo/MBA_1139&gt;</t>
  </si>
  <si>
    <t>postpiriform transition area, layers 1</t>
  </si>
  <si>
    <t>&lt;http://purl.obolibrary.org/obo/MBA_1140&gt;</t>
  </si>
  <si>
    <t>postpiriform transition area, layers 2</t>
  </si>
  <si>
    <t>&lt;http://purl.obolibrary.org/obo/MBA_1141&gt;</t>
  </si>
  <si>
    <t>postpiriform transition area, layers 3</t>
  </si>
  <si>
    <t>&lt;http://purl.obolibrary.org/obo/MBA_1142&gt;</t>
  </si>
  <si>
    <t>choroid fissure</t>
  </si>
  <si>
    <t>&lt;http://purl.obolibrary.org/obo/MBA_116&gt;</t>
  </si>
  <si>
    <t>agranular insular area, ventral part</t>
  </si>
  <si>
    <t>&lt;http://purl.obolibrary.org/obo/MBA_119&gt;</t>
  </si>
  <si>
    <t>agranular insular area, posterior part, layer 1</t>
  </si>
  <si>
    <t>&lt;http://purl.obolibrary.org/obo/MBA_120&gt;</t>
  </si>
  <si>
    <t>lateral visual area, layer 6b</t>
  </si>
  <si>
    <t>&lt;http://purl.obolibrary.org/obo/MBA_121&gt;</t>
  </si>
  <si>
    <t>koelliker-Fuse subnucleus</t>
  </si>
  <si>
    <t>&lt;http://purl.obolibrary.org/obo/MBA_123&gt;</t>
  </si>
  <si>
    <t>somatosensory areas, layer 1</t>
  </si>
  <si>
    <t>&lt;http://purl.obolibrary.org/obo/MBA_12993&gt;</t>
  </si>
  <si>
    <t>somatosensory areas, layer 2/3</t>
  </si>
  <si>
    <t>&lt;http://purl.obolibrary.org/obo/MBA_12994&gt;</t>
  </si>
  <si>
    <t>somatosensory areas, layer 4</t>
  </si>
  <si>
    <t>&lt;http://purl.obolibrary.org/obo/MBA_12995&gt;</t>
  </si>
  <si>
    <t>somatosensory areas, layer 5</t>
  </si>
  <si>
    <t>&lt;http://purl.obolibrary.org/obo/MBA_12996&gt;</t>
  </si>
  <si>
    <t>somatosensory areas, layer 6a</t>
  </si>
  <si>
    <t>&lt;http://purl.obolibrary.org/obo/MBA_12997&gt;</t>
  </si>
  <si>
    <t>somatosensory areas, layer 6b</t>
  </si>
  <si>
    <t>&lt;http://purl.obolibrary.org/obo/MBA_12998&gt;</t>
  </si>
  <si>
    <t>superior central nucleus raphe, medial part</t>
  </si>
  <si>
    <t>&lt;http://purl.obolibrary.org/obo/MBA_130&gt;</t>
  </si>
  <si>
    <t>prelimbic area, layer 6b</t>
  </si>
  <si>
    <t>&lt;http://purl.obolibrary.org/obo/MBA_132&gt;</t>
  </si>
  <si>
    <t>superior central nucleus raphe, lateral part</t>
  </si>
  <si>
    <t>&lt;http://purl.obolibrary.org/obo/MBA_137&gt;</t>
  </si>
  <si>
    <t>entorhinal area, lateral part, layer 5</t>
  </si>
  <si>
    <t>&lt;http://purl.obolibrary.org/obo/MBA_139&gt;</t>
  </si>
  <si>
    <t>nucleus ambiguus, ventral division</t>
  </si>
  <si>
    <t>&lt;http://purl.obolibrary.org/obo/MBA_143&gt;</t>
  </si>
  <si>
    <t>olfactory tubercle, layers 1-3</t>
  </si>
  <si>
    <t>&lt;http://purl.obolibrary.org/obo/MBA_144&gt;</t>
  </si>
  <si>
    <t>gustatory areas, layer 4</t>
  </si>
  <si>
    <t>&lt;http://purl.obolibrary.org/obo/MBA_148&gt;</t>
  </si>
  <si>
    <t>piriform area, layers 1-3</t>
  </si>
  <si>
    <t>&lt;http://purl.obolibrary.org/obo/MBA_152&gt;</t>
  </si>
  <si>
    <t>perihypoglossal nuclei</t>
  </si>
  <si>
    <t>&lt;http://purl.obolibrary.org/obo/MBA_154&gt;</t>
  </si>
  <si>
    <t>dorsal auditory area, layer 6a</t>
  </si>
  <si>
    <t>&lt;http://purl.obolibrary.org/obo/MBA_156&gt;</t>
  </si>
  <si>
    <t>layer 6b, isocortex</t>
  </si>
  <si>
    <t>&lt;http://purl.obolibrary.org/obo/MBA_16&gt;</t>
  </si>
  <si>
    <t>anterior olfactory nucleus, layer 1</t>
  </si>
  <si>
    <t>&lt;http://purl.obolibrary.org/obo/MBA_160&gt;</t>
  </si>
  <si>
    <t>agranular insular area, posterior part, layer 2/3</t>
  </si>
  <si>
    <t>&lt;http://purl.obolibrary.org/obo/MBA_163&gt;</t>
  </si>
  <si>
    <t>anterior olfactory nucleus, dorsal part</t>
  </si>
  <si>
    <t>&lt;http://purl.obolibrary.org/obo/MBA_167&gt;</t>
  </si>
  <si>
    <t>anterior olfactory nucleus, layer 2</t>
  </si>
  <si>
    <t>&lt;http://purl.obolibrary.org/obo/MBA_168&gt;</t>
  </si>
  <si>
    <t>prelimbic area, layer 1</t>
  </si>
  <si>
    <t>&lt;http://purl.obolibrary.org/obo/MBA_171&gt;</t>
  </si>
  <si>
    <t>anterior olfactory nucleus, external part</t>
  </si>
  <si>
    <t>&lt;http://purl.obolibrary.org/obo/MBA_175&gt;</t>
  </si>
  <si>
    <t>&lt;http://purl.obolibrary.org/obo/MBA_177&gt;</t>
  </si>
  <si>
    <t>anterior cingulate area, layer 6a</t>
  </si>
  <si>
    <t>&lt;http://purl.obolibrary.org/obo/MBA_179&gt;</t>
  </si>
  <si>
    <t>gustatory areas, layer 2/3</t>
  </si>
  <si>
    <t>&lt;http://purl.obolibrary.org/obo/MBA_180&gt;</t>
  </si>
  <si>
    <t>primary somatosensory area, unassigned</t>
  </si>
  <si>
    <t>&lt;http://purl.obolibrary.org/obo/MBA_182305689&gt;</t>
  </si>
  <si>
    <t>primary somatosensory area, unassigned, layer 1</t>
  </si>
  <si>
    <t>&lt;http://purl.obolibrary.org/obo/MBA_182305693&gt;</t>
  </si>
  <si>
    <t>primary somatosensory area, unassigned, layer 2/3</t>
  </si>
  <si>
    <t>&lt;http://purl.obolibrary.org/obo/MBA_182305697&gt;</t>
  </si>
  <si>
    <t>primary somatosensory area, unassigned, layer 4</t>
  </si>
  <si>
    <t>&lt;http://purl.obolibrary.org/obo/MBA_182305701&gt;</t>
  </si>
  <si>
    <t>primary somatosensory area, unassigned, layer 5</t>
  </si>
  <si>
    <t>&lt;http://purl.obolibrary.org/obo/MBA_182305705&gt;</t>
  </si>
  <si>
    <t>primary somatosensory area, unassigned, layer 6a</t>
  </si>
  <si>
    <t>&lt;http://purl.obolibrary.org/obo/MBA_182305709&gt;</t>
  </si>
  <si>
    <t>primary somatosensory area, unassigned, layer 6b</t>
  </si>
  <si>
    <t>&lt;http://purl.obolibrary.org/obo/MBA_182305713&gt;</t>
  </si>
  <si>
    <t>anterior olfactory nucleus, lateral part</t>
  </si>
  <si>
    <t>&lt;http://purl.obolibrary.org/obo/MBA_183&gt;</t>
  </si>
  <si>
    <t>parapyramidal nucleus, deep part</t>
  </si>
  <si>
    <t>&lt;http://purl.obolibrary.org/obo/MBA_185&gt;</t>
  </si>
  <si>
    <t>gustatory areas, layer 5</t>
  </si>
  <si>
    <t>&lt;http://purl.obolibrary.org/obo/MBA_187&gt;</t>
  </si>
  <si>
    <t>anterior olfactory nucleus, medial part</t>
  </si>
  <si>
    <t>&lt;http://purl.obolibrary.org/obo/MBA_191&gt;</t>
  </si>
  <si>
    <t>cortical amygdalar area, anterior part, layer 1</t>
  </si>
  <si>
    <t>&lt;http://purl.obolibrary.org/obo/MBA_192&gt;</t>
  </si>
  <si>
    <t>parapyramidal nucleus, superficial part</t>
  </si>
  <si>
    <t>&lt;http://purl.obolibrary.org/obo/MBA_193&gt;</t>
  </si>
  <si>
    <t>prelimbic area, layer 2</t>
  </si>
  <si>
    <t>&lt;http://purl.obolibrary.org/obo/MBA_195&gt;</t>
  </si>
  <si>
    <t>anterior olfactory nucleus, posteroventral part</t>
  </si>
  <si>
    <t>&lt;http://purl.obolibrary.org/obo/MBA_199&gt;</t>
  </si>
  <si>
    <t>primary somatosensory area, mouth, layer 6b</t>
  </si>
  <si>
    <t>&lt;http://purl.obolibrary.org/obo/MBA_2&gt;</t>
  </si>
  <si>
    <t>entorhinal area, lateral part, layer 2</t>
  </si>
  <si>
    <t>&lt;http://purl.obolibrary.org/obo/MBA_20&gt;</t>
  </si>
  <si>
    <t>cortical amygdalar area, anterior part, layer 2</t>
  </si>
  <si>
    <t>&lt;http://purl.obolibrary.org/obo/MBA_200&gt;</t>
  </si>
  <si>
    <t>linear nucleus of the medulla</t>
  </si>
  <si>
    <t>&lt;http://purl.obolibrary.org/obo/MBA_203&gt;</t>
  </si>
  <si>
    <t>cortical amygdalar area, anterior part, layer 3</t>
  </si>
  <si>
    <t>&lt;http://purl.obolibrary.org/obo/MBA_208&gt;</t>
  </si>
  <si>
    <t>anterior cingulate area, dorsal part, layer 2/3</t>
  </si>
  <si>
    <t>&lt;http://purl.obolibrary.org/obo/MBA_211&gt;</t>
  </si>
  <si>
    <t>cortical amygdalar area, posterior part, lateral zone, layer 1</t>
  </si>
  <si>
    <t>&lt;http://purl.obolibrary.org/obo/MBA_216&gt;</t>
  </si>
  <si>
    <t>&lt;http://purl.obolibrary.org/obo/MBA_217&gt;</t>
  </si>
  <si>
    <t>somatomotor areas, Layer 2/3</t>
  </si>
  <si>
    <t>&lt;http://purl.obolibrary.org/obo/MBA_219&gt;</t>
  </si>
  <si>
    <t>rubroreticular tract</t>
  </si>
  <si>
    <t>&lt;http://purl.obolibrary.org/obo/MBA_221&gt;</t>
  </si>
  <si>
    <t>cortical amygdalar area, posterior part, lateral zone, layer 2</t>
  </si>
  <si>
    <t>&lt;http://purl.obolibrary.org/obo/MBA_224&gt;</t>
  </si>
  <si>
    <t>anterior cingulate area, layer 6b</t>
  </si>
  <si>
    <t>&lt;http://purl.obolibrary.org/obo/MBA_227&gt;</t>
  </si>
  <si>
    <t>cortical amygdalar area, posterior part, lateral zone, layer 3</t>
  </si>
  <si>
    <t>&lt;http://purl.obolibrary.org/obo/MBA_232&gt;</t>
  </si>
  <si>
    <t>temporal association areas, layer 4</t>
  </si>
  <si>
    <t>&lt;http://purl.obolibrary.org/obo/MBA_234&gt;</t>
  </si>
  <si>
    <t>main olfactory bulb, mitral layer</t>
  </si>
  <si>
    <t>&lt;http://purl.obolibrary.org/obo/MBA_236&gt;</t>
  </si>
  <si>
    <t>cortical amygdalar area, posterior part, medial zone, layer 1</t>
  </si>
  <si>
    <t>&lt;http://purl.obolibrary.org/obo/MBA_240&gt;</t>
  </si>
  <si>
    <t>posterior parietal association areas, layer 2/3</t>
  </si>
  <si>
    <t>&lt;http://purl.obolibrary.org/obo/MBA_241&gt;</t>
  </si>
  <si>
    <t>dorsal auditory area, layer 6b</t>
  </si>
  <si>
    <t>&lt;http://purl.obolibrary.org/obo/MBA_243&gt;</t>
  </si>
  <si>
    <t>main olfactory bulb, outer plexiform layer</t>
  </si>
  <si>
    <t>&lt;http://purl.obolibrary.org/obo/MBA_244&gt;</t>
  </si>
  <si>
    <t>cortical amygdalar area, posterior part, medial zone, layer 2</t>
  </si>
  <si>
    <t>&lt;http://purl.obolibrary.org/obo/MBA_248&gt;</t>
  </si>
  <si>
    <t>posterior auditory area, layer 6a</t>
  </si>
  <si>
    <t>&lt;http://purl.obolibrary.org/obo/MBA_249&gt;</t>
  </si>
  <si>
    <t>lateral septal nucleus, caudal (caudodorsal) part</t>
  </si>
  <si>
    <t>&lt;http://purl.obolibrary.org/obo/MBA_250&gt;</t>
  </si>
  <si>
    <t>primary auditory area, layer 2/3</t>
  </si>
  <si>
    <t>&lt;http://purl.obolibrary.org/obo/MBA_251&gt;</t>
  </si>
  <si>
    <t>dorsal auditory area, layer 5</t>
  </si>
  <si>
    <t>&lt;http://purl.obolibrary.org/obo/MBA_252&gt;</t>
  </si>
  <si>
    <t>cortical amygdalar area, posterior part, medial zone, layer 3</t>
  </si>
  <si>
    <t>&lt;http://purl.obolibrary.org/obo/MBA_256&gt;</t>
  </si>
  <si>
    <t>lateral septal nucleus, rostral (rostroventral) part</t>
  </si>
  <si>
    <t>&lt;http://purl.obolibrary.org/obo/MBA_258&gt;</t>
  </si>
  <si>
    <t>entorhinal area, medial part, ventral zone, layer 1</t>
  </si>
  <si>
    <t>&lt;http://purl.obolibrary.org/obo/MBA_259&gt;</t>
  </si>
  <si>
    <t>nucleus of the lateral olfactory tract, molecular layer</t>
  </si>
  <si>
    <t>&lt;http://purl.obolibrary.org/obo/MBA_260&gt;</t>
  </si>
  <si>
    <t>orbital area, layer 1</t>
  </si>
  <si>
    <t>&lt;http://purl.obolibrary.org/obo/MBA_264&gt;</t>
  </si>
  <si>
    <t>&lt;http://purl.obolibrary.org/obo/MBA_266&gt;</t>
  </si>
  <si>
    <t>dorsal peduncular area, layer 6a</t>
  </si>
  <si>
    <t>&lt;http://purl.obolibrary.org/obo/MBA_267&gt;</t>
  </si>
  <si>
    <t>nucleus of the lateral olfactory tract, pyramidal layer</t>
  </si>
  <si>
    <t>&lt;http://purl.obolibrary.org/obo/MBA_268&gt;</t>
  </si>
  <si>
    <t>posterolateral visual area, layer 2/3</t>
  </si>
  <si>
    <t>&lt;http://purl.obolibrary.org/obo/MBA_269&gt;</t>
  </si>
  <si>
    <t>retrosplenial area, dorsal part, layer 6a</t>
  </si>
  <si>
    <t>&lt;http://purl.obolibrary.org/obo/MBA_274&gt;</t>
  </si>
  <si>
    <t>piriform area, molecular layer</t>
  </si>
  <si>
    <t>&lt;http://purl.obolibrary.org/obo/MBA_276&gt;</t>
  </si>
  <si>
    <t>striatum-like amygdalar nuclei</t>
  </si>
  <si>
    <t>&lt;http://purl.obolibrary.org/obo/MBA_278&gt;</t>
  </si>
  <si>
    <t>retrosplenial area, lateral agranular part, layer 6b</t>
  </si>
  <si>
    <t>&lt;http://purl.obolibrary.org/obo/MBA_279&gt;</t>
  </si>
  <si>
    <t>entorhinal area, lateral part, layer 6a</t>
  </si>
  <si>
    <t>&lt;http://purl.obolibrary.org/obo/MBA_28&gt;</t>
  </si>
  <si>
    <t>anteromedial visual area, layer 1</t>
  </si>
  <si>
    <t>&lt;http://purl.obolibrary.org/obo/MBA_281&gt;</t>
  </si>
  <si>
    <t>lateral tegmental nucleus</t>
  </si>
  <si>
    <t>&lt;http://purl.obolibrary.org/obo/MBA_283&gt;</t>
  </si>
  <si>
    <t>piriform area, pyramidal layer</t>
  </si>
  <si>
    <t>&lt;http://purl.obolibrary.org/obo/MBA_284&gt;</t>
  </si>
  <si>
    <t>orbital area, ventrolateral part, layer 2/3</t>
  </si>
  <si>
    <t>&lt;http://purl.obolibrary.org/obo/MBA_288&gt;</t>
  </si>
  <si>
    <t>temporal association areas, layer 5</t>
  </si>
  <si>
    <t>&lt;http://purl.obolibrary.org/obo/MBA_289&gt;</t>
  </si>
  <si>
    <t>piriform area, polymorph layer</t>
  </si>
  <si>
    <t>&lt;http://purl.obolibrary.org/obo/MBA_291&gt;</t>
  </si>
  <si>
    <t>anterior cingulate area, ventral part, layer 2/3</t>
  </si>
  <si>
    <t>&lt;http://purl.obolibrary.org/obo/MBA_296&gt;</t>
  </si>
  <si>
    <t>taenia tecta, dorsal part, layers 1-4</t>
  </si>
  <si>
    <t>&lt;http://purl.obolibrary.org/obo/MBA_297&gt;</t>
  </si>
  <si>
    <t>magnocellular nucleus</t>
  </si>
  <si>
    <t>&lt;http://purl.obolibrary.org/obo/MBA_298&gt;</t>
  </si>
  <si>
    <t>somatomotor areas, Layer 5</t>
  </si>
  <si>
    <t>&lt;http://purl.obolibrary.org/obo/MBA_299&gt;</t>
  </si>
  <si>
    <t>basolateral amygdalar nucleus, anterior part</t>
  </si>
  <si>
    <t>&lt;http://purl.obolibrary.org/obo/MBA_303&gt;</t>
  </si>
  <si>
    <t>prelimbic area, layer 2/3</t>
  </si>
  <si>
    <t>&lt;http://purl.obolibrary.org/obo/MBA_304&gt;</t>
  </si>
  <si>
    <t>primary visual area, layer 6b</t>
  </si>
  <si>
    <t>&lt;http://purl.obolibrary.org/obo/MBA_305&gt;</t>
  </si>
  <si>
    <t>taenia tecta, ventral part, layers 1-3</t>
  </si>
  <si>
    <t>&lt;http://purl.obolibrary.org/obo/MBA_306&gt;</t>
  </si>
  <si>
    <t>magnocellular reticular nucleus</t>
  </si>
  <si>
    <t>&lt;http://purl.obolibrary.org/obo/MBA_307&gt;</t>
  </si>
  <si>
    <t>posterior parietal association areas, layer 6a</t>
  </si>
  <si>
    <t>&lt;http://purl.obolibrary.org/obo/MBA_308&gt;</t>
  </si>
  <si>
    <t>basolateral amygdalar nucleus, posterior part</t>
  </si>
  <si>
    <t>&lt;http://purl.obolibrary.org/obo/MBA_311&gt;</t>
  </si>
  <si>
    <t>entorhinal area, lateral part, layer 4/5</t>
  </si>
  <si>
    <t>&lt;http://purl.obolibrary.org/obo/MBA_312&gt;</t>
  </si>
  <si>
    <t>anterior area</t>
  </si>
  <si>
    <t>&lt;http://purl.obolibrary.org/obo/MBA_312782546&gt;</t>
  </si>
  <si>
    <t>anterior area, layer 1</t>
  </si>
  <si>
    <t>&lt;http://purl.obolibrary.org/obo/MBA_312782550&gt;</t>
  </si>
  <si>
    <t>anterior area, layer 2/3</t>
  </si>
  <si>
    <t>&lt;http://purl.obolibrary.org/obo/MBA_312782554&gt;</t>
  </si>
  <si>
    <t>anterior area, layer 4</t>
  </si>
  <si>
    <t>&lt;http://purl.obolibrary.org/obo/MBA_312782558&gt;</t>
  </si>
  <si>
    <t>anterior area, layer 5</t>
  </si>
  <si>
    <t>&lt;http://purl.obolibrary.org/obo/MBA_312782562&gt;</t>
  </si>
  <si>
    <t>anterior area, layer 6a</t>
  </si>
  <si>
    <t>&lt;http://purl.obolibrary.org/obo/MBA_312782566&gt;</t>
  </si>
  <si>
    <t>anterior area, layer 6b</t>
  </si>
  <si>
    <t>&lt;http://purl.obolibrary.org/obo/MBA_312782570&gt;</t>
  </si>
  <si>
    <t>laterointermediate area</t>
  </si>
  <si>
    <t>&lt;http://purl.obolibrary.org/obo/MBA_312782574&gt;</t>
  </si>
  <si>
    <t>laterointermediate area, layer 1</t>
  </si>
  <si>
    <t>&lt;http://purl.obolibrary.org/obo/MBA_312782578&gt;</t>
  </si>
  <si>
    <t>laterointermediate area, layer 2/3</t>
  </si>
  <si>
    <t>&lt;http://purl.obolibrary.org/obo/MBA_312782582&gt;</t>
  </si>
  <si>
    <t>laterointermediate area, layer 4</t>
  </si>
  <si>
    <t>&lt;http://purl.obolibrary.org/obo/MBA_312782586&gt;</t>
  </si>
  <si>
    <t>laterointermediate area, layer 5</t>
  </si>
  <si>
    <t>&lt;http://purl.obolibrary.org/obo/MBA_312782590&gt;</t>
  </si>
  <si>
    <t>laterointermediate area, layer 6a</t>
  </si>
  <si>
    <t>&lt;http://purl.obolibrary.org/obo/MBA_312782594&gt;</t>
  </si>
  <si>
    <t>laterointermediate area, layer 6b</t>
  </si>
  <si>
    <t>&lt;http://purl.obolibrary.org/obo/MBA_312782598&gt;</t>
  </si>
  <si>
    <t>rostrolateral area, layer 1</t>
  </si>
  <si>
    <t>&lt;http://purl.obolibrary.org/obo/MBA_312782604&gt;</t>
  </si>
  <si>
    <t>rostrolateral area, layer 2/3</t>
  </si>
  <si>
    <t>&lt;http://purl.obolibrary.org/obo/MBA_312782608&gt;</t>
  </si>
  <si>
    <t>rostrolateral area, layer 4</t>
  </si>
  <si>
    <t>&lt;http://purl.obolibrary.org/obo/MBA_312782612&gt;</t>
  </si>
  <si>
    <t>rostrolateral area, layer 6a</t>
  </si>
  <si>
    <t>&lt;http://purl.obolibrary.org/obo/MBA_312782620&gt;</t>
  </si>
  <si>
    <t>rostrolateral area, layer 6b</t>
  </si>
  <si>
    <t>&lt;http://purl.obolibrary.org/obo/MBA_312782624&gt;</t>
  </si>
  <si>
    <t>postrhinal area, layer 1</t>
  </si>
  <si>
    <t>&lt;http://purl.obolibrary.org/obo/MBA_312782632&gt;</t>
  </si>
  <si>
    <t>postrhinal area, layer 2/3</t>
  </si>
  <si>
    <t>&lt;http://purl.obolibrary.org/obo/MBA_312782636&gt;</t>
  </si>
  <si>
    <t>postrhinal area, layer 5</t>
  </si>
  <si>
    <t>&lt;http://purl.obolibrary.org/obo/MBA_312782644&gt;</t>
  </si>
  <si>
    <t>postrhinal area, layer 6a</t>
  </si>
  <si>
    <t>&lt;http://purl.obolibrary.org/obo/MBA_312782648&gt;</t>
  </si>
  <si>
    <t>postrhinal area, layer 6b</t>
  </si>
  <si>
    <t>&lt;http://purl.obolibrary.org/obo/MBA_312782652&gt;</t>
  </si>
  <si>
    <t>agranular insular area, posterior part, layer 6a</t>
  </si>
  <si>
    <t>&lt;http://purl.obolibrary.org/obo/MBA_314&gt;</t>
  </si>
  <si>
    <t>&lt;http://purl.obolibrary.org/obo/MBA_318&gt;</t>
  </si>
  <si>
    <t>primary motor area, Layer 1</t>
  </si>
  <si>
    <t>&lt;http://purl.obolibrary.org/obo/MBA_320&gt;</t>
  </si>
  <si>
    <t>entorhinal area, medial part, ventral zone, layer 2</t>
  </si>
  <si>
    <t>&lt;http://purl.obolibrary.org/obo/MBA_324&gt;</t>
  </si>
  <si>
    <t>basomedial amygdalar nucleus, anterior part</t>
  </si>
  <si>
    <t>&lt;http://purl.obolibrary.org/obo/MBA_327&gt;</t>
  </si>
  <si>
    <t>agranular insular area, dorsal part, layer 2/3</t>
  </si>
  <si>
    <t>&lt;http://purl.obolibrary.org/obo/MBA_328&gt;</t>
  </si>
  <si>
    <t>retrosplenial area, dorsal part, layer 6b</t>
  </si>
  <si>
    <t>&lt;http://purl.obolibrary.org/obo/MBA_330&gt;</t>
  </si>
  <si>
    <t>basomedial amygdalar nucleus, posterior part</t>
  </si>
  <si>
    <t>&lt;http://purl.obolibrary.org/obo/MBA_334&gt;</t>
  </si>
  <si>
    <t>perirhinal area, layer 6a</t>
  </si>
  <si>
    <t>&lt;http://purl.obolibrary.org/obo/MBA_335&gt;</t>
  </si>
  <si>
    <t>primary somatosensory area, lower limb</t>
  </si>
  <si>
    <t>&lt;http://purl.obolibrary.org/obo/MBA_337&gt;</t>
  </si>
  <si>
    <t>posterior parietal association areas, layer 6b</t>
  </si>
  <si>
    <t>&lt;http://purl.obolibrary.org/obo/MBA_340&gt;</t>
  </si>
  <si>
    <t>&lt;http://purl.obolibrary.org/obo/MBA_342&gt;</t>
  </si>
  <si>
    <t>agranular insular area, posterior part, layer 5</t>
  </si>
  <si>
    <t>&lt;http://purl.obolibrary.org/obo/MBA_344&gt;</t>
  </si>
  <si>
    <t>primary somatosensory area, mouth</t>
  </si>
  <si>
    <t>&lt;http://purl.obolibrary.org/obo/MBA_345&gt;</t>
  </si>
  <si>
    <t>primary somatosensory area, layer 2/3</t>
  </si>
  <si>
    <t>&lt;http://purl.obolibrary.org/obo/MBA_346&gt;</t>
  </si>
  <si>
    <t>orbital area, layer 5</t>
  </si>
  <si>
    <t>&lt;http://purl.obolibrary.org/obo/MBA_352&gt;</t>
  </si>
  <si>
    <t>primary somatosensory area, nose</t>
  </si>
  <si>
    <t>&lt;http://purl.obolibrary.org/obo/MBA_353&gt;</t>
  </si>
  <si>
    <t>agranular insular area, posterior part, layer 6b</t>
  </si>
  <si>
    <t>&lt;http://purl.obolibrary.org/obo/MBA_355&gt;</t>
  </si>
  <si>
    <t>tectothalamic pathway</t>
  </si>
  <si>
    <t>&lt;http://purl.obolibrary.org/obo/MBA_357&gt;</t>
  </si>
  <si>
    <t>sublaterodorsal nucleus</t>
  </si>
  <si>
    <t>&lt;http://purl.obolibrary.org/obo/MBA_358&gt;</t>
  </si>
  <si>
    <t>gustatory areas, layer 1</t>
  </si>
  <si>
    <t>&lt;http://purl.obolibrary.org/obo/MBA_36&gt;</t>
  </si>
  <si>
    <t>dorsal peduncular area, layer 2/3</t>
  </si>
  <si>
    <t>&lt;http://purl.obolibrary.org/obo/MBA_360&gt;</t>
  </si>
  <si>
    <t>primary somatosensory area, trunk</t>
  </si>
  <si>
    <t>&lt;http://purl.obolibrary.org/obo/MBA_361&gt;</t>
  </si>
  <si>
    <t>prelimbic area, layer 5</t>
  </si>
  <si>
    <t>&lt;http://purl.obolibrary.org/obo/MBA_363&gt;</t>
  </si>
  <si>
    <t>perirhinal area, layer 6b</t>
  </si>
  <si>
    <t>&lt;http://purl.obolibrary.org/obo/MBA_368&gt;</t>
  </si>
  <si>
    <t>primary somatosensory area, upper limb</t>
  </si>
  <si>
    <t>&lt;http://purl.obolibrary.org/obo/MBA_369&gt;</t>
  </si>
  <si>
    <t>medulla, motor related</t>
  </si>
  <si>
    <t>&lt;http://purl.obolibrary.org/obo/MBA_370&gt;</t>
  </si>
  <si>
    <t>entorhinal area, medial part, ventral zone, layer 3</t>
  </si>
  <si>
    <t>&lt;http://purl.obolibrary.org/obo/MBA_371&gt;</t>
  </si>
  <si>
    <t>infracerebellar nucleus</t>
  </si>
  <si>
    <t>&lt;http://purl.obolibrary.org/obo/MBA_372&gt;</t>
  </si>
  <si>
    <t>cortical amygdalar area, posterior part, lateral zone, layers 1-3</t>
  </si>
  <si>
    <t>&lt;http://purl.obolibrary.org/obo/MBA_376&gt;</t>
  </si>
  <si>
    <t>posterolateral visual area, layer 6a</t>
  </si>
  <si>
    <t>&lt;http://purl.obolibrary.org/obo/MBA_377&gt;</t>
  </si>
  <si>
    <t>medulla, behavioral state related</t>
  </si>
  <si>
    <t>&lt;http://purl.obolibrary.org/obo/MBA_379&gt;</t>
  </si>
  <si>
    <t>cortical amygdalar area, posterior part, medial zone, layers 1-3</t>
  </si>
  <si>
    <t>&lt;http://purl.obolibrary.org/obo/MBA_383&gt;</t>
  </si>
  <si>
    <t>medulla, sensory related</t>
  </si>
  <si>
    <t>&lt;http://purl.obolibrary.org/obo/MBA_386&gt;</t>
  </si>
  <si>
    <t>entorhinal area, lateral part, layer 5/6</t>
  </si>
  <si>
    <t>&lt;http://purl.obolibrary.org/obo/MBA_387&gt;</t>
  </si>
  <si>
    <t>anterior cingulate area, dorsal part</t>
  </si>
  <si>
    <t>&lt;http://purl.obolibrary.org/obo/MBA_39&gt;</t>
  </si>
  <si>
    <t>nucleus of the lateral olfactory tract, layers 1-3</t>
  </si>
  <si>
    <t>&lt;http://purl.obolibrary.org/obo/MBA_392&gt;</t>
  </si>
  <si>
    <t>posterolateral visual area, layer 6b</t>
  </si>
  <si>
    <t>&lt;http://purl.obolibrary.org/obo/MBA_393&gt;</t>
  </si>
  <si>
    <t>&lt;http://purl.obolibrary.org/obo/MBA_397&gt;</t>
  </si>
  <si>
    <t>superior olivary complex</t>
  </si>
  <si>
    <t>&lt;http://purl.obolibrary.org/obo/MBA_398&gt;</t>
  </si>
  <si>
    <t>piriform-amygdalar area, layers 1-3</t>
  </si>
  <si>
    <t>&lt;http://purl.obolibrary.org/obo/MBA_400&gt;</t>
  </si>
  <si>
    <t>anteromedial visual area, layer 4</t>
  </si>
  <si>
    <t>&lt;http://purl.obolibrary.org/obo/MBA_401&gt;</t>
  </si>
  <si>
    <t>piriform-amygdalar area, molecular layer</t>
  </si>
  <si>
    <t>&lt;http://purl.obolibrary.org/obo/MBA_408&gt;</t>
  </si>
  <si>
    <t>posteromedial visual area, layer 2/3</t>
  </si>
  <si>
    <t>&lt;http://purl.obolibrary.org/obo/MBA_41&gt;</t>
  </si>
  <si>
    <t>reticulocerebellar tract</t>
  </si>
  <si>
    <t>&lt;http://purl.obolibrary.org/obo/MBA_410&gt;</t>
  </si>
  <si>
    <t>medial amygdalar nucleus, anterodorsal part</t>
  </si>
  <si>
    <t>&lt;http://purl.obolibrary.org/obo/MBA_411&gt;</t>
  </si>
  <si>
    <t>orbital area, lateral part, layer 2/3</t>
  </si>
  <si>
    <t>&lt;http://purl.obolibrary.org/obo/MBA_412&gt;</t>
  </si>
  <si>
    <t>piriform-amygdalar area, pyramidal layer</t>
  </si>
  <si>
    <t>&lt;http://purl.obolibrary.org/obo/MBA_416&gt;</t>
  </si>
  <si>
    <t>medial amygdalar nucleus, anteroventral part</t>
  </si>
  <si>
    <t>&lt;http://purl.obolibrary.org/obo/MBA_418&gt;</t>
  </si>
  <si>
    <t>entorhinal area, medial part, ventral zone, layer 4</t>
  </si>
  <si>
    <t>&lt;http://purl.obolibrary.org/obo/MBA_419&gt;</t>
  </si>
  <si>
    <t>lateral visual area, layer 1</t>
  </si>
  <si>
    <t>&lt;http://purl.obolibrary.org/obo/MBA_421&gt;</t>
  </si>
  <si>
    <t>piriform-amygdalar area, polymorph layer</t>
  </si>
  <si>
    <t>&lt;http://purl.obolibrary.org/obo/MBA_424&gt;</t>
  </si>
  <si>
    <t>medial amygdalar nucleus, posterodorsal part</t>
  </si>
  <si>
    <t>&lt;http://purl.obolibrary.org/obo/MBA_426&gt;</t>
  </si>
  <si>
    <t>ectorhinal area/Layer 2/3</t>
  </si>
  <si>
    <t>&lt;http://purl.obolibrary.org/obo/MBA_427&gt;</t>
  </si>
  <si>
    <t>medial corticohypothalmic tract</t>
  </si>
  <si>
    <t>&lt;http://purl.obolibrary.org/obo/MBA_428&gt;</t>
  </si>
  <si>
    <t>retrosplenial area, ventral part, layer 2/3</t>
  </si>
  <si>
    <t>&lt;http://purl.obolibrary.org/obo/MBA_430&gt;</t>
  </si>
  <si>
    <t>retrosplenial area, dorsal part, layer 2/3</t>
  </si>
  <si>
    <t>&lt;http://purl.obolibrary.org/obo/MBA_434&gt;</t>
  </si>
  <si>
    <t>medial amygdalar nucleus, posteroventral part</t>
  </si>
  <si>
    <t>&lt;http://purl.obolibrary.org/obo/MBA_435&gt;</t>
  </si>
  <si>
    <t>infralimbic area</t>
  </si>
  <si>
    <t>&lt;http://purl.obolibrary.org/obo/MBA_44&gt;</t>
  </si>
  <si>
    <t>orbital area, lateral part, layer 6a</t>
  </si>
  <si>
    <t>&lt;http://purl.obolibrary.org/obo/MBA_440&gt;</t>
  </si>
  <si>
    <t>anteromedial visual area, layer 6b</t>
  </si>
  <si>
    <t>&lt;http://purl.obolibrary.org/obo/MBA_441&gt;</t>
  </si>
  <si>
    <t>retrosplenial area, dorsal part, layer 1</t>
  </si>
  <si>
    <t>&lt;http://purl.obolibrary.org/obo/MBA_442&gt;</t>
  </si>
  <si>
    <t>&lt;http://purl.obolibrary.org/obo/MBA_443&gt;</t>
  </si>
  <si>
    <t>orbital area, lateral part, layer 1</t>
  </si>
  <si>
    <t>&lt;http://purl.obolibrary.org/obo/MBA_448&gt;</t>
  </si>
  <si>
    <t>&lt;http://purl.obolibrary.org/obo/MBA_449&gt;</t>
  </si>
  <si>
    <t>spinal nucleus of the trigeminal, oral part, rostral dorsomedial part</t>
  </si>
  <si>
    <t>&lt;http://purl.obolibrary.org/obo/MBA_45&gt;</t>
  </si>
  <si>
    <t>primary somatosensory area, upper limb, layer 1</t>
  </si>
  <si>
    <t>&lt;http://purl.obolibrary.org/obo/MBA_450&gt;</t>
  </si>
  <si>
    <t>basolateral amygdalar nucleus, ventral part</t>
  </si>
  <si>
    <t>&lt;http://purl.obolibrary.org/obo/MBA_451&gt;</t>
  </si>
  <si>
    <t>posterior auditory area, layer 6b</t>
  </si>
  <si>
    <t>&lt;http://purl.obolibrary.org/obo/MBA_456&gt;</t>
  </si>
  <si>
    <t>visual areas, layer 6a</t>
  </si>
  <si>
    <t>&lt;http://purl.obolibrary.org/obo/MBA_457&gt;</t>
  </si>
  <si>
    <t>olfactory tubercle, molecular layer</t>
  </si>
  <si>
    <t>&lt;http://purl.obolibrary.org/obo/MBA_458&gt;</t>
  </si>
  <si>
    <t>primary somatosensory area, trunk, layer 6b</t>
  </si>
  <si>
    <t>&lt;http://purl.obolibrary.org/obo/MBA_461&gt;</t>
  </si>
  <si>
    <t>&lt;http://purl.obolibrary.org/obo/MBA_462&gt;</t>
  </si>
  <si>
    <t>olfactory tubercle, pyramidal layer</t>
  </si>
  <si>
    <t>&lt;http://purl.obolibrary.org/obo/MBA_465&gt;</t>
  </si>
  <si>
    <t>entorhinal area, medial part, dorsal zone, layer 2a</t>
  </si>
  <si>
    <t>&lt;http://purl.obolibrary.org/obo/MBA_468&gt;</t>
  </si>
  <si>
    <t>posteromedial visual area, layer 6b</t>
  </si>
  <si>
    <t>&lt;http://purl.obolibrary.org/obo/MBA_469&gt;</t>
  </si>
  <si>
    <t>medial amygdalar nucleus, posterodorsal part, sublayer a</t>
  </si>
  <si>
    <t>&lt;http://purl.obolibrary.org/obo/MBA_472&gt;</t>
  </si>
  <si>
    <t>olfactory tubercle, polymorph layer</t>
  </si>
  <si>
    <t>&lt;http://purl.obolibrary.org/obo/MBA_473&gt;</t>
  </si>
  <si>
    <t>orbital area, layer 6a</t>
  </si>
  <si>
    <t>&lt;http://purl.obolibrary.org/obo/MBA_476&gt;</t>
  </si>
  <si>
    <t>primary somatosensory area, lower limb, layer 6a</t>
  </si>
  <si>
    <t>&lt;http://purl.obolibrary.org/obo/MBA_478&gt;</t>
  </si>
  <si>
    <t>anterior cingulate area, ventral part</t>
  </si>
  <si>
    <t>&lt;http://purl.obolibrary.org/obo/MBA_48&gt;</t>
  </si>
  <si>
    <t>medial amygdalar nucleus, posterodorsal part, sublayer b</t>
  </si>
  <si>
    <t>&lt;http://purl.obolibrary.org/obo/MBA_480&gt;</t>
  </si>
  <si>
    <t>orbital area, medial part, layer 1</t>
  </si>
  <si>
    <t>&lt;http://purl.obolibrary.org/obo/MBA_484&gt;</t>
  </si>
  <si>
    <t>medial amygdalar nucleus, posterodorsal part, sublayer c</t>
  </si>
  <si>
    <t>&lt;http://purl.obolibrary.org/obo/MBA_487&gt;</t>
  </si>
  <si>
    <t>orbital area, lateral part, layer 6b</t>
  </si>
  <si>
    <t>&lt;http://purl.obolibrary.org/obo/MBA_488&gt;</t>
  </si>
  <si>
    <t>bulbocerebellar tract</t>
  </si>
  <si>
    <t>&lt;http://purl.obolibrary.org/obo/MBA_490&gt;</t>
  </si>
  <si>
    <t>orbital area, layer 2/3</t>
  </si>
  <si>
    <t>&lt;http://purl.obolibrary.org/obo/MBA_492&gt;</t>
  </si>
  <si>
    <t>dorsal peduncular area, layer 1</t>
  </si>
  <si>
    <t>&lt;http://purl.obolibrary.org/obo/MBA_496&gt;</t>
  </si>
  <si>
    <t>visual areas, layer 6b</t>
  </si>
  <si>
    <t>&lt;http://purl.obolibrary.org/obo/MBA_497&gt;</t>
  </si>
  <si>
    <t>bed nuclei of the stria terminalis, anterior division, anteromedial area</t>
  </si>
  <si>
    <t>&lt;http://purl.obolibrary.org/obo/MBA_498&gt;</t>
  </si>
  <si>
    <t>somatomotor areas</t>
  </si>
  <si>
    <t>&lt;http://purl.obolibrary.org/obo/MBA_500&gt;</t>
  </si>
  <si>
    <t>bed nuclei of the stria terminalis, anterior division, dorsomedial nucleus</t>
  </si>
  <si>
    <t>&lt;http://purl.obolibrary.org/obo/MBA_505&gt;</t>
  </si>
  <si>
    <t>entorhinal area, medial part, dorsal zone, layer 2b</t>
  </si>
  <si>
    <t>&lt;http://purl.obolibrary.org/obo/MBA_508&gt;</t>
  </si>
  <si>
    <t>subiculum, dorsal part</t>
  </si>
  <si>
    <t>&lt;http://purl.obolibrary.org/obo/MBA_509&gt;</t>
  </si>
  <si>
    <t>primary somatosensory area, lower limb, layer 6b</t>
  </si>
  <si>
    <t>&lt;http://purl.obolibrary.org/obo/MBA_510&gt;</t>
  </si>
  <si>
    <t>orbital area, layer 6b</t>
  </si>
  <si>
    <t>&lt;http://purl.obolibrary.org/obo/MBA_516&gt;</t>
  </si>
  <si>
    <t>postpiriform transition area, layers 1-3</t>
  </si>
  <si>
    <t>&lt;http://purl.obolibrary.org/obo/MBA_517&gt;</t>
  </si>
  <si>
    <t>subiculum, ventral part</t>
  </si>
  <si>
    <t>&lt;http://purl.obolibrary.org/obo/MBA_518&gt;</t>
  </si>
  <si>
    <t>entorhinal area, lateral part, layer 3</t>
  </si>
  <si>
    <t>&lt;http://purl.obolibrary.org/obo/MBA_52&gt;</t>
  </si>
  <si>
    <t>ventral auditory area, layer 6a</t>
  </si>
  <si>
    <t>&lt;http://purl.obolibrary.org/obo/MBA_520&gt;</t>
  </si>
  <si>
    <t>orbital area, medial part, layer 2</t>
  </si>
  <si>
    <t>&lt;http://purl.obolibrary.org/obo/MBA_524&gt;</t>
  </si>
  <si>
    <t>entorhinal area, medial part, dorsal zone, layer 1</t>
  </si>
  <si>
    <t>&lt;http://purl.obolibrary.org/obo/MBA_526&gt;</t>
  </si>
  <si>
    <t>dorsal auditory area, layer 1</t>
  </si>
  <si>
    <t>&lt;http://purl.obolibrary.org/obo/MBA_527&gt;</t>
  </si>
  <si>
    <t>bed nuclei of the stria terminalis, anterior division, ventral nucleus</t>
  </si>
  <si>
    <t>&lt;http://purl.obolibrary.org/obo/MBA_529&gt;</t>
  </si>
  <si>
    <t>spinal nucleus of the trigeminal, oral part, middle dorsomedial part, dorsal zone</t>
  </si>
  <si>
    <t>&lt;http://purl.obolibrary.org/obo/MBA_53&gt;</t>
  </si>
  <si>
    <t>posterior parietal association areas, layer 1</t>
  </si>
  <si>
    <t>&lt;http://purl.obolibrary.org/obo/MBA_532&gt;</t>
  </si>
  <si>
    <t>&lt;http://purl.obolibrary.org/obo/MBA_534&gt;</t>
  </si>
  <si>
    <t>dorsal peduncular area, layer 2</t>
  </si>
  <si>
    <t>&lt;http://purl.obolibrary.org/obo/MBA_535&gt;</t>
  </si>
  <si>
    <t>bed nuclei of the stria terminalis, anterior division, anterolateral area</t>
  </si>
  <si>
    <t>&lt;http://purl.obolibrary.org/obo/MBA_537&gt;</t>
  </si>
  <si>
    <t>perirhinal area, layer 1</t>
  </si>
  <si>
    <t>&lt;http://purl.obolibrary.org/obo/MBA_540&gt;</t>
  </si>
  <si>
    <t>retrosplenial area, ventral part, layer 1</t>
  </si>
  <si>
    <t>&lt;http://purl.obolibrary.org/obo/MBA_542&gt;</t>
  </si>
  <si>
    <t>entorhinal area, medial part, dorsal zone, layer 2</t>
  </si>
  <si>
    <t>&lt;http://purl.obolibrary.org/obo/MBA_543&gt;</t>
  </si>
  <si>
    <t>&lt;http://purl.obolibrary.org/obo/MBA_544&gt;</t>
  </si>
  <si>
    <t>retrosplenial area, dorsal part, layer 4</t>
  </si>
  <si>
    <t>&lt;http://purl.obolibrary.org/obo/MBA_545&gt;</t>
  </si>
  <si>
    <t>bed nuclei of the stria terminalis, anterior division, juxtacapsular nucleus</t>
  </si>
  <si>
    <t>&lt;http://purl.obolibrary.org/obo/MBA_546&gt;</t>
  </si>
  <si>
    <t>entorhinal area, medial part, dorsal zone, layer 5/6</t>
  </si>
  <si>
    <t>&lt;http://purl.obolibrary.org/obo/MBA_550&gt;</t>
  </si>
  <si>
    <t>&lt;http://purl.obolibrary.org/obo/MBA_551&gt;</t>
  </si>
  <si>
    <t>infralimbic area, layer 2/3</t>
  </si>
  <si>
    <t>&lt;http://purl.obolibrary.org/obo/MBA_556&gt;</t>
  </si>
  <si>
    <t>primary somatosensory area, nose, layer 1</t>
  </si>
  <si>
    <t>&lt;http://purl.obolibrary.org/obo/MBA_558&gt;</t>
  </si>
  <si>
    <t>central amygdalar nucleus, medial part</t>
  </si>
  <si>
    <t>&lt;http://purl.obolibrary.org/obo/MBA_559&gt;</t>
  </si>
  <si>
    <t>cochlear nucleus, subpedunclular granular region</t>
  </si>
  <si>
    <t>&lt;http://purl.obolibrary.org/obo/MBA_560&gt;</t>
  </si>
  <si>
    <t>visual areas, layer 2/3</t>
  </si>
  <si>
    <t>&lt;http://purl.obolibrary.org/obo/MBA_561&gt;</t>
  </si>
  <si>
    <t>bed nuclei of the stria terminalis, anterior division, rhomboid nucleus</t>
  </si>
  <si>
    <t>&lt;http://purl.obolibrary.org/obo/MBA_562&gt;</t>
  </si>
  <si>
    <t>posteromedial visual area, layer 5</t>
  </si>
  <si>
    <t>&lt;http://purl.obolibrary.org/obo/MBA_565&gt;</t>
  </si>
  <si>
    <t>postpiriform transition area</t>
  </si>
  <si>
    <t>&lt;http://purl.obolibrary.org/obo/MBA_566&gt;</t>
  </si>
  <si>
    <t>bed nuclei of the stria terminalis, posterior division, dorsal nucleus</t>
  </si>
  <si>
    <t>&lt;http://purl.obolibrary.org/obo/MBA_569&gt;</t>
  </si>
  <si>
    <t>anterior cingulate area, layer 1</t>
  </si>
  <si>
    <t>&lt;http://purl.obolibrary.org/obo/MBA_572&gt;</t>
  </si>
  <si>
    <t>accessory facial motor nucleus</t>
  </si>
  <si>
    <t>&lt;http://purl.obolibrary.org/obo/MBA_576&gt;</t>
  </si>
  <si>
    <t>primary somatosensory area, upper limb, layer 4</t>
  </si>
  <si>
    <t>&lt;http://purl.obolibrary.org/obo/MBA_577&gt;</t>
  </si>
  <si>
    <t>triangular nucleus of septum</t>
  </si>
  <si>
    <t>&lt;http://purl.obolibrary.org/obo/MBA_581&gt;</t>
  </si>
  <si>
    <t>orbital area, medial part, layer 2/3</t>
  </si>
  <si>
    <t>&lt;http://purl.obolibrary.org/obo/MBA_582&gt;</t>
  </si>
  <si>
    <t>cortical amygdalar area, posterior part, lateral zone, layers 1-2</t>
  </si>
  <si>
    <t>&lt;http://purl.obolibrary.org/obo/MBA_584&gt;</t>
  </si>
  <si>
    <t>bed nuclei of the stria terminalis, posterior division, interfascicular nucleus</t>
  </si>
  <si>
    <t>&lt;http://purl.obolibrary.org/obo/MBA_585&gt;</t>
  </si>
  <si>
    <t>anterior cingulate area, ventral part, layer 1</t>
  </si>
  <si>
    <t>&lt;http://purl.obolibrary.org/obo/MBA_588&gt;</t>
  </si>
  <si>
    <t>&lt;http://purl.obolibrary.org/obo/MBA_589&gt;</t>
  </si>
  <si>
    <t>retrosplenial area, ventral part, layer 6a</t>
  </si>
  <si>
    <t>&lt;http://purl.obolibrary.org/obo/MBA_590&gt;</t>
  </si>
  <si>
    <t>cortical amygdalar area, posterior part, medial zone, layers 1-2</t>
  </si>
  <si>
    <t>&lt;http://purl.obolibrary.org/obo/MBA_592&gt;</t>
  </si>
  <si>
    <t>primary visual area, layer 1</t>
  </si>
  <si>
    <t>&lt;http://purl.obolibrary.org/obo/MBA_593&gt;</t>
  </si>
  <si>
    <t>bed nuclei of the stria terminalis, posterior division, transverse nucleus</t>
  </si>
  <si>
    <t>&lt;http://purl.obolibrary.org/obo/MBA_594&gt;</t>
  </si>
  <si>
    <t>taenia tecta, dorsal part</t>
  </si>
  <si>
    <t>&lt;http://purl.obolibrary.org/obo/MBA_597&gt;</t>
  </si>
  <si>
    <t>ventral auditory area, layer 6b</t>
  </si>
  <si>
    <t>&lt;http://purl.obolibrary.org/obo/MBA_598&gt;</t>
  </si>
  <si>
    <t>entorhinal area, lateral part, layer 6b</t>
  </si>
  <si>
    <t>&lt;http://purl.obolibrary.org/obo/MBA_60&gt;</t>
  </si>
  <si>
    <t>dorsal auditory area, layer 2/3</t>
  </si>
  <si>
    <t>&lt;http://purl.obolibrary.org/obo/MBA_600&gt;</t>
  </si>
  <si>
    <t>anterolateral visual area, layer 6a</t>
  </si>
  <si>
    <t>&lt;http://purl.obolibrary.org/obo/MBA_601&gt;</t>
  </si>
  <si>
    <t>bed nuclei of the stria terminalis, posterior division, strial extension</t>
  </si>
  <si>
    <t>&lt;http://purl.obolibrary.org/obo/MBA_602&gt;</t>
  </si>
  <si>
    <t>taenia tecta, ventral part</t>
  </si>
  <si>
    <t>&lt;http://purl.obolibrary.org/obo/MBA_605&gt;</t>
  </si>
  <si>
    <t>retrosplenial area, ventral part, layer 2</t>
  </si>
  <si>
    <t>&lt;http://purl.obolibrary.org/obo/MBA_606&gt;</t>
  </si>
  <si>
    <t>orbital area, ventrolateral part, layer 6a</t>
  </si>
  <si>
    <t>&lt;http://purl.obolibrary.org/obo/MBA_608&gt;</t>
  </si>
  <si>
    <t>spinal nucleus of the trigeminal, oral part, middle dorsomedial part, ventral zone</t>
  </si>
  <si>
    <t>&lt;http://purl.obolibrary.org/obo/MBA_61&gt;</t>
  </si>
  <si>
    <t>retrosplenial area, dorsal part, layer 5</t>
  </si>
  <si>
    <t>&lt;http://purl.obolibrary.org/obo/MBA_610&gt;</t>
  </si>
  <si>
    <t>orbital area, medial part, layer 5</t>
  </si>
  <si>
    <t>&lt;http://purl.obolibrary.org/obo/MBA_620&gt;</t>
  </si>
  <si>
    <t>retrosplenial area, ventral part, layer 6b</t>
  </si>
  <si>
    <t>&lt;http://purl.obolibrary.org/obo/MBA_622&gt;</t>
  </si>
  <si>
    <t>primary somatosensory area, upper limb, layer 5</t>
  </si>
  <si>
    <t>&lt;http://purl.obolibrary.org/obo/MBA_625&gt;</t>
  </si>
  <si>
    <t>orbital area, lateral part, layer 5</t>
  </si>
  <si>
    <t>&lt;http://purl.obolibrary.org/obo/MBA_630&gt;</t>
  </si>
  <si>
    <t>posterior parietal association areas, layer 4</t>
  </si>
  <si>
    <t>&lt;http://purl.obolibrary.org/obo/MBA_635&gt;</t>
  </si>
  <si>
    <t>gustatory areas, layer 6a</t>
  </si>
  <si>
    <t>&lt;http://purl.obolibrary.org/obo/MBA_638&gt;</t>
  </si>
  <si>
    <t>cortical amygdalar area, anterior part</t>
  </si>
  <si>
    <t>&lt;http://purl.obolibrary.org/obo/MBA_639&gt;</t>
  </si>
  <si>
    <t>&lt;http://purl.obolibrary.org/obo/MBA_640&gt;</t>
  </si>
  <si>
    <t>posterior auditory area, layer 2/3</t>
  </si>
  <si>
    <t>&lt;http://purl.obolibrary.org/obo/MBA_643&gt;</t>
  </si>
  <si>
    <t>somatomotor areas, Layer 6a</t>
  </si>
  <si>
    <t>&lt;http://purl.obolibrary.org/obo/MBA_644&gt;</t>
  </si>
  <si>
    <t>dorsal peduncular area, layer 5</t>
  </si>
  <si>
    <t>&lt;http://purl.obolibrary.org/obo/MBA_646&gt;</t>
  </si>
  <si>
    <t>cortical amygdalar area, posterior part</t>
  </si>
  <si>
    <t>&lt;http://purl.obolibrary.org/obo/MBA_647&gt;</t>
  </si>
  <si>
    <t>primary motor area, Layer 5</t>
  </si>
  <si>
    <t>&lt;http://purl.obolibrary.org/obo/MBA_648&gt;</t>
  </si>
  <si>
    <t>anterolateral visual area, layer 6b</t>
  </si>
  <si>
    <t>&lt;http://purl.obolibrary.org/obo/MBA_649&gt;</t>
  </si>
  <si>
    <t>primary somatosensory area, nose, layer 4</t>
  </si>
  <si>
    <t>&lt;http://purl.obolibrary.org/obo/MBA_654&gt;</t>
  </si>
  <si>
    <t>cortical amygdalar area, posterior part, lateral zone</t>
  </si>
  <si>
    <t>&lt;http://purl.obolibrary.org/obo/MBA_655&gt;</t>
  </si>
  <si>
    <t>secondary motor area, layer 1</t>
  </si>
  <si>
    <t>&lt;http://purl.obolibrary.org/obo/MBA_656&gt;</t>
  </si>
  <si>
    <t>primary somatosensory area, mouth, layer 2/3</t>
  </si>
  <si>
    <t>&lt;http://purl.obolibrary.org/obo/MBA_657&gt;</t>
  </si>
  <si>
    <t>nucleus of the solitary tract, central part</t>
  </si>
  <si>
    <t>&lt;http://purl.obolibrary.org/obo/MBA_659&gt;</t>
  </si>
  <si>
    <t>gustatory areas, layer 6b</t>
  </si>
  <si>
    <t>&lt;http://purl.obolibrary.org/obo/MBA_662&gt;</t>
  </si>
  <si>
    <t>cortical amygdalar area, posterior part, medial zone</t>
  </si>
  <si>
    <t>&lt;http://purl.obolibrary.org/obo/MBA_663&gt;</t>
  </si>
  <si>
    <t>entorhinal area, medial part, dorsal zone, layer 3</t>
  </si>
  <si>
    <t>&lt;http://purl.obolibrary.org/obo/MBA_664&gt;</t>
  </si>
  <si>
    <t>nucleus of the solitary tract, commissural part</t>
  </si>
  <si>
    <t>&lt;http://purl.obolibrary.org/obo/MBA_666&gt;</t>
  </si>
  <si>
    <t>frontal pole, layer 2/3</t>
  </si>
  <si>
    <t>&lt;http://purl.obolibrary.org/obo/MBA_667&gt;</t>
  </si>
  <si>
    <t>primary somatosensory area, trunk, layer 2/3</t>
  </si>
  <si>
    <t>&lt;http://purl.obolibrary.org/obo/MBA_670&gt;</t>
  </si>
  <si>
    <t>retrosplenial area, lateral agranular part, layer 1</t>
  </si>
  <si>
    <t>&lt;http://purl.obolibrary.org/obo/MBA_671&gt;</t>
  </si>
  <si>
    <t>agranular insular area, ventral part, layer 6a</t>
  </si>
  <si>
    <t>&lt;http://purl.obolibrary.org/obo/MBA_675&gt;</t>
  </si>
  <si>
    <t>visceral area</t>
  </si>
  <si>
    <t>&lt;http://purl.obolibrary.org/obo/MBA_677&gt;</t>
  </si>
  <si>
    <t>frontal pole, layer 1</t>
  </si>
  <si>
    <t>&lt;http://purl.obolibrary.org/obo/MBA_68&gt;</t>
  </si>
  <si>
    <t>orbital area, ventrolateral part, layer 6b</t>
  </si>
  <si>
    <t>&lt;http://purl.obolibrary.org/obo/MBA_680&gt;</t>
  </si>
  <si>
    <t>nucleus of the solitary tract, lateral part</t>
  </si>
  <si>
    <t>&lt;http://purl.obolibrary.org/obo/MBA_682&gt;</t>
  </si>
  <si>
    <t>posterior parietal association areas, layer 5</t>
  </si>
  <si>
    <t>&lt;http://purl.obolibrary.org/obo/MBA_683&gt;</t>
  </si>
  <si>
    <t>primary somatosensory area, layer 6a</t>
  </si>
  <si>
    <t>&lt;http://purl.obolibrary.org/obo/MBA_686&gt;</t>
  </si>
  <si>
    <t>retrosplenial area, ventral part, layer 5</t>
  </si>
  <si>
    <t>&lt;http://purl.obolibrary.org/obo/MBA_687&gt;</t>
  </si>
  <si>
    <t>spinal nucleus of the trigeminal, oral part, ventrolateral part</t>
  </si>
  <si>
    <t>&lt;http://purl.obolibrary.org/obo/MBA_69&gt;</t>
  </si>
  <si>
    <t>perirhinal area, layer 5</t>
  </si>
  <si>
    <t>&lt;http://purl.obolibrary.org/obo/MBA_692&gt;</t>
  </si>
  <si>
    <t>agranular insular area, ventral part, layer 2/3</t>
  </si>
  <si>
    <t>&lt;http://purl.obolibrary.org/obo/MBA_694&gt;</t>
  </si>
  <si>
    <t>posterior auditory area, layer 1</t>
  </si>
  <si>
    <t>&lt;http://purl.obolibrary.org/obo/MBA_696&gt;</t>
  </si>
  <si>
    <t>olfactory areas</t>
  </si>
  <si>
    <t>&lt;http://purl.obolibrary.org/obo/MBA_698&gt;</t>
  </si>
  <si>
    <t>agranular insular area, ventral part, layer 6b</t>
  </si>
  <si>
    <t>&lt;http://purl.obolibrary.org/obo/MBA_699&gt;</t>
  </si>
  <si>
    <t>vestibular nuclei</t>
  </si>
  <si>
    <t>&lt;http://purl.obolibrary.org/obo/MBA_701&gt;</t>
  </si>
  <si>
    <t>primary somatosensory area, nose, layer 5</t>
  </si>
  <si>
    <t>&lt;http://purl.obolibrary.org/obo/MBA_702&gt;</t>
  </si>
  <si>
    <t>cortical subplate</t>
  </si>
  <si>
    <t>&lt;http://purl.obolibrary.org/obo/MBA_703&gt;</t>
  </si>
  <si>
    <t>agranular insular area, ventral part, layer 1</t>
  </si>
  <si>
    <t>&lt;http://purl.obolibrary.org/obo/MBA_704&gt;</t>
  </si>
  <si>
    <t>infralimbic area, layer 1</t>
  </si>
  <si>
    <t>&lt;http://purl.obolibrary.org/obo/MBA_707&gt;</t>
  </si>
  <si>
    <t>entorhinal area, medial part, dorsal zone, layer 4</t>
  </si>
  <si>
    <t>&lt;http://purl.obolibrary.org/obo/MBA_712&gt;</t>
  </si>
  <si>
    <t>orbital area</t>
  </si>
  <si>
    <t>&lt;http://purl.obolibrary.org/obo/MBA_714&gt;</t>
  </si>
  <si>
    <t>entorhinal area, lateral part, layer 2a</t>
  </si>
  <si>
    <t>&lt;http://purl.obolibrary.org/obo/MBA_715&gt;</t>
  </si>
  <si>
    <t>primary somatosensory area, layer 6b</t>
  </si>
  <si>
    <t>&lt;http://purl.obolibrary.org/obo/MBA_719&gt;</t>
  </si>
  <si>
    <t>orbital area, lateral part</t>
  </si>
  <si>
    <t>&lt;http://purl.obolibrary.org/obo/MBA_723&gt;</t>
  </si>
  <si>
    <t>entorhinal area, medial part, dorsal zone, layer 5</t>
  </si>
  <si>
    <t>&lt;http://purl.obolibrary.org/obo/MBA_727&gt;</t>
  </si>
  <si>
    <t>temporal association areas, layer 6a</t>
  </si>
  <si>
    <t>&lt;http://purl.obolibrary.org/obo/MBA_729&gt;</t>
  </si>
  <si>
    <t>orbital area, medial part</t>
  </si>
  <si>
    <t>&lt;http://purl.obolibrary.org/obo/MBA_731&gt;</t>
  </si>
  <si>
    <t>dentate gyrus crest</t>
  </si>
  <si>
    <t>&lt;http://purl.obolibrary.org/obo/MBA_734&gt;</t>
  </si>
  <si>
    <t>primary auditory area, layer 1</t>
  </si>
  <si>
    <t>&lt;http://purl.obolibrary.org/obo/MBA_735&gt;</t>
  </si>
  <si>
    <t>orbital area, ventral part</t>
  </si>
  <si>
    <t>&lt;http://purl.obolibrary.org/obo/MBA_738&gt;</t>
  </si>
  <si>
    <t>anterior cingulate area, layer 5</t>
  </si>
  <si>
    <t>&lt;http://purl.obolibrary.org/obo/MBA_739&gt;</t>
  </si>
  <si>
    <t>dentate gyrus crest, molecular layer</t>
  </si>
  <si>
    <t>&lt;http://purl.obolibrary.org/obo/MBA_742&gt;</t>
  </si>
  <si>
    <t>entorhinal area, medial part, dorsal zone, layer 6</t>
  </si>
  <si>
    <t>&lt;http://purl.obolibrary.org/obo/MBA_743&gt;</t>
  </si>
  <si>
    <t>orbital area, ventrolateral part</t>
  </si>
  <si>
    <t>&lt;http://purl.obolibrary.org/obo/MBA_746&gt;</t>
  </si>
  <si>
    <t>infralimbic area, layer 2</t>
  </si>
  <si>
    <t>&lt;http://purl.obolibrary.org/obo/MBA_747&gt;</t>
  </si>
  <si>
    <t>posterolateral visual area, layer 1</t>
  </si>
  <si>
    <t>&lt;http://purl.obolibrary.org/obo/MBA_750&gt;</t>
  </si>
  <si>
    <t>dentate gyrus crest, polymorph layer</t>
  </si>
  <si>
    <t>&lt;http://purl.obolibrary.org/obo/MBA_751&gt;</t>
  </si>
  <si>
    <t>ventral auditory area, layer 2/3</t>
  </si>
  <si>
    <t>&lt;http://purl.obolibrary.org/obo/MBA_755&gt;</t>
  </si>
  <si>
    <t>dentate gyrus crest, granule cell layer</t>
  </si>
  <si>
    <t>&lt;http://purl.obolibrary.org/obo/MBA_758&gt;</t>
  </si>
  <si>
    <t>posterior auditory area, layer 4</t>
  </si>
  <si>
    <t>&lt;http://purl.obolibrary.org/obo/MBA_759&gt;</t>
  </si>
  <si>
    <t>interstitial nucleus of the vestibular nerve</t>
  </si>
  <si>
    <t>&lt;http://purl.obolibrary.org/obo/MBA_76&gt;</t>
  </si>
  <si>
    <t>entorhinal area, lateral part, layer 2b</t>
  </si>
  <si>
    <t>&lt;http://purl.obolibrary.org/obo/MBA_764&gt;</t>
  </si>
  <si>
    <t>nucleus x</t>
  </si>
  <si>
    <t>&lt;http://purl.obolibrary.org/obo/MBA_765&gt;</t>
  </si>
  <si>
    <t>dentate gyrus lateral blade</t>
  </si>
  <si>
    <t>&lt;http://purl.obolibrary.org/obo/MBA_766&gt;</t>
  </si>
  <si>
    <t>secondary motor area, layer 5</t>
  </si>
  <si>
    <t>&lt;http://purl.obolibrary.org/obo/MBA_767&gt;</t>
  </si>
  <si>
    <t>spinal nucleus of the trigeminal, oral part, caudal dorsomedial part</t>
  </si>
  <si>
    <t>&lt;http://purl.obolibrary.org/obo/MBA_77&gt;</t>
  </si>
  <si>
    <t>anterior cingulate area, ventral part, layer 5</t>
  </si>
  <si>
    <t>&lt;http://purl.obolibrary.org/obo/MBA_772&gt;</t>
  </si>
  <si>
    <t>retrosplenial area, lateral agranular part, layer 5</t>
  </si>
  <si>
    <t>&lt;http://purl.obolibrary.org/obo/MBA_774&gt;</t>
  </si>
  <si>
    <t>dentate gyrus lateral blade, molecular layer</t>
  </si>
  <si>
    <t>&lt;http://purl.obolibrary.org/obo/MBA_775&gt;</t>
  </si>
  <si>
    <t>nucleus y</t>
  </si>
  <si>
    <t>&lt;http://purl.obolibrary.org/obo/MBA_781&gt;</t>
  </si>
  <si>
    <t>dentate gyrus lateral blade, polymorph layer</t>
  </si>
  <si>
    <t>&lt;http://purl.obolibrary.org/obo/MBA_782&gt;</t>
  </si>
  <si>
    <t>agranular insular area, dorsal part, layer 6a</t>
  </si>
  <si>
    <t>&lt;http://purl.obolibrary.org/obo/MBA_783&gt;</t>
  </si>
  <si>
    <t>temporal association areas, layer 6b</t>
  </si>
  <si>
    <t>&lt;http://purl.obolibrary.org/obo/MBA_786&gt;</t>
  </si>
  <si>
    <t>piriform-amygdalar area</t>
  </si>
  <si>
    <t>&lt;http://purl.obolibrary.org/obo/MBA_788&gt;</t>
  </si>
  <si>
    <t>nucleus z</t>
  </si>
  <si>
    <t>&lt;http://purl.obolibrary.org/obo/MBA_789&gt;</t>
  </si>
  <si>
    <t>dentate gyrus lateral blade, granule cell layer</t>
  </si>
  <si>
    <t>&lt;http://purl.obolibrary.org/obo/MBA_790&gt;</t>
  </si>
  <si>
    <t>posterior auditory area, layer 5</t>
  </si>
  <si>
    <t>&lt;http://purl.obolibrary.org/obo/MBA_791&gt;</t>
  </si>
  <si>
    <t>primary somatosensory area, layer 1</t>
  </si>
  <si>
    <t>&lt;http://purl.obolibrary.org/obo/MBA_793&gt;</t>
  </si>
  <si>
    <t>dentate gyrus medial blade</t>
  </si>
  <si>
    <t>&lt;http://purl.obolibrary.org/obo/MBA_799&gt;</t>
  </si>
  <si>
    <t>agranular insular area, ventral part, layer 5</t>
  </si>
  <si>
    <t>&lt;http://purl.obolibrary.org/obo/MBA_800&gt;</t>
  </si>
  <si>
    <t>visual areas, layer 1</t>
  </si>
  <si>
    <t>&lt;http://purl.obolibrary.org/obo/MBA_801&gt;</t>
  </si>
  <si>
    <t>posteromedial visual area, layer 1</t>
  </si>
  <si>
    <t>&lt;http://purl.obolibrary.org/obo/MBA_805&gt;</t>
  </si>
  <si>
    <t>supplemental somatosensory area, layer 2/3</t>
  </si>
  <si>
    <t>&lt;http://purl.obolibrary.org/obo/MBA_806&gt;</t>
  </si>
  <si>
    <t>dentate gyrus medial blade, molecular layer</t>
  </si>
  <si>
    <t>&lt;http://purl.obolibrary.org/obo/MBA_807&gt;</t>
  </si>
  <si>
    <t>pallidum, caudal region</t>
  </si>
  <si>
    <t>&lt;http://purl.obolibrary.org/obo/MBA_809&gt;</t>
  </si>
  <si>
    <t>anterior cingulate area, ventral part, 6a</t>
  </si>
  <si>
    <t>&lt;http://purl.obolibrary.org/obo/MBA_810&gt;</t>
  </si>
  <si>
    <t>dorsal peduncular area</t>
  </si>
  <si>
    <t>&lt;http://purl.obolibrary.org/obo/MBA_814&gt;</t>
  </si>
  <si>
    <t>dentate gyrus medial blade, polymorph layer</t>
  </si>
  <si>
    <t>&lt;http://purl.obolibrary.org/obo/MBA_815&gt;</t>
  </si>
  <si>
    <t>primary auditory area, layer 4</t>
  </si>
  <si>
    <t>&lt;http://purl.obolibrary.org/obo/MBA_816&gt;</t>
  </si>
  <si>
    <t>anterior cingulate area, ventral part, 6b</t>
  </si>
  <si>
    <t>&lt;http://purl.obolibrary.org/obo/MBA_819&gt;</t>
  </si>
  <si>
    <t>dentate gyrus medial blade, granule cell layer</t>
  </si>
  <si>
    <t>&lt;http://purl.obolibrary.org/obo/MBA_823&gt;</t>
  </si>
  <si>
    <t>pallidum, medial region</t>
  </si>
  <si>
    <t>&lt;http://purl.obolibrary.org/obo/MBA_826&gt;</t>
  </si>
  <si>
    <t>infralimbic area, layer 5</t>
  </si>
  <si>
    <t>&lt;http://purl.obolibrary.org/obo/MBA_827&gt;</t>
  </si>
  <si>
    <t>subiculum, dorsal part, molecular layer</t>
  </si>
  <si>
    <t>&lt;http://purl.obolibrary.org/obo/MBA_829&gt;</t>
  </si>
  <si>
    <t>agranular insular area, dorsal part, layer 6b</t>
  </si>
  <si>
    <t>&lt;http://purl.obolibrary.org/obo/MBA_831&gt;</t>
  </si>
  <si>
    <t>ectorhinal area/Layer 1</t>
  </si>
  <si>
    <t>&lt;http://purl.obolibrary.org/obo/MBA_836&gt;</t>
  </si>
  <si>
    <t>subiculum, dorsal part, stratum radiatum</t>
  </si>
  <si>
    <t>&lt;http://purl.obolibrary.org/obo/MBA_837&gt;</t>
  </si>
  <si>
    <t>primary somatosensory area, nose, layer 2/3</t>
  </si>
  <si>
    <t>&lt;http://purl.obolibrary.org/obo/MBA_838&gt;</t>
  </si>
  <si>
    <t>prelimbic area, layer 6a</t>
  </si>
  <si>
    <t>&lt;http://purl.obolibrary.org/obo/MBA_84&gt;</t>
  </si>
  <si>
    <t>trapezoid body</t>
  </si>
  <si>
    <t>&lt;http://purl.obolibrary.org/obo/MBA_841&gt;</t>
  </si>
  <si>
    <t>primary motor area, Layer 6a</t>
  </si>
  <si>
    <t>&lt;http://purl.obolibrary.org/obo/MBA_844&gt;</t>
  </si>
  <si>
    <t>subiculum, dorsal part, pyramidal layer</t>
  </si>
  <si>
    <t>&lt;http://purl.obolibrary.org/obo/MBA_845&gt;</t>
  </si>
  <si>
    <t>primary auditory area, layer 5</t>
  </si>
  <si>
    <t>&lt;http://purl.obolibrary.org/obo/MBA_847&gt;</t>
  </si>
  <si>
    <t>visceral area, layer 6b</t>
  </si>
  <si>
    <t>&lt;http://purl.obolibrary.org/obo/MBA_849&gt;</t>
  </si>
  <si>
    <t>subiculum, ventral part, molecular layer</t>
  </si>
  <si>
    <t>&lt;http://purl.obolibrary.org/obo/MBA_853&gt;</t>
  </si>
  <si>
    <t>primary somatosensory area, upper limb, layer 2/3</t>
  </si>
  <si>
    <t>&lt;http://purl.obolibrary.org/obo/MBA_854&gt;</t>
  </si>
  <si>
    <t>visceral area, layer 6a</t>
  </si>
  <si>
    <t>&lt;http://purl.obolibrary.org/obo/MBA_857&gt;</t>
  </si>
  <si>
    <t>parabrachial nucleus, lateral division, central lateral part</t>
  </si>
  <si>
    <t>&lt;http://purl.obolibrary.org/obo/MBA_860&gt;</t>
  </si>
  <si>
    <t>subiculum, ventral part, stratum radiatum</t>
  </si>
  <si>
    <t>&lt;http://purl.obolibrary.org/obo/MBA_861&gt;</t>
  </si>
  <si>
    <t>supplemental somatosensory area, layer 6a</t>
  </si>
  <si>
    <t>&lt;http://purl.obolibrary.org/obo/MBA_862&gt;</t>
  </si>
  <si>
    <t>primary somatosensory area, layer 4</t>
  </si>
  <si>
    <t>&lt;http://purl.obolibrary.org/obo/MBA_865&gt;</t>
  </si>
  <si>
    <t>parabrachial nucleus, lateral division, dorsal lateral part</t>
  </si>
  <si>
    <t>&lt;http://purl.obolibrary.org/obo/MBA_868&gt;</t>
  </si>
  <si>
    <t>subiculum, ventral part, pyramidal layer</t>
  </si>
  <si>
    <t>&lt;http://purl.obolibrary.org/obo/MBA_870&gt;</t>
  </si>
  <si>
    <t>supplemental somatosensory area, layer 1</t>
  </si>
  <si>
    <t>&lt;http://purl.obolibrary.org/obo/MBA_873&gt;</t>
  </si>
  <si>
    <t>parabrachial nucleus, lateral division, external lateral part</t>
  </si>
  <si>
    <t>&lt;http://purl.obolibrary.org/obo/MBA_875&gt;</t>
  </si>
  <si>
    <t>tectospinal pathway</t>
  </si>
  <si>
    <t>&lt;http://purl.obolibrary.org/obo/MBA_877&gt;</t>
  </si>
  <si>
    <t>primary somatosensory area, mouth, layer 1</t>
  </si>
  <si>
    <t>&lt;http://purl.obolibrary.org/obo/MBA_878&gt;</t>
  </si>
  <si>
    <t>retrosplenial area, dorsal part</t>
  </si>
  <si>
    <t>&lt;http://purl.obolibrary.org/obo/MBA_879&gt;</t>
  </si>
  <si>
    <t>primary motor area, Layer 6b</t>
  </si>
  <si>
    <t>&lt;http://purl.obolibrary.org/obo/MBA_882&gt;</t>
  </si>
  <si>
    <t>parabrachial nucleus, lateral division, superior lateral part</t>
  </si>
  <si>
    <t>&lt;http://purl.obolibrary.org/obo/MBA_883&gt;</t>
  </si>
  <si>
    <t>efferent cochlear group</t>
  </si>
  <si>
    <t>&lt;http://purl.obolibrary.org/obo/MBA_887&gt;</t>
  </si>
  <si>
    <t>perirhinal area, layer 2/3</t>
  </si>
  <si>
    <t>&lt;http://purl.obolibrary.org/obo/MBA_888&gt;</t>
  </si>
  <si>
    <t>primary somatosensory area, nose, layer 6a</t>
  </si>
  <si>
    <t>&lt;http://purl.obolibrary.org/obo/MBA_889&gt;</t>
  </si>
  <si>
    <t>rhinocele</t>
  </si>
  <si>
    <t>&lt;http://purl.obolibrary.org/obo/MBA_89&gt;</t>
  </si>
  <si>
    <t>parabrachial nucleus, lateral division, ventral lateral part</t>
  </si>
  <si>
    <t>&lt;http://purl.obolibrary.org/obo/MBA_891&gt;</t>
  </si>
  <si>
    <t>supplemental somatosensory area, layer 6b</t>
  </si>
  <si>
    <t>&lt;http://purl.obolibrary.org/obo/MBA_893&gt;</t>
  </si>
  <si>
    <t>retrosplenial area, lateral agranular part</t>
  </si>
  <si>
    <t>&lt;http://purl.obolibrary.org/obo/MBA_894&gt;</t>
  </si>
  <si>
    <t>ectorhinal area</t>
  </si>
  <si>
    <t>&lt;http://purl.obolibrary.org/obo/MBA_895&gt;</t>
  </si>
  <si>
    <t>visceral area, layer 1</t>
  </si>
  <si>
    <t>&lt;http://purl.obolibrary.org/obo/MBA_897&gt;</t>
  </si>
  <si>
    <t>parabrachial nucleus, medial division, external medial part</t>
  </si>
  <si>
    <t>&lt;http://purl.obolibrary.org/obo/MBA_899&gt;</t>
  </si>
  <si>
    <t>primary somatosensory area, trunk, layer 6a</t>
  </si>
  <si>
    <t>&lt;http://purl.obolibrary.org/obo/MBA_9&gt;</t>
  </si>
  <si>
    <t>posterolateral visual area, layer 5</t>
  </si>
  <si>
    <t>&lt;http://purl.obolibrary.org/obo/MBA_902&gt;</t>
  </si>
  <si>
    <t>anterolateral visual area, layer 2/3</t>
  </si>
  <si>
    <t>&lt;http://purl.obolibrary.org/obo/MBA_905&gt;</t>
  </si>
  <si>
    <t>retrosplenial area, lateral agranular part, layer 6a</t>
  </si>
  <si>
    <t>&lt;http://purl.obolibrary.org/obo/MBA_906&gt;</t>
  </si>
  <si>
    <t>interposed nucleus</t>
  </si>
  <si>
    <t>&lt;http://purl.obolibrary.org/obo/MBA_91&gt;</t>
  </si>
  <si>
    <t>orbital area, medial part, layer 6a</t>
  </si>
  <si>
    <t>&lt;http://purl.obolibrary.org/obo/MBA_910&gt;</t>
  </si>
  <si>
    <t>visual areas, layer 4</t>
  </si>
  <si>
    <t>&lt;http://purl.obolibrary.org/obo/MBA_913&gt;</t>
  </si>
  <si>
    <t>parabrachial nucleus, medial division, medial medial part</t>
  </si>
  <si>
    <t>&lt;http://purl.obolibrary.org/obo/MBA_915&gt;</t>
  </si>
  <si>
    <t>anterior cingulate area, dorsal part, layer 6a</t>
  </si>
  <si>
    <t>&lt;http://purl.obolibrary.org/obo/MBA_919&gt;</t>
  </si>
  <si>
    <t>entorhinal area, lateral part, layer 4</t>
  </si>
  <si>
    <t>&lt;http://purl.obolibrary.org/obo/MBA_92&gt;</t>
  </si>
  <si>
    <t>primary somatosensory area, layer 5</t>
  </si>
  <si>
    <t>&lt;http://purl.obolibrary.org/obo/MBA_921&gt;</t>
  </si>
  <si>
    <t>parabrachial nucleus, medial division, ventral medial part</t>
  </si>
  <si>
    <t>&lt;http://purl.obolibrary.org/obo/MBA_923&gt;</t>
  </si>
  <si>
    <t>anterior cingulate area, dorsal part, layer 6b</t>
  </si>
  <si>
    <t>&lt;http://purl.obolibrary.org/obo/MBA_927&gt;</t>
  </si>
  <si>
    <t>primary somatosensory area, nose, layer 6b</t>
  </si>
  <si>
    <t>&lt;http://purl.obolibrary.org/obo/MBA_929&gt;</t>
  </si>
  <si>
    <t>anterior cingulate area, dorsal part, layer 1</t>
  </si>
  <si>
    <t>&lt;http://purl.obolibrary.org/obo/MBA_935&gt;</t>
  </si>
  <si>
    <t>visual areas, layer 5</t>
  </si>
  <si>
    <t>&lt;http://purl.obolibrary.org/obo/MBA_937&gt;</t>
  </si>
  <si>
    <t>nucleus ambiguus, dorsal division</t>
  </si>
  <si>
    <t>&lt;http://purl.obolibrary.org/obo/MBA_939&gt;</t>
  </si>
  <si>
    <t>vestibulospinal pathway</t>
  </si>
  <si>
    <t>&lt;http://purl.obolibrary.org/obo/MBA_941&gt;</t>
  </si>
  <si>
    <t>primary motor area, Layer 2/3</t>
  </si>
  <si>
    <t>&lt;http://purl.obolibrary.org/obo/MBA_943&gt;</t>
  </si>
  <si>
    <t>primary somatosensory area, upper limb, layer 6a</t>
  </si>
  <si>
    <t>&lt;http://purl.obolibrary.org/obo/MBA_945&gt;</t>
  </si>
  <si>
    <t>somatomotor areas, Layer 6b</t>
  </si>
  <si>
    <t>&lt;http://purl.obolibrary.org/obo/MBA_947&gt;</t>
  </si>
  <si>
    <t>agranular insular area</t>
  </si>
  <si>
    <t>&lt;http://purl.obolibrary.org/obo/MBA_95&gt;</t>
  </si>
  <si>
    <t>primary somatosensory area, mouth, layer 4</t>
  </si>
  <si>
    <t>&lt;http://purl.obolibrary.org/obo/MBA_950&gt;</t>
  </si>
  <si>
    <t>endopiriform nucleus, dorsal part</t>
  </si>
  <si>
    <t>&lt;http://purl.obolibrary.org/obo/MBA_952&gt;</t>
  </si>
  <si>
    <t>primary auditory area, layer 6a</t>
  </si>
  <si>
    <t>&lt;http://purl.obolibrary.org/obo/MBA_954&gt;</t>
  </si>
  <si>
    <t>&lt;http://purl.obolibrary.org/obo/MBA_955&gt;</t>
  </si>
  <si>
    <t>corpus callosum, anterior forceps</t>
  </si>
  <si>
    <t>&lt;http://purl.obolibrary.org/obo/MBA_956&gt;</t>
  </si>
  <si>
    <t>ventral auditory area, layer 1</t>
  </si>
  <si>
    <t>&lt;http://purl.obolibrary.org/obo/MBA_959&gt;</t>
  </si>
  <si>
    <t>secondary motor area, layer 2/3</t>
  </si>
  <si>
    <t>&lt;http://purl.obolibrary.org/obo/MBA_962&gt;</t>
  </si>
  <si>
    <t>&lt;http://purl.obolibrary.org/obo/MBA_963&gt;</t>
  </si>
  <si>
    <t>corpus callosum, extreme capsule</t>
  </si>
  <si>
    <t>&lt;http://purl.obolibrary.org/obo/MBA_964&gt;</t>
  </si>
  <si>
    <t>retrosplenial area, lateral agranular part, layer 2/3</t>
  </si>
  <si>
    <t>&lt;http://purl.obolibrary.org/obo/MBA_965&gt;</t>
  </si>
  <si>
    <t>endopiriform nucleus, ventral part</t>
  </si>
  <si>
    <t>&lt;http://purl.obolibrary.org/obo/MBA_966&gt;</t>
  </si>
  <si>
    <t>orbital area, ventrolateral part, layer 1</t>
  </si>
  <si>
    <t>&lt;http://purl.obolibrary.org/obo/MBA_969&gt;</t>
  </si>
  <si>
    <t>temporal association areas, layer 1</t>
  </si>
  <si>
    <t>&lt;http://purl.obolibrary.org/obo/MBA_97&gt;</t>
  </si>
  <si>
    <t>corpus callosum, posterior forceps</t>
  </si>
  <si>
    <t>&lt;http://purl.obolibrary.org/obo/MBA_971&gt;</t>
  </si>
  <si>
    <t>lateral visual area, layer 2/3</t>
  </si>
  <si>
    <t>&lt;http://purl.obolibrary.org/obo/MBA_973&gt;</t>
  </si>
  <si>
    <t>primary somatosensory area, mouth, layer 5</t>
  </si>
  <si>
    <t>&lt;http://purl.obolibrary.org/obo/MBA_974&gt;</t>
  </si>
  <si>
    <t>ectorhinal area/Layer 6a</t>
  </si>
  <si>
    <t>&lt;http://purl.obolibrary.org/obo/MBA_977&gt;</t>
  </si>
  <si>
    <t>pons, motor related</t>
  </si>
  <si>
    <t>&lt;http://purl.obolibrary.org/obo/MBA_987&gt;</t>
  </si>
  <si>
    <t>ectorhinal area/Layer 5</t>
  </si>
  <si>
    <t>&lt;http://purl.obolibrary.org/obo/MBA_988&gt;</t>
  </si>
  <si>
    <t>ventral auditory area, layer 4</t>
  </si>
  <si>
    <t>&lt;http://purl.obolibrary.org/obo/MBA_990&gt;</t>
  </si>
  <si>
    <t>agranular insular area, dorsal part, layer 1</t>
  </si>
  <si>
    <t>&lt;http://purl.obolibrary.org/obo/MBA_996&gt;</t>
  </si>
  <si>
    <t>entorhinal area, lateral part, layer 2/3</t>
  </si>
  <si>
    <t>&lt;http://purl.obolibrary.org/obo/MBA_999&gt;</t>
  </si>
  <si>
    <t>layer I of rostral cingulate cortex</t>
  </si>
  <si>
    <t>&lt;http://purl.obolibrary.org/obo/PBA_10000&gt;</t>
  </si>
  <si>
    <t>layer II of rostral cingulate cortex</t>
  </si>
  <si>
    <t>&lt;http://purl.obolibrary.org/obo/PBA_10001&gt;</t>
  </si>
  <si>
    <t>layer III of rostral cingulate cortex</t>
  </si>
  <si>
    <t>&lt;http://purl.obolibrary.org/obo/PBA_10002&gt;</t>
  </si>
  <si>
    <t>granular layer IV of rostral cingulate cortex</t>
  </si>
  <si>
    <t>&lt;http://purl.obolibrary.org/obo/PBA_10003&gt;</t>
  </si>
  <si>
    <t>layer V of rostral cingulate cortex</t>
  </si>
  <si>
    <t>&lt;http://purl.obolibrary.org/obo/PBA_10004&gt;</t>
  </si>
  <si>
    <t>layer VI of rostral cingulate cortex</t>
  </si>
  <si>
    <t>&lt;http://purl.obolibrary.org/obo/PBA_10005&gt;</t>
  </si>
  <si>
    <t>white matter of rostral cingulate cortex</t>
  </si>
  <si>
    <t>&lt;http://purl.obolibrary.org/obo/PBA_10007&gt;</t>
  </si>
  <si>
    <t>&lt;http://purl.obolibrary.org/obo/PBA_10008&gt;</t>
  </si>
  <si>
    <t>layer I of medial orbitofrontal cortex</t>
  </si>
  <si>
    <t>&lt;http://purl.obolibrary.org/obo/PBA_10009&gt;</t>
  </si>
  <si>
    <t>layer II of medial orbitofrontal cortex</t>
  </si>
  <si>
    <t>&lt;http://purl.obolibrary.org/obo/PBA_10010&gt;</t>
  </si>
  <si>
    <t>layer III of medial orbitofrontal cortex</t>
  </si>
  <si>
    <t>&lt;http://purl.obolibrary.org/obo/PBA_10011&gt;</t>
  </si>
  <si>
    <t>granular layer IV of medial orbitofrontal cortex</t>
  </si>
  <si>
    <t>&lt;http://purl.obolibrary.org/obo/PBA_10012&gt;</t>
  </si>
  <si>
    <t>layer V of medial orbitofrontal cortex</t>
  </si>
  <si>
    <t>&lt;http://purl.obolibrary.org/obo/PBA_10013&gt;</t>
  </si>
  <si>
    <t>layer VI of medial orbitofrontal cortex</t>
  </si>
  <si>
    <t>&lt;http://purl.obolibrary.org/obo/PBA_10014&gt;</t>
  </si>
  <si>
    <t>white matter of medial orbitofrontal cortex</t>
  </si>
  <si>
    <t>&lt;http://purl.obolibrary.org/obo/PBA_10016&gt;</t>
  </si>
  <si>
    <t>caudal orbital frontal cortex (area 13)</t>
  </si>
  <si>
    <t>&lt;http://purl.obolibrary.org/obo/PBA_10017&gt;</t>
  </si>
  <si>
    <t>layer I of caudal orbitofrontal cortex</t>
  </si>
  <si>
    <t>&lt;http://purl.obolibrary.org/obo/PBA_10018&gt;</t>
  </si>
  <si>
    <t>layer II of caudal orbitofrontal cortex</t>
  </si>
  <si>
    <t>&lt;http://purl.obolibrary.org/obo/PBA_10019&gt;</t>
  </si>
  <si>
    <t>layer III of caudal orbitofrontal cortex</t>
  </si>
  <si>
    <t>&lt;http://purl.obolibrary.org/obo/PBA_10020&gt;</t>
  </si>
  <si>
    <t>granular layer IV of caudal orbitofrontal cortex</t>
  </si>
  <si>
    <t>&lt;http://purl.obolibrary.org/obo/PBA_10021&gt;</t>
  </si>
  <si>
    <t>layer V of caudal orbitofrontal cortex</t>
  </si>
  <si>
    <t>&lt;http://purl.obolibrary.org/obo/PBA_10022&gt;</t>
  </si>
  <si>
    <t>layer VI of caudal orbitofrontal cortex</t>
  </si>
  <si>
    <t>&lt;http://purl.obolibrary.org/obo/PBA_10023&gt;</t>
  </si>
  <si>
    <t>white matter of caudal orbitofrontal cortex</t>
  </si>
  <si>
    <t>&lt;http://purl.obolibrary.org/obo/PBA_10025&gt;</t>
  </si>
  <si>
    <t>layer I of V1</t>
  </si>
  <si>
    <t>&lt;http://purl.obolibrary.org/obo/PBA_10027&gt;</t>
  </si>
  <si>
    <t>layer II of V1</t>
  </si>
  <si>
    <t>&lt;http://purl.obolibrary.org/obo/PBA_10028&gt;</t>
  </si>
  <si>
    <t>layer III of V1</t>
  </si>
  <si>
    <t>&lt;http://purl.obolibrary.org/obo/PBA_10029&gt;</t>
  </si>
  <si>
    <t>granular layer IV of V1</t>
  </si>
  <si>
    <t>&lt;http://purl.obolibrary.org/obo/PBA_10030&gt;</t>
  </si>
  <si>
    <t>layer IVA of V1</t>
  </si>
  <si>
    <t>&lt;http://purl.obolibrary.org/obo/PBA_10031&gt;</t>
  </si>
  <si>
    <t>layer IVB of V1</t>
  </si>
  <si>
    <t>&lt;http://purl.obolibrary.org/obo/PBA_10032&gt;</t>
  </si>
  <si>
    <t>layer IVCa of V1</t>
  </si>
  <si>
    <t>&lt;http://purl.obolibrary.org/obo/PBA_10033&gt;</t>
  </si>
  <si>
    <t>layer IVCb of V1</t>
  </si>
  <si>
    <t>&lt;http://purl.obolibrary.org/obo/PBA_10034&gt;</t>
  </si>
  <si>
    <t>layer V of V1</t>
  </si>
  <si>
    <t>&lt;http://purl.obolibrary.org/obo/PBA_10035&gt;</t>
  </si>
  <si>
    <t>layer VI of V1</t>
  </si>
  <si>
    <t>&lt;http://purl.obolibrary.org/obo/PBA_10036&gt;</t>
  </si>
  <si>
    <t>white matter of V1</t>
  </si>
  <si>
    <t>&lt;http://purl.obolibrary.org/obo/PBA_10038&gt;</t>
  </si>
  <si>
    <t>layer I of V2</t>
  </si>
  <si>
    <t>&lt;http://purl.obolibrary.org/obo/PBA_10040&gt;</t>
  </si>
  <si>
    <t>layer II of V2</t>
  </si>
  <si>
    <t>&lt;http://purl.obolibrary.org/obo/PBA_10041&gt;</t>
  </si>
  <si>
    <t>layer III of V2</t>
  </si>
  <si>
    <t>&lt;http://purl.obolibrary.org/obo/PBA_10042&gt;</t>
  </si>
  <si>
    <t>granular layer IV of V2</t>
  </si>
  <si>
    <t>&lt;http://purl.obolibrary.org/obo/PBA_10043&gt;</t>
  </si>
  <si>
    <t>layer V of V2</t>
  </si>
  <si>
    <t>&lt;http://purl.obolibrary.org/obo/PBA_10048&gt;</t>
  </si>
  <si>
    <t>layer VI of V2</t>
  </si>
  <si>
    <t>&lt;http://purl.obolibrary.org/obo/PBA_10049&gt;</t>
  </si>
  <si>
    <t>white matter of V2</t>
  </si>
  <si>
    <t>&lt;http://purl.obolibrary.org/obo/PBA_10051&gt;</t>
  </si>
  <si>
    <t>&lt;http://purl.obolibrary.org/obo/PBA_10053&gt;</t>
  </si>
  <si>
    <t>&lt;http://purl.obolibrary.org/obo/PBA_10055&gt;</t>
  </si>
  <si>
    <t>dentate gyrus (dentate cortex)</t>
  </si>
  <si>
    <t>&lt;http://purl.obolibrary.org/obo/PBA_10075&gt;</t>
  </si>
  <si>
    <t>molecular layer of dentate gyrus (cortex)</t>
  </si>
  <si>
    <t>&lt;http://purl.obolibrary.org/obo/PBA_10076&gt;</t>
  </si>
  <si>
    <t>granular layer of dentate gyrus (cortex)</t>
  </si>
  <si>
    <t>&lt;http://purl.obolibrary.org/obo/PBA_10077&gt;</t>
  </si>
  <si>
    <t>subgranular zone of dentate gyrus (cortex)</t>
  </si>
  <si>
    <t>&lt;http://purl.obolibrary.org/obo/PBA_10078&gt;</t>
  </si>
  <si>
    <t>polyform layer of dentate gyrus (cortex)</t>
  </si>
  <si>
    <t>&lt;http://purl.obolibrary.org/obo/PBA_10079&gt;</t>
  </si>
  <si>
    <t>&lt;http://purl.obolibrary.org/obo/PBA_10091&gt;</t>
  </si>
  <si>
    <t>basal nucleus (basolateral nucleus)</t>
  </si>
  <si>
    <t>&lt;http://purl.obolibrary.org/obo/PBA_10106&gt;</t>
  </si>
  <si>
    <t>intermediate division of basal nucleus</t>
  </si>
  <si>
    <t>&lt;http://purl.obolibrary.org/obo/PBA_10107&gt;</t>
  </si>
  <si>
    <t>dorsal (magnocellular) division of basal nucleus</t>
  </si>
  <si>
    <t>&lt;http://purl.obolibrary.org/obo/PBA_10108&gt;</t>
  </si>
  <si>
    <t>ventral (parvocellular) division of basal nucleus</t>
  </si>
  <si>
    <t>&lt;http://purl.obolibrary.org/obo/PBA_10109&gt;</t>
  </si>
  <si>
    <t>accessory basal nucleus (basomedial nucleus)</t>
  </si>
  <si>
    <t>&lt;http://purl.obolibrary.org/obo/PBA_10110&gt;</t>
  </si>
  <si>
    <t>dorsal (magnocellular) division of accessory basal nucleus</t>
  </si>
  <si>
    <t>&lt;http://purl.obolibrary.org/obo/PBA_10111&gt;</t>
  </si>
  <si>
    <t>ventral (parvocellular) division of accessory basal nucleus</t>
  </si>
  <si>
    <t>&lt;http://purl.obolibrary.org/obo/PBA_10112&gt;</t>
  </si>
  <si>
    <t>dorsal division of lateral nucleus, lateral part</t>
  </si>
  <si>
    <t>&lt;http://purl.obolibrary.org/obo/PBA_10117&gt;</t>
  </si>
  <si>
    <t>dorsal division of lateral nucleus, medial part</t>
  </si>
  <si>
    <t>&lt;http://purl.obolibrary.org/obo/PBA_10118&gt;</t>
  </si>
  <si>
    <t>ventral division of lateral nucleus, lateral part</t>
  </si>
  <si>
    <t>&lt;http://purl.obolibrary.org/obo/PBA_10119&gt;</t>
  </si>
  <si>
    <t>ventral division of lateral nucleus, medial part</t>
  </si>
  <si>
    <t>&lt;http://purl.obolibrary.org/obo/PBA_10120&gt;</t>
  </si>
  <si>
    <t>lateral division of central nucleus</t>
  </si>
  <si>
    <t>&lt;http://purl.obolibrary.org/obo/PBA_10123&gt;</t>
  </si>
  <si>
    <t>medial division of central nucleus</t>
  </si>
  <si>
    <t>&lt;http://purl.obolibrary.org/obo/PBA_10124&gt;</t>
  </si>
  <si>
    <t>&lt;http://purl.obolibrary.org/obo/PBA_10128&gt;</t>
  </si>
  <si>
    <t>rostral periamygdaloid cortex (rPAC)</t>
  </si>
  <si>
    <t>&lt;http://purl.obolibrary.org/obo/PBA_10134&gt;</t>
  </si>
  <si>
    <t>amygdaloid intramedullary gray</t>
  </si>
  <si>
    <t>&lt;http://purl.obolibrary.org/obo/PBA_10139&gt;</t>
  </si>
  <si>
    <t>subpial granular zone of dorsolateral prefrontal cortex</t>
  </si>
  <si>
    <t>&lt;http://purl.obolibrary.org/obo/PBA_128011368&gt;</t>
  </si>
  <si>
    <t>marginal zone of dorsolateral prefrontal cortex</t>
  </si>
  <si>
    <t>&lt;http://purl.obolibrary.org/obo/PBA_128011372&gt;</t>
  </si>
  <si>
    <t>cortical plate of dorsolateral prefrontal cortex</t>
  </si>
  <si>
    <t>&lt;http://purl.obolibrary.org/obo/PBA_128011378&gt;</t>
  </si>
  <si>
    <t>marginal zone of rostral cingulate cortex</t>
  </si>
  <si>
    <t>&lt;http://purl.obolibrary.org/obo/PBA_128011614&gt;</t>
  </si>
  <si>
    <t>outer cortical plate of rostral cingulate cortex</t>
  </si>
  <si>
    <t>&lt;http://purl.obolibrary.org/obo/PBA_128011624&gt;</t>
  </si>
  <si>
    <t>inner cortical plate (infragranular layer) of rostral cingulate cortex</t>
  </si>
  <si>
    <t>&lt;http://purl.obolibrary.org/obo/PBA_128011638&gt;</t>
  </si>
  <si>
    <t>subplate zone of rostral cingulate cortex</t>
  </si>
  <si>
    <t>&lt;http://purl.obolibrary.org/obo/PBA_128011646&gt;</t>
  </si>
  <si>
    <t>subventricular zone of rostral cingulate cortex</t>
  </si>
  <si>
    <t>&lt;http://purl.obolibrary.org/obo/PBA_128011654&gt;</t>
  </si>
  <si>
    <t>outer subventricular zone of rostral cingulate cortex</t>
  </si>
  <si>
    <t>&lt;http://purl.obolibrary.org/obo/PBA_128011658&gt;</t>
  </si>
  <si>
    <t>inner subventricular zone of rostral cingulate cortex</t>
  </si>
  <si>
    <t>&lt;http://purl.obolibrary.org/obo/PBA_128011662&gt;</t>
  </si>
  <si>
    <t>ventricular zone of rostral cingulate cortex</t>
  </si>
  <si>
    <t>&lt;http://purl.obolibrary.org/obo/PBA_128011666&gt;</t>
  </si>
  <si>
    <t>outer ventricular zone of rostral cingulate cortex</t>
  </si>
  <si>
    <t>&lt;http://purl.obolibrary.org/obo/PBA_128011670&gt;</t>
  </si>
  <si>
    <t>inner ventricular zone of rostral cingulate cortex</t>
  </si>
  <si>
    <t>&lt;http://purl.obolibrary.org/obo/PBA_128011674&gt;</t>
  </si>
  <si>
    <t>marginal zone of S1</t>
  </si>
  <si>
    <t>&lt;http://purl.obolibrary.org/obo/PBA_128011776&gt;</t>
  </si>
  <si>
    <t>outer cortical plate of S1</t>
  </si>
  <si>
    <t>&lt;http://purl.obolibrary.org/obo/PBA_128011788&gt;</t>
  </si>
  <si>
    <t>layer II of S1</t>
  </si>
  <si>
    <t>&lt;http://purl.obolibrary.org/obo/PBA_128011796&gt;</t>
  </si>
  <si>
    <t>layer III of S1</t>
  </si>
  <si>
    <t>&lt;http://purl.obolibrary.org/obo/PBA_128011800&gt;</t>
  </si>
  <si>
    <t>granular layer IV of S1</t>
  </si>
  <si>
    <t>&lt;http://purl.obolibrary.org/obo/PBA_128011804&gt;</t>
  </si>
  <si>
    <t>inner cortical plate (infragranular layer) of S1</t>
  </si>
  <si>
    <t>&lt;http://purl.obolibrary.org/obo/PBA_128011808&gt;</t>
  </si>
  <si>
    <t>layer V of S1</t>
  </si>
  <si>
    <t>&lt;http://purl.obolibrary.org/obo/PBA_128011812&gt;</t>
  </si>
  <si>
    <t>layer VI of S1</t>
  </si>
  <si>
    <t>&lt;http://purl.obolibrary.org/obo/PBA_128011816&gt;</t>
  </si>
  <si>
    <t>subplate zone of S1</t>
  </si>
  <si>
    <t>&lt;http://purl.obolibrary.org/obo/PBA_128011820&gt;</t>
  </si>
  <si>
    <t>subventricular zone of S1</t>
  </si>
  <si>
    <t>&lt;http://purl.obolibrary.org/obo/PBA_128011828&gt;</t>
  </si>
  <si>
    <t>outer subventricular zone of S1</t>
  </si>
  <si>
    <t>&lt;http://purl.obolibrary.org/obo/PBA_128011832&gt;</t>
  </si>
  <si>
    <t>inner subventricular zone of S1</t>
  </si>
  <si>
    <t>&lt;http://purl.obolibrary.org/obo/PBA_128011836&gt;</t>
  </si>
  <si>
    <t>ventricular zone of S1</t>
  </si>
  <si>
    <t>&lt;http://purl.obolibrary.org/obo/PBA_128011840&gt;</t>
  </si>
  <si>
    <t>outer ventricular zone of S1</t>
  </si>
  <si>
    <t>&lt;http://purl.obolibrary.org/obo/PBA_128011844&gt;</t>
  </si>
  <si>
    <t>inner ventricular zone of S1</t>
  </si>
  <si>
    <t>&lt;http://purl.obolibrary.org/obo/PBA_128011848&gt;</t>
  </si>
  <si>
    <t>layer II of LEC</t>
  </si>
  <si>
    <t>&lt;http://purl.obolibrary.org/obo/PBA_128011900&gt;</t>
  </si>
  <si>
    <t>layer II of MEC</t>
  </si>
  <si>
    <t>&lt;http://purl.obolibrary.org/obo/PBA_128011960&gt;</t>
  </si>
  <si>
    <t>medial perirhinal cortex (area 35)</t>
  </si>
  <si>
    <t>&lt;http://purl.obolibrary.org/obo/PBA_128012084&gt;</t>
  </si>
  <si>
    <t>layer V of perirhinal cortex (area 35)</t>
  </si>
  <si>
    <t>&lt;http://purl.obolibrary.org/obo/PBA_128012120&gt;</t>
  </si>
  <si>
    <t>lateral perirhinal cortex (area 36)</t>
  </si>
  <si>
    <t>&lt;http://purl.obolibrary.org/obo/PBA_128012144&gt;</t>
  </si>
  <si>
    <t>marginal zone of dentate gyrus (cortex)</t>
  </si>
  <si>
    <t>&lt;http://purl.obolibrary.org/obo/PBA_128012220&gt;</t>
  </si>
  <si>
    <t>granular layer anlage of dentate gyrus (cortex)</t>
  </si>
  <si>
    <t>&lt;http://purl.obolibrary.org/obo/PBA_128012226&gt;</t>
  </si>
  <si>
    <t>subgranular layer anlage of dentate gyrus (cortex)</t>
  </si>
  <si>
    <t>&lt;http://purl.obolibrary.org/obo/PBA_128012232&gt;</t>
  </si>
  <si>
    <t>polyform layer anlage of dentate gyrus (cortex)</t>
  </si>
  <si>
    <t>&lt;http://purl.obolibrary.org/obo/PBA_128012238&gt;</t>
  </si>
  <si>
    <t>marginal zone of CA1</t>
  </si>
  <si>
    <t>&lt;http://purl.obolibrary.org/obo/PBA_128012250&gt;</t>
  </si>
  <si>
    <t>hippocampal plate of CA1</t>
  </si>
  <si>
    <t>&lt;http://purl.obolibrary.org/obo/PBA_128012258&gt;</t>
  </si>
  <si>
    <t>hippocampal subplate of CA1</t>
  </si>
  <si>
    <t>&lt;http://purl.obolibrary.org/obo/PBA_128012264&gt;</t>
  </si>
  <si>
    <t>hippocampal intermediate zone of CA1</t>
  </si>
  <si>
    <t>&lt;http://purl.obolibrary.org/obo/PBA_128012270&gt;</t>
  </si>
  <si>
    <t>hippocampal subventricular zone of CA1</t>
  </si>
  <si>
    <t>&lt;http://purl.obolibrary.org/obo/PBA_128012274&gt;</t>
  </si>
  <si>
    <t>hippocampal ventricular zone of CA1</t>
  </si>
  <si>
    <t>&lt;http://purl.obolibrary.org/obo/PBA_128012278&gt;</t>
  </si>
  <si>
    <t>marginal zone of CA2</t>
  </si>
  <si>
    <t>&lt;http://purl.obolibrary.org/obo/PBA_128012284&gt;</t>
  </si>
  <si>
    <t>hippocampal plate of CA2</t>
  </si>
  <si>
    <t>&lt;http://purl.obolibrary.org/obo/PBA_128012292&gt;</t>
  </si>
  <si>
    <t>hippocampal subplate of CA2</t>
  </si>
  <si>
    <t>&lt;http://purl.obolibrary.org/obo/PBA_128012298&gt;</t>
  </si>
  <si>
    <t>marginal zone of CA3</t>
  </si>
  <si>
    <t>&lt;http://purl.obolibrary.org/obo/PBA_128012318&gt;</t>
  </si>
  <si>
    <t>hippocampal plate of CA3</t>
  </si>
  <si>
    <t>&lt;http://purl.obolibrary.org/obo/PBA_128012326&gt;</t>
  </si>
  <si>
    <t>hippocampal subplate of CA3</t>
  </si>
  <si>
    <t>&lt;http://purl.obolibrary.org/obo/PBA_128012332&gt;</t>
  </si>
  <si>
    <t>hippocampal plate of subiculum</t>
  </si>
  <si>
    <t>&lt;http://purl.obolibrary.org/obo/PBA_128012368&gt;</t>
  </si>
  <si>
    <t>pyramidal layer of subiculum</t>
  </si>
  <si>
    <t>&lt;http://purl.obolibrary.org/obo/PBA_128012372&gt;</t>
  </si>
  <si>
    <t>rostral (anterior) presubiculum</t>
  </si>
  <si>
    <t>&lt;http://purl.obolibrary.org/obo/PBA_128012400&gt;</t>
  </si>
  <si>
    <t>caudal (posterior) presubiculum</t>
  </si>
  <si>
    <t>&lt;http://purl.obolibrary.org/obo/PBA_128012404&gt;</t>
  </si>
  <si>
    <t>subpial granular zone of V1</t>
  </si>
  <si>
    <t>&lt;http://purl.obolibrary.org/obo/PBA_128012418&gt;</t>
  </si>
  <si>
    <t>marginal zone of V1</t>
  </si>
  <si>
    <t>&lt;http://purl.obolibrary.org/obo/PBA_128012422&gt;</t>
  </si>
  <si>
    <t>cortical plate of V1</t>
  </si>
  <si>
    <t>&lt;http://purl.obolibrary.org/obo/PBA_128012428&gt;</t>
  </si>
  <si>
    <t>outer cortical plate of V1</t>
  </si>
  <si>
    <t>&lt;http://purl.obolibrary.org/obo/PBA_128012432&gt;</t>
  </si>
  <si>
    <t>supragranular layer of V1</t>
  </si>
  <si>
    <t>&lt;http://purl.obolibrary.org/obo/PBA_128012436&gt;</t>
  </si>
  <si>
    <t>inner cortical plate (infragranular layer) of V1</t>
  </si>
  <si>
    <t>&lt;http://purl.obolibrary.org/obo/PBA_128012458&gt;</t>
  </si>
  <si>
    <t>subplate zone of V1</t>
  </si>
  <si>
    <t>&lt;http://purl.obolibrary.org/obo/PBA_128012466&gt;</t>
  </si>
  <si>
    <t>subventricular zone of V1</t>
  </si>
  <si>
    <t>&lt;http://purl.obolibrary.org/obo/PBA_128012478&gt;</t>
  </si>
  <si>
    <t>outer subventricular zone of V1</t>
  </si>
  <si>
    <t>&lt;http://purl.obolibrary.org/obo/PBA_128012482&gt;</t>
  </si>
  <si>
    <t>inner subventricular zone of V1</t>
  </si>
  <si>
    <t>&lt;http://purl.obolibrary.org/obo/PBA_128012486&gt;</t>
  </si>
  <si>
    <t>ventricular zone of V1</t>
  </si>
  <si>
    <t>&lt;http://purl.obolibrary.org/obo/PBA_128012490&gt;</t>
  </si>
  <si>
    <t>outer ventricular zone of V1</t>
  </si>
  <si>
    <t>&lt;http://purl.obolibrary.org/obo/PBA_128012494&gt;</t>
  </si>
  <si>
    <t>inner ventricular zone of V1</t>
  </si>
  <si>
    <t>&lt;http://purl.obolibrary.org/obo/PBA_128012498&gt;</t>
  </si>
  <si>
    <t>ventricular portion of RMS</t>
  </si>
  <si>
    <t>&lt;http://purl.obolibrary.org/obo/PBA_128012588&gt;</t>
  </si>
  <si>
    <t>periamygdaloid cortex (cortical amygdaloid nucleus)</t>
  </si>
  <si>
    <t>&lt;http://purl.obolibrary.org/obo/PBA_128012620&gt;</t>
  </si>
  <si>
    <t>caudal periamygdaloid cortex (cPAC)</t>
  </si>
  <si>
    <t>&lt;http://purl.obolibrary.org/obo/PBA_128012634&gt;</t>
  </si>
  <si>
    <t>caudal periamygdaloid cortex, dorsal part</t>
  </si>
  <si>
    <t>&lt;http://purl.obolibrary.org/obo/PBA_128012638&gt;</t>
  </si>
  <si>
    <t>shell of nucleus accumbens, medial part</t>
  </si>
  <si>
    <t>&lt;http://purl.obolibrary.org/obo/PBA_128012920&gt;</t>
  </si>
  <si>
    <t>main island of Calleja</t>
  </si>
  <si>
    <t>&lt;http://purl.obolibrary.org/obo/PBA_128012926&gt;</t>
  </si>
  <si>
    <t>dorsolateral prefrontal cortex (areas 9 and 46)</t>
  </si>
  <si>
    <t>&lt;http://purl.obolibrary.org/obo/PBA_12984&gt;</t>
  </si>
  <si>
    <t>outer fiber (plexiform) zone of rostral cingulate cortex</t>
  </si>
  <si>
    <t>&lt;http://purl.obolibrary.org/obo/PBA_159658800&gt;</t>
  </si>
  <si>
    <t>inner fiber (plexiform) zone of rostral cingulate cortex</t>
  </si>
  <si>
    <t>&lt;http://purl.obolibrary.org/obo/PBA_159658804&gt;</t>
  </si>
  <si>
    <t>outer fiber (plexiform) zone of S1</t>
  </si>
  <si>
    <t>&lt;http://purl.obolibrary.org/obo/PBA_159658808&gt;</t>
  </si>
  <si>
    <t>inner fiber (plexiform) zone of S1</t>
  </si>
  <si>
    <t>&lt;http://purl.obolibrary.org/obo/PBA_159658816&gt;</t>
  </si>
  <si>
    <t>dentate migratory stream</t>
  </si>
  <si>
    <t>&lt;http://purl.obolibrary.org/obo/PBA_159658820&gt;</t>
  </si>
  <si>
    <t>cortical hem</t>
  </si>
  <si>
    <t>&lt;http://purl.obolibrary.org/obo/PBA_159658824&gt;</t>
  </si>
  <si>
    <t>outer fiber (plexiform) zone of V1</t>
  </si>
  <si>
    <t>&lt;http://purl.obolibrary.org/obo/PBA_159658836&gt;</t>
  </si>
  <si>
    <t>transitory migratory zone of V1</t>
  </si>
  <si>
    <t>&lt;http://purl.obolibrary.org/obo/PBA_159658840&gt;</t>
  </si>
  <si>
    <t>inner fiber (plexiform) zone of V1</t>
  </si>
  <si>
    <t>&lt;http://purl.obolibrary.org/obo/PBA_159658844&gt;</t>
  </si>
  <si>
    <t>lateral ganglionic eminence-cortex border</t>
  </si>
  <si>
    <t>&lt;http://purl.obolibrary.org/obo/PBA_159658852&gt;</t>
  </si>
  <si>
    <t>subpial granular zone</t>
  </si>
  <si>
    <t>&lt;http://purl.obolibrary.org/obo/PBA_294021766&gt;</t>
  </si>
  <si>
    <t>layer II/III</t>
  </si>
  <si>
    <t>&lt;http://purl.obolibrary.org/obo/PBA_294021818&gt;</t>
  </si>
  <si>
    <t>cortical plate (outer)</t>
  </si>
  <si>
    <t>&lt;http://purl.obolibrary.org/obo/PBA_294021842&gt;</t>
  </si>
  <si>
    <t>cortical plate (inner)</t>
  </si>
  <si>
    <t>&lt;http://purl.obolibrary.org/obo/PBA_294021920&gt;</t>
  </si>
  <si>
    <t>transitory migratory zone</t>
  </si>
  <si>
    <t>&lt;http://purl.obolibrary.org/obo/PBA_294021954&gt;</t>
  </si>
  <si>
    <t>outer fiber zone</t>
  </si>
  <si>
    <t>&lt;http://purl.obolibrary.org/obo/PBA_294021960&gt;</t>
  </si>
  <si>
    <t>subventricular zone (outer)</t>
  </si>
  <si>
    <t>&lt;http://purl.obolibrary.org/obo/PBA_294021980&gt;</t>
  </si>
  <si>
    <t>inner fiber zone</t>
  </si>
  <si>
    <t>&lt;http://purl.obolibrary.org/obo/PBA_294021990&gt;</t>
  </si>
  <si>
    <t>subventricular zone (inner)</t>
  </si>
  <si>
    <t>&lt;http://purl.obolibrary.org/obo/PBA_294022000&gt;</t>
  </si>
  <si>
    <t>ventricular zone (outer)</t>
  </si>
  <si>
    <t>&lt;http://purl.obolibrary.org/obo/PBA_294022010&gt;</t>
  </si>
  <si>
    <t>ventricular zone (inner)</t>
  </si>
  <si>
    <t>&lt;http://purl.obolibrary.org/obo/PBA_294022020&gt;</t>
  </si>
  <si>
    <t>ventricular zone</t>
  </si>
  <si>
    <t>&lt;http://purl.obolibrary.org/obo/PBA_294022030&gt;</t>
  </si>
  <si>
    <t>medial frontal cortex (areas 24, 25 and 32)</t>
  </si>
  <si>
    <t>&lt;http://purl.obolibrary.org/obo/PBA_4000&gt;</t>
  </si>
  <si>
    <t>rostral cingulate cortex (areas 24 and 32)</t>
  </si>
  <si>
    <t>&lt;http://purl.obolibrary.org/obo/PBA_9999&gt;</t>
  </si>
  <si>
    <t>&lt;http://purl.obolibrary.org/obo/UBERON_0006119&gt;</t>
  </si>
  <si>
    <t>&lt;http://purl.obolibrary.org/obo/UBERON_0022250&gt;</t>
  </si>
  <si>
    <t>superior occipitofrontal fasciculus</t>
  </si>
  <si>
    <t>&lt;http://purl.obolibrary.org/obo/DHBA_12071&gt;</t>
  </si>
  <si>
    <t>subcallosal fasciculus</t>
  </si>
  <si>
    <t>&lt;http://purl.obolibrary.org/obo/HBA_265505338&gt;</t>
  </si>
  <si>
    <t>&lt;http://purl.obolibrary.org/obo/UBERON_0002139&gt;</t>
  </si>
  <si>
    <t>&lt;http://purl.obolibrary.org/obo/DHBA_12101&gt;</t>
  </si>
  <si>
    <t>&lt;http://purl.obolibrary.org/obo/HBA_9489&gt;</t>
  </si>
  <si>
    <t>&lt;http://purl.obolibrary.org/obo/UBERON_0002700&gt;</t>
  </si>
  <si>
    <t>subcuneiform nucleus</t>
  </si>
  <si>
    <t>&lt;http://purl.obolibrary.org/obo/DHBA_12246&gt;</t>
  </si>
  <si>
    <t>&lt;http://purl.obolibrary.org/obo/DMBA_16787&gt;</t>
  </si>
  <si>
    <t>subcuneiform nucleus, left</t>
  </si>
  <si>
    <t>&lt;http://purl.obolibrary.org/obo/HBA_9022&gt;</t>
  </si>
  <si>
    <t>&lt;http://purl.obolibrary.org/obo/UBERON_0002219&gt;</t>
  </si>
  <si>
    <t>subfornical organ</t>
  </si>
  <si>
    <t>&lt;http://purl.obolibrary.org/obo/DHBA_12104&gt;</t>
  </si>
  <si>
    <t>&lt;http://purl.obolibrary.org/obo/MBA_338&gt;</t>
  </si>
  <si>
    <t>&lt;http://purl.obolibrary.org/obo/UBERON_0002191&gt;</t>
  </si>
  <si>
    <t>subicular cortex</t>
  </si>
  <si>
    <t>&lt;http://purl.obolibrary.org/obo/DHBA_10301&gt;</t>
  </si>
  <si>
    <t>subiculum</t>
  </si>
  <si>
    <t>&lt;http://purl.obolibrary.org/obo/DHBA_10302&gt;</t>
  </si>
  <si>
    <t>&lt;http://purl.obolibrary.org/obo/DMBA_16163&gt;</t>
  </si>
  <si>
    <t>&lt;http://purl.obolibrary.org/obo/HBA_12896&gt;</t>
  </si>
  <si>
    <t>&lt;http://purl.obolibrary.org/obo/MBA_502&gt;</t>
  </si>
  <si>
    <t>&lt;http://purl.obolibrary.org/obo/PBA_10054&gt;</t>
  </si>
  <si>
    <t>&lt;http://purl.obolibrary.org/obo/PBA_128012354&gt;</t>
  </si>
  <si>
    <t>&lt;http://purl.obolibrary.org/obo/UBERON_0002578&gt;</t>
  </si>
  <si>
    <t>sublentiform nucleus</t>
  </si>
  <si>
    <t>&lt;http://purl.obolibrary.org/obo/HBA_9092&gt;</t>
  </si>
  <si>
    <t>&lt;http://purl.obolibrary.org/obo/UBERON_0002881&gt;</t>
  </si>
  <si>
    <t>&lt;http://purl.obolibrary.org/obo/UBERON_0003031&gt;</t>
  </si>
  <si>
    <t>submedial nucleus of the thalamus, left</t>
  </si>
  <si>
    <t>&lt;http://purl.obolibrary.org/obo/HBA_4406&gt;</t>
  </si>
  <si>
    <t>&lt;http://purl.obolibrary.org/obo/UBERON_0016641&gt;</t>
  </si>
  <si>
    <t>&lt;http://purl.obolibrary.org/obo/UBERON_0007626&gt;</t>
  </si>
  <si>
    <t>subparaventricular zone</t>
  </si>
  <si>
    <t>&lt;http://purl.obolibrary.org/obo/DHBA_266441555&gt;</t>
  </si>
  <si>
    <t>subparaventricular zone, left</t>
  </si>
  <si>
    <t>&lt;http://purl.obolibrary.org/obo/HBA_4574&gt;</t>
  </si>
  <si>
    <t>&lt;http://purl.obolibrary.org/obo/MBA_347&gt;</t>
  </si>
  <si>
    <t>&lt;http://purl.obolibrary.org/obo/UBERON_0002908&gt;</t>
  </si>
  <si>
    <t>subparietal sulcus</t>
  </si>
  <si>
    <t>&lt;http://purl.obolibrary.org/obo/HBA_9376&gt;</t>
  </si>
  <si>
    <t>&lt;http://purl.obolibrary.org/obo/UBERON_0003017&gt;</t>
  </si>
  <si>
    <t>&lt;http://purl.obolibrary.org/obo/UBERON_0002038&gt;</t>
  </si>
  <si>
    <t>&lt;http://purl.obolibrary.org/obo/UBERON_0001965&gt;</t>
  </si>
  <si>
    <t>substantia nigra, compact part</t>
  </si>
  <si>
    <t>&lt;http://purl.obolibrary.org/obo/DHBA_12252&gt;</t>
  </si>
  <si>
    <t>substantia nigra, pars compacta, left</t>
  </si>
  <si>
    <t>&lt;http://purl.obolibrary.org/obo/HBA_9074&gt;</t>
  </si>
  <si>
    <t>&lt;http://purl.obolibrary.org/obo/MBA_374&gt;</t>
  </si>
  <si>
    <t>&lt;http://purl.obolibrary.org/obo/UBERON_0002995&gt;</t>
  </si>
  <si>
    <t>substantia nigra, lateral part</t>
  </si>
  <si>
    <t>&lt;http://purl.obolibrary.org/obo/DHBA_12257&gt;</t>
  </si>
  <si>
    <t>&lt;http://purl.obolibrary.org/obo/MBA_615&gt;</t>
  </si>
  <si>
    <t>&lt;http://purl.obolibrary.org/obo/UBERON_0001966&gt;</t>
  </si>
  <si>
    <t>substantia nigra, reticular part</t>
  </si>
  <si>
    <t>&lt;http://purl.obolibrary.org/obo/DHBA_12259&gt;</t>
  </si>
  <si>
    <t>substantia nigra, pars reticulata, left</t>
  </si>
  <si>
    <t>&lt;http://purl.obolibrary.org/obo/HBA_9075&gt;</t>
  </si>
  <si>
    <t>&lt;http://purl.obolibrary.org/obo/MBA_381&gt;</t>
  </si>
  <si>
    <t>&lt;http://purl.obolibrary.org/obo/UBERON_0022256&gt;</t>
  </si>
  <si>
    <t>subthalamic fascicle</t>
  </si>
  <si>
    <t>&lt;http://purl.obolibrary.org/obo/MBA_317&gt;</t>
  </si>
  <si>
    <t>&lt;http://purl.obolibrary.org/obo/UBERON_0001906&gt;</t>
  </si>
  <si>
    <t>&lt;http://purl.obolibrary.org/obo/DHBA_10466&gt;</t>
  </si>
  <si>
    <t>subthalamic nucleus, left</t>
  </si>
  <si>
    <t>&lt;http://purl.obolibrary.org/obo/HBA_4518&gt;</t>
  </si>
  <si>
    <t>&lt;http://purl.obolibrary.org/obo/UBERON_0009573&gt;</t>
  </si>
  <si>
    <t>&lt;http://purl.obolibrary.org/obo/UBERON_0013118&gt;</t>
  </si>
  <si>
    <t>cerebral sulci</t>
  </si>
  <si>
    <t>&lt;http://purl.obolibrary.org/obo/DHBA_10610&gt;</t>
  </si>
  <si>
    <t>sulci &amp; spaces</t>
  </si>
  <si>
    <t>&lt;http://purl.obolibrary.org/obo/HBA_9352&gt;</t>
  </si>
  <si>
    <t>&lt;http://purl.obolibrary.org/obo/UBERON_0034674&gt;</t>
  </si>
  <si>
    <t>&lt;http://purl.obolibrary.org/obo/UBERON_0035927&gt;</t>
  </si>
  <si>
    <t>&lt;http://purl.obolibrary.org/obo/UBERON_0006791&gt;</t>
  </si>
  <si>
    <t>superficial layer of superior colliculus</t>
  </si>
  <si>
    <t>&lt;http://purl.obolibrary.org/obo/DHBA_12293&gt;</t>
  </si>
  <si>
    <t>&lt;http://purl.obolibrary.org/obo/UBERON_0006779&gt;</t>
  </si>
  <si>
    <t>superficial white layer of superior colliculus</t>
  </si>
  <si>
    <t>&lt;http://purl.obolibrary.org/obo/DHBA_12296&gt;</t>
  </si>
  <si>
    <t>superficial white layer of the superior colliculus, left</t>
  </si>
  <si>
    <t>&lt;http://purl.obolibrary.org/obo/HBA_9122&gt;</t>
  </si>
  <si>
    <t>superior colliculus, optic layer</t>
  </si>
  <si>
    <t>&lt;http://purl.obolibrary.org/obo/MBA_851&gt;</t>
  </si>
  <si>
    <t>&lt;http://purl.obolibrary.org/obo/UBERON_0002150&gt;</t>
  </si>
  <si>
    <t>superior cerebellar peduncle (brachium conjunctivum)</t>
  </si>
  <si>
    <t>&lt;http://purl.obolibrary.org/obo/DHBA_12354&gt;</t>
  </si>
  <si>
    <t>&lt;http://purl.obolibrary.org/obo/DMBA_17793&gt;</t>
  </si>
  <si>
    <t>superior cerebellar peduncle, Right</t>
  </si>
  <si>
    <t>&lt;http://purl.obolibrary.org/obo/HBA_9297&gt;</t>
  </si>
  <si>
    <t>superior cerebelar peduncles</t>
  </si>
  <si>
    <t>&lt;http://purl.obolibrary.org/obo/MBA_326&gt;</t>
  </si>
  <si>
    <t>&lt;http://purl.obolibrary.org/obo/UBERON_0001945&gt;</t>
  </si>
  <si>
    <t>superior colliculus</t>
  </si>
  <si>
    <t>&lt;http://purl.obolibrary.org/obo/DHBA_12292&gt;</t>
  </si>
  <si>
    <t>colliculus superior</t>
  </si>
  <si>
    <t>&lt;http://purl.obolibrary.org/obo/DMBA_16678&gt;</t>
  </si>
  <si>
    <t>&lt;http://purl.obolibrary.org/obo/HBA_9114&gt;</t>
  </si>
  <si>
    <t>&lt;http://purl.obolibrary.org/obo/UBERON_0006120&gt;</t>
  </si>
  <si>
    <t>superficial gray layer of superior colliculus</t>
  </si>
  <si>
    <t>&lt;http://purl.obolibrary.org/obo/DHBA_12295&gt;</t>
  </si>
  <si>
    <t>superficial gray layer of the superior colliculus, left</t>
  </si>
  <si>
    <t>&lt;http://purl.obolibrary.org/obo/HBA_9121&gt;</t>
  </si>
  <si>
    <t>superior colliculus, superficial gray layer</t>
  </si>
  <si>
    <t>&lt;http://purl.obolibrary.org/obo/MBA_842&gt;</t>
  </si>
  <si>
    <t>&lt;http://purl.obolibrary.org/obo/UBERON_0022426&gt;</t>
  </si>
  <si>
    <t>superior portion of corona radiata</t>
  </si>
  <si>
    <t>&lt;http://purl.obolibrary.org/obo/DHBA_15542&gt;</t>
  </si>
  <si>
    <t>&lt;http://purl.obolibrary.org/obo/UBERON_0002661&gt;</t>
  </si>
  <si>
    <t>superior frontal gyrus</t>
  </si>
  <si>
    <t>&lt;http://purl.obolibrary.org/obo/DHBA_12115&gt;</t>
  </si>
  <si>
    <t>&lt;http://purl.obolibrary.org/obo/HBA_4021&gt;</t>
  </si>
  <si>
    <t>&lt;http://purl.obolibrary.org/obo/UBERON_0002562&gt;</t>
  </si>
  <si>
    <t>superior frontal sulcus</t>
  </si>
  <si>
    <t>&lt;http://purl.obolibrary.org/obo/DHBA_10639&gt;</t>
  </si>
  <si>
    <t>&lt;http://purl.obolibrary.org/obo/HBA_9356&gt;</t>
  </si>
  <si>
    <t>&lt;http://purl.obolibrary.org/obo/UBERON_0022246&gt;</t>
  </si>
  <si>
    <t>&lt;http://purl.obolibrary.org/obo/UBERON_0002948&gt;</t>
  </si>
  <si>
    <t>superior occipital gyrus</t>
  </si>
  <si>
    <t>&lt;http://purl.obolibrary.org/obo/DHBA_12154&gt;</t>
  </si>
  <si>
    <t>&lt;http://purl.obolibrary.org/obo/HBA_4212&gt;</t>
  </si>
  <si>
    <t>&lt;http://purl.obolibrary.org/obo/UBERON_0002128&gt;</t>
  </si>
  <si>
    <t>&lt;http://purl.obolibrary.org/obo/DHBA_12462&gt;</t>
  </si>
  <si>
    <t>&lt;http://purl.obolibrary.org/obo/HBA_9177&gt;</t>
  </si>
  <si>
    <t>&lt;http://purl.obolibrary.org/obo/UBERON_0006094&gt;</t>
  </si>
  <si>
    <t>superior parietal lobule</t>
  </si>
  <si>
    <t>&lt;http://purl.obolibrary.org/obo/HBA_4096&gt;</t>
  </si>
  <si>
    <t>&lt;http://purl.obolibrary.org/obo/UBERON_0002907&gt;</t>
  </si>
  <si>
    <t>posterodorsal (superior) parietal cortex</t>
  </si>
  <si>
    <t>&lt;http://purl.obolibrary.org/obo/DHBA_10215&gt;</t>
  </si>
  <si>
    <t>&lt;http://purl.obolibrary.org/obo/UBERON_0002566&gt;</t>
  </si>
  <si>
    <t>&lt;http://purl.obolibrary.org/obo/UBERON_0019279&gt;</t>
  </si>
  <si>
    <t>superior rostral gyrus</t>
  </si>
  <si>
    <t>&lt;http://purl.obolibrary.org/obo/DHBA_12129&gt;</t>
  </si>
  <si>
    <t>&lt;http://purl.obolibrary.org/obo/HBA_4897&gt;</t>
  </si>
  <si>
    <t>&lt;http://purl.obolibrary.org/obo/UBERON_0002607&gt;</t>
  </si>
  <si>
    <t>superior rostral sulcus</t>
  </si>
  <si>
    <t>&lt;http://purl.obolibrary.org/obo/DHBA_146034840&gt;</t>
  </si>
  <si>
    <t>&lt;http://purl.obolibrary.org/obo/HBA_9366&gt;</t>
  </si>
  <si>
    <t>&lt;http://purl.obolibrary.org/obo/UBERON_0002149&gt;</t>
  </si>
  <si>
    <t>&lt;http://purl.obolibrary.org/obo/UBERON_0002769&gt;</t>
  </si>
  <si>
    <t>superior temporal gyrus</t>
  </si>
  <si>
    <t>&lt;http://purl.obolibrary.org/obo/DHBA_12140&gt;</t>
  </si>
  <si>
    <t>&lt;http://purl.obolibrary.org/obo/HBA_4133&gt;</t>
  </si>
  <si>
    <t>&lt;http://purl.obolibrary.org/obo/UBERON_0002734&gt;</t>
  </si>
  <si>
    <t>superior temporal sulcus</t>
  </si>
  <si>
    <t>&lt;http://purl.obolibrary.org/obo/DHBA_10629&gt;</t>
  </si>
  <si>
    <t>&lt;http://purl.obolibrary.org/obo/HBA_9378&gt;</t>
  </si>
  <si>
    <t>&lt;http://purl.obolibrary.org/obo/UBERON_0007227&gt;</t>
  </si>
  <si>
    <t>&lt;http://purl.obolibrary.org/obo/UBERON_0002034&gt;</t>
  </si>
  <si>
    <t>&lt;http://purl.obolibrary.org/obo/DHBA_10480&gt;</t>
  </si>
  <si>
    <t>&lt;http://purl.obolibrary.org/obo/HBA_12908&gt;</t>
  </si>
  <si>
    <t>&lt;http://purl.obolibrary.org/obo/UBERON_0027768&gt;</t>
  </si>
  <si>
    <t>suprachiasmatic nucleus, left, dorsomedial part</t>
  </si>
  <si>
    <t>&lt;http://purl.obolibrary.org/obo/HBA_4591&gt;</t>
  </si>
  <si>
    <t>&lt;http://purl.obolibrary.org/obo/UBERON_0027771&gt;</t>
  </si>
  <si>
    <t>suprachiasmatic nucleus, left, ventrolateral part</t>
  </si>
  <si>
    <t>&lt;http://purl.obolibrary.org/obo/HBA_4592&gt;</t>
  </si>
  <si>
    <t>&lt;http://purl.obolibrary.org/obo/UBERON_0003033&gt;</t>
  </si>
  <si>
    <t>suprageniculate nucleus of thalamus</t>
  </si>
  <si>
    <t>&lt;http://purl.obolibrary.org/obo/DHBA_13044&gt;</t>
  </si>
  <si>
    <t>suprageniculate nucleus of the thalamus, left</t>
  </si>
  <si>
    <t>&lt;http://purl.obolibrary.org/obo/HBA_4430&gt;</t>
  </si>
  <si>
    <t>&lt;http://purl.obolibrary.org/obo/UBERON_0022424&gt;</t>
  </si>
  <si>
    <t>&lt;http://purl.obolibrary.org/obo/UBERON_0002991&gt;</t>
  </si>
  <si>
    <t>supramammillary decussation</t>
  </si>
  <si>
    <t>&lt;http://purl.obolibrary.org/obo/MBA_341&gt;</t>
  </si>
  <si>
    <t>&lt;http://purl.obolibrary.org/obo/UBERON_0001940&gt;</t>
  </si>
  <si>
    <t>&lt;http://purl.obolibrary.org/obo/DHBA_10497&gt;</t>
  </si>
  <si>
    <t>&lt;http://purl.obolibrary.org/obo/HBA_12911&gt;</t>
  </si>
  <si>
    <t>&lt;http://purl.obolibrary.org/obo/UBERON_0002688&gt;</t>
  </si>
  <si>
    <t>supramarginal gyrus</t>
  </si>
  <si>
    <t>&lt;http://purl.obolibrary.org/obo/DHBA_12135&gt;</t>
  </si>
  <si>
    <t>&lt;http://purl.obolibrary.org/obo/HBA_4104&gt;</t>
  </si>
  <si>
    <t>&lt;http://purl.obolibrary.org/obo/UBERON_0002689&gt;</t>
  </si>
  <si>
    <t>organum vasculosum laminae terminalis</t>
  </si>
  <si>
    <t>&lt;http://purl.obolibrary.org/obo/DHBA_12106&gt;</t>
  </si>
  <si>
    <t>vascular organ of the lamina terminalis</t>
  </si>
  <si>
    <t>&lt;http://purl.obolibrary.org/obo/DMBA_15582&gt;</t>
  </si>
  <si>
    <t>&lt;http://purl.obolibrary.org/obo/MBA_763&gt;</t>
  </si>
  <si>
    <t>&lt;http://purl.obolibrary.org/obo/UBERON_0001929&gt;</t>
  </si>
  <si>
    <t>&lt;http://purl.obolibrary.org/obo/DHBA_10481&gt;</t>
  </si>
  <si>
    <t>&lt;http://purl.obolibrary.org/obo/HBA_12907&gt;</t>
  </si>
  <si>
    <t>&lt;http://purl.obolibrary.org/obo/UBERON_0002882&gt;</t>
  </si>
  <si>
    <t>&lt;http://purl.obolibrary.org/obo/UBERON_0015800&gt;</t>
  </si>
  <si>
    <t>taenia tectum</t>
  </si>
  <si>
    <t>&lt;http://purl.obolibrary.org/obo/DHBA_10305&gt;</t>
  </si>
  <si>
    <t>&lt;http://purl.obolibrary.org/obo/UBERON_0002628&gt;</t>
  </si>
  <si>
    <t>&lt;http://purl.obolibrary.org/obo/UBERON_0000373&gt;</t>
  </si>
  <si>
    <t>tapetum of corpus callosum</t>
  </si>
  <si>
    <t>&lt;http://purl.obolibrary.org/obo/DHBA_12027&gt;</t>
  </si>
  <si>
    <t>&lt;http://purl.obolibrary.org/obo/HBA_265504966&gt;</t>
  </si>
  <si>
    <t>&lt;http://purl.obolibrary.org/obo/UBERON_0002164&gt;</t>
  </si>
  <si>
    <t>&lt;http://purl.obolibrary.org/obo/UBERON_0002930&gt;</t>
  </si>
  <si>
    <t>&lt;http://purl.obolibrary.org/obo/UBERON_0002949&gt;</t>
  </si>
  <si>
    <t>&lt;http://purl.obolibrary.org/obo/UBERON_0035570&gt;</t>
  </si>
  <si>
    <t>&lt;http://purl.obolibrary.org/obo/UBERON_0009663&gt;</t>
  </si>
  <si>
    <t>&lt;http://purl.obolibrary.org/obo/UBERON_0002285&gt;</t>
  </si>
  <si>
    <t>lateral ventricles</t>
  </si>
  <si>
    <t>&lt;http://purl.obolibrary.org/obo/DHBA_10596&gt;</t>
  </si>
  <si>
    <t>ventricles, forebrain</t>
  </si>
  <si>
    <t>&lt;http://purl.obolibrary.org/obo/DMBA_126651562&gt;</t>
  </si>
  <si>
    <t>lateral ventricle</t>
  </si>
  <si>
    <t>&lt;http://purl.obolibrary.org/obo/HBA_9419&gt;</t>
  </si>
  <si>
    <t>&lt;http://purl.obolibrary.org/obo/MBA_81&gt;</t>
  </si>
  <si>
    <t>&lt;http://purl.obolibrary.org/obo/UBERON_0001893&gt;</t>
  </si>
  <si>
    <t>telencephalon</t>
  </si>
  <si>
    <t>&lt;http://purl.obolibrary.org/obo/DHBA_10158&gt;</t>
  </si>
  <si>
    <t>&lt;http://purl.obolibrary.org/obo/HBA_4007&gt;</t>
  </si>
  <si>
    <t>cerebrum</t>
  </si>
  <si>
    <t>&lt;http://purl.obolibrary.org/obo/MBA_567&gt;</t>
  </si>
  <si>
    <t>&lt;http://purl.obolibrary.org/obo/PBA_128011350&gt;</t>
  </si>
  <si>
    <t>&lt;http://purl.obolibrary.org/obo/UBERON_0016538&gt;</t>
  </si>
  <si>
    <t>&lt;http://purl.obolibrary.org/obo/UBERON_0035013&gt;</t>
  </si>
  <si>
    <t>temporal association areas</t>
  </si>
  <si>
    <t>&lt;http://purl.obolibrary.org/obo/MBA_541&gt;</t>
  </si>
  <si>
    <t>&lt;http://purl.obolibrary.org/obo/UBERON_0022429&gt;</t>
  </si>
  <si>
    <t>cingulum bundle in temporal cortex</t>
  </si>
  <si>
    <t>&lt;http://purl.obolibrary.org/obo/DHBA_15540&gt;</t>
  </si>
  <si>
    <t>&lt;http://purl.obolibrary.org/obo/UBERON_0022395&gt;</t>
  </si>
  <si>
    <t>occipitotemporal (fusiform) gyrus, temporal part</t>
  </si>
  <si>
    <t>&lt;http://purl.obolibrary.org/obo/DHBA_12143&gt;</t>
  </si>
  <si>
    <t>&lt;http://purl.obolibrary.org/obo/UBERON_0001871&gt;</t>
  </si>
  <si>
    <t>temporal lobe</t>
  </si>
  <si>
    <t>&lt;http://purl.obolibrary.org/obo/DHBA_12139&gt;</t>
  </si>
  <si>
    <t>&lt;http://purl.obolibrary.org/obo/HBA_4132&gt;</t>
  </si>
  <si>
    <t>&lt;http://purl.obolibrary.org/obo/UBERON_0002576&gt;</t>
  </si>
  <si>
    <t>temporal pole</t>
  </si>
  <si>
    <t>&lt;http://purl.obolibrary.org/obo/DHBA_12146&gt;</t>
  </si>
  <si>
    <t>&lt;http://purl.obolibrary.org/obo/HBA_4174&gt;</t>
  </si>
  <si>
    <t>&lt;http://purl.obolibrary.org/obo/UBERON_0014687&gt;</t>
  </si>
  <si>
    <t>&lt;http://purl.obolibrary.org/obo/UBERON_0002924&gt;</t>
  </si>
  <si>
    <t>&lt;http://purl.obolibrary.org/obo/UBERON_0001903&gt;</t>
  </si>
  <si>
    <t>reticular nucleus of thalamus</t>
  </si>
  <si>
    <t>&lt;http://purl.obolibrary.org/obo/DHBA_10464&gt;</t>
  </si>
  <si>
    <t>reticular nucleus of thalamus, left</t>
  </si>
  <si>
    <t>&lt;http://purl.obolibrary.org/obo/HBA_4506&gt;</t>
  </si>
  <si>
    <t>&lt;http://purl.obolibrary.org/obo/UBERON_0002286&gt;</t>
  </si>
  <si>
    <t>third ventricle</t>
  </si>
  <si>
    <t>&lt;http://purl.obolibrary.org/obo/DHBA_10602&gt;</t>
  </si>
  <si>
    <t>&lt;http://purl.obolibrary.org/obo/HBA_9420&gt;</t>
  </si>
  <si>
    <t>&lt;http://purl.obolibrary.org/obo/MBA_129&gt;</t>
  </si>
  <si>
    <t>&lt;http://purl.obolibrary.org/obo/UBERON_0007702&gt;</t>
  </si>
  <si>
    <t>corticospinal tract, uncrossed</t>
  </si>
  <si>
    <t>&lt;http://purl.obolibrary.org/obo/MBA_1028&gt;</t>
  </si>
  <si>
    <t>&lt;http://purl.obolibrary.org/obo/UBERON_0011179&gt;</t>
  </si>
  <si>
    <t>&lt;http://purl.obolibrary.org/obo/UBERON_0002900&gt;</t>
  </si>
  <si>
    <t>transverse occipital sulcus</t>
  </si>
  <si>
    <t>&lt;http://purl.obolibrary.org/obo/DHBA_13228&gt;</t>
  </si>
  <si>
    <t>&lt;http://purl.obolibrary.org/obo/HBA_9388&gt;</t>
  </si>
  <si>
    <t>&lt;http://purl.obolibrary.org/obo/UBERON_0002612&gt;</t>
  </si>
  <si>
    <t>transverse orbital sulcus</t>
  </si>
  <si>
    <t>&lt;http://purl.obolibrary.org/obo/DHBA_13223&gt;</t>
  </si>
  <si>
    <t>&lt;http://purl.obolibrary.org/obo/UBERON_0002735&gt;</t>
  </si>
  <si>
    <t>&lt;http://purl.obolibrary.org/obo/UBERON_0002569&gt;</t>
  </si>
  <si>
    <t>transverse temporal sulcus</t>
  </si>
  <si>
    <t>&lt;http://purl.obolibrary.org/obo/DHBA_146034852&gt;</t>
  </si>
  <si>
    <t>&lt;http://purl.obolibrary.org/obo/UBERON_0002932&gt;</t>
  </si>
  <si>
    <t>&lt;http://purl.obolibrary.org/obo/DHBA_12796&gt;</t>
  </si>
  <si>
    <t>&lt;http://purl.obolibrary.org/obo/HBA_9197&gt;</t>
  </si>
  <si>
    <t>&lt;http://purl.obolibrary.org/obo/UBERON_0002629&gt;</t>
  </si>
  <si>
    <t>inferior frontal gyrus, triangular part</t>
  </si>
  <si>
    <t>&lt;http://purl.obolibrary.org/obo/DHBA_12118&gt;</t>
  </si>
  <si>
    <t>&lt;http://purl.obolibrary.org/obo/HBA_4038&gt;</t>
  </si>
  <si>
    <t>&lt;http://purl.obolibrary.org/obo/UBERON_0002977&gt;</t>
  </si>
  <si>
    <t>&lt;http://purl.obolibrary.org/obo/UBERON_0001645&gt;</t>
  </si>
  <si>
    <t>trigeminal nerve</t>
  </si>
  <si>
    <t>&lt;http://purl.obolibrary.org/obo/HBA_9322&gt;</t>
  </si>
  <si>
    <t>&lt;http://purl.obolibrary.org/obo/MBA_901&gt;</t>
  </si>
  <si>
    <t>&lt;http://purl.obolibrary.org/obo/UBERON_0004673&gt;</t>
  </si>
  <si>
    <t>&lt;http://purl.obolibrary.org/obo/UBERON_0007641&gt;</t>
  </si>
  <si>
    <t>trigeminal nuclei</t>
  </si>
  <si>
    <t>&lt;http://purl.obolibrary.org/obo/DHBA_266441713&gt;</t>
  </si>
  <si>
    <t>&lt;http://purl.obolibrary.org/obo/HBA_9203&gt;</t>
  </si>
  <si>
    <t>&lt;http://purl.obolibrary.org/obo/UBERON_0004171&gt;</t>
  </si>
  <si>
    <t>&lt;http://purl.obolibrary.org/obo/UBERON_0001644&gt;</t>
  </si>
  <si>
    <t>trochlear nerve</t>
  </si>
  <si>
    <t>&lt;http://purl.obolibrary.org/obo/HBA_9319&gt;</t>
  </si>
  <si>
    <t>&lt;http://purl.obolibrary.org/obo/MBA_911&gt;</t>
  </si>
  <si>
    <t>&lt;http://purl.obolibrary.org/obo/UBERON_0002722&gt;</t>
  </si>
  <si>
    <t>&lt;http://purl.obolibrary.org/obo/DHBA_12206&gt;</t>
  </si>
  <si>
    <t>&lt;http://purl.obolibrary.org/obo/HBA_9063&gt;</t>
  </si>
  <si>
    <t>&lt;http://purl.obolibrary.org/obo/UBERON_0002620&gt;</t>
  </si>
  <si>
    <t>tuber cinereum</t>
  </si>
  <si>
    <t>&lt;http://purl.obolibrary.org/obo/DHBA_10647&gt;</t>
  </si>
  <si>
    <t>tuber cinereum area</t>
  </si>
  <si>
    <t>&lt;http://purl.obolibrary.org/obo/DMBA_15665&gt;</t>
  </si>
  <si>
    <t>tuberal region</t>
  </si>
  <si>
    <t>&lt;http://purl.obolibrary.org/obo/HBA_4633&gt;</t>
  </si>
  <si>
    <t>&lt;http://purl.obolibrary.org/obo/UBERON_0001936&gt;</t>
  </si>
  <si>
    <t>&lt;http://purl.obolibrary.org/obo/DHBA_10496&gt;</t>
  </si>
  <si>
    <t>&lt;http://purl.obolibrary.org/obo/HBA_12912&gt;</t>
  </si>
  <si>
    <t>&lt;http://purl.obolibrary.org/obo/UBERON_0014593&gt;</t>
  </si>
  <si>
    <t>tuberomammillary nucleus, dorsal part</t>
  </si>
  <si>
    <t>&lt;http://purl.obolibrary.org/obo/MBA_1126&gt;</t>
  </si>
  <si>
    <t>&lt;http://purl.obolibrary.org/obo/UBERON_0014594&gt;</t>
  </si>
  <si>
    <t>tuberomammillary nucleus, ventral part</t>
  </si>
  <si>
    <t>&lt;http://purl.obolibrary.org/obo/MBA_1&gt;</t>
  </si>
  <si>
    <t>&lt;http://purl.obolibrary.org/obo/UBERON_0034774&gt;</t>
  </si>
  <si>
    <t>uncal CA1</t>
  </si>
  <si>
    <t>&lt;http://purl.obolibrary.org/obo/DHBA_266441267&gt;</t>
  </si>
  <si>
    <t>&lt;http://purl.obolibrary.org/obo/UBERON_0034775&gt;</t>
  </si>
  <si>
    <t>uncal CA2</t>
  </si>
  <si>
    <t>&lt;http://purl.obolibrary.org/obo/DHBA_266441311&gt;</t>
  </si>
  <si>
    <t>&lt;http://purl.obolibrary.org/obo/UBERON_0034776&gt;</t>
  </si>
  <si>
    <t>uncal CA3</t>
  </si>
  <si>
    <t>&lt;http://purl.obolibrary.org/obo/DHBA_266441355&gt;</t>
  </si>
  <si>
    <t>&lt;http://purl.obolibrary.org/obo/UBERON_0003044&gt;</t>
  </si>
  <si>
    <t>&lt;http://purl.obolibrary.org/obo/UBERON_0019275&gt;</t>
  </si>
  <si>
    <t>uncinate fasciculus of the forebrain</t>
  </si>
  <si>
    <t>&lt;http://purl.obolibrary.org/obo/HBA_9284&gt;</t>
  </si>
  <si>
    <t>&lt;http://purl.obolibrary.org/obo/UBERON_0034773&gt;</t>
  </si>
  <si>
    <t>uncus of parahippocampal gyrus</t>
  </si>
  <si>
    <t>&lt;http://purl.obolibrary.org/obo/DHBA_12165&gt;</t>
  </si>
  <si>
    <t>&lt;http://purl.obolibrary.org/obo/UBERON_0009841&gt;</t>
  </si>
  <si>
    <t>upper (rostral) rhombic lip</t>
  </si>
  <si>
    <t>&lt;http://purl.obolibrary.org/obo/DHBA_10665&gt;</t>
  </si>
  <si>
    <t>&lt;http://purl.obolibrary.org/obo/UBERON_0001759&gt;</t>
  </si>
  <si>
    <t>vagus nerve</t>
  </si>
  <si>
    <t>&lt;http://purl.obolibrary.org/obo/HBA_9337&gt;</t>
  </si>
  <si>
    <t>&lt;http://purl.obolibrary.org/obo/MBA_917&gt;</t>
  </si>
  <si>
    <t>&lt;http://purl.obolibrary.org/obo/UBERON_0002637&gt;</t>
  </si>
  <si>
    <t>&lt;http://purl.obolibrary.org/obo/UBERON_0002828&gt;</t>
  </si>
  <si>
    <t>&lt;http://purl.obolibrary.org/obo/UBERON_0002760&gt;</t>
  </si>
  <si>
    <t>&lt;http://purl.obolibrary.org/obo/UBERON_0002480&gt;</t>
  </si>
  <si>
    <t>&lt;http://purl.obolibrary.org/obo/DHBA_13042&gt;</t>
  </si>
  <si>
    <t>&lt;http://purl.obolibrary.org/obo/UBERON_0001925&gt;</t>
  </si>
  <si>
    <t>ventral lateral nucleus of thalamus</t>
  </si>
  <si>
    <t>&lt;http://purl.obolibrary.org/obo/DHBA_10420&gt;</t>
  </si>
  <si>
    <t>lateral group of nuclei, ventral division</t>
  </si>
  <si>
    <t>&lt;http://purl.obolibrary.org/obo/HBA_12925&gt;</t>
  </si>
  <si>
    <t>&lt;http://purl.obolibrary.org/obo/UBERON_0002776&gt;</t>
  </si>
  <si>
    <t>&lt;http://purl.obolibrary.org/obo/UBERON_0002604&gt;</t>
  </si>
  <si>
    <t>ventral nucleus of lateral lemniscus</t>
  </si>
  <si>
    <t>&lt;http://purl.obolibrary.org/obo/DHBA_12457&gt;</t>
  </si>
  <si>
    <t>&lt;http://purl.obolibrary.org/obo/HBA_9200&gt;</t>
  </si>
  <si>
    <t>nucleus of the lateral lemniscus, ventral part</t>
  </si>
  <si>
    <t>&lt;http://purl.obolibrary.org/obo/MBA_99&gt;</t>
  </si>
  <si>
    <t>&lt;http://purl.obolibrary.org/obo/UBERON_0002985&gt;</t>
  </si>
  <si>
    <t>ventral medial geniculate nucleus</t>
  </si>
  <si>
    <t>&lt;http://purl.obolibrary.org/obo/DHBA_10438&gt;</t>
  </si>
  <si>
    <t>ventral nucleus of the medial geniculate complex, left</t>
  </si>
  <si>
    <t>&lt;http://purl.obolibrary.org/obo/HBA_4445&gt;</t>
  </si>
  <si>
    <t>&lt;http://purl.obolibrary.org/obo/UBERON_0002044&gt;</t>
  </si>
  <si>
    <t>&lt;http://purl.obolibrary.org/obo/DHBA_12218&gt;</t>
  </si>
  <si>
    <t>&lt;http://purl.obolibrary.org/obo/HBA_9047&gt;</t>
  </si>
  <si>
    <t>&lt;http://purl.obolibrary.org/obo/UBERON_0002832&gt;</t>
  </si>
  <si>
    <t>ventral nucleus of trapezoid body</t>
  </si>
  <si>
    <t>&lt;http://purl.obolibrary.org/obo/DHBA_12461&gt;</t>
  </si>
  <si>
    <t>&lt;http://purl.obolibrary.org/obo/UBERON_0002934&gt;</t>
  </si>
  <si>
    <t>ventral oculomotor nucleus</t>
  </si>
  <si>
    <t>&lt;http://purl.obolibrary.org/obo/DHBA_12205&gt;</t>
  </si>
  <si>
    <t>ventral oculomotor nucleus, left</t>
  </si>
  <si>
    <t>&lt;http://purl.obolibrary.org/obo/HBA_9038&gt;</t>
  </si>
  <si>
    <t>&lt;http://purl.obolibrary.org/obo/UBERON_0002778&gt;</t>
  </si>
  <si>
    <t>ventral pallidum</t>
  </si>
  <si>
    <t>&lt;http://purl.obolibrary.org/obo/DMBA_15844&gt;</t>
  </si>
  <si>
    <t>pallidum, ventral region</t>
  </si>
  <si>
    <t>&lt;http://purl.obolibrary.org/obo/MBA_835&gt;</t>
  </si>
  <si>
    <t>&lt;http://purl.obolibrary.org/obo/UBERON_0014913&gt;</t>
  </si>
  <si>
    <t>ventral pallium</t>
  </si>
  <si>
    <t>&lt;http://purl.obolibrary.org/obo/DMBA_15904&gt;</t>
  </si>
  <si>
    <t>&lt;http://purl.obolibrary.org/obo/UBERON_0000204&gt;</t>
  </si>
  <si>
    <t>subpallium</t>
  </si>
  <si>
    <t>&lt;http://purl.obolibrary.org/obo/DMBA_15751&gt;</t>
  </si>
  <si>
    <t>&lt;http://purl.obolibrary.org/obo/UBERON_0002596&gt;</t>
  </si>
  <si>
    <t>ventral posterior nucleus of thalamus</t>
  </si>
  <si>
    <t>&lt;http://purl.obolibrary.org/obo/DHBA_10423&gt;</t>
  </si>
  <si>
    <t>&lt;http://purl.obolibrary.org/obo/UBERON_0002939&gt;</t>
  </si>
  <si>
    <t>&lt;http://purl.obolibrary.org/obo/UBERON_0002942&gt;</t>
  </si>
  <si>
    <t>&lt;http://purl.obolibrary.org/obo/UBERON_0002945&gt;</t>
  </si>
  <si>
    <t>&lt;http://purl.obolibrary.org/obo/UBERON_0007768&gt;</t>
  </si>
  <si>
    <t>premammillary nucleus, left, ventral part</t>
  </si>
  <si>
    <t>&lt;http://purl.obolibrary.org/obo/HBA_4678&gt;</t>
  </si>
  <si>
    <t>&lt;http://purl.obolibrary.org/obo/UBERON_0005403&gt;</t>
  </si>
  <si>
    <t>&lt;http://purl.obolibrary.org/obo/UBERON_0002676&gt;</t>
  </si>
  <si>
    <t>supraoptic commissures, ventral</t>
  </si>
  <si>
    <t>&lt;http://purl.obolibrary.org/obo/MBA_833&gt;</t>
  </si>
  <si>
    <t>&lt;http://purl.obolibrary.org/obo/UBERON_0002691&gt;</t>
  </si>
  <si>
    <t>ventral tegmental area</t>
  </si>
  <si>
    <t>&lt;http://purl.obolibrary.org/obo/DHBA_12261&gt;</t>
  </si>
  <si>
    <t>&lt;http://purl.obolibrary.org/obo/HBA_9066&gt;</t>
  </si>
  <si>
    <t>&lt;http://purl.obolibrary.org/obo/MBA_749&gt;</t>
  </si>
  <si>
    <t>&lt;http://purl.obolibrary.org/obo/UBERON_0002615&gt;</t>
  </si>
  <si>
    <t>&lt;http://purl.obolibrary.org/obo/DHBA_12366&gt;</t>
  </si>
  <si>
    <t>&lt;http://purl.obolibrary.org/obo/UBERON_0002438&gt;</t>
  </si>
  <si>
    <t>&lt;http://purl.obolibrary.org/obo/UBERON_0022254&gt;</t>
  </si>
  <si>
    <t>&lt;http://purl.obolibrary.org/obo/UBERON_0001900&gt;</t>
  </si>
  <si>
    <t>ventral thalamus</t>
  </si>
  <si>
    <t>&lt;http://purl.obolibrary.org/obo/DHBA_10461&gt;</t>
  </si>
  <si>
    <t>prethalamus</t>
  </si>
  <si>
    <t>&lt;http://purl.obolibrary.org/obo/DMBA_16310&gt;</t>
  </si>
  <si>
    <t>&lt;http://purl.obolibrary.org/obo/HBA_4504&gt;</t>
  </si>
  <si>
    <t>&lt;http://purl.obolibrary.org/obo/UBERON_0002549&gt;</t>
  </si>
  <si>
    <t>ventral trigeminothalamic tract</t>
  </si>
  <si>
    <t>&lt;http://purl.obolibrary.org/obo/DHBA_12803&gt;</t>
  </si>
  <si>
    <t>&lt;http://purl.obolibrary.org/obo/UBERON_0018263&gt;</t>
  </si>
  <si>
    <t>entorhinal area, medial part, ventral zone</t>
  </si>
  <si>
    <t>&lt;http://purl.obolibrary.org/obo/MBA_934&gt;</t>
  </si>
  <si>
    <t>&lt;http://purl.obolibrary.org/obo/UBERON_0002192&gt;</t>
  </si>
  <si>
    <t>&lt;http://purl.obolibrary.org/obo/DHBA_12094&gt;</t>
  </si>
  <si>
    <t>&lt;http://purl.obolibrary.org/obo/UBERON_0005281&gt;</t>
  </si>
  <si>
    <t>ventricular systems</t>
  </si>
  <si>
    <t>&lt;http://purl.obolibrary.org/obo/MBA_73&gt;</t>
  </si>
  <si>
    <t>&lt;http://purl.obolibrary.org/obo/UBERON_0003053&gt;</t>
  </si>
  <si>
    <t>&lt;http://purl.obolibrary.org/obo/DHBA_10542&gt;</t>
  </si>
  <si>
    <t>&lt;http://purl.obolibrary.org/obo/UBERON_0019312&gt;</t>
  </si>
  <si>
    <t>solitary nucleus, ventrolateral part</t>
  </si>
  <si>
    <t>&lt;http://purl.obolibrary.org/obo/DHBA_12569&gt;</t>
  </si>
  <si>
    <t>ventrolateral subnucleus of solitary tract, left</t>
  </si>
  <si>
    <t>&lt;http://purl.obolibrary.org/obo/HBA_9664&gt;</t>
  </si>
  <si>
    <t>&lt;http://purl.obolibrary.org/obo/UBERON_0008335&gt;</t>
  </si>
  <si>
    <t>&lt;http://purl.obolibrary.org/obo/UBERON_0001935&gt;</t>
  </si>
  <si>
    <t>&lt;http://purl.obolibrary.org/obo/DHBA_10488&gt;</t>
  </si>
  <si>
    <t>&lt;http://purl.obolibrary.org/obo/HBA_12919&gt;</t>
  </si>
  <si>
    <t>&lt;http://purl.obolibrary.org/obo/UBERON_0003723&gt;</t>
  </si>
  <si>
    <t>&lt;http://purl.obolibrary.org/obo/UBERON_0002673&gt;</t>
  </si>
  <si>
    <t>&lt;http://purl.obolibrary.org/obo/HBA_9697&gt;</t>
  </si>
  <si>
    <t>&lt;http://purl.obolibrary.org/obo/UBERON_0002552&gt;</t>
  </si>
  <si>
    <t>&lt;http://purl.obolibrary.org/obo/UBERON_0001648&gt;</t>
  </si>
  <si>
    <t>vestibulocochlear nerve</t>
  </si>
  <si>
    <t>&lt;http://purl.obolibrary.org/obo/HBA_9331&gt;</t>
  </si>
  <si>
    <t>&lt;http://purl.obolibrary.org/obo/MBA_933&gt;</t>
  </si>
  <si>
    <t>&lt;http://purl.obolibrary.org/obo/UBERON_0002731&gt;</t>
  </si>
  <si>
    <t>&lt;http://purl.obolibrary.org/obo/UBERON_0002768&gt;</t>
  </si>
  <si>
    <t>&lt;http://purl.obolibrary.org/obo/UBERON_0000411&gt;</t>
  </si>
  <si>
    <t>visual areas</t>
  </si>
  <si>
    <t>&lt;http://purl.obolibrary.org/obo/MBA_669&gt;</t>
  </si>
  <si>
    <t>&lt;http://purl.obolibrary.org/obo/UBERON_0009121&gt;</t>
  </si>
  <si>
    <t>vomeronasal nerve</t>
  </si>
  <si>
    <t>&lt;http://purl.obolibrary.org/obo/MBA_949&gt;</t>
  </si>
  <si>
    <t>&lt;http://purl.obolibrary.org/obo/UBERON_0002316&gt;</t>
  </si>
  <si>
    <t>&lt;http://purl.obolibrary.org/obo/UBERON_0014532&gt;</t>
  </si>
  <si>
    <t>&lt;http://purl.obolibrary.org/obo/UBERON_0002317&gt;</t>
  </si>
  <si>
    <t>cerebellar white matter tracts</t>
  </si>
  <si>
    <t>&lt;http://purl.obolibrary.org/obo/HBA_9288&gt;</t>
  </si>
  <si>
    <t>&lt;http://purl.obolibrary.org/obo/UBERON_0019261&gt;</t>
  </si>
  <si>
    <t>white matter of forebrain</t>
  </si>
  <si>
    <t>&lt;http://purl.obolibrary.org/obo/DHBA_10557&gt;</t>
  </si>
  <si>
    <t>&lt;http://purl.obolibrary.org/obo/UBERON_0019258&gt;</t>
  </si>
  <si>
    <t>&lt;http://purl.obolibrary.org/obo/UBERON_0019291&gt;</t>
  </si>
  <si>
    <t>metencephalic white matter</t>
  </si>
  <si>
    <t>&lt;http://purl.obolibrary.org/obo/HBA_9287&gt;</t>
  </si>
  <si>
    <t>&lt;http://purl.obolibrary.org/obo/UBERON_0016554&gt;</t>
  </si>
  <si>
    <t>white matter of midbrain</t>
  </si>
  <si>
    <t>&lt;http://purl.obolibrary.org/obo/DHBA_10650&gt;</t>
  </si>
  <si>
    <t>mesencephalic white matter</t>
  </si>
  <si>
    <t>&lt;http://purl.obolibrary.org/obo/HBA_265505382&gt;</t>
  </si>
  <si>
    <t>&lt;http://purl.obolibrary.org/obo/UBERON_0019262&gt;</t>
  </si>
  <si>
    <t>myelencephalic white matter</t>
  </si>
  <si>
    <t>&lt;http://purl.obolibrary.org/obo/HBA_9298&gt;</t>
  </si>
  <si>
    <t>&lt;http://purl.obolibrary.org/obo/UBERON_0019293&gt;</t>
  </si>
  <si>
    <t>pontine white matter tracts</t>
  </si>
  <si>
    <t>&lt;http://purl.obolibrary.org/obo/HBA_265505486&gt;</t>
  </si>
  <si>
    <t>&lt;http://purl.obolibrary.org/obo/UBERON_0002318&gt;</t>
  </si>
  <si>
    <t>&lt;http://purl.obolibrary.org/obo/UBERON_0011299&gt;</t>
  </si>
  <si>
    <t>&lt;http://purl.obolibrary.org/obo/UBERON_0024045&gt;</t>
  </si>
  <si>
    <t>&lt;http://purl.obolibrary.org/obo/UBERON_0001907&gt;</t>
  </si>
  <si>
    <t>&lt;http://purl.obolibrary.org/obo/DHBA_10463&gt;</t>
  </si>
  <si>
    <t>zona incerta, left</t>
  </si>
  <si>
    <t>&lt;http://purl.obolibrary.org/obo/HBA_4507&gt;</t>
  </si>
  <si>
    <t>&lt;http://purl.obolibrary.org/obo/UBERON_0006780&gt;</t>
  </si>
  <si>
    <t>zonal layer of superior colliculus</t>
  </si>
  <si>
    <t>&lt;http://purl.obolibrary.org/obo/DHBA_12297&gt;</t>
  </si>
  <si>
    <t>superior colliculus, zonal layer</t>
  </si>
  <si>
    <t>&lt;http://purl.obolibrary.org/obo/MBA_834&gt;</t>
  </si>
  <si>
    <t>HBA</t>
  </si>
  <si>
    <t>ENTITY</t>
  </si>
  <si>
    <t>DevMouse</t>
  </si>
  <si>
    <t>NonHumanPrimate</t>
  </si>
  <si>
    <t>Human_BrainSpan</t>
  </si>
  <si>
    <t>Mouse_ARA</t>
  </si>
  <si>
    <t>ATLAS NAME</t>
  </si>
  <si>
    <t>STRUCTURE ID</t>
  </si>
  <si>
    <t>InDel</t>
  </si>
  <si>
    <t>ID</t>
  </si>
  <si>
    <t>Acronym</t>
  </si>
  <si>
    <t>Hemisphere</t>
  </si>
  <si>
    <t>red</t>
  </si>
  <si>
    <t>green</t>
  </si>
  <si>
    <t>blue</t>
  </si>
  <si>
    <t>st_level</t>
  </si>
  <si>
    <t>st_order</t>
  </si>
  <si>
    <t>Structures</t>
  </si>
  <si>
    <t>mouse</t>
  </si>
  <si>
    <t>Mus musculus</t>
  </si>
  <si>
    <t>NP</t>
  </si>
  <si>
    <t>F</t>
  </si>
  <si>
    <t>SP</t>
  </si>
  <si>
    <t>RSP</t>
  </si>
  <si>
    <t>rostral secondary prosencephalon</t>
  </si>
  <si>
    <t>POTel</t>
  </si>
  <si>
    <t>preoptic telencephalon</t>
  </si>
  <si>
    <t>POR</t>
  </si>
  <si>
    <t>preoptic roof plate</t>
  </si>
  <si>
    <t>RSCom</t>
  </si>
  <si>
    <t>rostral septocommissural area</t>
  </si>
  <si>
    <t>RSComv</t>
  </si>
  <si>
    <t>ventricular zone of RSCom</t>
  </si>
  <si>
    <t>ACBed</t>
  </si>
  <si>
    <t>anterior commissure bed</t>
  </si>
  <si>
    <t>RSComm</t>
  </si>
  <si>
    <t>mantle zone of RSCom</t>
  </si>
  <si>
    <t>MnPOC</t>
  </si>
  <si>
    <t>median preoptic nucleus, commissural part</t>
  </si>
  <si>
    <t>POA</t>
  </si>
  <si>
    <t>preoptic alar plate</t>
  </si>
  <si>
    <t>PO</t>
  </si>
  <si>
    <t>POv</t>
  </si>
  <si>
    <t>ventricular zone of PO</t>
  </si>
  <si>
    <t>POm</t>
  </si>
  <si>
    <t>mantle zone of PO</t>
  </si>
  <si>
    <t>LTer</t>
  </si>
  <si>
    <t>lamina terminalis area</t>
  </si>
  <si>
    <t>LTerv</t>
  </si>
  <si>
    <t>ventricular zone of LTer</t>
  </si>
  <si>
    <t>LTerm</t>
  </si>
  <si>
    <t>mantle zone of LTer</t>
  </si>
  <si>
    <t>LTerp</t>
  </si>
  <si>
    <t>periventricular stratum of the LTer</t>
  </si>
  <si>
    <t>VOLT</t>
  </si>
  <si>
    <t>LTeri</t>
  </si>
  <si>
    <t>intermediate stratum of the LTer</t>
  </si>
  <si>
    <t>MnPOI</t>
  </si>
  <si>
    <t>median preoptic nucleus, intermediate part</t>
  </si>
  <si>
    <t>LTers</t>
  </si>
  <si>
    <t>superficial stratum of the LTer</t>
  </si>
  <si>
    <t>MnPOS</t>
  </si>
  <si>
    <t>median preoptic nucleus, superficial part</t>
  </si>
  <si>
    <t>PO1</t>
  </si>
  <si>
    <t>first (dorsal) preoptic domain</t>
  </si>
  <si>
    <t>PO1v</t>
  </si>
  <si>
    <t>ventricular zone of PO1</t>
  </si>
  <si>
    <t>PO1m</t>
  </si>
  <si>
    <t>mantle zone of PO1</t>
  </si>
  <si>
    <t>PO1p</t>
  </si>
  <si>
    <t>periventricular stratum of PO1</t>
  </si>
  <si>
    <t>AVPe</t>
  </si>
  <si>
    <t>anteroventral periventricular preoptic nucleus</t>
  </si>
  <si>
    <t>DSPO</t>
  </si>
  <si>
    <t>dorsal septopreoptic nucleus</t>
  </si>
  <si>
    <t>PO1i</t>
  </si>
  <si>
    <t>intermediate stratum of PO1</t>
  </si>
  <si>
    <t>PS</t>
  </si>
  <si>
    <t>parastrial preoptic nucleus</t>
  </si>
  <si>
    <t>DMPAi</t>
  </si>
  <si>
    <t>dorsomedial preoptic area, intermediate part</t>
  </si>
  <si>
    <t>LPO1</t>
  </si>
  <si>
    <t>lateral preoptic area, PO1 part</t>
  </si>
  <si>
    <t>PO1s</t>
  </si>
  <si>
    <t>superficial stratum of PO1</t>
  </si>
  <si>
    <t>DMPAs</t>
  </si>
  <si>
    <t>dorsomedial preoptic area, superficial part</t>
  </si>
  <si>
    <t>PO2</t>
  </si>
  <si>
    <t>second (ventral) preoptic domain</t>
  </si>
  <si>
    <t>PO2v</t>
  </si>
  <si>
    <t>ventricular zone of PO2</t>
  </si>
  <si>
    <t>PO2m</t>
  </si>
  <si>
    <t>mantle zone of PO2</t>
  </si>
  <si>
    <t>PO2p</t>
  </si>
  <si>
    <t>periventricular stratum of PO2</t>
  </si>
  <si>
    <t>MPOPe</t>
  </si>
  <si>
    <t>medial preoptic periventricular stratum</t>
  </si>
  <si>
    <t>MPO</t>
  </si>
  <si>
    <t>MPOL</t>
  </si>
  <si>
    <t>lateral part of MPO</t>
  </si>
  <si>
    <t>MPOM</t>
  </si>
  <si>
    <t>medial part of MPO</t>
  </si>
  <si>
    <t>MPOC</t>
  </si>
  <si>
    <t>central part of MPO</t>
  </si>
  <si>
    <t>PO2i</t>
  </si>
  <si>
    <t>intermediate stratum of PO2</t>
  </si>
  <si>
    <t>LPO2</t>
  </si>
  <si>
    <t>lateral preoptic nucleus, PO2 part</t>
  </si>
  <si>
    <t>PO2s</t>
  </si>
  <si>
    <t>superficial stratum of PO2</t>
  </si>
  <si>
    <t>VMPO</t>
  </si>
  <si>
    <t>ventromedial preoptic nucleus</t>
  </si>
  <si>
    <t>VLPO</t>
  </si>
  <si>
    <t>POH</t>
  </si>
  <si>
    <t>preopto-hypothalamic band</t>
  </si>
  <si>
    <t>POHv</t>
  </si>
  <si>
    <t>ventricular zone of POH</t>
  </si>
  <si>
    <t>POHm</t>
  </si>
  <si>
    <t>mantle zone of POH</t>
  </si>
  <si>
    <t>POHp</t>
  </si>
  <si>
    <t>periventricular stratum of POH</t>
  </si>
  <si>
    <t>POHi</t>
  </si>
  <si>
    <t>intermediate stratum of POH</t>
  </si>
  <si>
    <t>StHy</t>
  </si>
  <si>
    <t>striohypothalamic nucleus</t>
  </si>
  <si>
    <t>POHA</t>
  </si>
  <si>
    <t>preopto-hypothalamic area</t>
  </si>
  <si>
    <t>POHs</t>
  </si>
  <si>
    <t>superficial stratum of POH</t>
  </si>
  <si>
    <t>ESO</t>
  </si>
  <si>
    <t>episupraoptic nucleus</t>
  </si>
  <si>
    <t>THy</t>
  </si>
  <si>
    <t>terminal hypothalamus (rostral hypothalamus)</t>
  </si>
  <si>
    <t>THyA</t>
  </si>
  <si>
    <t>alar part of terminal hypothalamus</t>
  </si>
  <si>
    <t>TPaA</t>
  </si>
  <si>
    <t>terminal paraventricular area of THyA</t>
  </si>
  <si>
    <t>TPaAv</t>
  </si>
  <si>
    <t>ventricular zone of TPaA</t>
  </si>
  <si>
    <t>TPaAm</t>
  </si>
  <si>
    <t>mantle zone of TPaA</t>
  </si>
  <si>
    <t>TPaAp</t>
  </si>
  <si>
    <t>periventricular stratum of TPaA</t>
  </si>
  <si>
    <t>RPa</t>
  </si>
  <si>
    <t>rostral paraventricular nucleus</t>
  </si>
  <si>
    <t>TPaAi</t>
  </si>
  <si>
    <t>intermediate stratum of TPaA</t>
  </si>
  <si>
    <t>LA</t>
  </si>
  <si>
    <t>lateral anterior hypothalamic nucleus</t>
  </si>
  <si>
    <t>TSM</t>
  </si>
  <si>
    <t>terminal nucleus of the stria medullaris</t>
  </si>
  <si>
    <t>TPaAs</t>
  </si>
  <si>
    <t>superficial stratum of TPaA</t>
  </si>
  <si>
    <t>SO</t>
  </si>
  <si>
    <t>ES</t>
  </si>
  <si>
    <t>eye vesicle, stalk/nerve</t>
  </si>
  <si>
    <t>EPg</t>
  </si>
  <si>
    <t>eye vesicle, pigmented retina</t>
  </si>
  <si>
    <t>EN</t>
  </si>
  <si>
    <t>eye vesicle, neural retina</t>
  </si>
  <si>
    <t>ENv</t>
  </si>
  <si>
    <t>ventricular zone of neural retina</t>
  </si>
  <si>
    <t>ENm</t>
  </si>
  <si>
    <t>mantle zone of neural retina</t>
  </si>
  <si>
    <t>ENp</t>
  </si>
  <si>
    <t>periventricular stratum of the retina</t>
  </si>
  <si>
    <t>ON</t>
  </si>
  <si>
    <t>outer nuclear layer (photoreceptor layer)</t>
  </si>
  <si>
    <t>OPL</t>
  </si>
  <si>
    <t>outer plexiform layer</t>
  </si>
  <si>
    <t>ENi</t>
  </si>
  <si>
    <t>intermediate stratum of the retina</t>
  </si>
  <si>
    <t>Hor</t>
  </si>
  <si>
    <t>horizontal cell layer</t>
  </si>
  <si>
    <t>Bi</t>
  </si>
  <si>
    <t>bipolar cell layer</t>
  </si>
  <si>
    <t>Mu</t>
  </si>
  <si>
    <t>Mueller cell layer</t>
  </si>
  <si>
    <t>Acr</t>
  </si>
  <si>
    <t>amacrine cell layer</t>
  </si>
  <si>
    <t>IPL</t>
  </si>
  <si>
    <t>inner plexiform layer</t>
  </si>
  <si>
    <t>ENs</t>
  </si>
  <si>
    <t>superficial stratum of the retina</t>
  </si>
  <si>
    <t>GCL</t>
  </si>
  <si>
    <t>ganglion cell layer</t>
  </si>
  <si>
    <t>GC</t>
  </si>
  <si>
    <t>ganglion cells</t>
  </si>
  <si>
    <t>IAcr</t>
  </si>
  <si>
    <t>inverted amacrine cells</t>
  </si>
  <si>
    <t>OF</t>
  </si>
  <si>
    <t>TSPaA</t>
  </si>
  <si>
    <t>terminal subparaventricular area of THyA</t>
  </si>
  <si>
    <t>TSPaAv</t>
  </si>
  <si>
    <t>ventricular zone of TSPaA</t>
  </si>
  <si>
    <t>TSPaAm</t>
  </si>
  <si>
    <t>mantle zone of TSPaA</t>
  </si>
  <si>
    <t>TSPaAp</t>
  </si>
  <si>
    <t>periventricular stratum of TSPaA</t>
  </si>
  <si>
    <t>SCHp</t>
  </si>
  <si>
    <t>suprachiasmatic nucleus, periventricular part</t>
  </si>
  <si>
    <t>TSPa</t>
  </si>
  <si>
    <t>terminal subparaventricular area</t>
  </si>
  <si>
    <t>TSPaAi</t>
  </si>
  <si>
    <t>intermediate stratum of TSPaA</t>
  </si>
  <si>
    <t>SCH</t>
  </si>
  <si>
    <t>SCHc</t>
  </si>
  <si>
    <t>core of SCH</t>
  </si>
  <si>
    <t>AH</t>
  </si>
  <si>
    <t>TSPaAs</t>
  </si>
  <si>
    <t>superficial stratum of TSPaA</t>
  </si>
  <si>
    <t>SCHs</t>
  </si>
  <si>
    <t>shell of SCH</t>
  </si>
  <si>
    <t>TC</t>
  </si>
  <si>
    <t>THyB</t>
  </si>
  <si>
    <t>basal part of terminal hypothalamus</t>
  </si>
  <si>
    <t>THyB-D</t>
  </si>
  <si>
    <t>dorsal part of THyB</t>
  </si>
  <si>
    <t>THyB-Dv</t>
  </si>
  <si>
    <t>ventricular zone of THyB-D</t>
  </si>
  <si>
    <t>THyB-Dm</t>
  </si>
  <si>
    <t>mantle zone of THyB-D</t>
  </si>
  <si>
    <t>THyB-Dp</t>
  </si>
  <si>
    <t>periventricular stratum of THyB-D</t>
  </si>
  <si>
    <t>ABasp</t>
  </si>
  <si>
    <t>periventricular part of the anterobasal nucleus</t>
  </si>
  <si>
    <t>VMHp</t>
  </si>
  <si>
    <t>periventricular domain associated to VMH</t>
  </si>
  <si>
    <t>THyB-Di</t>
  </si>
  <si>
    <t>intermediate stratum of THyB-D</t>
  </si>
  <si>
    <t>ABasc</t>
  </si>
  <si>
    <t>core part of the anterobasal nucleus</t>
  </si>
  <si>
    <t>VMH</t>
  </si>
  <si>
    <t>VMHdm</t>
  </si>
  <si>
    <t>dorsomedial part of VMH</t>
  </si>
  <si>
    <t>VMHce</t>
  </si>
  <si>
    <t>central part of VMH</t>
  </si>
  <si>
    <t>VMHvl</t>
  </si>
  <si>
    <t>ventrolateral part of VMH</t>
  </si>
  <si>
    <t>VMHsh</t>
  </si>
  <si>
    <t>shell of VMH</t>
  </si>
  <si>
    <t>THyB-Ds</t>
  </si>
  <si>
    <t>superficial stratum of THyB-D</t>
  </si>
  <si>
    <t>ABass</t>
  </si>
  <si>
    <t>shell part of the anterobasal nucleus</t>
  </si>
  <si>
    <t>SbO</t>
  </si>
  <si>
    <t>suboptic nucleus</t>
  </si>
  <si>
    <t>Tu</t>
  </si>
  <si>
    <t>THyB-I</t>
  </si>
  <si>
    <t>intermediate part of THyB</t>
  </si>
  <si>
    <t>THyB-Iv</t>
  </si>
  <si>
    <t>ventricular zone of THyB-I</t>
  </si>
  <si>
    <t>THyB-Im</t>
  </si>
  <si>
    <t>mantle zone of THyB-I</t>
  </si>
  <si>
    <t>THyB-Ip</t>
  </si>
  <si>
    <t>periventricular stratum of THyB-I</t>
  </si>
  <si>
    <t>Arcp</t>
  </si>
  <si>
    <t>periventricular part of the arcuate nucleus</t>
  </si>
  <si>
    <t>ME</t>
  </si>
  <si>
    <t>Inf</t>
  </si>
  <si>
    <t>NHy</t>
  </si>
  <si>
    <t>T-DMHp</t>
  </si>
  <si>
    <t>periventricular domain associated to T-DMH</t>
  </si>
  <si>
    <t>THyB-Ii</t>
  </si>
  <si>
    <t>intermediate stratum of THyB-I</t>
  </si>
  <si>
    <t>T-DMH</t>
  </si>
  <si>
    <t>dorsomedial nucleus, terminal part</t>
  </si>
  <si>
    <t>T-DMHc</t>
  </si>
  <si>
    <t>core of T-DMH</t>
  </si>
  <si>
    <t>T-DMHs</t>
  </si>
  <si>
    <t>shell of T-DMH</t>
  </si>
  <si>
    <t>Arci</t>
  </si>
  <si>
    <t>intermediate part of the arcuate nucleus</t>
  </si>
  <si>
    <t>PMV</t>
  </si>
  <si>
    <t>ventral premammillary nucleus (migrated)</t>
  </si>
  <si>
    <t>THyB-Is</t>
  </si>
  <si>
    <t>superficial stratum of THyB-I</t>
  </si>
  <si>
    <t>Arcs</t>
  </si>
  <si>
    <t>superficial part of arcuate nucleus</t>
  </si>
  <si>
    <t>MTu</t>
  </si>
  <si>
    <t>medial tuberal nucleus</t>
  </si>
  <si>
    <t>THyB-V</t>
  </si>
  <si>
    <t>ventral part of THyB</t>
  </si>
  <si>
    <t>THyB-Vv</t>
  </si>
  <si>
    <t>ventricular zone of THyB-V</t>
  </si>
  <si>
    <t>T-HVO</t>
  </si>
  <si>
    <t>hypothalamic ventricular organ, terminal part</t>
  </si>
  <si>
    <t>THyB-Vm</t>
  </si>
  <si>
    <t>mantle zone of THyB-V</t>
  </si>
  <si>
    <t>THyB-Vp</t>
  </si>
  <si>
    <t>periventricular stratum of THyB-V</t>
  </si>
  <si>
    <t>VTMp</t>
  </si>
  <si>
    <t>ventral tuberomammillary nucleus, pervientricular part (histaminergic)</t>
  </si>
  <si>
    <t>THyB-Vi</t>
  </si>
  <si>
    <t>intermediate stratum of THyB-V</t>
  </si>
  <si>
    <t>VTMi</t>
  </si>
  <si>
    <t>ventral tuberomammillary nucleus, intermediate part (histaminergic)</t>
  </si>
  <si>
    <t>THyB-Vs</t>
  </si>
  <si>
    <t>superficial stratum of THyB-V</t>
  </si>
  <si>
    <t>VTMs</t>
  </si>
  <si>
    <t>ventral tuberomammillary nucleus, superficial part (histaminergic)</t>
  </si>
  <si>
    <t>THyB-P</t>
  </si>
  <si>
    <t>perimammillary part of THyB</t>
  </si>
  <si>
    <t>THyB-Pv</t>
  </si>
  <si>
    <t>ventricular zone of THyB-P</t>
  </si>
  <si>
    <t>MRO</t>
  </si>
  <si>
    <t>mammillary recess organ</t>
  </si>
  <si>
    <t>THyB-Pm</t>
  </si>
  <si>
    <t>mantle zone of THyB-P</t>
  </si>
  <si>
    <t>THyB-Pp</t>
  </si>
  <si>
    <t>periventricular stratum of THyB-P</t>
  </si>
  <si>
    <t>PPeM</t>
  </si>
  <si>
    <t>periventricular perimammillary area</t>
  </si>
  <si>
    <t>THyB-Pi</t>
  </si>
  <si>
    <t>intermediate stratum of THyB-P</t>
  </si>
  <si>
    <t>PMD</t>
  </si>
  <si>
    <t>THyB-Ps</t>
  </si>
  <si>
    <t>superficial stratum of THyB-P</t>
  </si>
  <si>
    <t>Te</t>
  </si>
  <si>
    <t>terete nucleus</t>
  </si>
  <si>
    <t>THyB-M</t>
  </si>
  <si>
    <t>mammillary part of THyB</t>
  </si>
  <si>
    <t>Mam</t>
  </si>
  <si>
    <t>Mamv</t>
  </si>
  <si>
    <t>ventricular zone of Mam</t>
  </si>
  <si>
    <t>Mamm</t>
  </si>
  <si>
    <t>mantle zone of Mam</t>
  </si>
  <si>
    <t>Mamp</t>
  </si>
  <si>
    <t>periventricular stratum of Mam</t>
  </si>
  <si>
    <t>MnM</t>
  </si>
  <si>
    <t>median mammillary nucleus</t>
  </si>
  <si>
    <t>Mami</t>
  </si>
  <si>
    <t>intermediate stratum of Mam</t>
  </si>
  <si>
    <t>MM</t>
  </si>
  <si>
    <t>MMm</t>
  </si>
  <si>
    <t>MMl</t>
  </si>
  <si>
    <t>MMp</t>
  </si>
  <si>
    <t>posterior part of MM</t>
  </si>
  <si>
    <t>Mams</t>
  </si>
  <si>
    <t>superficial stratum of Mam</t>
  </si>
  <si>
    <t>LM</t>
  </si>
  <si>
    <t>VTMm</t>
  </si>
  <si>
    <t>ventral tuberomammillary nucleus, migrated part (histaminergic)</t>
  </si>
  <si>
    <t>THyF</t>
  </si>
  <si>
    <t>floor of terminal hypothalamus</t>
  </si>
  <si>
    <t>MamF</t>
  </si>
  <si>
    <t>mammillary floor</t>
  </si>
  <si>
    <t>CSP</t>
  </si>
  <si>
    <t>caudal secondary prosencephalon</t>
  </si>
  <si>
    <t>Tel</t>
  </si>
  <si>
    <t>TelR</t>
  </si>
  <si>
    <t>CSCom</t>
  </si>
  <si>
    <t>CSComv</t>
  </si>
  <si>
    <t>SFOe</t>
  </si>
  <si>
    <t>CSComm</t>
  </si>
  <si>
    <t>CSComp</t>
  </si>
  <si>
    <t>SFOp</t>
  </si>
  <si>
    <t>CSComi</t>
  </si>
  <si>
    <t>CSComs</t>
  </si>
  <si>
    <t>TCh</t>
  </si>
  <si>
    <t>TelA</t>
  </si>
  <si>
    <t>SPall</t>
  </si>
  <si>
    <t>SPallv</t>
  </si>
  <si>
    <t>SPallm</t>
  </si>
  <si>
    <t>SeSPall</t>
  </si>
  <si>
    <t>DgSe</t>
  </si>
  <si>
    <t>DgSev</t>
  </si>
  <si>
    <t>DgSem</t>
  </si>
  <si>
    <t>DgSep</t>
  </si>
  <si>
    <t>LSV</t>
  </si>
  <si>
    <t>MnSC</t>
  </si>
  <si>
    <t>DgSei</t>
  </si>
  <si>
    <t>LSIV</t>
  </si>
  <si>
    <t>SHy</t>
  </si>
  <si>
    <t>DgSes</t>
  </si>
  <si>
    <t>VDB</t>
  </si>
  <si>
    <t>MS</t>
  </si>
  <si>
    <t>PalSe</t>
  </si>
  <si>
    <t>PalSev</t>
  </si>
  <si>
    <t>PalSem</t>
  </si>
  <si>
    <t>PalSep</t>
  </si>
  <si>
    <t>LSIp</t>
  </si>
  <si>
    <t>PalSei</t>
  </si>
  <si>
    <t>LSII</t>
  </si>
  <si>
    <t>Ld</t>
  </si>
  <si>
    <t>PalSes</t>
  </si>
  <si>
    <t>StrSe</t>
  </si>
  <si>
    <t>StrSev</t>
  </si>
  <si>
    <t>StrSem</t>
  </si>
  <si>
    <t>StrSep</t>
  </si>
  <si>
    <t>LSD</t>
  </si>
  <si>
    <t>TS</t>
  </si>
  <si>
    <t>SFi</t>
  </si>
  <si>
    <t>StrSei</t>
  </si>
  <si>
    <t>LSID</t>
  </si>
  <si>
    <t>StrSes</t>
  </si>
  <si>
    <t>PaSe</t>
  </si>
  <si>
    <t>SeDg</t>
  </si>
  <si>
    <t>SeDgv</t>
  </si>
  <si>
    <t>SeDgm</t>
  </si>
  <si>
    <t>SeDgp</t>
  </si>
  <si>
    <t>BSTMS</t>
  </si>
  <si>
    <t>BSTMv</t>
  </si>
  <si>
    <t>BSTMa</t>
  </si>
  <si>
    <t>SeDgi</t>
  </si>
  <si>
    <t>SIBT</t>
  </si>
  <si>
    <t>BAC</t>
  </si>
  <si>
    <t>SeDgs</t>
  </si>
  <si>
    <t>HDBT</t>
  </si>
  <si>
    <t>SePal</t>
  </si>
  <si>
    <t>SePalv</t>
  </si>
  <si>
    <t>SePalm</t>
  </si>
  <si>
    <t>SePalp</t>
  </si>
  <si>
    <t>BSTLS</t>
  </si>
  <si>
    <t>BSTLi</t>
  </si>
  <si>
    <t>SePali</t>
  </si>
  <si>
    <t>SePalCo</t>
  </si>
  <si>
    <t>SePalSh</t>
  </si>
  <si>
    <t>SePals</t>
  </si>
  <si>
    <t>TuSePal</t>
  </si>
  <si>
    <t>ICjM</t>
  </si>
  <si>
    <t>SeStr</t>
  </si>
  <si>
    <t>SeStrv</t>
  </si>
  <si>
    <t>SeStrm</t>
  </si>
  <si>
    <t>SeStrp</t>
  </si>
  <si>
    <t>AcbCo</t>
  </si>
  <si>
    <t>SeStri</t>
  </si>
  <si>
    <t>AcbSh</t>
  </si>
  <si>
    <t>SeStrs</t>
  </si>
  <si>
    <t>TuSeStr</t>
  </si>
  <si>
    <t>CSPall</t>
  </si>
  <si>
    <t>CSPallv</t>
  </si>
  <si>
    <t>CSPallm</t>
  </si>
  <si>
    <t>CSPallp</t>
  </si>
  <si>
    <t>CSPalli</t>
  </si>
  <si>
    <t>CSPalls</t>
  </si>
  <si>
    <t>Dg</t>
  </si>
  <si>
    <t>Dgv</t>
  </si>
  <si>
    <t>Dgm</t>
  </si>
  <si>
    <t>Dgp</t>
  </si>
  <si>
    <t>BSTMC</t>
  </si>
  <si>
    <t>BSTMpm</t>
  </si>
  <si>
    <t>BSTMpi</t>
  </si>
  <si>
    <t>BSTMpl</t>
  </si>
  <si>
    <t>EADg</t>
  </si>
  <si>
    <t>Dgi</t>
  </si>
  <si>
    <t>SIB</t>
  </si>
  <si>
    <t>IPal</t>
  </si>
  <si>
    <t>Dgs</t>
  </si>
  <si>
    <t>HDB</t>
  </si>
  <si>
    <t>MCDB</t>
  </si>
  <si>
    <t>Pal</t>
  </si>
  <si>
    <t>Palv</t>
  </si>
  <si>
    <t>Palm</t>
  </si>
  <si>
    <t>Palp</t>
  </si>
  <si>
    <t>BSTLC</t>
  </si>
  <si>
    <t>BSTLp</t>
  </si>
  <si>
    <t>BSTLj</t>
  </si>
  <si>
    <t>BSTLd</t>
  </si>
  <si>
    <t>Pali</t>
  </si>
  <si>
    <t>EPal</t>
  </si>
  <si>
    <t>VPal</t>
  </si>
  <si>
    <t>Pals</t>
  </si>
  <si>
    <t>TuPal</t>
  </si>
  <si>
    <t>TuPal1</t>
  </si>
  <si>
    <t>TuPal2</t>
  </si>
  <si>
    <t>TuPal3</t>
  </si>
  <si>
    <t>ICjPal</t>
  </si>
  <si>
    <t>Str</t>
  </si>
  <si>
    <t>Strv</t>
  </si>
  <si>
    <t>Strm</t>
  </si>
  <si>
    <t>Strp</t>
  </si>
  <si>
    <t>Cau</t>
  </si>
  <si>
    <t>Stri</t>
  </si>
  <si>
    <t>Put</t>
  </si>
  <si>
    <t>VStr</t>
  </si>
  <si>
    <t>IPAC</t>
  </si>
  <si>
    <t>LSS</t>
  </si>
  <si>
    <t>Strs</t>
  </si>
  <si>
    <t>TuStr</t>
  </si>
  <si>
    <t>TuStr1</t>
  </si>
  <si>
    <t>TuStr2</t>
  </si>
  <si>
    <t>TuStr3</t>
  </si>
  <si>
    <t>ICjStr</t>
  </si>
  <si>
    <t>ASPall</t>
  </si>
  <si>
    <t>AStr</t>
  </si>
  <si>
    <t>AStrv</t>
  </si>
  <si>
    <t>AStrm</t>
  </si>
  <si>
    <t>AStrp</t>
  </si>
  <si>
    <t>ASt</t>
  </si>
  <si>
    <t>AStri</t>
  </si>
  <si>
    <t>CeL</t>
  </si>
  <si>
    <t>CeC</t>
  </si>
  <si>
    <t>IA</t>
  </si>
  <si>
    <t>AStrs</t>
  </si>
  <si>
    <t>APal</t>
  </si>
  <si>
    <t>APalv</t>
  </si>
  <si>
    <t>APalm</t>
  </si>
  <si>
    <t>APalp</t>
  </si>
  <si>
    <t>BSTLA</t>
  </si>
  <si>
    <t>APali</t>
  </si>
  <si>
    <t>CeM</t>
  </si>
  <si>
    <t>APals</t>
  </si>
  <si>
    <t>ADg</t>
  </si>
  <si>
    <t>ADgv</t>
  </si>
  <si>
    <t>ADgm</t>
  </si>
  <si>
    <t>ADgp</t>
  </si>
  <si>
    <t>BSTMA</t>
  </si>
  <si>
    <t>ADgi</t>
  </si>
  <si>
    <t>ADgs</t>
  </si>
  <si>
    <t>AHy</t>
  </si>
  <si>
    <t>AHyv</t>
  </si>
  <si>
    <t>AHym</t>
  </si>
  <si>
    <t>AHyp</t>
  </si>
  <si>
    <t>AHyi</t>
  </si>
  <si>
    <t>AHys</t>
  </si>
  <si>
    <t>MePD</t>
  </si>
  <si>
    <t>MePV</t>
  </si>
  <si>
    <t>MeAD</t>
  </si>
  <si>
    <t>MeAV</t>
  </si>
  <si>
    <t>Pall</t>
  </si>
  <si>
    <t>Pallv</t>
  </si>
  <si>
    <t>Pallm</t>
  </si>
  <si>
    <t>VPall</t>
  </si>
  <si>
    <t>OB</t>
  </si>
  <si>
    <t>OBv</t>
  </si>
  <si>
    <t>OBm</t>
  </si>
  <si>
    <t>OBp</t>
  </si>
  <si>
    <t>OB-Gr</t>
  </si>
  <si>
    <t>OB-Ipl</t>
  </si>
  <si>
    <t>OBi</t>
  </si>
  <si>
    <t>OB-Mtr</t>
  </si>
  <si>
    <t>OB-Opl</t>
  </si>
  <si>
    <t>OBs</t>
  </si>
  <si>
    <t>OB-Glom</t>
  </si>
  <si>
    <t>OB-OF</t>
  </si>
  <si>
    <t>AOV</t>
  </si>
  <si>
    <t>AOVv</t>
  </si>
  <si>
    <t>AOVm</t>
  </si>
  <si>
    <t>AOVp</t>
  </si>
  <si>
    <t>AOVi</t>
  </si>
  <si>
    <t>AOVs</t>
  </si>
  <si>
    <t>AOV1</t>
  </si>
  <si>
    <t>AOV2</t>
  </si>
  <si>
    <t>AOV3</t>
  </si>
  <si>
    <t>AOVE</t>
  </si>
  <si>
    <t>Nv</t>
  </si>
  <si>
    <t>VPrP</t>
  </si>
  <si>
    <t>VPrPv</t>
  </si>
  <si>
    <t>VPrPm</t>
  </si>
  <si>
    <t>VPrPp</t>
  </si>
  <si>
    <t>VPrPi</t>
  </si>
  <si>
    <t>BEC</t>
  </si>
  <si>
    <t>DEn</t>
  </si>
  <si>
    <t>VEn</t>
  </si>
  <si>
    <t>VPrPs</t>
  </si>
  <si>
    <t>VPrP1</t>
  </si>
  <si>
    <t>VPrP2</t>
  </si>
  <si>
    <t>VPrP3</t>
  </si>
  <si>
    <t>VAP</t>
  </si>
  <si>
    <t>VAPv</t>
  </si>
  <si>
    <t>VAPm</t>
  </si>
  <si>
    <t>VAPp</t>
  </si>
  <si>
    <t>La</t>
  </si>
  <si>
    <t>AHi</t>
  </si>
  <si>
    <t>VAPi</t>
  </si>
  <si>
    <t>BMA</t>
  </si>
  <si>
    <t>BMP</t>
  </si>
  <si>
    <t>VAPs</t>
  </si>
  <si>
    <t>PMCo</t>
  </si>
  <si>
    <t>LOT</t>
  </si>
  <si>
    <t>LOT3</t>
  </si>
  <si>
    <t>LOT2</t>
  </si>
  <si>
    <t>LOT1</t>
  </si>
  <si>
    <t>NAOT</t>
  </si>
  <si>
    <t>LPall</t>
  </si>
  <si>
    <t>AOB</t>
  </si>
  <si>
    <t>AOBv</t>
  </si>
  <si>
    <t>AOBm</t>
  </si>
  <si>
    <t>AOBp</t>
  </si>
  <si>
    <t>AGr</t>
  </si>
  <si>
    <t>AIPl</t>
  </si>
  <si>
    <t>AOBi</t>
  </si>
  <si>
    <t>AMtr</t>
  </si>
  <si>
    <t>AOPl</t>
  </si>
  <si>
    <t>AOBs</t>
  </si>
  <si>
    <t>AGlom</t>
  </si>
  <si>
    <t>AOF</t>
  </si>
  <si>
    <t>AOD</t>
  </si>
  <si>
    <t>AODv</t>
  </si>
  <si>
    <t>AODm</t>
  </si>
  <si>
    <t>AODp</t>
  </si>
  <si>
    <t>AODi</t>
  </si>
  <si>
    <t>AODs</t>
  </si>
  <si>
    <t>AOD1</t>
  </si>
  <si>
    <t>AOD2</t>
  </si>
  <si>
    <t>AOD3</t>
  </si>
  <si>
    <t>AODE</t>
  </si>
  <si>
    <t>LPrP</t>
  </si>
  <si>
    <t>LPrPv</t>
  </si>
  <si>
    <t>LPrPm</t>
  </si>
  <si>
    <t>LPrPp</t>
  </si>
  <si>
    <t>LPrPi</t>
  </si>
  <si>
    <t>Cl</t>
  </si>
  <si>
    <t>LPrPs</t>
  </si>
  <si>
    <t>LPrP1</t>
  </si>
  <si>
    <t>LPrP2</t>
  </si>
  <si>
    <t>LPrP3</t>
  </si>
  <si>
    <t>LAP</t>
  </si>
  <si>
    <t>LAPv</t>
  </si>
  <si>
    <t>LAPm</t>
  </si>
  <si>
    <t>LAPp</t>
  </si>
  <si>
    <t>LAPi</t>
  </si>
  <si>
    <t>BLA</t>
  </si>
  <si>
    <t>BLP</t>
  </si>
  <si>
    <t>BLV</t>
  </si>
  <si>
    <t>LAPs</t>
  </si>
  <si>
    <t>APir</t>
  </si>
  <si>
    <t>PLCo</t>
  </si>
  <si>
    <t>ACo</t>
  </si>
  <si>
    <t>DPall</t>
  </si>
  <si>
    <t>DPallv</t>
  </si>
  <si>
    <t>DPallm</t>
  </si>
  <si>
    <t>DPallp</t>
  </si>
  <si>
    <t>DPalli</t>
  </si>
  <si>
    <t>DPalls</t>
  </si>
  <si>
    <t>FCx</t>
  </si>
  <si>
    <t>FCv</t>
  </si>
  <si>
    <t>FCm</t>
  </si>
  <si>
    <t>FCp</t>
  </si>
  <si>
    <t>FCi</t>
  </si>
  <si>
    <t>FCs</t>
  </si>
  <si>
    <t>FC-1</t>
  </si>
  <si>
    <t>FC-2</t>
  </si>
  <si>
    <t>FC-3</t>
  </si>
  <si>
    <t>FC-4</t>
  </si>
  <si>
    <t>FC-5</t>
  </si>
  <si>
    <t>FC-6</t>
  </si>
  <si>
    <t>FC-6a</t>
  </si>
  <si>
    <t>FC-6b</t>
  </si>
  <si>
    <t>PCx</t>
  </si>
  <si>
    <t>PCv</t>
  </si>
  <si>
    <t>PCm</t>
  </si>
  <si>
    <t>PCp</t>
  </si>
  <si>
    <t>PCi</t>
  </si>
  <si>
    <t>PCs</t>
  </si>
  <si>
    <t>PC-1</t>
  </si>
  <si>
    <t>PC-2</t>
  </si>
  <si>
    <t>PC-3</t>
  </si>
  <si>
    <t>PC-4</t>
  </si>
  <si>
    <t>PC-5</t>
  </si>
  <si>
    <t>PC-6</t>
  </si>
  <si>
    <t>PC-6a</t>
  </si>
  <si>
    <t>PC-6b</t>
  </si>
  <si>
    <t>OCx</t>
  </si>
  <si>
    <t>OCv</t>
  </si>
  <si>
    <t>OCm</t>
  </si>
  <si>
    <t>OCp</t>
  </si>
  <si>
    <t>OCi</t>
  </si>
  <si>
    <t>OCs</t>
  </si>
  <si>
    <t>OC-1</t>
  </si>
  <si>
    <t>OC-2</t>
  </si>
  <si>
    <t>OC-3</t>
  </si>
  <si>
    <t>OC-4</t>
  </si>
  <si>
    <t>OC-5</t>
  </si>
  <si>
    <t>OC-6</t>
  </si>
  <si>
    <t>OC-6a</t>
  </si>
  <si>
    <t>OC-6b</t>
  </si>
  <si>
    <t>TCx</t>
  </si>
  <si>
    <t>TCv</t>
  </si>
  <si>
    <t>TCm</t>
  </si>
  <si>
    <t>TCp</t>
  </si>
  <si>
    <t>TCi</t>
  </si>
  <si>
    <t>TCs</t>
  </si>
  <si>
    <t>TC-1</t>
  </si>
  <si>
    <t>TC-2</t>
  </si>
  <si>
    <t>TC-3</t>
  </si>
  <si>
    <t>TC-4</t>
  </si>
  <si>
    <t>TC-5</t>
  </si>
  <si>
    <t>TC-6</t>
  </si>
  <si>
    <t>TC-6a</t>
  </si>
  <si>
    <t>TC-6b</t>
  </si>
  <si>
    <t>InsCx</t>
  </si>
  <si>
    <t>InsCv</t>
  </si>
  <si>
    <t>InsCm</t>
  </si>
  <si>
    <t>InsCp</t>
  </si>
  <si>
    <t>InsCi</t>
  </si>
  <si>
    <t>InsCs</t>
  </si>
  <si>
    <t>InsC-1</t>
  </si>
  <si>
    <t>InsC-2</t>
  </si>
  <si>
    <t>InsC-3</t>
  </si>
  <si>
    <t>InsC-4</t>
  </si>
  <si>
    <t>InsC-5</t>
  </si>
  <si>
    <t>InsC-6</t>
  </si>
  <si>
    <t>InsC-6a</t>
  </si>
  <si>
    <t>InsC-6b</t>
  </si>
  <si>
    <t>CCx</t>
  </si>
  <si>
    <t>CCv</t>
  </si>
  <si>
    <t>CCm</t>
  </si>
  <si>
    <t>CCp</t>
  </si>
  <si>
    <t>CCi</t>
  </si>
  <si>
    <t>CCs</t>
  </si>
  <si>
    <t>CC-1</t>
  </si>
  <si>
    <t>CC-2</t>
  </si>
  <si>
    <t>CC-3</t>
  </si>
  <si>
    <t>CC-4</t>
  </si>
  <si>
    <t>CC-5</t>
  </si>
  <si>
    <t>CC-6</t>
  </si>
  <si>
    <t>CC-6a</t>
  </si>
  <si>
    <t>CC-6b</t>
  </si>
  <si>
    <t>PERCx</t>
  </si>
  <si>
    <t>PRh-Ect-1</t>
  </si>
  <si>
    <t>PRh-Ect-2</t>
  </si>
  <si>
    <t>PRh-Ect-3</t>
  </si>
  <si>
    <t>PRh-Ect-4</t>
  </si>
  <si>
    <t>PRh-Ect-5</t>
  </si>
  <si>
    <t>PRh-Ect-6</t>
  </si>
  <si>
    <t>RSCx</t>
  </si>
  <si>
    <t>RSC-1</t>
  </si>
  <si>
    <t>RSC-2</t>
  </si>
  <si>
    <t>RSC-3</t>
  </si>
  <si>
    <t>RSC-4</t>
  </si>
  <si>
    <t>RSC-5</t>
  </si>
  <si>
    <t>RSC-6</t>
  </si>
  <si>
    <t>RSC-6a</t>
  </si>
  <si>
    <t>RSC-6b</t>
  </si>
  <si>
    <t>ERCx</t>
  </si>
  <si>
    <t>ERv</t>
  </si>
  <si>
    <t>ERm</t>
  </si>
  <si>
    <t>ERp</t>
  </si>
  <si>
    <t>ERi</t>
  </si>
  <si>
    <t>ERs</t>
  </si>
  <si>
    <t>ER-1</t>
  </si>
  <si>
    <t>ER-2</t>
  </si>
  <si>
    <t>ER-3</t>
  </si>
  <si>
    <t>ER-4</t>
  </si>
  <si>
    <t>ER-5</t>
  </si>
  <si>
    <t>ER-6</t>
  </si>
  <si>
    <t>MPall</t>
  </si>
  <si>
    <t>MPallv</t>
  </si>
  <si>
    <t>MPallm</t>
  </si>
  <si>
    <t>MPallp</t>
  </si>
  <si>
    <t>MPalli</t>
  </si>
  <si>
    <t>MPalls</t>
  </si>
  <si>
    <t>DG</t>
  </si>
  <si>
    <t>DGv</t>
  </si>
  <si>
    <t>DGm</t>
  </si>
  <si>
    <t>DGp</t>
  </si>
  <si>
    <t>DGi</t>
  </si>
  <si>
    <t>DGHil</t>
  </si>
  <si>
    <t>DGs</t>
  </si>
  <si>
    <t>DGGran</t>
  </si>
  <si>
    <t>DGMol</t>
  </si>
  <si>
    <t>CA</t>
  </si>
  <si>
    <t>CAv</t>
  </si>
  <si>
    <t>CAm</t>
  </si>
  <si>
    <t>CAp</t>
  </si>
  <si>
    <t>CAi</t>
  </si>
  <si>
    <t>CAs</t>
  </si>
  <si>
    <t>CA1</t>
  </si>
  <si>
    <t>CA1so</t>
  </si>
  <si>
    <t>CA1sp</t>
  </si>
  <si>
    <t>CA1sr</t>
  </si>
  <si>
    <t>CA1slm</t>
  </si>
  <si>
    <t>CA2</t>
  </si>
  <si>
    <t>CA2slm</t>
  </si>
  <si>
    <t>CA2so</t>
  </si>
  <si>
    <t>CA2sp</t>
  </si>
  <si>
    <t>CA2sr</t>
  </si>
  <si>
    <t>CA3</t>
  </si>
  <si>
    <t>CA3so</t>
  </si>
  <si>
    <t>CA3sp</t>
  </si>
  <si>
    <t>CA3slu</t>
  </si>
  <si>
    <t>CA3sr</t>
  </si>
  <si>
    <t>CA3slm</t>
  </si>
  <si>
    <t>IG</t>
  </si>
  <si>
    <t>IGv</t>
  </si>
  <si>
    <t>IGm</t>
  </si>
  <si>
    <t>IGp</t>
  </si>
  <si>
    <t>IGi</t>
  </si>
  <si>
    <t>IGs</t>
  </si>
  <si>
    <t>PyIG</t>
  </si>
  <si>
    <t>TTe</t>
  </si>
  <si>
    <t>TTev</t>
  </si>
  <si>
    <t>TTem</t>
  </si>
  <si>
    <t>TTep</t>
  </si>
  <si>
    <t>DPp</t>
  </si>
  <si>
    <t>TTei</t>
  </si>
  <si>
    <t>DPi</t>
  </si>
  <si>
    <t>TTes</t>
  </si>
  <si>
    <t>PyTT</t>
  </si>
  <si>
    <t>S</t>
  </si>
  <si>
    <t>Sv</t>
  </si>
  <si>
    <t>Sm</t>
  </si>
  <si>
    <t>Sp</t>
  </si>
  <si>
    <t>Si</t>
  </si>
  <si>
    <t>Ss</t>
  </si>
  <si>
    <t>PyS</t>
  </si>
  <si>
    <t>SMol</t>
  </si>
  <si>
    <t>PrS</t>
  </si>
  <si>
    <t>PrSv</t>
  </si>
  <si>
    <t>PrSm</t>
  </si>
  <si>
    <t>PrSp</t>
  </si>
  <si>
    <t>PrSi</t>
  </si>
  <si>
    <t>PrSs</t>
  </si>
  <si>
    <t>PrS-1</t>
  </si>
  <si>
    <t>PrS-2</t>
  </si>
  <si>
    <t>PrS-3</t>
  </si>
  <si>
    <t>PrS-4</t>
  </si>
  <si>
    <t>PrS-5</t>
  </si>
  <si>
    <t>PrS-6</t>
  </si>
  <si>
    <t>PrS-6a</t>
  </si>
  <si>
    <t>PrS-6b</t>
  </si>
  <si>
    <t>PaS</t>
  </si>
  <si>
    <t>PaSv</t>
  </si>
  <si>
    <t>PaSm</t>
  </si>
  <si>
    <t>PaSp</t>
  </si>
  <si>
    <t>PaSi</t>
  </si>
  <si>
    <t>PaSs</t>
  </si>
  <si>
    <t>PaS-1</t>
  </si>
  <si>
    <t>PaS-2</t>
  </si>
  <si>
    <t>PaS-3</t>
  </si>
  <si>
    <t>PaS-4</t>
  </si>
  <si>
    <t>PaS-5</t>
  </si>
  <si>
    <t>PaS-6</t>
  </si>
  <si>
    <t>PaS-6a</t>
  </si>
  <si>
    <t>PaS-6b</t>
  </si>
  <si>
    <t>Fc</t>
  </si>
  <si>
    <t>Fcv</t>
  </si>
  <si>
    <t>Fcm</t>
  </si>
  <si>
    <t>Fcp</t>
  </si>
  <si>
    <t>Fci</t>
  </si>
  <si>
    <t>Fcs</t>
  </si>
  <si>
    <t>PyFc</t>
  </si>
  <si>
    <t>FcMol</t>
  </si>
  <si>
    <t>SePall</t>
  </si>
  <si>
    <t>SePallv</t>
  </si>
  <si>
    <t>SePallm</t>
  </si>
  <si>
    <t>SePallp</t>
  </si>
  <si>
    <t>SePalli</t>
  </si>
  <si>
    <t>SePalls</t>
  </si>
  <si>
    <t>SHi</t>
  </si>
  <si>
    <t>TelH</t>
  </si>
  <si>
    <t>TelHv</t>
  </si>
  <si>
    <t>TelHm</t>
  </si>
  <si>
    <t>TelHp</t>
  </si>
  <si>
    <t>TelHi</t>
  </si>
  <si>
    <t>TelHs</t>
  </si>
  <si>
    <t>PHy</t>
  </si>
  <si>
    <t>peduncular (caudal) hypothalamus</t>
  </si>
  <si>
    <t>PHyA</t>
  </si>
  <si>
    <t>alar part of peduncular hypothalamus</t>
  </si>
  <si>
    <t>PPaA</t>
  </si>
  <si>
    <t>peduncular paraventricular area of PHyA</t>
  </si>
  <si>
    <t>PPav</t>
  </si>
  <si>
    <t>ventricular zone of PPaA</t>
  </si>
  <si>
    <t>PPam</t>
  </si>
  <si>
    <t>mantle zone of PPaA</t>
  </si>
  <si>
    <t>PPap</t>
  </si>
  <si>
    <t>periventricular stratum of PPaA</t>
  </si>
  <si>
    <t>PPa</t>
  </si>
  <si>
    <t>paraventricular nucleus, peduncular or principal part</t>
  </si>
  <si>
    <t>PaD</t>
  </si>
  <si>
    <t>paraventricular nucleus, dorsal part</t>
  </si>
  <si>
    <t>PaC</t>
  </si>
  <si>
    <t>paraventricular nucleus, cap part</t>
  </si>
  <si>
    <t>Pacap</t>
  </si>
  <si>
    <t>cap part of PPa</t>
  </si>
  <si>
    <t>PaLM</t>
  </si>
  <si>
    <t>lateral magnocellular part of PPa</t>
  </si>
  <si>
    <t>PaMM</t>
  </si>
  <si>
    <t>medial magnocellular part of PPa</t>
  </si>
  <si>
    <t>PaMP</t>
  </si>
  <si>
    <t>medial parvicellular part of PPa</t>
  </si>
  <si>
    <t>PaR</t>
  </si>
  <si>
    <t>paraventricular nucleus, rostral part</t>
  </si>
  <si>
    <t>PPai</t>
  </si>
  <si>
    <t>intermediate stratum of PPaA</t>
  </si>
  <si>
    <t>PaL</t>
  </si>
  <si>
    <t>paraventricular nucleus, lateral part</t>
  </si>
  <si>
    <t>UDPeF</t>
  </si>
  <si>
    <t>upper dorsal perifornical nucleus</t>
  </si>
  <si>
    <t>UDLH</t>
  </si>
  <si>
    <t>upper dorsal lateral hypothalamic area</t>
  </si>
  <si>
    <t>LPo</t>
  </si>
  <si>
    <t>PSM</t>
  </si>
  <si>
    <t>peduncular nucleus of the stria medullaris</t>
  </si>
  <si>
    <t>PPas</t>
  </si>
  <si>
    <t>superficial stratum of PPaA</t>
  </si>
  <si>
    <t>EPD</t>
  </si>
  <si>
    <t>dorsal entopeduncular nucleus</t>
  </si>
  <si>
    <t>PSPa</t>
  </si>
  <si>
    <t>peduncular subparaventricular area</t>
  </si>
  <si>
    <t>PSPav</t>
  </si>
  <si>
    <t>ventricular zone of PSPa</t>
  </si>
  <si>
    <t>PSPam</t>
  </si>
  <si>
    <t>mantle zone of PSPa</t>
  </si>
  <si>
    <t>PSPap</t>
  </si>
  <si>
    <t>periventricular stratum of PSPa</t>
  </si>
  <si>
    <t>AHPp</t>
  </si>
  <si>
    <t>posterior anterior hypothalamic area, periventricular part</t>
  </si>
  <si>
    <t>A13</t>
  </si>
  <si>
    <t>A13 dopaminergic cell group</t>
  </si>
  <si>
    <t>PSPai</t>
  </si>
  <si>
    <t>intermediate stratum of PSPa</t>
  </si>
  <si>
    <t>AHP</t>
  </si>
  <si>
    <t>Stg</t>
  </si>
  <si>
    <t>stigmoid nucleus</t>
  </si>
  <si>
    <t>LDPeF</t>
  </si>
  <si>
    <t>lower dorsal perifornical nucleus</t>
  </si>
  <si>
    <t>LDLH</t>
  </si>
  <si>
    <t>lower dorsal lateral hypothalamic area</t>
  </si>
  <si>
    <t>PSPas</t>
  </si>
  <si>
    <t>superficial stratum of PSPa</t>
  </si>
  <si>
    <t>EPV</t>
  </si>
  <si>
    <t>ventral entopeduncular nucleus</t>
  </si>
  <si>
    <t>DVLH</t>
  </si>
  <si>
    <t>dorsoventral lateral hypothalamic area</t>
  </si>
  <si>
    <t>PHyB</t>
  </si>
  <si>
    <t>basal peduncular hypothalamus</t>
  </si>
  <si>
    <t>PHyB-D</t>
  </si>
  <si>
    <t>dorsal part of PHyB</t>
  </si>
  <si>
    <t>PHyB-Dv</t>
  </si>
  <si>
    <t>ventricular zone of PHyB-D</t>
  </si>
  <si>
    <t>PHyB-Dm</t>
  </si>
  <si>
    <t>mantle zone of PHyB-D</t>
  </si>
  <si>
    <t>PHyB-Dp</t>
  </si>
  <si>
    <t>periventricular stratum of PHyB-D</t>
  </si>
  <si>
    <t>PBasp</t>
  </si>
  <si>
    <t>posterobasal nucleus, periventricular part</t>
  </si>
  <si>
    <t>PHyB-Di</t>
  </si>
  <si>
    <t>intermediate stratum of PHyB-D</t>
  </si>
  <si>
    <t>PBasi</t>
  </si>
  <si>
    <t>posterobasal nucleus, intermediate part</t>
  </si>
  <si>
    <t>UBLH</t>
  </si>
  <si>
    <t>upper basal lateral hypothalamic area</t>
  </si>
  <si>
    <t>UBPeF</t>
  </si>
  <si>
    <t>upper basal perifornical nucleus</t>
  </si>
  <si>
    <t>PHyB-Ds</t>
  </si>
  <si>
    <t>superficial stratum of PHyB-D</t>
  </si>
  <si>
    <t>MCSH</t>
  </si>
  <si>
    <t>magnocellular superficial hypothalamic nucleus</t>
  </si>
  <si>
    <t>PHyB-I</t>
  </si>
  <si>
    <t>intermediate part of PHyB</t>
  </si>
  <si>
    <t>PHyB-Iv</t>
  </si>
  <si>
    <t>ventricular zone of PHyB-I</t>
  </si>
  <si>
    <t>PHyB-Im</t>
  </si>
  <si>
    <t>mantle zone of PHyB-I</t>
  </si>
  <si>
    <t>PHyB-Ip</t>
  </si>
  <si>
    <t>periventricular stratum of PHyB-I</t>
  </si>
  <si>
    <t>P-DMHp</t>
  </si>
  <si>
    <t>periventricular domain associated to P-DMH</t>
  </si>
  <si>
    <t>PHyB-Ii</t>
  </si>
  <si>
    <t>intermediate stratum of PHyB-I</t>
  </si>
  <si>
    <t>P-DMH</t>
  </si>
  <si>
    <t>peduncular part of dorsomedial hypothalamic nucleus</t>
  </si>
  <si>
    <t>P-DMHc</t>
  </si>
  <si>
    <t>core of P-DMH</t>
  </si>
  <si>
    <t>P-DMHs</t>
  </si>
  <si>
    <t>shell of P-DMH</t>
  </si>
  <si>
    <t>LBLH</t>
  </si>
  <si>
    <t>lower basal lateral hypothalamic area</t>
  </si>
  <si>
    <t>LBPeF</t>
  </si>
  <si>
    <t>lower basal perifornical nucleus</t>
  </si>
  <si>
    <t>PHyB-Is</t>
  </si>
  <si>
    <t>superficial stratum of PHyB-I</t>
  </si>
  <si>
    <t>LTu</t>
  </si>
  <si>
    <t>STh</t>
  </si>
  <si>
    <t>subthalamic nucleus (migrated)</t>
  </si>
  <si>
    <t>PSTh</t>
  </si>
  <si>
    <t>parasubthalamic nucleus (migrated)</t>
  </si>
  <si>
    <t>PHyB-V</t>
  </si>
  <si>
    <t>ventral part of PHyB</t>
  </si>
  <si>
    <t>PHyB-Vv</t>
  </si>
  <si>
    <t>ventricular zone of PHyB-V</t>
  </si>
  <si>
    <t>P-HVO</t>
  </si>
  <si>
    <t>hypothalamic ventricular organ, peduncular part</t>
  </si>
  <si>
    <t>PHyB-Vm</t>
  </si>
  <si>
    <t>mantle zone of PHyB-V</t>
  </si>
  <si>
    <t>PHyB-Vp</t>
  </si>
  <si>
    <t>periventricular stratum of PHyB-V</t>
  </si>
  <si>
    <t>DTMp</t>
  </si>
  <si>
    <t>dorsal tuberomammillary nucleus, periventricular part (histaminergic)</t>
  </si>
  <si>
    <t>PHyB-Vi</t>
  </si>
  <si>
    <t>intermediate stratum of PHyB-V</t>
  </si>
  <si>
    <t>DTMi</t>
  </si>
  <si>
    <t>dorsal tuberomammillary nucleus, intermediate part (histaminergic)</t>
  </si>
  <si>
    <t>PHyB-Vs</t>
  </si>
  <si>
    <t>superficial stratum of PHyB-V</t>
  </si>
  <si>
    <t>PTe</t>
  </si>
  <si>
    <t>paraterete nucleus</t>
  </si>
  <si>
    <t>CTM</t>
  </si>
  <si>
    <t>caudal tuberomammillary nucleus (histaminergic)</t>
  </si>
  <si>
    <t>PHyB-P</t>
  </si>
  <si>
    <t>perimammillary part of PHyB</t>
  </si>
  <si>
    <t>PHyB-Pv</t>
  </si>
  <si>
    <t>ventricular zone of PHyB-P</t>
  </si>
  <si>
    <t>PHyB-Pm</t>
  </si>
  <si>
    <t>mantle zone of PHyB-P</t>
  </si>
  <si>
    <t>PHyB-Pp</t>
  </si>
  <si>
    <t>periventricular stratum of PHyB-P</t>
  </si>
  <si>
    <t>PPRM</t>
  </si>
  <si>
    <t>periventricular periretromammillary nucleus</t>
  </si>
  <si>
    <t>PHyB-Pi</t>
  </si>
  <si>
    <t>intermediate stratum of PHyB-P</t>
  </si>
  <si>
    <t>IPRM</t>
  </si>
  <si>
    <t>intermediate periretromammillary nucleus</t>
  </si>
  <si>
    <t>PHyB-Ps</t>
  </si>
  <si>
    <t>superficial stratum of PHyB-P</t>
  </si>
  <si>
    <t>LPRM</t>
  </si>
  <si>
    <t>lateral periretromammillary nucleus</t>
  </si>
  <si>
    <t>PHyB-M</t>
  </si>
  <si>
    <t>mammillary part of PHyB</t>
  </si>
  <si>
    <t>RMa</t>
  </si>
  <si>
    <t>retromammillary area</t>
  </si>
  <si>
    <t>RMav</t>
  </si>
  <si>
    <t>ventricular zone of RMa</t>
  </si>
  <si>
    <t>RMam</t>
  </si>
  <si>
    <t>mantle zone of RMa</t>
  </si>
  <si>
    <t>RMap</t>
  </si>
  <si>
    <t>periventricular stratum of RMa</t>
  </si>
  <si>
    <t>RMM</t>
  </si>
  <si>
    <t>retromammillary area, medial part</t>
  </si>
  <si>
    <t>SMT</t>
  </si>
  <si>
    <t>submammillothalamic nucleus</t>
  </si>
  <si>
    <t>RMai</t>
  </si>
  <si>
    <t>intermediate stratum of RMa</t>
  </si>
  <si>
    <t>RML</t>
  </si>
  <si>
    <t>retromammillary area, lateral part</t>
  </si>
  <si>
    <t>RMas</t>
  </si>
  <si>
    <t>superficial stratum of RMa</t>
  </si>
  <si>
    <t>SThO</t>
  </si>
  <si>
    <t>subthalamic nucleus (migratory origin)</t>
  </si>
  <si>
    <t>PSThO</t>
  </si>
  <si>
    <t>parasubthalamic nucleus (migratory origin)</t>
  </si>
  <si>
    <t>PHyF</t>
  </si>
  <si>
    <t>floor of peduncular hypothalamus</t>
  </si>
  <si>
    <t>RMaF</t>
  </si>
  <si>
    <t>retromammillary floor</t>
  </si>
  <si>
    <t>D</t>
  </si>
  <si>
    <t>p3</t>
  </si>
  <si>
    <t>prosomere 3</t>
  </si>
  <si>
    <t>PTh</t>
  </si>
  <si>
    <t>p3R</t>
  </si>
  <si>
    <t>roof plate of p3</t>
  </si>
  <si>
    <t>p3Ch</t>
  </si>
  <si>
    <t>choroidal tissue of p3</t>
  </si>
  <si>
    <t>p3Chv</t>
  </si>
  <si>
    <t>ventricular zone of p3Ch</t>
  </si>
  <si>
    <t>p3Chm</t>
  </si>
  <si>
    <t>mantle zone of p3Ch</t>
  </si>
  <si>
    <t>p3A</t>
  </si>
  <si>
    <t>alar plate of p3 (alar prethalamus)</t>
  </si>
  <si>
    <t>p3AD</t>
  </si>
  <si>
    <t>dorsal part of alar p3</t>
  </si>
  <si>
    <t>PThE</t>
  </si>
  <si>
    <t>prethalamic eminence</t>
  </si>
  <si>
    <t>PThEv</t>
  </si>
  <si>
    <t>ventricular zone of PThE</t>
  </si>
  <si>
    <t>PThEm</t>
  </si>
  <si>
    <t>mantle zone of PThE</t>
  </si>
  <si>
    <t>PThEp</t>
  </si>
  <si>
    <t>periventricular stratum of PThE</t>
  </si>
  <si>
    <t>PThEi</t>
  </si>
  <si>
    <t>intermediate stratum of PThE</t>
  </si>
  <si>
    <t>SM</t>
  </si>
  <si>
    <t>nucleus of the stria medullaris (prethalamic)</t>
  </si>
  <si>
    <t>PThEs</t>
  </si>
  <si>
    <t>superficial stratum of PThE</t>
  </si>
  <si>
    <t>p3AL</t>
  </si>
  <si>
    <t>lateral part of alar p3</t>
  </si>
  <si>
    <t>RtC</t>
  </si>
  <si>
    <t>reticular complex</t>
  </si>
  <si>
    <t>RtCv</t>
  </si>
  <si>
    <t>ventricular zone of RtC</t>
  </si>
  <si>
    <t>RtCm</t>
  </si>
  <si>
    <t>mantle zone of RtC</t>
  </si>
  <si>
    <t>RtCp</t>
  </si>
  <si>
    <t>periventricular stratum of RtC</t>
  </si>
  <si>
    <t>RHy</t>
  </si>
  <si>
    <t>retrohypothalamic nucleus</t>
  </si>
  <si>
    <t>RtCi</t>
  </si>
  <si>
    <t>intermediate stratum of RtC</t>
  </si>
  <si>
    <t>Rt</t>
  </si>
  <si>
    <t>reticular nucleus</t>
  </si>
  <si>
    <t>RtCs</t>
  </si>
  <si>
    <t>superficial stratum of RtC</t>
  </si>
  <si>
    <t>SubG</t>
  </si>
  <si>
    <t>subgeniculate nucleus</t>
  </si>
  <si>
    <t>p3APV</t>
  </si>
  <si>
    <t>posteroventral part of alar p3</t>
  </si>
  <si>
    <t>p3APVv</t>
  </si>
  <si>
    <t>ventricular zone of p3APV</t>
  </si>
  <si>
    <t>p3APVm</t>
  </si>
  <si>
    <t>mantle zone of p3APV</t>
  </si>
  <si>
    <t>p3ZL</t>
  </si>
  <si>
    <t>prethalamic (p3) zona limitans domain</t>
  </si>
  <si>
    <t>p3ZLv</t>
  </si>
  <si>
    <t>ventricular zone of p3ZL</t>
  </si>
  <si>
    <t>p3ZLm</t>
  </si>
  <si>
    <t>mantle zone of p3ZL</t>
  </si>
  <si>
    <t>p3ZLp</t>
  </si>
  <si>
    <t>periventricular stratum of p3ZL</t>
  </si>
  <si>
    <t>p3ZLS</t>
  </si>
  <si>
    <t>shell of p3ZL</t>
  </si>
  <si>
    <t>p3ZLi</t>
  </si>
  <si>
    <t>intermediate stratum of p3ZL</t>
  </si>
  <si>
    <t>IntC</t>
  </si>
  <si>
    <t>p3ZLs</t>
  </si>
  <si>
    <t>superficial stratum of p3ZL</t>
  </si>
  <si>
    <t>PreG</t>
  </si>
  <si>
    <t>PP</t>
  </si>
  <si>
    <t>ZIC</t>
  </si>
  <si>
    <t>zona incerta complex</t>
  </si>
  <si>
    <t>ZICv</t>
  </si>
  <si>
    <t>ventricular zone of ZIC</t>
  </si>
  <si>
    <t>ZICm</t>
  </si>
  <si>
    <t>mantle zone of ZIC</t>
  </si>
  <si>
    <t>ZICp</t>
  </si>
  <si>
    <t>periventricular stratum of ZIC</t>
  </si>
  <si>
    <t>ZIM</t>
  </si>
  <si>
    <t>magnocellular (periventricular) zona incerta</t>
  </si>
  <si>
    <t>ZICi</t>
  </si>
  <si>
    <t>intermediate stratum of ZIC</t>
  </si>
  <si>
    <t>RZI</t>
  </si>
  <si>
    <t>rostral zona incerta</t>
  </si>
  <si>
    <t>ZICs</t>
  </si>
  <si>
    <t>superficial stratum of ZIC</t>
  </si>
  <si>
    <t>PThTg</t>
  </si>
  <si>
    <t>prethalamic tegmentum</t>
  </si>
  <si>
    <t>p3B</t>
  </si>
  <si>
    <t>basal plate of p3</t>
  </si>
  <si>
    <t>p3Bv</t>
  </si>
  <si>
    <t>ventricular zone of p3B</t>
  </si>
  <si>
    <t>p3Bm</t>
  </si>
  <si>
    <t>mantle zone of p3B</t>
  </si>
  <si>
    <t>p3Bp</t>
  </si>
  <si>
    <t>periventricular stratum of p3B</t>
  </si>
  <si>
    <t>p3PEW</t>
  </si>
  <si>
    <t>p3 portion of the pre-Edinger-Westphal nucleus</t>
  </si>
  <si>
    <t>p3Bi</t>
  </si>
  <si>
    <t>intermediate stratum of p3B</t>
  </si>
  <si>
    <t>p3ZLC</t>
  </si>
  <si>
    <t>p3 part of the ZL core</t>
  </si>
  <si>
    <t>CZI</t>
  </si>
  <si>
    <t>caudal zona incerta</t>
  </si>
  <si>
    <t>p3Tg</t>
  </si>
  <si>
    <t>tegmental field of p3 (Forel's field)</t>
  </si>
  <si>
    <t>Gem</t>
  </si>
  <si>
    <t>gemini nuclei</t>
  </si>
  <si>
    <t>p3PBP</t>
  </si>
  <si>
    <t>p3 portion of parabrachial pigmented nucleus</t>
  </si>
  <si>
    <t>p3Bs</t>
  </si>
  <si>
    <t>superficial stratum of p3B</t>
  </si>
  <si>
    <t>EPAc</t>
  </si>
  <si>
    <t>accessory entopeduncular nucleus (post-migratory)</t>
  </si>
  <si>
    <t>p3SNC</t>
  </si>
  <si>
    <t>p3 portion of the substantia nigra pars compacta</t>
  </si>
  <si>
    <t>p3SNR</t>
  </si>
  <si>
    <t>p3 portion of the substantia nigra pars reticulata</t>
  </si>
  <si>
    <t>p3PN</t>
  </si>
  <si>
    <t>p3 portion of paranigral nucleus</t>
  </si>
  <si>
    <t>p3F</t>
  </si>
  <si>
    <t>floor plate of p3</t>
  </si>
  <si>
    <t>p3Fv</t>
  </si>
  <si>
    <t>ventricular zone of p3F</t>
  </si>
  <si>
    <t>p3Fm</t>
  </si>
  <si>
    <t>mantle zone of p3F</t>
  </si>
  <si>
    <t>p3Fp</t>
  </si>
  <si>
    <t>periventricular stratum of p3F</t>
  </si>
  <si>
    <t>p3Fi</t>
  </si>
  <si>
    <t>intermediate stratum of p3F</t>
  </si>
  <si>
    <t>p3Fs</t>
  </si>
  <si>
    <t>superficial stratum of p3F</t>
  </si>
  <si>
    <t>p3VTA</t>
  </si>
  <si>
    <t>p3 portion of the ventral tegmental area</t>
  </si>
  <si>
    <t>p2</t>
  </si>
  <si>
    <t>prosomere 2</t>
  </si>
  <si>
    <t>Th</t>
  </si>
  <si>
    <t>p2R</t>
  </si>
  <si>
    <t>roof plate of p2 (epithalamic roofplate)</t>
  </si>
  <si>
    <t>p2Ch</t>
  </si>
  <si>
    <t>choroidal tissue of p2</t>
  </si>
  <si>
    <t>p2Chv</t>
  </si>
  <si>
    <t>ventricular zone of p2Ch</t>
  </si>
  <si>
    <t>p2Chm</t>
  </si>
  <si>
    <t>mantle zone of p2Ch</t>
  </si>
  <si>
    <t>BHbC</t>
  </si>
  <si>
    <t>bed of the habenular commissure</t>
  </si>
  <si>
    <t>Pi</t>
  </si>
  <si>
    <t>pineal gland (epiphysis) and stalk</t>
  </si>
  <si>
    <t>RHb</t>
  </si>
  <si>
    <t>retrohabenular thalamic area</t>
  </si>
  <si>
    <t>p2A</t>
  </si>
  <si>
    <t>alar plate of p2 (alar thalamus)</t>
  </si>
  <si>
    <t>p2AD</t>
  </si>
  <si>
    <t>dorsal part of alar p2</t>
  </si>
  <si>
    <t>Hb</t>
  </si>
  <si>
    <t>habenula (old epithalamus)</t>
  </si>
  <si>
    <t>Hbv</t>
  </si>
  <si>
    <t>ventricular zone of Hb</t>
  </si>
  <si>
    <t>Hbm</t>
  </si>
  <si>
    <t>mantle zone of Hb</t>
  </si>
  <si>
    <t>Hbp</t>
  </si>
  <si>
    <t>periventricular stratum of Hb</t>
  </si>
  <si>
    <t>MHb</t>
  </si>
  <si>
    <t>MSHb</t>
  </si>
  <si>
    <t>medial subhabenular nucleus</t>
  </si>
  <si>
    <t>Hbi</t>
  </si>
  <si>
    <t>intermediate stratum of Hb</t>
  </si>
  <si>
    <t>LHbM</t>
  </si>
  <si>
    <t>medial part of the lateral habenular nucleus</t>
  </si>
  <si>
    <t>LSHb</t>
  </si>
  <si>
    <t>lateral subhabenular nucleus</t>
  </si>
  <si>
    <t>Hbs</t>
  </si>
  <si>
    <t>superficial stratum of Hb</t>
  </si>
  <si>
    <t>LHbL</t>
  </si>
  <si>
    <t>lateral part of the lateral habenular nucleus</t>
  </si>
  <si>
    <t>p2AL</t>
  </si>
  <si>
    <t>lateral part of alar p2</t>
  </si>
  <si>
    <t>p2ALv</t>
  </si>
  <si>
    <t>ventricular zone of p2AL</t>
  </si>
  <si>
    <t>p2ALm</t>
  </si>
  <si>
    <t>mantle zone of p2AL</t>
  </si>
  <si>
    <t>DTTh</t>
  </si>
  <si>
    <t>DTThv</t>
  </si>
  <si>
    <t>ventricular zone of DTTh</t>
  </si>
  <si>
    <t>DTThm</t>
  </si>
  <si>
    <t>mantle zone of DTTh</t>
  </si>
  <si>
    <t>DTThp</t>
  </si>
  <si>
    <t>periventricular stratum of DTTh</t>
  </si>
  <si>
    <t>PVA</t>
  </si>
  <si>
    <t>IMD</t>
  </si>
  <si>
    <t>intermediodorsal nucleus</t>
  </si>
  <si>
    <t>CM</t>
  </si>
  <si>
    <t>IAM</t>
  </si>
  <si>
    <t>interanteromedial nucleus</t>
  </si>
  <si>
    <t>IAD</t>
  </si>
  <si>
    <t>interanterodorsal nucleus</t>
  </si>
  <si>
    <t>Rh</t>
  </si>
  <si>
    <t>Re</t>
  </si>
  <si>
    <t>reuniens nucleus, main part</t>
  </si>
  <si>
    <t>RRe</t>
  </si>
  <si>
    <t>retroreuniens nucleus</t>
  </si>
  <si>
    <t>VRe</t>
  </si>
  <si>
    <t>ventral reuniens nucleus</t>
  </si>
  <si>
    <t>DTThi</t>
  </si>
  <si>
    <t>intermediate stratum of DTTh</t>
  </si>
  <si>
    <t>PT</t>
  </si>
  <si>
    <t>MD</t>
  </si>
  <si>
    <t>mediodorsal nucleus</t>
  </si>
  <si>
    <t>MDM</t>
  </si>
  <si>
    <t>medial (magnocellular) part of MD</t>
  </si>
  <si>
    <t>MDL</t>
  </si>
  <si>
    <t>lateral (parvicellular) part of MD</t>
  </si>
  <si>
    <t>MDC</t>
  </si>
  <si>
    <t>central part of MD</t>
  </si>
  <si>
    <t>IL</t>
  </si>
  <si>
    <t>intralaminar nuclei</t>
  </si>
  <si>
    <t>PC</t>
  </si>
  <si>
    <t>OPC</t>
  </si>
  <si>
    <t>oval paracentral nucleus</t>
  </si>
  <si>
    <t>CL</t>
  </si>
  <si>
    <t>A</t>
  </si>
  <si>
    <t>anterior nuclei</t>
  </si>
  <si>
    <t>AD</t>
  </si>
  <si>
    <t>AV</t>
  </si>
  <si>
    <t>AM</t>
  </si>
  <si>
    <t>VM</t>
  </si>
  <si>
    <t>ventromedial nucleus</t>
  </si>
  <si>
    <t>VMP</t>
  </si>
  <si>
    <t>posterior ventromedial nucleus</t>
  </si>
  <si>
    <t>SubM</t>
  </si>
  <si>
    <t>VA</t>
  </si>
  <si>
    <t>VL</t>
  </si>
  <si>
    <t>VPM</t>
  </si>
  <si>
    <t>VPL</t>
  </si>
  <si>
    <t>VPPC</t>
  </si>
  <si>
    <t>ventral posterior parvicellular nucleus</t>
  </si>
  <si>
    <t>Po</t>
  </si>
  <si>
    <t>posterior (ventral) nucleus</t>
  </si>
  <si>
    <t>DTThs</t>
  </si>
  <si>
    <t>superficial stratum of DTTh</t>
  </si>
  <si>
    <t>LD</t>
  </si>
  <si>
    <t>laterodorsal nucleus</t>
  </si>
  <si>
    <t>LP</t>
  </si>
  <si>
    <t>DLG</t>
  </si>
  <si>
    <t>ITTh</t>
  </si>
  <si>
    <t>intermediate tier of thalamus</t>
  </si>
  <si>
    <t>ITThv</t>
  </si>
  <si>
    <t>ventricular zone of ITTh</t>
  </si>
  <si>
    <t>ITThm</t>
  </si>
  <si>
    <t>mantle zone of ITTh</t>
  </si>
  <si>
    <t>ITThp</t>
  </si>
  <si>
    <t>periventricular stratum of ITTh</t>
  </si>
  <si>
    <t>PVP</t>
  </si>
  <si>
    <t>PF</t>
  </si>
  <si>
    <t>ITThi</t>
  </si>
  <si>
    <t>intermediate stratum of ITTh</t>
  </si>
  <si>
    <t>Lth</t>
  </si>
  <si>
    <t>lithoid nucleus</t>
  </si>
  <si>
    <t>Sc</t>
  </si>
  <si>
    <t>scaphoid nucleus</t>
  </si>
  <si>
    <t>Eth</t>
  </si>
  <si>
    <t>ethmoid nucleus</t>
  </si>
  <si>
    <t>SEth</t>
  </si>
  <si>
    <t>subethmoid nucleus</t>
  </si>
  <si>
    <t>VLi</t>
  </si>
  <si>
    <t>ventral linear nucleus</t>
  </si>
  <si>
    <t>PoT</t>
  </si>
  <si>
    <t>posterior triangular nucleus</t>
  </si>
  <si>
    <t>ITThs</t>
  </si>
  <si>
    <t>superficial stratum of ITTh</t>
  </si>
  <si>
    <t>IPo</t>
  </si>
  <si>
    <t>intermedioposterior nucleus</t>
  </si>
  <si>
    <t>SG</t>
  </si>
  <si>
    <t>VTTh</t>
  </si>
  <si>
    <t>ventral tier of thalamus</t>
  </si>
  <si>
    <t>VTThv</t>
  </si>
  <si>
    <t>ventricular zone of VTTh</t>
  </si>
  <si>
    <t>VTThm</t>
  </si>
  <si>
    <t>mantle zone of VTTh</t>
  </si>
  <si>
    <t>VTThp</t>
  </si>
  <si>
    <t>periventricular stratum of VTTh</t>
  </si>
  <si>
    <t>SPFMC</t>
  </si>
  <si>
    <t>magnocellular (medial) subparafascicular nucleus</t>
  </si>
  <si>
    <t>VTThi</t>
  </si>
  <si>
    <t>intermediate stratum of VTTh</t>
  </si>
  <si>
    <t>SPFPC</t>
  </si>
  <si>
    <t>parvicellular (lateral) subparafascicular nucleus</t>
  </si>
  <si>
    <t>PIL</t>
  </si>
  <si>
    <t>posterior intralaminar nucleus</t>
  </si>
  <si>
    <t>VTThs</t>
  </si>
  <si>
    <t>superficial stratum of VTTh</t>
  </si>
  <si>
    <t>MG</t>
  </si>
  <si>
    <t>MGV</t>
  </si>
  <si>
    <t>ventral subnucleus of MG</t>
  </si>
  <si>
    <t>MGD</t>
  </si>
  <si>
    <t>dorsal subnucleus of MG</t>
  </si>
  <si>
    <t>MGM</t>
  </si>
  <si>
    <t>medial subnucleus of MG</t>
  </si>
  <si>
    <t>p2AAV</t>
  </si>
  <si>
    <t>anteroventral part of alar thalamus</t>
  </si>
  <si>
    <t>p2AAVv</t>
  </si>
  <si>
    <t>ventricular zone of p2AAV</t>
  </si>
  <si>
    <t>p2AAVm</t>
  </si>
  <si>
    <t>mantle zone of p2AAV</t>
  </si>
  <si>
    <t>p2ZL</t>
  </si>
  <si>
    <t>thalamic (p2) zona limitans domain</t>
  </si>
  <si>
    <t>p2ZLv</t>
  </si>
  <si>
    <t>ventricular zone of p2ZL</t>
  </si>
  <si>
    <t>p2ZLm</t>
  </si>
  <si>
    <t>mantle zone of p2ZL</t>
  </si>
  <si>
    <t>p2ZLp</t>
  </si>
  <si>
    <t>periventricular stratum of p2ZL</t>
  </si>
  <si>
    <t>p2ZLS</t>
  </si>
  <si>
    <t>shell of p2ZL</t>
  </si>
  <si>
    <t>p2ZLi</t>
  </si>
  <si>
    <t>intermediate stratum of p2ZL</t>
  </si>
  <si>
    <t>IZL</t>
  </si>
  <si>
    <t>interstitial nucleus of the zona limitans</t>
  </si>
  <si>
    <t>p2ZLs</t>
  </si>
  <si>
    <t>superficial stratum of p2ZL</t>
  </si>
  <si>
    <t>IGL</t>
  </si>
  <si>
    <t>intergeniculate leaflet</t>
  </si>
  <si>
    <t>p2Lim</t>
  </si>
  <si>
    <t>liminal part of alar p2</t>
  </si>
  <si>
    <t>p2Limv</t>
  </si>
  <si>
    <t>ventricular zone of p2Lim</t>
  </si>
  <si>
    <t>p2Limm</t>
  </si>
  <si>
    <t>mantle zone of p2Lim</t>
  </si>
  <si>
    <t>p2Limp</t>
  </si>
  <si>
    <t>periventricular stratum of p2Lim</t>
  </si>
  <si>
    <t>Lim</t>
  </si>
  <si>
    <t>liminal nucleus</t>
  </si>
  <si>
    <t>p2Limi</t>
  </si>
  <si>
    <t>intermediate stratum of p2Lim</t>
  </si>
  <si>
    <t>p2LimRt</t>
  </si>
  <si>
    <t>reticular formation of p2Lim</t>
  </si>
  <si>
    <t>p2Lims</t>
  </si>
  <si>
    <t>superficial stratum of p2Lim</t>
  </si>
  <si>
    <t>p2PP</t>
  </si>
  <si>
    <t>p2 portion of the peripeduncular nucleus</t>
  </si>
  <si>
    <t>EpP</t>
  </si>
  <si>
    <t>epipeduncular nucleus</t>
  </si>
  <si>
    <t>ThTg</t>
  </si>
  <si>
    <t>thalamic tegmentum</t>
  </si>
  <si>
    <t>p2B</t>
  </si>
  <si>
    <t>basal plate of p2</t>
  </si>
  <si>
    <t>p2Bv</t>
  </si>
  <si>
    <t>ventricular zone of p2B</t>
  </si>
  <si>
    <t>p2Bm</t>
  </si>
  <si>
    <t>mantle zone of p2B</t>
  </si>
  <si>
    <t>p2Bp</t>
  </si>
  <si>
    <t>periventricular stratum of p2B</t>
  </si>
  <si>
    <t>p2PEW</t>
  </si>
  <si>
    <t>p2 portion of the pre-Edinger-Westphal nucleus</t>
  </si>
  <si>
    <t>p2Bi</t>
  </si>
  <si>
    <t>intermediate stratum of p2B</t>
  </si>
  <si>
    <t>p2ZLC</t>
  </si>
  <si>
    <t>p2 part of the zona limitans core population</t>
  </si>
  <si>
    <t>RI</t>
  </si>
  <si>
    <t>rostral interstitial nucleus</t>
  </si>
  <si>
    <t>PR</t>
  </si>
  <si>
    <t>prerubral area</t>
  </si>
  <si>
    <t>p2PBP</t>
  </si>
  <si>
    <t>p2 portion of the parabrachial pigmented nucleus</t>
  </si>
  <si>
    <t>p2Bs</t>
  </si>
  <si>
    <t>superficial stratum of p2B</t>
  </si>
  <si>
    <t>p2MT</t>
  </si>
  <si>
    <t>p2 portion of the medial terminal nucleus of the accessory optic tract</t>
  </si>
  <si>
    <t>p2SNC</t>
  </si>
  <si>
    <t>p2 portion of the substantia nigra pars compacta</t>
  </si>
  <si>
    <t>p2SNR</t>
  </si>
  <si>
    <t>p2 portion of the substantia nigra pars reticulata</t>
  </si>
  <si>
    <t>p2PN</t>
  </si>
  <si>
    <t>p2 portion of paranigral nucleus</t>
  </si>
  <si>
    <t>p2F</t>
  </si>
  <si>
    <t>floor plate of p2</t>
  </si>
  <si>
    <t>p2Fv</t>
  </si>
  <si>
    <t>ventricular zone of p2F</t>
  </si>
  <si>
    <t>p2Fm</t>
  </si>
  <si>
    <t>mantle zone of p2F</t>
  </si>
  <si>
    <t>p2Fp</t>
  </si>
  <si>
    <t>periventricular stratum of p2F</t>
  </si>
  <si>
    <t>p2Fi</t>
  </si>
  <si>
    <t>intermediate stratum of p2F</t>
  </si>
  <si>
    <t>p2Fs</t>
  </si>
  <si>
    <t>superficial stratum of p2F</t>
  </si>
  <si>
    <t>p2VTA</t>
  </si>
  <si>
    <t>p2 portion of the ventral tegmental area</t>
  </si>
  <si>
    <t>p1</t>
  </si>
  <si>
    <t>prosomere 1</t>
  </si>
  <si>
    <t>Pt</t>
  </si>
  <si>
    <t>p1R</t>
  </si>
  <si>
    <t>roof plate of p1</t>
  </si>
  <si>
    <t>PCom</t>
  </si>
  <si>
    <t>bed area of the posterior commissure</t>
  </si>
  <si>
    <t>PComv</t>
  </si>
  <si>
    <t>ventricular zone of PCom</t>
  </si>
  <si>
    <t>SCO</t>
  </si>
  <si>
    <t>PComm</t>
  </si>
  <si>
    <t>mantle zone of PCom</t>
  </si>
  <si>
    <t>PComp</t>
  </si>
  <si>
    <t>periventricular zone of PCom</t>
  </si>
  <si>
    <t>PComi</t>
  </si>
  <si>
    <t>intermediate zone of PCom</t>
  </si>
  <si>
    <t>PComs</t>
  </si>
  <si>
    <t>superficial zone of PCom</t>
  </si>
  <si>
    <t>p1A</t>
  </si>
  <si>
    <t>alar plate of p1</t>
  </si>
  <si>
    <t>PcP</t>
  </si>
  <si>
    <t>precommissural pretectal domain</t>
  </si>
  <si>
    <t>PcPv</t>
  </si>
  <si>
    <t>ventricular zone of PcP</t>
  </si>
  <si>
    <t>PcPm</t>
  </si>
  <si>
    <t>mantle zone of PcP</t>
  </si>
  <si>
    <t>PcPD</t>
  </si>
  <si>
    <t>dorsal part of PcP</t>
  </si>
  <si>
    <t>PcPDv</t>
  </si>
  <si>
    <t>ventricular zone of PcPD</t>
  </si>
  <si>
    <t>PcPDm</t>
  </si>
  <si>
    <t>mantle zone of PcPD</t>
  </si>
  <si>
    <t>PcPDp</t>
  </si>
  <si>
    <t>periventricular stratum of PcPD</t>
  </si>
  <si>
    <t>PcPD-PAG</t>
  </si>
  <si>
    <t>PcPD part of the periaqueductal gray</t>
  </si>
  <si>
    <t>PcPDi</t>
  </si>
  <si>
    <t>intermediate stratum of PcPD</t>
  </si>
  <si>
    <t>DF</t>
  </si>
  <si>
    <t>dorsofrontal pretectal nucleus</t>
  </si>
  <si>
    <t>PcPDs</t>
  </si>
  <si>
    <t>superficial stratum of PCPD</t>
  </si>
  <si>
    <t>DFS</t>
  </si>
  <si>
    <t>superficial dorsofrontal area</t>
  </si>
  <si>
    <t>PcPL</t>
  </si>
  <si>
    <t>lateral part of PcP</t>
  </si>
  <si>
    <t>PcPLv</t>
  </si>
  <si>
    <t>ventricular zone of PcPL</t>
  </si>
  <si>
    <t>PcPLm</t>
  </si>
  <si>
    <t>mantle zone of PcPL</t>
  </si>
  <si>
    <t>PcPLp</t>
  </si>
  <si>
    <t>periventricular stratum of PcPL</t>
  </si>
  <si>
    <t>PcPL-PAG</t>
  </si>
  <si>
    <t>PcPL part of the periaqueductal gray</t>
  </si>
  <si>
    <t>PcPLi</t>
  </si>
  <si>
    <t>intermediate stratum of PcPL</t>
  </si>
  <si>
    <t>APTD</t>
  </si>
  <si>
    <t>anterior pretectal nucleus, dorsal core part</t>
  </si>
  <si>
    <t>PcPLs</t>
  </si>
  <si>
    <t>superficial stratum of PcPL</t>
  </si>
  <si>
    <t>APTDS</t>
  </si>
  <si>
    <t>anterior pretectal nucleus, dorsal superficial part</t>
  </si>
  <si>
    <t>PcPV</t>
  </si>
  <si>
    <t>ventral part of PcP</t>
  </si>
  <si>
    <t>PcPVv</t>
  </si>
  <si>
    <t>ventricular zone of PcPV</t>
  </si>
  <si>
    <t>PcPVm</t>
  </si>
  <si>
    <t>mantle zone of PcPV</t>
  </si>
  <si>
    <t>PcPVp</t>
  </si>
  <si>
    <t>periventricular stratum of PcPV</t>
  </si>
  <si>
    <t>PcPV-PAG</t>
  </si>
  <si>
    <t>PcPV part of the periaqueductal gray</t>
  </si>
  <si>
    <t>PcPVi</t>
  </si>
  <si>
    <t>intermediate stratum of PcPV</t>
  </si>
  <si>
    <t>APTV</t>
  </si>
  <si>
    <t>anterior pretectal nucleus, ventral core part</t>
  </si>
  <si>
    <t>PcPVs</t>
  </si>
  <si>
    <t>superficial stratum of PcPV</t>
  </si>
  <si>
    <t>APTVS</t>
  </si>
  <si>
    <t>anterior pretectal nucleus, ventral superficial part</t>
  </si>
  <si>
    <t>JcP</t>
  </si>
  <si>
    <t>juxtacommissural pretectal domain</t>
  </si>
  <si>
    <t>JcPv</t>
  </si>
  <si>
    <t>ventricular zone of JcP</t>
  </si>
  <si>
    <t>JcPm</t>
  </si>
  <si>
    <t>mantle zone of JcP</t>
  </si>
  <si>
    <t>JcPD</t>
  </si>
  <si>
    <t>dorsal part of JcP</t>
  </si>
  <si>
    <t>JcPDv</t>
  </si>
  <si>
    <t>ventricular zone of JcPD</t>
  </si>
  <si>
    <t>JcPDm</t>
  </si>
  <si>
    <t>mantle zone of JcPD</t>
  </si>
  <si>
    <t>JcPDp</t>
  </si>
  <si>
    <t>periventricular stratum of JcPD</t>
  </si>
  <si>
    <t>JcPD-PAG</t>
  </si>
  <si>
    <t>JcPD part of the periaqueductal gray</t>
  </si>
  <si>
    <t>JcPDi</t>
  </si>
  <si>
    <t>intermediate stratum of JcPD</t>
  </si>
  <si>
    <t>DJcP</t>
  </si>
  <si>
    <t>dorsal juxtacommissural pretectal nucleus</t>
  </si>
  <si>
    <t>SpD</t>
  </si>
  <si>
    <t>dorsal spiriform nucleus</t>
  </si>
  <si>
    <t>JcPDs</t>
  </si>
  <si>
    <t>superficial stratum of JcPD</t>
  </si>
  <si>
    <t>JcP-DT</t>
  </si>
  <si>
    <t>JcP contribution to DT</t>
  </si>
  <si>
    <t>JcPL</t>
  </si>
  <si>
    <t>lateral part of JcP</t>
  </si>
  <si>
    <t>JcPLv</t>
  </si>
  <si>
    <t>ventricular zone of JcPL</t>
  </si>
  <si>
    <t>JcPLm</t>
  </si>
  <si>
    <t>mantle zone of JcPL</t>
  </si>
  <si>
    <t>JcPLp</t>
  </si>
  <si>
    <t>periventricular stratum of JcPL</t>
  </si>
  <si>
    <t>JcPL-PAG</t>
  </si>
  <si>
    <t>JcPL part of the periaqueductal gray</t>
  </si>
  <si>
    <t>JcPLi</t>
  </si>
  <si>
    <t>intermediate stratum of JcPL</t>
  </si>
  <si>
    <t>JcPLRt</t>
  </si>
  <si>
    <t>reticular formation of JcPL</t>
  </si>
  <si>
    <t>SpL</t>
  </si>
  <si>
    <t>lateral spiriform nucleus</t>
  </si>
  <si>
    <t>JcPLs</t>
  </si>
  <si>
    <t>superficial stratum of JcPL</t>
  </si>
  <si>
    <t>JcP-LTL</t>
  </si>
  <si>
    <t>JcP contribution to LTL</t>
  </si>
  <si>
    <t>JcPV</t>
  </si>
  <si>
    <t>ventral part of JcP</t>
  </si>
  <si>
    <t>JcPVv</t>
  </si>
  <si>
    <t>ventricular zone of JcPV</t>
  </si>
  <si>
    <t>JcPVm</t>
  </si>
  <si>
    <t>mantle zone of JcPV</t>
  </si>
  <si>
    <t>JcPVp</t>
  </si>
  <si>
    <t>periventricular stratum of JcPV</t>
  </si>
  <si>
    <t>JcPV-PAG</t>
  </si>
  <si>
    <t>JcPV part of the periaqueductal gray</t>
  </si>
  <si>
    <t>JcPVi</t>
  </si>
  <si>
    <t>intermediate stratum of JcPV</t>
  </si>
  <si>
    <t>VJcP</t>
  </si>
  <si>
    <t>ventral juxtacommissural pretectal nucleus</t>
  </si>
  <si>
    <t>JcPVs</t>
  </si>
  <si>
    <t>superficial stratum of JcPV</t>
  </si>
  <si>
    <t>JcP-LTV</t>
  </si>
  <si>
    <t>JcP contribution to LTV</t>
  </si>
  <si>
    <t>CoP</t>
  </si>
  <si>
    <t>commissural pretectal domain</t>
  </si>
  <si>
    <t>CoPv</t>
  </si>
  <si>
    <t>ventricular zone of CoP</t>
  </si>
  <si>
    <t>CoPm</t>
  </si>
  <si>
    <t>mantle zone of CoP</t>
  </si>
  <si>
    <t>CoPD</t>
  </si>
  <si>
    <t>dorsal part of CoP</t>
  </si>
  <si>
    <t>CoPDv</t>
  </si>
  <si>
    <t>ventricular zone of CoPD</t>
  </si>
  <si>
    <t>CoPDm</t>
  </si>
  <si>
    <t>mantle zone of CoPD</t>
  </si>
  <si>
    <t>CoPDp</t>
  </si>
  <si>
    <t>periventricular stratum of CoPD</t>
  </si>
  <si>
    <t>CoPD-PAG</t>
  </si>
  <si>
    <t>CoPD part of the periaqueductal gray</t>
  </si>
  <si>
    <t>CoPDi</t>
  </si>
  <si>
    <t>intermediate stratum of CoPD</t>
  </si>
  <si>
    <t>MPT</t>
  </si>
  <si>
    <t>PrPT</t>
  </si>
  <si>
    <t>CoPDRt</t>
  </si>
  <si>
    <t>reticular formation of CoPD</t>
  </si>
  <si>
    <t>CoPDs</t>
  </si>
  <si>
    <t>superficial stratum of CoPD</t>
  </si>
  <si>
    <t>OPT</t>
  </si>
  <si>
    <t>DT</t>
  </si>
  <si>
    <t>CoPL</t>
  </si>
  <si>
    <t>lateral part of CoP</t>
  </si>
  <si>
    <t>CoPLv</t>
  </si>
  <si>
    <t>ventricular zone of CoPL</t>
  </si>
  <si>
    <t>CoPLm</t>
  </si>
  <si>
    <t>mantle zone of CoPL</t>
  </si>
  <si>
    <t>CoPLp</t>
  </si>
  <si>
    <t>periventricular stratum of CoPL</t>
  </si>
  <si>
    <t>CoPL-PAG</t>
  </si>
  <si>
    <t>CoPL part of the periaqueductal gray</t>
  </si>
  <si>
    <t>CoPLi</t>
  </si>
  <si>
    <t>intermediate stratum of CoPL</t>
  </si>
  <si>
    <t>PCPC</t>
  </si>
  <si>
    <t>parvicellular interstitial nucleus of the posterior commissure</t>
  </si>
  <si>
    <t>IPT</t>
  </si>
  <si>
    <t>CoPLRt</t>
  </si>
  <si>
    <t>reticular formation of CoPL</t>
  </si>
  <si>
    <t>CoPLs</t>
  </si>
  <si>
    <t>superficial stratum of CoPL</t>
  </si>
  <si>
    <t>LTL</t>
  </si>
  <si>
    <t>lateral terminal nucleus of the accessory optic tract, lateral part</t>
  </si>
  <si>
    <t>CoPV</t>
  </si>
  <si>
    <t>ventral part of CoP</t>
  </si>
  <si>
    <t>CoPVv</t>
  </si>
  <si>
    <t>ventricular zone of CoPV</t>
  </si>
  <si>
    <t>CoPVm</t>
  </si>
  <si>
    <t>mantle zone of CoPV</t>
  </si>
  <si>
    <t>CoPVp</t>
  </si>
  <si>
    <t>periventricular stratum of CoPV</t>
  </si>
  <si>
    <t>CoPV-PAG</t>
  </si>
  <si>
    <t>CoPV part of the periaqueductal gray</t>
  </si>
  <si>
    <t>CoPVi</t>
  </si>
  <si>
    <t>intermediate stratum of CoPV</t>
  </si>
  <si>
    <t>SPT</t>
  </si>
  <si>
    <t>subpretectal nucleus</t>
  </si>
  <si>
    <t>MCPC</t>
  </si>
  <si>
    <t>magnocellular interstitial nucleus of the posterior commissure</t>
  </si>
  <si>
    <t>CoPVs</t>
  </si>
  <si>
    <t>superficial stratum of CoPV</t>
  </si>
  <si>
    <t>LTV</t>
  </si>
  <si>
    <t>lateral terminal nucleus of the accessory optic tract, ventral part</t>
  </si>
  <si>
    <t>p1AVL</t>
  </si>
  <si>
    <t>ventrolateral part of alar p1</t>
  </si>
  <si>
    <t>p1AVLv</t>
  </si>
  <si>
    <t>ventricular zone of p1AVL</t>
  </si>
  <si>
    <t>p1AVLm</t>
  </si>
  <si>
    <t>mantle zone of p1AVL</t>
  </si>
  <si>
    <t>p1Lim</t>
  </si>
  <si>
    <t>liminal part of alar p1</t>
  </si>
  <si>
    <t>p1Limv</t>
  </si>
  <si>
    <t>ventricular zone of p1Lim</t>
  </si>
  <si>
    <t>p1Limm</t>
  </si>
  <si>
    <t>mantle zone of p1Lim</t>
  </si>
  <si>
    <t>p1Limp</t>
  </si>
  <si>
    <t>periventricular stratum of p1Lim</t>
  </si>
  <si>
    <t>p1Lim-PAG</t>
  </si>
  <si>
    <t>p1Lim part of periaqueductal gray</t>
  </si>
  <si>
    <t>p1Limi</t>
  </si>
  <si>
    <t>intermediate stratum of p1Lim</t>
  </si>
  <si>
    <t>p1LimRt</t>
  </si>
  <si>
    <t>reticular formation of p1Lim</t>
  </si>
  <si>
    <t>p1Lims</t>
  </si>
  <si>
    <t>superficial stratum of p1Lim</t>
  </si>
  <si>
    <t>p1SNL</t>
  </si>
  <si>
    <t>p1 part of the lateral substantia nigra</t>
  </si>
  <si>
    <t>PtTg</t>
  </si>
  <si>
    <t>pretectal tegmentum</t>
  </si>
  <si>
    <t>p1B</t>
  </si>
  <si>
    <t>basal plate of p1</t>
  </si>
  <si>
    <t>p1Bv</t>
  </si>
  <si>
    <t>ventricular zone of p1B</t>
  </si>
  <si>
    <t>p1Bm</t>
  </si>
  <si>
    <t>mantle zone of p1B</t>
  </si>
  <si>
    <t>p1Bp</t>
  </si>
  <si>
    <t>periventricular stratum of p1B</t>
  </si>
  <si>
    <t>p1B-PAG</t>
  </si>
  <si>
    <t>p1B part of the periaqueductal gray</t>
  </si>
  <si>
    <t>Dk</t>
  </si>
  <si>
    <t>p1PEW</t>
  </si>
  <si>
    <t>p1 part of the pre-Edinger-Westphal nucleus</t>
  </si>
  <si>
    <t>p1Bi</t>
  </si>
  <si>
    <t>intermediate stratum of p1B</t>
  </si>
  <si>
    <t>InC</t>
  </si>
  <si>
    <t>interstitial nucleus of Cajal (post-migratory)</t>
  </si>
  <si>
    <t>p1BRt</t>
  </si>
  <si>
    <t>basal reticular formation of p1</t>
  </si>
  <si>
    <t>RPC</t>
  </si>
  <si>
    <t>p1PaR</t>
  </si>
  <si>
    <t>p1 part of the pararubral nucleus</t>
  </si>
  <si>
    <t>p1PBP</t>
  </si>
  <si>
    <t>p1 part of parabrachial pigmented nucleus</t>
  </si>
  <si>
    <t>p1Bs</t>
  </si>
  <si>
    <t>superficial stratum of p1B</t>
  </si>
  <si>
    <t>p1MT</t>
  </si>
  <si>
    <t>p1 part of the medial terminal nucleus of the accessory optic tract</t>
  </si>
  <si>
    <t>p1SNC</t>
  </si>
  <si>
    <t>p1 part of the substantia nigra compacta</t>
  </si>
  <si>
    <t>p1SNR</t>
  </si>
  <si>
    <t>p1 part of the substantia nigra reticulata</t>
  </si>
  <si>
    <t>p1PN</t>
  </si>
  <si>
    <t>p1 portion of the paranigral nucleus</t>
  </si>
  <si>
    <t>p1F</t>
  </si>
  <si>
    <t>floor plate of p1</t>
  </si>
  <si>
    <t>p1Fv</t>
  </si>
  <si>
    <t>ventricular zone of p1F</t>
  </si>
  <si>
    <t>p1Fm</t>
  </si>
  <si>
    <t>mantle zone of p1F</t>
  </si>
  <si>
    <t>p1Fp</t>
  </si>
  <si>
    <t>periventricular stratum of p1F</t>
  </si>
  <si>
    <t>p1F-PAG</t>
  </si>
  <si>
    <t>p1F part of periaqueductal gray</t>
  </si>
  <si>
    <t>p1Fi</t>
  </si>
  <si>
    <t>intermediate stratum of p1F</t>
  </si>
  <si>
    <t>p1Fs</t>
  </si>
  <si>
    <t>superficial stratum of p1F</t>
  </si>
  <si>
    <t>p1VTA</t>
  </si>
  <si>
    <t>p1 part of the ventral tegmental area</t>
  </si>
  <si>
    <t>M</t>
  </si>
  <si>
    <t>m1</t>
  </si>
  <si>
    <t>MTt</t>
  </si>
  <si>
    <t>collicular (rostral) midbrain tectum</t>
  </si>
  <si>
    <t>m1R</t>
  </si>
  <si>
    <t>roof plate of m1</t>
  </si>
  <si>
    <t>m1Rv</t>
  </si>
  <si>
    <t>ventricular zone of m1R</t>
  </si>
  <si>
    <t>m1Rm</t>
  </si>
  <si>
    <t>mantle zone of m1R</t>
  </si>
  <si>
    <t>m1Rp</t>
  </si>
  <si>
    <t>periventricular stratum of m1R</t>
  </si>
  <si>
    <t>m1Ri</t>
  </si>
  <si>
    <t>intermediate stratum of m1R</t>
  </si>
  <si>
    <t>m1Rs</t>
  </si>
  <si>
    <t>superficial stratum of m1R</t>
  </si>
  <si>
    <t>BTGC</t>
  </si>
  <si>
    <t>bed of the tectal gray commissure</t>
  </si>
  <si>
    <t>BTC</t>
  </si>
  <si>
    <t>bed of the tectal commissure</t>
  </si>
  <si>
    <t>BICC</t>
  </si>
  <si>
    <t>bed of the intercollicular commissure</t>
  </si>
  <si>
    <t>m1A</t>
  </si>
  <si>
    <t>alar plate of m1</t>
  </si>
  <si>
    <t>m1AD</t>
  </si>
  <si>
    <t>dorsal part of m1A</t>
  </si>
  <si>
    <t>m1ADv</t>
  </si>
  <si>
    <t>ventricular zone of m1AD</t>
  </si>
  <si>
    <t>m1ADm</t>
  </si>
  <si>
    <t>mantle zone of m1AD</t>
  </si>
  <si>
    <t>m1ADp</t>
  </si>
  <si>
    <t>periventricular stratum of m1AD</t>
  </si>
  <si>
    <t>m1AD-PAG</t>
  </si>
  <si>
    <t>m1AD (DM) part of periaqueductal gray</t>
  </si>
  <si>
    <t>m1ADi</t>
  </si>
  <si>
    <t>intermediate stratum of m1AD</t>
  </si>
  <si>
    <t>m1VPaC</t>
  </si>
  <si>
    <t>ventral paracommissural tectal nucleus, m1 part</t>
  </si>
  <si>
    <t>m1ADs</t>
  </si>
  <si>
    <t>superficial stratum of m1AD</t>
  </si>
  <si>
    <t>m1DPaC</t>
  </si>
  <si>
    <t>dorsal paracommissural tectal nucleus, m1 part</t>
  </si>
  <si>
    <t>m1ADL</t>
  </si>
  <si>
    <t>dorsolateral part of m1A</t>
  </si>
  <si>
    <t>TG</t>
  </si>
  <si>
    <t>tectal gray formation</t>
  </si>
  <si>
    <t>TGv</t>
  </si>
  <si>
    <t>ventricular zone of TG</t>
  </si>
  <si>
    <t>TGm</t>
  </si>
  <si>
    <t>mantle zone of TG</t>
  </si>
  <si>
    <t>TGp</t>
  </si>
  <si>
    <t>periventricular stratum of TG</t>
  </si>
  <si>
    <t>TGDL-PAG</t>
  </si>
  <si>
    <t>dorsolateral TG part of the periaqueductal gray</t>
  </si>
  <si>
    <t>TGi</t>
  </si>
  <si>
    <t>intermediate stratum of TG</t>
  </si>
  <si>
    <t>TGC</t>
  </si>
  <si>
    <t>central layers of TG</t>
  </si>
  <si>
    <t>TGs</t>
  </si>
  <si>
    <t>superficial stratum of TG</t>
  </si>
  <si>
    <t>TGS</t>
  </si>
  <si>
    <t>superficial layers of TG</t>
  </si>
  <si>
    <t>SC</t>
  </si>
  <si>
    <t>SCv</t>
  </si>
  <si>
    <t>ventricular zone of SC</t>
  </si>
  <si>
    <t>SCm</t>
  </si>
  <si>
    <t>mantle zone of SC</t>
  </si>
  <si>
    <t>SCp</t>
  </si>
  <si>
    <t>periventricular stratum of SC</t>
  </si>
  <si>
    <t>SCDL-PAG</t>
  </si>
  <si>
    <t>dorsolateral SC part of the periaqueductal gray</t>
  </si>
  <si>
    <t>DpWh</t>
  </si>
  <si>
    <t>deep white layer of SC</t>
  </si>
  <si>
    <t>SCi</t>
  </si>
  <si>
    <t>intermediate stratum of SC</t>
  </si>
  <si>
    <t>DpG</t>
  </si>
  <si>
    <t>deep gray layer of SC</t>
  </si>
  <si>
    <t>InWh</t>
  </si>
  <si>
    <t>intermediate white layer of SC</t>
  </si>
  <si>
    <t>InG</t>
  </si>
  <si>
    <t>intermediate gray layer of SC</t>
  </si>
  <si>
    <t>SCs</t>
  </si>
  <si>
    <t>superficial stratum of SC</t>
  </si>
  <si>
    <t>Op</t>
  </si>
  <si>
    <t>optic fiber layer of SC</t>
  </si>
  <si>
    <t>SuG</t>
  </si>
  <si>
    <t>superficial gray layer of SC</t>
  </si>
  <si>
    <t>Zo</t>
  </si>
  <si>
    <t>zonal layer of SC</t>
  </si>
  <si>
    <t>IC</t>
  </si>
  <si>
    <t>ICv</t>
  </si>
  <si>
    <t>ventricular zone of IC</t>
  </si>
  <si>
    <t>ICm</t>
  </si>
  <si>
    <t>mantle zone of IC</t>
  </si>
  <si>
    <t>ICp</t>
  </si>
  <si>
    <t>periventricular stratum of IC</t>
  </si>
  <si>
    <t>ICDL-PAG</t>
  </si>
  <si>
    <t>dorsolateral IC periaqueductal gray</t>
  </si>
  <si>
    <t>ICi</t>
  </si>
  <si>
    <t>intermediate stratum of IC</t>
  </si>
  <si>
    <t>CIC</t>
  </si>
  <si>
    <t>IIC</t>
  </si>
  <si>
    <t>intermediate nucleus of the inferior colliculus</t>
  </si>
  <si>
    <t>ICs</t>
  </si>
  <si>
    <t>superficial stratum of IC</t>
  </si>
  <si>
    <t>ICIC</t>
  </si>
  <si>
    <t>internal cortical nucleus of inferior colliculus</t>
  </si>
  <si>
    <t>DCIC</t>
  </si>
  <si>
    <t>dorsal cortical nucleus of inferior colliculus</t>
  </si>
  <si>
    <t>ECIC</t>
  </si>
  <si>
    <t>external cortical nucleus of inferior colliculus</t>
  </si>
  <si>
    <t>m1AL</t>
  </si>
  <si>
    <t>lateral part of alar m1</t>
  </si>
  <si>
    <t>m1ALv</t>
  </si>
  <si>
    <t>ventricular zone of m1AL</t>
  </si>
  <si>
    <t>m1ALm</t>
  </si>
  <si>
    <t>mantle zone of m1AL</t>
  </si>
  <si>
    <t>m1ALp</t>
  </si>
  <si>
    <t>periventricular stratum of m1AL</t>
  </si>
  <si>
    <t>TGL-PAG</t>
  </si>
  <si>
    <t>lateral TG part of the periaqueductal gray</t>
  </si>
  <si>
    <t>SCL-PAG</t>
  </si>
  <si>
    <t>lateral SC part of the periaqueductal gray</t>
  </si>
  <si>
    <t>ICL-PAG</t>
  </si>
  <si>
    <t>lateral IC periaqueductal gray</t>
  </si>
  <si>
    <t>m1ALi</t>
  </si>
  <si>
    <t>intermediate stratum of m1AL</t>
  </si>
  <si>
    <t>ICBR</t>
  </si>
  <si>
    <t>nucleus of the inferior collicular brachium, rostral part</t>
  </si>
  <si>
    <t>ICBC</t>
  </si>
  <si>
    <t>nucleus of the inferior collicular brachium, caudal part</t>
  </si>
  <si>
    <t>m1ALs</t>
  </si>
  <si>
    <t>superficial stratum of m1AL</t>
  </si>
  <si>
    <t>SubBR</t>
  </si>
  <si>
    <t>subbrachial nucleus, rostral part</t>
  </si>
  <si>
    <t>SubBC</t>
  </si>
  <si>
    <t>subbrachial nucleus, caudal part</t>
  </si>
  <si>
    <t>m1AVL</t>
  </si>
  <si>
    <t>ventrolateral part of alar m1</t>
  </si>
  <si>
    <t>m1Lim</t>
  </si>
  <si>
    <t>liminal alar domain of m1</t>
  </si>
  <si>
    <t>m1Limv</t>
  </si>
  <si>
    <t>ventricular zone of m1Lim</t>
  </si>
  <si>
    <t>m1Limm</t>
  </si>
  <si>
    <t>mantle zone of m1Lim</t>
  </si>
  <si>
    <t>m1Limp</t>
  </si>
  <si>
    <t>periventricular stratum of m1Lim</t>
  </si>
  <si>
    <t>m1Lim-PAG</t>
  </si>
  <si>
    <t>m1Lim (VL) part of the periaqueductal gray</t>
  </si>
  <si>
    <t>m1Limi</t>
  </si>
  <si>
    <t>intermediate stratum of m1Lim</t>
  </si>
  <si>
    <t>m1LimRt</t>
  </si>
  <si>
    <t>m1Lim part of the midbrain reticular formation</t>
  </si>
  <si>
    <t>m1Lims</t>
  </si>
  <si>
    <t>superficial stratum of m1Lim</t>
  </si>
  <si>
    <t>MTg</t>
  </si>
  <si>
    <t>m1 (rostral) midbrain tegmentum</t>
  </si>
  <si>
    <t>m1B</t>
  </si>
  <si>
    <t>basal plate of m1</t>
  </si>
  <si>
    <t>m1Bv</t>
  </si>
  <si>
    <t>ventricular zone of m1B</t>
  </si>
  <si>
    <t>m1Bm</t>
  </si>
  <si>
    <t>mantle zone of m1B</t>
  </si>
  <si>
    <t>m1Bp</t>
  </si>
  <si>
    <t>periventricular stratum of m1B</t>
  </si>
  <si>
    <t>m1B-PAG</t>
  </si>
  <si>
    <t>m1B part of the periaqueductal gray</t>
  </si>
  <si>
    <t>m1PEW</t>
  </si>
  <si>
    <t>m1 part of the pre-Edinger-Westphal nucleus</t>
  </si>
  <si>
    <t>m1Bi</t>
  </si>
  <si>
    <t>intermediate stratum of m1B</t>
  </si>
  <si>
    <t>RLi</t>
  </si>
  <si>
    <t>3EW</t>
  </si>
  <si>
    <t>oculomotor nucleus, Edinger-Westphal subnucleus</t>
  </si>
  <si>
    <t>3M</t>
  </si>
  <si>
    <t>oculomotor nucleus, main part</t>
  </si>
  <si>
    <t>m1BRt</t>
  </si>
  <si>
    <t>medial basal reticular formation of m1</t>
  </si>
  <si>
    <t>m1PaR</t>
  </si>
  <si>
    <t>pararubral nucleus, m1 part</t>
  </si>
  <si>
    <t>RMC</t>
  </si>
  <si>
    <t>m1Bs</t>
  </si>
  <si>
    <t>superficial stratum of m1B</t>
  </si>
  <si>
    <t>m1PN</t>
  </si>
  <si>
    <t>m1 part of paranigral nucleus</t>
  </si>
  <si>
    <t>m1SNC</t>
  </si>
  <si>
    <t>substantia nigra compacta, m1 part</t>
  </si>
  <si>
    <t>m1SNR</t>
  </si>
  <si>
    <t>substantia nigra reticulata, m1 part</t>
  </si>
  <si>
    <t>m1PBP</t>
  </si>
  <si>
    <t>m1 part of parabrachialis pigmentosus</t>
  </si>
  <si>
    <t>m1F</t>
  </si>
  <si>
    <t>floor plate of m1</t>
  </si>
  <si>
    <t>m1Fv</t>
  </si>
  <si>
    <t>ventricular zone of m1F</t>
  </si>
  <si>
    <t>m1Fm</t>
  </si>
  <si>
    <t>mantle zone of m1F</t>
  </si>
  <si>
    <t>m1Fp</t>
  </si>
  <si>
    <t>periventricular stratum of m1F</t>
  </si>
  <si>
    <t>m1F-PAG</t>
  </si>
  <si>
    <t>m1F part of the periaqueductal gray</t>
  </si>
  <si>
    <t>m1Fi</t>
  </si>
  <si>
    <t>intermediate stratum of m1F</t>
  </si>
  <si>
    <t>m1Fs</t>
  </si>
  <si>
    <t>superficial stratum of m1F</t>
  </si>
  <si>
    <t>m1VTA</t>
  </si>
  <si>
    <t>ventral tegmental area, m1 part</t>
  </si>
  <si>
    <t>m2</t>
  </si>
  <si>
    <t>PIsTt</t>
  </si>
  <si>
    <t>preisthmic midbrain tectum</t>
  </si>
  <si>
    <t>m2R</t>
  </si>
  <si>
    <t>m2 roof</t>
  </si>
  <si>
    <t>m2Rv</t>
  </si>
  <si>
    <t>ventricular zone of m2R</t>
  </si>
  <si>
    <t>m2Rm</t>
  </si>
  <si>
    <t>mantle zone of m2R</t>
  </si>
  <si>
    <t>m2Rp</t>
  </si>
  <si>
    <t>periventricular stratum of m2R</t>
  </si>
  <si>
    <t>m2Ri</t>
  </si>
  <si>
    <t>intermediate stratum of m2R</t>
  </si>
  <si>
    <t>m2Rs</t>
  </si>
  <si>
    <t>superficial stratum of m2R</t>
  </si>
  <si>
    <t>m2A</t>
  </si>
  <si>
    <t>m2 alar plate</t>
  </si>
  <si>
    <t>m2AD</t>
  </si>
  <si>
    <t>dorsal part of m2A</t>
  </si>
  <si>
    <t>m2ADv</t>
  </si>
  <si>
    <t>ventricular zone of m2AD</t>
  </si>
  <si>
    <t>m2ADm</t>
  </si>
  <si>
    <t>mantle zone of m2AD</t>
  </si>
  <si>
    <t>m2ADp</t>
  </si>
  <si>
    <t>periventricular stratum of m2AD</t>
  </si>
  <si>
    <t>PIsD-PAG</t>
  </si>
  <si>
    <t>dorsal preisthmic part of periaqueductal gray</t>
  </si>
  <si>
    <t>m2ADi</t>
  </si>
  <si>
    <t>intermediate stratum of m2AD</t>
  </si>
  <si>
    <t>m2VPaC</t>
  </si>
  <si>
    <t>ventral paracommissural tectal nucleus, m2 part</t>
  </si>
  <si>
    <t>m2ADs</t>
  </si>
  <si>
    <t>superficial stratum of m2AD</t>
  </si>
  <si>
    <t>m2DPaC</t>
  </si>
  <si>
    <t>dorsal paracommissural tectal nucleus, m2 part</t>
  </si>
  <si>
    <t>m2ADL</t>
  </si>
  <si>
    <t>dorsolateral part of m2A</t>
  </si>
  <si>
    <t>m2ADLv</t>
  </si>
  <si>
    <t>ventricular zone of m2ADL</t>
  </si>
  <si>
    <t>m2ADLm</t>
  </si>
  <si>
    <t>mantle zone of m2ADL</t>
  </si>
  <si>
    <t>m2ADLp</t>
  </si>
  <si>
    <t>periventricular stratum of m2ADL</t>
  </si>
  <si>
    <t>PIsDL-PAG</t>
  </si>
  <si>
    <t>dorsolateral preisthmic part of periaqueductal gray</t>
  </si>
  <si>
    <t>m2ADLi</t>
  </si>
  <si>
    <t>intermediate stratum of m2ADL</t>
  </si>
  <si>
    <t>SagD</t>
  </si>
  <si>
    <t>nucleus sagulum, deep part</t>
  </si>
  <si>
    <t>m2ADLs</t>
  </si>
  <si>
    <t>superficial stratum of m2ADL</t>
  </si>
  <si>
    <t>SagS</t>
  </si>
  <si>
    <t>nucleus sagulum, superficial part</t>
  </si>
  <si>
    <t>m2AL</t>
  </si>
  <si>
    <t>lateral part of m2A</t>
  </si>
  <si>
    <t>m2ALv</t>
  </si>
  <si>
    <t>ventricular zone of m2AL</t>
  </si>
  <si>
    <t>m2ALm</t>
  </si>
  <si>
    <t>mantle zone of m2AL</t>
  </si>
  <si>
    <t>m2ALp</t>
  </si>
  <si>
    <t>periventricular stratum of m2AL</t>
  </si>
  <si>
    <t>PIsL-PAG</t>
  </si>
  <si>
    <t>lateral part of preisthmic periaqueductal gray</t>
  </si>
  <si>
    <t>m2ALi</t>
  </si>
  <si>
    <t>intermediate stratum of m2AL</t>
  </si>
  <si>
    <t>CnF</t>
  </si>
  <si>
    <t>m2ALs</t>
  </si>
  <si>
    <t>superficial stratum of m2AL</t>
  </si>
  <si>
    <t>CnFS</t>
  </si>
  <si>
    <t>superficial cuneiform nucleus</t>
  </si>
  <si>
    <t>m2AVL</t>
  </si>
  <si>
    <t>ventrolateral part of m2A</t>
  </si>
  <si>
    <t>m2Lim</t>
  </si>
  <si>
    <t>liminal alar domain of m2</t>
  </si>
  <si>
    <t>m2Limv</t>
  </si>
  <si>
    <t>ventricular zone of m2Lim</t>
  </si>
  <si>
    <t>m2Limm</t>
  </si>
  <si>
    <t>mantle zone of m2Lim</t>
  </si>
  <si>
    <t>m2Limp</t>
  </si>
  <si>
    <t>periventricular stratum of m2Lim</t>
  </si>
  <si>
    <t>m2Lim-PAG</t>
  </si>
  <si>
    <t>liminal periaqueductal gray of m2</t>
  </si>
  <si>
    <t>m2Limi</t>
  </si>
  <si>
    <t>intermediate stratum of m2Lim</t>
  </si>
  <si>
    <t>SCnF</t>
  </si>
  <si>
    <t>m2LimRt</t>
  </si>
  <si>
    <t>liminal reticular formation of m2</t>
  </si>
  <si>
    <t>m2Lims</t>
  </si>
  <si>
    <t>superficial stratum of m2Lim</t>
  </si>
  <si>
    <t>PIsTg</t>
  </si>
  <si>
    <t>preisthmic tegmentum</t>
  </si>
  <si>
    <t>m2B</t>
  </si>
  <si>
    <t>m2 basal plate</t>
  </si>
  <si>
    <t>m2Bv</t>
  </si>
  <si>
    <t>ventricular zone of m2B</t>
  </si>
  <si>
    <t>m2Bm</t>
  </si>
  <si>
    <t>mantle zone of m2B</t>
  </si>
  <si>
    <t>m2Bp</t>
  </si>
  <si>
    <t>periventricular stratum of m2B</t>
  </si>
  <si>
    <t>m2B-PAG</t>
  </si>
  <si>
    <t>basal m2 periaqueductal gray</t>
  </si>
  <si>
    <t>m2DR</t>
  </si>
  <si>
    <t>m2 part of the dorsal raphe nucleus</t>
  </si>
  <si>
    <t>m2Bi</t>
  </si>
  <si>
    <t>intermediate stratum of m2B</t>
  </si>
  <si>
    <t>m2BRt</t>
  </si>
  <si>
    <t>reticular formation of basal m2</t>
  </si>
  <si>
    <t>m2PaR</t>
  </si>
  <si>
    <t>m2 part of pararubral nucleus</t>
  </si>
  <si>
    <t>m2Bs</t>
  </si>
  <si>
    <t>superficial stratum of m2B</t>
  </si>
  <si>
    <t>m2PN</t>
  </si>
  <si>
    <t>m2 part of paranigral nucleus</t>
  </si>
  <si>
    <t>m2PBP</t>
  </si>
  <si>
    <t>m2 part of nucleus parabrachialis pigmentosus</t>
  </si>
  <si>
    <t>m2SNC</t>
  </si>
  <si>
    <t>m2 part of substantia nigra compacta</t>
  </si>
  <si>
    <t>m2SNR</t>
  </si>
  <si>
    <t>m2 part of substantia nigra reticulata</t>
  </si>
  <si>
    <t>m2F</t>
  </si>
  <si>
    <t>m2 floor plate</t>
  </si>
  <si>
    <t>m2Fv</t>
  </si>
  <si>
    <t>ventricular zone of m2F</t>
  </si>
  <si>
    <t>m2Fm</t>
  </si>
  <si>
    <t>mantle zone of m2F</t>
  </si>
  <si>
    <t>m2Fp</t>
  </si>
  <si>
    <t>periventricular stratum of m2F</t>
  </si>
  <si>
    <t>m2Fi</t>
  </si>
  <si>
    <t>intermediate stratum of m2F</t>
  </si>
  <si>
    <t>m2Fs</t>
  </si>
  <si>
    <t>superficial stratum of m2F</t>
  </si>
  <si>
    <t>m2VTA</t>
  </si>
  <si>
    <t>m2 part of VTA</t>
  </si>
  <si>
    <t>IF</t>
  </si>
  <si>
    <t>H</t>
  </si>
  <si>
    <t>PPH</t>
  </si>
  <si>
    <t>is</t>
  </si>
  <si>
    <t>isR</t>
  </si>
  <si>
    <t>isRv</t>
  </si>
  <si>
    <t>isRm</t>
  </si>
  <si>
    <t>isRp</t>
  </si>
  <si>
    <t>isRi</t>
  </si>
  <si>
    <t>isRs</t>
  </si>
  <si>
    <t>isA</t>
  </si>
  <si>
    <t>CbV</t>
  </si>
  <si>
    <t>CbVLip</t>
  </si>
  <si>
    <t>CbV-EGL</t>
  </si>
  <si>
    <t>CbVv</t>
  </si>
  <si>
    <t>CbVm</t>
  </si>
  <si>
    <t>CbVp</t>
  </si>
  <si>
    <t>CbVWM</t>
  </si>
  <si>
    <t>CbVi</t>
  </si>
  <si>
    <t>CbVN</t>
  </si>
  <si>
    <t>Med</t>
  </si>
  <si>
    <t>MedM</t>
  </si>
  <si>
    <t>MedL</t>
  </si>
  <si>
    <t>MedDL</t>
  </si>
  <si>
    <t>isVeCb</t>
  </si>
  <si>
    <t>CbVs</t>
  </si>
  <si>
    <t>CbVCx</t>
  </si>
  <si>
    <t>1Cb</t>
  </si>
  <si>
    <t>2Cb</t>
  </si>
  <si>
    <t>3Cb</t>
  </si>
  <si>
    <t>4Cb</t>
  </si>
  <si>
    <t>5Cb</t>
  </si>
  <si>
    <t>6Cb</t>
  </si>
  <si>
    <t>7Cb</t>
  </si>
  <si>
    <t>8Cb</t>
  </si>
  <si>
    <t>9Cb</t>
  </si>
  <si>
    <t>10Cb</t>
  </si>
  <si>
    <t>MolV</t>
  </si>
  <si>
    <t>PkV</t>
  </si>
  <si>
    <t>IGrV</t>
  </si>
  <si>
    <t>isADL</t>
  </si>
  <si>
    <t>isADLv</t>
  </si>
  <si>
    <t>isADLm</t>
  </si>
  <si>
    <t>isADLp</t>
  </si>
  <si>
    <t>isADLi</t>
  </si>
  <si>
    <t>isADLs</t>
  </si>
  <si>
    <t>PBC</t>
  </si>
  <si>
    <t>PBv</t>
  </si>
  <si>
    <t>PBm</t>
  </si>
  <si>
    <t>PBp</t>
  </si>
  <si>
    <t>PB-PAG</t>
  </si>
  <si>
    <t>PBi</t>
  </si>
  <si>
    <t>MPB</t>
  </si>
  <si>
    <t>PBs</t>
  </si>
  <si>
    <t>LPB</t>
  </si>
  <si>
    <t>KF</t>
  </si>
  <si>
    <t>Ist</t>
  </si>
  <si>
    <t>Istv</t>
  </si>
  <si>
    <t>Istm</t>
  </si>
  <si>
    <t>Istp</t>
  </si>
  <si>
    <t>Ist-PAG</t>
  </si>
  <si>
    <t>Isti</t>
  </si>
  <si>
    <t>DLL</t>
  </si>
  <si>
    <t>Ists</t>
  </si>
  <si>
    <t>PBG</t>
  </si>
  <si>
    <t>PeLA</t>
  </si>
  <si>
    <t>isAVL</t>
  </si>
  <si>
    <t>isLim</t>
  </si>
  <si>
    <t>isLimv</t>
  </si>
  <si>
    <t>isLimm</t>
  </si>
  <si>
    <t>isLimp</t>
  </si>
  <si>
    <t>isLim-PAG</t>
  </si>
  <si>
    <t>isMes5</t>
  </si>
  <si>
    <t>isLimi</t>
  </si>
  <si>
    <t>MiTg</t>
  </si>
  <si>
    <t>isLimRt</t>
  </si>
  <si>
    <t>isLims</t>
  </si>
  <si>
    <t>isILL</t>
  </si>
  <si>
    <t>isPaL</t>
  </si>
  <si>
    <t>isB</t>
  </si>
  <si>
    <t>isBv</t>
  </si>
  <si>
    <t>isBm</t>
  </si>
  <si>
    <t>isBL</t>
  </si>
  <si>
    <t>isBLv</t>
  </si>
  <si>
    <t>isBLm</t>
  </si>
  <si>
    <t>isBLp</t>
  </si>
  <si>
    <t>isDRDL</t>
  </si>
  <si>
    <t>isDRW</t>
  </si>
  <si>
    <t>isBLi</t>
  </si>
  <si>
    <t>isBLRt</t>
  </si>
  <si>
    <t>RRF</t>
  </si>
  <si>
    <t>isBLs</t>
  </si>
  <si>
    <t>isBI</t>
  </si>
  <si>
    <t>isBIv</t>
  </si>
  <si>
    <t>isBIm</t>
  </si>
  <si>
    <t>isBIp</t>
  </si>
  <si>
    <t>isDRI</t>
  </si>
  <si>
    <t>isMDTg</t>
  </si>
  <si>
    <t>isBIi</t>
  </si>
  <si>
    <t>isBIRt</t>
  </si>
  <si>
    <t>isBIs</t>
  </si>
  <si>
    <t>isSNR</t>
  </si>
  <si>
    <t>isBM</t>
  </si>
  <si>
    <t>isBMv</t>
  </si>
  <si>
    <t>isBMm</t>
  </si>
  <si>
    <t>isBMp</t>
  </si>
  <si>
    <t>isDRV</t>
  </si>
  <si>
    <t>isBMi</t>
  </si>
  <si>
    <t>4M</t>
  </si>
  <si>
    <t>4Sh</t>
  </si>
  <si>
    <t>Pa4</t>
  </si>
  <si>
    <t>CLi</t>
  </si>
  <si>
    <t>isBMs</t>
  </si>
  <si>
    <t>isSNC</t>
  </si>
  <si>
    <t>IPPr</t>
  </si>
  <si>
    <t>isPN</t>
  </si>
  <si>
    <t>isF</t>
  </si>
  <si>
    <t>isFv</t>
  </si>
  <si>
    <t>isFm</t>
  </si>
  <si>
    <t>isFp</t>
  </si>
  <si>
    <t>isFi</t>
  </si>
  <si>
    <t>isFs</t>
  </si>
  <si>
    <t>MnIPPr</t>
  </si>
  <si>
    <t>isVTA</t>
  </si>
  <si>
    <t>r1</t>
  </si>
  <si>
    <t>r1R</t>
  </si>
  <si>
    <t>CbCh</t>
  </si>
  <si>
    <t>r1RhL</t>
  </si>
  <si>
    <t>r1A</t>
  </si>
  <si>
    <t>r1Av</t>
  </si>
  <si>
    <t>r1Am</t>
  </si>
  <si>
    <t>CbH</t>
  </si>
  <si>
    <t>CbH-EGL</t>
  </si>
  <si>
    <t>CbHv</t>
  </si>
  <si>
    <t>CbHLip</t>
  </si>
  <si>
    <t>CbHm</t>
  </si>
  <si>
    <t>CbHp</t>
  </si>
  <si>
    <t>CbHWM</t>
  </si>
  <si>
    <t>CbHi</t>
  </si>
  <si>
    <t>CbHN</t>
  </si>
  <si>
    <t>Int</t>
  </si>
  <si>
    <t>IntA</t>
  </si>
  <si>
    <t>IntDL</t>
  </si>
  <si>
    <t>IntP</t>
  </si>
  <si>
    <t>Lat</t>
  </si>
  <si>
    <t>LatDL</t>
  </si>
  <si>
    <t>LatPC</t>
  </si>
  <si>
    <t>r1VeCb</t>
  </si>
  <si>
    <t>A4</t>
  </si>
  <si>
    <t>CbHs</t>
  </si>
  <si>
    <t>CbHCx</t>
  </si>
  <si>
    <t>Sim</t>
  </si>
  <si>
    <t>Crus1</t>
  </si>
  <si>
    <t>Crus2</t>
  </si>
  <si>
    <t>PM</t>
  </si>
  <si>
    <t>Cop</t>
  </si>
  <si>
    <t>PFl</t>
  </si>
  <si>
    <t>Fl</t>
  </si>
  <si>
    <t>MolH</t>
  </si>
  <si>
    <t>PkH</t>
  </si>
  <si>
    <t>IGrH</t>
  </si>
  <si>
    <t>r1Ve</t>
  </si>
  <si>
    <t>r1Vev</t>
  </si>
  <si>
    <t>r1Vem</t>
  </si>
  <si>
    <t>r1Vep</t>
  </si>
  <si>
    <t>r1Y</t>
  </si>
  <si>
    <t>r1Vei</t>
  </si>
  <si>
    <t>r1SuVe</t>
  </si>
  <si>
    <t>r1Ves</t>
  </si>
  <si>
    <t>r1Tr</t>
  </si>
  <si>
    <t>r1Trv</t>
  </si>
  <si>
    <t>r1Trm</t>
  </si>
  <si>
    <t>r1Trp</t>
  </si>
  <si>
    <t>r1Tri</t>
  </si>
  <si>
    <t>r1DPCRt</t>
  </si>
  <si>
    <t>r1Trs</t>
  </si>
  <si>
    <t>r1Pr5</t>
  </si>
  <si>
    <t>r1Lim</t>
  </si>
  <si>
    <t>r1Limv</t>
  </si>
  <si>
    <t>r1Limm</t>
  </si>
  <si>
    <t>r1Limp</t>
  </si>
  <si>
    <t>r1LimCG</t>
  </si>
  <si>
    <t>LDTg</t>
  </si>
  <si>
    <t>r1Mes5</t>
  </si>
  <si>
    <t>r1Limi</t>
  </si>
  <si>
    <t>r1VPCRt</t>
  </si>
  <si>
    <t>r1Lims</t>
  </si>
  <si>
    <t>PPTg</t>
  </si>
  <si>
    <t>r1B</t>
  </si>
  <si>
    <t>r1Bv</t>
  </si>
  <si>
    <t>r1Bm</t>
  </si>
  <si>
    <t>r1BL</t>
  </si>
  <si>
    <t>r1BLv</t>
  </si>
  <si>
    <t>r1BLm</t>
  </si>
  <si>
    <t>r1BLp</t>
  </si>
  <si>
    <t>r1BLIZ</t>
  </si>
  <si>
    <t>LC</t>
  </si>
  <si>
    <t>Bar</t>
  </si>
  <si>
    <t>NPS</t>
  </si>
  <si>
    <t>r1BLi</t>
  </si>
  <si>
    <t>r1CG</t>
  </si>
  <si>
    <t>Su5</t>
  </si>
  <si>
    <t>r1BLRt</t>
  </si>
  <si>
    <t>r1BLs</t>
  </si>
  <si>
    <t>r1MPL</t>
  </si>
  <si>
    <t>r1LPaL</t>
  </si>
  <si>
    <t>r1ILL</t>
  </si>
  <si>
    <t>RR</t>
  </si>
  <si>
    <t>r1BI</t>
  </si>
  <si>
    <t>r1BIv</t>
  </si>
  <si>
    <t>r1BIm</t>
  </si>
  <si>
    <t>r1BIp</t>
  </si>
  <si>
    <t>r1BICG</t>
  </si>
  <si>
    <t>r1MDTg</t>
  </si>
  <si>
    <t>r1BIIZ</t>
  </si>
  <si>
    <t>r1BIi</t>
  </si>
  <si>
    <t>r1BIRt</t>
  </si>
  <si>
    <t>r1SubC</t>
  </si>
  <si>
    <t>r1BIs</t>
  </si>
  <si>
    <t>r1LPn</t>
  </si>
  <si>
    <t>r1BM</t>
  </si>
  <si>
    <t>r1BMv</t>
  </si>
  <si>
    <t>r1BMm</t>
  </si>
  <si>
    <t>r1BMp</t>
  </si>
  <si>
    <t>r1DR</t>
  </si>
  <si>
    <t>Sph</t>
  </si>
  <si>
    <t>DTg</t>
  </si>
  <si>
    <t>DTgC</t>
  </si>
  <si>
    <t>DTgS</t>
  </si>
  <si>
    <t>r1BMCG</t>
  </si>
  <si>
    <t>r1BMi</t>
  </si>
  <si>
    <t>IPA</t>
  </si>
  <si>
    <t>Rbd</t>
  </si>
  <si>
    <t>VTg</t>
  </si>
  <si>
    <t>ATg</t>
  </si>
  <si>
    <t>PTg</t>
  </si>
  <si>
    <t>r1PMnR</t>
  </si>
  <si>
    <t>r1MnR</t>
  </si>
  <si>
    <t>r1BMRt</t>
  </si>
  <si>
    <t>r1BMs</t>
  </si>
  <si>
    <t>IPR</t>
  </si>
  <si>
    <t>IPDM</t>
  </si>
  <si>
    <t>IPDL</t>
  </si>
  <si>
    <t>IPRL</t>
  </si>
  <si>
    <t>IPC</t>
  </si>
  <si>
    <t>IPCDM</t>
  </si>
  <si>
    <t>IPCDL</t>
  </si>
  <si>
    <t>IPCL</t>
  </si>
  <si>
    <t>r1F</t>
  </si>
  <si>
    <t>r1Fv</t>
  </si>
  <si>
    <t>r1Fm</t>
  </si>
  <si>
    <t>r1Fp</t>
  </si>
  <si>
    <t>r1Fi</t>
  </si>
  <si>
    <t>r1Fs</t>
  </si>
  <si>
    <t>MnIPR</t>
  </si>
  <si>
    <t>MnIPC</t>
  </si>
  <si>
    <t>r2</t>
  </si>
  <si>
    <t>r2R</t>
  </si>
  <si>
    <t>r2A</t>
  </si>
  <si>
    <t>r2Av</t>
  </si>
  <si>
    <t>r2Am</t>
  </si>
  <si>
    <t>r2Co</t>
  </si>
  <si>
    <t>r2Cov</t>
  </si>
  <si>
    <t>r2Com</t>
  </si>
  <si>
    <t>r2Cop</t>
  </si>
  <si>
    <t>r2DC</t>
  </si>
  <si>
    <t>r2Coi</t>
  </si>
  <si>
    <t>r2Cos</t>
  </si>
  <si>
    <t>r2AVC</t>
  </si>
  <si>
    <t>r2Ve</t>
  </si>
  <si>
    <t>r2Vev</t>
  </si>
  <si>
    <t>r2Vem</t>
  </si>
  <si>
    <t>r2Vep</t>
  </si>
  <si>
    <t>r2Y</t>
  </si>
  <si>
    <t>r2Vei</t>
  </si>
  <si>
    <t>r2SuVe</t>
  </si>
  <si>
    <t>r2Ves</t>
  </si>
  <si>
    <t>r2Tr</t>
  </si>
  <si>
    <t>r2Trv</t>
  </si>
  <si>
    <t>r2Trm</t>
  </si>
  <si>
    <t>r2Trp</t>
  </si>
  <si>
    <t>r2Tri</t>
  </si>
  <si>
    <t>r2-5Tr</t>
  </si>
  <si>
    <t>r2DPCRt</t>
  </si>
  <si>
    <t>r2Trs</t>
  </si>
  <si>
    <t>r2Pr5</t>
  </si>
  <si>
    <t>r2Lim</t>
  </si>
  <si>
    <t>r2Limv</t>
  </si>
  <si>
    <t>r2Limm</t>
  </si>
  <si>
    <t>r2Limp</t>
  </si>
  <si>
    <t>r2LimCG</t>
  </si>
  <si>
    <t>r2Limi</t>
  </si>
  <si>
    <t>r2VPCRt</t>
  </si>
  <si>
    <t>r2Lims</t>
  </si>
  <si>
    <t>r2-5M</t>
  </si>
  <si>
    <t>5Te</t>
  </si>
  <si>
    <t>5Ma</t>
  </si>
  <si>
    <t>5Pt</t>
  </si>
  <si>
    <t>5TT</t>
  </si>
  <si>
    <t>A7</t>
  </si>
  <si>
    <t>r2B</t>
  </si>
  <si>
    <t>r2Bv</t>
  </si>
  <si>
    <t>r2Bm</t>
  </si>
  <si>
    <t>r2BL</t>
  </si>
  <si>
    <t>r2BLv</t>
  </si>
  <si>
    <t>r2BLm</t>
  </si>
  <si>
    <t>r2BLp</t>
  </si>
  <si>
    <t>r2BLIZ</t>
  </si>
  <si>
    <t>r2BLi</t>
  </si>
  <si>
    <t>r2SubC</t>
  </si>
  <si>
    <t>r2BLRt</t>
  </si>
  <si>
    <t>r2BLs</t>
  </si>
  <si>
    <t>r2VLL</t>
  </si>
  <si>
    <t>r2MPL</t>
  </si>
  <si>
    <t>r2LPL</t>
  </si>
  <si>
    <t>B9</t>
  </si>
  <si>
    <t>r2BI</t>
  </si>
  <si>
    <t>r2BIv</t>
  </si>
  <si>
    <t>r2BIm</t>
  </si>
  <si>
    <t>r2BIp</t>
  </si>
  <si>
    <t>r2BICG</t>
  </si>
  <si>
    <t>r2CGB</t>
  </si>
  <si>
    <t>r2CGA</t>
  </si>
  <si>
    <t>r2BIIZ</t>
  </si>
  <si>
    <t>r2BIi</t>
  </si>
  <si>
    <t>DMTg</t>
  </si>
  <si>
    <t>r2BIRt</t>
  </si>
  <si>
    <t>r2PMnR</t>
  </si>
  <si>
    <t>r2BIs</t>
  </si>
  <si>
    <t>r2LPn</t>
  </si>
  <si>
    <t>r2BM</t>
  </si>
  <si>
    <t>r2BMv</t>
  </si>
  <si>
    <t>r2BMm</t>
  </si>
  <si>
    <t>r2BMp</t>
  </si>
  <si>
    <t>PDTg</t>
  </si>
  <si>
    <t>Inc</t>
  </si>
  <si>
    <t>r2BMi</t>
  </si>
  <si>
    <t>r2BMRt</t>
  </si>
  <si>
    <t>r2PPnR</t>
  </si>
  <si>
    <t>r2MnR</t>
  </si>
  <si>
    <t>r2BMs</t>
  </si>
  <si>
    <t>RMTg</t>
  </si>
  <si>
    <t>r2F</t>
  </si>
  <si>
    <t>r2Fv</t>
  </si>
  <si>
    <t>r2Fm</t>
  </si>
  <si>
    <t>r2Fp</t>
  </si>
  <si>
    <t>r2Fi</t>
  </si>
  <si>
    <t>r2Fs</t>
  </si>
  <si>
    <t>PH</t>
  </si>
  <si>
    <t>r3</t>
  </si>
  <si>
    <t>r3R</t>
  </si>
  <si>
    <t>r3A</t>
  </si>
  <si>
    <t>r3Av</t>
  </si>
  <si>
    <t>r3Am</t>
  </si>
  <si>
    <t>r3Co</t>
  </si>
  <si>
    <t>r3Cov</t>
  </si>
  <si>
    <t>r3Com</t>
  </si>
  <si>
    <t>r3Cop</t>
  </si>
  <si>
    <t>r3DC</t>
  </si>
  <si>
    <t>r3Coi</t>
  </si>
  <si>
    <t>r3Cos</t>
  </si>
  <si>
    <t>r3AVC</t>
  </si>
  <si>
    <t>r3Ve</t>
  </si>
  <si>
    <t>r3Vev</t>
  </si>
  <si>
    <t>r3Vem</t>
  </si>
  <si>
    <t>r3Vep</t>
  </si>
  <si>
    <t>r3MVePC</t>
  </si>
  <si>
    <t>r3Vei</t>
  </si>
  <si>
    <t>r3MVeMC</t>
  </si>
  <si>
    <t>r3Ves</t>
  </si>
  <si>
    <t>r3LVe</t>
  </si>
  <si>
    <t>r3Tr</t>
  </si>
  <si>
    <t>r3Trv</t>
  </si>
  <si>
    <t>r3Trm</t>
  </si>
  <si>
    <t>r3Trp</t>
  </si>
  <si>
    <t>r3Tri</t>
  </si>
  <si>
    <t>r3-5Tr</t>
  </si>
  <si>
    <t>r3DPCRt</t>
  </si>
  <si>
    <t>r3Trs</t>
  </si>
  <si>
    <t>r3Sp5O</t>
  </si>
  <si>
    <t>r3Lim</t>
  </si>
  <si>
    <t>r3Limv</t>
  </si>
  <si>
    <t>r3Limm</t>
  </si>
  <si>
    <t>r3Limp</t>
  </si>
  <si>
    <t>r3LimCG</t>
  </si>
  <si>
    <t>r3Limi</t>
  </si>
  <si>
    <t>r3VPCRt</t>
  </si>
  <si>
    <t>r3Lims</t>
  </si>
  <si>
    <t>r3-5M</t>
  </si>
  <si>
    <t>5ADi</t>
  </si>
  <si>
    <t>r3B</t>
  </si>
  <si>
    <t>r3Bv</t>
  </si>
  <si>
    <t>r3Bm</t>
  </si>
  <si>
    <t>r3BL</t>
  </si>
  <si>
    <t>r3BLv</t>
  </si>
  <si>
    <t>r3BLm</t>
  </si>
  <si>
    <t>r3BLp</t>
  </si>
  <si>
    <t>r3BLIZ</t>
  </si>
  <si>
    <t>r3BLCG</t>
  </si>
  <si>
    <t>r3BLi</t>
  </si>
  <si>
    <t>r3BLRt</t>
  </si>
  <si>
    <t>r3BLs</t>
  </si>
  <si>
    <t>r3VLL</t>
  </si>
  <si>
    <t>r3MPL</t>
  </si>
  <si>
    <t>r3LPL</t>
  </si>
  <si>
    <t>r3BI</t>
  </si>
  <si>
    <t>r3BIv</t>
  </si>
  <si>
    <t>r3BIm</t>
  </si>
  <si>
    <t>r3BIp</t>
  </si>
  <si>
    <t>r3CGA</t>
  </si>
  <si>
    <t>r3CGB</t>
  </si>
  <si>
    <t>r3BIIZ</t>
  </si>
  <si>
    <t>r3BIi</t>
  </si>
  <si>
    <t>r3BIRt</t>
  </si>
  <si>
    <t>r3BIs</t>
  </si>
  <si>
    <t>r3LPn</t>
  </si>
  <si>
    <t>r3BM</t>
  </si>
  <si>
    <t>r3BMv</t>
  </si>
  <si>
    <t>r3BMm</t>
  </si>
  <si>
    <t>r3BMp</t>
  </si>
  <si>
    <t>r3Pre6CG</t>
  </si>
  <si>
    <t>r3BMi</t>
  </si>
  <si>
    <t>r3PnR</t>
  </si>
  <si>
    <t>r3RtTgS</t>
  </si>
  <si>
    <t>r3RtTgC</t>
  </si>
  <si>
    <t>r3BMRt</t>
  </si>
  <si>
    <t>r3BMs</t>
  </si>
  <si>
    <t>r3MPn</t>
  </si>
  <si>
    <t>r3F</t>
  </si>
  <si>
    <t>r3Fv</t>
  </si>
  <si>
    <t>r3Fm</t>
  </si>
  <si>
    <t>r3Fp</t>
  </si>
  <si>
    <t>r3Fi</t>
  </si>
  <si>
    <t>r3Fs</t>
  </si>
  <si>
    <t>r4</t>
  </si>
  <si>
    <t>r4R</t>
  </si>
  <si>
    <t>r4A</t>
  </si>
  <si>
    <t>r4Av</t>
  </si>
  <si>
    <t>r4Am</t>
  </si>
  <si>
    <t>r4Co</t>
  </si>
  <si>
    <t>r4Cov</t>
  </si>
  <si>
    <t>r4Com</t>
  </si>
  <si>
    <t>r4Cop</t>
  </si>
  <si>
    <t>r4DC</t>
  </si>
  <si>
    <t>r4Coi</t>
  </si>
  <si>
    <t>r4Cos</t>
  </si>
  <si>
    <t>r4PVC</t>
  </si>
  <si>
    <t>r4Ve</t>
  </si>
  <si>
    <t>r4Vev</t>
  </si>
  <si>
    <t>r4Vem</t>
  </si>
  <si>
    <t>r4Vep</t>
  </si>
  <si>
    <t>r4MVePC</t>
  </si>
  <si>
    <t>r4Vei</t>
  </si>
  <si>
    <t>r4MVeMC</t>
  </si>
  <si>
    <t>r4Ves</t>
  </si>
  <si>
    <t>r4LVe</t>
  </si>
  <si>
    <t>r4Tr</t>
  </si>
  <si>
    <t>r4Trv</t>
  </si>
  <si>
    <t>r4Trm</t>
  </si>
  <si>
    <t>r4Trp</t>
  </si>
  <si>
    <t>r4Tri</t>
  </si>
  <si>
    <t>r4-5Tr</t>
  </si>
  <si>
    <t>r4DPCRt</t>
  </si>
  <si>
    <t>r4Trs</t>
  </si>
  <si>
    <t>r4Sp5O</t>
  </si>
  <si>
    <t>r4Lim</t>
  </si>
  <si>
    <t>r4Limv</t>
  </si>
  <si>
    <t>r4Limm</t>
  </si>
  <si>
    <t>r4Limp</t>
  </si>
  <si>
    <t>r4LimCG</t>
  </si>
  <si>
    <t>r4Limi</t>
  </si>
  <si>
    <t>r4VPCRt</t>
  </si>
  <si>
    <t>r4Lims</t>
  </si>
  <si>
    <t>r4A5</t>
  </si>
  <si>
    <t>r4B</t>
  </si>
  <si>
    <t>r4Bv</t>
  </si>
  <si>
    <t>r4Bm</t>
  </si>
  <si>
    <t>r4BL</t>
  </si>
  <si>
    <t>r4BLv</t>
  </si>
  <si>
    <t>r4BLm</t>
  </si>
  <si>
    <t>r4BLp</t>
  </si>
  <si>
    <t>r4BLIZ</t>
  </si>
  <si>
    <t>r4BLi</t>
  </si>
  <si>
    <t>EVe</t>
  </si>
  <si>
    <t>r4BLRt</t>
  </si>
  <si>
    <t>r4BLs</t>
  </si>
  <si>
    <t>r4VLL</t>
  </si>
  <si>
    <t>r4MPL</t>
  </si>
  <si>
    <t>r4LPL</t>
  </si>
  <si>
    <t>r4BI</t>
  </si>
  <si>
    <t>r4BIv</t>
  </si>
  <si>
    <t>r4BIm</t>
  </si>
  <si>
    <t>r4BIp</t>
  </si>
  <si>
    <t>r4BIIZ</t>
  </si>
  <si>
    <t>r4CGA</t>
  </si>
  <si>
    <t>r4CGB</t>
  </si>
  <si>
    <t>r4BIi</t>
  </si>
  <si>
    <t>r4BIRt</t>
  </si>
  <si>
    <t>r4BIs</t>
  </si>
  <si>
    <t>r4LPn</t>
  </si>
  <si>
    <t>r4BM</t>
  </si>
  <si>
    <t>r4BMv</t>
  </si>
  <si>
    <t>r4BMm</t>
  </si>
  <si>
    <t>r4BMp</t>
  </si>
  <si>
    <t>r4Pre6CG</t>
  </si>
  <si>
    <t>r4BMi</t>
  </si>
  <si>
    <t>r4RtTgS</t>
  </si>
  <si>
    <t>r4RtTgC</t>
  </si>
  <si>
    <t>r4BMRt</t>
  </si>
  <si>
    <t>r4PnR</t>
  </si>
  <si>
    <t>r4BMs</t>
  </si>
  <si>
    <t>r4MPn</t>
  </si>
  <si>
    <t>r4F</t>
  </si>
  <si>
    <t>r4Fv</t>
  </si>
  <si>
    <t>r4Fm</t>
  </si>
  <si>
    <t>r4Fp</t>
  </si>
  <si>
    <t>r4Fi</t>
  </si>
  <si>
    <t>r4Fs</t>
  </si>
  <si>
    <t>PMH</t>
  </si>
  <si>
    <t>r5</t>
  </si>
  <si>
    <t>r5R</t>
  </si>
  <si>
    <t>r5A</t>
  </si>
  <si>
    <t>r5Av</t>
  </si>
  <si>
    <t>r5Am</t>
  </si>
  <si>
    <t>r5Co</t>
  </si>
  <si>
    <t>r5Cov</t>
  </si>
  <si>
    <t>r5Com</t>
  </si>
  <si>
    <t>r5Cop</t>
  </si>
  <si>
    <t>r5DC</t>
  </si>
  <si>
    <t>r5Coi</t>
  </si>
  <si>
    <t>r5Cos</t>
  </si>
  <si>
    <t>r5PVC</t>
  </si>
  <si>
    <t>r5Ve</t>
  </si>
  <si>
    <t>r5Vev</t>
  </si>
  <si>
    <t>r5Vem</t>
  </si>
  <si>
    <t>r5Vep</t>
  </si>
  <si>
    <t>r5MVePC</t>
  </si>
  <si>
    <t>r5Vei</t>
  </si>
  <si>
    <t>r5MVeMC</t>
  </si>
  <si>
    <t>r5Ves</t>
  </si>
  <si>
    <t>r5SpVe</t>
  </si>
  <si>
    <t>r5Tr</t>
  </si>
  <si>
    <t>r5Trv</t>
  </si>
  <si>
    <t>r5Trm</t>
  </si>
  <si>
    <t>r5Trp</t>
  </si>
  <si>
    <t>r5Sol</t>
  </si>
  <si>
    <t>r5Tri</t>
  </si>
  <si>
    <t>r5-5Tr</t>
  </si>
  <si>
    <t>r5DPCRt</t>
  </si>
  <si>
    <t>r5Trs</t>
  </si>
  <si>
    <t>r5Sp5O</t>
  </si>
  <si>
    <t>r5Lim</t>
  </si>
  <si>
    <t>r5Limv</t>
  </si>
  <si>
    <t>r5Limm</t>
  </si>
  <si>
    <t>r5Limp</t>
  </si>
  <si>
    <t>r5LimCG</t>
  </si>
  <si>
    <t>r5Limi</t>
  </si>
  <si>
    <t>r5VPCRt</t>
  </si>
  <si>
    <t>SS</t>
  </si>
  <si>
    <t>r5Lims</t>
  </si>
  <si>
    <t>r5A5</t>
  </si>
  <si>
    <t>CAT</t>
  </si>
  <si>
    <t>r5B</t>
  </si>
  <si>
    <t>r5Bv</t>
  </si>
  <si>
    <t>r5Bm</t>
  </si>
  <si>
    <t>r5BL</t>
  </si>
  <si>
    <t>r5BLv</t>
  </si>
  <si>
    <t>r5BLm</t>
  </si>
  <si>
    <t>r5BLp</t>
  </si>
  <si>
    <t>r5BLIZ</t>
  </si>
  <si>
    <t>r5BLi</t>
  </si>
  <si>
    <t>SGe</t>
  </si>
  <si>
    <t>r5BLRt</t>
  </si>
  <si>
    <t>r5BLs</t>
  </si>
  <si>
    <t>r5VLL</t>
  </si>
  <si>
    <t>DPeO</t>
  </si>
  <si>
    <t>LSO</t>
  </si>
  <si>
    <t>MSO</t>
  </si>
  <si>
    <t>RPeO</t>
  </si>
  <si>
    <t>SPeO</t>
  </si>
  <si>
    <t>VLPeO</t>
  </si>
  <si>
    <t>r5BI</t>
  </si>
  <si>
    <t>r5BIv</t>
  </si>
  <si>
    <t>r5BIm</t>
  </si>
  <si>
    <t>r5BIp</t>
  </si>
  <si>
    <t>r5BIIZ</t>
  </si>
  <si>
    <t>r5BIi</t>
  </si>
  <si>
    <t>r5BIRt</t>
  </si>
  <si>
    <t>r5BIs</t>
  </si>
  <si>
    <t>LTz</t>
  </si>
  <si>
    <t>r5BM</t>
  </si>
  <si>
    <t>r5BMv</t>
  </si>
  <si>
    <t>r5BMm</t>
  </si>
  <si>
    <t>r5BMp</t>
  </si>
  <si>
    <t>6M</t>
  </si>
  <si>
    <t>r5BMi</t>
  </si>
  <si>
    <t>Pa6</t>
  </si>
  <si>
    <t>RPnRt</t>
  </si>
  <si>
    <t>r5BMRt</t>
  </si>
  <si>
    <t>r5RM</t>
  </si>
  <si>
    <t>RIP</t>
  </si>
  <si>
    <t>r5BMs</t>
  </si>
  <si>
    <t>MTz</t>
  </si>
  <si>
    <t>VMPeO</t>
  </si>
  <si>
    <t>r5F</t>
  </si>
  <si>
    <t>r5Fv</t>
  </si>
  <si>
    <t>r5Fm</t>
  </si>
  <si>
    <t>r5Fp</t>
  </si>
  <si>
    <t>r5Fi</t>
  </si>
  <si>
    <t>r5Fs</t>
  </si>
  <si>
    <t>r6</t>
  </si>
  <si>
    <t>r6R</t>
  </si>
  <si>
    <t>r6A</t>
  </si>
  <si>
    <t>r6Av</t>
  </si>
  <si>
    <t>r6Am</t>
  </si>
  <si>
    <t>r6Co</t>
  </si>
  <si>
    <t>r6Cov</t>
  </si>
  <si>
    <t>r6Com</t>
  </si>
  <si>
    <t>r6Cop</t>
  </si>
  <si>
    <t>r6DC</t>
  </si>
  <si>
    <t>r6Coi</t>
  </si>
  <si>
    <t>r6Cos</t>
  </si>
  <si>
    <t>r6PVC</t>
  </si>
  <si>
    <t>r6Ve</t>
  </si>
  <si>
    <t>r6Vev</t>
  </si>
  <si>
    <t>r6Vem</t>
  </si>
  <si>
    <t>r6Vep</t>
  </si>
  <si>
    <t>r6MVePC</t>
  </si>
  <si>
    <t>r6Vei</t>
  </si>
  <si>
    <t>r6MVeMC</t>
  </si>
  <si>
    <t>r6Ves</t>
  </si>
  <si>
    <t>r6SpVe</t>
  </si>
  <si>
    <t>r6Tr</t>
  </si>
  <si>
    <t>r6Trv</t>
  </si>
  <si>
    <t>r6Trm</t>
  </si>
  <si>
    <t>r6Trp</t>
  </si>
  <si>
    <t>r6Sol</t>
  </si>
  <si>
    <t>r6Tri</t>
  </si>
  <si>
    <t>r6-5Tr</t>
  </si>
  <si>
    <t>r6DPCRt</t>
  </si>
  <si>
    <t>r6Trs</t>
  </si>
  <si>
    <t>r6Sp5O</t>
  </si>
  <si>
    <t>r6Lim</t>
  </si>
  <si>
    <t>r6Limv</t>
  </si>
  <si>
    <t>r6Limm</t>
  </si>
  <si>
    <t>r6Limp</t>
  </si>
  <si>
    <t>r6LimCG</t>
  </si>
  <si>
    <t>r6Limi</t>
  </si>
  <si>
    <t>r6VPCRt</t>
  </si>
  <si>
    <t>IS</t>
  </si>
  <si>
    <t>r6Lims</t>
  </si>
  <si>
    <t>7M</t>
  </si>
  <si>
    <t>r6B</t>
  </si>
  <si>
    <t>r6Bv</t>
  </si>
  <si>
    <t>r6Bm</t>
  </si>
  <si>
    <t>r6BL</t>
  </si>
  <si>
    <t>r6BLv</t>
  </si>
  <si>
    <t>r6BLm</t>
  </si>
  <si>
    <t>r6BLp</t>
  </si>
  <si>
    <t>r6BLIZ</t>
  </si>
  <si>
    <t>r6BLi</t>
  </si>
  <si>
    <t>r6BLRt</t>
  </si>
  <si>
    <t>r6BLs</t>
  </si>
  <si>
    <t>RTZ</t>
  </si>
  <si>
    <t>r6BI</t>
  </si>
  <si>
    <t>r6BIv</t>
  </si>
  <si>
    <t>r6BIm</t>
  </si>
  <si>
    <t>r6BIp</t>
  </si>
  <si>
    <t>r6BIIZ</t>
  </si>
  <si>
    <t>r6BIi</t>
  </si>
  <si>
    <t>r6BIRt</t>
  </si>
  <si>
    <t>r6BIs</t>
  </si>
  <si>
    <t>r6PGi</t>
  </si>
  <si>
    <t>r6RVM</t>
  </si>
  <si>
    <t>r6BM</t>
  </si>
  <si>
    <t>r6BMv</t>
  </si>
  <si>
    <t>r6BMm</t>
  </si>
  <si>
    <t>r6BMp</t>
  </si>
  <si>
    <t>r6Pr</t>
  </si>
  <si>
    <t>r6BMi</t>
  </si>
  <si>
    <t>r6BMRt</t>
  </si>
  <si>
    <t>r6RM</t>
  </si>
  <si>
    <t>r6Gi</t>
  </si>
  <si>
    <t>r6GiV</t>
  </si>
  <si>
    <t>r6BMs</t>
  </si>
  <si>
    <t>r6-RP</t>
  </si>
  <si>
    <t>r6PPy</t>
  </si>
  <si>
    <t>r6F</t>
  </si>
  <si>
    <t>r6Fv</t>
  </si>
  <si>
    <t>r6Fm</t>
  </si>
  <si>
    <t>r6Fp</t>
  </si>
  <si>
    <t>r6Fi</t>
  </si>
  <si>
    <t>r6Fs</t>
  </si>
  <si>
    <t>MH</t>
  </si>
  <si>
    <t>r7</t>
  </si>
  <si>
    <t>r7R</t>
  </si>
  <si>
    <t>r7A</t>
  </si>
  <si>
    <t>r7Av</t>
  </si>
  <si>
    <t>r7Am</t>
  </si>
  <si>
    <t>r7Co</t>
  </si>
  <si>
    <t>r7Cov</t>
  </si>
  <si>
    <t>r7Com</t>
  </si>
  <si>
    <t>r7Cop</t>
  </si>
  <si>
    <t>r7DC</t>
  </si>
  <si>
    <t>r7Coi</t>
  </si>
  <si>
    <t>r7Cos</t>
  </si>
  <si>
    <t>r7PVC</t>
  </si>
  <si>
    <t>r7Ve</t>
  </si>
  <si>
    <t>r7Vev</t>
  </si>
  <si>
    <t>r7Vem</t>
  </si>
  <si>
    <t>r7Vep</t>
  </si>
  <si>
    <t>r7MVePC</t>
  </si>
  <si>
    <t>r7Vei</t>
  </si>
  <si>
    <t>r7Ves</t>
  </si>
  <si>
    <t>r7SpVe</t>
  </si>
  <si>
    <t>r7Tr</t>
  </si>
  <si>
    <t>r7Trv</t>
  </si>
  <si>
    <t>r7Trm</t>
  </si>
  <si>
    <t>r7Trp</t>
  </si>
  <si>
    <t>r7Sol</t>
  </si>
  <si>
    <t>r7Tri</t>
  </si>
  <si>
    <t>r7-5Tr</t>
  </si>
  <si>
    <t>r7DPCRt</t>
  </si>
  <si>
    <t>r7Trs</t>
  </si>
  <si>
    <t>r7Sp5I</t>
  </si>
  <si>
    <t>r7Lim</t>
  </si>
  <si>
    <t>r7Limv</t>
  </si>
  <si>
    <t>r7Limm</t>
  </si>
  <si>
    <t>r7Limp</t>
  </si>
  <si>
    <t>r7LimCG</t>
  </si>
  <si>
    <t>r7-10M</t>
  </si>
  <si>
    <t>r7Limi</t>
  </si>
  <si>
    <t>r7VPCRt</t>
  </si>
  <si>
    <t>r7Lims</t>
  </si>
  <si>
    <t>r7Amb</t>
  </si>
  <si>
    <t>r7B</t>
  </si>
  <si>
    <t>r7Bv</t>
  </si>
  <si>
    <t>r7Bm</t>
  </si>
  <si>
    <t>r7BL</t>
  </si>
  <si>
    <t>r7BLv</t>
  </si>
  <si>
    <t>r7BLm</t>
  </si>
  <si>
    <t>r7BLp</t>
  </si>
  <si>
    <t>r7BLIZ</t>
  </si>
  <si>
    <t>r7BLi</t>
  </si>
  <si>
    <t>r7BLRt</t>
  </si>
  <si>
    <t>r7BLs</t>
  </si>
  <si>
    <t>RVL</t>
  </si>
  <si>
    <t>r7BI</t>
  </si>
  <si>
    <t>r7BIv</t>
  </si>
  <si>
    <t>r7BIm</t>
  </si>
  <si>
    <t>r7BIp</t>
  </si>
  <si>
    <t>r7BIIZ</t>
  </si>
  <si>
    <t>r7BIi</t>
  </si>
  <si>
    <t>r7BIRt</t>
  </si>
  <si>
    <t>r7BIs</t>
  </si>
  <si>
    <t>r7PGi</t>
  </si>
  <si>
    <t>r7RVM</t>
  </si>
  <si>
    <t>r7BM</t>
  </si>
  <si>
    <t>r7BMv</t>
  </si>
  <si>
    <t>r7BMm</t>
  </si>
  <si>
    <t>r7BMp</t>
  </si>
  <si>
    <t>r7Pr</t>
  </si>
  <si>
    <t>r7-12M</t>
  </si>
  <si>
    <t>r7Ro</t>
  </si>
  <si>
    <t>r7BMi</t>
  </si>
  <si>
    <t>r7-RO</t>
  </si>
  <si>
    <t>r7BMRt</t>
  </si>
  <si>
    <t>r7Gi</t>
  </si>
  <si>
    <t>r7GiV</t>
  </si>
  <si>
    <t>r7BMs</t>
  </si>
  <si>
    <t>r7-RP</t>
  </si>
  <si>
    <t>r7PPy</t>
  </si>
  <si>
    <t>r7F</t>
  </si>
  <si>
    <t>r7Fv</t>
  </si>
  <si>
    <t>r7Fm</t>
  </si>
  <si>
    <t>r7Fp</t>
  </si>
  <si>
    <t>r7Fi</t>
  </si>
  <si>
    <t>r7Fs</t>
  </si>
  <si>
    <t>r8</t>
  </si>
  <si>
    <t>r8R</t>
  </si>
  <si>
    <t>r8A</t>
  </si>
  <si>
    <t>r8Av</t>
  </si>
  <si>
    <t>r8Am</t>
  </si>
  <si>
    <t>r8Ve</t>
  </si>
  <si>
    <t>r8Vev</t>
  </si>
  <si>
    <t>r8Vem</t>
  </si>
  <si>
    <t>r8Vep</t>
  </si>
  <si>
    <t>r8MVePC</t>
  </si>
  <si>
    <t>r8Vei</t>
  </si>
  <si>
    <t>r8SpVe</t>
  </si>
  <si>
    <t>r8Ves</t>
  </si>
  <si>
    <t>r8Tr</t>
  </si>
  <si>
    <t>r8Trv</t>
  </si>
  <si>
    <t>r8Trm</t>
  </si>
  <si>
    <t>r8Trp</t>
  </si>
  <si>
    <t>r8Sol</t>
  </si>
  <si>
    <t>r8Tri</t>
  </si>
  <si>
    <t>r8-5Tr</t>
  </si>
  <si>
    <t>r8DPCRt</t>
  </si>
  <si>
    <t>r8Trs</t>
  </si>
  <si>
    <t>r8Sp5I</t>
  </si>
  <si>
    <t>r8Lim</t>
  </si>
  <si>
    <t>r8Limv</t>
  </si>
  <si>
    <t>r8Limm</t>
  </si>
  <si>
    <t>r8Limp</t>
  </si>
  <si>
    <t>r8-10M</t>
  </si>
  <si>
    <t>r8LimCG</t>
  </si>
  <si>
    <t>r8Limi</t>
  </si>
  <si>
    <t>r8VPCRt</t>
  </si>
  <si>
    <t>r8Lims</t>
  </si>
  <si>
    <t>r8Amb</t>
  </si>
  <si>
    <t>r8B</t>
  </si>
  <si>
    <t>r8Bv</t>
  </si>
  <si>
    <t>r8Bm</t>
  </si>
  <si>
    <t>r8BL</t>
  </si>
  <si>
    <t>r8BLv</t>
  </si>
  <si>
    <t>r8BLm</t>
  </si>
  <si>
    <t>r8BLp</t>
  </si>
  <si>
    <t>r8-BLIZ</t>
  </si>
  <si>
    <t>r8BLi</t>
  </si>
  <si>
    <t>r8BLRt</t>
  </si>
  <si>
    <t>r8BLs</t>
  </si>
  <si>
    <t>r8LRt</t>
  </si>
  <si>
    <t>r8LRtPC</t>
  </si>
  <si>
    <t>r8Li</t>
  </si>
  <si>
    <t>r8BI</t>
  </si>
  <si>
    <t>r8BIv</t>
  </si>
  <si>
    <t>r8BIm</t>
  </si>
  <si>
    <t>r8BIp</t>
  </si>
  <si>
    <t>r8BIIZ</t>
  </si>
  <si>
    <t>r8IS</t>
  </si>
  <si>
    <t>r8BIi</t>
  </si>
  <si>
    <t>r8BIRt</t>
  </si>
  <si>
    <t>r8BIs</t>
  </si>
  <si>
    <t>r8RVM</t>
  </si>
  <si>
    <t>r8PGi</t>
  </si>
  <si>
    <t>r8BM</t>
  </si>
  <si>
    <t>r8BMv</t>
  </si>
  <si>
    <t>r8BMm</t>
  </si>
  <si>
    <t>r8BMp</t>
  </si>
  <si>
    <t>r8Pr</t>
  </si>
  <si>
    <t>r8-12M</t>
  </si>
  <si>
    <t>r8Ro</t>
  </si>
  <si>
    <t>r8BMi</t>
  </si>
  <si>
    <t>r8-RO</t>
  </si>
  <si>
    <t>r8BMRt</t>
  </si>
  <si>
    <t>r8Gi</t>
  </si>
  <si>
    <t>r8GiV</t>
  </si>
  <si>
    <t>r8BMs</t>
  </si>
  <si>
    <t>r8-RP</t>
  </si>
  <si>
    <t>r8-IO</t>
  </si>
  <si>
    <t>r8F</t>
  </si>
  <si>
    <t>r8Fv</t>
  </si>
  <si>
    <t>r8Fm</t>
  </si>
  <si>
    <t>r8Fp</t>
  </si>
  <si>
    <t>r8Fi</t>
  </si>
  <si>
    <t>r8Fs</t>
  </si>
  <si>
    <t>r9</t>
  </si>
  <si>
    <t>r9R</t>
  </si>
  <si>
    <t>r9A</t>
  </si>
  <si>
    <t>r9Av</t>
  </si>
  <si>
    <t>r9Am</t>
  </si>
  <si>
    <t>r9Ve</t>
  </si>
  <si>
    <t>r9Vev</t>
  </si>
  <si>
    <t>r9Vem</t>
  </si>
  <si>
    <t>r9Vep</t>
  </si>
  <si>
    <t>r9MVePC</t>
  </si>
  <si>
    <t>r9Vei</t>
  </si>
  <si>
    <t>r9SpVe</t>
  </si>
  <si>
    <t>r9Ves</t>
  </si>
  <si>
    <t>r9ECu</t>
  </si>
  <si>
    <t>r9Tr</t>
  </si>
  <si>
    <t>r9Trv</t>
  </si>
  <si>
    <t>r9Trm</t>
  </si>
  <si>
    <t>r9Trp</t>
  </si>
  <si>
    <t>r9Sol</t>
  </si>
  <si>
    <t>r9Tri</t>
  </si>
  <si>
    <t>r9-5Tr</t>
  </si>
  <si>
    <t>r9DPCRt</t>
  </si>
  <si>
    <t>r9Trs</t>
  </si>
  <si>
    <t>r9Sp5I</t>
  </si>
  <si>
    <t>r9Gr</t>
  </si>
  <si>
    <t>r9Cu</t>
  </si>
  <si>
    <t>r9Lim</t>
  </si>
  <si>
    <t>r9Limv</t>
  </si>
  <si>
    <t>r9Limm</t>
  </si>
  <si>
    <t>r9Limp</t>
  </si>
  <si>
    <t>r9-10M</t>
  </si>
  <si>
    <t>r9LimCG</t>
  </si>
  <si>
    <t>r9Limi</t>
  </si>
  <si>
    <t>r9VPCRt</t>
  </si>
  <si>
    <t>r9Lims</t>
  </si>
  <si>
    <t>r9Amb</t>
  </si>
  <si>
    <t>r9B</t>
  </si>
  <si>
    <t>r9Bv</t>
  </si>
  <si>
    <t>r9Bm</t>
  </si>
  <si>
    <t>r9BL</t>
  </si>
  <si>
    <t>r9BLv</t>
  </si>
  <si>
    <t>r9BLm</t>
  </si>
  <si>
    <t>r9BLp</t>
  </si>
  <si>
    <t>r9BLIZ</t>
  </si>
  <si>
    <t>r9BLi</t>
  </si>
  <si>
    <t>r9BLRt</t>
  </si>
  <si>
    <t>r9BLs</t>
  </si>
  <si>
    <t>r9LRt</t>
  </si>
  <si>
    <t>r9LRtPC</t>
  </si>
  <si>
    <t>r9Li</t>
  </si>
  <si>
    <t>r9BI</t>
  </si>
  <si>
    <t>r9BIv</t>
  </si>
  <si>
    <t>r9BIm</t>
  </si>
  <si>
    <t>r9BIp</t>
  </si>
  <si>
    <t>r9BIIZ</t>
  </si>
  <si>
    <t>r9IS</t>
  </si>
  <si>
    <t>r9BIi</t>
  </si>
  <si>
    <t>r9BIRt</t>
  </si>
  <si>
    <t>r9BIs</t>
  </si>
  <si>
    <t>r9PGi</t>
  </si>
  <si>
    <t>r9RVM</t>
  </si>
  <si>
    <t>r9BM</t>
  </si>
  <si>
    <t>r9BMv</t>
  </si>
  <si>
    <t>r9BMm</t>
  </si>
  <si>
    <t>r9BMp</t>
  </si>
  <si>
    <t>r9-12M</t>
  </si>
  <si>
    <t>r9Ro</t>
  </si>
  <si>
    <t>r9BMi</t>
  </si>
  <si>
    <t>r9-RO</t>
  </si>
  <si>
    <t>r9BMRt</t>
  </si>
  <si>
    <t>r9Gi</t>
  </si>
  <si>
    <t>r9GiV</t>
  </si>
  <si>
    <t>r9BMs</t>
  </si>
  <si>
    <t>r9-RP</t>
  </si>
  <si>
    <t>r9-IO</t>
  </si>
  <si>
    <t>r9F</t>
  </si>
  <si>
    <t>r9Fv</t>
  </si>
  <si>
    <t>r9Fm</t>
  </si>
  <si>
    <t>r9Fp</t>
  </si>
  <si>
    <t>r9Fi</t>
  </si>
  <si>
    <t>r9Fs</t>
  </si>
  <si>
    <t>r10</t>
  </si>
  <si>
    <t>r10R</t>
  </si>
  <si>
    <t>r10A</t>
  </si>
  <si>
    <t>r10Av</t>
  </si>
  <si>
    <t>r10Am</t>
  </si>
  <si>
    <t>r10Ve</t>
  </si>
  <si>
    <t>r10Vev</t>
  </si>
  <si>
    <t>r10Vem</t>
  </si>
  <si>
    <t>r10Vep</t>
  </si>
  <si>
    <t>r10MVePC</t>
  </si>
  <si>
    <t>r10Vei</t>
  </si>
  <si>
    <t>r10SpVe</t>
  </si>
  <si>
    <t>r10Ves</t>
  </si>
  <si>
    <t>r10ECu</t>
  </si>
  <si>
    <t>r10Tr</t>
  </si>
  <si>
    <t>r10Trv</t>
  </si>
  <si>
    <t>r10Trm</t>
  </si>
  <si>
    <t>r10Trp</t>
  </si>
  <si>
    <t>r10Sol</t>
  </si>
  <si>
    <t>r10Tri</t>
  </si>
  <si>
    <t>r10-5Tr</t>
  </si>
  <si>
    <t>r10DPCRt</t>
  </si>
  <si>
    <t>r10Trs</t>
  </si>
  <si>
    <t>r10Sp5C</t>
  </si>
  <si>
    <t>r10Gr</t>
  </si>
  <si>
    <t>r10Cu</t>
  </si>
  <si>
    <t>r10Lim</t>
  </si>
  <si>
    <t>r10Limv</t>
  </si>
  <si>
    <t>r10Limm</t>
  </si>
  <si>
    <t>r10Limp</t>
  </si>
  <si>
    <t>r10-10M</t>
  </si>
  <si>
    <t>r10LimCG</t>
  </si>
  <si>
    <t>r10Limi</t>
  </si>
  <si>
    <t>r10VPCRt</t>
  </si>
  <si>
    <t>r10Lims</t>
  </si>
  <si>
    <t>r10Amb</t>
  </si>
  <si>
    <t>r10B</t>
  </si>
  <si>
    <t>r10Bv</t>
  </si>
  <si>
    <t>r10Bm</t>
  </si>
  <si>
    <t>r10BL</t>
  </si>
  <si>
    <t>r10BLv</t>
  </si>
  <si>
    <t>r10BLm</t>
  </si>
  <si>
    <t>r10BLp</t>
  </si>
  <si>
    <t>r10BLIZ</t>
  </si>
  <si>
    <t>r10BLi</t>
  </si>
  <si>
    <t>r10BLRt</t>
  </si>
  <si>
    <t>r10BLs</t>
  </si>
  <si>
    <t>r10BI</t>
  </si>
  <si>
    <t>r10BIv</t>
  </si>
  <si>
    <t>r10BIm</t>
  </si>
  <si>
    <t>r10BIp</t>
  </si>
  <si>
    <t>r10IS</t>
  </si>
  <si>
    <t>r10BIIZ</t>
  </si>
  <si>
    <t>r10BIi</t>
  </si>
  <si>
    <t>r10-11M</t>
  </si>
  <si>
    <t>r10BIRt</t>
  </si>
  <si>
    <t>r10BIs</t>
  </si>
  <si>
    <t>r10BM</t>
  </si>
  <si>
    <t>r10BMv</t>
  </si>
  <si>
    <t>r10BMm</t>
  </si>
  <si>
    <t>r10BMp</t>
  </si>
  <si>
    <t>r10-12M</t>
  </si>
  <si>
    <t>r10Ro</t>
  </si>
  <si>
    <t>r10BMi</t>
  </si>
  <si>
    <t>r10-RO</t>
  </si>
  <si>
    <t>r10BMRt</t>
  </si>
  <si>
    <t>r10Gi</t>
  </si>
  <si>
    <t>r10GiV</t>
  </si>
  <si>
    <t>r10BMs</t>
  </si>
  <si>
    <t>r10-RP</t>
  </si>
  <si>
    <t>r10-IO</t>
  </si>
  <si>
    <t>r10F</t>
  </si>
  <si>
    <t>r10Fv</t>
  </si>
  <si>
    <t>r10Fm</t>
  </si>
  <si>
    <t>r10Fp</t>
  </si>
  <si>
    <t>r10Fi</t>
  </si>
  <si>
    <t>r10Fs</t>
  </si>
  <si>
    <t>r11</t>
  </si>
  <si>
    <t>r11R</t>
  </si>
  <si>
    <t>r11A</t>
  </si>
  <si>
    <t>r11Av</t>
  </si>
  <si>
    <t>r11Am</t>
  </si>
  <si>
    <t>r11Ve</t>
  </si>
  <si>
    <t>r11Vev</t>
  </si>
  <si>
    <t>r11Vem</t>
  </si>
  <si>
    <t>r11Vep</t>
  </si>
  <si>
    <t>r11Vei</t>
  </si>
  <si>
    <t>r11Ves</t>
  </si>
  <si>
    <t>r11ECu</t>
  </si>
  <si>
    <t>r11Tr</t>
  </si>
  <si>
    <t>r11Trv</t>
  </si>
  <si>
    <t>r11Trm</t>
  </si>
  <si>
    <t>r11Trp</t>
  </si>
  <si>
    <t>r11Sol</t>
  </si>
  <si>
    <t>r11Tri</t>
  </si>
  <si>
    <t>r11-5Tr</t>
  </si>
  <si>
    <t>r11DPCRt</t>
  </si>
  <si>
    <t>r11Trs</t>
  </si>
  <si>
    <t>r11Sp5C</t>
  </si>
  <si>
    <t>r11Gr</t>
  </si>
  <si>
    <t>r11Cu</t>
  </si>
  <si>
    <t>r11Lim</t>
  </si>
  <si>
    <t>r11Limv</t>
  </si>
  <si>
    <t>r11Limm</t>
  </si>
  <si>
    <t>r11Limp</t>
  </si>
  <si>
    <t>r11LimCG</t>
  </si>
  <si>
    <t>r11-10M</t>
  </si>
  <si>
    <t>r11Limi</t>
  </si>
  <si>
    <t>r11VPCRt</t>
  </si>
  <si>
    <t>r11-11M</t>
  </si>
  <si>
    <t>r11Lims</t>
  </si>
  <si>
    <t>r11Amb</t>
  </si>
  <si>
    <t>r11B</t>
  </si>
  <si>
    <t>r11Bv</t>
  </si>
  <si>
    <t>r11Bm</t>
  </si>
  <si>
    <t>r11BL</t>
  </si>
  <si>
    <t>r11BLv</t>
  </si>
  <si>
    <t>r11BLm</t>
  </si>
  <si>
    <t>r11BLp</t>
  </si>
  <si>
    <t>r11BLIZ</t>
  </si>
  <si>
    <t>r11BLi</t>
  </si>
  <si>
    <t>r11BLRt</t>
  </si>
  <si>
    <t>r11BLs</t>
  </si>
  <si>
    <t>r11BI</t>
  </si>
  <si>
    <t>r11BIv</t>
  </si>
  <si>
    <t>r11BIm</t>
  </si>
  <si>
    <t>r11BIp</t>
  </si>
  <si>
    <t>r11BIIZ</t>
  </si>
  <si>
    <t>r11-11</t>
  </si>
  <si>
    <t>r11BIi</t>
  </si>
  <si>
    <t>r11BIRt</t>
  </si>
  <si>
    <t>r11BIs</t>
  </si>
  <si>
    <t>r11BM</t>
  </si>
  <si>
    <t>r11BMv</t>
  </si>
  <si>
    <t>r11BMm</t>
  </si>
  <si>
    <t>r11BMp</t>
  </si>
  <si>
    <t>r11Ro</t>
  </si>
  <si>
    <t>r11-12M</t>
  </si>
  <si>
    <t>r11BMi</t>
  </si>
  <si>
    <t>r11-RO</t>
  </si>
  <si>
    <t>r11BMRt</t>
  </si>
  <si>
    <t>r11Gi</t>
  </si>
  <si>
    <t>r11GiV</t>
  </si>
  <si>
    <t>r11BMs</t>
  </si>
  <si>
    <t>r11-RP</t>
  </si>
  <si>
    <t>r11-IO</t>
  </si>
  <si>
    <t>r11F</t>
  </si>
  <si>
    <t>r11Fv</t>
  </si>
  <si>
    <t>r11Fm</t>
  </si>
  <si>
    <t>r11Fp</t>
  </si>
  <si>
    <t>r11Fi</t>
  </si>
  <si>
    <t>r11Fs</t>
  </si>
  <si>
    <t>SpC</t>
  </si>
  <si>
    <t>SpR</t>
  </si>
  <si>
    <t>SpA</t>
  </si>
  <si>
    <t>SpAv</t>
  </si>
  <si>
    <t>SpAm</t>
  </si>
  <si>
    <t>SpAM</t>
  </si>
  <si>
    <t>SpAMv</t>
  </si>
  <si>
    <t>SpAMm</t>
  </si>
  <si>
    <t>SpAMp</t>
  </si>
  <si>
    <t>AM10Sp</t>
  </si>
  <si>
    <t>SpAMi</t>
  </si>
  <si>
    <t>4SpCC</t>
  </si>
  <si>
    <t>IB</t>
  </si>
  <si>
    <t>Dth</t>
  </si>
  <si>
    <t>LuDCom</t>
  </si>
  <si>
    <t>SDCom</t>
  </si>
  <si>
    <t>SpAMs</t>
  </si>
  <si>
    <t>SpAL</t>
  </si>
  <si>
    <t>SpALv</t>
  </si>
  <si>
    <t>AL10Sp</t>
  </si>
  <si>
    <t>SpALm</t>
  </si>
  <si>
    <t>SpALp</t>
  </si>
  <si>
    <t>SpALi</t>
  </si>
  <si>
    <t>3Sp</t>
  </si>
  <si>
    <t>4SpL</t>
  </si>
  <si>
    <t>SpALs</t>
  </si>
  <si>
    <t>1Sp</t>
  </si>
  <si>
    <t>2Sp</t>
  </si>
  <si>
    <t>SpAV</t>
  </si>
  <si>
    <t>SpAVv</t>
  </si>
  <si>
    <t>SpAVm</t>
  </si>
  <si>
    <t>SpAVp</t>
  </si>
  <si>
    <t>AV10Sp</t>
  </si>
  <si>
    <t>SpAVi</t>
  </si>
  <si>
    <t>5Sp</t>
  </si>
  <si>
    <t>5SpM</t>
  </si>
  <si>
    <t>5SpL</t>
  </si>
  <si>
    <t>6Sp</t>
  </si>
  <si>
    <t>6SpM</t>
  </si>
  <si>
    <t>6SpL</t>
  </si>
  <si>
    <t>SpAVs</t>
  </si>
  <si>
    <t>LSpin</t>
  </si>
  <si>
    <t>LatC</t>
  </si>
  <si>
    <t>SpB</t>
  </si>
  <si>
    <t>SpBv</t>
  </si>
  <si>
    <t>SpBm</t>
  </si>
  <si>
    <t>SpBL</t>
  </si>
  <si>
    <t>SpBLv</t>
  </si>
  <si>
    <t>SpBLm</t>
  </si>
  <si>
    <t>SpBLp</t>
  </si>
  <si>
    <t>BL10Sp</t>
  </si>
  <si>
    <t>SpBLi</t>
  </si>
  <si>
    <t>7Sp</t>
  </si>
  <si>
    <t>LPrCb</t>
  </si>
  <si>
    <t>SPrCb</t>
  </si>
  <si>
    <t>CeCv</t>
  </si>
  <si>
    <t>VHLI</t>
  </si>
  <si>
    <t>TSyP</t>
  </si>
  <si>
    <t>IMM</t>
  </si>
  <si>
    <t>IML</t>
  </si>
  <si>
    <t>LDCom</t>
  </si>
  <si>
    <t>SPSy</t>
  </si>
  <si>
    <t>SpBLs</t>
  </si>
  <si>
    <t>SpBI</t>
  </si>
  <si>
    <t>SpBIv</t>
  </si>
  <si>
    <t>SpBIm</t>
  </si>
  <si>
    <t>SpBIp</t>
  </si>
  <si>
    <t>BI10Sp</t>
  </si>
  <si>
    <t>SpBIi</t>
  </si>
  <si>
    <t>9Sp</t>
  </si>
  <si>
    <t>MC</t>
  </si>
  <si>
    <t>MMC</t>
  </si>
  <si>
    <t>LMC</t>
  </si>
  <si>
    <t>CMC</t>
  </si>
  <si>
    <t>Onuf</t>
  </si>
  <si>
    <t>OnufM</t>
  </si>
  <si>
    <t>OnufL</t>
  </si>
  <si>
    <t>SpBIs</t>
  </si>
  <si>
    <t>SpBM</t>
  </si>
  <si>
    <t>SpBMv</t>
  </si>
  <si>
    <t>SpBMm</t>
  </si>
  <si>
    <t>SpBMp</t>
  </si>
  <si>
    <t>BM10Sp</t>
  </si>
  <si>
    <t>SpBMi</t>
  </si>
  <si>
    <t>8Sp</t>
  </si>
  <si>
    <t>VHMI</t>
  </si>
  <si>
    <t>SpBMs</t>
  </si>
  <si>
    <t>SpF</t>
  </si>
  <si>
    <t>SpFv</t>
  </si>
  <si>
    <t>SpFm</t>
  </si>
  <si>
    <t>SpFp</t>
  </si>
  <si>
    <t>SpFi</t>
  </si>
  <si>
    <t>SpFs</t>
  </si>
  <si>
    <t>tracts</t>
  </si>
  <si>
    <t>landmark tracts</t>
  </si>
  <si>
    <t>3n</t>
  </si>
  <si>
    <t>4n</t>
  </si>
  <si>
    <t>4d</t>
  </si>
  <si>
    <t>trochlear decussation (at isthmic roofplate)</t>
  </si>
  <si>
    <t>5n</t>
  </si>
  <si>
    <t>5mes</t>
  </si>
  <si>
    <t>mesencephalic trigeminal tract (across m1, m2 and prepontine hindbrain)</t>
  </si>
  <si>
    <t>6n</t>
  </si>
  <si>
    <t>7n</t>
  </si>
  <si>
    <t>7na</t>
  </si>
  <si>
    <t>ascending course of facial nerve (r6)</t>
  </si>
  <si>
    <t>7ne</t>
  </si>
  <si>
    <t>efferent course of facial nerve (r4)</t>
  </si>
  <si>
    <t>7ng</t>
  </si>
  <si>
    <t>genu of facial nerve (r5)</t>
  </si>
  <si>
    <t>8n</t>
  </si>
  <si>
    <t>9n</t>
  </si>
  <si>
    <t>10n</t>
  </si>
  <si>
    <t>11n</t>
  </si>
  <si>
    <t>12n</t>
  </si>
  <si>
    <t>ac</t>
  </si>
  <si>
    <t>alvCA</t>
  </si>
  <si>
    <t>alveus layer of CA</t>
  </si>
  <si>
    <t>alvS</t>
  </si>
  <si>
    <t>alveus layer of S</t>
  </si>
  <si>
    <t>asc5</t>
  </si>
  <si>
    <t>ascending trigeminal tract</t>
  </si>
  <si>
    <t>bic</t>
  </si>
  <si>
    <t>cbc</t>
  </si>
  <si>
    <t>cc</t>
  </si>
  <si>
    <t>corpus callosum (neocortical commissure)</t>
  </si>
  <si>
    <t>csp</t>
  </si>
  <si>
    <t>d5th</t>
  </si>
  <si>
    <t>decussation of trigeminothalamic tract</t>
  </si>
  <si>
    <t>db</t>
  </si>
  <si>
    <t>diagonal band tract</t>
  </si>
  <si>
    <t>dc</t>
  </si>
  <si>
    <t>dpy</t>
  </si>
  <si>
    <t>dsc</t>
  </si>
  <si>
    <t>dscp</t>
  </si>
  <si>
    <t>decussation of scp</t>
  </si>
  <si>
    <t>dsoc</t>
  </si>
  <si>
    <t>dorsal (alar) supraoptic commissure</t>
  </si>
  <si>
    <t>dtg</t>
  </si>
  <si>
    <t>dorsal tegmental decussation (m1)</t>
  </si>
  <si>
    <t>ec</t>
  </si>
  <si>
    <t>fi</t>
  </si>
  <si>
    <t>fx</t>
  </si>
  <si>
    <t>hbc</t>
  </si>
  <si>
    <t>hc</t>
  </si>
  <si>
    <t>ic</t>
  </si>
  <si>
    <t>icc</t>
  </si>
  <si>
    <t>intercollicular commissure</t>
  </si>
  <si>
    <t>icp</t>
  </si>
  <si>
    <t>lot</t>
  </si>
  <si>
    <t>ll</t>
  </si>
  <si>
    <t>mcp</t>
  </si>
  <si>
    <t>middle (pontine) cerebellar peduncle</t>
  </si>
  <si>
    <t>ml</t>
  </si>
  <si>
    <t>dml</t>
  </si>
  <si>
    <t>mlf</t>
  </si>
  <si>
    <t>medial longitudinal fascicle (tract)</t>
  </si>
  <si>
    <t>mot</t>
  </si>
  <si>
    <t>mped</t>
  </si>
  <si>
    <t>mtg</t>
  </si>
  <si>
    <t>mth</t>
  </si>
  <si>
    <t>och</t>
  </si>
  <si>
    <t>on</t>
  </si>
  <si>
    <t>optic nerve (fascicle)</t>
  </si>
  <si>
    <t>opt</t>
  </si>
  <si>
    <t>p</t>
  </si>
  <si>
    <t>pons (pontine decussation of middle cerebellar peduncle)</t>
  </si>
  <si>
    <t>pc</t>
  </si>
  <si>
    <t>ped</t>
  </si>
  <si>
    <t>peduncle</t>
  </si>
  <si>
    <t>py</t>
  </si>
  <si>
    <t>pyramid (bulbar bulge of the corticospinal tract)</t>
  </si>
  <si>
    <t>rf</t>
  </si>
  <si>
    <t>rmc</t>
  </si>
  <si>
    <t>retromammillary commissure</t>
  </si>
  <si>
    <t>rs</t>
  </si>
  <si>
    <t>scp</t>
  </si>
  <si>
    <t>sm</t>
  </si>
  <si>
    <t>soc</t>
  </si>
  <si>
    <t>supraoptic commissure</t>
  </si>
  <si>
    <t>sol</t>
  </si>
  <si>
    <t>sp5</t>
  </si>
  <si>
    <t>st</t>
  </si>
  <si>
    <t>stria terminalis tract</t>
  </si>
  <si>
    <t>tc</t>
  </si>
  <si>
    <t>tectal commissure</t>
  </si>
  <si>
    <t>tgc</t>
  </si>
  <si>
    <t>tectal gray commissure</t>
  </si>
  <si>
    <t>thcx</t>
  </si>
  <si>
    <t>thalamocortical tract</t>
  </si>
  <si>
    <t>tsp</t>
  </si>
  <si>
    <t>tz</t>
  </si>
  <si>
    <t>trapezoid body (tract and decussation)</t>
  </si>
  <si>
    <t>un</t>
  </si>
  <si>
    <t>uncinate fascicle</t>
  </si>
  <si>
    <t>vsc</t>
  </si>
  <si>
    <t>vsoc</t>
  </si>
  <si>
    <t>ventral (basal) supraoptic commissure</t>
  </si>
  <si>
    <t>vtg</t>
  </si>
  <si>
    <t>zli</t>
  </si>
  <si>
    <t>zona limitans interthalamica (external medullary lamina)</t>
  </si>
  <si>
    <t>ventricles, neural plate</t>
  </si>
  <si>
    <t>v_F</t>
  </si>
  <si>
    <t>v_SP</t>
  </si>
  <si>
    <t>v_RSP</t>
  </si>
  <si>
    <t>v_POTel</t>
  </si>
  <si>
    <t>v_POR</t>
  </si>
  <si>
    <t>v_POA</t>
  </si>
  <si>
    <t>v_THy</t>
  </si>
  <si>
    <t>v_THyA</t>
  </si>
  <si>
    <t>v_THyB</t>
  </si>
  <si>
    <t>v_THyF</t>
  </si>
  <si>
    <t>v_CSP</t>
  </si>
  <si>
    <t>v_Tel</t>
  </si>
  <si>
    <t>v_TelR</t>
  </si>
  <si>
    <t>v_TelA</t>
  </si>
  <si>
    <t>v_PHy</t>
  </si>
  <si>
    <t>v_PHyA</t>
  </si>
  <si>
    <t>v_PHyB</t>
  </si>
  <si>
    <t>v_PHyF</t>
  </si>
  <si>
    <t>v_D</t>
  </si>
  <si>
    <t>v_p3</t>
  </si>
  <si>
    <t>v_PTh</t>
  </si>
  <si>
    <t>v_p3R</t>
  </si>
  <si>
    <t>v_p3A</t>
  </si>
  <si>
    <t>v_PThTg</t>
  </si>
  <si>
    <t>v_p3B</t>
  </si>
  <si>
    <t>v_p3F</t>
  </si>
  <si>
    <t>v_p2</t>
  </si>
  <si>
    <t>v_Th</t>
  </si>
  <si>
    <t>v_p2R</t>
  </si>
  <si>
    <t>v_p2A</t>
  </si>
  <si>
    <t>v_ThTg</t>
  </si>
  <si>
    <t>v_p2B</t>
  </si>
  <si>
    <t>v_p2F</t>
  </si>
  <si>
    <t>v_p1</t>
  </si>
  <si>
    <t>v_Pt</t>
  </si>
  <si>
    <t>v_p1R</t>
  </si>
  <si>
    <t>v_p1A</t>
  </si>
  <si>
    <t>v_PtTg</t>
  </si>
  <si>
    <t>v_p1B</t>
  </si>
  <si>
    <t>v_p1F</t>
  </si>
  <si>
    <t>v_M</t>
  </si>
  <si>
    <t>v_m1</t>
  </si>
  <si>
    <t>v_MTt</t>
  </si>
  <si>
    <t>v_m1R</t>
  </si>
  <si>
    <t>v_m1A</t>
  </si>
  <si>
    <t>v_MTg</t>
  </si>
  <si>
    <t>v_m1B</t>
  </si>
  <si>
    <t>v_m1F</t>
  </si>
  <si>
    <t>v_m2</t>
  </si>
  <si>
    <t>v_PIsTt</t>
  </si>
  <si>
    <t>v_m2R</t>
  </si>
  <si>
    <t>v_m2A</t>
  </si>
  <si>
    <t>v_PIsTg</t>
  </si>
  <si>
    <t>v_m2B</t>
  </si>
  <si>
    <t>v_m2F</t>
  </si>
  <si>
    <t>v_H</t>
  </si>
  <si>
    <t>v_PPH</t>
  </si>
  <si>
    <t>v_is</t>
  </si>
  <si>
    <t>v_isR</t>
  </si>
  <si>
    <t>v_isA</t>
  </si>
  <si>
    <t>v_isB</t>
  </si>
  <si>
    <t>v_isF</t>
  </si>
  <si>
    <t>v_r1</t>
  </si>
  <si>
    <t>v_r1R</t>
  </si>
  <si>
    <t>v_r1A</t>
  </si>
  <si>
    <t>v_r1B</t>
  </si>
  <si>
    <t>v_r1F</t>
  </si>
  <si>
    <t>v_r2</t>
  </si>
  <si>
    <t>v_r2R</t>
  </si>
  <si>
    <t>v_r2A</t>
  </si>
  <si>
    <t>v_r2B</t>
  </si>
  <si>
    <t>v_r2F</t>
  </si>
  <si>
    <t>v_PH</t>
  </si>
  <si>
    <t>v_r3</t>
  </si>
  <si>
    <t>v_r3R</t>
  </si>
  <si>
    <t>v_r3A</t>
  </si>
  <si>
    <t>v_r3B</t>
  </si>
  <si>
    <t>v_r3F</t>
  </si>
  <si>
    <t>v_r4</t>
  </si>
  <si>
    <t>v_r4R</t>
  </si>
  <si>
    <t>v_r4A</t>
  </si>
  <si>
    <t>v_r4B</t>
  </si>
  <si>
    <t>v_r4F</t>
  </si>
  <si>
    <t>v_PMH</t>
  </si>
  <si>
    <t>v_r5</t>
  </si>
  <si>
    <t>v_r5R</t>
  </si>
  <si>
    <t>v_r5A</t>
  </si>
  <si>
    <t>v_r5B</t>
  </si>
  <si>
    <t>v_r5F</t>
  </si>
  <si>
    <t>v_r6</t>
  </si>
  <si>
    <t>v_r6R</t>
  </si>
  <si>
    <t>v_r6A</t>
  </si>
  <si>
    <t>v_r6B</t>
  </si>
  <si>
    <t>v_r6F</t>
  </si>
  <si>
    <t>v_MH</t>
  </si>
  <si>
    <t>v_r7</t>
  </si>
  <si>
    <t>v_r7R</t>
  </si>
  <si>
    <t>v_r7A</t>
  </si>
  <si>
    <t>v_r7B</t>
  </si>
  <si>
    <t>v_r7F</t>
  </si>
  <si>
    <t>v_r8</t>
  </si>
  <si>
    <t>v_r8R</t>
  </si>
  <si>
    <t>v_r8A</t>
  </si>
  <si>
    <t>v_r8B</t>
  </si>
  <si>
    <t>v_r8F</t>
  </si>
  <si>
    <t>v_r9</t>
  </si>
  <si>
    <t>v_r9R</t>
  </si>
  <si>
    <t>v_r9A</t>
  </si>
  <si>
    <t>v_r9B</t>
  </si>
  <si>
    <t>v_r9F</t>
  </si>
  <si>
    <t>v_r10</t>
  </si>
  <si>
    <t>v_r10R</t>
  </si>
  <si>
    <t>v_r10A</t>
  </si>
  <si>
    <t>v_r10B</t>
  </si>
  <si>
    <t>v_r10F</t>
  </si>
  <si>
    <t>v_r11</t>
  </si>
  <si>
    <t>v_r11R</t>
  </si>
  <si>
    <t>v_r11A</t>
  </si>
  <si>
    <t>v_r11B</t>
  </si>
  <si>
    <t>v_r11F</t>
  </si>
  <si>
    <t>v_SpC</t>
  </si>
  <si>
    <t>v_SpR</t>
  </si>
  <si>
    <t>v_SpA</t>
  </si>
  <si>
    <t>v_SpB</t>
  </si>
  <si>
    <t>v_SpF</t>
  </si>
  <si>
    <t>grey</t>
  </si>
  <si>
    <t>Basic cell groups and regions</t>
  </si>
  <si>
    <t>CH</t>
  </si>
  <si>
    <t>Cerebrum</t>
  </si>
  <si>
    <t>CTX</t>
  </si>
  <si>
    <t>Cerebral cortex</t>
  </si>
  <si>
    <t>CTXpl</t>
  </si>
  <si>
    <t>Cortical plate</t>
  </si>
  <si>
    <t>Isocortex</t>
  </si>
  <si>
    <t>FRP</t>
  </si>
  <si>
    <t>Frontal pole, cerebral cortex</t>
  </si>
  <si>
    <t>FRP1</t>
  </si>
  <si>
    <t>Frontal pole, layer 1</t>
  </si>
  <si>
    <t>FRP2/3</t>
  </si>
  <si>
    <t>Frontal pole, layer 2/3</t>
  </si>
  <si>
    <t>FRP5</t>
  </si>
  <si>
    <t>Frontal pole, layer 5</t>
  </si>
  <si>
    <t>FRP6a</t>
  </si>
  <si>
    <t>Frontal pole, layer 6a</t>
  </si>
  <si>
    <t>FRP6b</t>
  </si>
  <si>
    <t>Frontal pole, layer 6b</t>
  </si>
  <si>
    <t>MO</t>
  </si>
  <si>
    <t>Somatomotor areas</t>
  </si>
  <si>
    <t>MO1</t>
  </si>
  <si>
    <t>Somatomotor areas, Layer 1</t>
  </si>
  <si>
    <t>MO2/3</t>
  </si>
  <si>
    <t>Somatomotor areas, Layer 2/3</t>
  </si>
  <si>
    <t>MO5</t>
  </si>
  <si>
    <t>Somatomotor areas, Layer 5</t>
  </si>
  <si>
    <t>MO6a</t>
  </si>
  <si>
    <t>Somatomotor areas, Layer 6a</t>
  </si>
  <si>
    <t>MO6b</t>
  </si>
  <si>
    <t>Somatomotor areas, Layer 6b</t>
  </si>
  <si>
    <t>MOp</t>
  </si>
  <si>
    <t>Primary motor area</t>
  </si>
  <si>
    <t>MOp1</t>
  </si>
  <si>
    <t>Primary motor area, Layer 1</t>
  </si>
  <si>
    <t>MOp2/3</t>
  </si>
  <si>
    <t>Primary motor area, Layer 2/3</t>
  </si>
  <si>
    <t>MOp5</t>
  </si>
  <si>
    <t>Primary motor area, Layer 5</t>
  </si>
  <si>
    <t>MOp6a</t>
  </si>
  <si>
    <t>Primary motor area, Layer 6a</t>
  </si>
  <si>
    <t>MOp6b</t>
  </si>
  <si>
    <t>Primary motor area, Layer 6b</t>
  </si>
  <si>
    <t>MOs</t>
  </si>
  <si>
    <t>Secondary motor area</t>
  </si>
  <si>
    <t>MOs1</t>
  </si>
  <si>
    <t>Secondary motor area, layer 1</t>
  </si>
  <si>
    <t>MOs2/3</t>
  </si>
  <si>
    <t>Secondary motor area, layer 2/3</t>
  </si>
  <si>
    <t>MOs5</t>
  </si>
  <si>
    <t>Secondary motor area, layer 5</t>
  </si>
  <si>
    <t>MOs6a</t>
  </si>
  <si>
    <t>Secondary motor area, layer 6a</t>
  </si>
  <si>
    <t>MOs6b</t>
  </si>
  <si>
    <t>Secondary motor area, layer 6b</t>
  </si>
  <si>
    <t>Somatosensory areas</t>
  </si>
  <si>
    <t>SS1</t>
  </si>
  <si>
    <t>Somatosensory areas, layer 1</t>
  </si>
  <si>
    <t>SS2/3</t>
  </si>
  <si>
    <t>Somatosensory areas, layer 2/3</t>
  </si>
  <si>
    <t>SS4</t>
  </si>
  <si>
    <t>Somatosensory areas, layer 4</t>
  </si>
  <si>
    <t>SS5</t>
  </si>
  <si>
    <t>Somatosensory areas, layer 5</t>
  </si>
  <si>
    <t>SS6a</t>
  </si>
  <si>
    <t>Somatosensory areas, layer 6a</t>
  </si>
  <si>
    <t>SS6b</t>
  </si>
  <si>
    <t>Somatosensory areas, layer 6b</t>
  </si>
  <si>
    <t>SSp</t>
  </si>
  <si>
    <t>Primary somatosensory area</t>
  </si>
  <si>
    <t>SSp1</t>
  </si>
  <si>
    <t>Primary somatosensory area, layer 1</t>
  </si>
  <si>
    <t>SSp2/3</t>
  </si>
  <si>
    <t>Primary somatosensory area, layer 2/3</t>
  </si>
  <si>
    <t>SSp4</t>
  </si>
  <si>
    <t>Primary somatosensory area, layer 4</t>
  </si>
  <si>
    <t>SSp5</t>
  </si>
  <si>
    <t>Primary somatosensory area, layer 5</t>
  </si>
  <si>
    <t>SSp6a</t>
  </si>
  <si>
    <t>Primary somatosensory area, layer 6a</t>
  </si>
  <si>
    <t>SSp6b</t>
  </si>
  <si>
    <t>Primary somatosensory area, layer 6b</t>
  </si>
  <si>
    <t>SSp-n</t>
  </si>
  <si>
    <t>Primary somatosensory area, nose</t>
  </si>
  <si>
    <t>SSp-n1</t>
  </si>
  <si>
    <t>Primary somatosensory area, nose, layer 1</t>
  </si>
  <si>
    <t>SSp-n2/3</t>
  </si>
  <si>
    <t>Primary somatosensory area, nose, layer 2/3</t>
  </si>
  <si>
    <t>SSp-n4</t>
  </si>
  <si>
    <t>Primary somatosensory area, nose, layer 4</t>
  </si>
  <si>
    <t>SSp-n5</t>
  </si>
  <si>
    <t>Primary somatosensory area, nose, layer 5</t>
  </si>
  <si>
    <t>SSp-n6a</t>
  </si>
  <si>
    <t>Primary somatosensory area, nose, layer 6a</t>
  </si>
  <si>
    <t>SSp-n6b</t>
  </si>
  <si>
    <t>Primary somatosensory area, nose, layer 6b</t>
  </si>
  <si>
    <t>SSp-bfd</t>
  </si>
  <si>
    <t>Primary somatosensory area, barrel field</t>
  </si>
  <si>
    <t>SSp-bfd1</t>
  </si>
  <si>
    <t>Primary somatosensory area, barrel field, layer 1</t>
  </si>
  <si>
    <t>SSp-bfd2/3</t>
  </si>
  <si>
    <t>Primary somatosensory area, barrel field, layer 2/3</t>
  </si>
  <si>
    <t>SSp-bfd4</t>
  </si>
  <si>
    <t>Primary somatosensory area, barrel field, layer 4</t>
  </si>
  <si>
    <t>SSp-bfd5</t>
  </si>
  <si>
    <t>Primary somatosensory area, barrel field, layer 5</t>
  </si>
  <si>
    <t>SSp-bfd6a</t>
  </si>
  <si>
    <t>Primary somatosensory area, barrel field, layer 6a</t>
  </si>
  <si>
    <t>SSp-bfd6b</t>
  </si>
  <si>
    <t>Primary somatosensory area, barrel field, layer 6b</t>
  </si>
  <si>
    <t>VISrll</t>
  </si>
  <si>
    <t>Rostrolateral lateral visual area</t>
  </si>
  <si>
    <t>VISrll1</t>
  </si>
  <si>
    <t>Rostrolateral lateral visual area, layer 1</t>
  </si>
  <si>
    <t>VISrll2/3</t>
  </si>
  <si>
    <t>Rostrolateral lateral visual area, layer 2/3</t>
  </si>
  <si>
    <t>VISrll4</t>
  </si>
  <si>
    <t>Rostrolateral lateral visual area, layer 4</t>
  </si>
  <si>
    <t>VISrll5</t>
  </si>
  <si>
    <t>Rostrolateral lateral visual area,layer 5</t>
  </si>
  <si>
    <t>VISrll6a</t>
  </si>
  <si>
    <t>Rostrolateral lateral visual area, layer 6a</t>
  </si>
  <si>
    <t>VISrll6b</t>
  </si>
  <si>
    <t>Rostrolateral lateral visual area, layer 6b</t>
  </si>
  <si>
    <t>SSp-ll</t>
  </si>
  <si>
    <t>Primary somatosensory area, lower limb</t>
  </si>
  <si>
    <t>SSp-ll1</t>
  </si>
  <si>
    <t>Primary somatosensory area, lower limb, layer 1</t>
  </si>
  <si>
    <t>SSp-ll2/3</t>
  </si>
  <si>
    <t>Primary somatosensory area, lower limb, layer 2/3</t>
  </si>
  <si>
    <t>SSp-ll4</t>
  </si>
  <si>
    <t>Primary somatosensory area, lower limb, layer 4</t>
  </si>
  <si>
    <t>SSp-ll5</t>
  </si>
  <si>
    <t>Primary somatosensory area, lower limb, layer 5</t>
  </si>
  <si>
    <t>SSp-ll6a</t>
  </si>
  <si>
    <t>Primary somatosensory area, lower limb, layer 6a</t>
  </si>
  <si>
    <t>SSp-ll6b</t>
  </si>
  <si>
    <t>Primary somatosensory area, lower limb, layer 6b</t>
  </si>
  <si>
    <t>SSp-m</t>
  </si>
  <si>
    <t>Primary somatosensory area, mouth</t>
  </si>
  <si>
    <t>SSp-m1</t>
  </si>
  <si>
    <t>Primary somatosensory area, mouth, layer 1</t>
  </si>
  <si>
    <t>SSp-m2/3</t>
  </si>
  <si>
    <t>Primary somatosensory area, mouth, layer 2/3</t>
  </si>
  <si>
    <t>SSp-m4</t>
  </si>
  <si>
    <t>Primary somatosensory area, mouth, layer 4</t>
  </si>
  <si>
    <t>SSp-m5</t>
  </si>
  <si>
    <t>Primary somatosensory area, mouth, layer 5</t>
  </si>
  <si>
    <t>SSp-m6a</t>
  </si>
  <si>
    <t>Primary somatosensory area, mouth, layer 6a</t>
  </si>
  <si>
    <t>SSp-m6b</t>
  </si>
  <si>
    <t>Primary somatosensory area, mouth, layer 6b</t>
  </si>
  <si>
    <t>SSp-ul</t>
  </si>
  <si>
    <t>Primary somatosensory area, upper limb</t>
  </si>
  <si>
    <t>SSp-ul1</t>
  </si>
  <si>
    <t>Primary somatosensory area, upper limb, layer 1</t>
  </si>
  <si>
    <t>SSp-ul2/3</t>
  </si>
  <si>
    <t>Primary somatosensory area, upper limb, layer 2/3</t>
  </si>
  <si>
    <t>SSp-ul4</t>
  </si>
  <si>
    <t>Primary somatosensory area, upper limb, layer 4</t>
  </si>
  <si>
    <t>SSp-ul5</t>
  </si>
  <si>
    <t>Primary somatosensory area, upper limb, layer 5</t>
  </si>
  <si>
    <t>SSp-ul6a</t>
  </si>
  <si>
    <t>Primary somatosensory area, upper limb, layer 6a</t>
  </si>
  <si>
    <t>SSp-ul6b</t>
  </si>
  <si>
    <t>Primary somatosensory area, upper limb, layer 6b</t>
  </si>
  <si>
    <t>SSp-tr</t>
  </si>
  <si>
    <t>Primary somatosensory area, trunk</t>
  </si>
  <si>
    <t>SSp-tr1</t>
  </si>
  <si>
    <t>Primary somatosensory area, trunk, layer 1</t>
  </si>
  <si>
    <t>SSp-tr2/3</t>
  </si>
  <si>
    <t>Primary somatosensory area, trunk, layer 2/3</t>
  </si>
  <si>
    <t>SSp-tr4</t>
  </si>
  <si>
    <t>Primary somatosensory area, trunk, layer 4</t>
  </si>
  <si>
    <t>SSp-tr5</t>
  </si>
  <si>
    <t>Primary somatosensory area, trunk, layer 5</t>
  </si>
  <si>
    <t>SSp-tr6a</t>
  </si>
  <si>
    <t>Primary somatosensory area, trunk, layer 6a</t>
  </si>
  <si>
    <t>SSp-tr6b</t>
  </si>
  <si>
    <t>Primary somatosensory area, trunk, layer 6b</t>
  </si>
  <si>
    <t>SSp-un</t>
  </si>
  <si>
    <t>Primary somatosensory area, unassigned</t>
  </si>
  <si>
    <t>SSp-un1</t>
  </si>
  <si>
    <t>Primary somatosensory area, unassigned, layer 1</t>
  </si>
  <si>
    <t>SSp-un2/3</t>
  </si>
  <si>
    <t>Primary somatosensory area, unassigned, layer 2/3</t>
  </si>
  <si>
    <t>SSp-un4</t>
  </si>
  <si>
    <t>Primary somatosensory area, unassigned, layer 4</t>
  </si>
  <si>
    <t>SSp-un5</t>
  </si>
  <si>
    <t>Primary somatosensory area, unassigned, layer 5</t>
  </si>
  <si>
    <t>SSp-un6a</t>
  </si>
  <si>
    <t>Primary somatosensory area, unassigned, layer 6a</t>
  </si>
  <si>
    <t>SSp-un6b</t>
  </si>
  <si>
    <t>Primary somatosensory area, unassigned, layer 6b</t>
  </si>
  <si>
    <t>SSs</t>
  </si>
  <si>
    <t>Supplemental somatosensory area</t>
  </si>
  <si>
    <t>SSs1</t>
  </si>
  <si>
    <t>Supplemental somatosensory area, layer 1</t>
  </si>
  <si>
    <t>SSs2/3</t>
  </si>
  <si>
    <t>Supplemental somatosensory area, layer 2/3</t>
  </si>
  <si>
    <t>SSs4</t>
  </si>
  <si>
    <t>Supplemental somatosensory area, layer 4</t>
  </si>
  <si>
    <t>SSs5</t>
  </si>
  <si>
    <t>Supplemental somatosensory area, layer 5</t>
  </si>
  <si>
    <t>SSs6a</t>
  </si>
  <si>
    <t>Supplemental somatosensory area, layer 6a</t>
  </si>
  <si>
    <t>SSs6b</t>
  </si>
  <si>
    <t>Supplemental somatosensory area, layer 6b</t>
  </si>
  <si>
    <t>GU</t>
  </si>
  <si>
    <t>Gustatory areas</t>
  </si>
  <si>
    <t>GU1</t>
  </si>
  <si>
    <t>Gustatory areas, layer 1</t>
  </si>
  <si>
    <t>GU2/3</t>
  </si>
  <si>
    <t>Gustatory areas, layer 2/3</t>
  </si>
  <si>
    <t>GU4</t>
  </si>
  <si>
    <t>Gustatory areas, layer 4</t>
  </si>
  <si>
    <t>GU5</t>
  </si>
  <si>
    <t>Gustatory areas, layer 5</t>
  </si>
  <si>
    <t>GU6a</t>
  </si>
  <si>
    <t>Gustatory areas, layer 6a</t>
  </si>
  <si>
    <t>GU6b</t>
  </si>
  <si>
    <t>Gustatory areas, layer 6b</t>
  </si>
  <si>
    <t>VISC</t>
  </si>
  <si>
    <t>Visceral area</t>
  </si>
  <si>
    <t>VISC1</t>
  </si>
  <si>
    <t>Visceral area, layer 1</t>
  </si>
  <si>
    <t>VISC2/3</t>
  </si>
  <si>
    <t>Visceral area, layer 2/3</t>
  </si>
  <si>
    <t>VISC4</t>
  </si>
  <si>
    <t>Visceral area, layer 4</t>
  </si>
  <si>
    <t>VISC5</t>
  </si>
  <si>
    <t>Visceral area, layer 5</t>
  </si>
  <si>
    <t>VISC6a</t>
  </si>
  <si>
    <t>Visceral area, layer 6a</t>
  </si>
  <si>
    <t>VISC6b</t>
  </si>
  <si>
    <t>Visceral area, layer 6b</t>
  </si>
  <si>
    <t>AUD</t>
  </si>
  <si>
    <t>Auditory areas</t>
  </si>
  <si>
    <t>AUDd</t>
  </si>
  <si>
    <t>Dorsal auditory area</t>
  </si>
  <si>
    <t>AUDd1</t>
  </si>
  <si>
    <t>Dorsal auditory area, layer 1</t>
  </si>
  <si>
    <t>AUDd2/3</t>
  </si>
  <si>
    <t>Dorsal auditory area, layer 2/3</t>
  </si>
  <si>
    <t>AUDd4</t>
  </si>
  <si>
    <t>Dorsal auditory area, layer 4</t>
  </si>
  <si>
    <t>AUDd5</t>
  </si>
  <si>
    <t>Dorsal auditory area, layer 5</t>
  </si>
  <si>
    <t>AUDd6a</t>
  </si>
  <si>
    <t>Dorsal auditory area, layer 6a</t>
  </si>
  <si>
    <t>AUDd6b</t>
  </si>
  <si>
    <t>Dorsal auditory area, layer 6b</t>
  </si>
  <si>
    <t>VISlla</t>
  </si>
  <si>
    <t>Laterolateral anterior visual area</t>
  </si>
  <si>
    <t>VISlla1</t>
  </si>
  <si>
    <t>Laterolateral anterior visual area, layer 1</t>
  </si>
  <si>
    <t>VISlla2/3</t>
  </si>
  <si>
    <t>Laterolateral anterior visual area, layer 2/3</t>
  </si>
  <si>
    <t>VISlla4</t>
  </si>
  <si>
    <t>Laterolateral anterior visual area, layer 4</t>
  </si>
  <si>
    <t>VISlla5</t>
  </si>
  <si>
    <t>Laterolateral anterior visual area,layer 5</t>
  </si>
  <si>
    <t>VISlla6a</t>
  </si>
  <si>
    <t>Laterolateral anterior visual area, layer 6a</t>
  </si>
  <si>
    <t>VISlla6b</t>
  </si>
  <si>
    <t>Laterolateral anterior visual area, layer 6b</t>
  </si>
  <si>
    <t>AUDp</t>
  </si>
  <si>
    <t>Primary auditory area</t>
  </si>
  <si>
    <t>AUDp1</t>
  </si>
  <si>
    <t>Primary auditory area, layer 1</t>
  </si>
  <si>
    <t>AUDp2/3</t>
  </si>
  <si>
    <t>Primary auditory area, layer 2/3</t>
  </si>
  <si>
    <t>AUDp4</t>
  </si>
  <si>
    <t>Primary auditory area, layer 4</t>
  </si>
  <si>
    <t>AUDp5</t>
  </si>
  <si>
    <t>Primary auditory area, layer 5</t>
  </si>
  <si>
    <t>AUDp6a</t>
  </si>
  <si>
    <t>Primary auditory area, layer 6a</t>
  </si>
  <si>
    <t>AUDp6b</t>
  </si>
  <si>
    <t>Primary auditory area, layer 6b</t>
  </si>
  <si>
    <t>AUDpo</t>
  </si>
  <si>
    <t>Posterior auditory area</t>
  </si>
  <si>
    <t>AUDpo1</t>
  </si>
  <si>
    <t>Posterior auditory area, layer 1</t>
  </si>
  <si>
    <t>AUDpo2/3</t>
  </si>
  <si>
    <t>Posterior auditory area, layer 2/3</t>
  </si>
  <si>
    <t>AUDpo4</t>
  </si>
  <si>
    <t>Posterior auditory area, layer 4</t>
  </si>
  <si>
    <t>AUDpo5</t>
  </si>
  <si>
    <t>Posterior auditory area, layer 5</t>
  </si>
  <si>
    <t>AUDpo6a</t>
  </si>
  <si>
    <t>Posterior auditory area, layer 6a</t>
  </si>
  <si>
    <t>AUDpo6b</t>
  </si>
  <si>
    <t>Posterior auditory area, layer 6b</t>
  </si>
  <si>
    <t>AUDv</t>
  </si>
  <si>
    <t>Ventral auditory area</t>
  </si>
  <si>
    <t>AUDv1</t>
  </si>
  <si>
    <t>Ventral auditory area, layer 1</t>
  </si>
  <si>
    <t>AUDv2/3</t>
  </si>
  <si>
    <t>Ventral auditory area, layer 2/3</t>
  </si>
  <si>
    <t>AUDv4</t>
  </si>
  <si>
    <t>Ventral auditory area, layer 4</t>
  </si>
  <si>
    <t>AUDv5</t>
  </si>
  <si>
    <t>Ventral auditory area, layer 5</t>
  </si>
  <si>
    <t>AUDv6a</t>
  </si>
  <si>
    <t>Ventral auditory area, layer 6a</t>
  </si>
  <si>
    <t>AUDv6b</t>
  </si>
  <si>
    <t>Ventral auditory area, layer 6b</t>
  </si>
  <si>
    <t>VIS</t>
  </si>
  <si>
    <t>Visual areas</t>
  </si>
  <si>
    <t>VIS1</t>
  </si>
  <si>
    <t>Visual areas, layer 1</t>
  </si>
  <si>
    <t>VIS2/3</t>
  </si>
  <si>
    <t>Visual areas, layer 2/3</t>
  </si>
  <si>
    <t>VIS4</t>
  </si>
  <si>
    <t>Visual areas, layer 4</t>
  </si>
  <si>
    <t>VIS5</t>
  </si>
  <si>
    <t>Visual areas, layer 5</t>
  </si>
  <si>
    <t>VIS6a</t>
  </si>
  <si>
    <t>Visual areas, layer 6a</t>
  </si>
  <si>
    <t>VIS6b</t>
  </si>
  <si>
    <t>Visual areas, layer 6b</t>
  </si>
  <si>
    <t>VISal</t>
  </si>
  <si>
    <t>Anterolateral visual area</t>
  </si>
  <si>
    <t>VISal1</t>
  </si>
  <si>
    <t>Anterolateral visual area, layer 1</t>
  </si>
  <si>
    <t>VISal2/3</t>
  </si>
  <si>
    <t>Anterolateral visual area, layer 2/3</t>
  </si>
  <si>
    <t>VISal4</t>
  </si>
  <si>
    <t>Anterolateral visual area, layer 4</t>
  </si>
  <si>
    <t>VISal5</t>
  </si>
  <si>
    <t>Anterolateral visual area, layer 5</t>
  </si>
  <si>
    <t>VISal6a</t>
  </si>
  <si>
    <t>Anterolateral visual area, layer 6a</t>
  </si>
  <si>
    <t>VISal6b</t>
  </si>
  <si>
    <t>Anterolateral visual area, layer 6b</t>
  </si>
  <si>
    <t>VISam</t>
  </si>
  <si>
    <t>Anteromedial visual area</t>
  </si>
  <si>
    <t>VISam1</t>
  </si>
  <si>
    <t>Anteromedial visual area, layer 1</t>
  </si>
  <si>
    <t>VISam2/3</t>
  </si>
  <si>
    <t>Anteromedial visual area, layer 2/3</t>
  </si>
  <si>
    <t>VISam4</t>
  </si>
  <si>
    <t>Anteromedial visual area, layer 4</t>
  </si>
  <si>
    <t>VISam5</t>
  </si>
  <si>
    <t>Anteromedial visual area, layer 5</t>
  </si>
  <si>
    <t>VISam6a</t>
  </si>
  <si>
    <t>Anteromedial visual area, layer 6a</t>
  </si>
  <si>
    <t>VISam6b</t>
  </si>
  <si>
    <t>Anteromedial visual area, layer 6b</t>
  </si>
  <si>
    <t>VISl</t>
  </si>
  <si>
    <t>Lateral visual area</t>
  </si>
  <si>
    <t>VISl1</t>
  </si>
  <si>
    <t>Lateral visual area, layer 1</t>
  </si>
  <si>
    <t>VISl2/3</t>
  </si>
  <si>
    <t>Lateral visual area, layer 2/3</t>
  </si>
  <si>
    <t>VISl4</t>
  </si>
  <si>
    <t>Lateral visual area, layer 4</t>
  </si>
  <si>
    <t>VISl5</t>
  </si>
  <si>
    <t>Lateral visual area, layer 5</t>
  </si>
  <si>
    <t>VISl6a</t>
  </si>
  <si>
    <t>Lateral visual area, layer 6a</t>
  </si>
  <si>
    <t>VISl6b</t>
  </si>
  <si>
    <t>Lateral visual area, layer 6b</t>
  </si>
  <si>
    <t>VISp</t>
  </si>
  <si>
    <t>Primary visual area</t>
  </si>
  <si>
    <t>VISp1</t>
  </si>
  <si>
    <t>Primary visual area, layer 1</t>
  </si>
  <si>
    <t>VISp2/3</t>
  </si>
  <si>
    <t>Primary visual area, layer 2/3</t>
  </si>
  <si>
    <t>VISp4</t>
  </si>
  <si>
    <t>Primary visual area, layer 4</t>
  </si>
  <si>
    <t>VISp5</t>
  </si>
  <si>
    <t>Primary visual area, layer 5</t>
  </si>
  <si>
    <t>VISp6a</t>
  </si>
  <si>
    <t>Primary visual area, layer 6a</t>
  </si>
  <si>
    <t>VISp6b</t>
  </si>
  <si>
    <t>Primary visual area, layer 6b</t>
  </si>
  <si>
    <t>VISpl</t>
  </si>
  <si>
    <t>Posterolateral visual area</t>
  </si>
  <si>
    <t>VISpl1</t>
  </si>
  <si>
    <t>Posterolateral visual area, layer 1</t>
  </si>
  <si>
    <t>VISpl2/3</t>
  </si>
  <si>
    <t>Posterolateral visual area, layer 2/3</t>
  </si>
  <si>
    <t>VISpl4</t>
  </si>
  <si>
    <t>Posterolateral visual area, layer 4</t>
  </si>
  <si>
    <t>VISpl5</t>
  </si>
  <si>
    <t>Posterolateral visual area, layer 5</t>
  </si>
  <si>
    <t>VISpl6a</t>
  </si>
  <si>
    <t>Posterolateral visual area, layer 6a</t>
  </si>
  <si>
    <t>VISpl6b</t>
  </si>
  <si>
    <t>Posterolateral visual area, layer 6b</t>
  </si>
  <si>
    <t>VISpm</t>
  </si>
  <si>
    <t>VISpm1</t>
  </si>
  <si>
    <t>VISpm2/3</t>
  </si>
  <si>
    <t>VISpm4</t>
  </si>
  <si>
    <t>VISpm5</t>
  </si>
  <si>
    <t>VISpm6a</t>
  </si>
  <si>
    <t>VISpm6b</t>
  </si>
  <si>
    <t>VISli</t>
  </si>
  <si>
    <t>Laterointermediate area</t>
  </si>
  <si>
    <t>VISli1</t>
  </si>
  <si>
    <t>Laterointermediate area, layer 1</t>
  </si>
  <si>
    <t>VISli2/3</t>
  </si>
  <si>
    <t>Laterointermediate area, layer 2/3</t>
  </si>
  <si>
    <t>VISli4</t>
  </si>
  <si>
    <t>Laterointermediate area, layer 4</t>
  </si>
  <si>
    <t>VISli5</t>
  </si>
  <si>
    <t>Laterointermediate area, layer 5</t>
  </si>
  <si>
    <t>VISli6a</t>
  </si>
  <si>
    <t>Laterointermediate area, layer 6a</t>
  </si>
  <si>
    <t>VISli6b</t>
  </si>
  <si>
    <t>Laterointermediate area, layer 6b</t>
  </si>
  <si>
    <t>VISpor</t>
  </si>
  <si>
    <t>Postrhinal area</t>
  </si>
  <si>
    <t>VISpor1</t>
  </si>
  <si>
    <t>Postrhinal area, layer 1</t>
  </si>
  <si>
    <t>VISpor2/3</t>
  </si>
  <si>
    <t>Postrhinal area, layer 2/3</t>
  </si>
  <si>
    <t>VISpor4</t>
  </si>
  <si>
    <t>Postrhinal area, layer 4</t>
  </si>
  <si>
    <t>VISpor5</t>
  </si>
  <si>
    <t>Postrhinal area, layer 5</t>
  </si>
  <si>
    <t>VISpor6a</t>
  </si>
  <si>
    <t>Postrhinal area, layer 6a</t>
  </si>
  <si>
    <t>VISpor6b</t>
  </si>
  <si>
    <t>Postrhinal area, layer 6b</t>
  </si>
  <si>
    <t>ACA</t>
  </si>
  <si>
    <t>Anterior cingulate area</t>
  </si>
  <si>
    <t>ACA1</t>
  </si>
  <si>
    <t>Anterior cingulate area, layer 1</t>
  </si>
  <si>
    <t>ACA2/3</t>
  </si>
  <si>
    <t>Anterior cingulate area, layer 2/3</t>
  </si>
  <si>
    <t>ACA5</t>
  </si>
  <si>
    <t>Anterior cingulate area, layer 5</t>
  </si>
  <si>
    <t>ACA6a</t>
  </si>
  <si>
    <t>Anterior cingulate area, layer 6a</t>
  </si>
  <si>
    <t>ACA6b</t>
  </si>
  <si>
    <t>Anterior cingulate area, layer 6b</t>
  </si>
  <si>
    <t>ACAd</t>
  </si>
  <si>
    <t>Anterior cingulate area, dorsal part</t>
  </si>
  <si>
    <t>ACAd1</t>
  </si>
  <si>
    <t>Anterior cingulate area, dorsal part, layer 1</t>
  </si>
  <si>
    <t>ACAd2/3</t>
  </si>
  <si>
    <t>Anterior cingulate area, dorsal part, layer 2/3</t>
  </si>
  <si>
    <t>ACAd5</t>
  </si>
  <si>
    <t>Anterior cingulate area, dorsal part, layer 5</t>
  </si>
  <si>
    <t>ACAd6a</t>
  </si>
  <si>
    <t>Anterior cingulate area, dorsal part, layer 6a</t>
  </si>
  <si>
    <t>ACAd6b</t>
  </si>
  <si>
    <t>Anterior cingulate area, dorsal part, layer 6b</t>
  </si>
  <si>
    <t>ACAv</t>
  </si>
  <si>
    <t>Anterior cingulate area, ventral part</t>
  </si>
  <si>
    <t>ACAv1</t>
  </si>
  <si>
    <t>Anterior cingulate area, ventral part, layer 1</t>
  </si>
  <si>
    <t>ACAv2/3</t>
  </si>
  <si>
    <t>Anterior cingulate area, ventral part, layer 2/3</t>
  </si>
  <si>
    <t>ACAv5</t>
  </si>
  <si>
    <t>Anterior cingulate area, ventral part, layer 5</t>
  </si>
  <si>
    <t>ACAv6a</t>
  </si>
  <si>
    <t>Anterior cingulate area, ventral part, 6a</t>
  </si>
  <si>
    <t>ACAv6b</t>
  </si>
  <si>
    <t>Anterior cingulate area, ventral part, 6b</t>
  </si>
  <si>
    <t>PL</t>
  </si>
  <si>
    <t>Prelimbic area</t>
  </si>
  <si>
    <t>PL1</t>
  </si>
  <si>
    <t>Prelimbic area, layer 1</t>
  </si>
  <si>
    <t>PL2</t>
  </si>
  <si>
    <t>Prelimbic area, layer 2</t>
  </si>
  <si>
    <t>PL2/3</t>
  </si>
  <si>
    <t>Prelimbic area, layer 2/3</t>
  </si>
  <si>
    <t>PL5</t>
  </si>
  <si>
    <t>Prelimbic area, layer 5</t>
  </si>
  <si>
    <t>PL6a</t>
  </si>
  <si>
    <t>Prelimbic area, layer 6a</t>
  </si>
  <si>
    <t>PL6b</t>
  </si>
  <si>
    <t>Prelimbic area, layer 6b</t>
  </si>
  <si>
    <t>ILA</t>
  </si>
  <si>
    <t>Infralimbic area</t>
  </si>
  <si>
    <t>ILA1</t>
  </si>
  <si>
    <t>Infralimbic area, layer 1</t>
  </si>
  <si>
    <t>ILA2</t>
  </si>
  <si>
    <t>Infralimbic area, layer 2</t>
  </si>
  <si>
    <t>ILA2/3</t>
  </si>
  <si>
    <t>Infralimbic area, layer 2/3</t>
  </si>
  <si>
    <t>ILA5</t>
  </si>
  <si>
    <t>Infralimbic area, layer 5</t>
  </si>
  <si>
    <t>ILA6a</t>
  </si>
  <si>
    <t>Infralimbic area, layer 6a</t>
  </si>
  <si>
    <t>ILA6b</t>
  </si>
  <si>
    <t>Infralimbic area, layer 6b</t>
  </si>
  <si>
    <t>ORB</t>
  </si>
  <si>
    <t>Orbital area</t>
  </si>
  <si>
    <t>ORB1</t>
  </si>
  <si>
    <t>Orbital area, layer 1</t>
  </si>
  <si>
    <t>ORB2/3</t>
  </si>
  <si>
    <t>Orbital area, layer 2/3</t>
  </si>
  <si>
    <t>ORB5</t>
  </si>
  <si>
    <t>Orbital area, layer 5</t>
  </si>
  <si>
    <t>ORB6a</t>
  </si>
  <si>
    <t>Orbital area, layer 6a</t>
  </si>
  <si>
    <t>ORB6b</t>
  </si>
  <si>
    <t>Orbital area, layer 6b</t>
  </si>
  <si>
    <t>ORBl</t>
  </si>
  <si>
    <t>Orbital area, lateral part</t>
  </si>
  <si>
    <t>ORBl1</t>
  </si>
  <si>
    <t>Orbital area, lateral part, layer 1</t>
  </si>
  <si>
    <t>ORBl2/3</t>
  </si>
  <si>
    <t>Orbital area, lateral part, layer 2/3</t>
  </si>
  <si>
    <t>ORBl5</t>
  </si>
  <si>
    <t>Orbital area, lateral part, layer 5</t>
  </si>
  <si>
    <t>ORBl6a</t>
  </si>
  <si>
    <t>Orbital area, lateral part, layer 6a</t>
  </si>
  <si>
    <t>ORBl6b</t>
  </si>
  <si>
    <t>Orbital area, lateral part, layer 6b</t>
  </si>
  <si>
    <t>ORBm</t>
  </si>
  <si>
    <t>Orbital area, medial part</t>
  </si>
  <si>
    <t>ORBm1</t>
  </si>
  <si>
    <t>Orbital area, medial part, layer 1</t>
  </si>
  <si>
    <t>ORBm2</t>
  </si>
  <si>
    <t>Orbital area, medial part, layer 2</t>
  </si>
  <si>
    <t>ORBm2/3</t>
  </si>
  <si>
    <t>Orbital area, medial part, layer 2/3</t>
  </si>
  <si>
    <t>ORBm5</t>
  </si>
  <si>
    <t>Orbital area, medial part, layer 5</t>
  </si>
  <si>
    <t>ORBm6a</t>
  </si>
  <si>
    <t>Orbital area, medial part, layer 6a</t>
  </si>
  <si>
    <t>ORBm6b</t>
  </si>
  <si>
    <t>Orbital area, medial part, layer 6b</t>
  </si>
  <si>
    <t>ORBv</t>
  </si>
  <si>
    <t>Orbital area, ventral part</t>
  </si>
  <si>
    <t>ORBvl</t>
  </si>
  <si>
    <t>Orbital area, ventrolateral part</t>
  </si>
  <si>
    <t>ORBvl1</t>
  </si>
  <si>
    <t>Orbital area, ventrolateral part, layer 1</t>
  </si>
  <si>
    <t>ORBvl2/3</t>
  </si>
  <si>
    <t>Orbital area, ventrolateral part, layer 2/3</t>
  </si>
  <si>
    <t>ORBvl5</t>
  </si>
  <si>
    <t>Orbital area, ventrolateral part, layer 5</t>
  </si>
  <si>
    <t>ORBvl6a</t>
  </si>
  <si>
    <t>Orbital area, ventrolateral part, layer 6a</t>
  </si>
  <si>
    <t>ORBvl6b</t>
  </si>
  <si>
    <t>Orbital area, ventrolateral part, layer 6b</t>
  </si>
  <si>
    <t>AI</t>
  </si>
  <si>
    <t>Agranular insular area</t>
  </si>
  <si>
    <t>AId</t>
  </si>
  <si>
    <t>Agranular insular area, dorsal part</t>
  </si>
  <si>
    <t>AId1</t>
  </si>
  <si>
    <t>Agranular insular area, dorsal part, layer 1</t>
  </si>
  <si>
    <t>AId2/3</t>
  </si>
  <si>
    <t>Agranular insular area, dorsal part, layer 2/3</t>
  </si>
  <si>
    <t>AId5</t>
  </si>
  <si>
    <t>Agranular insular area, dorsal part, layer 5</t>
  </si>
  <si>
    <t>AId6a</t>
  </si>
  <si>
    <t>Agranular insular area, dorsal part, layer 6a</t>
  </si>
  <si>
    <t>AId6b</t>
  </si>
  <si>
    <t>Agranular insular area, dorsal part, layer 6b</t>
  </si>
  <si>
    <t>AIp</t>
  </si>
  <si>
    <t>Agranular insular area, posterior part</t>
  </si>
  <si>
    <t>AIp1</t>
  </si>
  <si>
    <t>Agranular insular area, posterior part, layer 1</t>
  </si>
  <si>
    <t>AIp2/3</t>
  </si>
  <si>
    <t>Agranular insular area, posterior part, layer 2/3</t>
  </si>
  <si>
    <t>AIp5</t>
  </si>
  <si>
    <t>Agranular insular area, posterior part, layer 5</t>
  </si>
  <si>
    <t>AIp6a</t>
  </si>
  <si>
    <t>Agranular insular area, posterior part, layer 6a</t>
  </si>
  <si>
    <t>AIp6b</t>
  </si>
  <si>
    <t>Agranular insular area, posterior part, layer 6b</t>
  </si>
  <si>
    <t>AIv</t>
  </si>
  <si>
    <t>Agranular insular area, ventral part</t>
  </si>
  <si>
    <t>AIv1</t>
  </si>
  <si>
    <t>Agranular insular area, ventral part, layer 1</t>
  </si>
  <si>
    <t>AIv2/3</t>
  </si>
  <si>
    <t>Agranular insular area, ventral part, layer 2/3</t>
  </si>
  <si>
    <t>AIv5</t>
  </si>
  <si>
    <t>Agranular insular area, ventral part, layer 5</t>
  </si>
  <si>
    <t>AIv6a</t>
  </si>
  <si>
    <t>Agranular insular area, ventral part, layer 6a</t>
  </si>
  <si>
    <t>AIv6b</t>
  </si>
  <si>
    <t>Agranular insular area, ventral part, layer 6b</t>
  </si>
  <si>
    <t>Retrosplenial area</t>
  </si>
  <si>
    <t>RSPagl</t>
  </si>
  <si>
    <t>Retrosplenial area, lateral agranular part</t>
  </si>
  <si>
    <t>RSPagl1</t>
  </si>
  <si>
    <t>Retrosplenial area, lateral agranular part, layer 1</t>
  </si>
  <si>
    <t>RSPagl2/3</t>
  </si>
  <si>
    <t>Retrosplenial area, lateral agranular part, layer 2/3</t>
  </si>
  <si>
    <t>RSPagl5</t>
  </si>
  <si>
    <t>Retrosplenial area, lateral agranular part, layer 5</t>
  </si>
  <si>
    <t>RSPagl6a</t>
  </si>
  <si>
    <t>Retrosplenial area, lateral agranular part, layer 6a</t>
  </si>
  <si>
    <t>RSPagl6b</t>
  </si>
  <si>
    <t>Retrosplenial area, lateral agranular part, layer 6b</t>
  </si>
  <si>
    <t>VISmma</t>
  </si>
  <si>
    <t>Mediomedial anterior visual area</t>
  </si>
  <si>
    <t>VISmma1</t>
  </si>
  <si>
    <t>Mediomedial anterior visual area, layer 1</t>
  </si>
  <si>
    <t>VISmma2/3</t>
  </si>
  <si>
    <t>Mediomedial anterior visual area, layer 2/3</t>
  </si>
  <si>
    <t>VISmma4</t>
  </si>
  <si>
    <t>Mediomedial anterior visual area, layer 4</t>
  </si>
  <si>
    <t>VISmma5</t>
  </si>
  <si>
    <t>Mediomedial anterior visual area,layer 5</t>
  </si>
  <si>
    <t>VISmma6a</t>
  </si>
  <si>
    <t>Mediomedial anterior visual area, layer 6a</t>
  </si>
  <si>
    <t>VISmma6b</t>
  </si>
  <si>
    <t>Mediomedial anterior visual area, layer 6b</t>
  </si>
  <si>
    <t>VISmmp</t>
  </si>
  <si>
    <t>Mediomedial posterior visual area</t>
  </si>
  <si>
    <t>VISmmp1</t>
  </si>
  <si>
    <t>Mediomedial posterior visual area, layer 1</t>
  </si>
  <si>
    <t>VISmmp2/3</t>
  </si>
  <si>
    <t>Mediomedial posterior visual area, layer 2/3</t>
  </si>
  <si>
    <t>VISmmp4</t>
  </si>
  <si>
    <t>Mediomedial posterior visual area, layer 4</t>
  </si>
  <si>
    <t>VISmmp5</t>
  </si>
  <si>
    <t>Mediomedial posterior visual area,layer 5</t>
  </si>
  <si>
    <t>VISmmp6a</t>
  </si>
  <si>
    <t>Mediomedial posterior visual area, layer 6a</t>
  </si>
  <si>
    <t>VISmmp6b</t>
  </si>
  <si>
    <t>Mediomedial posterior visual area, layer 6b</t>
  </si>
  <si>
    <t>VISm</t>
  </si>
  <si>
    <t>Medial visual area</t>
  </si>
  <si>
    <t>VISm1</t>
  </si>
  <si>
    <t>Medial visual area, layer 1</t>
  </si>
  <si>
    <t>VISm2/3</t>
  </si>
  <si>
    <t>Medial visual area, layer 2/3</t>
  </si>
  <si>
    <t>VISm4</t>
  </si>
  <si>
    <t>Medial visual area, layer 4</t>
  </si>
  <si>
    <t>VISm5</t>
  </si>
  <si>
    <t>Medial visual area,layer 5</t>
  </si>
  <si>
    <t>VISm6a</t>
  </si>
  <si>
    <t>Medial visual area, layer 6a</t>
  </si>
  <si>
    <t>VISm6b</t>
  </si>
  <si>
    <t>Medial visual area, layer 6b</t>
  </si>
  <si>
    <t>RSPd</t>
  </si>
  <si>
    <t>Retrosplenial area, dorsal part</t>
  </si>
  <si>
    <t>RSPd1</t>
  </si>
  <si>
    <t>Retrosplenial area, dorsal part, layer 1</t>
  </si>
  <si>
    <t>RSPd2/3</t>
  </si>
  <si>
    <t>Retrosplenial area, dorsal part, layer 2/3</t>
  </si>
  <si>
    <t>RSPd4</t>
  </si>
  <si>
    <t>Retrosplenial area, dorsal part, layer 4</t>
  </si>
  <si>
    <t>RSPd5</t>
  </si>
  <si>
    <t>Retrosplenial area, dorsal part, layer 5</t>
  </si>
  <si>
    <t>RSPd6a</t>
  </si>
  <si>
    <t>Retrosplenial area, dorsal part, layer 6a</t>
  </si>
  <si>
    <t>RSPd6b</t>
  </si>
  <si>
    <t>Retrosplenial area, dorsal part, layer 6b</t>
  </si>
  <si>
    <t>RSPv</t>
  </si>
  <si>
    <t>Retrosplenial area, ventral part</t>
  </si>
  <si>
    <t>RSPv1</t>
  </si>
  <si>
    <t>Retrosplenial area, ventral part, layer 1</t>
  </si>
  <si>
    <t>RSPv2</t>
  </si>
  <si>
    <t>Retrosplenial area, ventral part, layer 2</t>
  </si>
  <si>
    <t>RSPv2/3</t>
  </si>
  <si>
    <t>Retrosplenial area, ventral part, layer 2/3</t>
  </si>
  <si>
    <t>RSPv5</t>
  </si>
  <si>
    <t>Retrosplenial area, ventral part, layer 5</t>
  </si>
  <si>
    <t>RSPv6a</t>
  </si>
  <si>
    <t>Retrosplenial area, ventral part, layer 6a</t>
  </si>
  <si>
    <t>RSPv6b</t>
  </si>
  <si>
    <t>Retrosplenial area, ventral part, layer 6b</t>
  </si>
  <si>
    <t>PTLp</t>
  </si>
  <si>
    <t>Posterior parietal association areas</t>
  </si>
  <si>
    <t>PTLp1</t>
  </si>
  <si>
    <t>Posterior parietal association areas, layer 1</t>
  </si>
  <si>
    <t>PTLp2/3</t>
  </si>
  <si>
    <t>Posterior parietal association areas, layer 2/3</t>
  </si>
  <si>
    <t>PTLp4</t>
  </si>
  <si>
    <t>Posterior parietal association areas, layer 4</t>
  </si>
  <si>
    <t>PTLp5</t>
  </si>
  <si>
    <t>Posterior parietal association areas, layer 5</t>
  </si>
  <si>
    <t>PTLp6a</t>
  </si>
  <si>
    <t>Posterior parietal association areas, layer 6a</t>
  </si>
  <si>
    <t>PTLp6b</t>
  </si>
  <si>
    <t>Posterior parietal association areas, layer 6b</t>
  </si>
  <si>
    <t>VISa</t>
  </si>
  <si>
    <t>Anterior area</t>
  </si>
  <si>
    <t>VISa1</t>
  </si>
  <si>
    <t>Anterior area, layer 1</t>
  </si>
  <si>
    <t>VISa2/3</t>
  </si>
  <si>
    <t>Anterior area, layer 2/3</t>
  </si>
  <si>
    <t>VISa4</t>
  </si>
  <si>
    <t>Anterior area, layer 4</t>
  </si>
  <si>
    <t>VISa5</t>
  </si>
  <si>
    <t>Anterior area, layer 5</t>
  </si>
  <si>
    <t>VISa6a</t>
  </si>
  <si>
    <t>Anterior area, layer 6a</t>
  </si>
  <si>
    <t>VISa6b</t>
  </si>
  <si>
    <t>Anterior area, layer 6b</t>
  </si>
  <si>
    <t>VISrl</t>
  </si>
  <si>
    <t>Rostrolateral visual area</t>
  </si>
  <si>
    <t>VISrl1</t>
  </si>
  <si>
    <t>Rostrolateral area, layer 1</t>
  </si>
  <si>
    <t>VISrl2/3</t>
  </si>
  <si>
    <t>Rostrolateral area, layer 2/3</t>
  </si>
  <si>
    <t>VISrl4</t>
  </si>
  <si>
    <t>Rostrolateral area, layer 4</t>
  </si>
  <si>
    <t>VISrl5</t>
  </si>
  <si>
    <t>Rostrolateral area, layer 5</t>
  </si>
  <si>
    <t>VISrl6a</t>
  </si>
  <si>
    <t>Rostrolateral area, layer 6a</t>
  </si>
  <si>
    <t>VISrl6b</t>
  </si>
  <si>
    <t>Rostrolateral area, layer 6b</t>
  </si>
  <si>
    <t>TEa</t>
  </si>
  <si>
    <t>Temporal association areas</t>
  </si>
  <si>
    <t>TEa1</t>
  </si>
  <si>
    <t>Temporal association areas, layer 1</t>
  </si>
  <si>
    <t>TEa2/3</t>
  </si>
  <si>
    <t>Temporal association areas, layer 2/3</t>
  </si>
  <si>
    <t>TEa4</t>
  </si>
  <si>
    <t>Temporal association areas, layer 4</t>
  </si>
  <si>
    <t>TEa5</t>
  </si>
  <si>
    <t>Temporal association areas, layer 5</t>
  </si>
  <si>
    <t>TEa6a</t>
  </si>
  <si>
    <t>Temporal association areas, layer 6a</t>
  </si>
  <si>
    <t>TEa6b</t>
  </si>
  <si>
    <t>Temporal association areas, layer 6b</t>
  </si>
  <si>
    <t>PERI</t>
  </si>
  <si>
    <t>Perirhinal area</t>
  </si>
  <si>
    <t>PERI1</t>
  </si>
  <si>
    <t>Perirhinal area, layer 1</t>
  </si>
  <si>
    <t>PERI2/3</t>
  </si>
  <si>
    <t>Perirhinal area, layer 2/3</t>
  </si>
  <si>
    <t>PERI5</t>
  </si>
  <si>
    <t>Perirhinal area, layer 5</t>
  </si>
  <si>
    <t>PERI6a</t>
  </si>
  <si>
    <t>Perirhinal area, layer 6a</t>
  </si>
  <si>
    <t>PERI6b</t>
  </si>
  <si>
    <t>Perirhinal area, layer 6b</t>
  </si>
  <si>
    <t>ECT</t>
  </si>
  <si>
    <t>Ectorhinal area</t>
  </si>
  <si>
    <t>ECT1</t>
  </si>
  <si>
    <t>Ectorhinal area/Layer 1</t>
  </si>
  <si>
    <t>ECT2/3</t>
  </si>
  <si>
    <t>Ectorhinal area/Layer 2/3</t>
  </si>
  <si>
    <t>ECT5</t>
  </si>
  <si>
    <t>Ectorhinal area/Layer 5</t>
  </si>
  <si>
    <t>ECT6a</t>
  </si>
  <si>
    <t>Ectorhinal area/Layer 6a</t>
  </si>
  <si>
    <t>ECT6b</t>
  </si>
  <si>
    <t>Ectorhinal area/Layer 6b</t>
  </si>
  <si>
    <t>OLF</t>
  </si>
  <si>
    <t>Olfactory areas</t>
  </si>
  <si>
    <t>MOB</t>
  </si>
  <si>
    <t>Main olfactory bulb</t>
  </si>
  <si>
    <t>MOBgl</t>
  </si>
  <si>
    <t>Main olfactory bulb, glomerular layer</t>
  </si>
  <si>
    <t>MOBgr</t>
  </si>
  <si>
    <t>Main olfactory bulb, granule layer</t>
  </si>
  <si>
    <t>MOBipl</t>
  </si>
  <si>
    <t>Main olfactory bulb, inner plexiform layer</t>
  </si>
  <si>
    <t>MOBmi</t>
  </si>
  <si>
    <t>Main olfactory bulb, mitral layer</t>
  </si>
  <si>
    <t>MOBopl</t>
  </si>
  <si>
    <t>Main olfactory bulb, outer plexiform layer</t>
  </si>
  <si>
    <t>Accessory olfactory bulb</t>
  </si>
  <si>
    <t>AOBgl</t>
  </si>
  <si>
    <t>Accessory olfactory bulb, glomerular layer</t>
  </si>
  <si>
    <t>AOBgr</t>
  </si>
  <si>
    <t>Accessory olfactory bulb, granular layer</t>
  </si>
  <si>
    <t>AOBmi</t>
  </si>
  <si>
    <t>Accessory olfactory bulb, mitral layer</t>
  </si>
  <si>
    <t>AON</t>
  </si>
  <si>
    <t>Anterior olfactory nucleus</t>
  </si>
  <si>
    <t>AONd</t>
  </si>
  <si>
    <t>Anterior olfactory nucleus, dorsal part</t>
  </si>
  <si>
    <t>AONe</t>
  </si>
  <si>
    <t>Anterior olfactory nucleus, external part</t>
  </si>
  <si>
    <t>AONl</t>
  </si>
  <si>
    <t>Anterior olfactory nucleus, lateral part</t>
  </si>
  <si>
    <t>AONm</t>
  </si>
  <si>
    <t>Anterior olfactory nucleus, medial part</t>
  </si>
  <si>
    <t>AONpv</t>
  </si>
  <si>
    <t>Anterior olfactory nucleus, posteroventral part</t>
  </si>
  <si>
    <t>AON1</t>
  </si>
  <si>
    <t>Anterior olfactory nucleus, layer 1</t>
  </si>
  <si>
    <t>AON2</t>
  </si>
  <si>
    <t>Anterior olfactory nucleus, layer 2</t>
  </si>
  <si>
    <t>TT</t>
  </si>
  <si>
    <t>Taenia tecta</t>
  </si>
  <si>
    <t>TTd</t>
  </si>
  <si>
    <t>Taenia tecta, dorsal part</t>
  </si>
  <si>
    <t>TTd1-4</t>
  </si>
  <si>
    <t>Taenia tecta, dorsal part, layers 1-4</t>
  </si>
  <si>
    <t>TTd1</t>
  </si>
  <si>
    <t>Taenia tecta, dorsal part, layer 1</t>
  </si>
  <si>
    <t>TTd2</t>
  </si>
  <si>
    <t>Taenia tecta, dorsal part, layer 2</t>
  </si>
  <si>
    <t>TTd3</t>
  </si>
  <si>
    <t>Taenia tecta, dorsal part, layer 3</t>
  </si>
  <si>
    <t>TTd4</t>
  </si>
  <si>
    <t>Taenia tecta, dorsal part, layer 4</t>
  </si>
  <si>
    <t>TTv</t>
  </si>
  <si>
    <t>Taenia tecta, ventral part</t>
  </si>
  <si>
    <t>TTv1-3</t>
  </si>
  <si>
    <t>Taenia tecta, ventral part, layers 1-3</t>
  </si>
  <si>
    <t>TTv1</t>
  </si>
  <si>
    <t>Taenia tecta, ventral part, layer 1</t>
  </si>
  <si>
    <t>TTv2</t>
  </si>
  <si>
    <t>Taenia tecta, ventral part, layer 2</t>
  </si>
  <si>
    <t>TTv3</t>
  </si>
  <si>
    <t>Taenia tecta, ventral part, layer 3</t>
  </si>
  <si>
    <t>DP</t>
  </si>
  <si>
    <t>Dorsal peduncular area</t>
  </si>
  <si>
    <t>DP1</t>
  </si>
  <si>
    <t>Dorsal peduncular area, layer 1</t>
  </si>
  <si>
    <t>DP2</t>
  </si>
  <si>
    <t>Dorsal peduncular area, layer 2</t>
  </si>
  <si>
    <t>DP2/3</t>
  </si>
  <si>
    <t>Dorsal peduncular area, layer 2/3</t>
  </si>
  <si>
    <t>DP5</t>
  </si>
  <si>
    <t>Dorsal peduncular area, layer 5</t>
  </si>
  <si>
    <t>DP6a</t>
  </si>
  <si>
    <t>Dorsal peduncular area, layer 6a</t>
  </si>
  <si>
    <t>PIR</t>
  </si>
  <si>
    <t>Piriform area</t>
  </si>
  <si>
    <t>PIR1-3</t>
  </si>
  <si>
    <t>Piriform area, layers 1-3</t>
  </si>
  <si>
    <t>PIR1</t>
  </si>
  <si>
    <t>Piriform area, molecular layer</t>
  </si>
  <si>
    <t>PIR2</t>
  </si>
  <si>
    <t>Piriform area, pyramidal layer</t>
  </si>
  <si>
    <t>PIR3</t>
  </si>
  <si>
    <t>Piriform area, polymorph layer</t>
  </si>
  <si>
    <t>NLOT</t>
  </si>
  <si>
    <t>Nucleus of the lateral olfactory tract</t>
  </si>
  <si>
    <t>NLOT1-3</t>
  </si>
  <si>
    <t>Nucleus of the lateral olfactory tract, layers 1-3</t>
  </si>
  <si>
    <t>NLOT1</t>
  </si>
  <si>
    <t>Nucleus of the lateral olfactory tract, molecular layer</t>
  </si>
  <si>
    <t>NLOT2</t>
  </si>
  <si>
    <t>Nucleus of the lateral olfactory tract, pyramidal layer</t>
  </si>
  <si>
    <t>NLOT3</t>
  </si>
  <si>
    <t>Nucleus of the lateral olfactory tract, layer 3</t>
  </si>
  <si>
    <t>COA</t>
  </si>
  <si>
    <t>Cortical amygdalar area</t>
  </si>
  <si>
    <t>COAa</t>
  </si>
  <si>
    <t>Cortical amygdalar area, anterior part</t>
  </si>
  <si>
    <t>COAa1</t>
  </si>
  <si>
    <t>Cortical amygdalar area, anterior part, layer 1</t>
  </si>
  <si>
    <t>COAa2</t>
  </si>
  <si>
    <t>Cortical amygdalar area, anterior part, layer 2</t>
  </si>
  <si>
    <t>COAa3</t>
  </si>
  <si>
    <t>Cortical amygdalar area, anterior part, layer 3</t>
  </si>
  <si>
    <t>COAp</t>
  </si>
  <si>
    <t>Cortical amygdalar area, posterior part</t>
  </si>
  <si>
    <t>COApl</t>
  </si>
  <si>
    <t>Cortical amygdalar area, posterior part, lateral zone</t>
  </si>
  <si>
    <t>COApl1-2</t>
  </si>
  <si>
    <t>Cortical amygdalar area, posterior part, lateral zone, layers 1-2</t>
  </si>
  <si>
    <t>COApl1-3</t>
  </si>
  <si>
    <t>Cortical amygdalar area, posterior part, lateral zone, layers 1-3</t>
  </si>
  <si>
    <t>COApl1</t>
  </si>
  <si>
    <t>Cortical amygdalar area, posterior part, lateral zone, layer 1</t>
  </si>
  <si>
    <t>COApl2</t>
  </si>
  <si>
    <t>Cortical amygdalar area, posterior part, lateral zone, layer 2</t>
  </si>
  <si>
    <t>COApl3</t>
  </si>
  <si>
    <t>Cortical amygdalar area, posterior part, lateral zone, layer 3</t>
  </si>
  <si>
    <t>COApm</t>
  </si>
  <si>
    <t>Cortical amygdalar area, posterior part, medial zone</t>
  </si>
  <si>
    <t>COApm1-2</t>
  </si>
  <si>
    <t>Cortical amygdalar area, posterior part, medial zone, layers 1-2</t>
  </si>
  <si>
    <t>COApm1-3</t>
  </si>
  <si>
    <t>Cortical amygdalar area, posterior part, medial zone, layers 1-3</t>
  </si>
  <si>
    <t>COApm1</t>
  </si>
  <si>
    <t>Cortical amygdalar area, posterior part, medial zone, layer 1</t>
  </si>
  <si>
    <t>COApm2</t>
  </si>
  <si>
    <t>Cortical amygdalar area, posterior part, medial zone, layer 2</t>
  </si>
  <si>
    <t>COApm3</t>
  </si>
  <si>
    <t>Cortical amygdalar area, posterior part, medial zone, layer 3</t>
  </si>
  <si>
    <t>PAA</t>
  </si>
  <si>
    <t>Piriform-amygdalar area</t>
  </si>
  <si>
    <t>PAA1-3</t>
  </si>
  <si>
    <t>Piriform-amygdalar area, layers 1-3</t>
  </si>
  <si>
    <t>PAA1</t>
  </si>
  <si>
    <t>Piriform-amygdalar area, molecular layer</t>
  </si>
  <si>
    <t>PAA2</t>
  </si>
  <si>
    <t>Piriform-amygdalar area, pyramidal layer</t>
  </si>
  <si>
    <t>PAA3</t>
  </si>
  <si>
    <t>Piriform-amygdalar area, polymorph layer</t>
  </si>
  <si>
    <t>TR</t>
  </si>
  <si>
    <t>Postpiriform transition area</t>
  </si>
  <si>
    <t>TR1-3</t>
  </si>
  <si>
    <t>Postpiriform transition area, layers 1-3</t>
  </si>
  <si>
    <t>TR1</t>
  </si>
  <si>
    <t>Postpiriform transition area, layers 1</t>
  </si>
  <si>
    <t>TR2</t>
  </si>
  <si>
    <t>Postpiriform transition area, layers 2</t>
  </si>
  <si>
    <t>TR3</t>
  </si>
  <si>
    <t>Postpiriform transition area, layers 3</t>
  </si>
  <si>
    <t>HPF</t>
  </si>
  <si>
    <t>Hippocampal formation</t>
  </si>
  <si>
    <t>HIP</t>
  </si>
  <si>
    <t>Hippocampal region</t>
  </si>
  <si>
    <t>Ammon's horn</t>
  </si>
  <si>
    <t>Field CA1, pyramidal layer</t>
  </si>
  <si>
    <t>Field CA2, pyramidal layer</t>
  </si>
  <si>
    <t>Field CA3, pyramidal layer</t>
  </si>
  <si>
    <t>Dentate gyrus</t>
  </si>
  <si>
    <t>DG-mo</t>
  </si>
  <si>
    <t>Dentate gyrus, molecular layer</t>
  </si>
  <si>
    <t>DG-po</t>
  </si>
  <si>
    <t>Dentate gyrus, polymorph layer</t>
  </si>
  <si>
    <t>DG-sg</t>
  </si>
  <si>
    <t>Dentate gyrus, granule cell layer</t>
  </si>
  <si>
    <t>DG-sgz</t>
  </si>
  <si>
    <t>Dentate gyrus, subgranular zone</t>
  </si>
  <si>
    <t>DGcr</t>
  </si>
  <si>
    <t>Dentate gyrus crest</t>
  </si>
  <si>
    <t>DGcr-mo</t>
  </si>
  <si>
    <t>Dentate gyrus crest, molecular layer</t>
  </si>
  <si>
    <t>DGcr-po</t>
  </si>
  <si>
    <t>Dentate gyrus crest, polymorph layer</t>
  </si>
  <si>
    <t>DGcr-sg</t>
  </si>
  <si>
    <t>Dentate gyrus crest, granule cell layer</t>
  </si>
  <si>
    <t>DGlb</t>
  </si>
  <si>
    <t>Dentate gyrus lateral blade</t>
  </si>
  <si>
    <t>DGlb-mo</t>
  </si>
  <si>
    <t>Dentate gyrus lateral blade, molecular layer</t>
  </si>
  <si>
    <t>DGlb-po</t>
  </si>
  <si>
    <t>Dentate gyrus lateral blade, polymorph layer</t>
  </si>
  <si>
    <t>DGlb-sg</t>
  </si>
  <si>
    <t>Dentate gyrus lateral blade, granule cell layer</t>
  </si>
  <si>
    <t>DGmb</t>
  </si>
  <si>
    <t>Dentate gyrus medial blade</t>
  </si>
  <si>
    <t>DGmb-mo</t>
  </si>
  <si>
    <t>Dentate gyrus medial blade, molecular layer</t>
  </si>
  <si>
    <t>DGmb-po</t>
  </si>
  <si>
    <t>Dentate gyrus medial blade, polymorph layer</t>
  </si>
  <si>
    <t>DGmb-sg</t>
  </si>
  <si>
    <t>Dentate gyrus medial blade, granule cell layer</t>
  </si>
  <si>
    <t>FC</t>
  </si>
  <si>
    <t>Fasciola cinerea</t>
  </si>
  <si>
    <t>Induseum griseum</t>
  </si>
  <si>
    <t>RHP</t>
  </si>
  <si>
    <t>Retrohippocampal region</t>
  </si>
  <si>
    <t>ENT</t>
  </si>
  <si>
    <t>Entorhinal area</t>
  </si>
  <si>
    <t>ENTl</t>
  </si>
  <si>
    <t>Entorhinal area, lateral part</t>
  </si>
  <si>
    <t>ENTl1</t>
  </si>
  <si>
    <t>Entorhinal area, lateral part, layer 1</t>
  </si>
  <si>
    <t>ENTl2</t>
  </si>
  <si>
    <t>Entorhinal area, lateral part, layer 2</t>
  </si>
  <si>
    <t>ENTl2/3</t>
  </si>
  <si>
    <t>Entorhinal area, lateral part, layer 2/3</t>
  </si>
  <si>
    <t>ENTl2a</t>
  </si>
  <si>
    <t>Entorhinal area, lateral part, layer 2a</t>
  </si>
  <si>
    <t>ENTl2b</t>
  </si>
  <si>
    <t>Entorhinal area, lateral part, layer 2b</t>
  </si>
  <si>
    <t>ENTl3</t>
  </si>
  <si>
    <t>Entorhinal area, lateral part, layer 3</t>
  </si>
  <si>
    <t>ENTl4</t>
  </si>
  <si>
    <t>Entorhinal area, lateral part, layer 4</t>
  </si>
  <si>
    <t>ENTl4/5</t>
  </si>
  <si>
    <t>Entorhinal area, lateral part, layer 4/5</t>
  </si>
  <si>
    <t>ENTl5</t>
  </si>
  <si>
    <t>Entorhinal area, lateral part, layer 5</t>
  </si>
  <si>
    <t>ENTl5/6</t>
  </si>
  <si>
    <t>Entorhinal area, lateral part, layer 5/6</t>
  </si>
  <si>
    <t>ENTl6a</t>
  </si>
  <si>
    <t>Entorhinal area, lateral part, layer 6a</t>
  </si>
  <si>
    <t>ENTl6b</t>
  </si>
  <si>
    <t>Entorhinal area, lateral part, layer 6b</t>
  </si>
  <si>
    <t>ENTm</t>
  </si>
  <si>
    <t>Entorhinal area, medial part, dorsal zone</t>
  </si>
  <si>
    <t>ENTm1</t>
  </si>
  <si>
    <t>Entorhinal area, medial part, dorsal zone, layer 1</t>
  </si>
  <si>
    <t>ENTm2</t>
  </si>
  <si>
    <t>Entorhinal area, medial part, dorsal zone, layer 2</t>
  </si>
  <si>
    <t>ENTm2a</t>
  </si>
  <si>
    <t>Entorhinal area, medial part, dorsal zone, layer 2a</t>
  </si>
  <si>
    <t>ENTm2b</t>
  </si>
  <si>
    <t>Entorhinal area, medial part, dorsal zone, layer 2b</t>
  </si>
  <si>
    <t>ENTm3</t>
  </si>
  <si>
    <t>Entorhinal area, medial part, dorsal zone, layer 3</t>
  </si>
  <si>
    <t>ENTm4</t>
  </si>
  <si>
    <t>Entorhinal area, medial part, dorsal zone, layer 4</t>
  </si>
  <si>
    <t>ENTm5</t>
  </si>
  <si>
    <t>Entorhinal area, medial part, dorsal zone, layer 5</t>
  </si>
  <si>
    <t>ENTm5/6</t>
  </si>
  <si>
    <t>Entorhinal area, medial part, dorsal zone, layer 5/6</t>
  </si>
  <si>
    <t>ENTm6</t>
  </si>
  <si>
    <t>Entorhinal area, medial part, dorsal zone, layer 6</t>
  </si>
  <si>
    <t>ENTmv</t>
  </si>
  <si>
    <t>Entorhinal area, medial part, ventral zone</t>
  </si>
  <si>
    <t>ENTmv1</t>
  </si>
  <si>
    <t>Entorhinal area, medial part, ventral zone, layer 1</t>
  </si>
  <si>
    <t>ENTmv2</t>
  </si>
  <si>
    <t>Entorhinal area, medial part, ventral zone, layer 2</t>
  </si>
  <si>
    <t>ENTmv3</t>
  </si>
  <si>
    <t>Entorhinal area, medial part, ventral zone, layer 3</t>
  </si>
  <si>
    <t>ENTmv4</t>
  </si>
  <si>
    <t>Entorhinal area, medial part, ventral zone, layer 4</t>
  </si>
  <si>
    <t>ENTmv5/6</t>
  </si>
  <si>
    <t>Entorhinal area, medial part, ventral zone, layer 5/6</t>
  </si>
  <si>
    <t>PAR</t>
  </si>
  <si>
    <t>Parasubiculum</t>
  </si>
  <si>
    <t>PAR1</t>
  </si>
  <si>
    <t>Parasubiculum, layer 1</t>
  </si>
  <si>
    <t>PAR2</t>
  </si>
  <si>
    <t>Parasubiculum, layer 2</t>
  </si>
  <si>
    <t>PAR3</t>
  </si>
  <si>
    <t>Parasubiculum, layer 3</t>
  </si>
  <si>
    <t>POST</t>
  </si>
  <si>
    <t>Postsubiculum</t>
  </si>
  <si>
    <t>POST1</t>
  </si>
  <si>
    <t>Postsubiculum, layer 1</t>
  </si>
  <si>
    <t>POST2</t>
  </si>
  <si>
    <t>Postsubiculum, layer 2</t>
  </si>
  <si>
    <t>POST3</t>
  </si>
  <si>
    <t>Postsubiculum, layer 3</t>
  </si>
  <si>
    <t>PRE</t>
  </si>
  <si>
    <t>Presubiculum</t>
  </si>
  <si>
    <t>PRE1</t>
  </si>
  <si>
    <t>Presubiculum, layer 1</t>
  </si>
  <si>
    <t>PRE2</t>
  </si>
  <si>
    <t>Presubiculum, layer 2</t>
  </si>
  <si>
    <t>PRE3</t>
  </si>
  <si>
    <t>Presubiculum, layer 3</t>
  </si>
  <si>
    <t>SUB</t>
  </si>
  <si>
    <t>Subiculum</t>
  </si>
  <si>
    <t>SUBd</t>
  </si>
  <si>
    <t>Subiculum, dorsal part</t>
  </si>
  <si>
    <t>SUBd-m</t>
  </si>
  <si>
    <t>Subiculum, dorsal part, molecular layer</t>
  </si>
  <si>
    <t>SUBd-sp</t>
  </si>
  <si>
    <t>Subiculum, dorsal part, pyramidal layer</t>
  </si>
  <si>
    <t>SUBd-sr</t>
  </si>
  <si>
    <t>Subiculum, dorsal part, stratum radiatum</t>
  </si>
  <si>
    <t>SUBv</t>
  </si>
  <si>
    <t>Subiculum, ventral part</t>
  </si>
  <si>
    <t>SUBv-m</t>
  </si>
  <si>
    <t>Subiculum, ventral part, molecular layer</t>
  </si>
  <si>
    <t>SUBv-sp</t>
  </si>
  <si>
    <t>Subiculum, ventral part, pyramidal layer</t>
  </si>
  <si>
    <t>SUBv-sr</t>
  </si>
  <si>
    <t>Subiculum, ventral part, stratum radiatum</t>
  </si>
  <si>
    <t>ProS</t>
  </si>
  <si>
    <t>Prosubiculum</t>
  </si>
  <si>
    <t>ProSd</t>
  </si>
  <si>
    <t>Prosubiculum, dorsal part</t>
  </si>
  <si>
    <t>ProSd-m</t>
  </si>
  <si>
    <t>Prosubiculum, dorsal part, molecular layer</t>
  </si>
  <si>
    <t>ProSd-sp</t>
  </si>
  <si>
    <t>Prosubiculum, dorsal part, pyramidal layer</t>
  </si>
  <si>
    <t>ProSd-sr</t>
  </si>
  <si>
    <t>Prosubiculum, dorsal part, stratum radiatum</t>
  </si>
  <si>
    <t>ProSv</t>
  </si>
  <si>
    <t>Prosubiculum, ventral part</t>
  </si>
  <si>
    <t>ProSv-m</t>
  </si>
  <si>
    <t>Prosubiculum, ventral part, molecular layer</t>
  </si>
  <si>
    <t>ProSv-sp</t>
  </si>
  <si>
    <t>Prosubiculum, ventral part, pyramidal layer</t>
  </si>
  <si>
    <t>Prosv-sr</t>
  </si>
  <si>
    <t>Prosubiculum, ventral part, stratum radiatum</t>
  </si>
  <si>
    <t>HATA</t>
  </si>
  <si>
    <t>Hippocampo-amygdalar transition area</t>
  </si>
  <si>
    <t>APr</t>
  </si>
  <si>
    <t>Area prostriata</t>
  </si>
  <si>
    <t>CTXsp</t>
  </si>
  <si>
    <t>Cortical subplate</t>
  </si>
  <si>
    <t>6b</t>
  </si>
  <si>
    <t>Layer 6b, isocortex</t>
  </si>
  <si>
    <t>CLA</t>
  </si>
  <si>
    <t>Claustrum</t>
  </si>
  <si>
    <t>EP</t>
  </si>
  <si>
    <t>Endopiriform nucleus</t>
  </si>
  <si>
    <t>EPd</t>
  </si>
  <si>
    <t>Endopiriform nucleus, dorsal part</t>
  </si>
  <si>
    <t>EPv</t>
  </si>
  <si>
    <t>Endopiriform nucleus, ventral part</t>
  </si>
  <si>
    <t>Lateral amygdalar nucleus</t>
  </si>
  <si>
    <t>Basolateral amygdalar nucleus</t>
  </si>
  <si>
    <t>BLAa</t>
  </si>
  <si>
    <t>Basolateral amygdalar nucleus, anterior part</t>
  </si>
  <si>
    <t>BLAp</t>
  </si>
  <si>
    <t>Basolateral amygdalar nucleus, posterior part</t>
  </si>
  <si>
    <t>BLAv</t>
  </si>
  <si>
    <t>Basolateral amygdalar nucleus, ventral part</t>
  </si>
  <si>
    <t>Basomedial amygdalar nucleus</t>
  </si>
  <si>
    <t>BMAa</t>
  </si>
  <si>
    <t>Basomedial amygdalar nucleus, anterior part</t>
  </si>
  <si>
    <t>BMAp</t>
  </si>
  <si>
    <t>Basomedial amygdalar nucleus, posterior part</t>
  </si>
  <si>
    <t>PA</t>
  </si>
  <si>
    <t>Posterior amygdalar nucleus</t>
  </si>
  <si>
    <t>CNU</t>
  </si>
  <si>
    <t>Cerebral nuclei</t>
  </si>
  <si>
    <t>STR</t>
  </si>
  <si>
    <t>Striatum</t>
  </si>
  <si>
    <t>STRd</t>
  </si>
  <si>
    <t>Striatum dorsal region</t>
  </si>
  <si>
    <t>CP</t>
  </si>
  <si>
    <t>Caudoputamen</t>
  </si>
  <si>
    <t>STRv</t>
  </si>
  <si>
    <t>Striatum ventral region</t>
  </si>
  <si>
    <t>ACB</t>
  </si>
  <si>
    <t>Nucleus accumbens</t>
  </si>
  <si>
    <t>FS</t>
  </si>
  <si>
    <t>Fundus of striatum</t>
  </si>
  <si>
    <t>OT</t>
  </si>
  <si>
    <t>Olfactory tubercle</t>
  </si>
  <si>
    <t>isl</t>
  </si>
  <si>
    <t>Islands of Calleja</t>
  </si>
  <si>
    <t>islm</t>
  </si>
  <si>
    <t>Major island of Calleja</t>
  </si>
  <si>
    <t>OT1-3</t>
  </si>
  <si>
    <t>Olfactory tubercle, layers 1-3</t>
  </si>
  <si>
    <t>OT1</t>
  </si>
  <si>
    <t>Olfactory tubercle, molecular layer</t>
  </si>
  <si>
    <t>OT2</t>
  </si>
  <si>
    <t>Olfactory tubercle, pyramidal layer</t>
  </si>
  <si>
    <t>OT3</t>
  </si>
  <si>
    <t>Olfactory tubercle, polymorph layer</t>
  </si>
  <si>
    <t>Lateral strip of striatum</t>
  </si>
  <si>
    <t>LSX</t>
  </si>
  <si>
    <t>Lateral septal complex</t>
  </si>
  <si>
    <t>LS</t>
  </si>
  <si>
    <t>Lateral septal nucleus</t>
  </si>
  <si>
    <t>LSc</t>
  </si>
  <si>
    <t>Lateral septal nucleus, caudal (caudodorsal) part</t>
  </si>
  <si>
    <t>LSr</t>
  </si>
  <si>
    <t>Lateral septal nucleus, rostral (rostroventral) part</t>
  </si>
  <si>
    <t>LSv</t>
  </si>
  <si>
    <t>Lateral septal nucleus, ventral part</t>
  </si>
  <si>
    <t>SF</t>
  </si>
  <si>
    <t>Septofimbrial nucleus</t>
  </si>
  <si>
    <t>SH</t>
  </si>
  <si>
    <t>Septohippocampal nucleus</t>
  </si>
  <si>
    <t>sAMY</t>
  </si>
  <si>
    <t>Striatum-like amygdalar nuclei</t>
  </si>
  <si>
    <t>AAA</t>
  </si>
  <si>
    <t>Anterior amygdalar area</t>
  </si>
  <si>
    <t>BA</t>
  </si>
  <si>
    <t>Bed nucleus of the accessory olfactory tract</t>
  </si>
  <si>
    <t>CEA</t>
  </si>
  <si>
    <t>Central amygdalar nucleus</t>
  </si>
  <si>
    <t>CEAc</t>
  </si>
  <si>
    <t>Central amygdalar nucleus, capsular part</t>
  </si>
  <si>
    <t>CEAl</t>
  </si>
  <si>
    <t>Central amygdalar nucleus, lateral part</t>
  </si>
  <si>
    <t>CEAm</t>
  </si>
  <si>
    <t>Central amygdalar nucleus, medial part</t>
  </si>
  <si>
    <t>Intercalated amygdalar nucleus</t>
  </si>
  <si>
    <t>MEA</t>
  </si>
  <si>
    <t>Medial amygdalar nucleus</t>
  </si>
  <si>
    <t>MEAad</t>
  </si>
  <si>
    <t>Medial amygdalar nucleus, anterodorsal part</t>
  </si>
  <si>
    <t>MEAav</t>
  </si>
  <si>
    <t>Medial amygdalar nucleus, anteroventral part</t>
  </si>
  <si>
    <t>MEApd</t>
  </si>
  <si>
    <t>Medial amygdalar nucleus, posterodorsal part</t>
  </si>
  <si>
    <t>MEApd-a</t>
  </si>
  <si>
    <t>Medial amygdalar nucleus, posterodorsal part, sublayer a</t>
  </si>
  <si>
    <t>MEApd-b</t>
  </si>
  <si>
    <t>Medial amygdalar nucleus, posterodorsal part, sublayer b</t>
  </si>
  <si>
    <t>MEApd-c</t>
  </si>
  <si>
    <t>Medial amygdalar nucleus, posterodorsal part, sublayer c</t>
  </si>
  <si>
    <t>MEApv</t>
  </si>
  <si>
    <t>Medial amygdalar nucleus, posteroventral part</t>
  </si>
  <si>
    <t>PAL</t>
  </si>
  <si>
    <t>Pallidum</t>
  </si>
  <si>
    <t>PALd</t>
  </si>
  <si>
    <t>Pallidum, dorsal region</t>
  </si>
  <si>
    <t>GPe</t>
  </si>
  <si>
    <t>Globus pallidus, external segment</t>
  </si>
  <si>
    <t>GPi</t>
  </si>
  <si>
    <t>Globus pallidus, internal segment</t>
  </si>
  <si>
    <t>PALv</t>
  </si>
  <si>
    <t>Pallidum, ventral region</t>
  </si>
  <si>
    <t>SI</t>
  </si>
  <si>
    <t>Substantia innominata</t>
  </si>
  <si>
    <t>MA</t>
  </si>
  <si>
    <t>Magnocellular nucleus</t>
  </si>
  <si>
    <t>PALm</t>
  </si>
  <si>
    <t>Pallidum, medial region</t>
  </si>
  <si>
    <t>MSC</t>
  </si>
  <si>
    <t>Medial septal complex</t>
  </si>
  <si>
    <t>Medial septal nucleus</t>
  </si>
  <si>
    <t>NDB</t>
  </si>
  <si>
    <t>Diagonal band nucleus</t>
  </si>
  <si>
    <t>TRS</t>
  </si>
  <si>
    <t>Triangular nucleus of septum</t>
  </si>
  <si>
    <t>PALc</t>
  </si>
  <si>
    <t>Pallidum, caudal region</t>
  </si>
  <si>
    <t>BST</t>
  </si>
  <si>
    <t>Bed nuclei of the stria terminalis</t>
  </si>
  <si>
    <t>BSTa</t>
  </si>
  <si>
    <t>Bed nuclei of the stria terminalis, anterior division</t>
  </si>
  <si>
    <t>BSTal</t>
  </si>
  <si>
    <t>Bed nuclei of the stria terminalis, anterior division, anterolateral area</t>
  </si>
  <si>
    <t>BSTam</t>
  </si>
  <si>
    <t>Bed nuclei of the stria terminalis, anterior division, anteromedial area</t>
  </si>
  <si>
    <t>BSTdm</t>
  </si>
  <si>
    <t>Bed nuclei of the stria terminalis, anterior division, dorsomedial nucleus</t>
  </si>
  <si>
    <t>BSTfu</t>
  </si>
  <si>
    <t>Bed nuclei of the stria terminalis, anterior division, fusiform nucleus</t>
  </si>
  <si>
    <t>BSTju</t>
  </si>
  <si>
    <t>Bed nuclei of the stria terminalis, anterior division, juxtacapsular nucleus</t>
  </si>
  <si>
    <t>BSTmg</t>
  </si>
  <si>
    <t>Bed nuclei of the stria terminalis, anterior division, magnocellular nucleus</t>
  </si>
  <si>
    <t>BSTov</t>
  </si>
  <si>
    <t>Bed nuclei of the stria terminalis, anterior division, oval nucleus</t>
  </si>
  <si>
    <t>BSTrh</t>
  </si>
  <si>
    <t>Bed nuclei of the stria terminalis, anterior division, rhomboid nucleus</t>
  </si>
  <si>
    <t>BSTv</t>
  </si>
  <si>
    <t>Bed nuclei of the stria terminalis, anterior division, ventral nucleus</t>
  </si>
  <si>
    <t>BSTp</t>
  </si>
  <si>
    <t>Bed nuclei of the stria terminalis, posterior division</t>
  </si>
  <si>
    <t>BSTd</t>
  </si>
  <si>
    <t>Bed nuclei of the stria terminalis, posterior division, dorsal nucleus</t>
  </si>
  <si>
    <t>BSTpr</t>
  </si>
  <si>
    <t>Bed nuclei of the stria terminalis, posterior division, principal nucleus</t>
  </si>
  <si>
    <t>BSTif</t>
  </si>
  <si>
    <t>Bed nuclei of the stria terminalis, posterior division, interfascicular nucleus</t>
  </si>
  <si>
    <t>BSTtr</t>
  </si>
  <si>
    <t>Bed nuclei of the stria terminalis, posterior division, transverse nucleus</t>
  </si>
  <si>
    <t>BSTse</t>
  </si>
  <si>
    <t>Bed nuclei of the stria terminalis, posterior division, strial extension</t>
  </si>
  <si>
    <t>Bed nucleus of the anterior commissure</t>
  </si>
  <si>
    <t>BS</t>
  </si>
  <si>
    <t>Brain stem</t>
  </si>
  <si>
    <t>Interbrain</t>
  </si>
  <si>
    <t>TH</t>
  </si>
  <si>
    <t>Thalamus</t>
  </si>
  <si>
    <t>DORsm</t>
  </si>
  <si>
    <t>Thalamus, sensory-motor cortex related</t>
  </si>
  <si>
    <t>VENT</t>
  </si>
  <si>
    <t>Ventral group of the dorsal thalamus</t>
  </si>
  <si>
    <t>VAL</t>
  </si>
  <si>
    <t>Ventral anterior-lateral complex of the thalamus</t>
  </si>
  <si>
    <t>Ventral medial nucleus of the thalamus</t>
  </si>
  <si>
    <t>VP</t>
  </si>
  <si>
    <t>Ventral posterior complex of the thalamus</t>
  </si>
  <si>
    <t>Ventral posterolateral nucleus of the thalamus</t>
  </si>
  <si>
    <t>VPLpc</t>
  </si>
  <si>
    <t>Ventral posterolateral nucleus of the thalamus, parvicellular part</t>
  </si>
  <si>
    <t>Ventral posteromedial nucleus of the thalamus</t>
  </si>
  <si>
    <t>VPMpc</t>
  </si>
  <si>
    <t>Ventral posteromedial nucleus of the thalamus, parvicellular part</t>
  </si>
  <si>
    <t>Posterior triangular thalamic nucleus</t>
  </si>
  <si>
    <t>SPF</t>
  </si>
  <si>
    <t>Subparafascicular nucleus</t>
  </si>
  <si>
    <t>SPFm</t>
  </si>
  <si>
    <t>Subparafascicular nucleus, magnocellular part</t>
  </si>
  <si>
    <t>SPFp</t>
  </si>
  <si>
    <t>Subparafascicular nucleus, parvicellular part</t>
  </si>
  <si>
    <t>SPA</t>
  </si>
  <si>
    <t>Subparafascicular area</t>
  </si>
  <si>
    <t>Peripeduncular nucleus</t>
  </si>
  <si>
    <t>GENd</t>
  </si>
  <si>
    <t>Geniculate group, dorsal thalamus</t>
  </si>
  <si>
    <t>Medial geniculate complex</t>
  </si>
  <si>
    <t>MGd</t>
  </si>
  <si>
    <t>Medial geniculate complex, dorsal part</t>
  </si>
  <si>
    <t>MGv</t>
  </si>
  <si>
    <t>Medial geniculate complex, ventral part</t>
  </si>
  <si>
    <t>MGm</t>
  </si>
  <si>
    <t>Medial geniculate complex, medial part</t>
  </si>
  <si>
    <t>LGd</t>
  </si>
  <si>
    <t>Dorsal part of the lateral geniculate complex</t>
  </si>
  <si>
    <t>LGd-sh</t>
  </si>
  <si>
    <t>Dorsal part of the lateral geniculate complex, shell</t>
  </si>
  <si>
    <t>LGd-co</t>
  </si>
  <si>
    <t>Dorsal part of the lateral geniculate complex, core</t>
  </si>
  <si>
    <t>LGd-ip</t>
  </si>
  <si>
    <t>Dorsal part of the lateral geniculate complex, ipsilateral zone</t>
  </si>
  <si>
    <t>DORpm</t>
  </si>
  <si>
    <t>Thalamus, polymodal association cortex related</t>
  </si>
  <si>
    <t>LAT</t>
  </si>
  <si>
    <t>Lateral group of the dorsal thalamus</t>
  </si>
  <si>
    <t>Lateral posterior nucleus of the thalamus</t>
  </si>
  <si>
    <t>Posterior complex of the thalamus</t>
  </si>
  <si>
    <t>POL</t>
  </si>
  <si>
    <t>Posterior limiting nucleus of the thalamus</t>
  </si>
  <si>
    <t>SGN</t>
  </si>
  <si>
    <t>Suprageniculate nucleus</t>
  </si>
  <si>
    <t>Ethmoid nucleus of the thalamus</t>
  </si>
  <si>
    <t>REth</t>
  </si>
  <si>
    <t>Retroethmoid nucleus</t>
  </si>
  <si>
    <t>ATN</t>
  </si>
  <si>
    <t>Anterior group of the dorsal thalamus</t>
  </si>
  <si>
    <t>Anteroventral nucleus of thalamus</t>
  </si>
  <si>
    <t>Anteromedial nucleus</t>
  </si>
  <si>
    <t>AMd</t>
  </si>
  <si>
    <t>Anteromedial nucleus, dorsal part</t>
  </si>
  <si>
    <t>AMv</t>
  </si>
  <si>
    <t>Anteromedial nucleus, ventral part</t>
  </si>
  <si>
    <t>Anterodorsal nucleus</t>
  </si>
  <si>
    <t>Interanteromedial nucleus of the thalamus</t>
  </si>
  <si>
    <t>Interanterodorsal nucleus of the thalamus</t>
  </si>
  <si>
    <t>Lateral dorsal nucleus of thalamus</t>
  </si>
  <si>
    <t>MED</t>
  </si>
  <si>
    <t>Medial group of the dorsal thalamus</t>
  </si>
  <si>
    <t>Intermediodorsal nucleus of the thalamus</t>
  </si>
  <si>
    <t>Mediodorsal nucleus of thalamus</t>
  </si>
  <si>
    <t>MDc</t>
  </si>
  <si>
    <t>Mediodorsal nucleus of the thalamus, central part</t>
  </si>
  <si>
    <t>MDl</t>
  </si>
  <si>
    <t>Mediodorsal nucleus of the thalamus, lateral part</t>
  </si>
  <si>
    <t>MDm</t>
  </si>
  <si>
    <t>Mediodorsal nucleus of the thalamus, medial part</t>
  </si>
  <si>
    <t>Submedial nucleus of the thalamus</t>
  </si>
  <si>
    <t>Perireunensis nucleus</t>
  </si>
  <si>
    <t>MTN</t>
  </si>
  <si>
    <t>Midline group of the dorsal thalamus</t>
  </si>
  <si>
    <t>PVT</t>
  </si>
  <si>
    <t>Paraventricular nucleus of the thalamus</t>
  </si>
  <si>
    <t>Parataenial nucleus</t>
  </si>
  <si>
    <t>RE</t>
  </si>
  <si>
    <t>Nucleus of reuniens</t>
  </si>
  <si>
    <t>Xi</t>
  </si>
  <si>
    <t>Xiphoid thalamic nucleus</t>
  </si>
  <si>
    <t>ILM</t>
  </si>
  <si>
    <t>Intralaminar nuclei of the dorsal thalamus</t>
  </si>
  <si>
    <t>RH</t>
  </si>
  <si>
    <t>Rhomboid nucleus</t>
  </si>
  <si>
    <t>Central medial nucleus of the thalamus</t>
  </si>
  <si>
    <t>PCN</t>
  </si>
  <si>
    <t>Paracentral nucleus</t>
  </si>
  <si>
    <t>Central lateral nucleus of the thalamus</t>
  </si>
  <si>
    <t>Parafascicular nucleus</t>
  </si>
  <si>
    <t>Posterior intralaminar thalamic nucleus</t>
  </si>
  <si>
    <t>RT</t>
  </si>
  <si>
    <t>Reticular nucleus of the thalamus</t>
  </si>
  <si>
    <t>GENv</t>
  </si>
  <si>
    <t>Geniculate group, ventral thalamus</t>
  </si>
  <si>
    <t>Intergeniculate leaflet of the lateral geniculate complex</t>
  </si>
  <si>
    <t>IntG</t>
  </si>
  <si>
    <t>Intermediate geniculate nucleus</t>
  </si>
  <si>
    <t>LGv</t>
  </si>
  <si>
    <t>Ventral part of the lateral geniculate complex</t>
  </si>
  <si>
    <t>LGvl</t>
  </si>
  <si>
    <t>Ventral part of the lateral geniculate complex, lateral zone</t>
  </si>
  <si>
    <t>LGvm</t>
  </si>
  <si>
    <t>Ventral part of the lateral geniculate complex, medial zone</t>
  </si>
  <si>
    <t>Subgeniculate nucleus</t>
  </si>
  <si>
    <t>EPI</t>
  </si>
  <si>
    <t>Epithalamus</t>
  </si>
  <si>
    <t>Medial habenula</t>
  </si>
  <si>
    <t>LH</t>
  </si>
  <si>
    <t>Lateral habenula</t>
  </si>
  <si>
    <t>PIN</t>
  </si>
  <si>
    <t>Pineal body</t>
  </si>
  <si>
    <t>HY</t>
  </si>
  <si>
    <t>Hypothalamus</t>
  </si>
  <si>
    <t>PVZ</t>
  </si>
  <si>
    <t>Periventricular zone</t>
  </si>
  <si>
    <t>Supraoptic nucleus</t>
  </si>
  <si>
    <t>ASO</t>
  </si>
  <si>
    <t>Accessory supraoptic group</t>
  </si>
  <si>
    <t>NC</t>
  </si>
  <si>
    <t>Nucleus circularis</t>
  </si>
  <si>
    <t>PVH</t>
  </si>
  <si>
    <t>Paraventricular hypothalamic nucleus</t>
  </si>
  <si>
    <t>PVHm</t>
  </si>
  <si>
    <t>Paraventricular hypothalamic nucleus, magnocellular division</t>
  </si>
  <si>
    <t>PVHam</t>
  </si>
  <si>
    <t>Paraventricular hypothalamic nucleus, magnocellular division, anterior magnocellular part</t>
  </si>
  <si>
    <t>PVHmm</t>
  </si>
  <si>
    <t>Paraventricular hypothalamic nucleus, magnocellular division, medial magnocellular part</t>
  </si>
  <si>
    <t>PVHpm</t>
  </si>
  <si>
    <t>Paraventricular hypothalamic nucleus, magnocellular division, posterior magnocellular part</t>
  </si>
  <si>
    <t>PVHpml</t>
  </si>
  <si>
    <t>Paraventricular hypothalamic nucleus, magnocellular division, posterior magnocellular part, lateral zone</t>
  </si>
  <si>
    <t>PVHpmm</t>
  </si>
  <si>
    <t>Paraventricular hypothalamic nucleus, magnocellular division, posterior magnocellular part, medial zone</t>
  </si>
  <si>
    <t>PVHp</t>
  </si>
  <si>
    <t>Paraventricular hypothalamic nucleus, parvicellular division</t>
  </si>
  <si>
    <t>PVHap</t>
  </si>
  <si>
    <t>Paraventricular hypothalamic nucleus, parvicellular division, anterior parvicellular part</t>
  </si>
  <si>
    <t>PVHmpd</t>
  </si>
  <si>
    <t>Paraventricular hypothalamic nucleus, parvicellular division, medial parvicellular part, dorsal zone</t>
  </si>
  <si>
    <t>PVHpv</t>
  </si>
  <si>
    <t>Paraventricular hypothalamic nucleus, parvicellular division, periventricular part</t>
  </si>
  <si>
    <t>PVa</t>
  </si>
  <si>
    <t>Periventricular hypothalamic nucleus, anterior part</t>
  </si>
  <si>
    <t>PVi</t>
  </si>
  <si>
    <t>Periventricular hypothalamic nucleus, intermediate part</t>
  </si>
  <si>
    <t>ARH</t>
  </si>
  <si>
    <t>Arcuate hypothalamic nucleus</t>
  </si>
  <si>
    <t>PVR</t>
  </si>
  <si>
    <t>Periventricular region</t>
  </si>
  <si>
    <t>ADP</t>
  </si>
  <si>
    <t>Anterodorsal preoptic nucleus</t>
  </si>
  <si>
    <t>AHA</t>
  </si>
  <si>
    <t>Anterior hypothalamic area</t>
  </si>
  <si>
    <t>AVP</t>
  </si>
  <si>
    <t>Anteroventral preoptic nucleus</t>
  </si>
  <si>
    <t>AVPV</t>
  </si>
  <si>
    <t>Anteroventral periventricular nucleus</t>
  </si>
  <si>
    <t>DMH</t>
  </si>
  <si>
    <t>Dorsomedial nucleus of the hypothalamus</t>
  </si>
  <si>
    <t>DMHa</t>
  </si>
  <si>
    <t>Dorsomedial nucleus of the hypothalamus, anterior part</t>
  </si>
  <si>
    <t>DMHp</t>
  </si>
  <si>
    <t>Dorsomedial nucleus of the hypothalamus, posterior part</t>
  </si>
  <si>
    <t>DMHv</t>
  </si>
  <si>
    <t>Dorsomedial nucleus of the hypothalamus, ventral part</t>
  </si>
  <si>
    <t>MEPO</t>
  </si>
  <si>
    <t>Median preoptic nucleus</t>
  </si>
  <si>
    <t>Medial preoptic area</t>
  </si>
  <si>
    <t>OV</t>
  </si>
  <si>
    <t>Vascular organ of the lamina terminalis</t>
  </si>
  <si>
    <t>PD</t>
  </si>
  <si>
    <t>Posterodorsal preoptic nucleus</t>
  </si>
  <si>
    <t>Parastrial nucleus</t>
  </si>
  <si>
    <t>PSCH</t>
  </si>
  <si>
    <t>Suprachiasmatic preoptic nucleus</t>
  </si>
  <si>
    <t>PVp</t>
  </si>
  <si>
    <t>Periventricular hypothalamic nucleus, posterior part</t>
  </si>
  <si>
    <t>PVpo</t>
  </si>
  <si>
    <t>Periventricular hypothalamic nucleus, preoptic part</t>
  </si>
  <si>
    <t>SBPV</t>
  </si>
  <si>
    <t>Subparaventricular zone</t>
  </si>
  <si>
    <t>Suprachiasmatic nucleus</t>
  </si>
  <si>
    <t>SFO</t>
  </si>
  <si>
    <t>Subfornical organ</t>
  </si>
  <si>
    <t>Ventromedial preoptic nucleus</t>
  </si>
  <si>
    <t>Ventrolateral preoptic nucleus</t>
  </si>
  <si>
    <t>MEZ</t>
  </si>
  <si>
    <t>Hypothalamic medial zone</t>
  </si>
  <si>
    <t>AHN</t>
  </si>
  <si>
    <t>Anterior hypothalamic nucleus</t>
  </si>
  <si>
    <t>AHNa</t>
  </si>
  <si>
    <t>Anterior hypothalamic nucleus, anterior part</t>
  </si>
  <si>
    <t>AHNc</t>
  </si>
  <si>
    <t>Anterior hypothalamic nucleus, central part</t>
  </si>
  <si>
    <t>AHNd</t>
  </si>
  <si>
    <t>Anterior hypothalamic nucleus, dorsal part</t>
  </si>
  <si>
    <t>AHNp</t>
  </si>
  <si>
    <t>Anterior hypothalamic nucleus, posterior part</t>
  </si>
  <si>
    <t>MBO</t>
  </si>
  <si>
    <t>Mammillary body</t>
  </si>
  <si>
    <t>Lateral mammillary nucleus</t>
  </si>
  <si>
    <t>Medial mammillary nucleus</t>
  </si>
  <si>
    <t>MMme</t>
  </si>
  <si>
    <t>Medial mammillary nucleus, median part</t>
  </si>
  <si>
    <t>Medial mammillary nucleus, lateral part</t>
  </si>
  <si>
    <t>Medial mammillary nucleus, medial part</t>
  </si>
  <si>
    <t>Medial mammillary nucleus, posterior part</t>
  </si>
  <si>
    <t>MMd</t>
  </si>
  <si>
    <t>Medial mammillary nucleus, dorsal part</t>
  </si>
  <si>
    <t>SUM</t>
  </si>
  <si>
    <t>Supramammillary nucleus</t>
  </si>
  <si>
    <t>SUMl</t>
  </si>
  <si>
    <t>Supramammillary nucleus, lateral part</t>
  </si>
  <si>
    <t>SUMm</t>
  </si>
  <si>
    <t>Supramammillary nucleus, medial part</t>
  </si>
  <si>
    <t>TM</t>
  </si>
  <si>
    <t>Tuberomammillary nucleus</t>
  </si>
  <si>
    <t>TMd</t>
  </si>
  <si>
    <t>Tuberomammillary nucleus, dorsal part</t>
  </si>
  <si>
    <t>TMv</t>
  </si>
  <si>
    <t>Tuberomammillary nucleus, ventral part</t>
  </si>
  <si>
    <t>MPN</t>
  </si>
  <si>
    <t>Medial preoptic nucleus</t>
  </si>
  <si>
    <t>MPNc</t>
  </si>
  <si>
    <t>Medial preoptic nucleus, central part</t>
  </si>
  <si>
    <t>MPNl</t>
  </si>
  <si>
    <t>Medial preoptic nucleus, lateral part</t>
  </si>
  <si>
    <t>MPNm</t>
  </si>
  <si>
    <t>Medial preoptic nucleus, medial part</t>
  </si>
  <si>
    <t>PMd</t>
  </si>
  <si>
    <t>Dorsal premammillary nucleus</t>
  </si>
  <si>
    <t>PMv</t>
  </si>
  <si>
    <t>Ventral premammillary nucleus</t>
  </si>
  <si>
    <t>PVHd</t>
  </si>
  <si>
    <t>Paraventricular hypothalamic nucleus, descending division</t>
  </si>
  <si>
    <t>PVHdp</t>
  </si>
  <si>
    <t>Paraventricular hypothalamic nucleus, descending division, dorsal parvicellular part</t>
  </si>
  <si>
    <t>PVHf</t>
  </si>
  <si>
    <t>Paraventricular hypothalamic nucleus, descending division, forniceal part</t>
  </si>
  <si>
    <t>PVHlp</t>
  </si>
  <si>
    <t>Paraventricular hypothalamic nucleus, descending division, lateral parvicellular part</t>
  </si>
  <si>
    <t>PVHmpv</t>
  </si>
  <si>
    <t>Paraventricular hypothalamic nucleus, descending division, medial parvicellular part, ventral zone</t>
  </si>
  <si>
    <t>Ventromedial hypothalamic nucleus</t>
  </si>
  <si>
    <t>VMHa</t>
  </si>
  <si>
    <t>Ventromedial hypothalamic nucleus, anterior part</t>
  </si>
  <si>
    <t>VMHc</t>
  </si>
  <si>
    <t>Ventromedial hypothalamic nucleus, central part</t>
  </si>
  <si>
    <t>Ventromedial hypothalamic nucleus, dorsomedial part</t>
  </si>
  <si>
    <t>Ventromedial hypothalamic nucleus, ventrolateral part</t>
  </si>
  <si>
    <t>Posterior hypothalamic nucleus</t>
  </si>
  <si>
    <t>LZ</t>
  </si>
  <si>
    <t>Hypothalamic lateral zone</t>
  </si>
  <si>
    <t>LHA</t>
  </si>
  <si>
    <t>Lateral hypothalamic area</t>
  </si>
  <si>
    <t>LPO</t>
  </si>
  <si>
    <t>Lateral preoptic area</t>
  </si>
  <si>
    <t>PST</t>
  </si>
  <si>
    <t>Preparasubthalamic nucleus</t>
  </si>
  <si>
    <t>PSTN</t>
  </si>
  <si>
    <t>Parasubthalamic nucleus</t>
  </si>
  <si>
    <t>PeF</t>
  </si>
  <si>
    <t>Perifornical nucleus</t>
  </si>
  <si>
    <t>RCH</t>
  </si>
  <si>
    <t>Retrochiasmatic area</t>
  </si>
  <si>
    <t>STN</t>
  </si>
  <si>
    <t>Subthalamic nucleus</t>
  </si>
  <si>
    <t>TU</t>
  </si>
  <si>
    <t>Tuberal nucleus</t>
  </si>
  <si>
    <t>ZI</t>
  </si>
  <si>
    <t>Zona incerta</t>
  </si>
  <si>
    <t>Dopaminergic A13 group</t>
  </si>
  <si>
    <t>FF</t>
  </si>
  <si>
    <t>Fields of Forel</t>
  </si>
  <si>
    <t>Median eminence</t>
  </si>
  <si>
    <t>MB</t>
  </si>
  <si>
    <t>Midbrain</t>
  </si>
  <si>
    <t>MBsen</t>
  </si>
  <si>
    <t>Midbrain, sensory related</t>
  </si>
  <si>
    <t>Superior colliculus, sensory related</t>
  </si>
  <si>
    <t>SCop</t>
  </si>
  <si>
    <t>Superior colliculus, optic layer</t>
  </si>
  <si>
    <t>SCsg</t>
  </si>
  <si>
    <t>Superior colliculus, superficial gray layer</t>
  </si>
  <si>
    <t>SCzo</t>
  </si>
  <si>
    <t>Superior colliculus, zonal layer</t>
  </si>
  <si>
    <t>Inferior colliculus</t>
  </si>
  <si>
    <t>ICc</t>
  </si>
  <si>
    <t>Inferior colliculus, central nucleus</t>
  </si>
  <si>
    <t>ICd</t>
  </si>
  <si>
    <t>Inferior colliculus, dorsal nucleus</t>
  </si>
  <si>
    <t>ICe</t>
  </si>
  <si>
    <t>Inferior colliculus, external nucleus</t>
  </si>
  <si>
    <t>NB</t>
  </si>
  <si>
    <t>Nucleus of the brachium of the inferior colliculus</t>
  </si>
  <si>
    <t>SAG</t>
  </si>
  <si>
    <t>Nucleus sagulum</t>
  </si>
  <si>
    <t>Parabigeminal nucleus</t>
  </si>
  <si>
    <t>MEV</t>
  </si>
  <si>
    <t>Midbrain trigeminal nucleus</t>
  </si>
  <si>
    <t>Subcommissural organ</t>
  </si>
  <si>
    <t>MBmot</t>
  </si>
  <si>
    <t>Midbrain, motor related</t>
  </si>
  <si>
    <t>SNr</t>
  </si>
  <si>
    <t>Substantia nigra, reticular part</t>
  </si>
  <si>
    <t>VTA</t>
  </si>
  <si>
    <t>Ventral tegmental area</t>
  </si>
  <si>
    <t>PN</t>
  </si>
  <si>
    <t>Paranigral nucleus</t>
  </si>
  <si>
    <t>Midbrain reticular nucleus, retrorubral area</t>
  </si>
  <si>
    <t>MRN</t>
  </si>
  <si>
    <t>Midbrain reticular nucleus</t>
  </si>
  <si>
    <t>MRNm</t>
  </si>
  <si>
    <t>Midbrain reticular nucleus, magnocellular part</t>
  </si>
  <si>
    <t>MRNmg</t>
  </si>
  <si>
    <t>Midbrain reticular nucleus, magnocellular part, general</t>
  </si>
  <si>
    <t>MRNp</t>
  </si>
  <si>
    <t>Midbrain reticular nucleus, parvicellular part</t>
  </si>
  <si>
    <t>Superior colliculus, motor related</t>
  </si>
  <si>
    <t>SCdg</t>
  </si>
  <si>
    <t>Superior colliculus, motor related, deep gray layer</t>
  </si>
  <si>
    <t>SCdw</t>
  </si>
  <si>
    <t>Superior colliculus, motor related, deep white layer</t>
  </si>
  <si>
    <t>SCiw</t>
  </si>
  <si>
    <t>Superior colliculus, motor related, intermediate white layer</t>
  </si>
  <si>
    <t>SCig</t>
  </si>
  <si>
    <t>Superior colliculus, motor related, intermediate gray layer</t>
  </si>
  <si>
    <t>SCig-a</t>
  </si>
  <si>
    <t>Superior colliculus, motor related, intermediate gray layer, sublayer a</t>
  </si>
  <si>
    <t>SCig-b</t>
  </si>
  <si>
    <t>Superior colliculus, motor related, intermediate gray layer, sublayer b</t>
  </si>
  <si>
    <t>SCig-c</t>
  </si>
  <si>
    <t>Superior colliculus, motor related, intermediate gray layer, sublayer c</t>
  </si>
  <si>
    <t>PAG</t>
  </si>
  <si>
    <t>Periaqueductal gray</t>
  </si>
  <si>
    <t>PRC</t>
  </si>
  <si>
    <t>Precommissural nucleus</t>
  </si>
  <si>
    <t>INC</t>
  </si>
  <si>
    <t>Interstitial nucleus of Cajal</t>
  </si>
  <si>
    <t>ND</t>
  </si>
  <si>
    <t>Nucleus of Darkschewitsch</t>
  </si>
  <si>
    <t>Su3</t>
  </si>
  <si>
    <t>Supraoculomotor periaqueductal gray</t>
  </si>
  <si>
    <t>PRT</t>
  </si>
  <si>
    <t>Pretectal region</t>
  </si>
  <si>
    <t>APN</t>
  </si>
  <si>
    <t>Anterior pretectal nucleus</t>
  </si>
  <si>
    <t>Medial pretectal area</t>
  </si>
  <si>
    <t>NOT</t>
  </si>
  <si>
    <t>Nucleus of the optic tract</t>
  </si>
  <si>
    <t>NPC</t>
  </si>
  <si>
    <t>Nucleus of the posterior commissure</t>
  </si>
  <si>
    <t>OP</t>
  </si>
  <si>
    <t>Olivary pretectal nucleus</t>
  </si>
  <si>
    <t>PPT</t>
  </si>
  <si>
    <t>Posterior pretectal nucleus</t>
  </si>
  <si>
    <t>RPF</t>
  </si>
  <si>
    <t>Retroparafascicular nucleus</t>
  </si>
  <si>
    <t>InCo</t>
  </si>
  <si>
    <t>Intercollicular nucleus</t>
  </si>
  <si>
    <t>CUN</t>
  </si>
  <si>
    <t>Cuneiform nucleus</t>
  </si>
  <si>
    <t>RN</t>
  </si>
  <si>
    <t>Red nucleus</t>
  </si>
  <si>
    <t>Oculomotor nucleus</t>
  </si>
  <si>
    <t>MA3</t>
  </si>
  <si>
    <t>Medial accesory oculomotor nucleus</t>
  </si>
  <si>
    <t>EW</t>
  </si>
  <si>
    <t>Trochlear nucleus</t>
  </si>
  <si>
    <t>Paratrochlear nucleus</t>
  </si>
  <si>
    <t>VTN</t>
  </si>
  <si>
    <t>Ventral tegmental nucleus</t>
  </si>
  <si>
    <t>AT</t>
  </si>
  <si>
    <t>Anterior tegmental nucleus</t>
  </si>
  <si>
    <t>LT</t>
  </si>
  <si>
    <t>Lateral terminal nucleus of the accessory optic tract</t>
  </si>
  <si>
    <t>Dorsal terminal nucleus of the accessory optic tract</t>
  </si>
  <si>
    <t>MT</t>
  </si>
  <si>
    <t>Medial terminal nucleus of the accessory optic tract</t>
  </si>
  <si>
    <t>SNl</t>
  </si>
  <si>
    <t>Substantia nigra, lateral part</t>
  </si>
  <si>
    <t>MBsta</t>
  </si>
  <si>
    <t>Midbrain, behavioral state related</t>
  </si>
  <si>
    <t>SNc</t>
  </si>
  <si>
    <t>Substantia nigra, compact part</t>
  </si>
  <si>
    <t>PPN</t>
  </si>
  <si>
    <t>Pedunculopontine nucleus</t>
  </si>
  <si>
    <t>RAmb</t>
  </si>
  <si>
    <t>Midbrain raphe nuclei</t>
  </si>
  <si>
    <t>Interfascicular nucleus raphe</t>
  </si>
  <si>
    <t>IPN</t>
  </si>
  <si>
    <t>Interpeduncular nucleus</t>
  </si>
  <si>
    <t>Interpeduncular nucleus, rostral</t>
  </si>
  <si>
    <t>Interpeduncular nucleus, caudal</t>
  </si>
  <si>
    <t>Interpeduncular nucleus, apical</t>
  </si>
  <si>
    <t>Interpeduncular nucleus, lateral</t>
  </si>
  <si>
    <t>IPI</t>
  </si>
  <si>
    <t>Interpeduncular nucleus, intermediate</t>
  </si>
  <si>
    <t>Interpeduncular nucleus, dorsomedial</t>
  </si>
  <si>
    <t>Interpeduncular nucleus, dorsolateral</t>
  </si>
  <si>
    <t>Interpeduncular nucleus, rostrolateral</t>
  </si>
  <si>
    <t>RL</t>
  </si>
  <si>
    <t>Rostral linear nucleus raphe</t>
  </si>
  <si>
    <t>CLI</t>
  </si>
  <si>
    <t>Central linear nucleus raphe</t>
  </si>
  <si>
    <t>DR</t>
  </si>
  <si>
    <t>Dorsal nucleus raphe</t>
  </si>
  <si>
    <t>HB</t>
  </si>
  <si>
    <t>Hindbrain</t>
  </si>
  <si>
    <t>P</t>
  </si>
  <si>
    <t>Pons</t>
  </si>
  <si>
    <t>P-sen</t>
  </si>
  <si>
    <t>Pons, sensory related</t>
  </si>
  <si>
    <t>NLL</t>
  </si>
  <si>
    <t>Nucleus of the lateral lemniscus</t>
  </si>
  <si>
    <t>NLLd</t>
  </si>
  <si>
    <t>Nucleus of the lateral lemniscus, dorsal part</t>
  </si>
  <si>
    <t>NLLh</t>
  </si>
  <si>
    <t>Nucleus of the lateral lemniscus, horizontal part</t>
  </si>
  <si>
    <t>NLLv</t>
  </si>
  <si>
    <t>Nucleus of the lateral lemniscus, ventral part</t>
  </si>
  <si>
    <t>PSV</t>
  </si>
  <si>
    <t>Principal sensory nucleus of the trigeminal</t>
  </si>
  <si>
    <t>PB</t>
  </si>
  <si>
    <t>Parabrachial nucleus</t>
  </si>
  <si>
    <t>Koelliker-Fuse subnucleus</t>
  </si>
  <si>
    <t>PBl</t>
  </si>
  <si>
    <t>Parabrachial nucleus, lateral division</t>
  </si>
  <si>
    <t>PBlc</t>
  </si>
  <si>
    <t>Parabrachial nucleus, lateral division, central lateral part</t>
  </si>
  <si>
    <t>PBld</t>
  </si>
  <si>
    <t>Parabrachial nucleus, lateral division, dorsal lateral part</t>
  </si>
  <si>
    <t>PBle</t>
  </si>
  <si>
    <t>Parabrachial nucleus, lateral division, external lateral part</t>
  </si>
  <si>
    <t>PBls</t>
  </si>
  <si>
    <t>Parabrachial nucleus, lateral division, superior lateral part</t>
  </si>
  <si>
    <t>PBlv</t>
  </si>
  <si>
    <t>Parabrachial nucleus, lateral division, ventral lateral part</t>
  </si>
  <si>
    <t>Parabrachial nucleus, medial division</t>
  </si>
  <si>
    <t>PBme</t>
  </si>
  <si>
    <t>Parabrachial nucleus, medial division, external medial part</t>
  </si>
  <si>
    <t>PBmm</t>
  </si>
  <si>
    <t>Parabrachial nucleus, medial division, medial medial part</t>
  </si>
  <si>
    <t>PBmv</t>
  </si>
  <si>
    <t>Parabrachial nucleus, medial division, ventral medial part</t>
  </si>
  <si>
    <t>SOC</t>
  </si>
  <si>
    <t>Superior olivary complex</t>
  </si>
  <si>
    <t>Superior olivary complex, periolivary region</t>
  </si>
  <si>
    <t>SOCm</t>
  </si>
  <si>
    <t>Superior olivary complex, medial part</t>
  </si>
  <si>
    <t>SOCl</t>
  </si>
  <si>
    <t>Superior olivary complex, lateral part</t>
  </si>
  <si>
    <t>P-mot</t>
  </si>
  <si>
    <t>Pons, motor related</t>
  </si>
  <si>
    <t>B</t>
  </si>
  <si>
    <t>DTN</t>
  </si>
  <si>
    <t>Dorsal tegmental nucleus</t>
  </si>
  <si>
    <t>LTN</t>
  </si>
  <si>
    <t>Lateral tegmental nucleus</t>
  </si>
  <si>
    <t>Posterodorsal tegmental nucleus</t>
  </si>
  <si>
    <t>PCG</t>
  </si>
  <si>
    <t>Pontine central gray</t>
  </si>
  <si>
    <t>PG</t>
  </si>
  <si>
    <t>Pontine gray</t>
  </si>
  <si>
    <t>PRNc</t>
  </si>
  <si>
    <t>Pontine reticular nucleus, caudal part</t>
  </si>
  <si>
    <t>PRNv</t>
  </si>
  <si>
    <t>Pontine reticular nucleus, ventral part</t>
  </si>
  <si>
    <t>Supragenual nucleus</t>
  </si>
  <si>
    <t>SSN</t>
  </si>
  <si>
    <t>Superior salivatory nucleus</t>
  </si>
  <si>
    <t>SUT</t>
  </si>
  <si>
    <t>Supratrigeminal nucleus</t>
  </si>
  <si>
    <t>TRN</t>
  </si>
  <si>
    <t>Tegmental reticular nucleus</t>
  </si>
  <si>
    <t>Motor nucleus of trigeminal</t>
  </si>
  <si>
    <t>P5</t>
  </si>
  <si>
    <t>Peritrigeminal zone</t>
  </si>
  <si>
    <t>Acs5</t>
  </si>
  <si>
    <t>Accessory trigeminal nucleus</t>
  </si>
  <si>
    <t>PC5</t>
  </si>
  <si>
    <t>Parvicellular motor 5 nucleus</t>
  </si>
  <si>
    <t>I5</t>
  </si>
  <si>
    <t>Intertrigeminal nucleus</t>
  </si>
  <si>
    <t>P-sat</t>
  </si>
  <si>
    <t>Pons, behavioral state related</t>
  </si>
  <si>
    <t>CS</t>
  </si>
  <si>
    <t>Superior central nucleus raphe</t>
  </si>
  <si>
    <t>CSl</t>
  </si>
  <si>
    <t>Superior central nucleus raphe, lateral part</t>
  </si>
  <si>
    <t>CSm</t>
  </si>
  <si>
    <t>Superior central nucleus raphe, medial part</t>
  </si>
  <si>
    <t>Locus ceruleus</t>
  </si>
  <si>
    <t>LDT</t>
  </si>
  <si>
    <t>Laterodorsal tegmental nucleus</t>
  </si>
  <si>
    <t>NI</t>
  </si>
  <si>
    <t>Nucleus incertus</t>
  </si>
  <si>
    <t>PRNr</t>
  </si>
  <si>
    <t>Pontine reticular nucleus</t>
  </si>
  <si>
    <t>RPO</t>
  </si>
  <si>
    <t>Nucleus raphe pontis</t>
  </si>
  <si>
    <t>SLC</t>
  </si>
  <si>
    <t>Subceruleus nucleus</t>
  </si>
  <si>
    <t>SLD</t>
  </si>
  <si>
    <t>Sublaterodorsal nucleus</t>
  </si>
  <si>
    <t>MY</t>
  </si>
  <si>
    <t>Medulla</t>
  </si>
  <si>
    <t>MY-sen</t>
  </si>
  <si>
    <t>Medulla, sensory related</t>
  </si>
  <si>
    <t>AP</t>
  </si>
  <si>
    <t>Area postrema</t>
  </si>
  <si>
    <t>CN</t>
  </si>
  <si>
    <t>Cochlear nuclei</t>
  </si>
  <si>
    <t>CNlam</t>
  </si>
  <si>
    <t>Granular lamina of the cochlear nuclei</t>
  </si>
  <si>
    <t>CNspg</t>
  </si>
  <si>
    <t>Cochlear nucleus, subpedunclular granular region</t>
  </si>
  <si>
    <t>DCO</t>
  </si>
  <si>
    <t>Dorsal cochlear nucleus</t>
  </si>
  <si>
    <t>VCO</t>
  </si>
  <si>
    <t>Ventral cochlear nucleus</t>
  </si>
  <si>
    <t>DCN</t>
  </si>
  <si>
    <t>Dorsal column nuclei</t>
  </si>
  <si>
    <t>CU</t>
  </si>
  <si>
    <t>Cuneate nucleus</t>
  </si>
  <si>
    <t>GR</t>
  </si>
  <si>
    <t>Gracile nucleus</t>
  </si>
  <si>
    <t>ECU</t>
  </si>
  <si>
    <t>External cuneate nucleus</t>
  </si>
  <si>
    <t>NTB</t>
  </si>
  <si>
    <t>Nucleus of the trapezoid body</t>
  </si>
  <si>
    <t>NTS</t>
  </si>
  <si>
    <t>Nucleus of the solitary tract</t>
  </si>
  <si>
    <t>NTSce</t>
  </si>
  <si>
    <t>Nucleus of the solitary tract, central part</t>
  </si>
  <si>
    <t>NTSco</t>
  </si>
  <si>
    <t>Nucleus of the solitary tract, commissural part</t>
  </si>
  <si>
    <t>NTSge</t>
  </si>
  <si>
    <t>Nucleus of the solitary tract, gelatinous part</t>
  </si>
  <si>
    <t>NTSl</t>
  </si>
  <si>
    <t>Nucleus of the solitary tract, lateral part</t>
  </si>
  <si>
    <t>NTSm</t>
  </si>
  <si>
    <t>Nucleus of the solitary tract, medial part</t>
  </si>
  <si>
    <t>SPVC</t>
  </si>
  <si>
    <t>Spinal nucleus of the trigeminal, caudal part</t>
  </si>
  <si>
    <t>SPVI</t>
  </si>
  <si>
    <t>Spinal nucleus of the trigeminal, interpolar part</t>
  </si>
  <si>
    <t>SPVO</t>
  </si>
  <si>
    <t>Spinal nucleus of the trigeminal, oral part</t>
  </si>
  <si>
    <t>SPVOcdm</t>
  </si>
  <si>
    <t>Spinal nucleus of the trigeminal, oral part, caudal dorsomedial part</t>
  </si>
  <si>
    <t>SPVOmdmd</t>
  </si>
  <si>
    <t>Spinal nucleus of the trigeminal, oral part, middle dorsomedial part, dorsal zone</t>
  </si>
  <si>
    <t>SPVOmdmv</t>
  </si>
  <si>
    <t>Spinal nucleus of the trigeminal, oral part, middle dorsomedial part, ventral zone</t>
  </si>
  <si>
    <t>SPVOrdm</t>
  </si>
  <si>
    <t>Spinal nucleus of the trigeminal, oral part, rostral dorsomedial part</t>
  </si>
  <si>
    <t>SPVOvl</t>
  </si>
  <si>
    <t>Spinal nucleus of the trigeminal, oral part, ventrolateral part</t>
  </si>
  <si>
    <t>Pa5</t>
  </si>
  <si>
    <t>Paratrigeminal nucleus</t>
  </si>
  <si>
    <t>z</t>
  </si>
  <si>
    <t>Nucleus z</t>
  </si>
  <si>
    <t>MY-mot</t>
  </si>
  <si>
    <t>Medulla, motor related</t>
  </si>
  <si>
    <t>Abducens nucleus</t>
  </si>
  <si>
    <t>ACVI</t>
  </si>
  <si>
    <t>Accessory abducens nucleus</t>
  </si>
  <si>
    <t>VII</t>
  </si>
  <si>
    <t>Facial motor nucleus</t>
  </si>
  <si>
    <t>ACVII</t>
  </si>
  <si>
    <t>Accessory facial motor nucleus</t>
  </si>
  <si>
    <t>EV</t>
  </si>
  <si>
    <t>Efferent vestibular nucleus</t>
  </si>
  <si>
    <t>AMB</t>
  </si>
  <si>
    <t>Nucleus ambiguus</t>
  </si>
  <si>
    <t>AMBd</t>
  </si>
  <si>
    <t>Nucleus ambiguus, dorsal division</t>
  </si>
  <si>
    <t>AMBv</t>
  </si>
  <si>
    <t>Nucleus ambiguus, ventral division</t>
  </si>
  <si>
    <t>DMX</t>
  </si>
  <si>
    <t>Dorsal motor nucleus of the vagus nerve</t>
  </si>
  <si>
    <t>ECO</t>
  </si>
  <si>
    <t>Efferent cochlear group</t>
  </si>
  <si>
    <t>GRN</t>
  </si>
  <si>
    <t>Gigantocellular reticular nucleus</t>
  </si>
  <si>
    <t>ICB</t>
  </si>
  <si>
    <t>Infracerebellar nucleus</t>
  </si>
  <si>
    <t>IO</t>
  </si>
  <si>
    <t>Inferior olivary complex</t>
  </si>
  <si>
    <t>IRN</t>
  </si>
  <si>
    <t>Intermediate reticular nucleus</t>
  </si>
  <si>
    <t>ISN</t>
  </si>
  <si>
    <t>Inferior salivatory nucleus</t>
  </si>
  <si>
    <t>LIN</t>
  </si>
  <si>
    <t>Linear nucleus of the medulla</t>
  </si>
  <si>
    <t>LRN</t>
  </si>
  <si>
    <t>Lateral reticular nucleus</t>
  </si>
  <si>
    <t>LRNm</t>
  </si>
  <si>
    <t>Lateral reticular nucleus, magnocellular part</t>
  </si>
  <si>
    <t>LRNp</t>
  </si>
  <si>
    <t>Lateral reticular nucleus, parvicellular part</t>
  </si>
  <si>
    <t>MARN</t>
  </si>
  <si>
    <t>Magnocellular reticular nucleus</t>
  </si>
  <si>
    <t>MDRN</t>
  </si>
  <si>
    <t>Medullary reticular nucleus</t>
  </si>
  <si>
    <t>MDRNd</t>
  </si>
  <si>
    <t>Medullary reticular nucleus, dorsal part</t>
  </si>
  <si>
    <t>MDRNv</t>
  </si>
  <si>
    <t>Medullary reticular nucleus, ventral part</t>
  </si>
  <si>
    <t>PARN</t>
  </si>
  <si>
    <t>Parvicellular reticular nucleus</t>
  </si>
  <si>
    <t>PAS</t>
  </si>
  <si>
    <t>Parasolitary nucleus</t>
  </si>
  <si>
    <t>PGRN</t>
  </si>
  <si>
    <t>Paragigantocellular reticular nucleus</t>
  </si>
  <si>
    <t>PGRNd</t>
  </si>
  <si>
    <t>Paragigantocellular reticular nucleus, dorsal part</t>
  </si>
  <si>
    <t>PGRNl</t>
  </si>
  <si>
    <t>Paragigantocellular reticular nucleus, lateral part</t>
  </si>
  <si>
    <t>PHY</t>
  </si>
  <si>
    <t>Perihypoglossal nuclei</t>
  </si>
  <si>
    <t>NIS</t>
  </si>
  <si>
    <t>Nucleus intercalatus</t>
  </si>
  <si>
    <t>NR</t>
  </si>
  <si>
    <t>Nucleus of Roller</t>
  </si>
  <si>
    <t>PRP</t>
  </si>
  <si>
    <t>Nucleus prepositus</t>
  </si>
  <si>
    <t>PMR</t>
  </si>
  <si>
    <t>Paramedian reticular nucleus</t>
  </si>
  <si>
    <t>PPY</t>
  </si>
  <si>
    <t>Parapyramidal nucleus</t>
  </si>
  <si>
    <t>PPYd</t>
  </si>
  <si>
    <t>Parapyramidal nucleus, deep part</t>
  </si>
  <si>
    <t>PPYs</t>
  </si>
  <si>
    <t>Parapyramidal nucleus, superficial part</t>
  </si>
  <si>
    <t>VNC</t>
  </si>
  <si>
    <t>Vestibular nuclei</t>
  </si>
  <si>
    <t>LAV</t>
  </si>
  <si>
    <t>Lateral vestibular nucleus</t>
  </si>
  <si>
    <t>MV</t>
  </si>
  <si>
    <t>Medial vestibular nucleus</t>
  </si>
  <si>
    <t>SPIV</t>
  </si>
  <si>
    <t>Spinal vestibular nucleus</t>
  </si>
  <si>
    <t>SUV</t>
  </si>
  <si>
    <t>Superior vestibular nucleus</t>
  </si>
  <si>
    <t>x</t>
  </si>
  <si>
    <t>Nucleus x</t>
  </si>
  <si>
    <t>XII</t>
  </si>
  <si>
    <t>Hypoglossal nucleus</t>
  </si>
  <si>
    <t>y</t>
  </si>
  <si>
    <t>Nucleus y</t>
  </si>
  <si>
    <t>INV</t>
  </si>
  <si>
    <t>Interstitial nucleus of the vestibular nerve</t>
  </si>
  <si>
    <t>MY-sat</t>
  </si>
  <si>
    <t>Medulla, behavioral state related</t>
  </si>
  <si>
    <t>RM</t>
  </si>
  <si>
    <t>Nucleus raphe magnus</t>
  </si>
  <si>
    <t>RPA</t>
  </si>
  <si>
    <t>Nucleus raphe pallidus</t>
  </si>
  <si>
    <t>RO</t>
  </si>
  <si>
    <t>Nucleus raphe obscurus</t>
  </si>
  <si>
    <t>CB</t>
  </si>
  <si>
    <t>Cerebellum</t>
  </si>
  <si>
    <t>CBX</t>
  </si>
  <si>
    <t>Cerebellar cortex</t>
  </si>
  <si>
    <t>CBXmo</t>
  </si>
  <si>
    <t>Cerebellar cortex, molecular layer</t>
  </si>
  <si>
    <t>CBXpu</t>
  </si>
  <si>
    <t>Cerebellar cortex, Purkinje layer</t>
  </si>
  <si>
    <t>CBXgr</t>
  </si>
  <si>
    <t>Cerebellar cortex, granular layer</t>
  </si>
  <si>
    <t>VERM</t>
  </si>
  <si>
    <t>Vermal regions</t>
  </si>
  <si>
    <t>LING</t>
  </si>
  <si>
    <t>Lingula (I)</t>
  </si>
  <si>
    <t>LINGmo</t>
  </si>
  <si>
    <t>Lingula (I), molecular layer</t>
  </si>
  <si>
    <t>LINGpu</t>
  </si>
  <si>
    <t>Lingula (I), Purkinje layer</t>
  </si>
  <si>
    <t>LINGgr</t>
  </si>
  <si>
    <t>Lingula (I), granular layer</t>
  </si>
  <si>
    <t>CENT</t>
  </si>
  <si>
    <t>Central lobule</t>
  </si>
  <si>
    <t>CENT2</t>
  </si>
  <si>
    <t>Lobule II</t>
  </si>
  <si>
    <t>CENT2mo</t>
  </si>
  <si>
    <t>Lobule II, molecular layer</t>
  </si>
  <si>
    <t>CENT2pu</t>
  </si>
  <si>
    <t>Lobule II, Purkinje layer</t>
  </si>
  <si>
    <t>CENT2gr</t>
  </si>
  <si>
    <t>Lobule II, granular layer</t>
  </si>
  <si>
    <t>CENT3</t>
  </si>
  <si>
    <t>Lobule III</t>
  </si>
  <si>
    <t>CENT3mo</t>
  </si>
  <si>
    <t>Lobule III, molecular layer</t>
  </si>
  <si>
    <t>CENT3pu</t>
  </si>
  <si>
    <t>Lobule III, Purkinje layer</t>
  </si>
  <si>
    <t>CENT3gr</t>
  </si>
  <si>
    <t>Lobule III, granular layer</t>
  </si>
  <si>
    <t>CUL</t>
  </si>
  <si>
    <t>Culmen</t>
  </si>
  <si>
    <t>CUL4</t>
  </si>
  <si>
    <t>Lobule IV</t>
  </si>
  <si>
    <t>CUL4mo</t>
  </si>
  <si>
    <t>Lobule IV, molecular layer</t>
  </si>
  <si>
    <t>CUL4pu</t>
  </si>
  <si>
    <t>Lobule IV, Purkinje layer</t>
  </si>
  <si>
    <t>CUL4gr</t>
  </si>
  <si>
    <t>Lobule IV, granular layer</t>
  </si>
  <si>
    <t>CUL5</t>
  </si>
  <si>
    <t>Lobule V</t>
  </si>
  <si>
    <t>CUL5mo</t>
  </si>
  <si>
    <t>Lobule V, molecular layer</t>
  </si>
  <si>
    <t>CUL5pu</t>
  </si>
  <si>
    <t>Lobule V, Purkinje layer</t>
  </si>
  <si>
    <t>CUL5gr</t>
  </si>
  <si>
    <t>Lobule V, granular layer</t>
  </si>
  <si>
    <t>CUL4, 5</t>
  </si>
  <si>
    <t>Lobules IV-V</t>
  </si>
  <si>
    <t>CUL4, 5mo</t>
  </si>
  <si>
    <t>Lobules IV-V, molecular layer</t>
  </si>
  <si>
    <t>CUL4, 5pu</t>
  </si>
  <si>
    <t>Lobules IV-V, Purkinje layer</t>
  </si>
  <si>
    <t>CUL4, 5gr</t>
  </si>
  <si>
    <t>Lobules IV-V, granular layer</t>
  </si>
  <si>
    <t>DEC</t>
  </si>
  <si>
    <t>Declive (VI)</t>
  </si>
  <si>
    <t>DECmo</t>
  </si>
  <si>
    <t>Declive (VI), molecular layer</t>
  </si>
  <si>
    <t>DECpu</t>
  </si>
  <si>
    <t>Declive (VI), Purkinje layer</t>
  </si>
  <si>
    <t>DECgr</t>
  </si>
  <si>
    <t>Declive (VI), granular layer</t>
  </si>
  <si>
    <t>FOTU</t>
  </si>
  <si>
    <t>Folium-tuber vermis (VII)</t>
  </si>
  <si>
    <t>FOTUmo</t>
  </si>
  <si>
    <t>Folium-tuber vermis (VII), molecular layer</t>
  </si>
  <si>
    <t>FOTUpu</t>
  </si>
  <si>
    <t>Folium-tuber vermis (VII), Purkinje layer</t>
  </si>
  <si>
    <t>FOTUgr</t>
  </si>
  <si>
    <t>Folium-tuber vermis (VII), granular layer</t>
  </si>
  <si>
    <t>PYR</t>
  </si>
  <si>
    <t>Pyramus (VIII)</t>
  </si>
  <si>
    <t>PYRmo</t>
  </si>
  <si>
    <t>Pyramus (VIII), molecular layer</t>
  </si>
  <si>
    <t>PYRpu</t>
  </si>
  <si>
    <t>Pyramus (VIII), Purkinje layer</t>
  </si>
  <si>
    <t>PYRgr</t>
  </si>
  <si>
    <t>Pyramus (VIII), granular layer</t>
  </si>
  <si>
    <t>UVU</t>
  </si>
  <si>
    <t>Uvula (IX)</t>
  </si>
  <si>
    <t>UVUmo</t>
  </si>
  <si>
    <t>Uvula (IX), molecular layer</t>
  </si>
  <si>
    <t>UVUpu</t>
  </si>
  <si>
    <t>Uvula (IX), Purkinje layer</t>
  </si>
  <si>
    <t>UVUgr</t>
  </si>
  <si>
    <t>Uvula (IX), granular layer</t>
  </si>
  <si>
    <t>NOD</t>
  </si>
  <si>
    <t>Nodulus (X)</t>
  </si>
  <si>
    <t>NODmo</t>
  </si>
  <si>
    <t>Nodulus (X), molecular layer</t>
  </si>
  <si>
    <t>NODpu</t>
  </si>
  <si>
    <t>Nodulus (X), Purkinje layer</t>
  </si>
  <si>
    <t>NODgr</t>
  </si>
  <si>
    <t>Nodulus (X), granular layer</t>
  </si>
  <si>
    <t>HEM</t>
  </si>
  <si>
    <t>Hemispheric regions</t>
  </si>
  <si>
    <t>SIM</t>
  </si>
  <si>
    <t>Simple lobule</t>
  </si>
  <si>
    <t>SIMmo</t>
  </si>
  <si>
    <t>Simple lobule, molecular layer</t>
  </si>
  <si>
    <t>SIMpu</t>
  </si>
  <si>
    <t>Simple lobule, Purkinje layer</t>
  </si>
  <si>
    <t>SIMgr</t>
  </si>
  <si>
    <t>Simple lobule, granular layer</t>
  </si>
  <si>
    <t>AN</t>
  </si>
  <si>
    <t>Ansiform lobule</t>
  </si>
  <si>
    <t>ANcr1</t>
  </si>
  <si>
    <t>Crus 1</t>
  </si>
  <si>
    <t>ANcr1mo</t>
  </si>
  <si>
    <t>Crus 1, molecular layer</t>
  </si>
  <si>
    <t>ANcr1pu</t>
  </si>
  <si>
    <t>Crus 1, Purkinje layer</t>
  </si>
  <si>
    <t>ANcr1gr</t>
  </si>
  <si>
    <t>Crus 1, granular layer</t>
  </si>
  <si>
    <t>ANcr2</t>
  </si>
  <si>
    <t>Crus 2</t>
  </si>
  <si>
    <t>ANcr2mo</t>
  </si>
  <si>
    <t>Crus 2, molecular layer</t>
  </si>
  <si>
    <t>ANcr2pu</t>
  </si>
  <si>
    <t>Crus 2, Purkinje layer</t>
  </si>
  <si>
    <t>ANcr2gr</t>
  </si>
  <si>
    <t>Crus 2, granular layer</t>
  </si>
  <si>
    <t>PRM</t>
  </si>
  <si>
    <t>Paramedian lobule</t>
  </si>
  <si>
    <t>PRMmo</t>
  </si>
  <si>
    <t>Paramedian lobule, molecular layer</t>
  </si>
  <si>
    <t>PRMpu</t>
  </si>
  <si>
    <t>Paramedian lobule, Purkinje layer</t>
  </si>
  <si>
    <t>PRMgr</t>
  </si>
  <si>
    <t>Paramedian lobule, granular layer</t>
  </si>
  <si>
    <t>COPY</t>
  </si>
  <si>
    <t>Copula pyramidis</t>
  </si>
  <si>
    <t>COPYmo</t>
  </si>
  <si>
    <t>Copula pyramidis, molecular layer</t>
  </si>
  <si>
    <t>COPYpu</t>
  </si>
  <si>
    <t>Copula pyramidis, Purkinje layer</t>
  </si>
  <si>
    <t>COPYgr</t>
  </si>
  <si>
    <t>Copula pyramidis, granular layer</t>
  </si>
  <si>
    <t>PFL</t>
  </si>
  <si>
    <t>Paraflocculus</t>
  </si>
  <si>
    <t>PFLmo</t>
  </si>
  <si>
    <t>Paraflocculus, molecular layer</t>
  </si>
  <si>
    <t>PFLpu</t>
  </si>
  <si>
    <t>Paraflocculus, Purkinje layer</t>
  </si>
  <si>
    <t>PFLgr</t>
  </si>
  <si>
    <t>Paraflocculus, granular layer</t>
  </si>
  <si>
    <t>FL</t>
  </si>
  <si>
    <t>Flocculus</t>
  </si>
  <si>
    <t>FLmo</t>
  </si>
  <si>
    <t>Flocculus, molecular layer</t>
  </si>
  <si>
    <t>FLpu</t>
  </si>
  <si>
    <t>Flocculus, Purkinje layer</t>
  </si>
  <si>
    <t>FLgr</t>
  </si>
  <si>
    <t>Flocculus, granular layer</t>
  </si>
  <si>
    <t>CBN</t>
  </si>
  <si>
    <t>Cerebellar nuclei</t>
  </si>
  <si>
    <t>FN</t>
  </si>
  <si>
    <t>Fastigial nucleus</t>
  </si>
  <si>
    <t>IP</t>
  </si>
  <si>
    <t>Interposed nucleus</t>
  </si>
  <si>
    <t>DN</t>
  </si>
  <si>
    <t>Dentate nucleus</t>
  </si>
  <si>
    <t>VeCB</t>
  </si>
  <si>
    <t>Vestibulocerebellar nucleus</t>
  </si>
  <si>
    <t>fiber tracts</t>
  </si>
  <si>
    <t>cm</t>
  </si>
  <si>
    <t>tn</t>
  </si>
  <si>
    <t>von</t>
  </si>
  <si>
    <t>In</t>
  </si>
  <si>
    <t>onl</t>
  </si>
  <si>
    <t>lotg</t>
  </si>
  <si>
    <t>lateral olfactory tract, general</t>
  </si>
  <si>
    <t>lotd</t>
  </si>
  <si>
    <t>dorsal limb</t>
  </si>
  <si>
    <t>aolt</t>
  </si>
  <si>
    <t>accessory olfactory tract</t>
  </si>
  <si>
    <t>aco</t>
  </si>
  <si>
    <t>IIn</t>
  </si>
  <si>
    <t>aot</t>
  </si>
  <si>
    <t>bsc</t>
  </si>
  <si>
    <t>csc</t>
  </si>
  <si>
    <t>ttp</t>
  </si>
  <si>
    <t>IIIn</t>
  </si>
  <si>
    <t>IVn</t>
  </si>
  <si>
    <t>IVd</t>
  </si>
  <si>
    <t>VIn</t>
  </si>
  <si>
    <t>Vn</t>
  </si>
  <si>
    <t>moV</t>
  </si>
  <si>
    <t>sV</t>
  </si>
  <si>
    <t>mtV</t>
  </si>
  <si>
    <t>sptV</t>
  </si>
  <si>
    <t>VIIn</t>
  </si>
  <si>
    <t>iVIIn</t>
  </si>
  <si>
    <t>gVIIn</t>
  </si>
  <si>
    <t>VIIIn</t>
  </si>
  <si>
    <t>cvb</t>
  </si>
  <si>
    <t>vVIIIn</t>
  </si>
  <si>
    <t>cVIIIn</t>
  </si>
  <si>
    <t>tb</t>
  </si>
  <si>
    <t>ias</t>
  </si>
  <si>
    <t>das</t>
  </si>
  <si>
    <t>cic</t>
  </si>
  <si>
    <t>IXn</t>
  </si>
  <si>
    <t>Xn</t>
  </si>
  <si>
    <t>ts</t>
  </si>
  <si>
    <t>XIn</t>
  </si>
  <si>
    <t>XIIn</t>
  </si>
  <si>
    <t>vrt</t>
  </si>
  <si>
    <t>ventral roots</t>
  </si>
  <si>
    <t>drt</t>
  </si>
  <si>
    <t>dorsal roots</t>
  </si>
  <si>
    <t>cett</t>
  </si>
  <si>
    <t>cervicothalamic tract</t>
  </si>
  <si>
    <t>dl</t>
  </si>
  <si>
    <t>dorsolateral fascicle</t>
  </si>
  <si>
    <t>dcm</t>
  </si>
  <si>
    <t>dorsal commissure of the spinal cord</t>
  </si>
  <si>
    <t>vc</t>
  </si>
  <si>
    <t>fpr</t>
  </si>
  <si>
    <t>fasciculus proprius</t>
  </si>
  <si>
    <t>cuf</t>
  </si>
  <si>
    <t>grf</t>
  </si>
  <si>
    <t>iaf</t>
  </si>
  <si>
    <t>sst</t>
  </si>
  <si>
    <t>sttl</t>
  </si>
  <si>
    <t>lateral spinothalamic tract</t>
  </si>
  <si>
    <t>sttv</t>
  </si>
  <si>
    <t>ventral spinothalamic tract</t>
  </si>
  <si>
    <t>scrt</t>
  </si>
  <si>
    <t>spinocervical tract</t>
  </si>
  <si>
    <t>sop</t>
  </si>
  <si>
    <t>srp</t>
  </si>
  <si>
    <t>spinoreticular pathway</t>
  </si>
  <si>
    <t>svp</t>
  </si>
  <si>
    <t>spinovestibular pathway</t>
  </si>
  <si>
    <t>stp</t>
  </si>
  <si>
    <t>shp</t>
  </si>
  <si>
    <t>spinohypothalamic pathway</t>
  </si>
  <si>
    <t>step</t>
  </si>
  <si>
    <t>spinotelenchephalic pathway</t>
  </si>
  <si>
    <t>hht</t>
  </si>
  <si>
    <t>hypothalamohypophysial tract</t>
  </si>
  <si>
    <t>cbf</t>
  </si>
  <si>
    <t>cerebellum related fiber tracts</t>
  </si>
  <si>
    <t>cbp</t>
  </si>
  <si>
    <t>sct</t>
  </si>
  <si>
    <t>uf</t>
  </si>
  <si>
    <t>sctv</t>
  </si>
  <si>
    <t>sctd</t>
  </si>
  <si>
    <t>cct</t>
  </si>
  <si>
    <t>jrb</t>
  </si>
  <si>
    <t>bct</t>
  </si>
  <si>
    <t>oct</t>
  </si>
  <si>
    <t>rct</t>
  </si>
  <si>
    <t>tct</t>
  </si>
  <si>
    <t>arb</t>
  </si>
  <si>
    <t>arbor vitae</t>
  </si>
  <si>
    <t>scwm</t>
  </si>
  <si>
    <t>supra-callosal cerebral white matter</t>
  </si>
  <si>
    <t>lfbs</t>
  </si>
  <si>
    <t>lateral forebrain bundle system</t>
  </si>
  <si>
    <t>fa</t>
  </si>
  <si>
    <t>ee</t>
  </si>
  <si>
    <t>ccg</t>
  </si>
  <si>
    <t>fp</t>
  </si>
  <si>
    <t>ccr</t>
  </si>
  <si>
    <t>ccb</t>
  </si>
  <si>
    <t>corpus callosum, body</t>
  </si>
  <si>
    <t>ccs</t>
  </si>
  <si>
    <t>cst</t>
  </si>
  <si>
    <t>int</t>
  </si>
  <si>
    <t>cpd</t>
  </si>
  <si>
    <t>cte</t>
  </si>
  <si>
    <t>crt</t>
  </si>
  <si>
    <t>corticorubral tract</t>
  </si>
  <si>
    <t>cpt</t>
  </si>
  <si>
    <t>corticopontine tract</t>
  </si>
  <si>
    <t>cbt</t>
  </si>
  <si>
    <t>pyd</t>
  </si>
  <si>
    <t>cstc</t>
  </si>
  <si>
    <t>cstu</t>
  </si>
  <si>
    <t>lfbst</t>
  </si>
  <si>
    <t>thalamus related</t>
  </si>
  <si>
    <t>em</t>
  </si>
  <si>
    <t>im</t>
  </si>
  <si>
    <t>mtc</t>
  </si>
  <si>
    <t>middle thalamic commissure</t>
  </si>
  <si>
    <t>tp</t>
  </si>
  <si>
    <t>or</t>
  </si>
  <si>
    <t>ar</t>
  </si>
  <si>
    <t>eps</t>
  </si>
  <si>
    <t>epsc</t>
  </si>
  <si>
    <t>cerebral nuclei related</t>
  </si>
  <si>
    <t>pap</t>
  </si>
  <si>
    <t>pallidothalamic pathway</t>
  </si>
  <si>
    <t>nst</t>
  </si>
  <si>
    <t>ntt</t>
  </si>
  <si>
    <t>nigrothalamic fibers</t>
  </si>
  <si>
    <t>ptf</t>
  </si>
  <si>
    <t>snp</t>
  </si>
  <si>
    <t>striatonigral pathway</t>
  </si>
  <si>
    <t>stf</t>
  </si>
  <si>
    <t>tspd</t>
  </si>
  <si>
    <t>direct tectospinal pathway</t>
  </si>
  <si>
    <t>dtd</t>
  </si>
  <si>
    <t>doral tegmental decussation</t>
  </si>
  <si>
    <t>tspc</t>
  </si>
  <si>
    <t>crossed tectospinal pathway</t>
  </si>
  <si>
    <t>rust</t>
  </si>
  <si>
    <t>vtd</t>
  </si>
  <si>
    <t>rrt</t>
  </si>
  <si>
    <t>ctb</t>
  </si>
  <si>
    <t>central tegmental bundle</t>
  </si>
  <si>
    <t>rst</t>
  </si>
  <si>
    <t>retriculospinal tract</t>
  </si>
  <si>
    <t>rstl</t>
  </si>
  <si>
    <t>retriculospinal tract, lateral part</t>
  </si>
  <si>
    <t>rstm</t>
  </si>
  <si>
    <t>retriculospinal tract, medial part</t>
  </si>
  <si>
    <t>vsp</t>
  </si>
  <si>
    <t>mfbs</t>
  </si>
  <si>
    <t>medial forebrain bundle system</t>
  </si>
  <si>
    <t>mfbc</t>
  </si>
  <si>
    <t>cerebrum related</t>
  </si>
  <si>
    <t>amc</t>
  </si>
  <si>
    <t>amygdalar capsule</t>
  </si>
  <si>
    <t>apd</t>
  </si>
  <si>
    <t>act</t>
  </si>
  <si>
    <t>cing</t>
  </si>
  <si>
    <t>fxs</t>
  </si>
  <si>
    <t>fornix system</t>
  </si>
  <si>
    <t>alv</t>
  </si>
  <si>
    <t>df</t>
  </si>
  <si>
    <t>dorsal fornix</t>
  </si>
  <si>
    <t>fxprg</t>
  </si>
  <si>
    <t>precommissural fornix, general</t>
  </si>
  <si>
    <t>precommissural fornix diagonal band</t>
  </si>
  <si>
    <t>fxpo</t>
  </si>
  <si>
    <t>mct</t>
  </si>
  <si>
    <t>medial corticohypothalamic tract</t>
  </si>
  <si>
    <t>dhc</t>
  </si>
  <si>
    <t>vhc</t>
  </si>
  <si>
    <t>per</t>
  </si>
  <si>
    <t>ab</t>
  </si>
  <si>
    <t>angular path</t>
  </si>
  <si>
    <t>lab</t>
  </si>
  <si>
    <t>longitudinal association bundle</t>
  </si>
  <si>
    <t>stc</t>
  </si>
  <si>
    <t>commissural branch of stria terminalis</t>
  </si>
  <si>
    <t>mfsbshy</t>
  </si>
  <si>
    <t>hypothalamus related</t>
  </si>
  <si>
    <t>mfb</t>
  </si>
  <si>
    <t>vlt</t>
  </si>
  <si>
    <t>ventrolateral hypothalamic tract</t>
  </si>
  <si>
    <t>poc</t>
  </si>
  <si>
    <t>sup</t>
  </si>
  <si>
    <t>supraoptic commissures</t>
  </si>
  <si>
    <t>supa</t>
  </si>
  <si>
    <t>supraoptic commissures, anterior</t>
  </si>
  <si>
    <t>supd</t>
  </si>
  <si>
    <t>supv</t>
  </si>
  <si>
    <t>pmx</t>
  </si>
  <si>
    <t>premammillary commissure</t>
  </si>
  <si>
    <t>smd</t>
  </si>
  <si>
    <t>php</t>
  </si>
  <si>
    <t>propriohypothalamic pathways</t>
  </si>
  <si>
    <t>phpd</t>
  </si>
  <si>
    <t>propriohypothalamic pathways, dorsal</t>
  </si>
  <si>
    <t>phpl</t>
  </si>
  <si>
    <t>propriohypothalamic pathways, lateral</t>
  </si>
  <si>
    <t>phpm</t>
  </si>
  <si>
    <t>propriohypothalamic pathways, medial</t>
  </si>
  <si>
    <t>phpv</t>
  </si>
  <si>
    <t>propriohypothalamic pathways, ventral</t>
  </si>
  <si>
    <t>pvbh</t>
  </si>
  <si>
    <t>periventricular bundle of the hypothalamus</t>
  </si>
  <si>
    <t>mfbsma</t>
  </si>
  <si>
    <t>mammillary related</t>
  </si>
  <si>
    <t>pm</t>
  </si>
  <si>
    <t>mtt</t>
  </si>
  <si>
    <t>mp</t>
  </si>
  <si>
    <t>mfbst</t>
  </si>
  <si>
    <t>dorsal thalamus related</t>
  </si>
  <si>
    <t>pvbt</t>
  </si>
  <si>
    <t>periventricular bundle of the thalamus</t>
  </si>
  <si>
    <t>mfbse</t>
  </si>
  <si>
    <t>epithalamus related</t>
  </si>
  <si>
    <t>fr</t>
  </si>
  <si>
    <t>PIS</t>
  </si>
  <si>
    <t>mfbsm</t>
  </si>
  <si>
    <t>midbrain related</t>
  </si>
  <si>
    <t>dlf</t>
  </si>
  <si>
    <t>dtt</t>
  </si>
  <si>
    <t>dorsal tegmental tract</t>
  </si>
  <si>
    <t>VS</t>
  </si>
  <si>
    <t>RC</t>
  </si>
  <si>
    <t>SEZ</t>
  </si>
  <si>
    <t>chpl</t>
  </si>
  <si>
    <t>chfl</t>
  </si>
  <si>
    <t>IVF</t>
  </si>
  <si>
    <t>V3</t>
  </si>
  <si>
    <t>AQ</t>
  </si>
  <si>
    <t>V4</t>
  </si>
  <si>
    <t>V4r</t>
  </si>
  <si>
    <t>c</t>
  </si>
  <si>
    <t>grv</t>
  </si>
  <si>
    <t>grooves</t>
  </si>
  <si>
    <t>grv of CTX</t>
  </si>
  <si>
    <t>grooves of the cerebral cortex</t>
  </si>
  <si>
    <t>eg</t>
  </si>
  <si>
    <t>endorhinal groove</t>
  </si>
  <si>
    <t>hf</t>
  </si>
  <si>
    <t>ri</t>
  </si>
  <si>
    <t>grv of CBX</t>
  </si>
  <si>
    <t>grooves of the cerebellar cortex</t>
  </si>
  <si>
    <t>pce</t>
  </si>
  <si>
    <t>pcf</t>
  </si>
  <si>
    <t>pri</t>
  </si>
  <si>
    <t>psf</t>
  </si>
  <si>
    <t>ppf</t>
  </si>
  <si>
    <t>sec</t>
  </si>
  <si>
    <t>plf</t>
  </si>
  <si>
    <t>nf</t>
  </si>
  <si>
    <t>nodular fissure</t>
  </si>
  <si>
    <t>sif</t>
  </si>
  <si>
    <t>simple fissure</t>
  </si>
  <si>
    <t>icf</t>
  </si>
  <si>
    <t>intercrural fissure</t>
  </si>
  <si>
    <t>apf</t>
  </si>
  <si>
    <t>ipf</t>
  </si>
  <si>
    <t>intraparafloccular fissure</t>
  </si>
  <si>
    <t>pms</t>
  </si>
  <si>
    <t>paramedian sulcus</t>
  </si>
  <si>
    <t>pfs</t>
  </si>
  <si>
    <t>parafloccular sulcus</t>
  </si>
  <si>
    <t>IPF</t>
  </si>
  <si>
    <t>Interpeduncular fossa</t>
  </si>
  <si>
    <t>NT</t>
  </si>
  <si>
    <t>Br</t>
  </si>
  <si>
    <t>FGM</t>
  </si>
  <si>
    <t>FTS</t>
  </si>
  <si>
    <t>transient structures of forebrain</t>
  </si>
  <si>
    <t>fSG</t>
  </si>
  <si>
    <t>SG in frontal neocortex</t>
  </si>
  <si>
    <t>fSGfp</t>
  </si>
  <si>
    <t>SG in frontal polar cortex</t>
  </si>
  <si>
    <t>fSGdm</t>
  </si>
  <si>
    <t>SG in dorsomedial frontal cortex</t>
  </si>
  <si>
    <t>fSGdl</t>
  </si>
  <si>
    <t>SG in dorsolateral prefrontal cortex</t>
  </si>
  <si>
    <t>fSGvl</t>
  </si>
  <si>
    <t>SG in ventrolateral prefrontal cortex</t>
  </si>
  <si>
    <t>fSGor</t>
  </si>
  <si>
    <t>SG in orbital frontal cortex</t>
  </si>
  <si>
    <t>fSGm1</t>
  </si>
  <si>
    <t>SG in posterior frontal cortex (motor cortex)</t>
  </si>
  <si>
    <t>pSG</t>
  </si>
  <si>
    <t>SG in parietal neocortex</t>
  </si>
  <si>
    <t>pSGs1</t>
  </si>
  <si>
    <t>SG in primary somatosensory cortex</t>
  </si>
  <si>
    <t>pSGdm</t>
  </si>
  <si>
    <t>SG in dorsomedial parietal cortex (area 7m)</t>
  </si>
  <si>
    <t>pSGpd</t>
  </si>
  <si>
    <t>SG in posterosuperior (dorsal) parietal cortex</t>
  </si>
  <si>
    <t>pSGpv</t>
  </si>
  <si>
    <t>SG in posteroinferior (ventral) parietal cortex</t>
  </si>
  <si>
    <t>tSG</t>
  </si>
  <si>
    <t>SG in temporal neocortex</t>
  </si>
  <si>
    <t>tSGdl</t>
  </si>
  <si>
    <t>SG in dorsolateral temporal cortex</t>
  </si>
  <si>
    <t>tSGa1</t>
  </si>
  <si>
    <t>SG in primary auditory cortex</t>
  </si>
  <si>
    <t>tSGsl</t>
  </si>
  <si>
    <t>SG in superolateral temporal cortex</t>
  </si>
  <si>
    <t>tSGps</t>
  </si>
  <si>
    <t>SG in polysensory temporal cortex</t>
  </si>
  <si>
    <t>tSGpi</t>
  </si>
  <si>
    <t>SG in parainsular temporal cortex</t>
  </si>
  <si>
    <t>tSGvl</t>
  </si>
  <si>
    <t>SG in ventrolateral temporal cortex</t>
  </si>
  <si>
    <t>tSGml</t>
  </si>
  <si>
    <t>SG in midlateral temporal cortex</t>
  </si>
  <si>
    <t>tSGil</t>
  </si>
  <si>
    <t>SG in inferolateral temporal cortex</t>
  </si>
  <si>
    <t>tSGmi</t>
  </si>
  <si>
    <t>SG in midinferior temporal cortex</t>
  </si>
  <si>
    <t>tSG36</t>
  </si>
  <si>
    <t>SG in rostral midinferior temporal cortex (area 36)</t>
  </si>
  <si>
    <t>tSGtf</t>
  </si>
  <si>
    <t>SG in caudal midinferior temporal cortex (area TF)</t>
  </si>
  <si>
    <t>tSGph</t>
  </si>
  <si>
    <t>SG in posterior parahippocampal cortex</t>
  </si>
  <si>
    <t>tSGmt</t>
  </si>
  <si>
    <t>SG in medial temporal-occipital cortex</t>
  </si>
  <si>
    <t>tSGlt</t>
  </si>
  <si>
    <t>SG in lateral temporal-occipital cortex</t>
  </si>
  <si>
    <t>tSGtp</t>
  </si>
  <si>
    <t>SG in temporal polar cortex</t>
  </si>
  <si>
    <t>oSG</t>
  </si>
  <si>
    <t>SG in occipital neocortex</t>
  </si>
  <si>
    <t>oSGpro</t>
  </si>
  <si>
    <t>SG in area prostriata</t>
  </si>
  <si>
    <t>oSGv1</t>
  </si>
  <si>
    <t>SG in primary visual cortex</t>
  </si>
  <si>
    <t>oSGexs</t>
  </si>
  <si>
    <t>SG in extrastriate cortex</t>
  </si>
  <si>
    <t>oSGdm</t>
  </si>
  <si>
    <t>SG in dorsomedial extrastriate cortex (V2)</t>
  </si>
  <si>
    <t>oSGvm</t>
  </si>
  <si>
    <t>SG in ventromedial extrastriate cortex (VP)</t>
  </si>
  <si>
    <t>oSGml</t>
  </si>
  <si>
    <t>SG in midlateral extrastriate cortex (area 19)</t>
  </si>
  <si>
    <t>iSG</t>
  </si>
  <si>
    <t>SG in insular neocortex</t>
  </si>
  <si>
    <t>iSGdg</t>
  </si>
  <si>
    <t>SG in dysgranular insular cortex</t>
  </si>
  <si>
    <t>iSGg</t>
  </si>
  <si>
    <t>SG in granular insular cortex</t>
  </si>
  <si>
    <t>cSG</t>
  </si>
  <si>
    <t>SG in cingulate neocortex</t>
  </si>
  <si>
    <t>cSGr</t>
  </si>
  <si>
    <t>SG in rostral cingulate cortex</t>
  </si>
  <si>
    <t>cSGmi</t>
  </si>
  <si>
    <t>SG in midcingulate cortex</t>
  </si>
  <si>
    <t>cSGc</t>
  </si>
  <si>
    <t>SG in caudal cingulate cortex</t>
  </si>
  <si>
    <t>cSGsg</t>
  </si>
  <si>
    <t>SG in subgenual (subcallosal) cingulate cortex</t>
  </si>
  <si>
    <t>peSG</t>
  </si>
  <si>
    <t>SG in periallocortex</t>
  </si>
  <si>
    <t>SGPC</t>
  </si>
  <si>
    <t>SG in perirhinal cortex</t>
  </si>
  <si>
    <t>SGpcr</t>
  </si>
  <si>
    <t>SG in rostral perirhinal cortex</t>
  </si>
  <si>
    <t>SGpcc</t>
  </si>
  <si>
    <t>SG in caudal perirhinal cortex</t>
  </si>
  <si>
    <t>SGpas</t>
  </si>
  <si>
    <t>SG in parasubicular cortex</t>
  </si>
  <si>
    <t>SGec</t>
  </si>
  <si>
    <t>SG in entorhinal cortex</t>
  </si>
  <si>
    <t>SGecl</t>
  </si>
  <si>
    <t>SG in lateral (anterior) entorhinal cortex</t>
  </si>
  <si>
    <t>SGEo</t>
  </si>
  <si>
    <t>SG in olfactory entorhinal cortex</t>
  </si>
  <si>
    <t>SGEr</t>
  </si>
  <si>
    <t>SG in rostral entorhinal cortex</t>
  </si>
  <si>
    <t>SGecm</t>
  </si>
  <si>
    <t>SG in medial (posterior) entorhinal cortex</t>
  </si>
  <si>
    <t>SGEc</t>
  </si>
  <si>
    <t>SG in caudal entorhinal cortex</t>
  </si>
  <si>
    <t>SGprs</t>
  </si>
  <si>
    <t>SG in presubicular cortex</t>
  </si>
  <si>
    <t>SGprsr</t>
  </si>
  <si>
    <t>SG in rostral presubicular cortex</t>
  </si>
  <si>
    <t>SGprsc</t>
  </si>
  <si>
    <t>SG in caudal presubicular cortex</t>
  </si>
  <si>
    <t>SGrs</t>
  </si>
  <si>
    <t>SG in retrosplenial cortex</t>
  </si>
  <si>
    <t>SGIag</t>
  </si>
  <si>
    <t>SG in agranular insular cortex</t>
  </si>
  <si>
    <t>alSG</t>
  </si>
  <si>
    <t>SG in allocortex</t>
  </si>
  <si>
    <t>SGhip</t>
  </si>
  <si>
    <t>SG in hippocampal proper</t>
  </si>
  <si>
    <t>SGsub</t>
  </si>
  <si>
    <t>SG in subicular cortex</t>
  </si>
  <si>
    <t>SGpir</t>
  </si>
  <si>
    <t>SG in piriform cortex</t>
  </si>
  <si>
    <t>SGiag</t>
  </si>
  <si>
    <t>MZ</t>
  </si>
  <si>
    <t>fMZ</t>
  </si>
  <si>
    <t>MZ in frontal neocortex</t>
  </si>
  <si>
    <t>fMZfp</t>
  </si>
  <si>
    <t>MZ in frontal polar cortex</t>
  </si>
  <si>
    <t>fMZdm</t>
  </si>
  <si>
    <t>MZ in dorsomedial frontal cortex</t>
  </si>
  <si>
    <t>fMZdl</t>
  </si>
  <si>
    <t>MZ in dorsolateral prefrontal cortex</t>
  </si>
  <si>
    <t>fMZvl</t>
  </si>
  <si>
    <t>MZ in ventrolateral prefrontal cortex</t>
  </si>
  <si>
    <t>fMZor</t>
  </si>
  <si>
    <t>MZ in orbital frontal cortex</t>
  </si>
  <si>
    <t>fMZm1</t>
  </si>
  <si>
    <t>MZ in posteror frontal cortex (motor cortex)</t>
  </si>
  <si>
    <t>pMZ</t>
  </si>
  <si>
    <t>MZ in parietal neocortex</t>
  </si>
  <si>
    <t>pMZs1</t>
  </si>
  <si>
    <t>MZ in primary somatosensory cortex</t>
  </si>
  <si>
    <t>pMZdm</t>
  </si>
  <si>
    <t>MZ in dorsomedial parietal cortex</t>
  </si>
  <si>
    <t>pMZpd</t>
  </si>
  <si>
    <t>MZ in posterodorsal (superior) parietal cortex</t>
  </si>
  <si>
    <t>pMZpv</t>
  </si>
  <si>
    <t>MZ in posteroventral (inferior) parietal cortex</t>
  </si>
  <si>
    <t>tMZ</t>
  </si>
  <si>
    <t>MZ in temporal neocortex</t>
  </si>
  <si>
    <t>tMZdl</t>
  </si>
  <si>
    <t>MZ in dorsolateral temporal cortex</t>
  </si>
  <si>
    <t>tMZa1</t>
  </si>
  <si>
    <t>MZ in primary auditory cortex</t>
  </si>
  <si>
    <t>tMZsl</t>
  </si>
  <si>
    <t>MZ in superolateral temporal cortex</t>
  </si>
  <si>
    <t>tMZps</t>
  </si>
  <si>
    <t>MZ in polysensory temporal cortex</t>
  </si>
  <si>
    <t>tMZpi</t>
  </si>
  <si>
    <t>MZ in parainsular temporal cortex</t>
  </si>
  <si>
    <t>tMZvl</t>
  </si>
  <si>
    <t>MZ in ventrolateral temporal cortex</t>
  </si>
  <si>
    <t>tMZml</t>
  </si>
  <si>
    <t>MZ in midlateral temporal cortex</t>
  </si>
  <si>
    <t>tMZil</t>
  </si>
  <si>
    <t>MZ in inferolateral temporal cortex</t>
  </si>
  <si>
    <t>tMZmi</t>
  </si>
  <si>
    <t>MZ in midinferior temporal cortex</t>
  </si>
  <si>
    <t>tMZ36</t>
  </si>
  <si>
    <t>MZ in rostral midinferior temporal cortex (area 36)</t>
  </si>
  <si>
    <t>tMZtf</t>
  </si>
  <si>
    <t>MZ in caudal midinferior temporal cortex (area TF)</t>
  </si>
  <si>
    <t>tMZph</t>
  </si>
  <si>
    <t>MZ in posterior parahippocampal cortex</t>
  </si>
  <si>
    <t>tMZmt</t>
  </si>
  <si>
    <t>MZ in medial temporal-occipital cortex</t>
  </si>
  <si>
    <t>tMZlt</t>
  </si>
  <si>
    <t>MZ in lateral temporal-occipital cortex</t>
  </si>
  <si>
    <t>tMZtp</t>
  </si>
  <si>
    <t>MZ in temporal polar cortex</t>
  </si>
  <si>
    <t>oMZ</t>
  </si>
  <si>
    <t>MZ in occipital neocortex</t>
  </si>
  <si>
    <t>oMZpro</t>
  </si>
  <si>
    <t>MZ in area prostriata</t>
  </si>
  <si>
    <t>oMZv1</t>
  </si>
  <si>
    <t>MZ in primary visual cortex</t>
  </si>
  <si>
    <t>oMZexs</t>
  </si>
  <si>
    <t>MZ in extrastriate cortex</t>
  </si>
  <si>
    <t>oMZdm</t>
  </si>
  <si>
    <t>MZ in dorsomedial extrastriate cortex (V2)</t>
  </si>
  <si>
    <t>oMZvm</t>
  </si>
  <si>
    <t>MZ in ventromedial extrastriate cortex (VP)</t>
  </si>
  <si>
    <t>oMZml</t>
  </si>
  <si>
    <t>MZ in midlateral extrastriate cortex (area 19)</t>
  </si>
  <si>
    <t>iMZ</t>
  </si>
  <si>
    <t>MZ in insular neocortex</t>
  </si>
  <si>
    <t>iMZdg</t>
  </si>
  <si>
    <t>MZ in dysgranular insular cortex</t>
  </si>
  <si>
    <t>iMZgr</t>
  </si>
  <si>
    <t>MZ in granular insular cortex</t>
  </si>
  <si>
    <t>cMZ</t>
  </si>
  <si>
    <t>MZ in cingulate neocortex</t>
  </si>
  <si>
    <t>cMZr</t>
  </si>
  <si>
    <t>MZ in rostral cingulate cortex</t>
  </si>
  <si>
    <t>cMZmi</t>
  </si>
  <si>
    <t>MZ in midcingulate cortex</t>
  </si>
  <si>
    <t>cMZc</t>
  </si>
  <si>
    <t>MZ in caudal cingulate cortex</t>
  </si>
  <si>
    <t>cMZsg</t>
  </si>
  <si>
    <t>MZ in subgenual (subcallosal) cingulate cortex</t>
  </si>
  <si>
    <t>peMZ</t>
  </si>
  <si>
    <t>MZ in periallocortex</t>
  </si>
  <si>
    <t>MZpc</t>
  </si>
  <si>
    <t>MZ in perirhinal cortex</t>
  </si>
  <si>
    <t>MZpcr</t>
  </si>
  <si>
    <t>MZ in rostral perirhinal cortex</t>
  </si>
  <si>
    <t>MZpcc</t>
  </si>
  <si>
    <t>MZ in caudal perirhinal cortex</t>
  </si>
  <si>
    <t>MZpas</t>
  </si>
  <si>
    <t>MZ in parasubicular cortex</t>
  </si>
  <si>
    <t>MZEC</t>
  </si>
  <si>
    <t>MZ in entorhinal cortex</t>
  </si>
  <si>
    <t>MZlec</t>
  </si>
  <si>
    <t>MZ in lateral (anterior) entorhinal cortex</t>
  </si>
  <si>
    <t>MZeo</t>
  </si>
  <si>
    <t>MZ in olfactory entorhinal cortex</t>
  </si>
  <si>
    <t>Mzer</t>
  </si>
  <si>
    <t>MZ in rostral entorhinal cortex</t>
  </si>
  <si>
    <t>MZmec</t>
  </si>
  <si>
    <t>MZ in medial (posterior) entorhinal cortex</t>
  </si>
  <si>
    <t>MZec</t>
  </si>
  <si>
    <t>MZ in caudal entorhinal cortex</t>
  </si>
  <si>
    <t>MZprs</t>
  </si>
  <si>
    <t>MZ in presubicular cortex</t>
  </si>
  <si>
    <t>MZprsr</t>
  </si>
  <si>
    <t>MZ in rostral presubicular cortex</t>
  </si>
  <si>
    <t>MZprsc</t>
  </si>
  <si>
    <t>MZ in caudal presubicular cortex (postsubiculum)</t>
  </si>
  <si>
    <t>MZrs</t>
  </si>
  <si>
    <t>MZ in retrosplenial cortex</t>
  </si>
  <si>
    <t>MZIag</t>
  </si>
  <si>
    <t>MZ in agranular insular cortex</t>
  </si>
  <si>
    <t>alMZ</t>
  </si>
  <si>
    <t>MZ in allocortex</t>
  </si>
  <si>
    <t>MZhip</t>
  </si>
  <si>
    <t>MZ in hippocampal proper</t>
  </si>
  <si>
    <t>MZhipr</t>
  </si>
  <si>
    <t>MZ in rostral hippocampal proper</t>
  </si>
  <si>
    <t>MZhipc</t>
  </si>
  <si>
    <t>MZ in caudal hippocampal proper</t>
  </si>
  <si>
    <t>MZsub</t>
  </si>
  <si>
    <t>MZ in subicular cortex</t>
  </si>
  <si>
    <t>MZsubr</t>
  </si>
  <si>
    <t>MZ in rostral subicular cortex</t>
  </si>
  <si>
    <t>MZsubc</t>
  </si>
  <si>
    <t>MZ in caudal subicular cortex</t>
  </si>
  <si>
    <t>MZpir</t>
  </si>
  <si>
    <t>MZ in piriform cortex</t>
  </si>
  <si>
    <t>MZiag</t>
  </si>
  <si>
    <t>fCP</t>
  </si>
  <si>
    <t>fCPfp</t>
  </si>
  <si>
    <t>fCPfpo</t>
  </si>
  <si>
    <t>fCPfpi</t>
  </si>
  <si>
    <t>fCPdm</t>
  </si>
  <si>
    <t>fCPdmo</t>
  </si>
  <si>
    <t>fCPdmi</t>
  </si>
  <si>
    <t>fCPdl</t>
  </si>
  <si>
    <t>fCPdlo</t>
  </si>
  <si>
    <t>fCPdli</t>
  </si>
  <si>
    <t>fCPvl</t>
  </si>
  <si>
    <t>fCPvlo</t>
  </si>
  <si>
    <t>fCPvli</t>
  </si>
  <si>
    <t>fCPor</t>
  </si>
  <si>
    <t>fCPoro</t>
  </si>
  <si>
    <t>fCPori</t>
  </si>
  <si>
    <t>fCPm1</t>
  </si>
  <si>
    <t>fCPm1o</t>
  </si>
  <si>
    <t>fCPm1i</t>
  </si>
  <si>
    <t>pCP</t>
  </si>
  <si>
    <t>pCPs1</t>
  </si>
  <si>
    <t>pCPs1o</t>
  </si>
  <si>
    <t>pCPs1i</t>
  </si>
  <si>
    <t>pCPdm</t>
  </si>
  <si>
    <t>pCPdmo</t>
  </si>
  <si>
    <t>pCPdmi</t>
  </si>
  <si>
    <t>pCPpd</t>
  </si>
  <si>
    <t>pCPpdo</t>
  </si>
  <si>
    <t>pCPpdi</t>
  </si>
  <si>
    <t>pCPpv</t>
  </si>
  <si>
    <t>pCPpvo</t>
  </si>
  <si>
    <t>pCPpvi</t>
  </si>
  <si>
    <t>tCP</t>
  </si>
  <si>
    <t>tCPdl</t>
  </si>
  <si>
    <t>tCPa1</t>
  </si>
  <si>
    <t>tCPa1o</t>
  </si>
  <si>
    <t>tCPa1i</t>
  </si>
  <si>
    <t>tCPsl</t>
  </si>
  <si>
    <t>tCPslo</t>
  </si>
  <si>
    <t>tCPsli</t>
  </si>
  <si>
    <t>tCPps</t>
  </si>
  <si>
    <t>tCPpi</t>
  </si>
  <si>
    <t>tCPvl</t>
  </si>
  <si>
    <t>tCPml</t>
  </si>
  <si>
    <t>tCPil</t>
  </si>
  <si>
    <t>tCPilo</t>
  </si>
  <si>
    <t>tCPili</t>
  </si>
  <si>
    <t>tCPmi</t>
  </si>
  <si>
    <t>tCPmio</t>
  </si>
  <si>
    <t>tCPmii</t>
  </si>
  <si>
    <t>tCP36</t>
  </si>
  <si>
    <t>tCP36o</t>
  </si>
  <si>
    <t>tCP36i</t>
  </si>
  <si>
    <t>tCPtf</t>
  </si>
  <si>
    <t>tCPtfo</t>
  </si>
  <si>
    <t>tCPtfi</t>
  </si>
  <si>
    <t>tCPph</t>
  </si>
  <si>
    <t>tCPpho</t>
  </si>
  <si>
    <t>tCPphi</t>
  </si>
  <si>
    <t>tCPmt</t>
  </si>
  <si>
    <t>tCPmto</t>
  </si>
  <si>
    <t>tCPmti</t>
  </si>
  <si>
    <t>tCPlt</t>
  </si>
  <si>
    <t>tCPlto</t>
  </si>
  <si>
    <t>tCPlti</t>
  </si>
  <si>
    <t>tCPtp</t>
  </si>
  <si>
    <t>tCPtpo</t>
  </si>
  <si>
    <t>tCPtpi</t>
  </si>
  <si>
    <t>oCP</t>
  </si>
  <si>
    <t>oCPpro</t>
  </si>
  <si>
    <t>oCPv1</t>
  </si>
  <si>
    <t>oCPv1o</t>
  </si>
  <si>
    <t>oCPv1i</t>
  </si>
  <si>
    <t>oCPexs</t>
  </si>
  <si>
    <t>oCPdm</t>
  </si>
  <si>
    <t>oCPdmo</t>
  </si>
  <si>
    <t>oCPdmi</t>
  </si>
  <si>
    <t>oCPvm</t>
  </si>
  <si>
    <t>oCPvmo</t>
  </si>
  <si>
    <t>oCPvmi</t>
  </si>
  <si>
    <t>oCPml</t>
  </si>
  <si>
    <t>oCPmlo</t>
  </si>
  <si>
    <t>oCPmli</t>
  </si>
  <si>
    <t>iCP</t>
  </si>
  <si>
    <t>iCPdg</t>
  </si>
  <si>
    <t>iCPdgo</t>
  </si>
  <si>
    <t>iCPdgi</t>
  </si>
  <si>
    <t>iCPgr</t>
  </si>
  <si>
    <t>iCPgro</t>
  </si>
  <si>
    <t>iCPgri</t>
  </si>
  <si>
    <t>cCP</t>
  </si>
  <si>
    <t>cCPr</t>
  </si>
  <si>
    <t>cCPro</t>
  </si>
  <si>
    <t>cCPri</t>
  </si>
  <si>
    <t>cCPmi</t>
  </si>
  <si>
    <t>cCPmio</t>
  </si>
  <si>
    <t>cCPmii</t>
  </si>
  <si>
    <t>cCPc</t>
  </si>
  <si>
    <t>cCPco</t>
  </si>
  <si>
    <t>cCPci</t>
  </si>
  <si>
    <t>cCPsg</t>
  </si>
  <si>
    <t>cCPsgo</t>
  </si>
  <si>
    <t>cCPsgi</t>
  </si>
  <si>
    <t>peCP</t>
  </si>
  <si>
    <t>CPpc</t>
  </si>
  <si>
    <t>CPpcr</t>
  </si>
  <si>
    <t>CPpcro</t>
  </si>
  <si>
    <t>CPpcri</t>
  </si>
  <si>
    <t>CPpcc</t>
  </si>
  <si>
    <t>CPpcco</t>
  </si>
  <si>
    <t>CPpcci</t>
  </si>
  <si>
    <t>CPpas</t>
  </si>
  <si>
    <t>CPEC</t>
  </si>
  <si>
    <t>CPlec</t>
  </si>
  <si>
    <t>CPeo</t>
  </si>
  <si>
    <t>CPer</t>
  </si>
  <si>
    <t>CPmec</t>
  </si>
  <si>
    <t>CPec</t>
  </si>
  <si>
    <t>CPprs</t>
  </si>
  <si>
    <t>CPprsr</t>
  </si>
  <si>
    <t>CPprsc</t>
  </si>
  <si>
    <t>CPrs</t>
  </si>
  <si>
    <t>CPrso</t>
  </si>
  <si>
    <t>CPrsi</t>
  </si>
  <si>
    <t>CPIag</t>
  </si>
  <si>
    <t>CPIago</t>
  </si>
  <si>
    <t>CPIagi</t>
  </si>
  <si>
    <t>alCP</t>
  </si>
  <si>
    <t>CPhip</t>
  </si>
  <si>
    <t>CPhipr</t>
  </si>
  <si>
    <t>CPhipc</t>
  </si>
  <si>
    <t>CPsub</t>
  </si>
  <si>
    <t>CPsubr</t>
  </si>
  <si>
    <t>CPsubc</t>
  </si>
  <si>
    <t>CPpir</t>
  </si>
  <si>
    <t>CPiag</t>
  </si>
  <si>
    <t>fSP</t>
  </si>
  <si>
    <t>fSPfp</t>
  </si>
  <si>
    <t>fSPdm</t>
  </si>
  <si>
    <t>fSPdl</t>
  </si>
  <si>
    <t>fSPvl</t>
  </si>
  <si>
    <t>fSPor</t>
  </si>
  <si>
    <t>fSPm1</t>
  </si>
  <si>
    <t>pSP</t>
  </si>
  <si>
    <t>pSPs1</t>
  </si>
  <si>
    <t>pSPdm</t>
  </si>
  <si>
    <t>pSPpd</t>
  </si>
  <si>
    <t>pSPpv</t>
  </si>
  <si>
    <t>tSP</t>
  </si>
  <si>
    <t>tSPdl</t>
  </si>
  <si>
    <t>tSPa1</t>
  </si>
  <si>
    <t>tSPsl</t>
  </si>
  <si>
    <t>tSPps</t>
  </si>
  <si>
    <t>tSPpi</t>
  </si>
  <si>
    <t>tSPvl</t>
  </si>
  <si>
    <t>tSPml</t>
  </si>
  <si>
    <t>tSPil</t>
  </si>
  <si>
    <t>tSPmi</t>
  </si>
  <si>
    <t>tSP36</t>
  </si>
  <si>
    <t>tSPtf</t>
  </si>
  <si>
    <t>tSPph</t>
  </si>
  <si>
    <t>tSPmt</t>
  </si>
  <si>
    <t>tSPlt</t>
  </si>
  <si>
    <t>tSPtp</t>
  </si>
  <si>
    <t>oSP</t>
  </si>
  <si>
    <t>oSPpro</t>
  </si>
  <si>
    <t>oSPv1</t>
  </si>
  <si>
    <t>oSPexs</t>
  </si>
  <si>
    <t>oSPdm</t>
  </si>
  <si>
    <t>oSPvm</t>
  </si>
  <si>
    <t>oSPml</t>
  </si>
  <si>
    <t>iSP</t>
  </si>
  <si>
    <t>iSPdg</t>
  </si>
  <si>
    <t>iSPgr</t>
  </si>
  <si>
    <t>cSP</t>
  </si>
  <si>
    <t>cSPr</t>
  </si>
  <si>
    <t>cSPmi</t>
  </si>
  <si>
    <t>cSPc</t>
  </si>
  <si>
    <t>cSPsg</t>
  </si>
  <si>
    <t>peSP</t>
  </si>
  <si>
    <t>SPpc</t>
  </si>
  <si>
    <t>SPpcr</t>
  </si>
  <si>
    <t>SPpcc</t>
  </si>
  <si>
    <t>SPpas</t>
  </si>
  <si>
    <t>SPec</t>
  </si>
  <si>
    <t>SPlec</t>
  </si>
  <si>
    <t>SPmec</t>
  </si>
  <si>
    <t>SPprs</t>
  </si>
  <si>
    <t>SPprsr</t>
  </si>
  <si>
    <t>SPprsc</t>
  </si>
  <si>
    <t>SPrs</t>
  </si>
  <si>
    <t>SPIag</t>
  </si>
  <si>
    <t>alSP</t>
  </si>
  <si>
    <t>SPhip</t>
  </si>
  <si>
    <t>SPhipr</t>
  </si>
  <si>
    <t>SPhipc</t>
  </si>
  <si>
    <t>SPsub</t>
  </si>
  <si>
    <t>SPsubr</t>
  </si>
  <si>
    <t>SPsubc</t>
  </si>
  <si>
    <t>SPpir</t>
  </si>
  <si>
    <t>IZ</t>
  </si>
  <si>
    <t>fIZ</t>
  </si>
  <si>
    <t>IZ in frontal neocortex</t>
  </si>
  <si>
    <t>fIZfp</t>
  </si>
  <si>
    <t>IZ in frontal polar cortex</t>
  </si>
  <si>
    <t>fIZdm</t>
  </si>
  <si>
    <t>IZ in dorsomedial frontal cortex</t>
  </si>
  <si>
    <t>fIZdl</t>
  </si>
  <si>
    <t>IZ in dorsolateral prefrontal cortex</t>
  </si>
  <si>
    <t>fIZvl</t>
  </si>
  <si>
    <t>IZ in ventrolateral prefrontal cortex</t>
  </si>
  <si>
    <t>fIZor</t>
  </si>
  <si>
    <t>IZ in orbital frontal cortex</t>
  </si>
  <si>
    <t>fIZm1</t>
  </si>
  <si>
    <t>IZ in posteror frontal cortex (motor cortex)</t>
  </si>
  <si>
    <t>pIZ</t>
  </si>
  <si>
    <t>IZ in parietal neocortex</t>
  </si>
  <si>
    <t>pIZs1</t>
  </si>
  <si>
    <t>IZ in primary somatosensory cortex</t>
  </si>
  <si>
    <t>pIZdm</t>
  </si>
  <si>
    <t>IZ in dorsomedial parietal cortex (area 7m)</t>
  </si>
  <si>
    <t>pIZpd</t>
  </si>
  <si>
    <t>IZ in posterosuperior (dorsal) parietal cortex</t>
  </si>
  <si>
    <t>pIZpv</t>
  </si>
  <si>
    <t>IZ in posteroinferior (ventral) parietal cortex</t>
  </si>
  <si>
    <t>tIZ</t>
  </si>
  <si>
    <t>IZ in temporal neocortex</t>
  </si>
  <si>
    <t>tIZdl</t>
  </si>
  <si>
    <t>IZ in dorsolateral temporal cortex</t>
  </si>
  <si>
    <t>tIZa1</t>
  </si>
  <si>
    <t>IZ in primary auditory cortex</t>
  </si>
  <si>
    <t>tIZsl</t>
  </si>
  <si>
    <t>IZ in superolateral temporal cortex</t>
  </si>
  <si>
    <t>tIZps</t>
  </si>
  <si>
    <t>IZ in polysensory temporal cortex</t>
  </si>
  <si>
    <t>tIZpi</t>
  </si>
  <si>
    <t>IZ in parainsular temporal cortex</t>
  </si>
  <si>
    <t>tIZvl</t>
  </si>
  <si>
    <t>IZ in ventrolateral temporal cortex</t>
  </si>
  <si>
    <t>tIZml</t>
  </si>
  <si>
    <t>IZ in midlateral temporal cortex</t>
  </si>
  <si>
    <t>tIZil</t>
  </si>
  <si>
    <t>IZ in inferolateral temporal cortex</t>
  </si>
  <si>
    <t>tIZmi</t>
  </si>
  <si>
    <t>IZ in midinferior temporal cortex</t>
  </si>
  <si>
    <t>tIZ36</t>
  </si>
  <si>
    <t>IZ in rostral midinferior temporal cortex (area 36)</t>
  </si>
  <si>
    <t>tIZtf</t>
  </si>
  <si>
    <t>IZ in caudal midinferior temporal cortex (area TF)</t>
  </si>
  <si>
    <t>tIZph</t>
  </si>
  <si>
    <t>IZ in posterior parahippocampal cortex</t>
  </si>
  <si>
    <t>tIZmt</t>
  </si>
  <si>
    <t>IZ in medial temporal-occipital cortex</t>
  </si>
  <si>
    <t>tIZlt</t>
  </si>
  <si>
    <t>IZ in lateral temporal-occipital cortex</t>
  </si>
  <si>
    <t>tIZtp</t>
  </si>
  <si>
    <t>IZ in temporal polar cortex</t>
  </si>
  <si>
    <t>oIZ</t>
  </si>
  <si>
    <t>IZ in occipital neocortex</t>
  </si>
  <si>
    <t>oIZpro</t>
  </si>
  <si>
    <t>IZ in area prostriata</t>
  </si>
  <si>
    <t>oIZv1</t>
  </si>
  <si>
    <t>IZ in primary visual cortex</t>
  </si>
  <si>
    <t>oIZexs</t>
  </si>
  <si>
    <t>IZ in extrastriate cortex</t>
  </si>
  <si>
    <t>oIZdm</t>
  </si>
  <si>
    <t>IZ in dorsomedial extrastriate cortex (V2)</t>
  </si>
  <si>
    <t>oIZvm</t>
  </si>
  <si>
    <t>IZ in ventromedial extrastriate cortex (VP)</t>
  </si>
  <si>
    <t>oIZml</t>
  </si>
  <si>
    <t>IZ in midlateral extrastriate cortex (area 19)</t>
  </si>
  <si>
    <t>iIZ</t>
  </si>
  <si>
    <t>IZ in insular neocortex</t>
  </si>
  <si>
    <t>iIZdg</t>
  </si>
  <si>
    <t>IZ in dysgranular insular cortex</t>
  </si>
  <si>
    <t>iIZgr</t>
  </si>
  <si>
    <t>IZ in granular insular cortex</t>
  </si>
  <si>
    <t>cIZ</t>
  </si>
  <si>
    <t>IZ in cingulate neocortex</t>
  </si>
  <si>
    <t>cIZr</t>
  </si>
  <si>
    <t>IZ in rostral cingulate cortex</t>
  </si>
  <si>
    <t>cIZmi</t>
  </si>
  <si>
    <t>IZ in midcingulate cortex</t>
  </si>
  <si>
    <t>cIZc</t>
  </si>
  <si>
    <t>IZ in caudal cingulate cortex</t>
  </si>
  <si>
    <t>cIZsg</t>
  </si>
  <si>
    <t>IZ in subgenual (subcallosal) cingulate cortex</t>
  </si>
  <si>
    <t>peIZ</t>
  </si>
  <si>
    <t>IZ in periallocortex</t>
  </si>
  <si>
    <t>IZpc</t>
  </si>
  <si>
    <t>IZ in perirhinal cortex</t>
  </si>
  <si>
    <t>IZpcr</t>
  </si>
  <si>
    <t>IZ in rostral perirhinal cortex</t>
  </si>
  <si>
    <t>IZpcc</t>
  </si>
  <si>
    <t>IZ in caudal perirhinal cortex</t>
  </si>
  <si>
    <t>IZec</t>
  </si>
  <si>
    <t>IZ in entorhinal cortex</t>
  </si>
  <si>
    <t>IZlec</t>
  </si>
  <si>
    <t>IZ in lateral (anterior) entorhinal cortex</t>
  </si>
  <si>
    <t>IZmec</t>
  </si>
  <si>
    <t>IZ in medial (posterior) entorhinal cortex</t>
  </si>
  <si>
    <t>IZprs</t>
  </si>
  <si>
    <t>IZ in presubicular cortex</t>
  </si>
  <si>
    <t>IZprsr</t>
  </si>
  <si>
    <t>IZ in rostral presubicular cortex</t>
  </si>
  <si>
    <t>IZprsc</t>
  </si>
  <si>
    <t>IZ in caudal presubicular cortex</t>
  </si>
  <si>
    <t>IZrs</t>
  </si>
  <si>
    <t>IZ in retrosplenial cortex</t>
  </si>
  <si>
    <t>alIZ</t>
  </si>
  <si>
    <t>IZ in allocortex</t>
  </si>
  <si>
    <t>IZhip</t>
  </si>
  <si>
    <t>IZ in hippocampal proper</t>
  </si>
  <si>
    <t>IZhipr</t>
  </si>
  <si>
    <t>IZ in rostral hippocampal proper</t>
  </si>
  <si>
    <t>IZhipc</t>
  </si>
  <si>
    <t>IZ in caudal hippocampal proper</t>
  </si>
  <si>
    <t>IZsub</t>
  </si>
  <si>
    <t>IZ in subicular cortex</t>
  </si>
  <si>
    <t>IZsubr</t>
  </si>
  <si>
    <t>IZ in rostral subicular cortex</t>
  </si>
  <si>
    <t>IZsubc</t>
  </si>
  <si>
    <t>IZ in caudal subicular cortex</t>
  </si>
  <si>
    <t>SZ</t>
  </si>
  <si>
    <t>fSZ</t>
  </si>
  <si>
    <t>SZ in frontal neocortex</t>
  </si>
  <si>
    <t>fSZfp</t>
  </si>
  <si>
    <t>SZ in frontal polar cortex</t>
  </si>
  <si>
    <t>fSZfpo</t>
  </si>
  <si>
    <t>outer SZ in frontal polar cortex</t>
  </si>
  <si>
    <t>fSZfpi</t>
  </si>
  <si>
    <t>inner SZ in frontal polar cortex</t>
  </si>
  <si>
    <t>fSZdm</t>
  </si>
  <si>
    <t>SZ in dorsomedial frontal cortex</t>
  </si>
  <si>
    <t>fSZdmo</t>
  </si>
  <si>
    <t>outer SZ in dorsomedial frontal cortex</t>
  </si>
  <si>
    <t>fSZdmop</t>
  </si>
  <si>
    <t>outer plexiform (fiber) zone in dorsomedial frontal cortex</t>
  </si>
  <si>
    <t>fSZdmi</t>
  </si>
  <si>
    <t>inner SZ in dorsomedial frontal cortex</t>
  </si>
  <si>
    <t>fSZdmip</t>
  </si>
  <si>
    <t>inner plexiform (fiber) zone in dorsomedial frontal cortex</t>
  </si>
  <si>
    <t>fSZdl</t>
  </si>
  <si>
    <t>SZ in dorsolateral prefrontal cortex</t>
  </si>
  <si>
    <t>fSZdlo</t>
  </si>
  <si>
    <t>outer SZ in dorsolateral prefrontal cortex</t>
  </si>
  <si>
    <t>fSZdlop</t>
  </si>
  <si>
    <t>outer plexiform zone in dorsolateral prefrontal cortex</t>
  </si>
  <si>
    <t>fSZdli</t>
  </si>
  <si>
    <t>inner SZ in dorsolateral prefrontal cortex</t>
  </si>
  <si>
    <t>fSZdlip</t>
  </si>
  <si>
    <t>inner plexiform zone in dorsolateral prefrontal cortex</t>
  </si>
  <si>
    <t>fSZvl</t>
  </si>
  <si>
    <t>SZ in ventrolateral prefrontal cortex</t>
  </si>
  <si>
    <t>fSZvlo</t>
  </si>
  <si>
    <t>outer SZ in ventrolateral prefrontal cortex</t>
  </si>
  <si>
    <t>fSZvlop</t>
  </si>
  <si>
    <t>outer plexiform zone in ventrolateral prefrontal cortex</t>
  </si>
  <si>
    <t>fSZvli</t>
  </si>
  <si>
    <t>inner SZ in ventrolateral prefrontal cortex</t>
  </si>
  <si>
    <t>fSZvlip</t>
  </si>
  <si>
    <t>inner plexiform zone in ventrolateral prefrontal cortex</t>
  </si>
  <si>
    <t>fSZor</t>
  </si>
  <si>
    <t>SZ in orbital frontal cortex</t>
  </si>
  <si>
    <t>fSZoro</t>
  </si>
  <si>
    <t>outer SZ in orbital frontal cortex</t>
  </si>
  <si>
    <t>fSZorop</t>
  </si>
  <si>
    <t>outer plexiform (fiber) zone in orbital frontal cortex</t>
  </si>
  <si>
    <t>fSZori</t>
  </si>
  <si>
    <t>inner SZ in orbital frontal cortex</t>
  </si>
  <si>
    <t>fSZorip</t>
  </si>
  <si>
    <t>inner plexiform (fiber) zone in orbital frontal cortex</t>
  </si>
  <si>
    <t>fSZm1</t>
  </si>
  <si>
    <t>SZ in posteror frontal cortex (motor cortex)</t>
  </si>
  <si>
    <t>fSZm1o</t>
  </si>
  <si>
    <t>outer SZ in posteror frontal cortex (motor cortex)</t>
  </si>
  <si>
    <t>fSZm1op</t>
  </si>
  <si>
    <t>outer plexiform (fiber) zone in posteror frontal cortex (motor cortex)</t>
  </si>
  <si>
    <t>fSZm1i</t>
  </si>
  <si>
    <t>inner SZ in posteror frontal cortex (motor cortex)</t>
  </si>
  <si>
    <t>fSZm1ip</t>
  </si>
  <si>
    <t>inner plexiform (fiber) zone in posteror frontal cortex (motor cortex)</t>
  </si>
  <si>
    <t>pSZ</t>
  </si>
  <si>
    <t>SZ in parietal neocortex</t>
  </si>
  <si>
    <t>pSZs1</t>
  </si>
  <si>
    <t>SZ in primary somatosensory cortex</t>
  </si>
  <si>
    <t>pSZs1o</t>
  </si>
  <si>
    <t>outer SZ in primary somatosensory cortex</t>
  </si>
  <si>
    <t>pSZs1op</t>
  </si>
  <si>
    <t>outer plexiform zone in primary somatosensory cortex</t>
  </si>
  <si>
    <t>pSZs1i</t>
  </si>
  <si>
    <t>inner SZ in primary somatosensory cortex</t>
  </si>
  <si>
    <t>pSZs1ip</t>
  </si>
  <si>
    <t>inner plexiform zone in primary somatosensory cortex</t>
  </si>
  <si>
    <t>pSZdm</t>
  </si>
  <si>
    <t>SZ in dorsomedial parietal cortex (area 7m)</t>
  </si>
  <si>
    <t>pSZdmo</t>
  </si>
  <si>
    <t>outer SZ in dorsomedial parietal cortex (area 7m)</t>
  </si>
  <si>
    <t>pSZdmi</t>
  </si>
  <si>
    <t>inner SZ in dorsomedial parietal cortex (area 7m)</t>
  </si>
  <si>
    <t>pSZpd</t>
  </si>
  <si>
    <t>SZ in posterosuperior (dorsal) parietal cortex</t>
  </si>
  <si>
    <t>pSZpdo</t>
  </si>
  <si>
    <t>outer SZ in posterosuperior (dorsal) parietal cortex</t>
  </si>
  <si>
    <t>pSZpdop</t>
  </si>
  <si>
    <t>outer plexiform zone in posterosuperior (dorsal) parietal cortex</t>
  </si>
  <si>
    <t>pSZpdi</t>
  </si>
  <si>
    <t>inner SZ in posterosuperior (dorsal) parietal cortex</t>
  </si>
  <si>
    <t>pSZpdip</t>
  </si>
  <si>
    <t>inner plexiform zone in posterosuperior (dorsal) parietal cortex</t>
  </si>
  <si>
    <t>pSZpv</t>
  </si>
  <si>
    <t>SZ in posteroinferior (ventral) parietal cortex</t>
  </si>
  <si>
    <t>pSZpvo</t>
  </si>
  <si>
    <t>outer SZ in posteroinferior (ventral) parietal cortex</t>
  </si>
  <si>
    <t>pSZpvop</t>
  </si>
  <si>
    <t>outer plexiform zone in posteroinferior (ventral) parietal cortex</t>
  </si>
  <si>
    <t>pSZpvi</t>
  </si>
  <si>
    <t>inner SZ in posteroinferior (ventral) parietal cortex</t>
  </si>
  <si>
    <t>pSZpvip</t>
  </si>
  <si>
    <t>inner plexiform zone in posteroinferior (ventral) parietal cortex</t>
  </si>
  <si>
    <t>tSZ</t>
  </si>
  <si>
    <t>SZ in temporal neocortex</t>
  </si>
  <si>
    <t>tSZdl</t>
  </si>
  <si>
    <t>SZ in dorsolateral temporal cortex</t>
  </si>
  <si>
    <t>tSZa1</t>
  </si>
  <si>
    <t>SZ in primary auditory cortex</t>
  </si>
  <si>
    <t>tSZa1o</t>
  </si>
  <si>
    <t>outer SZ in primary auditory cortex</t>
  </si>
  <si>
    <t>tSZa1op</t>
  </si>
  <si>
    <t>outer plexiform zone in primary auditory cortex</t>
  </si>
  <si>
    <t>tSZa1i</t>
  </si>
  <si>
    <t>inner SZ in primary auditory cortex</t>
  </si>
  <si>
    <t>tSZa1ip</t>
  </si>
  <si>
    <t>inner plexiform zone in primary auditory cortex</t>
  </si>
  <si>
    <t>tSZsl</t>
  </si>
  <si>
    <t>SZ in superolateral temporal cortex</t>
  </si>
  <si>
    <t>tSZslo</t>
  </si>
  <si>
    <t>outer SZ in superolateral temporal cortex</t>
  </si>
  <si>
    <t>tSZslop</t>
  </si>
  <si>
    <t>outer plexiform zone in superolateral temporal cortex</t>
  </si>
  <si>
    <t>tSZsli</t>
  </si>
  <si>
    <t>inner SZ in superolateral temporal cortex</t>
  </si>
  <si>
    <t>tSZslip</t>
  </si>
  <si>
    <t>inner plexiform zone in superolateral temporal cortex</t>
  </si>
  <si>
    <t>tSZps</t>
  </si>
  <si>
    <t>SZ in polysensory temporal cortex</t>
  </si>
  <si>
    <t>tSZpso</t>
  </si>
  <si>
    <t>outer SZ in polysensory temporal cortex</t>
  </si>
  <si>
    <t>tSZpsop</t>
  </si>
  <si>
    <t>outer plexiform zone in polysensory temporal cortex</t>
  </si>
  <si>
    <t>tSZpsi</t>
  </si>
  <si>
    <t>inner SZ in polysensory temporal cortex</t>
  </si>
  <si>
    <t>tSZpsip</t>
  </si>
  <si>
    <t>inner plexiform zone in polysensory temporal cortex</t>
  </si>
  <si>
    <t>tSZpi</t>
  </si>
  <si>
    <t>SZ in parainsular temporal cortex</t>
  </si>
  <si>
    <t>tSZpio</t>
  </si>
  <si>
    <t>outer SZ in parainsular temporal cortex</t>
  </si>
  <si>
    <t>tSZpiop</t>
  </si>
  <si>
    <t>outer plexiform zone in parainsular temporal cortex</t>
  </si>
  <si>
    <t>tSZpii</t>
  </si>
  <si>
    <t>inner SZ in parainsular temporal cortex</t>
  </si>
  <si>
    <t>tSZpiip</t>
  </si>
  <si>
    <t>inner plexiform zone in parainsular temporal cortex</t>
  </si>
  <si>
    <t>tSZvl</t>
  </si>
  <si>
    <t>SZ in ventrolateral temporal cortex</t>
  </si>
  <si>
    <t>tSZml</t>
  </si>
  <si>
    <t>SZ in midlateral temporal cortex</t>
  </si>
  <si>
    <t>tSZmlo</t>
  </si>
  <si>
    <t>outer SZ in midlateral temporal cortex</t>
  </si>
  <si>
    <t>tSZmlop</t>
  </si>
  <si>
    <t>outer plexiform zone in midlateral temporal cortex</t>
  </si>
  <si>
    <t>tSZmli</t>
  </si>
  <si>
    <t>inner SZ in midlateral temporal cortex</t>
  </si>
  <si>
    <t>tSZmlip</t>
  </si>
  <si>
    <t>inner plexiform zone in midlateral temporal cortex</t>
  </si>
  <si>
    <t>tSZil</t>
  </si>
  <si>
    <t>SZ in inferolateral temporal cortex</t>
  </si>
  <si>
    <t>tSZilo</t>
  </si>
  <si>
    <t>outer SZ in inferolateral temporal cortex</t>
  </si>
  <si>
    <t>tSZilop</t>
  </si>
  <si>
    <t>outer plexiform zone in inferolateral temporal cortex</t>
  </si>
  <si>
    <t>tSZili</t>
  </si>
  <si>
    <t>inner SZ in inferolateral temporal cortex</t>
  </si>
  <si>
    <t>tSZilip</t>
  </si>
  <si>
    <t>inner plexiform zone in inferolateral temporal cortex</t>
  </si>
  <si>
    <t>tSZmi</t>
  </si>
  <si>
    <t>SZ in midinferior temporal cortex</t>
  </si>
  <si>
    <t>tSZ36</t>
  </si>
  <si>
    <t>SZ in rostral midinferior temporal cortex (area 36)</t>
  </si>
  <si>
    <t>tSZ36o</t>
  </si>
  <si>
    <t>outer SZ in rostral midinferior temporal cortex (area 36)</t>
  </si>
  <si>
    <t>tSZ36op</t>
  </si>
  <si>
    <t>outer plexiform zone in rostral midinferior temporal cortex (area 36)</t>
  </si>
  <si>
    <t>tSZ36i</t>
  </si>
  <si>
    <t>inner SZ in rostral midinferior temporal cortex (area 36)</t>
  </si>
  <si>
    <t>tSZ36ip</t>
  </si>
  <si>
    <t>inner plexiform zone in rostral midinferior temporal cortex (area 36)</t>
  </si>
  <si>
    <t>tSZtf</t>
  </si>
  <si>
    <t>SZ in caudal midinferior temporal cortex (area TF)</t>
  </si>
  <si>
    <t>tSZtfo</t>
  </si>
  <si>
    <t>outer SZ in caudal midinferior temporal cortex (area TF)</t>
  </si>
  <si>
    <t>tSZtfop</t>
  </si>
  <si>
    <t>outer plexiform zone in caudal midinferior temporal cortex (area TF)</t>
  </si>
  <si>
    <t>tSZtfi</t>
  </si>
  <si>
    <t>inner SZ in caudal midinferior temporal cortex (area TF)</t>
  </si>
  <si>
    <t>tSZtfip</t>
  </si>
  <si>
    <t>inner plexiform zone in caudal midinferior temporal cortex (area TF)</t>
  </si>
  <si>
    <t>tSZph</t>
  </si>
  <si>
    <t>SZ in posterior parahippocampal cortex</t>
  </si>
  <si>
    <t>tSZpho</t>
  </si>
  <si>
    <t>outer SZ in posterior parahippocampal cortex</t>
  </si>
  <si>
    <t>tSZphop</t>
  </si>
  <si>
    <t>outer plexiform zone in posterior parahippocampal cortex</t>
  </si>
  <si>
    <t>tSZphi</t>
  </si>
  <si>
    <t>inner SZ in posterior parahippocampal cortex</t>
  </si>
  <si>
    <t>tSZphip</t>
  </si>
  <si>
    <t>inner plexiform zone in posterior parahippocampal cortex</t>
  </si>
  <si>
    <t>tSZmt</t>
  </si>
  <si>
    <t>SZ in medial temporal-occipital cortex</t>
  </si>
  <si>
    <t>tSZmto</t>
  </si>
  <si>
    <t>outer SZ in medial temporal-occipital cortex</t>
  </si>
  <si>
    <t>tSZmtop</t>
  </si>
  <si>
    <t>outer plexiform zone in medial temporal-occipital cortex</t>
  </si>
  <si>
    <t>tSZmti</t>
  </si>
  <si>
    <t>inner SZ in medial temporal-occipital cortex</t>
  </si>
  <si>
    <t>tSZmtip</t>
  </si>
  <si>
    <t>inner plexiform zone in medial temporal-occipital cortex</t>
  </si>
  <si>
    <t>tSZlt</t>
  </si>
  <si>
    <t>SZ in lateral temporal-occipital cortex</t>
  </si>
  <si>
    <t>tSZlto</t>
  </si>
  <si>
    <t>outer SZ in lateral temporal-occipital cortex</t>
  </si>
  <si>
    <t>tSZltop</t>
  </si>
  <si>
    <t>outer plexiform zone in lateral temporal-occipital cortex</t>
  </si>
  <si>
    <t>tSZlti</t>
  </si>
  <si>
    <t>inner SZ in lateral temporal-occipital cortex</t>
  </si>
  <si>
    <t>tSZltip</t>
  </si>
  <si>
    <t>inner plexiform zone in lateral temporal-occipital cortex</t>
  </si>
  <si>
    <t>tSZtp</t>
  </si>
  <si>
    <t>SZ in temporal polar cortex</t>
  </si>
  <si>
    <t>oSZ</t>
  </si>
  <si>
    <t>SZ in occipital neocortex</t>
  </si>
  <si>
    <t>oSZpro</t>
  </si>
  <si>
    <t>SZ in area prostriata</t>
  </si>
  <si>
    <t>oSZproo</t>
  </si>
  <si>
    <t>outer SZ in area prostriata</t>
  </si>
  <si>
    <t>oSZproop</t>
  </si>
  <si>
    <t>outer plexiform zone in area prostriata</t>
  </si>
  <si>
    <t>oSZproi</t>
  </si>
  <si>
    <t>inner SZ in area prostriata</t>
  </si>
  <si>
    <t>oSZproip</t>
  </si>
  <si>
    <t>inner plexiform zone in area prostriata</t>
  </si>
  <si>
    <t>oSZv1</t>
  </si>
  <si>
    <t>SZ in primary visual cortex</t>
  </si>
  <si>
    <t>oSZv1o</t>
  </si>
  <si>
    <t>outer SZ in primary visual cortex</t>
  </si>
  <si>
    <t>oSZv1op</t>
  </si>
  <si>
    <t>outer plexiform zone in primary visual cortex</t>
  </si>
  <si>
    <t>oSZv1i</t>
  </si>
  <si>
    <t>inner SZ in primary visual cortex</t>
  </si>
  <si>
    <t>oSZv1ip</t>
  </si>
  <si>
    <t>inner plexiform zone in primary visual cortex</t>
  </si>
  <si>
    <t>oSZexs</t>
  </si>
  <si>
    <t>SZ in extrastriate cortex</t>
  </si>
  <si>
    <t>oSZdm</t>
  </si>
  <si>
    <t>SZ in dorsomedial extrastriate cortex (V2)</t>
  </si>
  <si>
    <t>oSZdmo</t>
  </si>
  <si>
    <t>outer SZ in dorsomedial extrastriate cortex</t>
  </si>
  <si>
    <t>oSZdmi</t>
  </si>
  <si>
    <t>inner SZ in dorsomedial extrastriate cortex</t>
  </si>
  <si>
    <t>oSZvm</t>
  </si>
  <si>
    <t>SZ in ventromedial extrastriate cortex (VP)</t>
  </si>
  <si>
    <t>oSZvmo</t>
  </si>
  <si>
    <t>outer SZ in ventromedial extrastriate cortex</t>
  </si>
  <si>
    <t>oSZvmi</t>
  </si>
  <si>
    <t>inner SZ in ventromedial extrastriate cortex</t>
  </si>
  <si>
    <t>oSZml</t>
  </si>
  <si>
    <t>SZ in midlateral extrastriate cortex (area 19)</t>
  </si>
  <si>
    <t>oSZmlo</t>
  </si>
  <si>
    <t>outer SZ in midlateral extrastriate cortex</t>
  </si>
  <si>
    <t>oSZmli</t>
  </si>
  <si>
    <t>inner SZ in midlateral extrastriate cortex</t>
  </si>
  <si>
    <t>oSZexso</t>
  </si>
  <si>
    <t>outer SZ in extrastriate cortex</t>
  </si>
  <si>
    <t>oSZexsop</t>
  </si>
  <si>
    <t>outer plexiform zone in extrastriate cortex</t>
  </si>
  <si>
    <t>oSZexsi</t>
  </si>
  <si>
    <t>inner SZ in extrastriate cortex</t>
  </si>
  <si>
    <t>oSZexsip</t>
  </si>
  <si>
    <t>inner plexiform zone in extrastriate cortex</t>
  </si>
  <si>
    <t>cSZ</t>
  </si>
  <si>
    <t>SZ in cingulate neocortex</t>
  </si>
  <si>
    <t>cSZr</t>
  </si>
  <si>
    <t>SZ in rostral cingulate cortex</t>
  </si>
  <si>
    <t>cSZmi</t>
  </si>
  <si>
    <t>SZ in midcingulate cortex</t>
  </si>
  <si>
    <t>cSZc</t>
  </si>
  <si>
    <t>SZ in caudal cingulate cortex</t>
  </si>
  <si>
    <t>cSZsg</t>
  </si>
  <si>
    <t>SZ in subgenual cingulate cortex</t>
  </si>
  <si>
    <t>peSZ</t>
  </si>
  <si>
    <t>SZ in periallocortex</t>
  </si>
  <si>
    <t>seSZ</t>
  </si>
  <si>
    <t>SZ in septal region</t>
  </si>
  <si>
    <t>VZ</t>
  </si>
  <si>
    <t>fVZ</t>
  </si>
  <si>
    <t>VZ in frontal neocortex</t>
  </si>
  <si>
    <t>fVZfp</t>
  </si>
  <si>
    <t>VZ in frontal polar cortex</t>
  </si>
  <si>
    <t>fVZdm</t>
  </si>
  <si>
    <t>VZ in dorsomedial frontal cortex</t>
  </si>
  <si>
    <t>fVZdl</t>
  </si>
  <si>
    <t>VZ in dorsolateral prefrontal cortex</t>
  </si>
  <si>
    <t>fVZdlo</t>
  </si>
  <si>
    <t>outer VZ in dorsolateral prefrontal cortex</t>
  </si>
  <si>
    <t>fVZdli</t>
  </si>
  <si>
    <t>inner VZ in dorsolateral prefrontal cortex</t>
  </si>
  <si>
    <t>fVZvl</t>
  </si>
  <si>
    <t>VZ in ventrolateral prefrontal cortex</t>
  </si>
  <si>
    <t>fVZor</t>
  </si>
  <si>
    <t>VZ in orbital frontal cortex</t>
  </si>
  <si>
    <t>fVZm1</t>
  </si>
  <si>
    <t>VZ in posteror frontal cortex (motor cortex)</t>
  </si>
  <si>
    <t>fVZm1o</t>
  </si>
  <si>
    <t>outer VZ in posteror frontal cortex (motor cortex)</t>
  </si>
  <si>
    <t>fVZm1i</t>
  </si>
  <si>
    <t>inner VZ in posteror frontal cortex (motor cortex)</t>
  </si>
  <si>
    <t>pVZ</t>
  </si>
  <si>
    <t>VZ in parietal neocortex</t>
  </si>
  <si>
    <t>pVZs1</t>
  </si>
  <si>
    <t>VZ in primary somatosensory cortex</t>
  </si>
  <si>
    <t>pVZs1o</t>
  </si>
  <si>
    <t>outer VZ in primary somatosensory cortex</t>
  </si>
  <si>
    <t>pVZs1i</t>
  </si>
  <si>
    <t>inner VZ in primary somatosensory cortex</t>
  </si>
  <si>
    <t>pVZdm</t>
  </si>
  <si>
    <t>VZ in dorsomedial parietal cortex (area 7m)</t>
  </si>
  <si>
    <t>pVZpd</t>
  </si>
  <si>
    <t>VZ in posterosuperior (dorsal) parietal cortex</t>
  </si>
  <si>
    <t>pVZpv</t>
  </si>
  <si>
    <t>VZ in posteroinferior (ventral) parietal cortex</t>
  </si>
  <si>
    <t>pVZpvo</t>
  </si>
  <si>
    <t>outer VZ in posteroinferior (ventral) parietal cortex</t>
  </si>
  <si>
    <t>pVZpvi</t>
  </si>
  <si>
    <t>inner VZ in posteroinferior (ventral) parietal cortex</t>
  </si>
  <si>
    <t>tVZ</t>
  </si>
  <si>
    <t>VZ in temporal neocortex</t>
  </si>
  <si>
    <t>tVZdl</t>
  </si>
  <si>
    <t>VZ in dorsolateral temporal cortex</t>
  </si>
  <si>
    <t>tVZa1</t>
  </si>
  <si>
    <t>VZ in primary auditory cortex</t>
  </si>
  <si>
    <t>tVZsl</t>
  </si>
  <si>
    <t>VZ in superolateral temporal cortex</t>
  </si>
  <si>
    <t>tVZps</t>
  </si>
  <si>
    <t>VZ in polysensory temporal cortex</t>
  </si>
  <si>
    <t>tVZpi</t>
  </si>
  <si>
    <t>VZ in parainsular temporal cortex</t>
  </si>
  <si>
    <t>tVZvl</t>
  </si>
  <si>
    <t>VZ in ventrolateral temporal cortex</t>
  </si>
  <si>
    <t>tVZml</t>
  </si>
  <si>
    <t>VZ in midlateral temporal cortex</t>
  </si>
  <si>
    <t>tVZil</t>
  </si>
  <si>
    <t>VZ in inferolateral temporal cortex</t>
  </si>
  <si>
    <t>tVZilo</t>
  </si>
  <si>
    <t>outer VZ in inferolateral temporal cortex</t>
  </si>
  <si>
    <t>tVZili</t>
  </si>
  <si>
    <t>inner VZ in inferolateral temporal cortex</t>
  </si>
  <si>
    <t>tVZmi</t>
  </si>
  <si>
    <t>VZ in midinferior temporal cortex</t>
  </si>
  <si>
    <t>tVZ36</t>
  </si>
  <si>
    <t>VZ in rostral midinferior temporal cortex (area 36)</t>
  </si>
  <si>
    <t>tVZtf</t>
  </si>
  <si>
    <t>VZ in caudal midinferior temporal cortex (area TF)</t>
  </si>
  <si>
    <t>tVZtfo</t>
  </si>
  <si>
    <t>outer VZ in caudal midinferior temporal cortex (area TF)</t>
  </si>
  <si>
    <t>tVZtfi</t>
  </si>
  <si>
    <t>inner VZ in caudal midinferior temporal cortex (area TF)</t>
  </si>
  <si>
    <t>tVZph</t>
  </si>
  <si>
    <t>VZ in posterior parahippocampal cortex</t>
  </si>
  <si>
    <t>tVZpho</t>
  </si>
  <si>
    <t>outer VZ in posterior parahippocampal cortex</t>
  </si>
  <si>
    <t>tVZphi</t>
  </si>
  <si>
    <t>inner VZ in posterior parahippocampal cortex</t>
  </si>
  <si>
    <t>tVZmt</t>
  </si>
  <si>
    <t>VZ in medial temporal-occipital cortex</t>
  </si>
  <si>
    <t>tVZlt</t>
  </si>
  <si>
    <t>VZ in lateral temporal-occipital cortex</t>
  </si>
  <si>
    <t>tVZtp</t>
  </si>
  <si>
    <t>VZ in temporal polar cortex</t>
  </si>
  <si>
    <t>oVZ</t>
  </si>
  <si>
    <t>VZ in occipital neocortex</t>
  </si>
  <si>
    <t>oVZpro</t>
  </si>
  <si>
    <t>VZ in area prostriata</t>
  </si>
  <si>
    <t>oVZv1</t>
  </si>
  <si>
    <t>VZ in primary visual cortex</t>
  </si>
  <si>
    <t>oVZv1o</t>
  </si>
  <si>
    <t>outer VZ in primary visual cortex</t>
  </si>
  <si>
    <t>oVZv1i</t>
  </si>
  <si>
    <t>inner VZ in primary visual cortex</t>
  </si>
  <si>
    <t>oVZexs</t>
  </si>
  <si>
    <t>VZ in extrastriate cortex</t>
  </si>
  <si>
    <t>oVZdm</t>
  </si>
  <si>
    <t>VZ in dorsomedial extrastriate cortex (V2)</t>
  </si>
  <si>
    <t>oVZvm</t>
  </si>
  <si>
    <t>VZ in ventromedial extrastriate cortex (VP)</t>
  </si>
  <si>
    <t>oVZml</t>
  </si>
  <si>
    <t>VZ in midlateral extrastriate cortex (area 19)</t>
  </si>
  <si>
    <t>cVZ</t>
  </si>
  <si>
    <t>VZ in cingulate neocortex</t>
  </si>
  <si>
    <t>cVZr</t>
  </si>
  <si>
    <t>VZ in rostral cingulate neocortex</t>
  </si>
  <si>
    <t>cVZmi</t>
  </si>
  <si>
    <t>VZ in midcingulate neocortex</t>
  </si>
  <si>
    <t>cVZc</t>
  </si>
  <si>
    <t>VZ in caudal cingulate neocortex</t>
  </si>
  <si>
    <t>cVZsg</t>
  </si>
  <si>
    <t>VZ in subgenual cingulate neocortex</t>
  </si>
  <si>
    <t>peVZ</t>
  </si>
  <si>
    <t>VZ in periallocortex</t>
  </si>
  <si>
    <t>VZpc</t>
  </si>
  <si>
    <t>VZ in perirhinal cortex</t>
  </si>
  <si>
    <t>VZpcr</t>
  </si>
  <si>
    <t>VZ in rostral perirhinal cortex</t>
  </si>
  <si>
    <t>VZpcc</t>
  </si>
  <si>
    <t>VZ in caudal perirhinal cortex</t>
  </si>
  <si>
    <t>VZEC</t>
  </si>
  <si>
    <t>VZ in entorhinal cortex</t>
  </si>
  <si>
    <t>VZmec</t>
  </si>
  <si>
    <t>VZ in medial (posterior) entorhinal cortex</t>
  </si>
  <si>
    <t>VZec</t>
  </si>
  <si>
    <t>VZ in caudal entorhinal cortex</t>
  </si>
  <si>
    <t>VZlec</t>
  </si>
  <si>
    <t>VZ in lateral (anterior) entorhinal cortex</t>
  </si>
  <si>
    <t>VZer</t>
  </si>
  <si>
    <t>VZ in rostral entorhinal cortex</t>
  </si>
  <si>
    <t>VZprs</t>
  </si>
  <si>
    <t>VZ in presubicular cortex</t>
  </si>
  <si>
    <t>VZprsr</t>
  </si>
  <si>
    <t>VZ in rostral presubicular cortex</t>
  </si>
  <si>
    <t>VZprsc</t>
  </si>
  <si>
    <t>VZ in caudal presubicular cortex</t>
  </si>
  <si>
    <t>VZrs</t>
  </si>
  <si>
    <t>VZ in retrosplenial cortex</t>
  </si>
  <si>
    <t>alVZ</t>
  </si>
  <si>
    <t>VZ in allocortex</t>
  </si>
  <si>
    <t>VZhip</t>
  </si>
  <si>
    <t>VZ in hippocampal proper</t>
  </si>
  <si>
    <t>VZhipr</t>
  </si>
  <si>
    <t>VZ in rostal hippocampal proper</t>
  </si>
  <si>
    <t>VZhipc</t>
  </si>
  <si>
    <t>VZ in caudal hippocampal proper</t>
  </si>
  <si>
    <t>VZsub</t>
  </si>
  <si>
    <t>VZ in subicular cortex</t>
  </si>
  <si>
    <t>VZsubr</t>
  </si>
  <si>
    <t>VZ in rostral subicular cortex</t>
  </si>
  <si>
    <t>VZsubc</t>
  </si>
  <si>
    <t>VZ in caudal subicular cortex</t>
  </si>
  <si>
    <t>GE</t>
  </si>
  <si>
    <t>LGEVZ</t>
  </si>
  <si>
    <t>LGE-VZ border region</t>
  </si>
  <si>
    <t>LGE</t>
  </si>
  <si>
    <t>LGEo</t>
  </si>
  <si>
    <t>outer portion of lateral ganglionic eminence</t>
  </si>
  <si>
    <t>LGEi</t>
  </si>
  <si>
    <t>inner portion of lateral ganglionic eminence</t>
  </si>
  <si>
    <t>LMGE</t>
  </si>
  <si>
    <t>MGE-Lateral region</t>
  </si>
  <si>
    <t>MGE</t>
  </si>
  <si>
    <t>MGEo</t>
  </si>
  <si>
    <t>outer portion of medial ganglionic eminence</t>
  </si>
  <si>
    <t>MGEi</t>
  </si>
  <si>
    <t>inner portion of medial ganglionic eminence</t>
  </si>
  <si>
    <t>CGE</t>
  </si>
  <si>
    <t>CGEo</t>
  </si>
  <si>
    <t>outer portion of caudal ganglionic eminence</t>
  </si>
  <si>
    <t>CGEi</t>
  </si>
  <si>
    <t>inner portion of caudal ganglionic eminence</t>
  </si>
  <si>
    <t>seVZ</t>
  </si>
  <si>
    <t>VZ in septal region</t>
  </si>
  <si>
    <t>scVZ</t>
  </si>
  <si>
    <t>VZ in subcallosal region</t>
  </si>
  <si>
    <t>paVZ</t>
  </si>
  <si>
    <t>VZ in postamygdaloid region</t>
  </si>
  <si>
    <t>thVZ</t>
  </si>
  <si>
    <t>VZ in thalamic region</t>
  </si>
  <si>
    <t>hyVZ</t>
  </si>
  <si>
    <t>VZ in hypothalamic portion</t>
  </si>
  <si>
    <t>RMS</t>
  </si>
  <si>
    <t>RMSv</t>
  </si>
  <si>
    <t>RMSvv</t>
  </si>
  <si>
    <t>RMSvg</t>
  </si>
  <si>
    <t>RMSvs</t>
  </si>
  <si>
    <t>RMSh</t>
  </si>
  <si>
    <t>RMShv</t>
  </si>
  <si>
    <t>RMShg</t>
  </si>
  <si>
    <t>RMShs</t>
  </si>
  <si>
    <t>CalS</t>
  </si>
  <si>
    <t>callosal sling</t>
  </si>
  <si>
    <t>DHTC</t>
  </si>
  <si>
    <t>dentatohippocampal transient cell zone</t>
  </si>
  <si>
    <t>IPTC</t>
  </si>
  <si>
    <t>interpallidal transient cell zone</t>
  </si>
  <si>
    <t>OlfP</t>
  </si>
  <si>
    <t>olfactory peduncle</t>
  </si>
  <si>
    <t>PFG</t>
  </si>
  <si>
    <t>perifornical gray zone</t>
  </si>
  <si>
    <t>PPL</t>
  </si>
  <si>
    <t>primordial plexiform layer</t>
  </si>
  <si>
    <t>ScG</t>
  </si>
  <si>
    <t>subcallosal gray zone</t>
  </si>
  <si>
    <t>TCete</t>
  </si>
  <si>
    <t>transient cell zone in external capsule</t>
  </si>
  <si>
    <t>TCexc</t>
  </si>
  <si>
    <t>transient cell zone in extreme capsule</t>
  </si>
  <si>
    <t>Cx</t>
  </si>
  <si>
    <t>NCx</t>
  </si>
  <si>
    <t>PFC</t>
  </si>
  <si>
    <t>A10</t>
  </si>
  <si>
    <t>A10m</t>
  </si>
  <si>
    <t>A10m1</t>
  </si>
  <si>
    <t>A10m2</t>
  </si>
  <si>
    <t>A10m3</t>
  </si>
  <si>
    <t>A10m4</t>
  </si>
  <si>
    <t>A10m5</t>
  </si>
  <si>
    <t>A10m6</t>
  </si>
  <si>
    <t>A10l</t>
  </si>
  <si>
    <t>A10l1</t>
  </si>
  <si>
    <t>A10l2</t>
  </si>
  <si>
    <t>A10l3</t>
  </si>
  <si>
    <t>A10l4</t>
  </si>
  <si>
    <t>A10l5</t>
  </si>
  <si>
    <t>A10l6</t>
  </si>
  <si>
    <t>A10o</t>
  </si>
  <si>
    <t>A10o1</t>
  </si>
  <si>
    <t>A10o2</t>
  </si>
  <si>
    <t>A10o3</t>
  </si>
  <si>
    <t>A10o4</t>
  </si>
  <si>
    <t>A10o5</t>
  </si>
  <si>
    <t>A10o6</t>
  </si>
  <si>
    <t>DFC</t>
  </si>
  <si>
    <t>A8</t>
  </si>
  <si>
    <t>A8ld</t>
  </si>
  <si>
    <t>A8ld1</t>
  </si>
  <si>
    <t>A8ld2</t>
  </si>
  <si>
    <t>A8ld3</t>
  </si>
  <si>
    <t>A8ld4</t>
  </si>
  <si>
    <t>A8ld5</t>
  </si>
  <si>
    <t>A8ld6</t>
  </si>
  <si>
    <t>A8lv</t>
  </si>
  <si>
    <t>A8lv1</t>
  </si>
  <si>
    <t>A8lv2</t>
  </si>
  <si>
    <t>A8lv3</t>
  </si>
  <si>
    <t>A8lv4</t>
  </si>
  <si>
    <t>A8lv5</t>
  </si>
  <si>
    <t>A8lv6</t>
  </si>
  <si>
    <t>A8m</t>
  </si>
  <si>
    <t>A8m1</t>
  </si>
  <si>
    <t>A8m2</t>
  </si>
  <si>
    <t>A8m3</t>
  </si>
  <si>
    <t>A8m4</t>
  </si>
  <si>
    <t>A8m5</t>
  </si>
  <si>
    <t>A8m6</t>
  </si>
  <si>
    <t>A9</t>
  </si>
  <si>
    <t>A9l</t>
  </si>
  <si>
    <t>A9l1</t>
  </si>
  <si>
    <t>A9l2</t>
  </si>
  <si>
    <t>A9l3</t>
  </si>
  <si>
    <t>A9l4</t>
  </si>
  <si>
    <t>A9l5</t>
  </si>
  <si>
    <t>A9l6</t>
  </si>
  <si>
    <t>A9m</t>
  </si>
  <si>
    <t>A9m1</t>
  </si>
  <si>
    <t>A9m2</t>
  </si>
  <si>
    <t>A9m3</t>
  </si>
  <si>
    <t>A9m4</t>
  </si>
  <si>
    <t>A9m5</t>
  </si>
  <si>
    <t>A9m6</t>
  </si>
  <si>
    <t>A9/46</t>
  </si>
  <si>
    <t>A9/46d</t>
  </si>
  <si>
    <t>A9/46d1</t>
  </si>
  <si>
    <t>A9/46d2</t>
  </si>
  <si>
    <t>A9/46d3</t>
  </si>
  <si>
    <t>A9/46d4</t>
  </si>
  <si>
    <t>A9/46d5</t>
  </si>
  <si>
    <t>A9/46d6</t>
  </si>
  <si>
    <t>A9/46v</t>
  </si>
  <si>
    <t>A9/46v1</t>
  </si>
  <si>
    <t>A9/46v2</t>
  </si>
  <si>
    <t>A9/46v3</t>
  </si>
  <si>
    <t>A9/46v4</t>
  </si>
  <si>
    <t>A9/46v5</t>
  </si>
  <si>
    <t>A9/46v6</t>
  </si>
  <si>
    <t>A46</t>
  </si>
  <si>
    <t>A46d</t>
  </si>
  <si>
    <t>A46d1</t>
  </si>
  <si>
    <t>A46d2</t>
  </si>
  <si>
    <t>A46d3</t>
  </si>
  <si>
    <t>A46d4</t>
  </si>
  <si>
    <t>A46d5</t>
  </si>
  <si>
    <t>A46d6</t>
  </si>
  <si>
    <t>A46v</t>
  </si>
  <si>
    <t>A46v1</t>
  </si>
  <si>
    <t>A46v2</t>
  </si>
  <si>
    <t>A46v3</t>
  </si>
  <si>
    <t>A46v4</t>
  </si>
  <si>
    <t>A46v5</t>
  </si>
  <si>
    <t>A46v6</t>
  </si>
  <si>
    <t>VFC</t>
  </si>
  <si>
    <t>A44</t>
  </si>
  <si>
    <t>A44d</t>
  </si>
  <si>
    <t>A44d1</t>
  </si>
  <si>
    <t>A44d2</t>
  </si>
  <si>
    <t>A44d3</t>
  </si>
  <si>
    <t>A44d4</t>
  </si>
  <si>
    <t>A44d5</t>
  </si>
  <si>
    <t>A44d6</t>
  </si>
  <si>
    <t>A44v</t>
  </si>
  <si>
    <t>A44v1</t>
  </si>
  <si>
    <t>A44v2</t>
  </si>
  <si>
    <t>A44v3</t>
  </si>
  <si>
    <t>A44v4</t>
  </si>
  <si>
    <t>A44v5</t>
  </si>
  <si>
    <t>A44v6</t>
  </si>
  <si>
    <t>A44op</t>
  </si>
  <si>
    <t>A44op1</t>
  </si>
  <si>
    <t>A44op2</t>
  </si>
  <si>
    <t>A44op3</t>
  </si>
  <si>
    <t>A44op4</t>
  </si>
  <si>
    <t>A44op5</t>
  </si>
  <si>
    <t>A44op6</t>
  </si>
  <si>
    <t>A45</t>
  </si>
  <si>
    <t>A45r</t>
  </si>
  <si>
    <t>A45r1</t>
  </si>
  <si>
    <t>A45r2</t>
  </si>
  <si>
    <t>A45r3</t>
  </si>
  <si>
    <t>A45r4</t>
  </si>
  <si>
    <t>A45r5</t>
  </si>
  <si>
    <t>A45r6</t>
  </si>
  <si>
    <t>A45c</t>
  </si>
  <si>
    <t>A45c1</t>
  </si>
  <si>
    <t>A45c2</t>
  </si>
  <si>
    <t>A45c3</t>
  </si>
  <si>
    <t>A45c4</t>
  </si>
  <si>
    <t>A45c5</t>
  </si>
  <si>
    <t>A45c6</t>
  </si>
  <si>
    <t>A45op</t>
  </si>
  <si>
    <t>A45op1</t>
  </si>
  <si>
    <t>A45op2</t>
  </si>
  <si>
    <t>A45op3</t>
  </si>
  <si>
    <t>A45op4</t>
  </si>
  <si>
    <t>A45op5</t>
  </si>
  <si>
    <t>A45op6</t>
  </si>
  <si>
    <t>OFC</t>
  </si>
  <si>
    <t>OFCm</t>
  </si>
  <si>
    <t>A14r</t>
  </si>
  <si>
    <t>A14r1</t>
  </si>
  <si>
    <t>A14r2</t>
  </si>
  <si>
    <t>A14r3</t>
  </si>
  <si>
    <t>A14r4</t>
  </si>
  <si>
    <t>A14r5</t>
  </si>
  <si>
    <t>A14r6</t>
  </si>
  <si>
    <t>A14c</t>
  </si>
  <si>
    <t>A14c1</t>
  </si>
  <si>
    <t>A14c2</t>
  </si>
  <si>
    <t>A14c3</t>
  </si>
  <si>
    <t>A14c4</t>
  </si>
  <si>
    <t>A14c5</t>
  </si>
  <si>
    <t>A14c6</t>
  </si>
  <si>
    <t>OFCi</t>
  </si>
  <si>
    <t>A11</t>
  </si>
  <si>
    <t>A11m</t>
  </si>
  <si>
    <t>A11m1</t>
  </si>
  <si>
    <t>A11m2</t>
  </si>
  <si>
    <t>A11m3</t>
  </si>
  <si>
    <t>A11m4</t>
  </si>
  <si>
    <t>A11m5</t>
  </si>
  <si>
    <t>A11m6</t>
  </si>
  <si>
    <t>A11l</t>
  </si>
  <si>
    <t>A11l1</t>
  </si>
  <si>
    <t>A11l2</t>
  </si>
  <si>
    <t>A11l3</t>
  </si>
  <si>
    <t>A11l4</t>
  </si>
  <si>
    <t>A11l5</t>
  </si>
  <si>
    <t>A11l6</t>
  </si>
  <si>
    <t>A13m</t>
  </si>
  <si>
    <t>A13m1</t>
  </si>
  <si>
    <t>A13m2</t>
  </si>
  <si>
    <t>A13m3</t>
  </si>
  <si>
    <t>A13m4</t>
  </si>
  <si>
    <t>A13m5</t>
  </si>
  <si>
    <t>A13m6</t>
  </si>
  <si>
    <t>A13l</t>
  </si>
  <si>
    <t>A13l1</t>
  </si>
  <si>
    <t>A13l2</t>
  </si>
  <si>
    <t>A13l3</t>
  </si>
  <si>
    <t>A13l4</t>
  </si>
  <si>
    <t>A13l5</t>
  </si>
  <si>
    <t>A13l6</t>
  </si>
  <si>
    <t>OFCl</t>
  </si>
  <si>
    <t>A12/47m</t>
  </si>
  <si>
    <t>A12/47m1</t>
  </si>
  <si>
    <t>A12/47m2</t>
  </si>
  <si>
    <t>A12/47m3</t>
  </si>
  <si>
    <t>A12/47m4</t>
  </si>
  <si>
    <t>A12/47m5</t>
  </si>
  <si>
    <t>A12/47m6</t>
  </si>
  <si>
    <t>A12/47l</t>
  </si>
  <si>
    <t>A12/47l1</t>
  </si>
  <si>
    <t>A12/47l2</t>
  </si>
  <si>
    <t>A12/47l3</t>
  </si>
  <si>
    <t>A12/47l4</t>
  </si>
  <si>
    <t>A12/47l5</t>
  </si>
  <si>
    <t>A12/47l6</t>
  </si>
  <si>
    <t>PoFC</t>
  </si>
  <si>
    <t>M1C</t>
  </si>
  <si>
    <t>M1hf</t>
  </si>
  <si>
    <t>M1hf1</t>
  </si>
  <si>
    <t>M1hf2</t>
  </si>
  <si>
    <t>M1hf3</t>
  </si>
  <si>
    <t>M1hf5</t>
  </si>
  <si>
    <t>M1hf6</t>
  </si>
  <si>
    <t>M1ul</t>
  </si>
  <si>
    <t>M1ul1</t>
  </si>
  <si>
    <t>M1ul2</t>
  </si>
  <si>
    <t>M1ul3</t>
  </si>
  <si>
    <t>M1ul5</t>
  </si>
  <si>
    <t>M1ul6</t>
  </si>
  <si>
    <t>M1tr</t>
  </si>
  <si>
    <t>M1tr1</t>
  </si>
  <si>
    <t>M1tr2</t>
  </si>
  <si>
    <t>M1tr3</t>
  </si>
  <si>
    <t>M1tr5</t>
  </si>
  <si>
    <t>M1tr6</t>
  </si>
  <si>
    <t>M1lm</t>
  </si>
  <si>
    <t>M1lm1</t>
  </si>
  <si>
    <t>M1lm2</t>
  </si>
  <si>
    <t>M1lm3</t>
  </si>
  <si>
    <t>M1lm5</t>
  </si>
  <si>
    <t>M1lm6</t>
  </si>
  <si>
    <t>PMC</t>
  </si>
  <si>
    <t>A6ld</t>
  </si>
  <si>
    <t>A6ld1</t>
  </si>
  <si>
    <t>A6ld2</t>
  </si>
  <si>
    <t>A6ld3</t>
  </si>
  <si>
    <t>A6ld5</t>
  </si>
  <si>
    <t>A6ld6</t>
  </si>
  <si>
    <t>A6lv</t>
  </si>
  <si>
    <t>A6lv1</t>
  </si>
  <si>
    <t>A6lv2</t>
  </si>
  <si>
    <t>A6lv3</t>
  </si>
  <si>
    <t>A6lv5</t>
  </si>
  <si>
    <t>A6lv6</t>
  </si>
  <si>
    <t>A6m</t>
  </si>
  <si>
    <t>A6m1</t>
  </si>
  <si>
    <t>A6m2</t>
  </si>
  <si>
    <t>A6m3</t>
  </si>
  <si>
    <t>A6m5</t>
  </si>
  <si>
    <t>A6m6</t>
  </si>
  <si>
    <t>A6/32</t>
  </si>
  <si>
    <t>A6/32-1</t>
  </si>
  <si>
    <t>A6/32-2</t>
  </si>
  <si>
    <t>A6/32-3</t>
  </si>
  <si>
    <t>A6/32-4</t>
  </si>
  <si>
    <t>A6/32-5</t>
  </si>
  <si>
    <t>A6/32-6</t>
  </si>
  <si>
    <t>M1C-S1C</t>
  </si>
  <si>
    <t>S1C</t>
  </si>
  <si>
    <t>S1hf</t>
  </si>
  <si>
    <t>S1hf1</t>
  </si>
  <si>
    <t>S1hf2</t>
  </si>
  <si>
    <t>S1hf3</t>
  </si>
  <si>
    <t>S1hf4</t>
  </si>
  <si>
    <t>S1hf5</t>
  </si>
  <si>
    <t>S1hf6</t>
  </si>
  <si>
    <t>S1ul</t>
  </si>
  <si>
    <t>S1ul1</t>
  </si>
  <si>
    <t>S1ul2</t>
  </si>
  <si>
    <t>S1ul3</t>
  </si>
  <si>
    <t>S1ul4</t>
  </si>
  <si>
    <t>S1ul5</t>
  </si>
  <si>
    <t>S1ul6</t>
  </si>
  <si>
    <t>S1tr</t>
  </si>
  <si>
    <t>S1tr1</t>
  </si>
  <si>
    <t>S1tr2</t>
  </si>
  <si>
    <t>S1tr3</t>
  </si>
  <si>
    <t>S1tr4</t>
  </si>
  <si>
    <t>S1tr5</t>
  </si>
  <si>
    <t>S1tr6</t>
  </si>
  <si>
    <t>S1lm</t>
  </si>
  <si>
    <t>S1lm1</t>
  </si>
  <si>
    <t>S1lm2</t>
  </si>
  <si>
    <t>S1lm3</t>
  </si>
  <si>
    <t>S1lm4</t>
  </si>
  <si>
    <t>S1lm5</t>
  </si>
  <si>
    <t>S1lm6</t>
  </si>
  <si>
    <t>ScC</t>
  </si>
  <si>
    <t>PoPC</t>
  </si>
  <si>
    <t>SPC</t>
  </si>
  <si>
    <t>A5</t>
  </si>
  <si>
    <t>A5ci</t>
  </si>
  <si>
    <t>A5ci1</t>
  </si>
  <si>
    <t>A5ci2</t>
  </si>
  <si>
    <t>A5ci3</t>
  </si>
  <si>
    <t>A5ci4</t>
  </si>
  <si>
    <t>A5ci5</t>
  </si>
  <si>
    <t>A5ci6</t>
  </si>
  <si>
    <t>A5l</t>
  </si>
  <si>
    <t>A5l1</t>
  </si>
  <si>
    <t>A5l2</t>
  </si>
  <si>
    <t>A5l3</t>
  </si>
  <si>
    <t>A5l4</t>
  </si>
  <si>
    <t>A5l5</t>
  </si>
  <si>
    <t>A5l6</t>
  </si>
  <si>
    <t>A5m</t>
  </si>
  <si>
    <t>A5m1</t>
  </si>
  <si>
    <t>A5m2</t>
  </si>
  <si>
    <t>A5m3</t>
  </si>
  <si>
    <t>A5m4</t>
  </si>
  <si>
    <t>A5m5</t>
  </si>
  <si>
    <t>A5m6</t>
  </si>
  <si>
    <t>A7r</t>
  </si>
  <si>
    <t>A7r1</t>
  </si>
  <si>
    <t>A7r2</t>
  </si>
  <si>
    <t>A7r3</t>
  </si>
  <si>
    <t>A7r4</t>
  </si>
  <si>
    <t>A7r5</t>
  </si>
  <si>
    <t>A7r6</t>
  </si>
  <si>
    <t>A7m</t>
  </si>
  <si>
    <t>A7m1</t>
  </si>
  <si>
    <t>A7m2</t>
  </si>
  <si>
    <t>A7m3</t>
  </si>
  <si>
    <t>A7m4</t>
  </si>
  <si>
    <t>A7m5</t>
  </si>
  <si>
    <t>A7m6</t>
  </si>
  <si>
    <t>A7c</t>
  </si>
  <si>
    <t>A7c1</t>
  </si>
  <si>
    <t>A7c2</t>
  </si>
  <si>
    <t>A7c3</t>
  </si>
  <si>
    <t>A7c4</t>
  </si>
  <si>
    <t>A7c5</t>
  </si>
  <si>
    <t>A7c6</t>
  </si>
  <si>
    <t>A7pc</t>
  </si>
  <si>
    <t>A7pc1</t>
  </si>
  <si>
    <t>A7pc2</t>
  </si>
  <si>
    <t>A7pc3</t>
  </si>
  <si>
    <t>A7pc4</t>
  </si>
  <si>
    <t>A7pc5</t>
  </si>
  <si>
    <t>A7pc6</t>
  </si>
  <si>
    <t>A7ip</t>
  </si>
  <si>
    <t>A7ipr</t>
  </si>
  <si>
    <t>A7ipr1</t>
  </si>
  <si>
    <t>A7ipr2</t>
  </si>
  <si>
    <t>A7ipr3</t>
  </si>
  <si>
    <t>A7ipr4</t>
  </si>
  <si>
    <t>A7ipr5</t>
  </si>
  <si>
    <t>A7ipr6</t>
  </si>
  <si>
    <t>A7ipc</t>
  </si>
  <si>
    <t>A7ipc1</t>
  </si>
  <si>
    <t>A7ipc2</t>
  </si>
  <si>
    <t>A7ipc3</t>
  </si>
  <si>
    <t>A7ipc4</t>
  </si>
  <si>
    <t>A7ipc5</t>
  </si>
  <si>
    <t>A7ipc6</t>
  </si>
  <si>
    <t>A40</t>
  </si>
  <si>
    <t>A40rd</t>
  </si>
  <si>
    <t>A40rd1</t>
  </si>
  <si>
    <t>A40rd2</t>
  </si>
  <si>
    <t>A40rd3</t>
  </si>
  <si>
    <t>A40rd4</t>
  </si>
  <si>
    <t>A40rd5</t>
  </si>
  <si>
    <t>A40rd6</t>
  </si>
  <si>
    <t>A40rv</t>
  </si>
  <si>
    <t>A40rv1</t>
  </si>
  <si>
    <t>A40rv2</t>
  </si>
  <si>
    <t>A40rv3</t>
  </si>
  <si>
    <t>A40rv4</t>
  </si>
  <si>
    <t>A40rv5</t>
  </si>
  <si>
    <t>A40rv6</t>
  </si>
  <si>
    <t>A40in</t>
  </si>
  <si>
    <t>A40in1</t>
  </si>
  <si>
    <t>A40in2</t>
  </si>
  <si>
    <t>A40in3</t>
  </si>
  <si>
    <t>A40in4</t>
  </si>
  <si>
    <t>A40in5</t>
  </si>
  <si>
    <t>A40in6</t>
  </si>
  <si>
    <t>A40/39</t>
  </si>
  <si>
    <t>A40/39r</t>
  </si>
  <si>
    <t>A40/39r1</t>
  </si>
  <si>
    <t>A40/39r2</t>
  </si>
  <si>
    <t>A40/39r3</t>
  </si>
  <si>
    <t>A40/39r4</t>
  </si>
  <si>
    <t>A40/39r5</t>
  </si>
  <si>
    <t>A40/39r6</t>
  </si>
  <si>
    <t>A40/39c</t>
  </si>
  <si>
    <t>A40/39c1</t>
  </si>
  <si>
    <t>A40/39c2</t>
  </si>
  <si>
    <t>A40/39c3</t>
  </si>
  <si>
    <t>A40/39c4</t>
  </si>
  <si>
    <t>A40/39c5</t>
  </si>
  <si>
    <t>A40/39c6</t>
  </si>
  <si>
    <t>A39</t>
  </si>
  <si>
    <t>A39r</t>
  </si>
  <si>
    <t>A39r1</t>
  </si>
  <si>
    <t>A39r2</t>
  </si>
  <si>
    <t>A39r3</t>
  </si>
  <si>
    <t>A39r4</t>
  </si>
  <si>
    <t>A39r5</t>
  </si>
  <si>
    <t>A39r6</t>
  </si>
  <si>
    <t>A39c</t>
  </si>
  <si>
    <t>A39c1</t>
  </si>
  <si>
    <t>A39c2</t>
  </si>
  <si>
    <t>A39c3</t>
  </si>
  <si>
    <t>A39c4</t>
  </si>
  <si>
    <t>A39c5</t>
  </si>
  <si>
    <t>A39c6</t>
  </si>
  <si>
    <t>DLTC</t>
  </si>
  <si>
    <t>A1C</t>
  </si>
  <si>
    <t>A41</t>
  </si>
  <si>
    <t>A41-1</t>
  </si>
  <si>
    <t>A41-2</t>
  </si>
  <si>
    <t>A41-3</t>
  </si>
  <si>
    <t>A41-4</t>
  </si>
  <si>
    <t>A41-5</t>
  </si>
  <si>
    <t>A41-6</t>
  </si>
  <si>
    <t>A1Cr</t>
  </si>
  <si>
    <t>A1Cr1</t>
  </si>
  <si>
    <t>A1Cr2</t>
  </si>
  <si>
    <t>A1Cr3</t>
  </si>
  <si>
    <t>A1Cr4</t>
  </si>
  <si>
    <t>A1Cr5</t>
  </si>
  <si>
    <t>A1Cr6</t>
  </si>
  <si>
    <t>A42</t>
  </si>
  <si>
    <t>A42-1</t>
  </si>
  <si>
    <t>A42-2</t>
  </si>
  <si>
    <t>A42-3</t>
  </si>
  <si>
    <t>A42-4</t>
  </si>
  <si>
    <t>A42-5</t>
  </si>
  <si>
    <t>A42-6</t>
  </si>
  <si>
    <t>SLTC</t>
  </si>
  <si>
    <t>ASTC</t>
  </si>
  <si>
    <t>A22r1</t>
  </si>
  <si>
    <t>A22r2</t>
  </si>
  <si>
    <t>A22r3</t>
  </si>
  <si>
    <t>A22r4</t>
  </si>
  <si>
    <t>A22r5</t>
  </si>
  <si>
    <t>A22r6</t>
  </si>
  <si>
    <t>ISTC</t>
  </si>
  <si>
    <t>A22i1</t>
  </si>
  <si>
    <t>A22i2</t>
  </si>
  <si>
    <t>A22i3</t>
  </si>
  <si>
    <t>A22i4</t>
  </si>
  <si>
    <t>A22i5</t>
  </si>
  <si>
    <t>A22i6</t>
  </si>
  <si>
    <t>STC</t>
  </si>
  <si>
    <t>A22c1</t>
  </si>
  <si>
    <t>A22c2</t>
  </si>
  <si>
    <t>A22c3</t>
  </si>
  <si>
    <t>A22c4</t>
  </si>
  <si>
    <t>A22c5</t>
  </si>
  <si>
    <t>A22c6</t>
  </si>
  <si>
    <t>PSTC</t>
  </si>
  <si>
    <t>A22pr</t>
  </si>
  <si>
    <t>A22pr1</t>
  </si>
  <si>
    <t>A22pr2</t>
  </si>
  <si>
    <t>A22pr3</t>
  </si>
  <si>
    <t>A22pr4</t>
  </si>
  <si>
    <t>A22pr5</t>
  </si>
  <si>
    <t>A22pr6</t>
  </si>
  <si>
    <t>A22pi</t>
  </si>
  <si>
    <t>A22pi1</t>
  </si>
  <si>
    <t>A22pi2</t>
  </si>
  <si>
    <t>A22pi3</t>
  </si>
  <si>
    <t>A22pi4</t>
  </si>
  <si>
    <t>A22pi5</t>
  </si>
  <si>
    <t>A22pi6</t>
  </si>
  <si>
    <t>A22pc</t>
  </si>
  <si>
    <t>A22pc1</t>
  </si>
  <si>
    <t>A22pc2</t>
  </si>
  <si>
    <t>A22pc3</t>
  </si>
  <si>
    <t>A22pc4</t>
  </si>
  <si>
    <t>A22pc5</t>
  </si>
  <si>
    <t>A22pc6</t>
  </si>
  <si>
    <t>PI</t>
  </si>
  <si>
    <t>PI1</t>
  </si>
  <si>
    <t>PI2</t>
  </si>
  <si>
    <t>PI3</t>
  </si>
  <si>
    <t>PI4</t>
  </si>
  <si>
    <t>PI5</t>
  </si>
  <si>
    <t>PI6</t>
  </si>
  <si>
    <t>VLTC</t>
  </si>
  <si>
    <t>MTC</t>
  </si>
  <si>
    <t>A21r</t>
  </si>
  <si>
    <t>A21r1</t>
  </si>
  <si>
    <t>A21r2</t>
  </si>
  <si>
    <t>A21r3</t>
  </si>
  <si>
    <t>A21r4</t>
  </si>
  <si>
    <t>A21r5</t>
  </si>
  <si>
    <t>A21r6</t>
  </si>
  <si>
    <t>A21i</t>
  </si>
  <si>
    <t>A21i1</t>
  </si>
  <si>
    <t>A21i2</t>
  </si>
  <si>
    <t>A21i3</t>
  </si>
  <si>
    <t>A21i4</t>
  </si>
  <si>
    <t>A21i5</t>
  </si>
  <si>
    <t>A21i6</t>
  </si>
  <si>
    <t>A21c</t>
  </si>
  <si>
    <t>A21c1</t>
  </si>
  <si>
    <t>A21c2</t>
  </si>
  <si>
    <t>A21c3</t>
  </si>
  <si>
    <t>A21c4</t>
  </si>
  <si>
    <t>A21c5</t>
  </si>
  <si>
    <t>A21c6</t>
  </si>
  <si>
    <t>ITC</t>
  </si>
  <si>
    <t>A20r</t>
  </si>
  <si>
    <t>A20r1</t>
  </si>
  <si>
    <t>A20r2</t>
  </si>
  <si>
    <t>A20r3</t>
  </si>
  <si>
    <t>A20r4</t>
  </si>
  <si>
    <t>A20r5</t>
  </si>
  <si>
    <t>A20r6</t>
  </si>
  <si>
    <t>A20i</t>
  </si>
  <si>
    <t>A20i1</t>
  </si>
  <si>
    <t>A20i2</t>
  </si>
  <si>
    <t>A20i3</t>
  </si>
  <si>
    <t>A20i4</t>
  </si>
  <si>
    <t>A20i5</t>
  </si>
  <si>
    <t>A20i6</t>
  </si>
  <si>
    <t>A20c</t>
  </si>
  <si>
    <t>A20c1</t>
  </si>
  <si>
    <t>A20c2</t>
  </si>
  <si>
    <t>A20c3</t>
  </si>
  <si>
    <t>A20c4</t>
  </si>
  <si>
    <t>A20c5</t>
  </si>
  <si>
    <t>A20c6</t>
  </si>
  <si>
    <t>MITC</t>
  </si>
  <si>
    <t>A36</t>
  </si>
  <si>
    <t>A36r</t>
  </si>
  <si>
    <t>A36r1</t>
  </si>
  <si>
    <t>A36r2</t>
  </si>
  <si>
    <t>A36r3</t>
  </si>
  <si>
    <t>A36r4</t>
  </si>
  <si>
    <t>A36r5</t>
  </si>
  <si>
    <t>A36r6</t>
  </si>
  <si>
    <t>A36c</t>
  </si>
  <si>
    <t>A36c1</t>
  </si>
  <si>
    <t>A36c2</t>
  </si>
  <si>
    <t>A36c3</t>
  </si>
  <si>
    <t>A36c4</t>
  </si>
  <si>
    <t>A36c5</t>
  </si>
  <si>
    <t>A36c6</t>
  </si>
  <si>
    <t>TF</t>
  </si>
  <si>
    <t>TF1</t>
  </si>
  <si>
    <t>TF2</t>
  </si>
  <si>
    <t>TF3</t>
  </si>
  <si>
    <t>TF4</t>
  </si>
  <si>
    <t>TF5</t>
  </si>
  <si>
    <t>TF6</t>
  </si>
  <si>
    <t>PPHC</t>
  </si>
  <si>
    <t>TH1</t>
  </si>
  <si>
    <t>TH2</t>
  </si>
  <si>
    <t>TH3</t>
  </si>
  <si>
    <t>TH5</t>
  </si>
  <si>
    <t>TH6</t>
  </si>
  <si>
    <t>TL</t>
  </si>
  <si>
    <t>TL1</t>
  </si>
  <si>
    <t>TL2</t>
  </si>
  <si>
    <t>TL3</t>
  </si>
  <si>
    <t>TL4</t>
  </si>
  <si>
    <t>TL5</t>
  </si>
  <si>
    <t>TL6</t>
  </si>
  <si>
    <t>TFO</t>
  </si>
  <si>
    <t>TFO1</t>
  </si>
  <si>
    <t>TFO2</t>
  </si>
  <si>
    <t>TFO3</t>
  </si>
  <si>
    <t>TFO4</t>
  </si>
  <si>
    <t>TFO5</t>
  </si>
  <si>
    <t>TFO6</t>
  </si>
  <si>
    <t>A37</t>
  </si>
  <si>
    <t>A37-1</t>
  </si>
  <si>
    <t>A37-2</t>
  </si>
  <si>
    <t>A37-3</t>
  </si>
  <si>
    <t>A37-4</t>
  </si>
  <si>
    <t>A37-5</t>
  </si>
  <si>
    <t>A37-6</t>
  </si>
  <si>
    <t>A38</t>
  </si>
  <si>
    <t>A38-1</t>
  </si>
  <si>
    <t>A38-2</t>
  </si>
  <si>
    <t>A38-3</t>
  </si>
  <si>
    <t>A38-4</t>
  </si>
  <si>
    <t>A38-5</t>
  </si>
  <si>
    <t>A38-6</t>
  </si>
  <si>
    <t>V5/MT</t>
  </si>
  <si>
    <t>V5/MT1</t>
  </si>
  <si>
    <t>V5/MT2</t>
  </si>
  <si>
    <t>V5/MT3</t>
  </si>
  <si>
    <t>V5/MT4</t>
  </si>
  <si>
    <t>V5/MT5</t>
  </si>
  <si>
    <t>V5/MT6</t>
  </si>
  <si>
    <t>LO</t>
  </si>
  <si>
    <t xml:space="preserve">lateral occipito-temporal area </t>
  </si>
  <si>
    <t>LO1</t>
  </si>
  <si>
    <t>LO2</t>
  </si>
  <si>
    <t>LO3</t>
  </si>
  <si>
    <t>LO4</t>
  </si>
  <si>
    <t>LO5</t>
  </si>
  <si>
    <t>LO6</t>
  </si>
  <si>
    <t>Ocx</t>
  </si>
  <si>
    <t>Pro</t>
  </si>
  <si>
    <t>Pro1</t>
  </si>
  <si>
    <t>Pro2</t>
  </si>
  <si>
    <t>Pro3</t>
  </si>
  <si>
    <t>Pro4</t>
  </si>
  <si>
    <t>Pro5</t>
  </si>
  <si>
    <t>Pro6</t>
  </si>
  <si>
    <t>V1C</t>
  </si>
  <si>
    <t>V1-1</t>
  </si>
  <si>
    <t>V1-2</t>
  </si>
  <si>
    <t>V1-3</t>
  </si>
  <si>
    <t>V1-4</t>
  </si>
  <si>
    <t>V1-4A</t>
  </si>
  <si>
    <t>V1-4B</t>
  </si>
  <si>
    <t>V1-4C</t>
  </si>
  <si>
    <t>V1-4Ca</t>
  </si>
  <si>
    <t>V1-4Cb</t>
  </si>
  <si>
    <t>V1-5</t>
  </si>
  <si>
    <t>V1-6</t>
  </si>
  <si>
    <t>ESOC</t>
  </si>
  <si>
    <t>Vx</t>
  </si>
  <si>
    <t>V2</t>
  </si>
  <si>
    <t>V2-1</t>
  </si>
  <si>
    <t>V2-2</t>
  </si>
  <si>
    <t>V2-3</t>
  </si>
  <si>
    <t>V2-4</t>
  </si>
  <si>
    <t>V2-5</t>
  </si>
  <si>
    <t>V2-6</t>
  </si>
  <si>
    <t>PSC</t>
  </si>
  <si>
    <t>V3-1</t>
  </si>
  <si>
    <t>V3-2</t>
  </si>
  <si>
    <t>V3-3</t>
  </si>
  <si>
    <t>V3-4</t>
  </si>
  <si>
    <t>V3-5</t>
  </si>
  <si>
    <t>V3-6</t>
  </si>
  <si>
    <t>VP1</t>
  </si>
  <si>
    <t>VP2</t>
  </si>
  <si>
    <t>VP3</t>
  </si>
  <si>
    <t>VP4</t>
  </si>
  <si>
    <t>VP5</t>
  </si>
  <si>
    <t>VP6</t>
  </si>
  <si>
    <t>V3A</t>
  </si>
  <si>
    <t>V3A-1</t>
  </si>
  <si>
    <t>V3A-2</t>
  </si>
  <si>
    <t>V3A-3</t>
  </si>
  <si>
    <t>V3A-4</t>
  </si>
  <si>
    <t>V3A-5</t>
  </si>
  <si>
    <t>V3A-6</t>
  </si>
  <si>
    <t>V4-1</t>
  </si>
  <si>
    <t>V4-2</t>
  </si>
  <si>
    <t>V4-3</t>
  </si>
  <si>
    <t>V4-4</t>
  </si>
  <si>
    <t>V4-5</t>
  </si>
  <si>
    <t>V4-6</t>
  </si>
  <si>
    <t>V3B</t>
  </si>
  <si>
    <t xml:space="preserve">area V3B of peristriate cortex </t>
  </si>
  <si>
    <t>V3B1</t>
  </si>
  <si>
    <t>V3B2</t>
  </si>
  <si>
    <t>V3B3</t>
  </si>
  <si>
    <t>V3B4</t>
  </si>
  <si>
    <t>V3B5</t>
  </si>
  <si>
    <t>V3B6</t>
  </si>
  <si>
    <t>V6</t>
  </si>
  <si>
    <t xml:space="preserve">area V6 of peristriate cortex </t>
  </si>
  <si>
    <t>V6-1</t>
  </si>
  <si>
    <t>V6-2</t>
  </si>
  <si>
    <t>V6-3</t>
  </si>
  <si>
    <t>V6-4</t>
  </si>
  <si>
    <t>V6-5</t>
  </si>
  <si>
    <t>V6-6</t>
  </si>
  <si>
    <t>V6A/PO</t>
  </si>
  <si>
    <t>V6A-1</t>
  </si>
  <si>
    <t>V6A-2</t>
  </si>
  <si>
    <t>V6A-3</t>
  </si>
  <si>
    <t>V6A-4</t>
  </si>
  <si>
    <t>V6A-5</t>
  </si>
  <si>
    <t>V6A-6</t>
  </si>
  <si>
    <t>V7</t>
  </si>
  <si>
    <t xml:space="preserve">area V7 of peristriate cortex </t>
  </si>
  <si>
    <t>V7-1</t>
  </si>
  <si>
    <t>V7-2</t>
  </si>
  <si>
    <t>V7-3</t>
  </si>
  <si>
    <t>V7-4</t>
  </si>
  <si>
    <t>V7-5</t>
  </si>
  <si>
    <t>V7-6</t>
  </si>
  <si>
    <t>ICx</t>
  </si>
  <si>
    <t>Idg</t>
  </si>
  <si>
    <t>RIdg</t>
  </si>
  <si>
    <t>RIdg1</t>
  </si>
  <si>
    <t>RIdg2</t>
  </si>
  <si>
    <t>RIdg3</t>
  </si>
  <si>
    <t>RIdg4</t>
  </si>
  <si>
    <t>RIdg5</t>
  </si>
  <si>
    <t>RIdg6</t>
  </si>
  <si>
    <t>CIdg</t>
  </si>
  <si>
    <t>CIdg1</t>
  </si>
  <si>
    <t>CIdg2</t>
  </si>
  <si>
    <t>CIdg3</t>
  </si>
  <si>
    <t>CIdg4</t>
  </si>
  <si>
    <t>CIdg5</t>
  </si>
  <si>
    <t>CIdg6</t>
  </si>
  <si>
    <t>Ig</t>
  </si>
  <si>
    <t>RIg</t>
  </si>
  <si>
    <t>RIg1</t>
  </si>
  <si>
    <t>RIg2</t>
  </si>
  <si>
    <t>RIg3</t>
  </si>
  <si>
    <t>RIg4</t>
  </si>
  <si>
    <t>RIg5</t>
  </si>
  <si>
    <t>RIg6</t>
  </si>
  <si>
    <t>CIg</t>
  </si>
  <si>
    <t>CIg1</t>
  </si>
  <si>
    <t>CIg2</t>
  </si>
  <si>
    <t>CIg3</t>
  </si>
  <si>
    <t>CIg4</t>
  </si>
  <si>
    <t>CIg5</t>
  </si>
  <si>
    <t>CIg6</t>
  </si>
  <si>
    <t>MFC</t>
  </si>
  <si>
    <t>A24</t>
  </si>
  <si>
    <t>A24-1</t>
  </si>
  <si>
    <t>A24-2</t>
  </si>
  <si>
    <t>A24-3</t>
  </si>
  <si>
    <t>A24-5a</t>
  </si>
  <si>
    <t>A24-5b</t>
  </si>
  <si>
    <t>A24-6</t>
  </si>
  <si>
    <t>A32</t>
  </si>
  <si>
    <t>A32-1</t>
  </si>
  <si>
    <t>A32-2</t>
  </si>
  <si>
    <t>A32-3</t>
  </si>
  <si>
    <t>A32-4</t>
  </si>
  <si>
    <t>A32-5</t>
  </si>
  <si>
    <t>A32-6</t>
  </si>
  <si>
    <t>A25</t>
  </si>
  <si>
    <t>A25-1</t>
  </si>
  <si>
    <t>A25-2</t>
  </si>
  <si>
    <t>A25-3</t>
  </si>
  <si>
    <t>A25-5</t>
  </si>
  <si>
    <t>A25-6</t>
  </si>
  <si>
    <t>MCC</t>
  </si>
  <si>
    <t>A24mc</t>
  </si>
  <si>
    <t>A24mc-1</t>
  </si>
  <si>
    <t>A24mc-2</t>
  </si>
  <si>
    <t>A24mc-3</t>
  </si>
  <si>
    <t>A24mc-5a</t>
  </si>
  <si>
    <t>A24mc-5b</t>
  </si>
  <si>
    <t>A24mc-6</t>
  </si>
  <si>
    <t>A32mc</t>
  </si>
  <si>
    <t>A32mc-1</t>
  </si>
  <si>
    <t>A32mc-2</t>
  </si>
  <si>
    <t>A32mc-3</t>
  </si>
  <si>
    <t>A32mc-4</t>
  </si>
  <si>
    <t>A32mc-5</t>
  </si>
  <si>
    <t>A32mc-6</t>
  </si>
  <si>
    <t>PCC</t>
  </si>
  <si>
    <t>A23</t>
  </si>
  <si>
    <t>A23-1</t>
  </si>
  <si>
    <t>A23-2</t>
  </si>
  <si>
    <t>A23-3</t>
  </si>
  <si>
    <t>A23-4</t>
  </si>
  <si>
    <t>A23-5</t>
  </si>
  <si>
    <t>A23-6</t>
  </si>
  <si>
    <t>A31</t>
  </si>
  <si>
    <t>A31-1</t>
  </si>
  <si>
    <t>A31-2</t>
  </si>
  <si>
    <t>A31-3</t>
  </si>
  <si>
    <t>A31-4</t>
  </si>
  <si>
    <t>A31-5</t>
  </si>
  <si>
    <t>A31-6</t>
  </si>
  <si>
    <t>PACx</t>
  </si>
  <si>
    <t>PArCx</t>
  </si>
  <si>
    <t>A35</t>
  </si>
  <si>
    <t>A35r</t>
  </si>
  <si>
    <t>A35r1</t>
  </si>
  <si>
    <t>A35r2</t>
  </si>
  <si>
    <t>A35r3</t>
  </si>
  <si>
    <t>A35r3a</t>
  </si>
  <si>
    <t>A35r3b</t>
  </si>
  <si>
    <t>A35r3u</t>
  </si>
  <si>
    <t>A35r5</t>
  </si>
  <si>
    <t>A35r6</t>
  </si>
  <si>
    <t>A35c</t>
  </si>
  <si>
    <t>A35c1</t>
  </si>
  <si>
    <t>A35c2</t>
  </si>
  <si>
    <t>A35c3</t>
  </si>
  <si>
    <t>A35c3a</t>
  </si>
  <si>
    <t>A35c3b</t>
  </si>
  <si>
    <t>A35c3u</t>
  </si>
  <si>
    <t>A35c5</t>
  </si>
  <si>
    <t>A35c6</t>
  </si>
  <si>
    <t>EC</t>
  </si>
  <si>
    <t>LEC</t>
  </si>
  <si>
    <t>EO</t>
  </si>
  <si>
    <t>EO1</t>
  </si>
  <si>
    <t>EOs</t>
  </si>
  <si>
    <t>EO2</t>
  </si>
  <si>
    <t>EO3</t>
  </si>
  <si>
    <t>EO3a</t>
  </si>
  <si>
    <t>EO3b</t>
  </si>
  <si>
    <t>EOld</t>
  </si>
  <si>
    <t>EOd</t>
  </si>
  <si>
    <t>EO5</t>
  </si>
  <si>
    <t>EO6</t>
  </si>
  <si>
    <t>ER</t>
  </si>
  <si>
    <t>ER1</t>
  </si>
  <si>
    <t>ER2</t>
  </si>
  <si>
    <t>ER3</t>
  </si>
  <si>
    <t>ER3a</t>
  </si>
  <si>
    <t>ER3b</t>
  </si>
  <si>
    <t>ERld</t>
  </si>
  <si>
    <t>ERd</t>
  </si>
  <si>
    <t>ER5</t>
  </si>
  <si>
    <t>ER6</t>
  </si>
  <si>
    <t>ELR</t>
  </si>
  <si>
    <t>ELR1</t>
  </si>
  <si>
    <t>ELRs</t>
  </si>
  <si>
    <t>ELR2</t>
  </si>
  <si>
    <t>ELR3</t>
  </si>
  <si>
    <t>ELR3a</t>
  </si>
  <si>
    <t>ELR3b</t>
  </si>
  <si>
    <t>ELRld</t>
  </si>
  <si>
    <t>ELRd</t>
  </si>
  <si>
    <t>ELR5</t>
  </si>
  <si>
    <t>ELR6</t>
  </si>
  <si>
    <t>EMI</t>
  </si>
  <si>
    <t>EMI1</t>
  </si>
  <si>
    <t>EMIs</t>
  </si>
  <si>
    <t>EMI2</t>
  </si>
  <si>
    <t>EMI3</t>
  </si>
  <si>
    <t>EMI3a</t>
  </si>
  <si>
    <t>EMI3b</t>
  </si>
  <si>
    <t>EMIld</t>
  </si>
  <si>
    <t>EMId</t>
  </si>
  <si>
    <t>EMI5</t>
  </si>
  <si>
    <t>EMI6</t>
  </si>
  <si>
    <t>MEC</t>
  </si>
  <si>
    <t>ELI</t>
  </si>
  <si>
    <t>ELI1</t>
  </si>
  <si>
    <t>ELIs</t>
  </si>
  <si>
    <t>ELI2</t>
  </si>
  <si>
    <t>ELI3</t>
  </si>
  <si>
    <t>ELI3a</t>
  </si>
  <si>
    <t>ELI3b</t>
  </si>
  <si>
    <t>ELIld</t>
  </si>
  <si>
    <t>ELId</t>
  </si>
  <si>
    <t>ELI5</t>
  </si>
  <si>
    <t>ELI6</t>
  </si>
  <si>
    <t>Ec</t>
  </si>
  <si>
    <t>Ec1</t>
  </si>
  <si>
    <t>Ecs</t>
  </si>
  <si>
    <t>Ec2</t>
  </si>
  <si>
    <t>Ec3</t>
  </si>
  <si>
    <t>Ec3a</t>
  </si>
  <si>
    <t>Ec3b</t>
  </si>
  <si>
    <t>Ecld</t>
  </si>
  <si>
    <t>Ecd</t>
  </si>
  <si>
    <t>Ec5</t>
  </si>
  <si>
    <t>Ec6</t>
  </si>
  <si>
    <t>ECL</t>
  </si>
  <si>
    <t>ECL1</t>
  </si>
  <si>
    <t>ECLs</t>
  </si>
  <si>
    <t>ECL2</t>
  </si>
  <si>
    <t>ECL3</t>
  </si>
  <si>
    <t>ECL3a</t>
  </si>
  <si>
    <t>ECL3b</t>
  </si>
  <si>
    <t>ECLld</t>
  </si>
  <si>
    <t>ECLd</t>
  </si>
  <si>
    <t>ECL5</t>
  </si>
  <si>
    <t>ECL6</t>
  </si>
  <si>
    <t>ELC</t>
  </si>
  <si>
    <t>ELC1</t>
  </si>
  <si>
    <t>ELCs</t>
  </si>
  <si>
    <t>ELC2</t>
  </si>
  <si>
    <t>ELC3</t>
  </si>
  <si>
    <t>ELC3a</t>
  </si>
  <si>
    <t>ELC3b</t>
  </si>
  <si>
    <t>ELCld</t>
  </si>
  <si>
    <t>ELCd</t>
  </si>
  <si>
    <t>ELC5</t>
  </si>
  <si>
    <t>ELC6</t>
  </si>
  <si>
    <t>PaSb</t>
  </si>
  <si>
    <t>PaSb1</t>
  </si>
  <si>
    <t>PaSb2-3</t>
  </si>
  <si>
    <t>PaSbld</t>
  </si>
  <si>
    <t>PaSb5-6</t>
  </si>
  <si>
    <t>PaSa</t>
  </si>
  <si>
    <t>PaSa1</t>
  </si>
  <si>
    <t>PaSa2-3</t>
  </si>
  <si>
    <t>PaSald</t>
  </si>
  <si>
    <t>PaSa5-6</t>
  </si>
  <si>
    <t>PrSr</t>
  </si>
  <si>
    <t>PrSr1</t>
  </si>
  <si>
    <t>PrSrs</t>
  </si>
  <si>
    <t>PrSr2</t>
  </si>
  <si>
    <t>PrSr3</t>
  </si>
  <si>
    <t>PrSrld</t>
  </si>
  <si>
    <t>PrSrd</t>
  </si>
  <si>
    <t>PrSr5</t>
  </si>
  <si>
    <t>PrSr6</t>
  </si>
  <si>
    <t>PrSc</t>
  </si>
  <si>
    <t>PrSc1</t>
  </si>
  <si>
    <t>PrScs</t>
  </si>
  <si>
    <t>PrSc2</t>
  </si>
  <si>
    <t>PrSc3</t>
  </si>
  <si>
    <t>PrScld</t>
  </si>
  <si>
    <t>PrScd</t>
  </si>
  <si>
    <t>PrSc5</t>
  </si>
  <si>
    <t>PrSc6</t>
  </si>
  <si>
    <t>RSC</t>
  </si>
  <si>
    <t>A29</t>
  </si>
  <si>
    <t>A29-1</t>
  </si>
  <si>
    <t>A29-2</t>
  </si>
  <si>
    <t>A29-3</t>
  </si>
  <si>
    <t>A29-5-6</t>
  </si>
  <si>
    <t>A30</t>
  </si>
  <si>
    <t>A30-1</t>
  </si>
  <si>
    <t>A30-2</t>
  </si>
  <si>
    <t>A30-3</t>
  </si>
  <si>
    <t>A30-5</t>
  </si>
  <si>
    <t>A30-6</t>
  </si>
  <si>
    <t>PPCx</t>
  </si>
  <si>
    <t>Iag</t>
  </si>
  <si>
    <t>Iag1</t>
  </si>
  <si>
    <t>Iag2</t>
  </si>
  <si>
    <t>Iag3</t>
  </si>
  <si>
    <t>Iag5</t>
  </si>
  <si>
    <t>Iag6</t>
  </si>
  <si>
    <t>FI</t>
  </si>
  <si>
    <t>FI1</t>
  </si>
  <si>
    <t>FI2</t>
  </si>
  <si>
    <t>FI3</t>
  </si>
  <si>
    <t>FI5</t>
  </si>
  <si>
    <t>FI6</t>
  </si>
  <si>
    <t>TI</t>
  </si>
  <si>
    <t>TI1</t>
  </si>
  <si>
    <t>TI2</t>
  </si>
  <si>
    <t>TI3</t>
  </si>
  <si>
    <t>TI5</t>
  </si>
  <si>
    <t>TI6</t>
  </si>
  <si>
    <t>ACx</t>
  </si>
  <si>
    <t>ArCx</t>
  </si>
  <si>
    <t>DGU</t>
  </si>
  <si>
    <t>DGUmo</t>
  </si>
  <si>
    <t>DGUgr</t>
  </si>
  <si>
    <t>DGUsg</t>
  </si>
  <si>
    <t>DGUpf</t>
  </si>
  <si>
    <t>DGR</t>
  </si>
  <si>
    <t>DGRmo</t>
  </si>
  <si>
    <t>DGRgr</t>
  </si>
  <si>
    <t>DGRsg</t>
  </si>
  <si>
    <t>DGRpf</t>
  </si>
  <si>
    <t>DGC</t>
  </si>
  <si>
    <t>DGCmo</t>
  </si>
  <si>
    <t>DGCgr</t>
  </si>
  <si>
    <t>DGCsg</t>
  </si>
  <si>
    <t>DGCpf</t>
  </si>
  <si>
    <t>Hipp</t>
  </si>
  <si>
    <t>CA1U</t>
  </si>
  <si>
    <t>CA1Uslm</t>
  </si>
  <si>
    <t>CA1Usmo</t>
  </si>
  <si>
    <t>CA1Usla</t>
  </si>
  <si>
    <t>CA1Usr</t>
  </si>
  <si>
    <t>CA1Usp</t>
  </si>
  <si>
    <t>CA1Uso</t>
  </si>
  <si>
    <t>CA1R</t>
  </si>
  <si>
    <t>CA1Rslm</t>
  </si>
  <si>
    <t>CA1Rsmo</t>
  </si>
  <si>
    <t>CA1Rsla</t>
  </si>
  <si>
    <t>CA1Rsr</t>
  </si>
  <si>
    <t>CA1Rsp</t>
  </si>
  <si>
    <t>CA1Rso</t>
  </si>
  <si>
    <t>CA1C</t>
  </si>
  <si>
    <t>CA1Cslm</t>
  </si>
  <si>
    <t>CA1Csmo</t>
  </si>
  <si>
    <t>CA1Csla</t>
  </si>
  <si>
    <t>CA1Csr</t>
  </si>
  <si>
    <t>CA1Csp</t>
  </si>
  <si>
    <t>CA1Cso</t>
  </si>
  <si>
    <t>CA2U</t>
  </si>
  <si>
    <t>CA2Uslm</t>
  </si>
  <si>
    <t>CA2Usmo</t>
  </si>
  <si>
    <t>CA2Usla</t>
  </si>
  <si>
    <t>CA2Usr</t>
  </si>
  <si>
    <t>CA2Usp</t>
  </si>
  <si>
    <t>CA2Uso</t>
  </si>
  <si>
    <t>CA2R</t>
  </si>
  <si>
    <t>CA2Rslm</t>
  </si>
  <si>
    <t>CA2Rsmo</t>
  </si>
  <si>
    <t>CA2Rsla</t>
  </si>
  <si>
    <t>CA2Rsr</t>
  </si>
  <si>
    <t>CA2Rsp</t>
  </si>
  <si>
    <t>CA2Rso</t>
  </si>
  <si>
    <t>CA2C</t>
  </si>
  <si>
    <t>CA2Cslm</t>
  </si>
  <si>
    <t>CA2Csmo</t>
  </si>
  <si>
    <t>CA2Csla</t>
  </si>
  <si>
    <t>CA2Csr</t>
  </si>
  <si>
    <t>CA2Csp</t>
  </si>
  <si>
    <t>CA2Cso</t>
  </si>
  <si>
    <t>CA3U</t>
  </si>
  <si>
    <t>CA3Uslm</t>
  </si>
  <si>
    <t>CA3Usmo</t>
  </si>
  <si>
    <t>CA3Usla</t>
  </si>
  <si>
    <t>CA3Usr</t>
  </si>
  <si>
    <t>CA3Usl</t>
  </si>
  <si>
    <t>CA3Usp</t>
  </si>
  <si>
    <t>CA3Uso</t>
  </si>
  <si>
    <t>CA3R</t>
  </si>
  <si>
    <t>CA3Rslm</t>
  </si>
  <si>
    <t>CA3Rsmo</t>
  </si>
  <si>
    <t>CA3Rsla</t>
  </si>
  <si>
    <t>CA3Rsr</t>
  </si>
  <si>
    <t>CA3Rsl</t>
  </si>
  <si>
    <t>CA3Rsp</t>
  </si>
  <si>
    <t>CA3Rso</t>
  </si>
  <si>
    <t>CA3C</t>
  </si>
  <si>
    <t>CA3Cslm</t>
  </si>
  <si>
    <t>CA3Csmo</t>
  </si>
  <si>
    <t>CA3Csla</t>
  </si>
  <si>
    <t>CA3Csr</t>
  </si>
  <si>
    <t>CA3Csl</t>
  </si>
  <si>
    <t>CA3Csp</t>
  </si>
  <si>
    <t>CA3Cso</t>
  </si>
  <si>
    <t>CA4</t>
  </si>
  <si>
    <t>CA4Upy</t>
  </si>
  <si>
    <t>CA4Rpy</t>
  </si>
  <si>
    <t>CA4Cpy</t>
  </si>
  <si>
    <t>Sub</t>
  </si>
  <si>
    <t>S-U</t>
  </si>
  <si>
    <t>SUmo</t>
  </si>
  <si>
    <t>SUpy</t>
  </si>
  <si>
    <t>SUpm</t>
  </si>
  <si>
    <t>S-R</t>
  </si>
  <si>
    <t>SRmo</t>
  </si>
  <si>
    <t>SRpy</t>
  </si>
  <si>
    <t>SRpf</t>
  </si>
  <si>
    <t>S-C</t>
  </si>
  <si>
    <t>SCmo</t>
  </si>
  <si>
    <t>SCpy</t>
  </si>
  <si>
    <t>SCpf</t>
  </si>
  <si>
    <t>ProU</t>
  </si>
  <si>
    <t>ProUmo</t>
  </si>
  <si>
    <t>ProUsp</t>
  </si>
  <si>
    <t>ProUso</t>
  </si>
  <si>
    <t>ProR</t>
  </si>
  <si>
    <t>ProRmo</t>
  </si>
  <si>
    <t>ProRsp</t>
  </si>
  <si>
    <t>ProRso</t>
  </si>
  <si>
    <t>ProC</t>
  </si>
  <si>
    <t>ProCmo</t>
  </si>
  <si>
    <t>ProCsp</t>
  </si>
  <si>
    <t>ProCso</t>
  </si>
  <si>
    <t>SuS</t>
  </si>
  <si>
    <t>SuSm</t>
  </si>
  <si>
    <t>SuSp</t>
  </si>
  <si>
    <t>SuSd</t>
  </si>
  <si>
    <t>IGd</t>
  </si>
  <si>
    <t>TTm</t>
  </si>
  <si>
    <t>TTp</t>
  </si>
  <si>
    <t>PalCx</t>
  </si>
  <si>
    <t>OBonl</t>
  </si>
  <si>
    <t>OBglo</t>
  </si>
  <si>
    <t>OBopl</t>
  </si>
  <si>
    <t>OBmcl</t>
  </si>
  <si>
    <t>OBipl</t>
  </si>
  <si>
    <t>OBgcl</t>
  </si>
  <si>
    <t>LOA</t>
  </si>
  <si>
    <t>LOA1</t>
  </si>
  <si>
    <t>LOA2</t>
  </si>
  <si>
    <t>LOA3</t>
  </si>
  <si>
    <t>LOAlc</t>
  </si>
  <si>
    <t xml:space="preserve">lightly-stained cell islands of lateral olfactory area  </t>
  </si>
  <si>
    <t>LOAdc</t>
  </si>
  <si>
    <t>Pir</t>
  </si>
  <si>
    <t>Pir1</t>
  </si>
  <si>
    <t>Pir2</t>
  </si>
  <si>
    <t>Pir3</t>
  </si>
  <si>
    <t>PEA</t>
  </si>
  <si>
    <t>PEA1</t>
  </si>
  <si>
    <t>PEA2</t>
  </si>
  <si>
    <t>PEA3</t>
  </si>
  <si>
    <t>AMY</t>
  </si>
  <si>
    <t>AAAd</t>
  </si>
  <si>
    <t>AAAv</t>
  </si>
  <si>
    <t>CEN</t>
  </si>
  <si>
    <t>CEm</t>
  </si>
  <si>
    <t>CEmd</t>
  </si>
  <si>
    <t>CEmv</t>
  </si>
  <si>
    <t>CEl</t>
  </si>
  <si>
    <t>CElap</t>
  </si>
  <si>
    <t>CElca</t>
  </si>
  <si>
    <t>CElpc</t>
  </si>
  <si>
    <t>CElcn</t>
  </si>
  <si>
    <t>CMN</t>
  </si>
  <si>
    <t>Co</t>
  </si>
  <si>
    <t>CoA</t>
  </si>
  <si>
    <t>CoAd</t>
  </si>
  <si>
    <t>CoAv</t>
  </si>
  <si>
    <t>CoA-m</t>
  </si>
  <si>
    <t>CoPd</t>
  </si>
  <si>
    <t>CoP-m</t>
  </si>
  <si>
    <t>Me</t>
  </si>
  <si>
    <t>MeR</t>
  </si>
  <si>
    <t>MeC</t>
  </si>
  <si>
    <t>MeCd</t>
  </si>
  <si>
    <t>MeCv</t>
  </si>
  <si>
    <t>Me-m</t>
  </si>
  <si>
    <t>AHAmc</t>
  </si>
  <si>
    <t>AHApc</t>
  </si>
  <si>
    <t>AHA-m</t>
  </si>
  <si>
    <t>BLN</t>
  </si>
  <si>
    <t>LaD</t>
  </si>
  <si>
    <t>LaDr</t>
  </si>
  <si>
    <t>LaDl</t>
  </si>
  <si>
    <t>LaCom</t>
  </si>
  <si>
    <t>LaDm</t>
  </si>
  <si>
    <t>LaI</t>
  </si>
  <si>
    <t>LaV</t>
  </si>
  <si>
    <t>LaVl</t>
  </si>
  <si>
    <t>LaVm</t>
  </si>
  <si>
    <t>LaVglo</t>
  </si>
  <si>
    <t>BL</t>
  </si>
  <si>
    <t>BLD</t>
  </si>
  <si>
    <t>BLDl</t>
  </si>
  <si>
    <t>BLI</t>
  </si>
  <si>
    <t>BLVl</t>
  </si>
  <si>
    <t>BLVm</t>
  </si>
  <si>
    <t>BM</t>
  </si>
  <si>
    <t>BMD</t>
  </si>
  <si>
    <t>BMDl</t>
  </si>
  <si>
    <t>BMDm</t>
  </si>
  <si>
    <t>BMV</t>
  </si>
  <si>
    <t>BMVl</t>
  </si>
  <si>
    <t>BMVm</t>
  </si>
  <si>
    <t>BMm</t>
  </si>
  <si>
    <t>BV</t>
  </si>
  <si>
    <t>PLglo</t>
  </si>
  <si>
    <t>En</t>
  </si>
  <si>
    <t>INA</t>
  </si>
  <si>
    <t>IMG</t>
  </si>
  <si>
    <t>ATA</t>
  </si>
  <si>
    <t>AHTA</t>
  </si>
  <si>
    <t>AHTA-m</t>
  </si>
  <si>
    <t>ASTA</t>
  </si>
  <si>
    <t>ACTA</t>
  </si>
  <si>
    <t>ACTA-m</t>
  </si>
  <si>
    <t>SA</t>
  </si>
  <si>
    <t>EXA</t>
  </si>
  <si>
    <t>BNST</t>
  </si>
  <si>
    <t>BNSTm</t>
  </si>
  <si>
    <t>BSTmr</t>
  </si>
  <si>
    <t>BSTmc</t>
  </si>
  <si>
    <t>BSTmcl</t>
  </si>
  <si>
    <t>BSTmm</t>
  </si>
  <si>
    <t>BSTmv</t>
  </si>
  <si>
    <t>BNSTl</t>
  </si>
  <si>
    <t>BSTlj</t>
  </si>
  <si>
    <t>BSTld</t>
  </si>
  <si>
    <t>BSTlv</t>
  </si>
  <si>
    <t>BSTlcn</t>
  </si>
  <si>
    <t>BSTlcn-s</t>
  </si>
  <si>
    <t>BSTlc</t>
  </si>
  <si>
    <t>BSTlcm</t>
  </si>
  <si>
    <t>BSTlcd</t>
  </si>
  <si>
    <t>BSTlcv</t>
  </si>
  <si>
    <t>BNSTsc</t>
  </si>
  <si>
    <t>BSTscl</t>
  </si>
  <si>
    <t>BSTscm</t>
  </si>
  <si>
    <t>BNSTin</t>
  </si>
  <si>
    <t>SLEA</t>
  </si>
  <si>
    <t>SLEAm</t>
  </si>
  <si>
    <t>SLEAc</t>
  </si>
  <si>
    <t>BN</t>
  </si>
  <si>
    <t>Ca</t>
  </si>
  <si>
    <t>CaH</t>
  </si>
  <si>
    <t>CaHrp</t>
  </si>
  <si>
    <t>CaHdl</t>
  </si>
  <si>
    <t>CaHvm</t>
  </si>
  <si>
    <t>CaB</t>
  </si>
  <si>
    <t>CaT</t>
  </si>
  <si>
    <t>Eca</t>
  </si>
  <si>
    <t>CaPu</t>
  </si>
  <si>
    <t>Pu</t>
  </si>
  <si>
    <t>PuR</t>
  </si>
  <si>
    <t>PuRv</t>
  </si>
  <si>
    <t>PuC</t>
  </si>
  <si>
    <t>Pld</t>
  </si>
  <si>
    <t>Pint</t>
  </si>
  <si>
    <t>Pmv</t>
  </si>
  <si>
    <t>PuPV</t>
  </si>
  <si>
    <t>PuMG</t>
  </si>
  <si>
    <t>NAC</t>
  </si>
  <si>
    <t>NACc</t>
  </si>
  <si>
    <t>NACcl</t>
  </si>
  <si>
    <t>NACcm</t>
  </si>
  <si>
    <t>NACs</t>
  </si>
  <si>
    <t>NACsl</t>
  </si>
  <si>
    <t>NACsi</t>
  </si>
  <si>
    <t>NACsm</t>
  </si>
  <si>
    <t>GP</t>
  </si>
  <si>
    <t>GPic</t>
  </si>
  <si>
    <t>GPip</t>
  </si>
  <si>
    <t>EnPN</t>
  </si>
  <si>
    <t>VeP</t>
  </si>
  <si>
    <t>Cla</t>
  </si>
  <si>
    <t>CLd</t>
  </si>
  <si>
    <t>CLv</t>
  </si>
  <si>
    <t>CLt</t>
  </si>
  <si>
    <t>BF</t>
  </si>
  <si>
    <t>SEP</t>
  </si>
  <si>
    <t>MSN</t>
  </si>
  <si>
    <t>LSN</t>
  </si>
  <si>
    <t>LSNd</t>
  </si>
  <si>
    <t>LSNi</t>
  </si>
  <si>
    <t>LSNv</t>
  </si>
  <si>
    <t>CSN</t>
  </si>
  <si>
    <t>TSN</t>
  </si>
  <si>
    <t>PLd</t>
  </si>
  <si>
    <t>BNM</t>
  </si>
  <si>
    <t>BNMl</t>
  </si>
  <si>
    <t>BNMm</t>
  </si>
  <si>
    <t>NDBv</t>
  </si>
  <si>
    <t>NDBh</t>
  </si>
  <si>
    <t>NSP</t>
  </si>
  <si>
    <t>IsCj</t>
  </si>
  <si>
    <t>IsCjm</t>
  </si>
  <si>
    <t>IsCjs</t>
  </si>
  <si>
    <t>SI-pc</t>
  </si>
  <si>
    <t>SI-nc</t>
  </si>
  <si>
    <t>Die</t>
  </si>
  <si>
    <t>THM</t>
  </si>
  <si>
    <t>DTH</t>
  </si>
  <si>
    <t>ANC</t>
  </si>
  <si>
    <t>MNC</t>
  </si>
  <si>
    <t>medial nuclear complex of thalamus</t>
  </si>
  <si>
    <t>MDd</t>
  </si>
  <si>
    <t>MDmc</t>
  </si>
  <si>
    <t>central part of medial division of MD</t>
  </si>
  <si>
    <t>MDam</t>
  </si>
  <si>
    <t xml:space="preserve">anteromedial large-celled island of MD </t>
  </si>
  <si>
    <t>multiform (lateral) division of MD</t>
  </si>
  <si>
    <t>parvocellular (central) division of MD</t>
  </si>
  <si>
    <t>LNC</t>
  </si>
  <si>
    <t>lateral nuclear complex of thalamus</t>
  </si>
  <si>
    <t>DLN</t>
  </si>
  <si>
    <t>dorsal group of lateral nucleus</t>
  </si>
  <si>
    <t>Pul</t>
  </si>
  <si>
    <t>Pulr</t>
  </si>
  <si>
    <t>Pulm</t>
  </si>
  <si>
    <t>Pull</t>
  </si>
  <si>
    <t>Puli</t>
  </si>
  <si>
    <t>Pulil</t>
  </si>
  <si>
    <t>lateral subdivision of Puli</t>
  </si>
  <si>
    <t>Pulim</t>
  </si>
  <si>
    <t>medial subdivision of Puli</t>
  </si>
  <si>
    <t>VLN</t>
  </si>
  <si>
    <t>ventral group of lateral nucleus</t>
  </si>
  <si>
    <t>VApr</t>
  </si>
  <si>
    <t>parvocellular division of VA</t>
  </si>
  <si>
    <t>VAmc</t>
  </si>
  <si>
    <t>VLR</t>
  </si>
  <si>
    <t>rostral division of VL</t>
  </si>
  <si>
    <t>VLC</t>
  </si>
  <si>
    <t>VLCd</t>
  </si>
  <si>
    <t>dorsal subdivision of VLC</t>
  </si>
  <si>
    <t>VLCv</t>
  </si>
  <si>
    <t>ventral subdivision of VLC</t>
  </si>
  <si>
    <t>VLCx</t>
  </si>
  <si>
    <t>medial subdivision of VLC (area x)</t>
  </si>
  <si>
    <t>VPT</t>
  </si>
  <si>
    <t>VPLr</t>
  </si>
  <si>
    <t>rostral division of ventral posterior lateral nucleus</t>
  </si>
  <si>
    <t>VPLc</t>
  </si>
  <si>
    <t>VPI</t>
  </si>
  <si>
    <t>VMb</t>
  </si>
  <si>
    <t>basal ventral medial nucleus</t>
  </si>
  <si>
    <t>PoN</t>
  </si>
  <si>
    <t>LG</t>
  </si>
  <si>
    <t>DLGmc</t>
  </si>
  <si>
    <t>DLG1</t>
  </si>
  <si>
    <t>layer 1 of DLG</t>
  </si>
  <si>
    <t>DLG2</t>
  </si>
  <si>
    <t>layer 2 of DLG</t>
  </si>
  <si>
    <t>DLGpc</t>
  </si>
  <si>
    <t>parvicellular layer of DLG</t>
  </si>
  <si>
    <t>DLG3</t>
  </si>
  <si>
    <t>layer 3 of DLG</t>
  </si>
  <si>
    <t>DLG4</t>
  </si>
  <si>
    <t>layer 4 of DLG</t>
  </si>
  <si>
    <t>DLG5</t>
  </si>
  <si>
    <t>layer 5 of DLG</t>
  </si>
  <si>
    <t>DLG6</t>
  </si>
  <si>
    <t>layer 6 of DLG</t>
  </si>
  <si>
    <t>DLGs</t>
  </si>
  <si>
    <t>S layer of DLG</t>
  </si>
  <si>
    <t>DLGk</t>
  </si>
  <si>
    <t>koniocellular layer of DLG</t>
  </si>
  <si>
    <t>DMG</t>
  </si>
  <si>
    <t>DMGad</t>
  </si>
  <si>
    <t>anterodorsal subdivision of DMG</t>
  </si>
  <si>
    <t>DMGpd</t>
  </si>
  <si>
    <t>posterodorsal subdivision of DMG</t>
  </si>
  <si>
    <t>VMG</t>
  </si>
  <si>
    <t>MMG</t>
  </si>
  <si>
    <t>LiMG</t>
  </si>
  <si>
    <t>limitans part of medial geniculate nucleus</t>
  </si>
  <si>
    <t>LSG</t>
  </si>
  <si>
    <t>limitans/suprageniculate nucleus</t>
  </si>
  <si>
    <t>ILN</t>
  </si>
  <si>
    <t>AILN</t>
  </si>
  <si>
    <t>CLm</t>
  </si>
  <si>
    <t xml:space="preserve">medial division of central lateral nucleus </t>
  </si>
  <si>
    <t>CLl</t>
  </si>
  <si>
    <t>lateral division of central lateral nucleus</t>
  </si>
  <si>
    <t>CLs</t>
  </si>
  <si>
    <t>dorsal division of central lateral nucleus</t>
  </si>
  <si>
    <t>CLc</t>
  </si>
  <si>
    <t>caudal division of central lateral nucleus</t>
  </si>
  <si>
    <t>CD</t>
  </si>
  <si>
    <t>PILN</t>
  </si>
  <si>
    <t>CMl</t>
  </si>
  <si>
    <t>lateral division of centromedian nucleus of thalamus</t>
  </si>
  <si>
    <t>CMm</t>
  </si>
  <si>
    <t>medial division of centromedian nucleus of thalamus</t>
  </si>
  <si>
    <t>Pf</t>
  </si>
  <si>
    <t>Pfl</t>
  </si>
  <si>
    <t>lateral division of parafascicular nucleus of thalamus</t>
  </si>
  <si>
    <t>Pfm</t>
  </si>
  <si>
    <t>medial division of parafascicular nucleus of thalamus</t>
  </si>
  <si>
    <t>SPf</t>
  </si>
  <si>
    <t>RPf</t>
  </si>
  <si>
    <t>retroparafascicular area of thalamus</t>
  </si>
  <si>
    <t>Fa</t>
  </si>
  <si>
    <t>fasciculosus nucleus of thalamus</t>
  </si>
  <si>
    <t>MiN</t>
  </si>
  <si>
    <t>midline nuclear complex</t>
  </si>
  <si>
    <t>PeVA</t>
  </si>
  <si>
    <t>periventricular area of thalamus</t>
  </si>
  <si>
    <t>interanteromedial nucleus of thalamus</t>
  </si>
  <si>
    <t>intermediodorsal  nucleus of thalamus</t>
  </si>
  <si>
    <t>ETH</t>
  </si>
  <si>
    <t>HN</t>
  </si>
  <si>
    <t>LHN</t>
  </si>
  <si>
    <t>LHNmc</t>
  </si>
  <si>
    <t>magnocellular division of lateral habenular nucleus</t>
  </si>
  <si>
    <t>LHNpc</t>
  </si>
  <si>
    <t>parvicellular division of lateral habenular nucleus</t>
  </si>
  <si>
    <t>MHN</t>
  </si>
  <si>
    <t>PaV</t>
  </si>
  <si>
    <t>PaVr</t>
  </si>
  <si>
    <t>rostral subdivision of paraventricular nucleus</t>
  </si>
  <si>
    <t>PaVc</t>
  </si>
  <si>
    <t>caudal subdivision of paraventricular nucleus</t>
  </si>
  <si>
    <t>Pin</t>
  </si>
  <si>
    <t>VTH</t>
  </si>
  <si>
    <t>nucleus of the field of Forel</t>
  </si>
  <si>
    <t>ZId</t>
  </si>
  <si>
    <t>zona incerta, dorsal division</t>
  </si>
  <si>
    <t>ZIv</t>
  </si>
  <si>
    <t>zona incerta, ventral division</t>
  </si>
  <si>
    <t>EnP</t>
  </si>
  <si>
    <t>parasubthalamic nucleus</t>
  </si>
  <si>
    <t>R</t>
  </si>
  <si>
    <t>Rmc</t>
  </si>
  <si>
    <t>magnocellular division of reticular nucleus</t>
  </si>
  <si>
    <t>Rpc</t>
  </si>
  <si>
    <t>parvocellular division of reticular nucleus (perireticular nucleus)</t>
  </si>
  <si>
    <t>SubTH</t>
  </si>
  <si>
    <t>subthalamus</t>
  </si>
  <si>
    <t>STH</t>
  </si>
  <si>
    <t>STHm</t>
  </si>
  <si>
    <t>medial portion of STH</t>
  </si>
  <si>
    <t>STHld</t>
  </si>
  <si>
    <t>laterodorsal portion of STH</t>
  </si>
  <si>
    <t>STHlv</t>
  </si>
  <si>
    <t>lateroventral portion of STH</t>
  </si>
  <si>
    <t>HTH</t>
  </si>
  <si>
    <t>HTHpo</t>
  </si>
  <si>
    <t>preoptic region of HTH</t>
  </si>
  <si>
    <t>PeVpo</t>
  </si>
  <si>
    <t>periventricular nucleus, preoptic portion</t>
  </si>
  <si>
    <t>DPe</t>
  </si>
  <si>
    <t>dorsal periventricular nucleus</t>
  </si>
  <si>
    <t>AMPO</t>
  </si>
  <si>
    <t>anteromedial preoptic nucleus</t>
  </si>
  <si>
    <t>MPA</t>
  </si>
  <si>
    <t>LPA</t>
  </si>
  <si>
    <t>IMH</t>
  </si>
  <si>
    <t>intermediate (sexually dimorphic) hypothalamic nuclei</t>
  </si>
  <si>
    <t>MnPO</t>
  </si>
  <si>
    <t>HTHso</t>
  </si>
  <si>
    <t>supraoptic region of HTH</t>
  </si>
  <si>
    <t>PeVso</t>
  </si>
  <si>
    <t>periventricular nucleus, supraoptic portion</t>
  </si>
  <si>
    <t>AnHA</t>
  </si>
  <si>
    <t>PV</t>
  </si>
  <si>
    <t>PVd</t>
  </si>
  <si>
    <t>PVmc</t>
  </si>
  <si>
    <t>PVpc</t>
  </si>
  <si>
    <t>posterior division of paraventricular nucleus</t>
  </si>
  <si>
    <t>UnN</t>
  </si>
  <si>
    <t>uncinate nucleus</t>
  </si>
  <si>
    <t>SCN</t>
  </si>
  <si>
    <t>SCNd</t>
  </si>
  <si>
    <t>dorsal part of suprachiasmatic nucleus</t>
  </si>
  <si>
    <t>SCNc</t>
  </si>
  <si>
    <t>central part of suprachiasmatic nucleus</t>
  </si>
  <si>
    <t>RCN</t>
  </si>
  <si>
    <t>retrochiasmatic nucleus</t>
  </si>
  <si>
    <t>SOm</t>
  </si>
  <si>
    <t>medial part of supraoptic nucleus</t>
  </si>
  <si>
    <t>SOl</t>
  </si>
  <si>
    <t>lateral part of supraoptic nucleus</t>
  </si>
  <si>
    <t>LHAa</t>
  </si>
  <si>
    <t>lateral hypothalamic area, anterior part</t>
  </si>
  <si>
    <t>SuV</t>
  </si>
  <si>
    <t>subventricular nucleus</t>
  </si>
  <si>
    <t>SPZ</t>
  </si>
  <si>
    <t>HTHtub</t>
  </si>
  <si>
    <t>tuberal region of HTH</t>
  </si>
  <si>
    <t>PeVtub</t>
  </si>
  <si>
    <t>periventricular nucleus, tuberal portion</t>
  </si>
  <si>
    <t>JPLH</t>
  </si>
  <si>
    <t>juxtaparaventricular lateral hypothalamic area</t>
  </si>
  <si>
    <t>DHA</t>
  </si>
  <si>
    <t>DMHc</t>
  </si>
  <si>
    <t>compact part of dorsomedial hypothalamic nucleus</t>
  </si>
  <si>
    <t>DMHd</t>
  </si>
  <si>
    <t>diffuse part of dorsomedial hypothalamic nucleus</t>
  </si>
  <si>
    <t>VMHd</t>
  </si>
  <si>
    <t>dorsal part of ventromedial hypothalamic nucleus</t>
  </si>
  <si>
    <t>VMHv</t>
  </si>
  <si>
    <t>ventral part of ventromedial hypothalamic nucleus</t>
  </si>
  <si>
    <t>central part of ventromedial hypothalamic nucleus</t>
  </si>
  <si>
    <t>posteromedial hypothalamic nucleus</t>
  </si>
  <si>
    <t>Arc</t>
  </si>
  <si>
    <t>LHAtub</t>
  </si>
  <si>
    <t>lateral hypothalamic area, tuberal part</t>
  </si>
  <si>
    <t>LHmc</t>
  </si>
  <si>
    <t>magnocellular nucleus of lateral hypothalamic area</t>
  </si>
  <si>
    <t>LHsc</t>
  </si>
  <si>
    <t>accessory secretory cells of lateral hypothalamus</t>
  </si>
  <si>
    <t>PalHy</t>
  </si>
  <si>
    <t>pallidohypothalamic area</t>
  </si>
  <si>
    <t>NCN</t>
  </si>
  <si>
    <t>nanocellular hypothalamic nucleus</t>
  </si>
  <si>
    <t>MEE</t>
  </si>
  <si>
    <t>external portion of median eminence</t>
  </si>
  <si>
    <t>MEI</t>
  </si>
  <si>
    <t>internal portion of median eminence</t>
  </si>
  <si>
    <t>HTHma</t>
  </si>
  <si>
    <t>mammillary region of HTH</t>
  </si>
  <si>
    <t>MN</t>
  </si>
  <si>
    <t>mammillary nucleus</t>
  </si>
  <si>
    <t>MMb</t>
  </si>
  <si>
    <t>basal division of medial mammillary nucleus</t>
  </si>
  <si>
    <t>PHN</t>
  </si>
  <si>
    <t>LHAp</t>
  </si>
  <si>
    <t>lateral  hypothalamic area, posterior part</t>
  </si>
  <si>
    <t>PMN</t>
  </si>
  <si>
    <t>premammillary nulceus</t>
  </si>
  <si>
    <t>RMA</t>
  </si>
  <si>
    <t>Pit</t>
  </si>
  <si>
    <t>Ret</t>
  </si>
  <si>
    <t>FWM</t>
  </si>
  <si>
    <t>FCFT</t>
  </si>
  <si>
    <t>forebrain commissural fiber tracts</t>
  </si>
  <si>
    <t>ccg-mi</t>
  </si>
  <si>
    <t>ccbr</t>
  </si>
  <si>
    <t>ccbi</t>
  </si>
  <si>
    <t>ccbc</t>
  </si>
  <si>
    <t xml:space="preserve">body of cc, caudal portion </t>
  </si>
  <si>
    <t>ccs-ma</t>
  </si>
  <si>
    <t>ccs-in</t>
  </si>
  <si>
    <t>ccrd</t>
  </si>
  <si>
    <t>tap</t>
  </si>
  <si>
    <t>hac</t>
  </si>
  <si>
    <t>hic</t>
  </si>
  <si>
    <t>dhic</t>
  </si>
  <si>
    <t>vhic</t>
  </si>
  <si>
    <t>smc</t>
  </si>
  <si>
    <t>FIFT</t>
  </si>
  <si>
    <t>amtg</t>
  </si>
  <si>
    <t>agb</t>
  </si>
  <si>
    <t>al</t>
  </si>
  <si>
    <t>ap</t>
  </si>
  <si>
    <t>af</t>
  </si>
  <si>
    <t>bx</t>
  </si>
  <si>
    <t>cb</t>
  </si>
  <si>
    <t>cb-cx</t>
  </si>
  <si>
    <t>cb-tx</t>
  </si>
  <si>
    <t>comb</t>
  </si>
  <si>
    <t>cor</t>
  </si>
  <si>
    <t>cor-a</t>
  </si>
  <si>
    <t>cor-s</t>
  </si>
  <si>
    <t>cor-p</t>
  </si>
  <si>
    <t>cbu-sc</t>
  </si>
  <si>
    <t>cpa</t>
  </si>
  <si>
    <t>corticopallidal tract</t>
  </si>
  <si>
    <t>corticostriate tract</t>
  </si>
  <si>
    <t>dpa</t>
  </si>
  <si>
    <t>dentatopallidal tract</t>
  </si>
  <si>
    <t>dib</t>
  </si>
  <si>
    <t>dob</t>
  </si>
  <si>
    <t>dorsal occipital bundle</t>
  </si>
  <si>
    <t>extC</t>
  </si>
  <si>
    <t>emlgp</t>
  </si>
  <si>
    <t>emlth</t>
  </si>
  <si>
    <t>extrC</t>
  </si>
  <si>
    <t>fim</t>
  </si>
  <si>
    <t>fx-co</t>
  </si>
  <si>
    <t>fxc-r</t>
  </si>
  <si>
    <t>fxc-c</t>
  </si>
  <si>
    <t>fx-b</t>
  </si>
  <si>
    <t>fx-cr</t>
  </si>
  <si>
    <t>hyhp</t>
  </si>
  <si>
    <t>hypothalamo-hypophyseal tract</t>
  </si>
  <si>
    <t>ilf</t>
  </si>
  <si>
    <t>ithp</t>
  </si>
  <si>
    <t>aic</t>
  </si>
  <si>
    <t>pfpf</t>
  </si>
  <si>
    <t>athf</t>
  </si>
  <si>
    <t>gic</t>
  </si>
  <si>
    <t>cbu-ic</t>
  </si>
  <si>
    <t>cre</t>
  </si>
  <si>
    <t>pic</t>
  </si>
  <si>
    <t>lthp</t>
  </si>
  <si>
    <t>fpn</t>
  </si>
  <si>
    <t>sthr</t>
  </si>
  <si>
    <t>cru</t>
  </si>
  <si>
    <t>relp</t>
  </si>
  <si>
    <t>pthr</t>
  </si>
  <si>
    <t>or-rl</t>
  </si>
  <si>
    <t>ppn</t>
  </si>
  <si>
    <t>opn</t>
  </si>
  <si>
    <t>oco</t>
  </si>
  <si>
    <t>sulp</t>
  </si>
  <si>
    <t>ar-sl</t>
  </si>
  <si>
    <t>tepn</t>
  </si>
  <si>
    <t>imlgp</t>
  </si>
  <si>
    <t>imlth</t>
  </si>
  <si>
    <t>lls</t>
  </si>
  <si>
    <t>lf</t>
  </si>
  <si>
    <t>mcht</t>
  </si>
  <si>
    <t>mls</t>
  </si>
  <si>
    <t>or-lp</t>
  </si>
  <si>
    <t xml:space="preserve">Meyer's loop of optic radiation </t>
  </si>
  <si>
    <t>milf</t>
  </si>
  <si>
    <t>npa</t>
  </si>
  <si>
    <t>nigropallidal tract</t>
  </si>
  <si>
    <t>nigrostriate tract</t>
  </si>
  <si>
    <t>off</t>
  </si>
  <si>
    <t>offi</t>
  </si>
  <si>
    <t>offs</t>
  </si>
  <si>
    <t>olt</t>
  </si>
  <si>
    <t>ost</t>
  </si>
  <si>
    <t>lost</t>
  </si>
  <si>
    <t>most</t>
  </si>
  <si>
    <t>ox</t>
  </si>
  <si>
    <t>ot</t>
  </si>
  <si>
    <t>pni</t>
  </si>
  <si>
    <t>pallidonigral tract</t>
  </si>
  <si>
    <t>ptg</t>
  </si>
  <si>
    <t>pth</t>
  </si>
  <si>
    <t>pallidothalamic tract</t>
  </si>
  <si>
    <t>perf</t>
  </si>
  <si>
    <t>perp</t>
  </si>
  <si>
    <t>ponb</t>
  </si>
  <si>
    <t>rthp</t>
  </si>
  <si>
    <t>sste</t>
  </si>
  <si>
    <t>ssti</t>
  </si>
  <si>
    <t>saf</t>
  </si>
  <si>
    <t>szt</t>
  </si>
  <si>
    <t>smt</t>
  </si>
  <si>
    <t>spa</t>
  </si>
  <si>
    <t>striopallidal tract</t>
  </si>
  <si>
    <t>sni</t>
  </si>
  <si>
    <t>strionigral tract</t>
  </si>
  <si>
    <t>sth</t>
  </si>
  <si>
    <t>striothalamic tract</t>
  </si>
  <si>
    <t>scf</t>
  </si>
  <si>
    <t>sthf</t>
  </si>
  <si>
    <t>sprs</t>
  </si>
  <si>
    <t>slf</t>
  </si>
  <si>
    <t>slf-m</t>
  </si>
  <si>
    <t>slf-i</t>
  </si>
  <si>
    <t>slf-l</t>
  </si>
  <si>
    <t>sox</t>
  </si>
  <si>
    <t>supraoptic dicussation</t>
  </si>
  <si>
    <t>tpul</t>
  </si>
  <si>
    <t>temporopulvinar bundle</t>
  </si>
  <si>
    <t>thf</t>
  </si>
  <si>
    <t>thpa</t>
  </si>
  <si>
    <t>thalamopallidal tract</t>
  </si>
  <si>
    <t>thst</t>
  </si>
  <si>
    <t>thalamostriate tract</t>
  </si>
  <si>
    <t>tuin</t>
  </si>
  <si>
    <t>tuberoinfundibular path</t>
  </si>
  <si>
    <t>unf</t>
  </si>
  <si>
    <t>vamy</t>
  </si>
  <si>
    <t>ventral amygdaloid efferent path</t>
  </si>
  <si>
    <t>FV</t>
  </si>
  <si>
    <t>LV</t>
  </si>
  <si>
    <t>aLV</t>
  </si>
  <si>
    <t>bLV</t>
  </si>
  <si>
    <t>xLV</t>
  </si>
  <si>
    <t>pLV</t>
  </si>
  <si>
    <t>iLV</t>
  </si>
  <si>
    <t>olr</t>
  </si>
  <si>
    <t>olfactory recess</t>
  </si>
  <si>
    <t>3V</t>
  </si>
  <si>
    <t>ifr3V</t>
  </si>
  <si>
    <t>infundubular recess of 3V</t>
  </si>
  <si>
    <t>por3V</t>
  </si>
  <si>
    <t>preoptic recess of 3V</t>
  </si>
  <si>
    <t>pir3V</t>
  </si>
  <si>
    <t>spr3V</t>
  </si>
  <si>
    <t>suprapineal recess of 3V</t>
  </si>
  <si>
    <t>mmr3V</t>
  </si>
  <si>
    <t>mammillary recess of 3V</t>
  </si>
  <si>
    <t>FSS</t>
  </si>
  <si>
    <t>surface structures of forebrain</t>
  </si>
  <si>
    <t>CeS</t>
  </si>
  <si>
    <t>PriS</t>
  </si>
  <si>
    <t>primary sulci</t>
  </si>
  <si>
    <t>cas</t>
  </si>
  <si>
    <t>cas-r</t>
  </si>
  <si>
    <t>cas-c</t>
  </si>
  <si>
    <t>cas-cs</t>
  </si>
  <si>
    <t>cas-ci</t>
  </si>
  <si>
    <t>cals</t>
  </si>
  <si>
    <t>cs</t>
  </si>
  <si>
    <t>cis</t>
  </si>
  <si>
    <t>mr</t>
  </si>
  <si>
    <t>csr</t>
  </si>
  <si>
    <t>circular sulcus of Reil</t>
  </si>
  <si>
    <t>csr-u</t>
  </si>
  <si>
    <t>upper limiting sulcus</t>
  </si>
  <si>
    <t>csr-l</t>
  </si>
  <si>
    <t>lower limiting sulcus</t>
  </si>
  <si>
    <t>cols</t>
  </si>
  <si>
    <t>cols-r</t>
  </si>
  <si>
    <t>cols-c</t>
  </si>
  <si>
    <t>ips</t>
  </si>
  <si>
    <t>las</t>
  </si>
  <si>
    <t>las-r</t>
  </si>
  <si>
    <t>las-m</t>
  </si>
  <si>
    <t>las-c</t>
  </si>
  <si>
    <t>los</t>
  </si>
  <si>
    <t>ots</t>
  </si>
  <si>
    <t>ols</t>
  </si>
  <si>
    <t>ors</t>
  </si>
  <si>
    <t>ors-m</t>
  </si>
  <si>
    <t>ors-l</t>
  </si>
  <si>
    <t>ors-t</t>
  </si>
  <si>
    <t>pos</t>
  </si>
  <si>
    <t>pos-le</t>
  </si>
  <si>
    <t>pocs</t>
  </si>
  <si>
    <t>prcs</t>
  </si>
  <si>
    <t>sts</t>
  </si>
  <si>
    <t>tranf</t>
  </si>
  <si>
    <t>SecS</t>
  </si>
  <si>
    <t>secondary sulci</t>
  </si>
  <si>
    <t>aos</t>
  </si>
  <si>
    <t>ascs</t>
  </si>
  <si>
    <t>csin</t>
  </si>
  <si>
    <t>ers</t>
  </si>
  <si>
    <t>endorhinal sulcus</t>
  </si>
  <si>
    <t>fimd</t>
  </si>
  <si>
    <t>fimbriodentate sulcus</t>
  </si>
  <si>
    <t>fms</t>
  </si>
  <si>
    <t>ifs</t>
  </si>
  <si>
    <t>its</t>
  </si>
  <si>
    <t>imfs</t>
  </si>
  <si>
    <t>ios</t>
  </si>
  <si>
    <t>inferior occipital sulcus</t>
  </si>
  <si>
    <t>mffs</t>
  </si>
  <si>
    <t>mid-fusiform sulcus</t>
  </si>
  <si>
    <t>mos</t>
  </si>
  <si>
    <t>middle (lateral) occipital sulcus</t>
  </si>
  <si>
    <t>mligs</t>
  </si>
  <si>
    <t>mid-lingual sulcus</t>
  </si>
  <si>
    <t>lus</t>
  </si>
  <si>
    <t>mfs</t>
  </si>
  <si>
    <t>pacs</t>
  </si>
  <si>
    <t>pacis</t>
  </si>
  <si>
    <t>paracingulate sulcus</t>
  </si>
  <si>
    <t>phligs</t>
  </si>
  <si>
    <t>parahippocampo-ligual sulcus</t>
  </si>
  <si>
    <t>pols</t>
  </si>
  <si>
    <t>parolfactory sulcus</t>
  </si>
  <si>
    <t>pols-r</t>
  </si>
  <si>
    <t>pols-c</t>
  </si>
  <si>
    <t>prin</t>
  </si>
  <si>
    <t>precentral sulcus of insula</t>
  </si>
  <si>
    <t>poin</t>
  </si>
  <si>
    <t>postcentral sulcus of insula</t>
  </si>
  <si>
    <t>poscs</t>
  </si>
  <si>
    <t>posteior subcentral sulcus</t>
  </si>
  <si>
    <t>ros</t>
  </si>
  <si>
    <t>ros-s</t>
  </si>
  <si>
    <t>ros-i</t>
  </si>
  <si>
    <t>ss</t>
  </si>
  <si>
    <t>semiannular sulcus</t>
  </si>
  <si>
    <t>sps</t>
  </si>
  <si>
    <t>subparietal (splenial) sulcus</t>
  </si>
  <si>
    <t>sfs</t>
  </si>
  <si>
    <t>spas</t>
  </si>
  <si>
    <t>tps</t>
  </si>
  <si>
    <t>temporopolar sulcus</t>
  </si>
  <si>
    <t>tps-m</t>
  </si>
  <si>
    <t>medial temporopolar sulcus</t>
  </si>
  <si>
    <t>tps-l</t>
  </si>
  <si>
    <t>lateral temporopolar sulcus</t>
  </si>
  <si>
    <t>tts</t>
  </si>
  <si>
    <t>atts</t>
  </si>
  <si>
    <t>ptts</t>
  </si>
  <si>
    <t>ims</t>
  </si>
  <si>
    <t>tts-le</t>
  </si>
  <si>
    <t>tros</t>
  </si>
  <si>
    <t>us</t>
  </si>
  <si>
    <t>CeG</t>
  </si>
  <si>
    <t>cerebral gyri and lobules</t>
  </si>
  <si>
    <t>FroL</t>
  </si>
  <si>
    <t>PrCG</t>
  </si>
  <si>
    <t>SFG</t>
  </si>
  <si>
    <t>MFG</t>
  </si>
  <si>
    <t>IFG</t>
  </si>
  <si>
    <t>IFGtr</t>
  </si>
  <si>
    <t>IFGop</t>
  </si>
  <si>
    <t>IFGor</t>
  </si>
  <si>
    <t>ReG</t>
  </si>
  <si>
    <t>MOrG</t>
  </si>
  <si>
    <t>AOrG</t>
  </si>
  <si>
    <t>POrG</t>
  </si>
  <si>
    <t>LOrG</t>
  </si>
  <si>
    <t>PCLr</t>
  </si>
  <si>
    <t>PaCG</t>
  </si>
  <si>
    <t>FrO</t>
  </si>
  <si>
    <t>OrO</t>
  </si>
  <si>
    <t>RoG</t>
  </si>
  <si>
    <t>SRoG</t>
  </si>
  <si>
    <t>IRoG</t>
  </si>
  <si>
    <t>LOG</t>
  </si>
  <si>
    <t>FMG</t>
  </si>
  <si>
    <t>FP</t>
  </si>
  <si>
    <t>ParL</t>
  </si>
  <si>
    <t>PoCG</t>
  </si>
  <si>
    <t>SPL</t>
  </si>
  <si>
    <t>SMG</t>
  </si>
  <si>
    <t>AnG</t>
  </si>
  <si>
    <t>PrCun</t>
  </si>
  <si>
    <t>PCLc</t>
  </si>
  <si>
    <t>PaO</t>
  </si>
  <si>
    <t>TemL</t>
  </si>
  <si>
    <t>STG</t>
  </si>
  <si>
    <t>MTG</t>
  </si>
  <si>
    <t>ITG</t>
  </si>
  <si>
    <t>FuGt</t>
  </si>
  <si>
    <t>PRG</t>
  </si>
  <si>
    <t>TTG</t>
  </si>
  <si>
    <t>TTGr</t>
  </si>
  <si>
    <t>TTGc</t>
  </si>
  <si>
    <t>PLT</t>
  </si>
  <si>
    <t>TP</t>
  </si>
  <si>
    <t>PRL</t>
  </si>
  <si>
    <t>PLP</t>
  </si>
  <si>
    <t>OccL</t>
  </si>
  <si>
    <t>OPR</t>
  </si>
  <si>
    <t>OTR</t>
  </si>
  <si>
    <t>Cun</t>
  </si>
  <si>
    <t>LiG</t>
  </si>
  <si>
    <t>FuGo</t>
  </si>
  <si>
    <t>IOG</t>
  </si>
  <si>
    <t>SOG</t>
  </si>
  <si>
    <t>InL</t>
  </si>
  <si>
    <t>LIG</t>
  </si>
  <si>
    <t>SIG</t>
  </si>
  <si>
    <t>LimL</t>
  </si>
  <si>
    <t>CgG</t>
  </si>
  <si>
    <t>CgGr</t>
  </si>
  <si>
    <t>CgGc</t>
  </si>
  <si>
    <t>CgGrs</t>
  </si>
  <si>
    <t>IsCPH</t>
  </si>
  <si>
    <t>SCG</t>
  </si>
  <si>
    <t>PTG</t>
  </si>
  <si>
    <t>PHG</t>
  </si>
  <si>
    <t>APH</t>
  </si>
  <si>
    <t>UN</t>
  </si>
  <si>
    <t>AG</t>
  </si>
  <si>
    <t>BG</t>
  </si>
  <si>
    <t>ILG</t>
  </si>
  <si>
    <t>SLG</t>
  </si>
  <si>
    <t>HiF</t>
  </si>
  <si>
    <t>HiH</t>
  </si>
  <si>
    <t>HiD</t>
  </si>
  <si>
    <t>HiB</t>
  </si>
  <si>
    <t>HiT</t>
  </si>
  <si>
    <t>FaG</t>
  </si>
  <si>
    <t>Retz</t>
  </si>
  <si>
    <t>Subx</t>
  </si>
  <si>
    <t>PrPir</t>
  </si>
  <si>
    <t>APS</t>
  </si>
  <si>
    <t>HaTr</t>
  </si>
  <si>
    <t>habenular triangle</t>
  </si>
  <si>
    <t>InF</t>
  </si>
  <si>
    <t>LI</t>
  </si>
  <si>
    <t>PrN</t>
  </si>
  <si>
    <t>TPUJ</t>
  </si>
  <si>
    <t>temporopolar uncal junction</t>
  </si>
  <si>
    <t>TN</t>
  </si>
  <si>
    <t>tentorial notch</t>
  </si>
  <si>
    <t>ASFV</t>
  </si>
  <si>
    <t>adjoining structures of forebrain ventricles</t>
  </si>
  <si>
    <t>CalA</t>
  </si>
  <si>
    <t>ChoLV</t>
  </si>
  <si>
    <t>Cho3V</t>
  </si>
  <si>
    <t>choroid plexus of 3V</t>
  </si>
  <si>
    <t>ChoF</t>
  </si>
  <si>
    <t>ColE</t>
  </si>
  <si>
    <t>collateral eminence</t>
  </si>
  <si>
    <t>ColT</t>
  </si>
  <si>
    <t>collateral trigone</t>
  </si>
  <si>
    <t>hyths</t>
  </si>
  <si>
    <t>hypothalamic sulcus</t>
  </si>
  <si>
    <t>InTh</t>
  </si>
  <si>
    <t>interthalamic adhesion (massa intermedia)</t>
  </si>
  <si>
    <t>LaT</t>
  </si>
  <si>
    <t>OVLT</t>
  </si>
  <si>
    <t>Pell</t>
  </si>
  <si>
    <t>cpell</t>
  </si>
  <si>
    <t>vip</t>
  </si>
  <si>
    <t>velum interpositum</t>
  </si>
  <si>
    <t>fbv</t>
  </si>
  <si>
    <t>blood vessels of forebrain</t>
  </si>
  <si>
    <t>PTR</t>
  </si>
  <si>
    <t>PTN</t>
  </si>
  <si>
    <t>DPT</t>
  </si>
  <si>
    <t>dorsal (posterior/sublentiform) pretectal nucleus</t>
  </si>
  <si>
    <t>NOP</t>
  </si>
  <si>
    <t>nucleus of the optic tract  (lentiform nucleus)</t>
  </si>
  <si>
    <t>APT</t>
  </si>
  <si>
    <t>APTc</t>
  </si>
  <si>
    <t>anterior pretectal nucleus, compact division</t>
  </si>
  <si>
    <t>APTr</t>
  </si>
  <si>
    <t>anterior pretectal nucleus, reticular division</t>
  </si>
  <si>
    <t>AOP</t>
  </si>
  <si>
    <t>accessory nuclei of optic tract</t>
  </si>
  <si>
    <t>AOPd</t>
  </si>
  <si>
    <t>accessory nuclei of optic tract, dorsal nucleus</t>
  </si>
  <si>
    <t>accessory nuclei of optic tract, lateral nucleus</t>
  </si>
  <si>
    <t>AOPm</t>
  </si>
  <si>
    <t>accessory nuclei of optic tract, medial nucleus</t>
  </si>
  <si>
    <t>MEN</t>
  </si>
  <si>
    <t>efferent nuclei of the cranial nerves in the midbrain</t>
  </si>
  <si>
    <t>Edinger-Westphal nucleus (accessory oculomotor nucleus)</t>
  </si>
  <si>
    <t>3N</t>
  </si>
  <si>
    <t>3AM</t>
  </si>
  <si>
    <t>3CC</t>
  </si>
  <si>
    <t>3C</t>
  </si>
  <si>
    <t>3D</t>
  </si>
  <si>
    <t>3Vn</t>
  </si>
  <si>
    <t>4N</t>
  </si>
  <si>
    <t>S4N</t>
  </si>
  <si>
    <t>supratrochlear nucleus</t>
  </si>
  <si>
    <t>MAN</t>
  </si>
  <si>
    <t>afferent nuclei of the cranial nerves in midbrain</t>
  </si>
  <si>
    <t>Me5</t>
  </si>
  <si>
    <t>PAGD</t>
  </si>
  <si>
    <t>periaqueductal gray substance, dorsolateral portion</t>
  </si>
  <si>
    <t>PAGdm</t>
  </si>
  <si>
    <t>periaqueductal gray substance,dorsomedial division</t>
  </si>
  <si>
    <t>PAGdl</t>
  </si>
  <si>
    <t>periaqueductal gray substance, dorsolateral division</t>
  </si>
  <si>
    <t>PAGl</t>
  </si>
  <si>
    <t>periaqueductal gray substance, lateral division</t>
  </si>
  <si>
    <t>PAGvl</t>
  </si>
  <si>
    <t>periaqueductal gray substance, ventrolateral division</t>
  </si>
  <si>
    <t>PAGpl</t>
  </si>
  <si>
    <t>periaqueductal gray substance, pleioglial division</t>
  </si>
  <si>
    <t>PAGV</t>
  </si>
  <si>
    <t>periaqueductal gray substance, ventral portion</t>
  </si>
  <si>
    <t>DRc</t>
  </si>
  <si>
    <t>cap of dorsal raphe nucleus</t>
  </si>
  <si>
    <t>PC3</t>
  </si>
  <si>
    <t>Su3C</t>
  </si>
  <si>
    <t>supraoculomotor cap</t>
  </si>
  <si>
    <t>supraoculomotor nucleus</t>
  </si>
  <si>
    <t>MRa</t>
  </si>
  <si>
    <t>DRC</t>
  </si>
  <si>
    <t>dorsal raphe nucleus, caudal part</t>
  </si>
  <si>
    <t>DRD</t>
  </si>
  <si>
    <t>dorsal raphe nucleus, dorsal part</t>
  </si>
  <si>
    <t>DRI</t>
  </si>
  <si>
    <t>dorsal raphe nucleus, interfascicular part</t>
  </si>
  <si>
    <t>DRL</t>
  </si>
  <si>
    <t>dorsal raphe nucleus, lateral part</t>
  </si>
  <si>
    <t>DRV</t>
  </si>
  <si>
    <t>dorsal raphe nucleus, ventral part</t>
  </si>
  <si>
    <t>DRVL</t>
  </si>
  <si>
    <t>dorsal raphe nucleus, ventrolateral part</t>
  </si>
  <si>
    <t>Lin</t>
  </si>
  <si>
    <t>CLiZ</t>
  </si>
  <si>
    <t>caudal linear nucleus of the raphe</t>
  </si>
  <si>
    <t>CLinAz</t>
  </si>
  <si>
    <t>caudal linear nucleus of the raphe, azygos part</t>
  </si>
  <si>
    <t>CLinZ</t>
  </si>
  <si>
    <t>caudal linear nucleus of the raphe, zygos part</t>
  </si>
  <si>
    <t>RLin</t>
  </si>
  <si>
    <t>MnR</t>
  </si>
  <si>
    <t>PMnR</t>
  </si>
  <si>
    <t>paramedian raphe nucleus</t>
  </si>
  <si>
    <t>PDR</t>
  </si>
  <si>
    <t>posterodorsal raphe nucleus</t>
  </si>
  <si>
    <t>rhabdoid nucleus</t>
  </si>
  <si>
    <t>isRt</t>
  </si>
  <si>
    <t>isthmic reticular formation</t>
  </si>
  <si>
    <t>MRF</t>
  </si>
  <si>
    <t>PrCnF</t>
  </si>
  <si>
    <t>precuneiform area</t>
  </si>
  <si>
    <t>U</t>
  </si>
  <si>
    <t>nucleus U</t>
  </si>
  <si>
    <t>pedunculo(pontine) tegmental  nucleus</t>
  </si>
  <si>
    <t>PTgC</t>
  </si>
  <si>
    <t>pedunculo(pontine) tegmental  nucleus, compact part</t>
  </si>
  <si>
    <t>PTgD</t>
  </si>
  <si>
    <t>pedunculo(pontine) tegmental  nucleus, dissipated part</t>
  </si>
  <si>
    <t>SubCn</t>
  </si>
  <si>
    <t>RNdm</t>
  </si>
  <si>
    <t>red nucleus, dorsomedial part</t>
  </si>
  <si>
    <t>RNmc</t>
  </si>
  <si>
    <t>RNpc</t>
  </si>
  <si>
    <t>SN</t>
  </si>
  <si>
    <t>SNC</t>
  </si>
  <si>
    <t>SNCd</t>
  </si>
  <si>
    <t>substantia nigra, compact part, dorsal subdivision</t>
  </si>
  <si>
    <t>SNCm</t>
  </si>
  <si>
    <t>substantia nigra, compact part, medial subdivision</t>
  </si>
  <si>
    <t>SNCv</t>
  </si>
  <si>
    <t>substantia nigra, compact part, ventral subdivision</t>
  </si>
  <si>
    <t>SNL</t>
  </si>
  <si>
    <t>SNR</t>
  </si>
  <si>
    <t>VTR</t>
  </si>
  <si>
    <t>ventral tegmental region of midbrain</t>
  </si>
  <si>
    <t>PBP</t>
  </si>
  <si>
    <t>PIF</t>
  </si>
  <si>
    <t>parainterfascicular nucleus</t>
  </si>
  <si>
    <t>PaN</t>
  </si>
  <si>
    <t>IPa</t>
  </si>
  <si>
    <t>interpeduncular nucleus, apical subnucleus</t>
  </si>
  <si>
    <t>IPc</t>
  </si>
  <si>
    <t>interpeduncular nucleus, caudal subnucleus</t>
  </si>
  <si>
    <t>IPdm</t>
  </si>
  <si>
    <t>interpeduncular nucleus, dorsomedial subnucleus</t>
  </si>
  <si>
    <t>IPi</t>
  </si>
  <si>
    <t>interpeduncular nucleus, intermediate subnucleus</t>
  </si>
  <si>
    <t>IPl</t>
  </si>
  <si>
    <t>interpeduncular nucleus, lateral subnucleus</t>
  </si>
  <si>
    <t>IPr</t>
  </si>
  <si>
    <t>interpeduncular nucleus, rostral subnucleus</t>
  </si>
  <si>
    <t>XMTg</t>
  </si>
  <si>
    <t>other nuclei in midbrain tegmentum</t>
  </si>
  <si>
    <t>CeMe</t>
  </si>
  <si>
    <t>central mesencephalic nucleus</t>
  </si>
  <si>
    <t>CTF</t>
  </si>
  <si>
    <t>central tegmental field</t>
  </si>
  <si>
    <t>DA8</t>
  </si>
  <si>
    <t>dopamine cells A8</t>
  </si>
  <si>
    <t>I3</t>
  </si>
  <si>
    <t>Lt</t>
  </si>
  <si>
    <t>magnocellular nucleus of the posterior commissure</t>
  </si>
  <si>
    <t>medial accessory oculomotor nucleus</t>
  </si>
  <si>
    <t>p1Rt</t>
  </si>
  <si>
    <t>p1 reticular formation</t>
  </si>
  <si>
    <t>paracollicular tegmentum</t>
  </si>
  <si>
    <t>PaP</t>
  </si>
  <si>
    <t>parapeduncular nucleus</t>
  </si>
  <si>
    <t>PrC</t>
  </si>
  <si>
    <t>precommissural nucleus</t>
  </si>
  <si>
    <t>PrEW</t>
  </si>
  <si>
    <t>pre-Edinger-Westphal nucleus</t>
  </si>
  <si>
    <t>RIs</t>
  </si>
  <si>
    <t>retroisthmic nucleus</t>
  </si>
  <si>
    <t>SubB</t>
  </si>
  <si>
    <t>MTc</t>
  </si>
  <si>
    <t>SCS</t>
  </si>
  <si>
    <t>SCSon</t>
  </si>
  <si>
    <t>optic nerve layer of superior colliculus</t>
  </si>
  <si>
    <t>SCSg</t>
  </si>
  <si>
    <t>SCSw</t>
  </si>
  <si>
    <t>SCSz</t>
  </si>
  <si>
    <t>SCI</t>
  </si>
  <si>
    <t>SCIg</t>
  </si>
  <si>
    <t>SCIw</t>
  </si>
  <si>
    <t>SCD</t>
  </si>
  <si>
    <t>SCDg</t>
  </si>
  <si>
    <t>SCDw</t>
  </si>
  <si>
    <t>BrSC</t>
  </si>
  <si>
    <t>nucleus of branchium of superior colliculus</t>
  </si>
  <si>
    <t>CxIC</t>
  </si>
  <si>
    <t>CICd</t>
  </si>
  <si>
    <t>dorsal cortex of inferior colliculus</t>
  </si>
  <si>
    <t>CICe</t>
  </si>
  <si>
    <t>ICN</t>
  </si>
  <si>
    <t>intercollicular nucleus</t>
  </si>
  <si>
    <t>INPC</t>
  </si>
  <si>
    <t>interstitial nucleus of posterior commissure</t>
  </si>
  <si>
    <t>MxTZ</t>
  </si>
  <si>
    <t>matrix layer of the tectal zone</t>
  </si>
  <si>
    <t>BrIC</t>
  </si>
  <si>
    <t>nucleus of the brachium of inferior colliculus</t>
  </si>
  <si>
    <t>Sag</t>
  </si>
  <si>
    <t>MTS</t>
  </si>
  <si>
    <t>transient structures of midbrain</t>
  </si>
  <si>
    <t>MNM</t>
  </si>
  <si>
    <t>mesencephalic neuromere (mesomere)</t>
  </si>
  <si>
    <t>M-1</t>
  </si>
  <si>
    <t>M-2</t>
  </si>
  <si>
    <t>MZM</t>
  </si>
  <si>
    <t>marginal zone of midbrain</t>
  </si>
  <si>
    <t>IZM</t>
  </si>
  <si>
    <t>intermediate (mantle) zone of midbrain</t>
  </si>
  <si>
    <t>IZMro</t>
  </si>
  <si>
    <t>IZMal</t>
  </si>
  <si>
    <t>alar plate (tectal zone) of midbrain</t>
  </si>
  <si>
    <t>IZMba</t>
  </si>
  <si>
    <t>IZMbam</t>
  </si>
  <si>
    <t>medial tegmental zone</t>
  </si>
  <si>
    <t>IZMbal</t>
  </si>
  <si>
    <t>lateral tegmental zone</t>
  </si>
  <si>
    <t>IZMfl</t>
  </si>
  <si>
    <t>VZM</t>
  </si>
  <si>
    <t>ventricular (matrix) zone of midbrain</t>
  </si>
  <si>
    <t>MWM</t>
  </si>
  <si>
    <t>ctg-m</t>
  </si>
  <si>
    <t>central tegmental tract, midbrain portion</t>
  </si>
  <si>
    <t>cerebral peduncle (crus cerebri)</t>
  </si>
  <si>
    <t>cpn-m</t>
  </si>
  <si>
    <t>corticopontine fibers, midbrain portion</t>
  </si>
  <si>
    <t>fpn-m</t>
  </si>
  <si>
    <t>frontal pontine fibers, midbrain portion</t>
  </si>
  <si>
    <t>potpn-m</t>
  </si>
  <si>
    <t>parieto-occipito-temporal pontine fibers, midbrain portion</t>
  </si>
  <si>
    <t>py-m</t>
  </si>
  <si>
    <t>pyramidal tract, midbrain portion</t>
  </si>
  <si>
    <t>cbu-m</t>
  </si>
  <si>
    <t>corticobulbar tract, midbrain portion</t>
  </si>
  <si>
    <t>cmic</t>
  </si>
  <si>
    <t>cme</t>
  </si>
  <si>
    <t>corticomesencephalic fibers</t>
  </si>
  <si>
    <t>xrsp</t>
  </si>
  <si>
    <t>decussation of  rubrospinal tract</t>
  </si>
  <si>
    <t>xscp</t>
  </si>
  <si>
    <t>x4</t>
  </si>
  <si>
    <t>dlf-m</t>
  </si>
  <si>
    <t>dorsal longitudinal fasciculus, midbrain portion</t>
  </si>
  <si>
    <t>xdtg</t>
  </si>
  <si>
    <t>dtth-m</t>
  </si>
  <si>
    <t>dorsal trigeminothalamic tract, midbrain portion</t>
  </si>
  <si>
    <t>fasciculus retroflexus (habenuno-interpeduncular tract)</t>
  </si>
  <si>
    <t>hysp-m</t>
  </si>
  <si>
    <t>hypothalamospinal fibers, midbrain portion</t>
  </si>
  <si>
    <t>iptg</t>
  </si>
  <si>
    <t>interpedunculotegmental tract</t>
  </si>
  <si>
    <t>issp-m</t>
  </si>
  <si>
    <t>interstitiospinal tract, midbrain portion</t>
  </si>
  <si>
    <t>ll-m</t>
  </si>
  <si>
    <t>lateral lemniscus, midbrain portion</t>
  </si>
  <si>
    <t>ml-m</t>
  </si>
  <si>
    <t>medial lemniscus, midbrain portion</t>
  </si>
  <si>
    <t>mlf-m</t>
  </si>
  <si>
    <t>medial longitudinal fasciculus, midbrain portion</t>
  </si>
  <si>
    <t>mtg-m</t>
  </si>
  <si>
    <t>medial tegmental tract, midbrain portion</t>
  </si>
  <si>
    <t>me5-m</t>
  </si>
  <si>
    <t>mesencephalic trigeminal tract, midbrain portion</t>
  </si>
  <si>
    <t>rubu-m</t>
  </si>
  <si>
    <t>rubrobulbar (rubronuclear) tract, midbrain portion</t>
  </si>
  <si>
    <t>rol-m</t>
  </si>
  <si>
    <t>rubro-olivary tract, midbrain portion</t>
  </si>
  <si>
    <t>rsp-m</t>
  </si>
  <si>
    <t>rubrospinal tract, midbrain portion</t>
  </si>
  <si>
    <t>sl-m</t>
  </si>
  <si>
    <t>spinal lemniscus, midbrain portion</t>
  </si>
  <si>
    <t>cbru</t>
  </si>
  <si>
    <t>cbth</t>
  </si>
  <si>
    <t>dtth</t>
  </si>
  <si>
    <t>geru</t>
  </si>
  <si>
    <t>rucb</t>
  </si>
  <si>
    <t>tcb</t>
  </si>
  <si>
    <t>vscb-m</t>
  </si>
  <si>
    <t>tbu-m</t>
  </si>
  <si>
    <t>tectobulbar tract, midbrain portion</t>
  </si>
  <si>
    <t>tol</t>
  </si>
  <si>
    <t>tecto-olivary fibers</t>
  </si>
  <si>
    <t>tpn</t>
  </si>
  <si>
    <t>tsp-m</t>
  </si>
  <si>
    <t>tectospinal tract, midbrain portion</t>
  </si>
  <si>
    <t>xvtg</t>
  </si>
  <si>
    <t>vtth-m</t>
  </si>
  <si>
    <t>ventral trigeminothalamic tract, midbrain portion</t>
  </si>
  <si>
    <t>wmtg</t>
  </si>
  <si>
    <t>white matter of tegmentum</t>
  </si>
  <si>
    <t>Aq</t>
  </si>
  <si>
    <t>MSS</t>
  </si>
  <si>
    <t>surface structures of midbrain</t>
  </si>
  <si>
    <t>fsmv</t>
  </si>
  <si>
    <t>frenulum of the superior medullary velum</t>
  </si>
  <si>
    <t>interpeduncular fossa</t>
  </si>
  <si>
    <t>pops</t>
  </si>
  <si>
    <t>posterior perforated substance</t>
  </si>
  <si>
    <t>icr</t>
  </si>
  <si>
    <t>infracollicular recess</t>
  </si>
  <si>
    <t>ocs</t>
  </si>
  <si>
    <t>oculomotor sulcus</t>
  </si>
  <si>
    <t>qgb</t>
  </si>
  <si>
    <t>trill</t>
  </si>
  <si>
    <t>trigone of lateral lemniscus (acoustic trigone)</t>
  </si>
  <si>
    <t>mbv</t>
  </si>
  <si>
    <t>blood vessels of midbrain</t>
  </si>
  <si>
    <t>HGM</t>
  </si>
  <si>
    <t>Met</t>
  </si>
  <si>
    <t>CBC</t>
  </si>
  <si>
    <t>CBV</t>
  </si>
  <si>
    <t>VeA</t>
  </si>
  <si>
    <t>VeAm</t>
  </si>
  <si>
    <t>VeAp</t>
  </si>
  <si>
    <t>VeAg</t>
  </si>
  <si>
    <t>VePo</t>
  </si>
  <si>
    <t>VePs</t>
  </si>
  <si>
    <t>VePsm</t>
  </si>
  <si>
    <t>VePsp</t>
  </si>
  <si>
    <t>VePsg</t>
  </si>
  <si>
    <t>VePi</t>
  </si>
  <si>
    <t>VePim</t>
  </si>
  <si>
    <t>VePip</t>
  </si>
  <si>
    <t>VePig</t>
  </si>
  <si>
    <t>VeF</t>
  </si>
  <si>
    <t>VeFm</t>
  </si>
  <si>
    <t>VeFp</t>
  </si>
  <si>
    <t>VeFg</t>
  </si>
  <si>
    <t>CBH</t>
  </si>
  <si>
    <t>CBPV</t>
  </si>
  <si>
    <t>PVAm</t>
  </si>
  <si>
    <t>PVAp</t>
  </si>
  <si>
    <t>PVAg</t>
  </si>
  <si>
    <t>PVPs</t>
  </si>
  <si>
    <t>PVPsm</t>
  </si>
  <si>
    <t>PVPsp</t>
  </si>
  <si>
    <t>PVPsg</t>
  </si>
  <si>
    <t>PVPi</t>
  </si>
  <si>
    <t>PVPim</t>
  </si>
  <si>
    <t>PVPip</t>
  </si>
  <si>
    <t>PVPig</t>
  </si>
  <si>
    <t>PVF</t>
  </si>
  <si>
    <t>PVFm</t>
  </si>
  <si>
    <t>PVFp</t>
  </si>
  <si>
    <t>PVFg</t>
  </si>
  <si>
    <t>CBL</t>
  </si>
  <si>
    <t>CBLA</t>
  </si>
  <si>
    <t>CBLAm</t>
  </si>
  <si>
    <t>CBLAp</t>
  </si>
  <si>
    <t>CBLAg</t>
  </si>
  <si>
    <t>CBLP</t>
  </si>
  <si>
    <t>CBLPs</t>
  </si>
  <si>
    <t>CBLPsm</t>
  </si>
  <si>
    <t>CBLPsp</t>
  </si>
  <si>
    <t>CBLPsg</t>
  </si>
  <si>
    <t>CBLPi</t>
  </si>
  <si>
    <t>CBLPim</t>
  </si>
  <si>
    <t>CBLPip</t>
  </si>
  <si>
    <t>CBLPig</t>
  </si>
  <si>
    <t>CBLF</t>
  </si>
  <si>
    <t>CBLFm</t>
  </si>
  <si>
    <t>CBLFp</t>
  </si>
  <si>
    <t>CBLFg</t>
  </si>
  <si>
    <t>CbDN</t>
  </si>
  <si>
    <t>DTlv</t>
  </si>
  <si>
    <t>DTmd</t>
  </si>
  <si>
    <t>InP</t>
  </si>
  <si>
    <t>InPM</t>
  </si>
  <si>
    <t>InPL</t>
  </si>
  <si>
    <t>Fas</t>
  </si>
  <si>
    <t>FasL</t>
  </si>
  <si>
    <t>FasM</t>
  </si>
  <si>
    <t>BIcb</t>
  </si>
  <si>
    <t>Pn</t>
  </si>
  <si>
    <t>PnBa</t>
  </si>
  <si>
    <t>PNd</t>
  </si>
  <si>
    <t>PNdl</t>
  </si>
  <si>
    <t>PNdm</t>
  </si>
  <si>
    <t>PNl</t>
  </si>
  <si>
    <t>PNm</t>
  </si>
  <si>
    <t>PNpar</t>
  </si>
  <si>
    <t>PNped</t>
  </si>
  <si>
    <t>RTg</t>
  </si>
  <si>
    <t>PnTg</t>
  </si>
  <si>
    <t>PnEN</t>
  </si>
  <si>
    <t>6N</t>
  </si>
  <si>
    <t>Acs7</t>
  </si>
  <si>
    <t>7N</t>
  </si>
  <si>
    <t>7D</t>
  </si>
  <si>
    <t>7VI</t>
  </si>
  <si>
    <t>7VM</t>
  </si>
  <si>
    <t>7SH</t>
  </si>
  <si>
    <t>7VL</t>
  </si>
  <si>
    <t>Lac</t>
  </si>
  <si>
    <t>Mo5</t>
  </si>
  <si>
    <t>Mo5lpt</t>
  </si>
  <si>
    <t>Mo5ma</t>
  </si>
  <si>
    <t>Mo5mpt</t>
  </si>
  <si>
    <t>Mo5my</t>
  </si>
  <si>
    <t>Mo5te</t>
  </si>
  <si>
    <t>SuSV</t>
  </si>
  <si>
    <t>PnAN</t>
  </si>
  <si>
    <t>8Co</t>
  </si>
  <si>
    <t>DCo</t>
  </si>
  <si>
    <t>GrCo</t>
  </si>
  <si>
    <t>VCo</t>
  </si>
  <si>
    <t>VCoR</t>
  </si>
  <si>
    <t>VCoC</t>
  </si>
  <si>
    <t>Me5-p</t>
  </si>
  <si>
    <t>Pr5</t>
  </si>
  <si>
    <t>Pr5dm</t>
  </si>
  <si>
    <t>Pr5vl</t>
  </si>
  <si>
    <t>Sp5o</t>
  </si>
  <si>
    <t>8Ve-p</t>
  </si>
  <si>
    <t>LVe</t>
  </si>
  <si>
    <t>LVeMC</t>
  </si>
  <si>
    <t>LVePC</t>
  </si>
  <si>
    <t>SuVe</t>
  </si>
  <si>
    <t>VTgR</t>
  </si>
  <si>
    <t>VTgI</t>
  </si>
  <si>
    <t>VTgP</t>
  </si>
  <si>
    <t>VTgS</t>
  </si>
  <si>
    <t>PnAR</t>
  </si>
  <si>
    <t>LLN</t>
  </si>
  <si>
    <t>ILL</t>
  </si>
  <si>
    <t>VLL</t>
  </si>
  <si>
    <t>TrZ</t>
  </si>
  <si>
    <t>TrZl</t>
  </si>
  <si>
    <t>TrZm</t>
  </si>
  <si>
    <t>TrZv</t>
  </si>
  <si>
    <t>POI</t>
  </si>
  <si>
    <t>LPOI</t>
  </si>
  <si>
    <t>MPOI</t>
  </si>
  <si>
    <t>SOI</t>
  </si>
  <si>
    <t>SPO</t>
  </si>
  <si>
    <t>PrO</t>
  </si>
  <si>
    <t>PnRa</t>
  </si>
  <si>
    <t>DR-p</t>
  </si>
  <si>
    <t>MnR-p</t>
  </si>
  <si>
    <t>PMnRt</t>
  </si>
  <si>
    <t>PRn</t>
  </si>
  <si>
    <t>PnRF</t>
  </si>
  <si>
    <t>LPBc</t>
  </si>
  <si>
    <t>LPBd</t>
  </si>
  <si>
    <t>LPBe</t>
  </si>
  <si>
    <t>LPBs</t>
  </si>
  <si>
    <t>MPBe</t>
  </si>
  <si>
    <t>MPBm</t>
  </si>
  <si>
    <t>SPP</t>
  </si>
  <si>
    <t>SPB</t>
  </si>
  <si>
    <t>PnRt</t>
  </si>
  <si>
    <t>PnC</t>
  </si>
  <si>
    <t>PnO</t>
  </si>
  <si>
    <t>PLN</t>
  </si>
  <si>
    <t>PMn</t>
  </si>
  <si>
    <t>RtTg</t>
  </si>
  <si>
    <t>RtTgD</t>
  </si>
  <si>
    <t>PnNA</t>
  </si>
  <si>
    <t>SubC</t>
  </si>
  <si>
    <t>SubCd</t>
  </si>
  <si>
    <t>SubCv</t>
  </si>
  <si>
    <t>XPnTg</t>
  </si>
  <si>
    <t>AInS</t>
  </si>
  <si>
    <t>PnCG</t>
  </si>
  <si>
    <t>DTgP</t>
  </si>
  <si>
    <t>PnE</t>
  </si>
  <si>
    <t>EpC</t>
  </si>
  <si>
    <t>PnG</t>
  </si>
  <si>
    <t>IIMLF</t>
  </si>
  <si>
    <t>IMLF</t>
  </si>
  <si>
    <t>JxO</t>
  </si>
  <si>
    <t>LDTgD</t>
  </si>
  <si>
    <t>LDTgV</t>
  </si>
  <si>
    <t>K</t>
  </si>
  <si>
    <t>L</t>
  </si>
  <si>
    <t>PCuN</t>
  </si>
  <si>
    <t>LPCu</t>
  </si>
  <si>
    <t>MPCu</t>
  </si>
  <si>
    <t>PF7</t>
  </si>
  <si>
    <t>PnBi</t>
  </si>
  <si>
    <t>R7</t>
  </si>
  <si>
    <t>RTz</t>
  </si>
  <si>
    <t>5N</t>
  </si>
  <si>
    <t>VLTg</t>
  </si>
  <si>
    <t>Mo</t>
  </si>
  <si>
    <t>MoPy</t>
  </si>
  <si>
    <t>Ar</t>
  </si>
  <si>
    <t>Ct</t>
  </si>
  <si>
    <t>MoTg</t>
  </si>
  <si>
    <t>MoEN</t>
  </si>
  <si>
    <t>Amb</t>
  </si>
  <si>
    <t>AmbC</t>
  </si>
  <si>
    <t>AmbL</t>
  </si>
  <si>
    <t>AmbSC</t>
  </si>
  <si>
    <t>12N</t>
  </si>
  <si>
    <t>12GH</t>
  </si>
  <si>
    <t>12L</t>
  </si>
  <si>
    <t>12M</t>
  </si>
  <si>
    <t>12V</t>
  </si>
  <si>
    <t>InSV</t>
  </si>
  <si>
    <t>10N</t>
  </si>
  <si>
    <t>10CaI</t>
  </si>
  <si>
    <t>10CeI</t>
  </si>
  <si>
    <t>10DI</t>
  </si>
  <si>
    <t>10DR</t>
  </si>
  <si>
    <t>10F</t>
  </si>
  <si>
    <t>10VI</t>
  </si>
  <si>
    <t>10VR</t>
  </si>
  <si>
    <t>MoAN</t>
  </si>
  <si>
    <t>Sol</t>
  </si>
  <si>
    <t>SolC</t>
  </si>
  <si>
    <t>SolD</t>
  </si>
  <si>
    <t>SolDL</t>
  </si>
  <si>
    <t>SolG</t>
  </si>
  <si>
    <t>SolIM</t>
  </si>
  <si>
    <t>SolI</t>
  </si>
  <si>
    <t>SolIc</t>
  </si>
  <si>
    <t>SolIr</t>
  </si>
  <si>
    <t>SolM</t>
  </si>
  <si>
    <t>SolPaC</t>
  </si>
  <si>
    <t>SolV</t>
  </si>
  <si>
    <t>SolVL</t>
  </si>
  <si>
    <t>SSol</t>
  </si>
  <si>
    <t>PSol</t>
  </si>
  <si>
    <t>Sp5</t>
  </si>
  <si>
    <t>Sp5C</t>
  </si>
  <si>
    <t>Sp5C1</t>
  </si>
  <si>
    <t>Sp5C2</t>
  </si>
  <si>
    <t>SP5C3/4</t>
  </si>
  <si>
    <t>DM5</t>
  </si>
  <si>
    <t>Sp5ip</t>
  </si>
  <si>
    <t>8Ve</t>
  </si>
  <si>
    <t>I8</t>
  </si>
  <si>
    <t>MVe</t>
  </si>
  <si>
    <t>MVeMC</t>
  </si>
  <si>
    <t>MVePC</t>
  </si>
  <si>
    <t>SpVe</t>
  </si>
  <si>
    <t>PaVe</t>
  </si>
  <si>
    <t>MoSR</t>
  </si>
  <si>
    <t>ECu</t>
  </si>
  <si>
    <t>Cu</t>
  </si>
  <si>
    <t>CuR</t>
  </si>
  <si>
    <t>CuT</t>
  </si>
  <si>
    <t>Gr</t>
  </si>
  <si>
    <t>GrC</t>
  </si>
  <si>
    <t>GrR</t>
  </si>
  <si>
    <t>PrCbN</t>
  </si>
  <si>
    <t>Crb</t>
  </si>
  <si>
    <t>DPMn</t>
  </si>
  <si>
    <t>CDPMn</t>
  </si>
  <si>
    <t>ODPMn</t>
  </si>
  <si>
    <t>IODM</t>
  </si>
  <si>
    <t>IOBe</t>
  </si>
  <si>
    <t>IOD</t>
  </si>
  <si>
    <t>IODC</t>
  </si>
  <si>
    <t>IOM</t>
  </si>
  <si>
    <t>IOK</t>
  </si>
  <si>
    <t>IOA</t>
  </si>
  <si>
    <t>IOB</t>
  </si>
  <si>
    <t>IOC</t>
  </si>
  <si>
    <t>IOPr</t>
  </si>
  <si>
    <t>IOVL</t>
  </si>
  <si>
    <t>InM</t>
  </si>
  <si>
    <t>PnbN</t>
  </si>
  <si>
    <t>PrH</t>
  </si>
  <si>
    <t>MoRF</t>
  </si>
  <si>
    <t>DRt</t>
  </si>
  <si>
    <t>IRt</t>
  </si>
  <si>
    <t>CVL</t>
  </si>
  <si>
    <t>NA/A</t>
  </si>
  <si>
    <t>RVRG</t>
  </si>
  <si>
    <t>GiRt</t>
  </si>
  <si>
    <t>GiRtA</t>
  </si>
  <si>
    <t>LPGi</t>
  </si>
  <si>
    <t>PGi</t>
  </si>
  <si>
    <t>APGi</t>
  </si>
  <si>
    <t>DPGi</t>
  </si>
  <si>
    <t>GiRtV</t>
  </si>
  <si>
    <t>LMRt</t>
  </si>
  <si>
    <t>LRt</t>
  </si>
  <si>
    <t>LRtMC</t>
  </si>
  <si>
    <t>LRtPC</t>
  </si>
  <si>
    <t>LRtS5</t>
  </si>
  <si>
    <t>Li</t>
  </si>
  <si>
    <t>MdD</t>
  </si>
  <si>
    <t>MdV</t>
  </si>
  <si>
    <t>PCRt</t>
  </si>
  <si>
    <t>PCRtA</t>
  </si>
  <si>
    <t>MoRa</t>
  </si>
  <si>
    <t>RMg</t>
  </si>
  <si>
    <t>ROb</t>
  </si>
  <si>
    <t>NPRa</t>
  </si>
  <si>
    <t>XMoTg</t>
  </si>
  <si>
    <t>Au</t>
  </si>
  <si>
    <t>BI</t>
  </si>
  <si>
    <t>Bo</t>
  </si>
  <si>
    <t>CGL</t>
  </si>
  <si>
    <t>MoCG</t>
  </si>
  <si>
    <t>DPO</t>
  </si>
  <si>
    <t>MoE</t>
  </si>
  <si>
    <t>EL</t>
  </si>
  <si>
    <t>EF</t>
  </si>
  <si>
    <t>IF12</t>
  </si>
  <si>
    <t>Nt</t>
  </si>
  <si>
    <t>Z</t>
  </si>
  <si>
    <t>Y</t>
  </si>
  <si>
    <t>Ro</t>
  </si>
  <si>
    <t>PaRa</t>
  </si>
  <si>
    <t>PeCu</t>
  </si>
  <si>
    <t>Pe5</t>
  </si>
  <si>
    <t>PrBo</t>
  </si>
  <si>
    <t>SuL</t>
  </si>
  <si>
    <t>HTS</t>
  </si>
  <si>
    <t>CBT</t>
  </si>
  <si>
    <t>VeT</t>
  </si>
  <si>
    <t>VeTe</t>
  </si>
  <si>
    <t>VeTm</t>
  </si>
  <si>
    <t>VeTp</t>
  </si>
  <si>
    <t>VeTi</t>
  </si>
  <si>
    <t>VeTis</t>
  </si>
  <si>
    <t>VeTid</t>
  </si>
  <si>
    <t>VeTv</t>
  </si>
  <si>
    <t>PRVT</t>
  </si>
  <si>
    <t>PRVTe</t>
  </si>
  <si>
    <t>PRVTm</t>
  </si>
  <si>
    <t>PRVTp</t>
  </si>
  <si>
    <t>PRVTi</t>
  </si>
  <si>
    <t>PRVTis</t>
  </si>
  <si>
    <t>PRVTid</t>
  </si>
  <si>
    <t>PRVTv</t>
  </si>
  <si>
    <t>CbLT</t>
  </si>
  <si>
    <t>CbLTe</t>
  </si>
  <si>
    <t>CbLTm</t>
  </si>
  <si>
    <t>CbLTp</t>
  </si>
  <si>
    <t>CbLTi</t>
  </si>
  <si>
    <t>CbLTis</t>
  </si>
  <si>
    <t>CbLTid</t>
  </si>
  <si>
    <t>CbLTv</t>
  </si>
  <si>
    <t>CbFT</t>
  </si>
  <si>
    <t>CbFTe</t>
  </si>
  <si>
    <t>CbFTm</t>
  </si>
  <si>
    <t>CbFTp</t>
  </si>
  <si>
    <t>CbFTi</t>
  </si>
  <si>
    <t>CbFTis</t>
  </si>
  <si>
    <t>CbFTid</t>
  </si>
  <si>
    <t>CbFTv</t>
  </si>
  <si>
    <t>TGCbN</t>
  </si>
  <si>
    <t>CbP</t>
  </si>
  <si>
    <t>MZCbP</t>
  </si>
  <si>
    <t>IZCbP</t>
  </si>
  <si>
    <t>NTZ</t>
  </si>
  <si>
    <t>CTZ</t>
  </si>
  <si>
    <t>VZCbP</t>
  </si>
  <si>
    <t>CbS</t>
  </si>
  <si>
    <t>CbSi</t>
  </si>
  <si>
    <t>CbSe</t>
  </si>
  <si>
    <t>HNM</t>
  </si>
  <si>
    <t>RhIS</t>
  </si>
  <si>
    <t>RhA</t>
  </si>
  <si>
    <t>Rh1</t>
  </si>
  <si>
    <t>Rh2</t>
  </si>
  <si>
    <t>Rh3</t>
  </si>
  <si>
    <t>RhB</t>
  </si>
  <si>
    <t>Rh4</t>
  </si>
  <si>
    <t>RhC</t>
  </si>
  <si>
    <t>Rh5</t>
  </si>
  <si>
    <t>Rh6</t>
  </si>
  <si>
    <t>Rh7</t>
  </si>
  <si>
    <t>RhD</t>
  </si>
  <si>
    <t>Rh8</t>
  </si>
  <si>
    <t>RhL</t>
  </si>
  <si>
    <t>URL</t>
  </si>
  <si>
    <t>EGLU</t>
  </si>
  <si>
    <t>LRL</t>
  </si>
  <si>
    <t>EGLL</t>
  </si>
  <si>
    <t>TCC</t>
  </si>
  <si>
    <t>MCCP</t>
  </si>
  <si>
    <t>ICCP</t>
  </si>
  <si>
    <t>LCCP</t>
  </si>
  <si>
    <t>TPk</t>
  </si>
  <si>
    <t>PkA</t>
  </si>
  <si>
    <t>PkB</t>
  </si>
  <si>
    <t>PkC</t>
  </si>
  <si>
    <t>PkD</t>
  </si>
  <si>
    <t>PkE</t>
  </si>
  <si>
    <t>PkF</t>
  </si>
  <si>
    <t>PkG</t>
  </si>
  <si>
    <t>MSH</t>
  </si>
  <si>
    <t>REMS</t>
  </si>
  <si>
    <t>CEMS</t>
  </si>
  <si>
    <t>ImMS</t>
  </si>
  <si>
    <t>MZH</t>
  </si>
  <si>
    <t>MZCB</t>
  </si>
  <si>
    <t>MZPN</t>
  </si>
  <si>
    <t>MZMO</t>
  </si>
  <si>
    <t>IZH</t>
  </si>
  <si>
    <t>IZHal</t>
  </si>
  <si>
    <t>SSA</t>
  </si>
  <si>
    <t>GSA</t>
  </si>
  <si>
    <t>GVA</t>
  </si>
  <si>
    <t>SVA</t>
  </si>
  <si>
    <t>IZHba</t>
  </si>
  <si>
    <t>GVE</t>
  </si>
  <si>
    <t>SVE</t>
  </si>
  <si>
    <t>GSE</t>
  </si>
  <si>
    <t>IZHfl</t>
  </si>
  <si>
    <t>IZHro</t>
  </si>
  <si>
    <t>VZH</t>
  </si>
  <si>
    <t>VZCB</t>
  </si>
  <si>
    <t>VZPN</t>
  </si>
  <si>
    <t>VZMO</t>
  </si>
  <si>
    <t>PnFlx</t>
  </si>
  <si>
    <t>CrSlp</t>
  </si>
  <si>
    <t>CaSlp</t>
  </si>
  <si>
    <t>PnbB</t>
  </si>
  <si>
    <t>RhGv</t>
  </si>
  <si>
    <t>HWM</t>
  </si>
  <si>
    <t>ami</t>
  </si>
  <si>
    <t>af7</t>
  </si>
  <si>
    <t>ctg</t>
  </si>
  <si>
    <t>cpn</t>
  </si>
  <si>
    <t>xml</t>
  </si>
  <si>
    <t>def</t>
  </si>
  <si>
    <t>dlf-h</t>
  </si>
  <si>
    <t>dtgth</t>
  </si>
  <si>
    <t>eaf</t>
  </si>
  <si>
    <t>g7</t>
  </si>
  <si>
    <t>gr</t>
  </si>
  <si>
    <t>hio</t>
  </si>
  <si>
    <t>hysp</t>
  </si>
  <si>
    <t>rsf</t>
  </si>
  <si>
    <t>cbrf</t>
  </si>
  <si>
    <t>cbvf</t>
  </si>
  <si>
    <t>cucb</t>
  </si>
  <si>
    <t>ocb</t>
  </si>
  <si>
    <t>rcbtm</t>
  </si>
  <si>
    <t>jx</t>
  </si>
  <si>
    <t>fasr</t>
  </si>
  <si>
    <t>fasv</t>
  </si>
  <si>
    <t>tgcb</t>
  </si>
  <si>
    <t>vecb</t>
  </si>
  <si>
    <t>issp</t>
  </si>
  <si>
    <t>lbrs</t>
  </si>
  <si>
    <t>lcs</t>
  </si>
  <si>
    <t>lvs</t>
  </si>
  <si>
    <t>lfpn</t>
  </si>
  <si>
    <t>metg</t>
  </si>
  <si>
    <t>mvet</t>
  </si>
  <si>
    <t>me5</t>
  </si>
  <si>
    <t>pncb</t>
  </si>
  <si>
    <t>rctp</t>
  </si>
  <si>
    <t>olcob</t>
  </si>
  <si>
    <t>xpy</t>
  </si>
  <si>
    <t>cbu-h</t>
  </si>
  <si>
    <t>cre-h</t>
  </si>
  <si>
    <t>csp-h</t>
  </si>
  <si>
    <t>rsp</t>
  </si>
  <si>
    <t>lrsp</t>
  </si>
  <si>
    <t>vrsp</t>
  </si>
  <si>
    <t>rbb</t>
  </si>
  <si>
    <t>rol</t>
  </si>
  <si>
    <t>rusp</t>
  </si>
  <si>
    <t>slh</t>
  </si>
  <si>
    <t>spb</t>
  </si>
  <si>
    <t>sphy</t>
  </si>
  <si>
    <t>spme</t>
  </si>
  <si>
    <t>spre</t>
  </si>
  <si>
    <t>spth</t>
  </si>
  <si>
    <t>spve</t>
  </si>
  <si>
    <t>tbu</t>
  </si>
  <si>
    <t>spol</t>
  </si>
  <si>
    <t>sm4V</t>
  </si>
  <si>
    <t>tfp</t>
  </si>
  <si>
    <t>tri5</t>
  </si>
  <si>
    <t>ubcb</t>
  </si>
  <si>
    <t>vcsp</t>
  </si>
  <si>
    <t>vexf</t>
  </si>
  <si>
    <t>vresp</t>
  </si>
  <si>
    <t>vscb</t>
  </si>
  <si>
    <t>vtth</t>
  </si>
  <si>
    <t>veme</t>
  </si>
  <si>
    <t>HV</t>
  </si>
  <si>
    <t>4V</t>
  </si>
  <si>
    <t>4Vro</t>
  </si>
  <si>
    <t>lr4V</t>
  </si>
  <si>
    <t>4Vfl</t>
  </si>
  <si>
    <t>cec</t>
  </si>
  <si>
    <t>HSS</t>
  </si>
  <si>
    <t>CbSS</t>
  </si>
  <si>
    <t>prcf</t>
  </si>
  <si>
    <t>pocf</t>
  </si>
  <si>
    <t>prif</t>
  </si>
  <si>
    <t>hof</t>
  </si>
  <si>
    <t>prpy</t>
  </si>
  <si>
    <t>ibif</t>
  </si>
  <si>
    <t>popy</t>
  </si>
  <si>
    <t>polf</t>
  </si>
  <si>
    <t>CBLL</t>
  </si>
  <si>
    <t>ACb</t>
  </si>
  <si>
    <t>CbI</t>
  </si>
  <si>
    <t>CbII</t>
  </si>
  <si>
    <t>CbIII</t>
  </si>
  <si>
    <t>CbIV</t>
  </si>
  <si>
    <t>PCb</t>
  </si>
  <si>
    <t>CbVI</t>
  </si>
  <si>
    <t>CbVIIa1</t>
  </si>
  <si>
    <t>CbVIIa2</t>
  </si>
  <si>
    <t>CbVIIb</t>
  </si>
  <si>
    <t>CbVIIIa</t>
  </si>
  <si>
    <t>CbVIIIb</t>
  </si>
  <si>
    <t>CbIX</t>
  </si>
  <si>
    <t>FNCb</t>
  </si>
  <si>
    <t>CbX</t>
  </si>
  <si>
    <t>PnSS</t>
  </si>
  <si>
    <t>bas</t>
  </si>
  <si>
    <t>IsRh</t>
  </si>
  <si>
    <t>pbr</t>
  </si>
  <si>
    <t>pmed</t>
  </si>
  <si>
    <t>pmes</t>
  </si>
  <si>
    <t>r7m</t>
  </si>
  <si>
    <t>r7in</t>
  </si>
  <si>
    <t>r5m</t>
  </si>
  <si>
    <t>r5s</t>
  </si>
  <si>
    <t>r8co</t>
  </si>
  <si>
    <t>r8ve</t>
  </si>
  <si>
    <t>rmv</t>
  </si>
  <si>
    <t>AS4V</t>
  </si>
  <si>
    <t>Cho4V</t>
  </si>
  <si>
    <t>FaC</t>
  </si>
  <si>
    <t>FovI</t>
  </si>
  <si>
    <t>FovS</t>
  </si>
  <si>
    <t>FnS</t>
  </si>
  <si>
    <t>12Tr</t>
  </si>
  <si>
    <t>la4V</t>
  </si>
  <si>
    <t>MEm</t>
  </si>
  <si>
    <t>ma4V</t>
  </si>
  <si>
    <t>MSul</t>
  </si>
  <si>
    <t>Obx</t>
  </si>
  <si>
    <t>SulL</t>
  </si>
  <si>
    <t>Tae</t>
  </si>
  <si>
    <t>10Tr</t>
  </si>
  <si>
    <t>MOSS</t>
  </si>
  <si>
    <t>alms</t>
  </si>
  <si>
    <t>pros</t>
  </si>
  <si>
    <t>cutu</t>
  </si>
  <si>
    <t>dmms</t>
  </si>
  <si>
    <t>fce</t>
  </si>
  <si>
    <t>grtu</t>
  </si>
  <si>
    <t>imv</t>
  </si>
  <si>
    <t>dims</t>
  </si>
  <si>
    <t>dlms</t>
  </si>
  <si>
    <t>posos</t>
  </si>
  <si>
    <t>r11cr</t>
  </si>
  <si>
    <t>r11sp</t>
  </si>
  <si>
    <t>r12</t>
  </si>
  <si>
    <t>vmms</t>
  </si>
  <si>
    <t>hbv</t>
  </si>
  <si>
    <t>SGM</t>
  </si>
  <si>
    <t>SpI</t>
  </si>
  <si>
    <t>SpII</t>
  </si>
  <si>
    <t>SpIII-IV</t>
  </si>
  <si>
    <t>SpV-VI</t>
  </si>
  <si>
    <t>SpVII</t>
  </si>
  <si>
    <t>SpVIII</t>
  </si>
  <si>
    <t>SpIX</t>
  </si>
  <si>
    <t>SpX</t>
  </si>
  <si>
    <t>SWM</t>
  </si>
  <si>
    <t>dfs</t>
  </si>
  <si>
    <t>lfs</t>
  </si>
  <si>
    <t>polt</t>
  </si>
  <si>
    <t>vfs</t>
  </si>
  <si>
    <t>SV</t>
  </si>
  <si>
    <t>cces</t>
  </si>
  <si>
    <t>SSS</t>
  </si>
  <si>
    <t>rsn</t>
  </si>
  <si>
    <t>vmss</t>
  </si>
  <si>
    <t>spbv</t>
  </si>
  <si>
    <t>GM</t>
  </si>
  <si>
    <t>fro</t>
  </si>
  <si>
    <t>FP-s</t>
  </si>
  <si>
    <t>FPi</t>
  </si>
  <si>
    <t>FPm</t>
  </si>
  <si>
    <t>GRe</t>
  </si>
  <si>
    <t>opIFG</t>
  </si>
  <si>
    <t>orIFG</t>
  </si>
  <si>
    <t>trIFG</t>
  </si>
  <si>
    <t>MFG-s</t>
  </si>
  <si>
    <t>MFG-i</t>
  </si>
  <si>
    <t>OlfA</t>
  </si>
  <si>
    <t>PCLa</t>
  </si>
  <si>
    <t>PCLa-s</t>
  </si>
  <si>
    <t>PCLa-i</t>
  </si>
  <si>
    <t>PaOG</t>
  </si>
  <si>
    <t>PrG</t>
  </si>
  <si>
    <t>PrG-prc</t>
  </si>
  <si>
    <t>PrG-sl</t>
  </si>
  <si>
    <t>PrG-il</t>
  </si>
  <si>
    <t>PrG-cs</t>
  </si>
  <si>
    <t>SFG-m</t>
  </si>
  <si>
    <t>SFG-l</t>
  </si>
  <si>
    <t>Ins</t>
  </si>
  <si>
    <t>LL</t>
  </si>
  <si>
    <t>CgGf</t>
  </si>
  <si>
    <t>CgGf-s</t>
  </si>
  <si>
    <t>CgGf-i</t>
  </si>
  <si>
    <t>CgGp</t>
  </si>
  <si>
    <t>CgGp-s</t>
  </si>
  <si>
    <t>CgGp-i</t>
  </si>
  <si>
    <t>CgGr-s</t>
  </si>
  <si>
    <t>CgGr-i</t>
  </si>
  <si>
    <t>PHG-l</t>
  </si>
  <si>
    <t>PHG-cos</t>
  </si>
  <si>
    <t>OL</t>
  </si>
  <si>
    <t>Cun-pest</t>
  </si>
  <si>
    <t>Cun-str</t>
  </si>
  <si>
    <t>IOG-s</t>
  </si>
  <si>
    <t>IOG-i</t>
  </si>
  <si>
    <t>LiG-pest</t>
  </si>
  <si>
    <t>LiG-str</t>
  </si>
  <si>
    <t>OPs</t>
  </si>
  <si>
    <t>OPi</t>
  </si>
  <si>
    <t>OPl</t>
  </si>
  <si>
    <t>OTG</t>
  </si>
  <si>
    <t>OTG-s</t>
  </si>
  <si>
    <t>OTG-i</t>
  </si>
  <si>
    <t>SOG-s</t>
  </si>
  <si>
    <t>SOG-i</t>
  </si>
  <si>
    <t>AnG-s</t>
  </si>
  <si>
    <t>AnG-i</t>
  </si>
  <si>
    <t>SMG-s</t>
  </si>
  <si>
    <t>SMG-i</t>
  </si>
  <si>
    <t>PCLp</t>
  </si>
  <si>
    <t>PCLp-l</t>
  </si>
  <si>
    <t>PCLp-cs</t>
  </si>
  <si>
    <t>PoG</t>
  </si>
  <si>
    <t>PoG-cs</t>
  </si>
  <si>
    <t>PoG-sl</t>
  </si>
  <si>
    <t>PoG-il</t>
  </si>
  <si>
    <t>PoG-pcs</t>
  </si>
  <si>
    <t>PCu</t>
  </si>
  <si>
    <t>Pcu-s</t>
  </si>
  <si>
    <t>Pcu-i</t>
  </si>
  <si>
    <t>SPL-s</t>
  </si>
  <si>
    <t>SPL-i</t>
  </si>
  <si>
    <t>FuG</t>
  </si>
  <si>
    <t>FuG-its</t>
  </si>
  <si>
    <t>FuG-l</t>
  </si>
  <si>
    <t>FuG-cos</t>
  </si>
  <si>
    <t>HG</t>
  </si>
  <si>
    <t>ITG-its</t>
  </si>
  <si>
    <t>ITG-l</t>
  </si>
  <si>
    <t>ITG-mts</t>
  </si>
  <si>
    <t>MTG-s</t>
  </si>
  <si>
    <t>MTG-i</t>
  </si>
  <si>
    <t>STG-l</t>
  </si>
  <si>
    <t>STG-i</t>
  </si>
  <si>
    <t>TP-s</t>
  </si>
  <si>
    <t>TP-i</t>
  </si>
  <si>
    <t>TP-m</t>
  </si>
  <si>
    <t>CxN</t>
  </si>
  <si>
    <t>Amg</t>
  </si>
  <si>
    <t>ATZ</t>
  </si>
  <si>
    <t>AHiA</t>
  </si>
  <si>
    <t>AHiAm</t>
  </si>
  <si>
    <t>AHiAp</t>
  </si>
  <si>
    <t>AHiAml</t>
  </si>
  <si>
    <t>BLAm</t>
  </si>
  <si>
    <t>BLAdl</t>
  </si>
  <si>
    <t>BLAi</t>
  </si>
  <si>
    <t>BLAvl</t>
  </si>
  <si>
    <t>BLAvm</t>
  </si>
  <si>
    <t>BMAd</t>
  </si>
  <si>
    <t>BMAmc</t>
  </si>
  <si>
    <t>BMAdl</t>
  </si>
  <si>
    <t>BMAm</t>
  </si>
  <si>
    <t>BMAv</t>
  </si>
  <si>
    <t>BMApc</t>
  </si>
  <si>
    <t>BMAvm</t>
  </si>
  <si>
    <t>CeA</t>
  </si>
  <si>
    <t>CeAm</t>
  </si>
  <si>
    <t>CeAmd</t>
  </si>
  <si>
    <t>CeAmv</t>
  </si>
  <si>
    <t>CeAl</t>
  </si>
  <si>
    <t>CeAla</t>
  </si>
  <si>
    <t>CeAlca</t>
  </si>
  <si>
    <t>CeAlp</t>
  </si>
  <si>
    <t>CeAlc</t>
  </si>
  <si>
    <t>COMA</t>
  </si>
  <si>
    <t>COAad</t>
  </si>
  <si>
    <t>COAav</t>
  </si>
  <si>
    <t>COAam</t>
  </si>
  <si>
    <t>MAa</t>
  </si>
  <si>
    <t>MAp</t>
  </si>
  <si>
    <t>MApd</t>
  </si>
  <si>
    <t>MApv</t>
  </si>
  <si>
    <t>MAm</t>
  </si>
  <si>
    <t>COApd</t>
  </si>
  <si>
    <t>COApv</t>
  </si>
  <si>
    <t>LAd</t>
  </si>
  <si>
    <t>LAda</t>
  </si>
  <si>
    <t>LAdm</t>
  </si>
  <si>
    <t>LAdl</t>
  </si>
  <si>
    <t>LAdl-com</t>
  </si>
  <si>
    <t>LAi</t>
  </si>
  <si>
    <t>LAv</t>
  </si>
  <si>
    <t>LAvl</t>
  </si>
  <si>
    <t>LAvm</t>
  </si>
  <si>
    <t>LAvglo</t>
  </si>
  <si>
    <t>PLA</t>
  </si>
  <si>
    <t>PLAglo</t>
  </si>
  <si>
    <t>AO</t>
  </si>
  <si>
    <t>SptN</t>
  </si>
  <si>
    <t>nbM</t>
  </si>
  <si>
    <t>DB</t>
  </si>
  <si>
    <t>DBv</t>
  </si>
  <si>
    <t>DBh</t>
  </si>
  <si>
    <t>Nac</t>
  </si>
  <si>
    <t>OlfT</t>
  </si>
  <si>
    <t>IslC</t>
  </si>
  <si>
    <t xml:space="preserve">nucleus of the diagonal band, right </t>
  </si>
  <si>
    <t>Cd</t>
  </si>
  <si>
    <t>BCd</t>
  </si>
  <si>
    <t>HCd</t>
  </si>
  <si>
    <t>TCd</t>
  </si>
  <si>
    <t>Acb</t>
  </si>
  <si>
    <t>DiE</t>
  </si>
  <si>
    <t>ET</t>
  </si>
  <si>
    <t>Hl</t>
  </si>
  <si>
    <t>Hlm</t>
  </si>
  <si>
    <t>lateral habenular nucleus, left, magnocellular division</t>
  </si>
  <si>
    <t>Hlp</t>
  </si>
  <si>
    <t>lateral habenular nucleus, left, parvocellular division</t>
  </si>
  <si>
    <t>Hm</t>
  </si>
  <si>
    <t>habenular nuclei, right</t>
  </si>
  <si>
    <t>lateral habenular nucleus, right</t>
  </si>
  <si>
    <t>lateral habenular nucleus, right, magnocellular division</t>
  </si>
  <si>
    <t>lateral habenular nucleus, right, parvocellular division</t>
  </si>
  <si>
    <t>medial habenular nucleus, right</t>
  </si>
  <si>
    <t>Pa</t>
  </si>
  <si>
    <t>paraventricular nuclei, left of thalamus, left</t>
  </si>
  <si>
    <t>PARA</t>
  </si>
  <si>
    <t>anterior paraventricular nucleus of thalamus, left</t>
  </si>
  <si>
    <t>PARP</t>
  </si>
  <si>
    <t>paraventricular nuclei, right of thalamus, right</t>
  </si>
  <si>
    <t>anterior paraventricular nucleus of thalamus, right</t>
  </si>
  <si>
    <t>posterior paraventricular nucleus of thalamus, right</t>
  </si>
  <si>
    <t>Hy</t>
  </si>
  <si>
    <t>AHR</t>
  </si>
  <si>
    <t>anterior hypothalamic area, left</t>
  </si>
  <si>
    <t>AHAA</t>
  </si>
  <si>
    <t>anterior hypothalamic area, left, anterior part</t>
  </si>
  <si>
    <t>AHC</t>
  </si>
  <si>
    <t>anterior hypothalamic area, right</t>
  </si>
  <si>
    <t>anterior hypothalamic area, right, anterior part</t>
  </si>
  <si>
    <t>anterior hypothalamic area, right, central part</t>
  </si>
  <si>
    <t>anterior hypothalamic nucleus, left</t>
  </si>
  <si>
    <t>anterior hypothalamic nucleus, right</t>
  </si>
  <si>
    <t>lateral hypothalamic area, anterior region</t>
  </si>
  <si>
    <t>lateral hypothalamic area, anterior region, left</t>
  </si>
  <si>
    <t>lateral hypothalamic area, anterior region, right</t>
  </si>
  <si>
    <t>paraventricular nucleus of the hypothalamus, left</t>
  </si>
  <si>
    <t>paraventricular nucleus of the hypothalamus, left, parvicellular division, anterior parvicellular part</t>
  </si>
  <si>
    <t>paraventricular nucleus of the hypothalamus, left, parvicellular division, medial parvicellular part, dorsal zone</t>
  </si>
  <si>
    <t>paraventricular nucleus of the hypothalamus, left, parvicellular division, periventricular part</t>
  </si>
  <si>
    <t>paraventricular nucleus of the hypothalamus, right</t>
  </si>
  <si>
    <t>subparaventricular zone, right</t>
  </si>
  <si>
    <t>paraventricular nucleus of the hypothalamus, right, descending division</t>
  </si>
  <si>
    <t>paraventricular nucleus of the hypothalamus, right, descending division, dorsal parvicellular part</t>
  </si>
  <si>
    <t>paraventricular nucleus of the hypothalamus, right, descending division, forniceal part</t>
  </si>
  <si>
    <t>paraventricular nucleus of the hypothalamus, right, descending division, lateral parvicellular part</t>
  </si>
  <si>
    <t>paraventricular nucleus of the hypothalamus, right, descending division, medial parvicellular part, ventral zone</t>
  </si>
  <si>
    <t>paraventricular nucleus of the hypothalamus, right, magnocellular division</t>
  </si>
  <si>
    <t>paraventricular nucleus of the hypothalamus, right, magnocellular division, anterior magnocellular part</t>
  </si>
  <si>
    <t>paraventricular nucleus of the hypothalamus, right, magnocellular division, medial magnocellular part</t>
  </si>
  <si>
    <t>paraventricular nucleus of the hypothalamus, right, magnocellular division, posterior magnocellular part</t>
  </si>
  <si>
    <t>paraventricular nucleus of the hypothalamus, right, magnocellular division, posterior magnocellular part, lateral zone</t>
  </si>
  <si>
    <t>paraventricular nucleus of the hypothalamus, right, magnocellular division, posterior magnocellular part, medial zone</t>
  </si>
  <si>
    <t>paraventricular nucleus of the hypothalamus, right, parvicellular division</t>
  </si>
  <si>
    <t>paraventricular nucleus of the hypothalamus, right, parvicellular division, anterior parvicellular part</t>
  </si>
  <si>
    <t>paraventricular nucleus of the hypothalamus, right, parvicellular division, medial parvicellular part, dorsal zone</t>
  </si>
  <si>
    <t>paraventricular nucleus of the hypothalamus, right, parvicellular division, periventricular part</t>
  </si>
  <si>
    <t>periventricular nucleus of the hypohalamus, anterior part, left</t>
  </si>
  <si>
    <t>periventricular nucleus of the hypohalamus, anterior part, right</t>
  </si>
  <si>
    <t>supraoptic nucleus, left</t>
  </si>
  <si>
    <t>SODL</t>
  </si>
  <si>
    <t>SOVM</t>
  </si>
  <si>
    <t>supraoptic nucleus, left, ventromedial part</t>
  </si>
  <si>
    <t>supraoptic nucleus, right</t>
  </si>
  <si>
    <t>supraoptic nucleus, right, dorsolateral part</t>
  </si>
  <si>
    <t>supraoptic nucleus, right, ventromedial part</t>
  </si>
  <si>
    <t>suprachiasmatic nucleus, left</t>
  </si>
  <si>
    <t>SCNv</t>
  </si>
  <si>
    <t>suprachiasmatic nucleus, right</t>
  </si>
  <si>
    <t>suprachiasmatic nucleus, right, dorsomedial part</t>
  </si>
  <si>
    <t>suprachiasmatic nucleus, right, ventrolateral part</t>
  </si>
  <si>
    <t>MamR</t>
  </si>
  <si>
    <t>LHM</t>
  </si>
  <si>
    <t>lateral hypothalamic area, mammillary region</t>
  </si>
  <si>
    <t>lateral hypothalamic area, mammillary region, left</t>
  </si>
  <si>
    <t>pallidohypothalamic nucleus, left</t>
  </si>
  <si>
    <t>lateral hypothalamic area, mammillary region, right</t>
  </si>
  <si>
    <t>pallidohypothalamic nucleus, right</t>
  </si>
  <si>
    <t>mammillary body, left</t>
  </si>
  <si>
    <t>medial mammillary nucleus, left, medial part</t>
  </si>
  <si>
    <t>medial mammillary nucleus, left, basal division</t>
  </si>
  <si>
    <t>PMm</t>
  </si>
  <si>
    <t>mammillary body, right</t>
  </si>
  <si>
    <t>lateral mammillary nucleus, right</t>
  </si>
  <si>
    <t>medial mammillary nucleus, right</t>
  </si>
  <si>
    <t>medial mammillary nucleus, right, lateral part</t>
  </si>
  <si>
    <t>medial mammillary nucleus, right, medial part</t>
  </si>
  <si>
    <t>medial mammillary nucleus, right, basal division</t>
  </si>
  <si>
    <t>premammillary nucleus, right</t>
  </si>
  <si>
    <t>premammillary nucleus, right, dorsal part</t>
  </si>
  <si>
    <t>premammillary nucleus, right, ventral part</t>
  </si>
  <si>
    <t>PHA</t>
  </si>
  <si>
    <t>posterior hypothalamic area, left</t>
  </si>
  <si>
    <t>posterior hypothalamic area, right</t>
  </si>
  <si>
    <t>SuM</t>
  </si>
  <si>
    <t>supramammillary nucleus, left</t>
  </si>
  <si>
    <t>SuMM</t>
  </si>
  <si>
    <t>supramammillary nucleus, left, medial part</t>
  </si>
  <si>
    <t>supramammillary nucleus, right</t>
  </si>
  <si>
    <t>supramammillary nucleus, right, medial part</t>
  </si>
  <si>
    <t>tuberomammillary nucleus, left</t>
  </si>
  <si>
    <t>TMp</t>
  </si>
  <si>
    <t>tuberomammillary nucleus, left, principle part</t>
  </si>
  <si>
    <t>tuberomammillary nucleus, right</t>
  </si>
  <si>
    <t>tuberomammillary nucleus, right, principle part</t>
  </si>
  <si>
    <t>PrOR</t>
  </si>
  <si>
    <t>preoptic region, left</t>
  </si>
  <si>
    <t>intermediate hypothalamic nuclei, left</t>
  </si>
  <si>
    <t>IN</t>
  </si>
  <si>
    <t>intermediate nucleus, left</t>
  </si>
  <si>
    <t>uncinate nucleus, left</t>
  </si>
  <si>
    <t>medial preoptic nucleus, left, central part</t>
  </si>
  <si>
    <t>medial preoptic nucleus, left, lateral part</t>
  </si>
  <si>
    <t>medial preoptic nucleus, left, medial part</t>
  </si>
  <si>
    <t>DPV</t>
  </si>
  <si>
    <t>dorsal periventricular nucleus, left</t>
  </si>
  <si>
    <t>preoptic region, right</t>
  </si>
  <si>
    <t>intermediate hypothalamic nuclei, right</t>
  </si>
  <si>
    <t>intermediate nucleus, right</t>
  </si>
  <si>
    <t>uncinate nucleus, right</t>
  </si>
  <si>
    <t>lateral preoptic area, right</t>
  </si>
  <si>
    <t>medial preoptic area, right</t>
  </si>
  <si>
    <t>medial preoptic nucleus, right</t>
  </si>
  <si>
    <t>medial preoptic nucleus, right, central part</t>
  </si>
  <si>
    <t>medial preoptic nucleus, right, lateral part</t>
  </si>
  <si>
    <t>medial preoptic nucleus, right, medial part</t>
  </si>
  <si>
    <t>median preoptic nucleus, right</t>
  </si>
  <si>
    <t>periventricular nucleus of the hypothalamus, right, preoptic part</t>
  </si>
  <si>
    <t>anteroventral periventricular nucleus, right</t>
  </si>
  <si>
    <t>dorsal periventricular nucleus, right</t>
  </si>
  <si>
    <t>TubR</t>
  </si>
  <si>
    <t>arcuate nucleus of the hypothalamus, left</t>
  </si>
  <si>
    <t>ArcD</t>
  </si>
  <si>
    <t>arcuate nucleus of the hypothalamus, left, dorsal part</t>
  </si>
  <si>
    <t>ArcL</t>
  </si>
  <si>
    <t>arcuate nucleus of the hypothalamus, left, lateral part</t>
  </si>
  <si>
    <t>ArcM</t>
  </si>
  <si>
    <t>arcuate nucleus of the hypothalamus, left, medial part</t>
  </si>
  <si>
    <t>arcuate nucleus of the hypothalamus, right</t>
  </si>
  <si>
    <t>arcuate nucleus of the hypothalamus, right, dorsal part</t>
  </si>
  <si>
    <t>arcuate nucleus of the hypothalamus, right, lateral part</t>
  </si>
  <si>
    <t>arcuate nucleus of the hypothalamus, right, medial part</t>
  </si>
  <si>
    <t>dorsomedial hypothalamic nucleus, left</t>
  </si>
  <si>
    <t>DMC</t>
  </si>
  <si>
    <t>dorsomedial hypothalamic nucleus, left, compact part</t>
  </si>
  <si>
    <t>DMD</t>
  </si>
  <si>
    <t>dorsomedial hypothalamic nucleus, left, diffuse part</t>
  </si>
  <si>
    <t>dorsomedial hypothalamic nucleus, right</t>
  </si>
  <si>
    <t>dorsomedial hypothalamic nucleus, right, compact part</t>
  </si>
  <si>
    <t>dorsomedial hypothalamic nucleus, right, diffuse part</t>
  </si>
  <si>
    <t>LHT</t>
  </si>
  <si>
    <t>lateral hypothalamic area, tuberal region</t>
  </si>
  <si>
    <t>lateral hypothalamic area, tuberal region, left</t>
  </si>
  <si>
    <t>lateral hypothalamic area, tuberal region, right</t>
  </si>
  <si>
    <t>lateral tuberal nucleus, left</t>
  </si>
  <si>
    <t>lateral tuberal nucleus, right</t>
  </si>
  <si>
    <t>median eminence, left</t>
  </si>
  <si>
    <t>median eminence, right</t>
  </si>
  <si>
    <t>perifornical nucleus, left</t>
  </si>
  <si>
    <t>perifornical nucleus, right</t>
  </si>
  <si>
    <t>PVt</t>
  </si>
  <si>
    <t>periventricular nucleus of the hypothalamus, tuberal part</t>
  </si>
  <si>
    <t>periventricular nucleus of the hypothalamus, tuberal part, left</t>
  </si>
  <si>
    <t>periventricular nucleus of the hypothalamus, tuberal part, right</t>
  </si>
  <si>
    <t>ventromedial hypothalamic nucleus, left</t>
  </si>
  <si>
    <t>ventromedial hypothalamic nucleus, left, dorsal part</t>
  </si>
  <si>
    <t>ventromedial hypothalamic nucleus, left, central part</t>
  </si>
  <si>
    <t>ventromedial hypothalamic nucleus, left, ventral part</t>
  </si>
  <si>
    <t>ventromedial hypothalamic nucleus, right</t>
  </si>
  <si>
    <t>ventromedial hypothalamic nucleus, right, dorsal part</t>
  </si>
  <si>
    <t>ventromedial hypothalamic nucleus, right, central part</t>
  </si>
  <si>
    <t>ventromedial hypothalamic nucleus, right, ventral part</t>
  </si>
  <si>
    <t>SbT</t>
  </si>
  <si>
    <t>Sb</t>
  </si>
  <si>
    <t>subthalamic nucleus, right</t>
  </si>
  <si>
    <t>DTA</t>
  </si>
  <si>
    <t>anterior group of nuclei</t>
  </si>
  <si>
    <t>anterior group of nuclei, left</t>
  </si>
  <si>
    <t>anterior group of nuclei, right</t>
  </si>
  <si>
    <t>anterodorsal nucleus of the thalamus, right</t>
  </si>
  <si>
    <t>anteromedial nucleus of the thalamus, right</t>
  </si>
  <si>
    <t>anteroventral nucleus of the thalamus, right</t>
  </si>
  <si>
    <t>lateral dorsal nucleus of the thalamus, right</t>
  </si>
  <si>
    <t>ILc</t>
  </si>
  <si>
    <t>caudal group of intralaminar nuclei, left</t>
  </si>
  <si>
    <t>pf</t>
  </si>
  <si>
    <t>caudal group of intralaminar nuclei, right</t>
  </si>
  <si>
    <t>centre median nucleus of the thalamus, right</t>
  </si>
  <si>
    <t>parafascicular nucleus of the thalamus, right</t>
  </si>
  <si>
    <t>dorsal lateral geneiculate nucleus</t>
  </si>
  <si>
    <t>LGdm</t>
  </si>
  <si>
    <t>dorsal lateral geniculate nucleus, left, magnocellular layers</t>
  </si>
  <si>
    <t>LGdp</t>
  </si>
  <si>
    <t>dorsal lateral geniculate nucleus, left, parvocellular layers</t>
  </si>
  <si>
    <t>LGds</t>
  </si>
  <si>
    <t>dorsal lateral geniculate nucleus, left, s and intercalated layers</t>
  </si>
  <si>
    <t>dorsal lateral geniculate nucleus, right</t>
  </si>
  <si>
    <t>dorsal lateral geniculate nucleus, right, magnocellular layers</t>
  </si>
  <si>
    <t>dorsal lateral geniculate nucleus, right, parvocellular layers</t>
  </si>
  <si>
    <t>dorsal lateral geniculate nucleus, right, s and intercalated layers</t>
  </si>
  <si>
    <t>DTL</t>
  </si>
  <si>
    <t>DTLd</t>
  </si>
  <si>
    <t>lateral group of nuclei, dorsal division</t>
  </si>
  <si>
    <t>lateral group of nuclei, left, dorsal division</t>
  </si>
  <si>
    <t>Pla</t>
  </si>
  <si>
    <t>Pli</t>
  </si>
  <si>
    <t>Plil</t>
  </si>
  <si>
    <t>inferior nucleus of the pulvinar, left, lateral division</t>
  </si>
  <si>
    <t>Plim</t>
  </si>
  <si>
    <t>inferior nucleus of the pulvinar, left, medial division</t>
  </si>
  <si>
    <t>Pll</t>
  </si>
  <si>
    <t>Plm</t>
  </si>
  <si>
    <t>lateral group of nuclei, right, dorsal division</t>
  </si>
  <si>
    <t>lateral posterior nucleus of the thalamus, right</t>
  </si>
  <si>
    <t>anterior nucleus of the pulvinar, right</t>
  </si>
  <si>
    <t>inferior nucleus of the pulvinar, right</t>
  </si>
  <si>
    <t>inferior nucleus of the pulvinar, right, lateral division</t>
  </si>
  <si>
    <t>inferior nucleus of the pulvinar, right, medial division</t>
  </si>
  <si>
    <t>lateral nucleus of the pulvinar, right</t>
  </si>
  <si>
    <t>medial nucleus of the pulvinar, right</t>
  </si>
  <si>
    <t>DTLv</t>
  </si>
  <si>
    <t>lateral group of nuclei, left, ventral division</t>
  </si>
  <si>
    <t>VAp</t>
  </si>
  <si>
    <t>VLa</t>
  </si>
  <si>
    <t>ventral lateral anterior nucleus of the thalamus, left</t>
  </si>
  <si>
    <t>VLp</t>
  </si>
  <si>
    <t>VPLa</t>
  </si>
  <si>
    <t>ventral posterior lateral nucleus of the thalamus, left, anterior division</t>
  </si>
  <si>
    <t>VPLp</t>
  </si>
  <si>
    <t>ventral posterior lateral nucleus of the thalamus, left, posterior division</t>
  </si>
  <si>
    <t>lateral group of nuclei, right, ventral division</t>
  </si>
  <si>
    <t>basal ventral medial nucleus of the thalamus, right</t>
  </si>
  <si>
    <t>ventral anterior nucleus of the thalamus, right</t>
  </si>
  <si>
    <t>ventral anterior nucleus of the thalamus, right, magnocellular division</t>
  </si>
  <si>
    <t>ventral anterior nucleus of the thalamus, right, principal division</t>
  </si>
  <si>
    <t>ventral lateral anterior nucleus of the thalamus, right</t>
  </si>
  <si>
    <t>ventral lateral posterior nucleus of the thalamus, right</t>
  </si>
  <si>
    <t>ventral medial nucleus of the thalamus, right</t>
  </si>
  <si>
    <t>ventral posterior inferior nucleus of the thalamus, right</t>
  </si>
  <si>
    <t>ventral posterior lateral nucleus of the thalamus, right</t>
  </si>
  <si>
    <t>ventral posterior lateral nucleus of the thalamus, right, anterior division</t>
  </si>
  <si>
    <t>ventral posterior lateral nucleus of the thalamus, right, posterior division</t>
  </si>
  <si>
    <t>ventral posterior medial nucleus of the thalamus, right</t>
  </si>
  <si>
    <t>medial geniculate complex, left</t>
  </si>
  <si>
    <t>MGad</t>
  </si>
  <si>
    <t>MGpd</t>
  </si>
  <si>
    <t>MGmc</t>
  </si>
  <si>
    <t>medial geniculate complex, right</t>
  </si>
  <si>
    <t>dorsal nucelus of medial geniculate complex, right</t>
  </si>
  <si>
    <t>anterodorsal nucleus of medial geniculate complex, right</t>
  </si>
  <si>
    <t>posterodorsal nucleus of medial geniculate complex, right</t>
  </si>
  <si>
    <t>magnocellular nucleus of the medial geniculate complex, right</t>
  </si>
  <si>
    <t>ventral nucleus of the medial geniculate complex, right</t>
  </si>
  <si>
    <t>DTM</t>
  </si>
  <si>
    <t>medial group of nuclei</t>
  </si>
  <si>
    <t>medial group of nuclei, left</t>
  </si>
  <si>
    <t>MDp</t>
  </si>
  <si>
    <t>mediodorsal nucleus of the thalamus, left, parvocellular division</t>
  </si>
  <si>
    <t>mediodorsal nucleus of thalamus, left, multiform (lateral) division</t>
  </si>
  <si>
    <t>medioventral nucleus of the thalamus, left</t>
  </si>
  <si>
    <t>medial group of nuclei, right</t>
  </si>
  <si>
    <t>mediodorsal nucleus of the thalamus, right</t>
  </si>
  <si>
    <t>mediodorsal nucleus of the thalamus, right, parvocellular division</t>
  </si>
  <si>
    <t>mediodorsal nucleus of the thalamus, right, magnocellular division</t>
  </si>
  <si>
    <t>mediodorsal nucleus of the thalamus, right, densocelllular division</t>
  </si>
  <si>
    <t>mediodorsal nucleus of thalamus, right, multiform (lateral) division</t>
  </si>
  <si>
    <t>medioventral nucleus of the thalamus, right</t>
  </si>
  <si>
    <t>parataenial nucleus of the thalamus, right</t>
  </si>
  <si>
    <t>submedial nucleus of the thalamus, right</t>
  </si>
  <si>
    <t>DTP</t>
  </si>
  <si>
    <t>posterior group of nuclei</t>
  </si>
  <si>
    <t>posterior group of nuclei, left</t>
  </si>
  <si>
    <t>posterior group of nuclei, right</t>
  </si>
  <si>
    <t>limitans nucleus of the thalamus, right</t>
  </si>
  <si>
    <t>posterior nucleus of the thalamus, right</t>
  </si>
  <si>
    <t>suprageniculate nucleus of the thalamus, right</t>
  </si>
  <si>
    <t>ILr</t>
  </si>
  <si>
    <t>rostral group of intralaminar nuclei, left</t>
  </si>
  <si>
    <t>central medial nucleus of the thalamus, left</t>
  </si>
  <si>
    <t>Pc</t>
  </si>
  <si>
    <t>rostral group of intralaminar nuclei, right</t>
  </si>
  <si>
    <t>central lateral nucleus of the thalamus, right</t>
  </si>
  <si>
    <t>central medial nucleus of the thalamus, right</t>
  </si>
  <si>
    <t>paracentral nucleus of the thalamus, right</t>
  </si>
  <si>
    <t>rhomboid nucleus of the thalamus, right</t>
  </si>
  <si>
    <t>VT</t>
  </si>
  <si>
    <t>ventral thalamus, left</t>
  </si>
  <si>
    <t>nucleus of the H field of Forel, left</t>
  </si>
  <si>
    <t>ventral thalamus, right</t>
  </si>
  <si>
    <t>nucleus of the H field of Forel, right</t>
  </si>
  <si>
    <t>reticular nucleus of thalamus, right</t>
  </si>
  <si>
    <t>zona incerta, right</t>
  </si>
  <si>
    <t>MES</t>
  </si>
  <si>
    <t>Tec</t>
  </si>
  <si>
    <t>inferior colliculus, left</t>
  </si>
  <si>
    <t>EIC</t>
  </si>
  <si>
    <t>PCIC</t>
  </si>
  <si>
    <t>inferior colliculus, right</t>
  </si>
  <si>
    <t>central nucleus of the inferior colliculus, right</t>
  </si>
  <si>
    <t>external nucleus of the inferior colliculus, right</t>
  </si>
  <si>
    <t>pericentral nucleus of the inferior colliculus, right</t>
  </si>
  <si>
    <t>intercollicular nucleus, left</t>
  </si>
  <si>
    <t>intercollicular nucleus, right</t>
  </si>
  <si>
    <t>BrC</t>
  </si>
  <si>
    <t>nucleus of the brachium of the inferior colliculus, left</t>
  </si>
  <si>
    <t>nucleus of the brachium of the inferior colliculus, right</t>
  </si>
  <si>
    <t>parabigeminal nucleus, left</t>
  </si>
  <si>
    <t>parabigeminal nucleus, right</t>
  </si>
  <si>
    <t>superior colliculus, left</t>
  </si>
  <si>
    <t>StL</t>
  </si>
  <si>
    <t>MGr</t>
  </si>
  <si>
    <t>MWh</t>
  </si>
  <si>
    <t>SuWh</t>
  </si>
  <si>
    <t>superior colliculus, right</t>
  </si>
  <si>
    <t>stratum lemnisci of the superior colliculus, right</t>
  </si>
  <si>
    <t>deep gray layer of the superior colliculus, right</t>
  </si>
  <si>
    <t>deep white layer of the superior colliculus, right</t>
  </si>
  <si>
    <t>middle gray layer of the superior colliculus, right</t>
  </si>
  <si>
    <t>middle white layer of the superior colliculus, right</t>
  </si>
  <si>
    <t>superficial gray layer of the superior colliculus, right</t>
  </si>
  <si>
    <t>superficial white layer of the superior colliculus, right</t>
  </si>
  <si>
    <t>sagulum nucleus, left</t>
  </si>
  <si>
    <t>sagulum, nucleus, right</t>
  </si>
  <si>
    <t>subcommissural organ, left</t>
  </si>
  <si>
    <t>subcommissural organ, right</t>
  </si>
  <si>
    <t>CGMB</t>
  </si>
  <si>
    <t>central gray substance of midbrain, left</t>
  </si>
  <si>
    <t>CGMBdl</t>
  </si>
  <si>
    <t>central gray substance of midbrain, left, dorsolateral division</t>
  </si>
  <si>
    <t>CGMBdm</t>
  </si>
  <si>
    <t>central gray substance of midbrain, left, dorsomedial division</t>
  </si>
  <si>
    <t>CGMBl</t>
  </si>
  <si>
    <t>central gray substance of midbrain, left, lateral division</t>
  </si>
  <si>
    <t>CGMBpl</t>
  </si>
  <si>
    <t>central gray substance of midbrain, left, pleioglial division</t>
  </si>
  <si>
    <t>CGMBvl</t>
  </si>
  <si>
    <t>central gray substance of midbrain, left, ventrolateral division</t>
  </si>
  <si>
    <t>central gray substance of midbrain, right</t>
  </si>
  <si>
    <t>central gray substance of midbrain, right, dorsolateral division</t>
  </si>
  <si>
    <t>central gray substance of midbrain, right, dorsomedial division</t>
  </si>
  <si>
    <t>central gray substance of midbrain, right, lateral division</t>
  </si>
  <si>
    <t>central gray substance of midbrain, right, pleioglial division</t>
  </si>
  <si>
    <t>central gray substance of midbrain, right, ventrolateral division</t>
  </si>
  <si>
    <t>Edinger-Westphal nucleus, left</t>
  </si>
  <si>
    <t>Edinger-Westphal nucleus, right</t>
  </si>
  <si>
    <t>interpeduncular nucleus, left</t>
  </si>
  <si>
    <t>interpeduncular nucleus, right</t>
  </si>
  <si>
    <t>ICjl</t>
  </si>
  <si>
    <t>interstitial nucleus of Cajal, left</t>
  </si>
  <si>
    <t>interstitial nucleus of Cajal, right</t>
  </si>
  <si>
    <t>isthmic reticular formation, left</t>
  </si>
  <si>
    <t>isthmic reticular formation, right</t>
  </si>
  <si>
    <t>MBRa</t>
  </si>
  <si>
    <t>midbrain raphe nuclei, left</t>
  </si>
  <si>
    <t>dorsal raphe nucleus, left, dorsal part</t>
  </si>
  <si>
    <t>dorsal raphe nucleus, left, interfascicular part</t>
  </si>
  <si>
    <t>DRrc</t>
  </si>
  <si>
    <t>dorsal raphe nucleus, left, raphe cap</t>
  </si>
  <si>
    <t>dorsal raphe nucleus, left, ventral part</t>
  </si>
  <si>
    <t>median raphe, left</t>
  </si>
  <si>
    <t>midbrain raphe nuclei, right</t>
  </si>
  <si>
    <t>dorsal raphe nucleus, right</t>
  </si>
  <si>
    <t>dorsal raphe nucleus, right, dorsal part</t>
  </si>
  <si>
    <t>dorsal raphe nucleus, right, interfascicular part</t>
  </si>
  <si>
    <t>dorsal raphe nucleus, right, raphe cap</t>
  </si>
  <si>
    <t>dorsal raphe nucleus, right, ventral part</t>
  </si>
  <si>
    <t>median raphe, right</t>
  </si>
  <si>
    <t>MBRF</t>
  </si>
  <si>
    <t>midbrain reticular formation, left</t>
  </si>
  <si>
    <t>midbrain reticular formation, right</t>
  </si>
  <si>
    <t>cuneiform nucleus, right</t>
  </si>
  <si>
    <t>pedunculopontine tegmental nucleus, right</t>
  </si>
  <si>
    <t>subcuneiform nucleus, right</t>
  </si>
  <si>
    <t>nucleus of Darkschewitsch, left</t>
  </si>
  <si>
    <t>nucleus of Darkschewitsch, right</t>
  </si>
  <si>
    <t>nucleus of the posterior commissure, left</t>
  </si>
  <si>
    <t>nucleus of the posterior commissure, right</t>
  </si>
  <si>
    <t>oculomotor nuclear complex, left</t>
  </si>
  <si>
    <t>AM3</t>
  </si>
  <si>
    <t>CC3</t>
  </si>
  <si>
    <t>C3</t>
  </si>
  <si>
    <t>D3</t>
  </si>
  <si>
    <t>M3</t>
  </si>
  <si>
    <t>oculomotor nuclear complex, right</t>
  </si>
  <si>
    <t>anterior median oculomotor nucleus, right</t>
  </si>
  <si>
    <t>caudal central oculomotor nucleus, right</t>
  </si>
  <si>
    <t>central oculomotor nucleus, right</t>
  </si>
  <si>
    <t>dorsal oculomotor nucleus, right</t>
  </si>
  <si>
    <t>intermediate oculomotor nucleus, right</t>
  </si>
  <si>
    <t>medial oculomotor nucleus, right</t>
  </si>
  <si>
    <t>ventral oculomotor nucleus, right</t>
  </si>
  <si>
    <t>PPd</t>
  </si>
  <si>
    <t>peripeduncular nucleus, left</t>
  </si>
  <si>
    <t>peripeduncular nucleus, right</t>
  </si>
  <si>
    <t>red nucleus, left</t>
  </si>
  <si>
    <t>red nucleus, right</t>
  </si>
  <si>
    <t>magnocellular part of the red nucleus, right</t>
  </si>
  <si>
    <t>parvocellular part of thered nucleus, right</t>
  </si>
  <si>
    <t>rostral interstitial nucleus of the medial longitudinal fasciculus, left</t>
  </si>
  <si>
    <t>rostral interstitial nucleus of the medial longitudinal fasciculus, right</t>
  </si>
  <si>
    <t>substantia nigra, left</t>
  </si>
  <si>
    <t>substantia nigra, right</t>
  </si>
  <si>
    <t>substantia nigra, pars compacta, right</t>
  </si>
  <si>
    <t>substantia nigra, pars reticulata, right</t>
  </si>
  <si>
    <t>trochlear nucleus, left</t>
  </si>
  <si>
    <t>trochlear nucleus, right</t>
  </si>
  <si>
    <t>ventral tegmental area, left</t>
  </si>
  <si>
    <t>CLN</t>
  </si>
  <si>
    <t>ventral tegmental area, right</t>
  </si>
  <si>
    <t>caudal linear nucleus, right</t>
  </si>
  <si>
    <t>interfascicular nucleus, right</t>
  </si>
  <si>
    <t>parabrachial pigmented nucleus, right</t>
  </si>
  <si>
    <t>paranigral nucleus, right</t>
  </si>
  <si>
    <t>rostral linear nucleus, right</t>
  </si>
  <si>
    <t>PTec</t>
  </si>
  <si>
    <t>nucleus of the optic tract, left</t>
  </si>
  <si>
    <t>nucleus of the optic tract, right</t>
  </si>
  <si>
    <t>PTA</t>
  </si>
  <si>
    <t>nucleus of the pretectal area, left</t>
  </si>
  <si>
    <t>nucleus of the pretectal area, right</t>
  </si>
  <si>
    <t>OPt</t>
  </si>
  <si>
    <t>olivary pretectal nucleus, left</t>
  </si>
  <si>
    <t>olivary pretectal nucleus, right</t>
  </si>
  <si>
    <t>PPt</t>
  </si>
  <si>
    <t>principal pretectal nucleus, left</t>
  </si>
  <si>
    <t>principal pretectal nucleus, right</t>
  </si>
  <si>
    <t>SLn</t>
  </si>
  <si>
    <t>sublentiform nucleus, left</t>
  </si>
  <si>
    <t>sublentiform nucleus, right</t>
  </si>
  <si>
    <t>MET</t>
  </si>
  <si>
    <t>Cb</t>
  </si>
  <si>
    <t>CbCx</t>
  </si>
  <si>
    <t>Ve</t>
  </si>
  <si>
    <t>ALVCb</t>
  </si>
  <si>
    <t>Ve-I-II</t>
  </si>
  <si>
    <t>Ve-III</t>
  </si>
  <si>
    <t>Ve-IV</t>
  </si>
  <si>
    <t>Ve-V</t>
  </si>
  <si>
    <t>PLVCb</t>
  </si>
  <si>
    <t>Ve-VI</t>
  </si>
  <si>
    <t>Ve-VIIAf</t>
  </si>
  <si>
    <t>Ve-VIIAt</t>
  </si>
  <si>
    <t>Ve-VIIB</t>
  </si>
  <si>
    <t>Ve-VIIIA</t>
  </si>
  <si>
    <t>Ve-VIIIB</t>
  </si>
  <si>
    <t>Ve-IX</t>
  </si>
  <si>
    <t>FNL</t>
  </si>
  <si>
    <t>Ve-X</t>
  </si>
  <si>
    <t>Cb-AL</t>
  </si>
  <si>
    <t>Cb-I-II</t>
  </si>
  <si>
    <t>PV-I-II</t>
  </si>
  <si>
    <t>He-I-II</t>
  </si>
  <si>
    <t>I-II, left, lateral hemisphere</t>
  </si>
  <si>
    <t>I-II, right, paravermis</t>
  </si>
  <si>
    <t>I-II, right, lateral hemisphere</t>
  </si>
  <si>
    <t>Cb-III</t>
  </si>
  <si>
    <t>PV-III</t>
  </si>
  <si>
    <t>He-III</t>
  </si>
  <si>
    <t>III, left, lateral hemisphere</t>
  </si>
  <si>
    <t>III, right, paravermis</t>
  </si>
  <si>
    <t>III, right, lateral hemisphere</t>
  </si>
  <si>
    <t>Cb-IV</t>
  </si>
  <si>
    <t>PV-IV</t>
  </si>
  <si>
    <t>He-IV</t>
  </si>
  <si>
    <t>IV, left, lateral hemisphere</t>
  </si>
  <si>
    <t>IV, right, paravermis</t>
  </si>
  <si>
    <t>IV, right, lateral hemisphere</t>
  </si>
  <si>
    <t>Cb-V</t>
  </si>
  <si>
    <t>PV-V</t>
  </si>
  <si>
    <t>He-V</t>
  </si>
  <si>
    <t>V, left, lateral hemisphere</t>
  </si>
  <si>
    <t>V, right, paravermis</t>
  </si>
  <si>
    <t>V, right, lateral hemisphere</t>
  </si>
  <si>
    <t>Cb-PL</t>
  </si>
  <si>
    <t>Cb-VI</t>
  </si>
  <si>
    <t>PV-VI</t>
  </si>
  <si>
    <t>He-VI</t>
  </si>
  <si>
    <t>VI, left, lateral hemisphere</t>
  </si>
  <si>
    <t>VI, right, paravermis</t>
  </si>
  <si>
    <t>VI, right, lateral hemisphere</t>
  </si>
  <si>
    <t>Cb-Crus I</t>
  </si>
  <si>
    <t>PV-Crus I</t>
  </si>
  <si>
    <t>Crus I, left, paravermis</t>
  </si>
  <si>
    <t>He-Crus I</t>
  </si>
  <si>
    <t>Crus I, left, lateral hemisphere</t>
  </si>
  <si>
    <t>Crus I, right, paravermis</t>
  </si>
  <si>
    <t>Crus I, right, lateral hemisphere</t>
  </si>
  <si>
    <t>Cb-Crus II</t>
  </si>
  <si>
    <t>PV-Crus II</t>
  </si>
  <si>
    <t>Crus II, left, paravermis</t>
  </si>
  <si>
    <t>He-Crus II</t>
  </si>
  <si>
    <t>Crus II, left, lateral hemisphere</t>
  </si>
  <si>
    <t>Crus II, right, paravermis</t>
  </si>
  <si>
    <t>Crus II, right, lateral hemisphere</t>
  </si>
  <si>
    <t>Cb-VIIB</t>
  </si>
  <si>
    <t>PV-VIIB</t>
  </si>
  <si>
    <t>VIIB, left, paravermis</t>
  </si>
  <si>
    <t>He-VIIB</t>
  </si>
  <si>
    <t>VIIB, left, lateral hemisphere</t>
  </si>
  <si>
    <t>VIIB, right, paravermis</t>
  </si>
  <si>
    <t>VIIB, right, lateral hemisphere</t>
  </si>
  <si>
    <t>Cb-VIIIA</t>
  </si>
  <si>
    <t>PV-VIIIA</t>
  </si>
  <si>
    <t>VIIIA, left, paravermis</t>
  </si>
  <si>
    <t>He-VIIIA</t>
  </si>
  <si>
    <t>VIIIA, left, lateral hemisphere</t>
  </si>
  <si>
    <t>VIIIA, right, paravermis</t>
  </si>
  <si>
    <t>VIIIA, right, lateral hemisphere</t>
  </si>
  <si>
    <t>Cb-VIIIB</t>
  </si>
  <si>
    <t>PV-VIIIB</t>
  </si>
  <si>
    <t>VIIIB, left, paravermis</t>
  </si>
  <si>
    <t>He-VIIIB</t>
  </si>
  <si>
    <t>VIIIB, left, lateral hemisphere</t>
  </si>
  <si>
    <t>VIIIB, right, paravermis</t>
  </si>
  <si>
    <t>VIIIB, right, lateral hemisphere</t>
  </si>
  <si>
    <t>Cb-IX</t>
  </si>
  <si>
    <t>PV-IX</t>
  </si>
  <si>
    <t>He-IX</t>
  </si>
  <si>
    <t>Cb-FNL</t>
  </si>
  <si>
    <t>Cb-X</t>
  </si>
  <si>
    <t>PV-X</t>
  </si>
  <si>
    <t>He-X</t>
  </si>
  <si>
    <t>CbN</t>
  </si>
  <si>
    <t>Dt</t>
  </si>
  <si>
    <t>Emb</t>
  </si>
  <si>
    <t>Glo</t>
  </si>
  <si>
    <t>Bpons</t>
  </si>
  <si>
    <t>CGPo</t>
  </si>
  <si>
    <t>7L</t>
  </si>
  <si>
    <t>7I</t>
  </si>
  <si>
    <t>P7</t>
  </si>
  <si>
    <t>7vl</t>
  </si>
  <si>
    <t>RPn</t>
  </si>
  <si>
    <t>PPRF</t>
  </si>
  <si>
    <t>PRF</t>
  </si>
  <si>
    <t>PeO</t>
  </si>
  <si>
    <t>Tz</t>
  </si>
  <si>
    <t>ACu</t>
  </si>
  <si>
    <t>CGS</t>
  </si>
  <si>
    <t>CGMe</t>
  </si>
  <si>
    <t>AVCo</t>
  </si>
  <si>
    <t>PVCo</t>
  </si>
  <si>
    <t>CT</t>
  </si>
  <si>
    <t>DIO</t>
  </si>
  <si>
    <t>MIO</t>
  </si>
  <si>
    <t>PrIO</t>
  </si>
  <si>
    <t>BIO</t>
  </si>
  <si>
    <t>IFH</t>
  </si>
  <si>
    <t>MeRF</t>
  </si>
  <si>
    <t>CMRt</t>
  </si>
  <si>
    <t>CRt</t>
  </si>
  <si>
    <t>MRt</t>
  </si>
  <si>
    <t>VRt</t>
  </si>
  <si>
    <t>Irt</t>
  </si>
  <si>
    <t>Gi</t>
  </si>
  <si>
    <t>GiV</t>
  </si>
  <si>
    <t>Gia</t>
  </si>
  <si>
    <t>PnB</t>
  </si>
  <si>
    <t>Pr</t>
  </si>
  <si>
    <t>RaM</t>
  </si>
  <si>
    <t>RPRa</t>
  </si>
  <si>
    <t>Ramb</t>
  </si>
  <si>
    <t>Sp5Cg</t>
  </si>
  <si>
    <t>SP5Cm</t>
  </si>
  <si>
    <t>SP5Cz</t>
  </si>
  <si>
    <t>Sp5I</t>
  </si>
  <si>
    <t>Sp5O</t>
  </si>
  <si>
    <t>Sge</t>
  </si>
  <si>
    <t>WM</t>
  </si>
  <si>
    <t>TELWM</t>
  </si>
  <si>
    <t>TELCom</t>
  </si>
  <si>
    <t>bcc</t>
  </si>
  <si>
    <t>gcc</t>
  </si>
  <si>
    <t>rcc</t>
  </si>
  <si>
    <t>scc</t>
  </si>
  <si>
    <t>rdcc</t>
  </si>
  <si>
    <t>TelTr</t>
  </si>
  <si>
    <t>arf</t>
  </si>
  <si>
    <t>cgb</t>
  </si>
  <si>
    <t>cbu</t>
  </si>
  <si>
    <t>exc</t>
  </si>
  <si>
    <t>afx</t>
  </si>
  <si>
    <t>bfx</t>
  </si>
  <si>
    <t>pfx</t>
  </si>
  <si>
    <t>lef</t>
  </si>
  <si>
    <t>orpt</t>
  </si>
  <si>
    <t>MESWM</t>
  </si>
  <si>
    <t>brachium of the inferior colliculus, left</t>
  </si>
  <si>
    <t>brachium of the inferior colliculus, right</t>
  </si>
  <si>
    <t>brachium of the superior colliculus, left</t>
  </si>
  <si>
    <t>brachium of the superior colliculus, right</t>
  </si>
  <si>
    <t>central tegmental tract, midbrain portion, left</t>
  </si>
  <si>
    <t>central tegmental tract, midbrain portion, right</t>
  </si>
  <si>
    <t>cerebral peduncle (crus cerebri), left</t>
  </si>
  <si>
    <t>cerebral peduncle (crus cerebri), right</t>
  </si>
  <si>
    <t>commissure of the inferior colliculus, left</t>
  </si>
  <si>
    <t>commissure of the inferior colliculus, right</t>
  </si>
  <si>
    <t>corticobulbar tract, midbrain portion, left</t>
  </si>
  <si>
    <t>corticobulbar tract, midbrain portion, right</t>
  </si>
  <si>
    <t>METWM</t>
  </si>
  <si>
    <t>CbWM</t>
  </si>
  <si>
    <t>PoWM</t>
  </si>
  <si>
    <t>MYWM</t>
  </si>
  <si>
    <t>1n</t>
  </si>
  <si>
    <t>olf</t>
  </si>
  <si>
    <t>Olf</t>
  </si>
  <si>
    <t>2n</t>
  </si>
  <si>
    <t>11nf</t>
  </si>
  <si>
    <t>pyx</t>
  </si>
  <si>
    <t>TELs</t>
  </si>
  <si>
    <t>telencephalic spaces</t>
  </si>
  <si>
    <t>SSmd</t>
  </si>
  <si>
    <t>major divisions</t>
  </si>
  <si>
    <t>sf</t>
  </si>
  <si>
    <t>FLs</t>
  </si>
  <si>
    <t>apos</t>
  </si>
  <si>
    <t>cgs</t>
  </si>
  <si>
    <t>fros</t>
  </si>
  <si>
    <t>iros</t>
  </si>
  <si>
    <t>infs</t>
  </si>
  <si>
    <t>olfs</t>
  </si>
  <si>
    <t>orbs</t>
  </si>
  <si>
    <t>pcs</t>
  </si>
  <si>
    <t>ppos</t>
  </si>
  <si>
    <t>sfrs</t>
  </si>
  <si>
    <t>sros</t>
  </si>
  <si>
    <t>ILs</t>
  </si>
  <si>
    <t>crs</t>
  </si>
  <si>
    <t>LLs</t>
  </si>
  <si>
    <t>his</t>
  </si>
  <si>
    <t>ssa</t>
  </si>
  <si>
    <t>OLs</t>
  </si>
  <si>
    <t>locs</t>
  </si>
  <si>
    <t>pon</t>
  </si>
  <si>
    <t>tocs</t>
  </si>
  <si>
    <t>PLs</t>
  </si>
  <si>
    <t>itps</t>
  </si>
  <si>
    <t>pis</t>
  </si>
  <si>
    <t>sis</t>
  </si>
  <si>
    <t>sbps</t>
  </si>
  <si>
    <t>TLs</t>
  </si>
  <si>
    <t>ans</t>
  </si>
  <si>
    <t>aoc</t>
  </si>
  <si>
    <t>cos</t>
  </si>
  <si>
    <t>mts</t>
  </si>
  <si>
    <t>phr</t>
  </si>
  <si>
    <t>phs</t>
  </si>
  <si>
    <t>rhs</t>
  </si>
  <si>
    <t>METs</t>
  </si>
  <si>
    <t>metencephalic spaces</t>
  </si>
  <si>
    <t>Cbs</t>
  </si>
  <si>
    <t>prf</t>
  </si>
  <si>
    <t>spf</t>
  </si>
  <si>
    <t>pbf</t>
  </si>
  <si>
    <t>ibf</t>
  </si>
  <si>
    <t>sfCb</t>
  </si>
  <si>
    <t>MYs</t>
  </si>
  <si>
    <t>myelencephalic spaces</t>
  </si>
  <si>
    <t>aq</t>
  </si>
  <si>
    <t>Vent</t>
  </si>
  <si>
    <t>CPLV</t>
  </si>
  <si>
    <t>CP3V</t>
  </si>
  <si>
    <t>CP4V</t>
  </si>
  <si>
    <t>CC</t>
  </si>
  <si>
    <t>dlPF</t>
  </si>
  <si>
    <t>mOF</t>
  </si>
  <si>
    <t>cOF</t>
  </si>
  <si>
    <t>rCG</t>
  </si>
  <si>
    <t>V1</t>
  </si>
  <si>
    <t>dlPFsg</t>
  </si>
  <si>
    <t>V1sg</t>
  </si>
  <si>
    <t>rCGmz</t>
  </si>
  <si>
    <t>dlPFmz</t>
  </si>
  <si>
    <t>S1mz</t>
  </si>
  <si>
    <t>V1mz</t>
  </si>
  <si>
    <t>L1</t>
  </si>
  <si>
    <t>rCG1</t>
  </si>
  <si>
    <t>mOF1</t>
  </si>
  <si>
    <t>cOF1</t>
  </si>
  <si>
    <t>L2</t>
  </si>
  <si>
    <t>rCG2</t>
  </si>
  <si>
    <t>dlPF2</t>
  </si>
  <si>
    <t>mOF2</t>
  </si>
  <si>
    <t>cOF2</t>
  </si>
  <si>
    <t>S1-2</t>
  </si>
  <si>
    <t>L2/3</t>
  </si>
  <si>
    <t>V1-2/3</t>
  </si>
  <si>
    <t>L3</t>
  </si>
  <si>
    <t>rCG3</t>
  </si>
  <si>
    <t>dlPF3</t>
  </si>
  <si>
    <t>mOF3</t>
  </si>
  <si>
    <t>cOF3</t>
  </si>
  <si>
    <t>S1-3</t>
  </si>
  <si>
    <t>CPo</t>
  </si>
  <si>
    <t>rCGcpo</t>
  </si>
  <si>
    <t>S1cpo</t>
  </si>
  <si>
    <t>V1cpo</t>
  </si>
  <si>
    <t>L4</t>
  </si>
  <si>
    <t>rCG4</t>
  </si>
  <si>
    <t>dlPF4</t>
  </si>
  <si>
    <t>mOF4</t>
  </si>
  <si>
    <t>cOF4</t>
  </si>
  <si>
    <t>S1-4</t>
  </si>
  <si>
    <t>V14Ca</t>
  </si>
  <si>
    <t>V14Cb</t>
  </si>
  <si>
    <t>L5</t>
  </si>
  <si>
    <t>rCG5</t>
  </si>
  <si>
    <t>dlPF5</t>
  </si>
  <si>
    <t>mOF5</t>
  </si>
  <si>
    <t>cOF5</t>
  </si>
  <si>
    <t>S1-5</t>
  </si>
  <si>
    <t>V2_L5</t>
  </si>
  <si>
    <t>L6</t>
  </si>
  <si>
    <t>rCG6</t>
  </si>
  <si>
    <t>dlPF6</t>
  </si>
  <si>
    <t>mOF6</t>
  </si>
  <si>
    <t>cOF6</t>
  </si>
  <si>
    <t>S1-6</t>
  </si>
  <si>
    <t>V1cp</t>
  </si>
  <si>
    <t>CPi</t>
  </si>
  <si>
    <t>rCGcpi</t>
  </si>
  <si>
    <t>dlPFcp</t>
  </si>
  <si>
    <t>S1-cpi</t>
  </si>
  <si>
    <t>V1cpi</t>
  </si>
  <si>
    <t>rCGsp</t>
  </si>
  <si>
    <t>S1sp</t>
  </si>
  <si>
    <t>V1sp</t>
  </si>
  <si>
    <t>rCGiz</t>
  </si>
  <si>
    <t>S1iz</t>
  </si>
  <si>
    <t>V1iz</t>
  </si>
  <si>
    <t>V1icd</t>
  </si>
  <si>
    <t>TMZ</t>
  </si>
  <si>
    <t>V1tmz</t>
  </si>
  <si>
    <t>OFZ</t>
  </si>
  <si>
    <t>rCGofz</t>
  </si>
  <si>
    <t>S1ofz</t>
  </si>
  <si>
    <t>V1ofz</t>
  </si>
  <si>
    <t>rCGsz</t>
  </si>
  <si>
    <t>S1sz</t>
  </si>
  <si>
    <t>V1sz</t>
  </si>
  <si>
    <t>SZo</t>
  </si>
  <si>
    <t>rCGszo</t>
  </si>
  <si>
    <t>S1szo</t>
  </si>
  <si>
    <t>V1szo</t>
  </si>
  <si>
    <t>IFZ</t>
  </si>
  <si>
    <t>rCGifz</t>
  </si>
  <si>
    <t>S1ifz</t>
  </si>
  <si>
    <t>V1ifz</t>
  </si>
  <si>
    <t>SZi</t>
  </si>
  <si>
    <t>rCGszi</t>
  </si>
  <si>
    <t>S1szi</t>
  </si>
  <si>
    <t>V1szi</t>
  </si>
  <si>
    <t>VZo</t>
  </si>
  <si>
    <t>rCGvzo</t>
  </si>
  <si>
    <t>S1vzo</t>
  </si>
  <si>
    <t>V1vzo</t>
  </si>
  <si>
    <t>VZi</t>
  </si>
  <si>
    <t>rCGvzi</t>
  </si>
  <si>
    <t>S1vzi</t>
  </si>
  <si>
    <t>V1vzi</t>
  </si>
  <si>
    <t>rCGvz</t>
  </si>
  <si>
    <t>S1vz</t>
  </si>
  <si>
    <t>V1vz</t>
  </si>
  <si>
    <t>RMSvz</t>
  </si>
  <si>
    <t>rCGwm</t>
  </si>
  <si>
    <t>mOFwm</t>
  </si>
  <si>
    <t>cOFwm</t>
  </si>
  <si>
    <t>V2wm</t>
  </si>
  <si>
    <t>V1wm</t>
  </si>
  <si>
    <t>HF</t>
  </si>
  <si>
    <t>DGmz</t>
  </si>
  <si>
    <t>DGmo</t>
  </si>
  <si>
    <t>DGgra</t>
  </si>
  <si>
    <t>DGgr</t>
  </si>
  <si>
    <t>DGsga</t>
  </si>
  <si>
    <t>DGsg</t>
  </si>
  <si>
    <t>DGpfa</t>
  </si>
  <si>
    <t>DGpf</t>
  </si>
  <si>
    <t>DMS</t>
  </si>
  <si>
    <t>Hip</t>
  </si>
  <si>
    <t>CA1mz</t>
  </si>
  <si>
    <t>CA1lm</t>
  </si>
  <si>
    <t>CA1ra</t>
  </si>
  <si>
    <t>CA1cp</t>
  </si>
  <si>
    <t>CA1py</t>
  </si>
  <si>
    <t>CA1or</t>
  </si>
  <si>
    <t>CA1iz</t>
  </si>
  <si>
    <t>CA1szi</t>
  </si>
  <si>
    <t>CA1vz</t>
  </si>
  <si>
    <t>CA2mz</t>
  </si>
  <si>
    <t>CA2lm</t>
  </si>
  <si>
    <t>CA2ra</t>
  </si>
  <si>
    <t>CA2cp</t>
  </si>
  <si>
    <t>CA2py</t>
  </si>
  <si>
    <t>CA2or</t>
  </si>
  <si>
    <t>CA3mz</t>
  </si>
  <si>
    <t>CA3lm</t>
  </si>
  <si>
    <t>CA3ra</t>
  </si>
  <si>
    <t>CA3cp</t>
  </si>
  <si>
    <t>CA3py</t>
  </si>
  <si>
    <t>CA3or</t>
  </si>
  <si>
    <t>CA3sl</t>
  </si>
  <si>
    <t>SCx</t>
  </si>
  <si>
    <t>Scp</t>
  </si>
  <si>
    <t>Spy</t>
  </si>
  <si>
    <t>Hem</t>
  </si>
  <si>
    <t>ECx</t>
  </si>
  <si>
    <t>LEC2</t>
  </si>
  <si>
    <t>MEC2</t>
  </si>
  <si>
    <t>LPC</t>
  </si>
  <si>
    <t>MPC</t>
  </si>
  <si>
    <t>MPC5</t>
  </si>
  <si>
    <t>Amy</t>
  </si>
  <si>
    <t>AA</t>
  </si>
  <si>
    <t>CE</t>
  </si>
  <si>
    <t>PAC</t>
  </si>
  <si>
    <t>rPAC</t>
  </si>
  <si>
    <t>cPAC</t>
  </si>
  <si>
    <t>cPACd</t>
  </si>
  <si>
    <t>Ldl</t>
  </si>
  <si>
    <t>Ldm</t>
  </si>
  <si>
    <t>Lvl</t>
  </si>
  <si>
    <t>Lvm</t>
  </si>
  <si>
    <t>Bd</t>
  </si>
  <si>
    <t>Bv</t>
  </si>
  <si>
    <t>AB</t>
  </si>
  <si>
    <t>ABd</t>
  </si>
  <si>
    <t>ABv</t>
  </si>
  <si>
    <t>LGEcx</t>
  </si>
  <si>
    <t>dSTR</t>
  </si>
  <si>
    <t>vSTR</t>
  </si>
  <si>
    <t>Thal</t>
  </si>
  <si>
    <t>DTh</t>
  </si>
  <si>
    <t>LGN</t>
  </si>
  <si>
    <t>DLGkc</t>
  </si>
  <si>
    <t>dorsal lateral geniculate nucleus, koniocellular layers</t>
  </si>
  <si>
    <t>ETh</t>
  </si>
  <si>
    <t>JR Analysis</t>
  </si>
  <si>
    <t>OK</t>
  </si>
  <si>
    <t>Brodmann (1909) area 10</t>
  </si>
  <si>
    <t>Brodmann (1909) area 18</t>
  </si>
  <si>
    <t>Brodmann (1909) area 24</t>
  </si>
  <si>
    <t>Brodmann (1909) area 32</t>
  </si>
  <si>
    <t>Brodmann (1909) area 36</t>
  </si>
  <si>
    <t>CA1 field of hippocampus</t>
  </si>
  <si>
    <t>CA1 stratum lacunosum moleculare</t>
  </si>
  <si>
    <t>CA1 stratum oriens</t>
  </si>
  <si>
    <t>CA1 stratum radiatum</t>
  </si>
  <si>
    <t>CA2 field of hippocampus</t>
  </si>
  <si>
    <t>CA2 stratum lacunosum moleculare</t>
  </si>
  <si>
    <t>CA2 stratum oriens</t>
  </si>
  <si>
    <t>CA2 stratum radiatum</t>
  </si>
  <si>
    <t>CA3 field of hippocampus</t>
  </si>
  <si>
    <t>CA3 stratum lacunosum moleculare</t>
  </si>
  <si>
    <t>CA3 stratum lucidum</t>
  </si>
  <si>
    <t>CA3 stratum oriens</t>
  </si>
  <si>
    <t>CA3 stratum radiatum</t>
  </si>
  <si>
    <t>CA4 field of hippocampus</t>
  </si>
  <si>
    <t>Purkinje cell layer of cerebellar cortex</t>
  </si>
  <si>
    <t>accessory XI nerve</t>
  </si>
  <si>
    <t>accessory basal amygdaloid nucleus</t>
  </si>
  <si>
    <t>accessory olfactory bulb external plexiform layer</t>
  </si>
  <si>
    <t>accessory olfactory bulb glomerular layer</t>
  </si>
  <si>
    <t>accessory olfactory bulb granule cell layer</t>
  </si>
  <si>
    <t>accessory olfactory bulb internal plexiform layer</t>
  </si>
  <si>
    <t>accessory olfactory bulb mitral cell layer</t>
  </si>
  <si>
    <t>agranular insular cortex</t>
  </si>
  <si>
    <t>ambient gyrus</t>
  </si>
  <si>
    <t>amiculum of inferior olive</t>
  </si>
  <si>
    <t>amygdalohippocampal area, magnocellular division</t>
  </si>
  <si>
    <t>amygdalohippocampal area, parvocellular division</t>
  </si>
  <si>
    <t>anatomical entity</t>
  </si>
  <si>
    <t>ansiform lobule crus I</t>
  </si>
  <si>
    <t>ansiform lobule crus II</t>
  </si>
  <si>
    <t>ansoparamedian fissure of cerebellum</t>
  </si>
  <si>
    <t>anterior column of fornix</t>
  </si>
  <si>
    <t>anterior commissure anterior part</t>
  </si>
  <si>
    <t>anterior corona radiata</t>
  </si>
  <si>
    <t>anterior cortical amygdaloid nucleus</t>
  </si>
  <si>
    <t>anterior division of bed nuclei of stria terminalis</t>
  </si>
  <si>
    <t>anterior hypothalamic commissure</t>
  </si>
  <si>
    <t>anterior lobe of cerebellum</t>
  </si>
  <si>
    <t>anterior nuclear group</t>
  </si>
  <si>
    <t>anterior nucleus of hypothalamus</t>
  </si>
  <si>
    <t>anterior nucleus of hypothalamus anterior part</t>
  </si>
  <si>
    <t>anterior nucleus of hypothalamus central part</t>
  </si>
  <si>
    <t>anterior nucleus of hypothalamus dorsal part</t>
  </si>
  <si>
    <t>anterior nucleus of hypothalamus posterior part</t>
  </si>
  <si>
    <t>anterior parolfactory sulcus</t>
  </si>
  <si>
    <t>anterior pretectal nucleus</t>
  </si>
  <si>
    <t>anterior segment of paracentral lobule</t>
  </si>
  <si>
    <t>anterior spinocerebellar tract</t>
  </si>
  <si>
    <t>anterior thalamic peduncle</t>
  </si>
  <si>
    <t>anterior transverse temporal gyrus</t>
  </si>
  <si>
    <t>anterodorsal nucleus of medial geniculate body</t>
  </si>
  <si>
    <t>anteroventral cochlear nucleus</t>
  </si>
  <si>
    <t>area X of ventral lateral nucleus</t>
  </si>
  <si>
    <t>auditory cortex</t>
  </si>
  <si>
    <t>barrel cortex</t>
  </si>
  <si>
    <t>basal amygdaloid nucleus</t>
  </si>
  <si>
    <t>basal ganglion</t>
  </si>
  <si>
    <t>basal nucleus of telencephalon</t>
  </si>
  <si>
    <t>basal ventral medial nucleus of thalamus</t>
  </si>
  <si>
    <t>basolateral amygdaloid nuclear complex</t>
  </si>
  <si>
    <t>body of caudate nucleus</t>
  </si>
  <si>
    <t>body of fornix</t>
  </si>
  <si>
    <t>brain commissure</t>
  </si>
  <si>
    <t>brain gray matter</t>
  </si>
  <si>
    <t>brain marginal zone</t>
  </si>
  <si>
    <t>brain ventricle</t>
  </si>
  <si>
    <t>brain white matter</t>
  </si>
  <si>
    <t>brainstem</t>
  </si>
  <si>
    <t>brainstem nucleus</t>
  </si>
  <si>
    <t>brainstem white matter</t>
  </si>
  <si>
    <t>calcar avis of the lateral ventricle</t>
  </si>
  <si>
    <t>caudal intralaminar nuclear group</t>
  </si>
  <si>
    <t>caudal linear nucleus</t>
  </si>
  <si>
    <t>caudal part of spinal trigeminal nucleus</t>
  </si>
  <si>
    <t>caudal part of ventral lateral nucleus</t>
  </si>
  <si>
    <t>caudal part of ventral posterolateral nucleus of thalamus</t>
  </si>
  <si>
    <t>caudal pontine reticular nucleus</t>
  </si>
  <si>
    <t>caudate-putamen</t>
  </si>
  <si>
    <t>cavum septum pellucidum</t>
  </si>
  <si>
    <t>central canal of spinal cord</t>
  </si>
  <si>
    <t>central gray substance of medulla</t>
  </si>
  <si>
    <t>central gray substance of pons</t>
  </si>
  <si>
    <t>central medial nucleus</t>
  </si>
  <si>
    <t>central medullary reticular nuclear complex</t>
  </si>
  <si>
    <t>central nervous system cell part cluster</t>
  </si>
  <si>
    <t>central part of mediodorsal nucleus of the thalamus</t>
  </si>
  <si>
    <t>cerebellar nuclear complex</t>
  </si>
  <si>
    <t>cerebellar peduncle</t>
  </si>
  <si>
    <t>cerebellar peduncular complex</t>
  </si>
  <si>
    <t>cerebellum anterior vermis</t>
  </si>
  <si>
    <t>cerebellum fissure</t>
  </si>
  <si>
    <t>cerebellum globose nucleus</t>
  </si>
  <si>
    <t>cerebellum hemisphere lobule</t>
  </si>
  <si>
    <t>cerebellum intermediate zone</t>
  </si>
  <si>
    <t>cerebellum interpositus nucleus</t>
  </si>
  <si>
    <t>cerebellum marginal layer</t>
  </si>
  <si>
    <t>cerebellum posterior vermis</t>
  </si>
  <si>
    <t>cerebellum vermis culmen</t>
  </si>
  <si>
    <t>cerebellum vermis lobule</t>
  </si>
  <si>
    <t>cerebellum vermis lobule I</t>
  </si>
  <si>
    <t>cerebellum vermis lobule II</t>
  </si>
  <si>
    <t>cerebellum vermis lobule III</t>
  </si>
  <si>
    <t>cerebellum vermis lobule IV</t>
  </si>
  <si>
    <t>cerebellum vermis lobule IX</t>
  </si>
  <si>
    <t>cerebellum vermis lobule V</t>
  </si>
  <si>
    <t>cerebellum vermis lobule VI</t>
  </si>
  <si>
    <t>cerebellum vermis lobule VII</t>
  </si>
  <si>
    <t>cerebellum vermis lobule VIIAf</t>
  </si>
  <si>
    <t>cerebellum vermis lobule VIIAt</t>
  </si>
  <si>
    <t>cerebellum vermis lobule VIIB</t>
  </si>
  <si>
    <t>cerebellum vermis lobule VIII</t>
  </si>
  <si>
    <t>cerebellum vermis lobule X</t>
  </si>
  <si>
    <t>cerebral cortex marginal layer</t>
  </si>
  <si>
    <t>cerebral cortex subventricular zone</t>
  </si>
  <si>
    <t>cerebral hemisphere</t>
  </si>
  <si>
    <t>cerebral hemisphere gray matter</t>
  </si>
  <si>
    <t>cerebral hemisphere white matter</t>
  </si>
  <si>
    <t>cerebral nerve fasciculus</t>
  </si>
  <si>
    <t>cerebral peduncle</t>
  </si>
  <si>
    <t>cerebrocerebellum</t>
  </si>
  <si>
    <t>choroid plexus of fourth ventricle</t>
  </si>
  <si>
    <t>choroid plexus of third ventricle</t>
  </si>
  <si>
    <t>cingulate cortex cingulum</t>
  </si>
  <si>
    <t>cingulum of brain</t>
  </si>
  <si>
    <t>circular nucleus of antherior hypothalamic nucleus</t>
  </si>
  <si>
    <t>circular sulcus of insula</t>
  </si>
  <si>
    <t>claustral amygdaloid area</t>
  </si>
  <si>
    <t>claustrum of brain</t>
  </si>
  <si>
    <t>cochlear nuclear complex</t>
  </si>
  <si>
    <t>collection of basal ganglia</t>
  </si>
  <si>
    <t>commissure of superior colliculus</t>
  </si>
  <si>
    <t>commissure of telencephalon</t>
  </si>
  <si>
    <t>corona radiata of neuraxis</t>
  </si>
  <si>
    <t>corpora quadrigemina</t>
  </si>
  <si>
    <t>cortical amygdaloid nucleus</t>
  </si>
  <si>
    <t>cortical layer I</t>
  </si>
  <si>
    <t>cortical layer II</t>
  </si>
  <si>
    <t>cortical layer III</t>
  </si>
  <si>
    <t>cortical layer IV</t>
  </si>
  <si>
    <t>cortical layer V</t>
  </si>
  <si>
    <t>cortical layer VI</t>
  </si>
  <si>
    <t>corticomedial nuclear complex</t>
  </si>
  <si>
    <t>corticopontine fibers</t>
  </si>
  <si>
    <t>cranial nerve</t>
  </si>
  <si>
    <t>cranial nerve II</t>
  </si>
  <si>
    <t>cuneate fasciculus of spinal cord</t>
  </si>
  <si>
    <t>cuneus cortex</t>
  </si>
  <si>
    <t>decussation of trochlear nerve</t>
  </si>
  <si>
    <t>deep layer of superior colliculus</t>
  </si>
  <si>
    <t>densocellular part of medial dorsal nucleus</t>
  </si>
  <si>
    <t>dentate gyrus granule cell layer</t>
  </si>
  <si>
    <t>dentate gyrus molecular layer</t>
  </si>
  <si>
    <t>dentate gyrus of hippocampal formation</t>
  </si>
  <si>
    <t>dentate gyrus polymorphic layer</t>
  </si>
  <si>
    <t>dentate gyrus subgranular zone</t>
  </si>
  <si>
    <t>diagonal band of Broca</t>
  </si>
  <si>
    <t>diencephalic nucleus</t>
  </si>
  <si>
    <t>diffuse reticular nucleus</t>
  </si>
  <si>
    <t>dorsal accessory inferior olivary nucleus</t>
  </si>
  <si>
    <t>dorsal accessory nucleus of optic tract</t>
  </si>
  <si>
    <t>dorsal column nucleus</t>
  </si>
  <si>
    <t>dorsal column-medial lemniscus pathway</t>
  </si>
  <si>
    <t>dorsal external arcuate fiber bundle</t>
  </si>
  <si>
    <t>dorsal motor nucleus of vagus nerve</t>
  </si>
  <si>
    <t>dorsal nucleus of medial geniculate body</t>
  </si>
  <si>
    <t>dorsal pallidum</t>
  </si>
  <si>
    <t>dorsal paramedian reticular nucleus</t>
  </si>
  <si>
    <t>dorsal plus ventral thalamus</t>
  </si>
  <si>
    <t>dorsal supraoptic decussation</t>
  </si>
  <si>
    <t>dorsal trigeminal tract</t>
  </si>
  <si>
    <t>dorsal zone of medial entorhinal cortex</t>
  </si>
  <si>
    <t>dorsolateral part of supraoptic nucleus</t>
  </si>
  <si>
    <t>dorsolateral prefrontal cortex layer 2</t>
  </si>
  <si>
    <t>dorsolateral prefrontal cortex layer 3</t>
  </si>
  <si>
    <t>dorsolateral prefrontal cortex layer 4</t>
  </si>
  <si>
    <t>dorsolateral prefrontal cortex layer 5</t>
  </si>
  <si>
    <t>dorsolateral prefrontal cortex layer 6</t>
  </si>
  <si>
    <t>dorsomedial nucleus of hypothalamus</t>
  </si>
  <si>
    <t>early prosencephalic vesicle</t>
  </si>
  <si>
    <t>embryonic structure</t>
  </si>
  <si>
    <t>embryonic tissue</t>
  </si>
  <si>
    <t>external capsule of telencephalon</t>
  </si>
  <si>
    <t>external nucleus of inferior colliculus</t>
  </si>
  <si>
    <t>extrapyramidal tract system</t>
  </si>
  <si>
    <t>extrastriate cortex</t>
  </si>
  <si>
    <t>fasciculus of brain</t>
  </si>
  <si>
    <t>flocculonodular lobe, hemisphere portion</t>
  </si>
  <si>
    <t>floor plate of medulla oblongata</t>
  </si>
  <si>
    <t>floor plate of neural tube</t>
  </si>
  <si>
    <t>forceps major of corpus callosum</t>
  </si>
  <si>
    <t>forceps minor of corpus callosum</t>
  </si>
  <si>
    <t>fornix of brain</t>
  </si>
  <si>
    <t>frontal sulcus</t>
  </si>
  <si>
    <t>fundus striati</t>
  </si>
  <si>
    <t>fusiform nucleus of stria terminalis</t>
  </si>
  <si>
    <t>ganglionic eminence</t>
  </si>
  <si>
    <t>gelatinous nucleus of solitary tract</t>
  </si>
  <si>
    <t>genu of facial nerve</t>
  </si>
  <si>
    <t>gigantocellular nucleus</t>
  </si>
  <si>
    <t>gland of diencephalon</t>
  </si>
  <si>
    <t>gracile fasciculus of spinal cord</t>
  </si>
  <si>
    <t>granular layer of cerebellar cortex</t>
  </si>
  <si>
    <t>gray matter of diencephalon</t>
  </si>
  <si>
    <t>gray matter of hindbrain</t>
  </si>
  <si>
    <t>gray matter of telencephalon</t>
  </si>
  <si>
    <t>habenula</t>
  </si>
  <si>
    <t>habenular nucleus</t>
  </si>
  <si>
    <t>habenulo-interpeduncular tract</t>
  </si>
  <si>
    <t>head of caudate nucleus</t>
  </si>
  <si>
    <t>hemisphere part of cerebellar anterior lobe</t>
  </si>
  <si>
    <t>hemisphere part of cerebellar posterior lobe</t>
  </si>
  <si>
    <t>hindbrain cortical intermediate zone</t>
  </si>
  <si>
    <t>hindbrain marginal layer</t>
  </si>
  <si>
    <t>hindbrain nucleus</t>
  </si>
  <si>
    <t>hippocampus alveus</t>
  </si>
  <si>
    <t>hippocampus fimbria</t>
  </si>
  <si>
    <t>horizontal fissure of cerebellum</t>
  </si>
  <si>
    <t>hypothalamic nucleus</t>
  </si>
  <si>
    <t>inferior horn of the lateral ventricle</t>
  </si>
  <si>
    <t>inferior parietal cortex</t>
  </si>
  <si>
    <t>inferior pulvinar nucleus</t>
  </si>
  <si>
    <t>inferior vestibular nucleus</t>
  </si>
  <si>
    <t>interfascicular linear nucleus</t>
  </si>
  <si>
    <t>intermediate layer of superior colliculus</t>
  </si>
  <si>
    <t>intermediate oculomotor nucleus</t>
  </si>
  <si>
    <t>intermediate periventricular nucleus</t>
  </si>
  <si>
    <t>internal arcuate fiber bundle</t>
  </si>
  <si>
    <t>internal capsule of telencephalon</t>
  </si>
  <si>
    <t>interpolar part of spinal trigeminal nucleus</t>
  </si>
  <si>
    <t>interventricular foramen of CNS</t>
  </si>
  <si>
    <t>intraculminate fissure of cerebellum</t>
  </si>
  <si>
    <t>intralaminar nuclear group</t>
  </si>
  <si>
    <t>intralingual sulcus</t>
  </si>
  <si>
    <t>isla magna of Calleja</t>
  </si>
  <si>
    <t>island of Calleja</t>
  </si>
  <si>
    <t>lamina terminalis of cerebral hemisphere</t>
  </si>
  <si>
    <t>lateral accessory nucleus of optic tract</t>
  </si>
  <si>
    <t>lateral dorsal nucleus</t>
  </si>
  <si>
    <t>lateral entorhinal cortex</t>
  </si>
  <si>
    <t>lateral geniculate body</t>
  </si>
  <si>
    <t>lateral globus pallidus</t>
  </si>
  <si>
    <t>lateral medullary lamina of globus pallidus</t>
  </si>
  <si>
    <t>lateral medullary reticular complex</t>
  </si>
  <si>
    <t>lateral nuclear group of thalamus</t>
  </si>
  <si>
    <t>lateral nucleus of stria terminalis</t>
  </si>
  <si>
    <t>lateral part of mediodorsal nucleus of the thalamus</t>
  </si>
  <si>
    <t>lateral preoptic nucleus</t>
  </si>
  <si>
    <t>lateral pulvinar nucleus</t>
  </si>
  <si>
    <t>lateral structure</t>
  </si>
  <si>
    <t>lateral sulcus</t>
  </si>
  <si>
    <t>lateral zone of hypothalamus</t>
  </si>
  <si>
    <t>layer of neocortex</t>
  </si>
  <si>
    <t>left putamen</t>
  </si>
  <si>
    <t>limen of insula</t>
  </si>
  <si>
    <t>linear nucleus</t>
  </si>
  <si>
    <t>lobule simplex</t>
  </si>
  <si>
    <t>longitudinal pontine fibers</t>
  </si>
  <si>
    <t>lower rhombic lip</t>
  </si>
  <si>
    <t>magnocellular layer of dorsal nucleus of lateral geniculate body</t>
  </si>
  <si>
    <t>magnocellular nucleus of medial geniculate body</t>
  </si>
  <si>
    <t>magnocellular nucleus of stria terminalis</t>
  </si>
  <si>
    <t>magnocellular part of medial dorsal nucleus</t>
  </si>
  <si>
    <t>magnocellular part of red nucleus</t>
  </si>
  <si>
    <t>magnocellular part of ventral anterior nucleus</t>
  </si>
  <si>
    <t>mammillary princeps fasciculus</t>
  </si>
  <si>
    <t>mammillotegmental axonal tract</t>
  </si>
  <si>
    <t>mammillothalamic axonal tract</t>
  </si>
  <si>
    <t>medial accessory inferior olivary nucleus</t>
  </si>
  <si>
    <t>medial accessory nucleus of optic tract</t>
  </si>
  <si>
    <t>medial amygdaloid nucleus</t>
  </si>
  <si>
    <t>medial dorsal nucleus of thalamus</t>
  </si>
  <si>
    <t>medial entorhinal cortex</t>
  </si>
  <si>
    <t>medial geniculate body</t>
  </si>
  <si>
    <t>medial globus pallidus</t>
  </si>
  <si>
    <t>medial medullary lamina of globus pallidus</t>
  </si>
  <si>
    <t>medial nucleus of solitary tract</t>
  </si>
  <si>
    <t>medial nucleus of stria terminalis</t>
  </si>
  <si>
    <t>medial part of basal amygdaloid nucleus</t>
  </si>
  <si>
    <t>medial part of ventral lateral nucleus</t>
  </si>
  <si>
    <t>medial preoptic region</t>
  </si>
  <si>
    <t>medial pulvinar nucleus</t>
  </si>
  <si>
    <t>medial subnucleus of solitary tract</t>
  </si>
  <si>
    <t>medial superior olivary nucleus</t>
  </si>
  <si>
    <t>medial zone of hypothalamus</t>
  </si>
  <si>
    <t>median eminence of neurohypophysis</t>
  </si>
  <si>
    <t>medulla oblongata</t>
  </si>
  <si>
    <t>medullary raphe nuclear complex</t>
  </si>
  <si>
    <t>mesencephalic nucleus of trigeminal nerve</t>
  </si>
  <si>
    <t>mesencephalic tract of trigeminal nerve</t>
  </si>
  <si>
    <t>metathalamus</t>
  </si>
  <si>
    <t>midbrain basal plate</t>
  </si>
  <si>
    <t>midbrain cerebral aqueduct</t>
  </si>
  <si>
    <t>midbrain nucleus</t>
  </si>
  <si>
    <t>midbrain-hindbrain boundary</t>
  </si>
  <si>
    <t>middle frontal sulcus</t>
  </si>
  <si>
    <t>middle gray layer of superior colliculus</t>
  </si>
  <si>
    <t>middle white layer of superior colliculus</t>
  </si>
  <si>
    <t>midline nuclear group</t>
  </si>
  <si>
    <t>molecular layer of cerebellar cortex</t>
  </si>
  <si>
    <t>nerve fiber layer of retina</t>
  </si>
  <si>
    <t>nerve of head region</t>
  </si>
  <si>
    <t>neural crest-derived structure</t>
  </si>
  <si>
    <t>neuromere</t>
  </si>
  <si>
    <t>nucleus of anterior commissure</t>
  </si>
  <si>
    <t>nucleus of brain</t>
  </si>
  <si>
    <t>nucleus of dorsal thalamus</t>
  </si>
  <si>
    <t>nucleus of lateral lemniscus</t>
  </si>
  <si>
    <t>nucleus of medulla oblongata</t>
  </si>
  <si>
    <t>nucleus of midbrain reticular formation</t>
  </si>
  <si>
    <t>nucleus of optic tract</t>
  </si>
  <si>
    <t>nucleus of pontine reticular formation</t>
  </si>
  <si>
    <t>nucleus of posterior commissure</t>
  </si>
  <si>
    <t>nucleus of solitary tract</t>
  </si>
  <si>
    <t>nucleus of thalamus</t>
  </si>
  <si>
    <t>nucleus of ventral thalamus</t>
  </si>
  <si>
    <t>occipital fusiform gyrus</t>
  </si>
  <si>
    <t>occipital sulcus</t>
  </si>
  <si>
    <t>olfactory bulb external plexiform layer</t>
  </si>
  <si>
    <t>olfactory bulb glomerular layer</t>
  </si>
  <si>
    <t>olfactory bulb granule cell layer</t>
  </si>
  <si>
    <t>olfactory bulb internal plexiform layer</t>
  </si>
  <si>
    <t>olfactory bulb main glomerular layer</t>
  </si>
  <si>
    <t>olfactory bulb mitral cell layer</t>
  </si>
  <si>
    <t>olfactory bulb outer nerve layer</t>
  </si>
  <si>
    <t>olfactory cortex</t>
  </si>
  <si>
    <t>opercular part of inferior frontal gyrus</t>
  </si>
  <si>
    <t>optic chiasma</t>
  </si>
  <si>
    <t>oral part of spinal trigeminal nucleus</t>
  </si>
  <si>
    <t>oral pontine reticular nucleus</t>
  </si>
  <si>
    <t>oral pulvinar nucleus</t>
  </si>
  <si>
    <t>orbital part of inferior frontal gyrus</t>
  </si>
  <si>
    <t>orbitofrontal cortex</t>
  </si>
  <si>
    <t>oval nucleus of stria terminalis</t>
  </si>
  <si>
    <t>paleocortex</t>
  </si>
  <si>
    <t>pallidotegmental fasciculus</t>
  </si>
  <si>
    <t>parabrachial pigmental nucleus</t>
  </si>
  <si>
    <t>paraventricular nucleus of thalamus</t>
  </si>
  <si>
    <t>paraventricular nucleus of the hypothalamus descending division</t>
  </si>
  <si>
    <t>paraventricular nucleus of the hypothalamus descending division - dorsal parvicellular part</t>
  </si>
  <si>
    <t>paraventricular nucleus of the hypothalamus descending division - forniceal part</t>
  </si>
  <si>
    <t>paraventricular nucleus of the hypothalamus descending division - lateral parvicellular part</t>
  </si>
  <si>
    <t>paraventricular nucleus of the hypothalamus descending division - medial parvicellular part, ventral zone</t>
  </si>
  <si>
    <t>paraventricular nucleus of the hypothalamus magnocellular division</t>
  </si>
  <si>
    <t>paraventricular nucleus of the hypothalamus magnocellular division - anterior magnocellular part</t>
  </si>
  <si>
    <t>paraventricular nucleus of the hypothalamus magnocellular division - medial magnocellular part</t>
  </si>
  <si>
    <t>paraventricular nucleus of the hypothalamus magnocellular division - posterior magnocellular part</t>
  </si>
  <si>
    <t>paraventricular nucleus of the hypothalamus magnocellular division - posterior magnocellular part lateral zone</t>
  </si>
  <si>
    <t>paraventricular nucleus of the hypothalamus magnocellular division - posterior magnocellular part medial zone</t>
  </si>
  <si>
    <t>paraventricular nucleus of the hypothalamus parvicellular division</t>
  </si>
  <si>
    <t>paravermic lobule II</t>
  </si>
  <si>
    <t>paravermic lobule III</t>
  </si>
  <si>
    <t>paravermic lobule IV</t>
  </si>
  <si>
    <t>paravermic lobule IX</t>
  </si>
  <si>
    <t>paravermic lobule V</t>
  </si>
  <si>
    <t>paravermic lobule VI</t>
  </si>
  <si>
    <t>paravermic lobule X</t>
  </si>
  <si>
    <t>paravermis lobule area</t>
  </si>
  <si>
    <t>paravermis of the anterior lobe of the cerebellum</t>
  </si>
  <si>
    <t>paravermis of the posterior lobe of the cerebellum</t>
  </si>
  <si>
    <t>pars postrema of ventral lateral nucleus</t>
  </si>
  <si>
    <t>parvicellular part of medial dorsal nucleus</t>
  </si>
  <si>
    <t>parvicellular part of ventral posteromedial nucleus</t>
  </si>
  <si>
    <t>parvocellular layer of dorsal nucleus of lateral geniculate body</t>
  </si>
  <si>
    <t>parvocellular oculomotor nucleus</t>
  </si>
  <si>
    <t>parvocellular part of red nucleus</t>
  </si>
  <si>
    <t>parvocellular reticular nucleus</t>
  </si>
  <si>
    <t>peduncle of thalamus</t>
  </si>
  <si>
    <t>periamygdaloid area</t>
  </si>
  <si>
    <t>pericentral nucleus of inferior colliculus</t>
  </si>
  <si>
    <t>periolivary nucleus</t>
  </si>
  <si>
    <t>periventricular zone of hypothalamus</t>
  </si>
  <si>
    <t>pineal gland stalk</t>
  </si>
  <si>
    <t>pineal recess of third ventricle</t>
  </si>
  <si>
    <t>piriform cortex layer 2</t>
  </si>
  <si>
    <t>pituitary gland</t>
  </si>
  <si>
    <t>pituitary stalk</t>
  </si>
  <si>
    <t>pontine nuclear group</t>
  </si>
  <si>
    <t>pontine reticular formation</t>
  </si>
  <si>
    <t>postcentral sulcus of parietal lobe</t>
  </si>
  <si>
    <t>postcommissural fornix of brain</t>
  </si>
  <si>
    <t>posterior amygdaloid nucleus</t>
  </si>
  <si>
    <t>posterior calcarine sulcus</t>
  </si>
  <si>
    <t>posterior column of fornix</t>
  </si>
  <si>
    <t>posterior corona radiata</t>
  </si>
  <si>
    <t>posterior division of bed nuclei of stria terminalis</t>
  </si>
  <si>
    <t>posterior horn lateral ventricle</t>
  </si>
  <si>
    <t>posterior hypothalamic region</t>
  </si>
  <si>
    <t>posterior lateral line</t>
  </si>
  <si>
    <t>posterior lobe of cerebellum</t>
  </si>
  <si>
    <t>posterior median eminence</t>
  </si>
  <si>
    <t>posterior nucleus of hypothalamus</t>
  </si>
  <si>
    <t>posterior paraventricular nucleus of thalamus</t>
  </si>
  <si>
    <t>posterior part of anterior commissure</t>
  </si>
  <si>
    <t>posterior periventricular nucleus</t>
  </si>
  <si>
    <t>posterior segment of paracentral lobule</t>
  </si>
  <si>
    <t>posterior spinocerebellar tract</t>
  </si>
  <si>
    <t>posterior superior fissure of cerebellum</t>
  </si>
  <si>
    <t>posterodorsal nucleus of medial geniculate body</t>
  </si>
  <si>
    <t>posterolateral cortical amygdaloid nucleus</t>
  </si>
  <si>
    <t>posterolateral fissure of cerebellum</t>
  </si>
  <si>
    <t>posteromedial cortical amygdaloid nucleus</t>
  </si>
  <si>
    <t>posteroventral cochlear nucleus</t>
  </si>
  <si>
    <t>postnatal subventricular zone</t>
  </si>
  <si>
    <t>postoptic commissure</t>
  </si>
  <si>
    <t>precentral fissure of cerebellum</t>
  </si>
  <si>
    <t>preculminate fissure of cerebellum</t>
  </si>
  <si>
    <t>precuneus cortex</t>
  </si>
  <si>
    <t>premammillary nucleus</t>
  </si>
  <si>
    <t>premotor cortex</t>
  </si>
  <si>
    <t>preoptic nucleus</t>
  </si>
  <si>
    <t>preoptic periventricular nucleus</t>
  </si>
  <si>
    <t>prepyramidal fissure of cerebellum</t>
  </si>
  <si>
    <t>prepyriform area</t>
  </si>
  <si>
    <t>presumptive structure</t>
  </si>
  <si>
    <t>pretectal nucleus</t>
  </si>
  <si>
    <t>primary auditory cortex</t>
  </si>
  <si>
    <t>primary fissure of cerebellum</t>
  </si>
  <si>
    <t>primary motor cortex</t>
  </si>
  <si>
    <t>primary somatosensory area barrel field layer 1</t>
  </si>
  <si>
    <t>primary somatosensory area barrel field layer 2/3</t>
  </si>
  <si>
    <t>primary somatosensory area barrel field layer 4</t>
  </si>
  <si>
    <t>primary somatosensory area barrel field layer 5</t>
  </si>
  <si>
    <t>primary somatosensory area barrel field layer 6a</t>
  </si>
  <si>
    <t>primary somatosensory area barrel field layer 6b</t>
  </si>
  <si>
    <t>primary somatosensory cortex</t>
  </si>
  <si>
    <t>primary superior olive</t>
  </si>
  <si>
    <t>primary visual cortex</t>
  </si>
  <si>
    <t>principal inferior olivary nucleus</t>
  </si>
  <si>
    <t>principal nucleus of stria terminalis</t>
  </si>
  <si>
    <t>pulvinar nucleus</t>
  </si>
  <si>
    <t>pyramid of medulla oblongata</t>
  </si>
  <si>
    <t>pyramidal layer of CA1</t>
  </si>
  <si>
    <t>pyramidal layer of CA2</t>
  </si>
  <si>
    <t>pyramidal layer of CA3</t>
  </si>
  <si>
    <t>radiation of corpus callosum</t>
  </si>
  <si>
    <t>regional part of cerebellar cortex</t>
  </si>
  <si>
    <t>regional part of spinal cord</t>
  </si>
  <si>
    <t>retro-olivary nucleus</t>
  </si>
  <si>
    <t>retrolenticular part of internal capsule</t>
  </si>
  <si>
    <t>retrorubral area of midbrain reticular nucleus</t>
  </si>
  <si>
    <t>retrosplenial granular cortex</t>
  </si>
  <si>
    <t>retrosplenial region</t>
  </si>
  <si>
    <t>reuniens nucleus</t>
  </si>
  <si>
    <t>rhomboidal nucleus</t>
  </si>
  <si>
    <t>rhombomere</t>
  </si>
  <si>
    <t>rhombomere 1 floor plate</t>
  </si>
  <si>
    <t>rhombomere 1 roof plate</t>
  </si>
  <si>
    <t>rhombomere 2 floor plate</t>
  </si>
  <si>
    <t>rhombomere 2 roof plate</t>
  </si>
  <si>
    <t>rhombomere 3 floor plate</t>
  </si>
  <si>
    <t>rhombomere 3 roof plate</t>
  </si>
  <si>
    <t>rhombomere 4 floor plate</t>
  </si>
  <si>
    <t>rhombomere 4 roof plate</t>
  </si>
  <si>
    <t>rhombomere 5 floor plate</t>
  </si>
  <si>
    <t>rhombomere 5 roof plate</t>
  </si>
  <si>
    <t>rhombomere 6 floor plate</t>
  </si>
  <si>
    <t>rhombomere 6 roof plate</t>
  </si>
  <si>
    <t>rhombomere 7 floor plate</t>
  </si>
  <si>
    <t>rhombomere 7 roof plate</t>
  </si>
  <si>
    <t>rhombomere 8 floor plate</t>
  </si>
  <si>
    <t>rhombomere 8 roof plate</t>
  </si>
  <si>
    <t>right putamen</t>
  </si>
  <si>
    <t>root of cranial nerve</t>
  </si>
  <si>
    <t>rostral interstitial nucleus of medial longitudinal fasciculus</t>
  </si>
  <si>
    <t>rostral intralaminar nuclear group</t>
  </si>
  <si>
    <t>secondary auditory cortex</t>
  </si>
  <si>
    <t>secondary fissure of cerebellum</t>
  </si>
  <si>
    <t>secondary somatosensory cortex</t>
  </si>
  <si>
    <t>segmental subdivision of hindbrain</t>
  </si>
  <si>
    <t>sensory root of facial nerve</t>
  </si>
  <si>
    <t>septal nuclear complex</t>
  </si>
  <si>
    <t>somatosensory cortex</t>
  </si>
  <si>
    <t>spinal cord dorsal column</t>
  </si>
  <si>
    <t>spinal cord gray commissure</t>
  </si>
  <si>
    <t>spinal cord ventral commissure</t>
  </si>
  <si>
    <t>spinal nerve root</t>
  </si>
  <si>
    <t>spinal nucleus of trigeminal nerve</t>
  </si>
  <si>
    <t>spinothalamic tract of pons</t>
  </si>
  <si>
    <t>stratum lemnisci of superior colliculus</t>
  </si>
  <si>
    <t>stratum lucidum of caudal CA3</t>
  </si>
  <si>
    <t>stratum lucidum of rostral CA3</t>
  </si>
  <si>
    <t>stratum lucidum of uncal CA3</t>
  </si>
  <si>
    <t>stria of telencephalon</t>
  </si>
  <si>
    <t>structure with developmental contribution from neural crest</t>
  </si>
  <si>
    <t>sublingual nucleus</t>
  </si>
  <si>
    <t>submedial nucleus of thalamus</t>
  </si>
  <si>
    <t>substantia nigra pars compacta</t>
  </si>
  <si>
    <t>substantia nigra pars lateralis</t>
  </si>
  <si>
    <t>substantia nigra pars reticulata</t>
  </si>
  <si>
    <t>sulcus limitans of fourth ventricle</t>
  </si>
  <si>
    <t>sulcus of brain</t>
  </si>
  <si>
    <t>sulcus of limbic lobe</t>
  </si>
  <si>
    <t>sulcus of parietal lobe</t>
  </si>
  <si>
    <t>superior colliculus superficial gray layer</t>
  </si>
  <si>
    <t>superior corona radiata</t>
  </si>
  <si>
    <t>superior parietal cortex</t>
  </si>
  <si>
    <t>superior postcentral sulcus</t>
  </si>
  <si>
    <t>superior precentral sulcus</t>
  </si>
  <si>
    <t>suprachiasmatic nucleus dorsomedial part</t>
  </si>
  <si>
    <t>suprachiasmatic nucleus ventrolateral part</t>
  </si>
  <si>
    <t>supragenual nucleus of pontine tegmentum</t>
  </si>
  <si>
    <t>supramammillary commissure</t>
  </si>
  <si>
    <t>supraoptic crest</t>
  </si>
  <si>
    <t>taenia tectum of brain</t>
  </si>
  <si>
    <t>tail of caudate nucleus</t>
  </si>
  <si>
    <t>tectothalamic tract</t>
  </si>
  <si>
    <t>telencephalic nucleus</t>
  </si>
  <si>
    <t>telencephalic ventricle</t>
  </si>
  <si>
    <t>temporal cortex association area</t>
  </si>
  <si>
    <t>temporal cortex cingulum</t>
  </si>
  <si>
    <t>temporal fusiform gyrus</t>
  </si>
  <si>
    <t>temporal sulcus</t>
  </si>
  <si>
    <t>thalamic reticular nucleus</t>
  </si>
  <si>
    <t>tract of brain</t>
  </si>
  <si>
    <t>transverse nucleus of stria terminalis</t>
  </si>
  <si>
    <t>transverse pontine fibers</t>
  </si>
  <si>
    <t>triangular part of inferior frontal gyrus</t>
  </si>
  <si>
    <t>trigeminal nuclear complex</t>
  </si>
  <si>
    <t>tuberomammillary nucleus dorsal part</t>
  </si>
  <si>
    <t>tuberomammillary nucleus ventral part</t>
  </si>
  <si>
    <t>upper rhombic lip</t>
  </si>
  <si>
    <t>ventral lateral geniculate nucleus</t>
  </si>
  <si>
    <t>ventral nuclear group</t>
  </si>
  <si>
    <t>ventral nucleus of medial geniculate body</t>
  </si>
  <si>
    <t>ventral nucleus of posterior commissure</t>
  </si>
  <si>
    <t>ventral part of telencephalon</t>
  </si>
  <si>
    <t>ventral posteroinferior nucleus</t>
  </si>
  <si>
    <t>ventral posteromedial nucleus of thalamus</t>
  </si>
  <si>
    <t>ventral supraoptic decussation</t>
  </si>
  <si>
    <t>ventral thalamic fasciculus</t>
  </si>
  <si>
    <t>ventral trigeminal tract</t>
  </si>
  <si>
    <t>ventral zone of medial entorhinal cortex</t>
  </si>
  <si>
    <t>ventricular system choroidal fissure</t>
  </si>
  <si>
    <t>ventricular system of central nervous system</t>
  </si>
  <si>
    <t>ventrolateral nucleus of solitary tract</t>
  </si>
  <si>
    <t>ventrolateral sulcus of medulla oblongata</t>
  </si>
  <si>
    <t>ventromedial nucleus of hypothalamus</t>
  </si>
  <si>
    <t>vestibular nuclear complex</t>
  </si>
  <si>
    <t>vestibulospinal tract</t>
  </si>
  <si>
    <t>visual cortex</t>
  </si>
  <si>
    <t>white matter lamina of cerebral hemisphere</t>
  </si>
  <si>
    <t>white matter of cerebellum</t>
  </si>
  <si>
    <t>white matter of metencephalon</t>
  </si>
  <si>
    <t>white matter of myelencephalon</t>
  </si>
  <si>
    <t>white matter of pontine tegmentum</t>
  </si>
  <si>
    <t>white matter of telencephalon</t>
  </si>
  <si>
    <t>white matter of the cerebellar cortex</t>
  </si>
  <si>
    <t>Odd Super</t>
  </si>
  <si>
    <t>Superclass Migration</t>
  </si>
  <si>
    <t>Not Brodmann in Mouse</t>
  </si>
  <si>
    <t>Verify</t>
  </si>
  <si>
    <t>Add Term</t>
  </si>
  <si>
    <t>Superclass Issues</t>
  </si>
  <si>
    <t>nok</t>
  </si>
  <si>
    <t>gen</t>
  </si>
  <si>
    <t>Ok</t>
  </si>
  <si>
    <t xml:space="preserve"> OK</t>
  </si>
  <si>
    <t>OR ADD LAYER</t>
  </si>
  <si>
    <t>New Term OR ADD LAYER</t>
  </si>
  <si>
    <t>Plus Rombomere Layer</t>
  </si>
  <si>
    <t>HAS PARALLEL</t>
  </si>
  <si>
    <t>solitary nucleus, left, meidal subnucleus (SPELLING)</t>
  </si>
  <si>
    <t>occulomotor nerve (SPELLING)</t>
  </si>
  <si>
    <t>occulomotor nerve, left (SPELLING)</t>
  </si>
  <si>
    <t>occulomotor nerve, right (SPELLING)</t>
  </si>
  <si>
    <t>?</t>
  </si>
  <si>
    <t>Spelling!</t>
  </si>
  <si>
    <t>spelling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</si>
</sst>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39994506668294322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-0.24994659260841701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1" fillId="0" borderId="2" xfId="0" applyFont="1" applyBorder="1" applyAlignment="1">
      <alignment horizontal="center" vertical="top"/>
    </xf>
    <xf numFmtId="0" fontId="0" fillId="0" borderId="1" xfId="0" applyBorder="1"/>
    <xf numFmtId="0" fontId="0" fillId="0" borderId="5" xfId="0" applyBorder="1"/>
    <xf numFmtId="0" fontId="2" fillId="3" borderId="5" xfId="0" applyFont="1" applyFill="1" applyBorder="1" applyAlignment="1">
      <alignment horizontal="center"/>
    </xf>
    <xf numFmtId="0" fontId="0" fillId="0" borderId="6" xfId="0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0" fillId="0" borderId="9" xfId="0" applyBorder="1"/>
    <xf numFmtId="0" fontId="2" fillId="3" borderId="9" xfId="0" applyFont="1" applyFill="1" applyBorder="1" applyAlignment="1">
      <alignment horizontal="center"/>
    </xf>
    <xf numFmtId="0" fontId="0" fillId="0" borderId="10" xfId="0" applyBorder="1" applyAlignment="1">
      <alignment horizontal="center" vertical="top"/>
    </xf>
    <xf numFmtId="0" fontId="0" fillId="0" borderId="2" xfId="0" applyBorder="1"/>
    <xf numFmtId="0" fontId="1" fillId="0" borderId="11" xfId="0" applyFont="1" applyBorder="1" applyAlignment="1">
      <alignment horizontal="center" vertical="top"/>
    </xf>
    <xf numFmtId="0" fontId="0" fillId="7" borderId="8" xfId="0" applyFill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Alignment="1">
      <alignment horizontal="left"/>
    </xf>
    <xf numFmtId="0" fontId="0" fillId="0" borderId="13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4" xfId="0" applyBorder="1" applyAlignment="1">
      <alignment horizontal="left"/>
    </xf>
    <xf numFmtId="0" fontId="2" fillId="10" borderId="13" xfId="0" applyFont="1" applyFill="1" applyBorder="1" applyAlignment="1">
      <alignment horizontal="center"/>
    </xf>
    <xf numFmtId="0" fontId="0" fillId="9" borderId="13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left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left"/>
    </xf>
    <xf numFmtId="0" fontId="0" fillId="11" borderId="12" xfId="0" applyFill="1" applyBorder="1" applyAlignment="1">
      <alignment horizontal="left"/>
    </xf>
    <xf numFmtId="0" fontId="0" fillId="13" borderId="1" xfId="0" applyFill="1" applyBorder="1" applyAlignment="1">
      <alignment horizontal="center"/>
    </xf>
    <xf numFmtId="0" fontId="0" fillId="13" borderId="1" xfId="0" applyFill="1" applyBorder="1" applyAlignment="1">
      <alignment horizontal="left"/>
    </xf>
    <xf numFmtId="0" fontId="0" fillId="12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8" borderId="1" xfId="0" applyFill="1" applyBorder="1"/>
    <xf numFmtId="0" fontId="1" fillId="0" borderId="3" xfId="0" applyFont="1" applyBorder="1" applyAlignment="1">
      <alignment horizontal="center" vertical="top"/>
    </xf>
    <xf numFmtId="0" fontId="0" fillId="13" borderId="7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E5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UberonVerification_SLD_QW_05_2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D_QW_VerificationSheet"/>
      <sheetName val="AvailableUberonTerms"/>
      <sheetName val="JR_WorkingUberonMapping"/>
      <sheetName val="Mouse_ARA"/>
      <sheetName val="DevMouse"/>
      <sheetName val="Human_BrainSpan"/>
      <sheetName val="HBA"/>
      <sheetName val="NonHumanPrimate"/>
    </sheetNames>
    <sheetDataSet>
      <sheetData sheetId="0"/>
      <sheetData sheetId="1"/>
      <sheetData sheetId="2"/>
      <sheetData sheetId="3">
        <row r="2">
          <cell r="B2">
            <v>997</v>
          </cell>
          <cell r="C2" t="str">
            <v>root</v>
          </cell>
        </row>
        <row r="3">
          <cell r="B3">
            <v>8</v>
          </cell>
          <cell r="C3" t="str">
            <v>grey</v>
          </cell>
        </row>
        <row r="4">
          <cell r="B4">
            <v>567</v>
          </cell>
          <cell r="C4" t="str">
            <v>CH</v>
          </cell>
        </row>
        <row r="5">
          <cell r="B5">
            <v>688</v>
          </cell>
          <cell r="C5" t="str">
            <v>CTX</v>
          </cell>
        </row>
        <row r="6">
          <cell r="B6">
            <v>695</v>
          </cell>
          <cell r="C6" t="str">
            <v>CTXpl</v>
          </cell>
        </row>
        <row r="7">
          <cell r="B7">
            <v>315</v>
          </cell>
          <cell r="C7" t="str">
            <v>Isocortex</v>
          </cell>
        </row>
        <row r="8">
          <cell r="B8">
            <v>184</v>
          </cell>
          <cell r="C8" t="str">
            <v>FRP</v>
          </cell>
        </row>
        <row r="9">
          <cell r="B9">
            <v>68</v>
          </cell>
          <cell r="C9" t="str">
            <v>FRP1</v>
          </cell>
        </row>
        <row r="10">
          <cell r="B10">
            <v>667</v>
          </cell>
          <cell r="C10" t="str">
            <v>FRP2/3</v>
          </cell>
        </row>
        <row r="11">
          <cell r="B11">
            <v>526157192</v>
          </cell>
          <cell r="C11" t="str">
            <v>FRP5</v>
          </cell>
        </row>
        <row r="12">
          <cell r="B12">
            <v>526157196</v>
          </cell>
          <cell r="C12" t="str">
            <v>FRP6a</v>
          </cell>
        </row>
        <row r="13">
          <cell r="B13">
            <v>526322264</v>
          </cell>
          <cell r="C13" t="str">
            <v>FRP6b</v>
          </cell>
        </row>
        <row r="14">
          <cell r="B14">
            <v>500</v>
          </cell>
          <cell r="C14" t="str">
            <v>MO</v>
          </cell>
        </row>
        <row r="15">
          <cell r="B15">
            <v>107</v>
          </cell>
          <cell r="C15" t="str">
            <v>MO1</v>
          </cell>
        </row>
        <row r="16">
          <cell r="B16">
            <v>219</v>
          </cell>
          <cell r="C16" t="str">
            <v>MO2/3</v>
          </cell>
        </row>
        <row r="17">
          <cell r="B17">
            <v>299</v>
          </cell>
          <cell r="C17" t="str">
            <v>MO5</v>
          </cell>
        </row>
        <row r="18">
          <cell r="B18">
            <v>644</v>
          </cell>
          <cell r="C18" t="str">
            <v>MO6a</v>
          </cell>
        </row>
        <row r="19">
          <cell r="B19">
            <v>947</v>
          </cell>
          <cell r="C19" t="str">
            <v>MO6b</v>
          </cell>
        </row>
        <row r="20">
          <cell r="B20">
            <v>985</v>
          </cell>
          <cell r="C20" t="str">
            <v>MOp</v>
          </cell>
        </row>
        <row r="21">
          <cell r="B21">
            <v>320</v>
          </cell>
          <cell r="C21" t="str">
            <v>MOp1</v>
          </cell>
        </row>
        <row r="22">
          <cell r="B22">
            <v>943</v>
          </cell>
          <cell r="C22" t="str">
            <v>MOp2/3</v>
          </cell>
        </row>
        <row r="23">
          <cell r="B23">
            <v>648</v>
          </cell>
          <cell r="C23" t="str">
            <v>MOp5</v>
          </cell>
        </row>
        <row r="24">
          <cell r="B24">
            <v>844</v>
          </cell>
          <cell r="C24" t="str">
            <v>MOp6a</v>
          </cell>
        </row>
        <row r="25">
          <cell r="B25">
            <v>882</v>
          </cell>
          <cell r="C25" t="str">
            <v>MOp6b</v>
          </cell>
        </row>
        <row r="26">
          <cell r="B26">
            <v>993</v>
          </cell>
          <cell r="C26" t="str">
            <v>MOs</v>
          </cell>
        </row>
        <row r="27">
          <cell r="B27">
            <v>656</v>
          </cell>
          <cell r="C27" t="str">
            <v>MOs1</v>
          </cell>
        </row>
        <row r="28">
          <cell r="B28">
            <v>962</v>
          </cell>
          <cell r="C28" t="str">
            <v>MOs2/3</v>
          </cell>
        </row>
        <row r="29">
          <cell r="B29">
            <v>767</v>
          </cell>
          <cell r="C29" t="str">
            <v>MOs5</v>
          </cell>
        </row>
        <row r="30">
          <cell r="B30">
            <v>1021</v>
          </cell>
          <cell r="C30" t="str">
            <v>MOs6a</v>
          </cell>
        </row>
        <row r="31">
          <cell r="B31">
            <v>1085</v>
          </cell>
          <cell r="C31" t="str">
            <v>MOs6b</v>
          </cell>
        </row>
        <row r="32">
          <cell r="B32">
            <v>453</v>
          </cell>
          <cell r="C32" t="str">
            <v>SS</v>
          </cell>
        </row>
        <row r="33">
          <cell r="B33">
            <v>12993</v>
          </cell>
          <cell r="C33" t="str">
            <v>SS1</v>
          </cell>
        </row>
        <row r="34">
          <cell r="B34">
            <v>12994</v>
          </cell>
          <cell r="C34" t="str">
            <v>SS2/3</v>
          </cell>
        </row>
        <row r="35">
          <cell r="B35">
            <v>12995</v>
          </cell>
          <cell r="C35" t="str">
            <v>SS4</v>
          </cell>
        </row>
        <row r="36">
          <cell r="B36">
            <v>12996</v>
          </cell>
          <cell r="C36" t="str">
            <v>SS5</v>
          </cell>
        </row>
        <row r="37">
          <cell r="B37">
            <v>12997</v>
          </cell>
          <cell r="C37" t="str">
            <v>SS6a</v>
          </cell>
        </row>
        <row r="38">
          <cell r="B38">
            <v>12998</v>
          </cell>
          <cell r="C38" t="str">
            <v>SS6b</v>
          </cell>
        </row>
        <row r="39">
          <cell r="B39">
            <v>322</v>
          </cell>
          <cell r="C39" t="str">
            <v>SSp</v>
          </cell>
        </row>
        <row r="40">
          <cell r="B40">
            <v>793</v>
          </cell>
          <cell r="C40" t="str">
            <v>SSp1</v>
          </cell>
        </row>
        <row r="41">
          <cell r="B41">
            <v>346</v>
          </cell>
          <cell r="C41" t="str">
            <v>SSp2/3</v>
          </cell>
        </row>
        <row r="42">
          <cell r="B42">
            <v>865</v>
          </cell>
          <cell r="C42" t="str">
            <v>SSp4</v>
          </cell>
        </row>
        <row r="43">
          <cell r="B43">
            <v>921</v>
          </cell>
          <cell r="C43" t="str">
            <v>SSp5</v>
          </cell>
        </row>
        <row r="44">
          <cell r="B44">
            <v>686</v>
          </cell>
          <cell r="C44" t="str">
            <v>SSp6a</v>
          </cell>
        </row>
        <row r="45">
          <cell r="B45">
            <v>719</v>
          </cell>
          <cell r="C45" t="str">
            <v>SSp6b</v>
          </cell>
        </row>
        <row r="46">
          <cell r="B46">
            <v>353</v>
          </cell>
          <cell r="C46" t="str">
            <v>SSp-n</v>
          </cell>
        </row>
        <row r="47">
          <cell r="B47">
            <v>558</v>
          </cell>
          <cell r="C47" t="str">
            <v>SSp-n1</v>
          </cell>
        </row>
        <row r="48">
          <cell r="B48">
            <v>838</v>
          </cell>
          <cell r="C48" t="str">
            <v>SSp-n2/3</v>
          </cell>
        </row>
        <row r="49">
          <cell r="B49">
            <v>654</v>
          </cell>
          <cell r="C49" t="str">
            <v>SSp-n4</v>
          </cell>
        </row>
        <row r="50">
          <cell r="B50">
            <v>702</v>
          </cell>
          <cell r="C50" t="str">
            <v>SSp-n5</v>
          </cell>
        </row>
        <row r="51">
          <cell r="B51">
            <v>889</v>
          </cell>
          <cell r="C51" t="str">
            <v>SSp-n6a</v>
          </cell>
        </row>
        <row r="52">
          <cell r="B52">
            <v>929</v>
          </cell>
          <cell r="C52" t="str">
            <v>SSp-n6b</v>
          </cell>
        </row>
        <row r="53">
          <cell r="B53">
            <v>329</v>
          </cell>
          <cell r="C53" t="str">
            <v>SSp-bfd</v>
          </cell>
        </row>
        <row r="54">
          <cell r="B54">
            <v>981</v>
          </cell>
          <cell r="C54" t="str">
            <v>SSp-bfd1</v>
          </cell>
        </row>
        <row r="55">
          <cell r="B55">
            <v>201</v>
          </cell>
          <cell r="C55" t="str">
            <v>SSp-bfd2/3</v>
          </cell>
        </row>
        <row r="56">
          <cell r="B56">
            <v>1047</v>
          </cell>
          <cell r="C56" t="str">
            <v>SSp-bfd4</v>
          </cell>
        </row>
        <row r="57">
          <cell r="B57">
            <v>1070</v>
          </cell>
          <cell r="C57" t="str">
            <v>SSp-bfd5</v>
          </cell>
        </row>
        <row r="58">
          <cell r="B58">
            <v>1038</v>
          </cell>
          <cell r="C58" t="str">
            <v>SSp-bfd6a</v>
          </cell>
        </row>
        <row r="59">
          <cell r="B59">
            <v>1062</v>
          </cell>
          <cell r="C59" t="str">
            <v>SSp-bfd6b</v>
          </cell>
        </row>
        <row r="60">
          <cell r="B60">
            <v>480149202</v>
          </cell>
          <cell r="C60" t="str">
            <v>VISrll</v>
          </cell>
        </row>
        <row r="61">
          <cell r="B61">
            <v>480149206</v>
          </cell>
          <cell r="C61" t="str">
            <v>VISrll1</v>
          </cell>
        </row>
        <row r="62">
          <cell r="B62">
            <v>480149210</v>
          </cell>
          <cell r="C62" t="str">
            <v>VISrll2/3</v>
          </cell>
        </row>
        <row r="63">
          <cell r="B63">
            <v>480149214</v>
          </cell>
          <cell r="C63" t="str">
            <v>VISrll4</v>
          </cell>
        </row>
        <row r="64">
          <cell r="B64">
            <v>480149218</v>
          </cell>
          <cell r="C64" t="str">
            <v>VISrll5</v>
          </cell>
        </row>
        <row r="65">
          <cell r="B65">
            <v>480149222</v>
          </cell>
          <cell r="C65" t="str">
            <v>VISrll6a</v>
          </cell>
        </row>
        <row r="66">
          <cell r="B66">
            <v>480149226</v>
          </cell>
          <cell r="C66" t="str">
            <v>VISrll6b</v>
          </cell>
        </row>
        <row r="67">
          <cell r="B67">
            <v>337</v>
          </cell>
          <cell r="C67" t="str">
            <v>SSp-ll</v>
          </cell>
        </row>
        <row r="68">
          <cell r="B68">
            <v>1030</v>
          </cell>
          <cell r="C68" t="str">
            <v>SSp-ll1</v>
          </cell>
        </row>
        <row r="69">
          <cell r="B69">
            <v>113</v>
          </cell>
          <cell r="C69" t="str">
            <v>SSp-ll2/3</v>
          </cell>
        </row>
        <row r="70">
          <cell r="B70">
            <v>1094</v>
          </cell>
          <cell r="C70" t="str">
            <v>SSp-ll4</v>
          </cell>
        </row>
        <row r="71">
          <cell r="B71">
            <v>1128</v>
          </cell>
          <cell r="C71" t="str">
            <v>SSp-ll5</v>
          </cell>
        </row>
        <row r="72">
          <cell r="B72">
            <v>478</v>
          </cell>
          <cell r="C72" t="str">
            <v>SSp-ll6a</v>
          </cell>
        </row>
        <row r="73">
          <cell r="B73">
            <v>510</v>
          </cell>
          <cell r="C73" t="str">
            <v>SSp-ll6b</v>
          </cell>
        </row>
        <row r="74">
          <cell r="B74">
            <v>345</v>
          </cell>
          <cell r="C74" t="str">
            <v>SSp-m</v>
          </cell>
        </row>
        <row r="75">
          <cell r="B75">
            <v>878</v>
          </cell>
          <cell r="C75" t="str">
            <v>SSp-m1</v>
          </cell>
        </row>
        <row r="76">
          <cell r="B76">
            <v>657</v>
          </cell>
          <cell r="C76" t="str">
            <v>SSp-m2/3</v>
          </cell>
        </row>
        <row r="77">
          <cell r="B77">
            <v>950</v>
          </cell>
          <cell r="C77" t="str">
            <v>SSp-m4</v>
          </cell>
        </row>
        <row r="78">
          <cell r="B78">
            <v>974</v>
          </cell>
          <cell r="C78" t="str">
            <v>SSp-m5</v>
          </cell>
        </row>
        <row r="79">
          <cell r="B79">
            <v>1102</v>
          </cell>
          <cell r="C79" t="str">
            <v>SSp-m6a</v>
          </cell>
        </row>
        <row r="80">
          <cell r="B80">
            <v>2</v>
          </cell>
          <cell r="C80" t="str">
            <v>SSp-m6b</v>
          </cell>
        </row>
        <row r="81">
          <cell r="B81">
            <v>369</v>
          </cell>
          <cell r="C81" t="str">
            <v>SSp-ul</v>
          </cell>
        </row>
        <row r="82">
          <cell r="B82">
            <v>450</v>
          </cell>
          <cell r="C82" t="str">
            <v>SSp-ul1</v>
          </cell>
        </row>
        <row r="83">
          <cell r="B83">
            <v>854</v>
          </cell>
          <cell r="C83" t="str">
            <v>SSp-ul2/3</v>
          </cell>
        </row>
        <row r="84">
          <cell r="B84">
            <v>577</v>
          </cell>
          <cell r="C84" t="str">
            <v>SSp-ul4</v>
          </cell>
        </row>
        <row r="85">
          <cell r="B85">
            <v>625</v>
          </cell>
          <cell r="C85" t="str">
            <v>SSp-ul5</v>
          </cell>
        </row>
        <row r="86">
          <cell r="B86">
            <v>945</v>
          </cell>
          <cell r="C86" t="str">
            <v>SSp-ul6a</v>
          </cell>
        </row>
        <row r="87">
          <cell r="B87">
            <v>1026</v>
          </cell>
          <cell r="C87" t="str">
            <v>SSp-ul6b</v>
          </cell>
        </row>
        <row r="88">
          <cell r="B88">
            <v>361</v>
          </cell>
          <cell r="C88" t="str">
            <v>SSp-tr</v>
          </cell>
        </row>
        <row r="89">
          <cell r="B89">
            <v>1006</v>
          </cell>
          <cell r="C89" t="str">
            <v>SSp-tr1</v>
          </cell>
        </row>
        <row r="90">
          <cell r="B90">
            <v>670</v>
          </cell>
          <cell r="C90" t="str">
            <v>SSp-tr2/3</v>
          </cell>
        </row>
        <row r="91">
          <cell r="B91">
            <v>1086</v>
          </cell>
          <cell r="C91" t="str">
            <v>SSp-tr4</v>
          </cell>
        </row>
        <row r="92">
          <cell r="B92">
            <v>1111</v>
          </cell>
          <cell r="C92" t="str">
            <v>SSp-tr5</v>
          </cell>
        </row>
        <row r="93">
          <cell r="B93">
            <v>9</v>
          </cell>
          <cell r="C93" t="str">
            <v>SSp-tr6a</v>
          </cell>
        </row>
        <row r="94">
          <cell r="B94">
            <v>461</v>
          </cell>
          <cell r="C94" t="str">
            <v>SSp-tr6b</v>
          </cell>
        </row>
        <row r="95">
          <cell r="B95">
            <v>182305689</v>
          </cell>
          <cell r="C95" t="str">
            <v>SSp-un</v>
          </cell>
        </row>
        <row r="96">
          <cell r="B96">
            <v>182305693</v>
          </cell>
          <cell r="C96" t="str">
            <v>SSp-un1</v>
          </cell>
        </row>
        <row r="97">
          <cell r="B97">
            <v>182305697</v>
          </cell>
          <cell r="C97" t="str">
            <v>SSp-un2/3</v>
          </cell>
        </row>
        <row r="98">
          <cell r="B98">
            <v>182305701</v>
          </cell>
          <cell r="C98" t="str">
            <v>SSp-un4</v>
          </cell>
        </row>
        <row r="99">
          <cell r="B99">
            <v>182305705</v>
          </cell>
          <cell r="C99" t="str">
            <v>SSp-un5</v>
          </cell>
        </row>
        <row r="100">
          <cell r="B100">
            <v>182305709</v>
          </cell>
          <cell r="C100" t="str">
            <v>SSp-un6a</v>
          </cell>
        </row>
        <row r="101">
          <cell r="B101">
            <v>182305713</v>
          </cell>
          <cell r="C101" t="str">
            <v>SSp-un6b</v>
          </cell>
        </row>
        <row r="102">
          <cell r="B102">
            <v>378</v>
          </cell>
          <cell r="C102" t="str">
            <v>SSs</v>
          </cell>
        </row>
        <row r="103">
          <cell r="B103">
            <v>873</v>
          </cell>
          <cell r="C103" t="str">
            <v>SSs1</v>
          </cell>
        </row>
        <row r="104">
          <cell r="B104">
            <v>806</v>
          </cell>
          <cell r="C104" t="str">
            <v>SSs2/3</v>
          </cell>
        </row>
        <row r="105">
          <cell r="B105">
            <v>1035</v>
          </cell>
          <cell r="C105" t="str">
            <v>SSs4</v>
          </cell>
        </row>
        <row r="106">
          <cell r="B106">
            <v>1090</v>
          </cell>
          <cell r="C106" t="str">
            <v>SSs5</v>
          </cell>
        </row>
        <row r="107">
          <cell r="B107">
            <v>862</v>
          </cell>
          <cell r="C107" t="str">
            <v>SSs6a</v>
          </cell>
        </row>
        <row r="108">
          <cell r="B108">
            <v>893</v>
          </cell>
          <cell r="C108" t="str">
            <v>SSs6b</v>
          </cell>
        </row>
        <row r="109">
          <cell r="B109">
            <v>1057</v>
          </cell>
          <cell r="C109" t="str">
            <v>GU</v>
          </cell>
        </row>
        <row r="110">
          <cell r="B110">
            <v>36</v>
          </cell>
          <cell r="C110" t="str">
            <v>GU1</v>
          </cell>
        </row>
        <row r="111">
          <cell r="B111">
            <v>180</v>
          </cell>
          <cell r="C111" t="str">
            <v>GU2/3</v>
          </cell>
        </row>
        <row r="112">
          <cell r="B112">
            <v>148</v>
          </cell>
          <cell r="C112" t="str">
            <v>GU4</v>
          </cell>
        </row>
        <row r="113">
          <cell r="B113">
            <v>187</v>
          </cell>
          <cell r="C113" t="str">
            <v>GU5</v>
          </cell>
        </row>
        <row r="114">
          <cell r="B114">
            <v>638</v>
          </cell>
          <cell r="C114" t="str">
            <v>GU6a</v>
          </cell>
        </row>
        <row r="115">
          <cell r="B115">
            <v>662</v>
          </cell>
          <cell r="C115" t="str">
            <v>GU6b</v>
          </cell>
        </row>
        <row r="116">
          <cell r="B116">
            <v>677</v>
          </cell>
          <cell r="C116" t="str">
            <v>VISC</v>
          </cell>
        </row>
        <row r="117">
          <cell r="B117">
            <v>897</v>
          </cell>
          <cell r="C117" t="str">
            <v>VISC1</v>
          </cell>
        </row>
        <row r="118">
          <cell r="B118">
            <v>1106</v>
          </cell>
          <cell r="C118" t="str">
            <v>VISC2/3</v>
          </cell>
        </row>
        <row r="119">
          <cell r="B119">
            <v>1010</v>
          </cell>
          <cell r="C119" t="str">
            <v>VISC4</v>
          </cell>
        </row>
        <row r="120">
          <cell r="B120">
            <v>1058</v>
          </cell>
          <cell r="C120" t="str">
            <v>VISC5</v>
          </cell>
        </row>
        <row r="121">
          <cell r="B121">
            <v>857</v>
          </cell>
          <cell r="C121" t="str">
            <v>VISC6a</v>
          </cell>
        </row>
        <row r="122">
          <cell r="B122">
            <v>849</v>
          </cell>
          <cell r="C122" t="str">
            <v>VISC6b</v>
          </cell>
        </row>
        <row r="123">
          <cell r="B123">
            <v>247</v>
          </cell>
          <cell r="C123" t="str">
            <v>AUD</v>
          </cell>
        </row>
        <row r="124">
          <cell r="B124">
            <v>1011</v>
          </cell>
          <cell r="C124" t="str">
            <v>AUDd</v>
          </cell>
        </row>
        <row r="125">
          <cell r="B125">
            <v>527</v>
          </cell>
          <cell r="C125" t="str">
            <v>AUDd1</v>
          </cell>
        </row>
        <row r="126">
          <cell r="B126">
            <v>600</v>
          </cell>
          <cell r="C126" t="str">
            <v>AUDd2/3</v>
          </cell>
        </row>
        <row r="127">
          <cell r="B127">
            <v>678</v>
          </cell>
          <cell r="C127" t="str">
            <v>AUDd4</v>
          </cell>
        </row>
        <row r="128">
          <cell r="B128">
            <v>252</v>
          </cell>
          <cell r="C128" t="str">
            <v>AUDd5</v>
          </cell>
        </row>
        <row r="129">
          <cell r="B129">
            <v>156</v>
          </cell>
          <cell r="C129" t="str">
            <v>AUDd6a</v>
          </cell>
        </row>
        <row r="130">
          <cell r="B130">
            <v>243</v>
          </cell>
          <cell r="C130" t="str">
            <v>AUDd6b</v>
          </cell>
        </row>
        <row r="131">
          <cell r="B131">
            <v>480149230</v>
          </cell>
          <cell r="C131" t="str">
            <v>VISlla</v>
          </cell>
        </row>
        <row r="132">
          <cell r="B132">
            <v>480149234</v>
          </cell>
          <cell r="C132" t="str">
            <v>VISlla1</v>
          </cell>
        </row>
        <row r="133">
          <cell r="B133">
            <v>480149238</v>
          </cell>
          <cell r="C133" t="str">
            <v>VISlla2/3</v>
          </cell>
        </row>
        <row r="134">
          <cell r="B134">
            <v>480149242</v>
          </cell>
          <cell r="C134" t="str">
            <v>VISlla4</v>
          </cell>
        </row>
        <row r="135">
          <cell r="B135">
            <v>480149246</v>
          </cell>
          <cell r="C135" t="str">
            <v>VISlla5</v>
          </cell>
        </row>
        <row r="136">
          <cell r="B136">
            <v>480149250</v>
          </cell>
          <cell r="C136" t="str">
            <v>VISlla6a</v>
          </cell>
        </row>
        <row r="137">
          <cell r="B137">
            <v>480149254</v>
          </cell>
          <cell r="C137" t="str">
            <v>VISlla6b</v>
          </cell>
        </row>
        <row r="138">
          <cell r="B138">
            <v>1002</v>
          </cell>
          <cell r="C138" t="str">
            <v>AUDp</v>
          </cell>
        </row>
        <row r="139">
          <cell r="B139">
            <v>735</v>
          </cell>
          <cell r="C139" t="str">
            <v>AUDp1</v>
          </cell>
        </row>
        <row r="140">
          <cell r="B140">
            <v>251</v>
          </cell>
          <cell r="C140" t="str">
            <v>AUDp2/3</v>
          </cell>
        </row>
        <row r="141">
          <cell r="B141">
            <v>816</v>
          </cell>
          <cell r="C141" t="str">
            <v>AUDp4</v>
          </cell>
        </row>
        <row r="142">
          <cell r="B142">
            <v>847</v>
          </cell>
          <cell r="C142" t="str">
            <v>AUDp5</v>
          </cell>
        </row>
        <row r="143">
          <cell r="B143">
            <v>954</v>
          </cell>
          <cell r="C143" t="str">
            <v>AUDp6a</v>
          </cell>
        </row>
        <row r="144">
          <cell r="B144">
            <v>1005</v>
          </cell>
          <cell r="C144" t="str">
            <v>AUDp6b</v>
          </cell>
        </row>
        <row r="145">
          <cell r="B145">
            <v>1027</v>
          </cell>
          <cell r="C145" t="str">
            <v>AUDpo</v>
          </cell>
        </row>
        <row r="146">
          <cell r="B146">
            <v>696</v>
          </cell>
          <cell r="C146" t="str">
            <v>AUDpo1</v>
          </cell>
        </row>
        <row r="147">
          <cell r="B147">
            <v>643</v>
          </cell>
          <cell r="C147" t="str">
            <v>AUDpo2/3</v>
          </cell>
        </row>
        <row r="148">
          <cell r="B148">
            <v>759</v>
          </cell>
          <cell r="C148" t="str">
            <v>AUDpo4</v>
          </cell>
        </row>
        <row r="149">
          <cell r="B149">
            <v>791</v>
          </cell>
          <cell r="C149" t="str">
            <v>AUDpo5</v>
          </cell>
        </row>
        <row r="150">
          <cell r="B150">
            <v>249</v>
          </cell>
          <cell r="C150" t="str">
            <v>AUDpo6a</v>
          </cell>
        </row>
        <row r="151">
          <cell r="B151">
            <v>456</v>
          </cell>
          <cell r="C151" t="str">
            <v>AUDpo6b</v>
          </cell>
        </row>
        <row r="152">
          <cell r="B152">
            <v>1018</v>
          </cell>
          <cell r="C152" t="str">
            <v>AUDv</v>
          </cell>
        </row>
        <row r="153">
          <cell r="B153">
            <v>959</v>
          </cell>
          <cell r="C153" t="str">
            <v>AUDv1</v>
          </cell>
        </row>
        <row r="154">
          <cell r="B154">
            <v>755</v>
          </cell>
          <cell r="C154" t="str">
            <v>AUDv2/3</v>
          </cell>
        </row>
        <row r="155">
          <cell r="B155">
            <v>990</v>
          </cell>
          <cell r="C155" t="str">
            <v>AUDv4</v>
          </cell>
        </row>
        <row r="156">
          <cell r="B156">
            <v>1023</v>
          </cell>
          <cell r="C156" t="str">
            <v>AUDv5</v>
          </cell>
        </row>
        <row r="157">
          <cell r="B157">
            <v>520</v>
          </cell>
          <cell r="C157" t="str">
            <v>AUDv6a</v>
          </cell>
        </row>
        <row r="158">
          <cell r="B158">
            <v>598</v>
          </cell>
          <cell r="C158" t="str">
            <v>AUDv6b</v>
          </cell>
        </row>
        <row r="159">
          <cell r="B159">
            <v>669</v>
          </cell>
          <cell r="C159" t="str">
            <v>VIS</v>
          </cell>
        </row>
        <row r="160">
          <cell r="B160">
            <v>801</v>
          </cell>
          <cell r="C160" t="str">
            <v>VIS1</v>
          </cell>
        </row>
        <row r="161">
          <cell r="B161">
            <v>561</v>
          </cell>
          <cell r="C161" t="str">
            <v>VIS2/3</v>
          </cell>
        </row>
        <row r="162">
          <cell r="B162">
            <v>913</v>
          </cell>
          <cell r="C162" t="str">
            <v>VIS4</v>
          </cell>
        </row>
        <row r="163">
          <cell r="B163">
            <v>937</v>
          </cell>
          <cell r="C163" t="str">
            <v>VIS5</v>
          </cell>
        </row>
        <row r="164">
          <cell r="B164">
            <v>457</v>
          </cell>
          <cell r="C164" t="str">
            <v>VIS6a</v>
          </cell>
        </row>
        <row r="165">
          <cell r="B165">
            <v>497</v>
          </cell>
          <cell r="C165" t="str">
            <v>VIS6b</v>
          </cell>
        </row>
        <row r="166">
          <cell r="B166">
            <v>402</v>
          </cell>
          <cell r="C166" t="str">
            <v>VISal</v>
          </cell>
        </row>
        <row r="167">
          <cell r="B167">
            <v>1074</v>
          </cell>
          <cell r="C167" t="str">
            <v>VISal1</v>
          </cell>
        </row>
        <row r="168">
          <cell r="B168">
            <v>905</v>
          </cell>
          <cell r="C168" t="str">
            <v>VISal2/3</v>
          </cell>
        </row>
        <row r="169">
          <cell r="B169">
            <v>1114</v>
          </cell>
          <cell r="C169" t="str">
            <v>VISal4</v>
          </cell>
        </row>
        <row r="170">
          <cell r="B170">
            <v>233</v>
          </cell>
          <cell r="C170" t="str">
            <v>VISal5</v>
          </cell>
        </row>
        <row r="171">
          <cell r="B171">
            <v>601</v>
          </cell>
          <cell r="C171" t="str">
            <v>VISal6a</v>
          </cell>
        </row>
        <row r="172">
          <cell r="B172">
            <v>649</v>
          </cell>
          <cell r="C172" t="str">
            <v>VISal6b</v>
          </cell>
        </row>
        <row r="173">
          <cell r="B173">
            <v>394</v>
          </cell>
          <cell r="C173" t="str">
            <v>VISam</v>
          </cell>
        </row>
        <row r="174">
          <cell r="B174">
            <v>281</v>
          </cell>
          <cell r="C174" t="str">
            <v>VISam1</v>
          </cell>
        </row>
        <row r="175">
          <cell r="B175">
            <v>1066</v>
          </cell>
          <cell r="C175" t="str">
            <v>VISam2/3</v>
          </cell>
        </row>
        <row r="176">
          <cell r="B176">
            <v>401</v>
          </cell>
          <cell r="C176" t="str">
            <v>VISam4</v>
          </cell>
        </row>
        <row r="177">
          <cell r="B177">
            <v>433</v>
          </cell>
          <cell r="C177" t="str">
            <v>VISam5</v>
          </cell>
        </row>
        <row r="178">
          <cell r="B178">
            <v>1046</v>
          </cell>
          <cell r="C178" t="str">
            <v>VISam6a</v>
          </cell>
        </row>
        <row r="179">
          <cell r="B179">
            <v>441</v>
          </cell>
          <cell r="C179" t="str">
            <v>VISam6b</v>
          </cell>
        </row>
        <row r="180">
          <cell r="B180">
            <v>409</v>
          </cell>
          <cell r="C180" t="str">
            <v>VISl</v>
          </cell>
        </row>
        <row r="181">
          <cell r="B181">
            <v>421</v>
          </cell>
          <cell r="C181" t="str">
            <v>VISl1</v>
          </cell>
        </row>
        <row r="182">
          <cell r="B182">
            <v>973</v>
          </cell>
          <cell r="C182" t="str">
            <v>VISl2/3</v>
          </cell>
        </row>
        <row r="183">
          <cell r="B183">
            <v>573</v>
          </cell>
          <cell r="C183" t="str">
            <v>VISl4</v>
          </cell>
        </row>
        <row r="184">
          <cell r="B184">
            <v>613</v>
          </cell>
          <cell r="C184" t="str">
            <v>VISl5</v>
          </cell>
        </row>
        <row r="185">
          <cell r="B185">
            <v>74</v>
          </cell>
          <cell r="C185" t="str">
            <v>VISl6a</v>
          </cell>
        </row>
        <row r="186">
          <cell r="B186">
            <v>121</v>
          </cell>
          <cell r="C186" t="str">
            <v>VISl6b</v>
          </cell>
        </row>
        <row r="187">
          <cell r="B187">
            <v>385</v>
          </cell>
          <cell r="C187" t="str">
            <v>VISp</v>
          </cell>
        </row>
        <row r="188">
          <cell r="B188">
            <v>593</v>
          </cell>
          <cell r="C188" t="str">
            <v>VISp1</v>
          </cell>
        </row>
        <row r="189">
          <cell r="B189">
            <v>821</v>
          </cell>
          <cell r="C189" t="str">
            <v>VISp2/3</v>
          </cell>
        </row>
        <row r="190">
          <cell r="B190">
            <v>721</v>
          </cell>
          <cell r="C190" t="str">
            <v>VISp4</v>
          </cell>
        </row>
        <row r="191">
          <cell r="B191">
            <v>778</v>
          </cell>
          <cell r="C191" t="str">
            <v>VISp5</v>
          </cell>
        </row>
        <row r="192">
          <cell r="B192">
            <v>33</v>
          </cell>
          <cell r="C192" t="str">
            <v>VISp6a</v>
          </cell>
        </row>
        <row r="193">
          <cell r="B193">
            <v>305</v>
          </cell>
          <cell r="C193" t="str">
            <v>VISp6b</v>
          </cell>
        </row>
        <row r="194">
          <cell r="B194">
            <v>425</v>
          </cell>
          <cell r="C194" t="str">
            <v>VISpl</v>
          </cell>
        </row>
        <row r="195">
          <cell r="B195">
            <v>750</v>
          </cell>
          <cell r="C195" t="str">
            <v>VISpl1</v>
          </cell>
        </row>
        <row r="196">
          <cell r="B196">
            <v>269</v>
          </cell>
          <cell r="C196" t="str">
            <v>VISpl2/3</v>
          </cell>
        </row>
        <row r="197">
          <cell r="B197">
            <v>869</v>
          </cell>
          <cell r="C197" t="str">
            <v>VISpl4</v>
          </cell>
        </row>
        <row r="198">
          <cell r="B198">
            <v>902</v>
          </cell>
          <cell r="C198" t="str">
            <v>VISpl5</v>
          </cell>
        </row>
        <row r="199">
          <cell r="B199">
            <v>377</v>
          </cell>
          <cell r="C199" t="str">
            <v>VISpl6a</v>
          </cell>
        </row>
        <row r="200">
          <cell r="B200">
            <v>393</v>
          </cell>
          <cell r="C200" t="str">
            <v>VISpl6b</v>
          </cell>
        </row>
        <row r="201">
          <cell r="B201">
            <v>533</v>
          </cell>
          <cell r="C201" t="str">
            <v>VISpm</v>
          </cell>
        </row>
        <row r="202">
          <cell r="B202">
            <v>805</v>
          </cell>
          <cell r="C202" t="str">
            <v>VISpm1</v>
          </cell>
        </row>
        <row r="203">
          <cell r="B203">
            <v>41</v>
          </cell>
          <cell r="C203" t="str">
            <v>VISpm2/3</v>
          </cell>
        </row>
        <row r="204">
          <cell r="B204">
            <v>501</v>
          </cell>
          <cell r="C204" t="str">
            <v>VISpm4</v>
          </cell>
        </row>
        <row r="205">
          <cell r="B205">
            <v>565</v>
          </cell>
          <cell r="C205" t="str">
            <v>VISpm5</v>
          </cell>
        </row>
        <row r="206">
          <cell r="B206">
            <v>257</v>
          </cell>
          <cell r="C206" t="str">
            <v>VISpm6a</v>
          </cell>
        </row>
        <row r="207">
          <cell r="B207">
            <v>469</v>
          </cell>
          <cell r="C207" t="str">
            <v>VISpm6b</v>
          </cell>
        </row>
        <row r="208">
          <cell r="B208">
            <v>312782574</v>
          </cell>
          <cell r="C208" t="str">
            <v>VISli</v>
          </cell>
        </row>
        <row r="209">
          <cell r="B209">
            <v>312782578</v>
          </cell>
          <cell r="C209" t="str">
            <v>VISli1</v>
          </cell>
        </row>
        <row r="210">
          <cell r="B210">
            <v>312782582</v>
          </cell>
          <cell r="C210" t="str">
            <v>VISli2/3</v>
          </cell>
        </row>
        <row r="211">
          <cell r="B211">
            <v>312782586</v>
          </cell>
          <cell r="C211" t="str">
            <v>VISli4</v>
          </cell>
        </row>
        <row r="212">
          <cell r="B212">
            <v>312782590</v>
          </cell>
          <cell r="C212" t="str">
            <v>VISli5</v>
          </cell>
        </row>
        <row r="213">
          <cell r="B213">
            <v>312782594</v>
          </cell>
          <cell r="C213" t="str">
            <v>VISli6a</v>
          </cell>
        </row>
        <row r="214">
          <cell r="B214">
            <v>312782598</v>
          </cell>
          <cell r="C214" t="str">
            <v>VISli6b</v>
          </cell>
        </row>
        <row r="215">
          <cell r="B215">
            <v>312782628</v>
          </cell>
          <cell r="C215" t="str">
            <v>VISpor</v>
          </cell>
        </row>
        <row r="216">
          <cell r="B216">
            <v>312782632</v>
          </cell>
          <cell r="C216" t="str">
            <v>VISpor1</v>
          </cell>
        </row>
        <row r="217">
          <cell r="B217">
            <v>312782636</v>
          </cell>
          <cell r="C217" t="str">
            <v>VISpor2/3</v>
          </cell>
        </row>
        <row r="218">
          <cell r="B218">
            <v>312782640</v>
          </cell>
          <cell r="C218" t="str">
            <v>VISpor4</v>
          </cell>
        </row>
        <row r="219">
          <cell r="B219">
            <v>312782644</v>
          </cell>
          <cell r="C219" t="str">
            <v>VISpor5</v>
          </cell>
        </row>
        <row r="220">
          <cell r="B220">
            <v>312782648</v>
          </cell>
          <cell r="C220" t="str">
            <v>VISpor6a</v>
          </cell>
        </row>
        <row r="221">
          <cell r="B221">
            <v>312782652</v>
          </cell>
          <cell r="C221" t="str">
            <v>VISpor6b</v>
          </cell>
        </row>
        <row r="222">
          <cell r="B222">
            <v>31</v>
          </cell>
          <cell r="C222" t="str">
            <v>ACA</v>
          </cell>
        </row>
        <row r="223">
          <cell r="B223">
            <v>572</v>
          </cell>
          <cell r="C223" t="str">
            <v>ACA1</v>
          </cell>
        </row>
        <row r="224">
          <cell r="B224">
            <v>1053</v>
          </cell>
          <cell r="C224" t="str">
            <v>ACA2/3</v>
          </cell>
        </row>
        <row r="225">
          <cell r="B225">
            <v>739</v>
          </cell>
          <cell r="C225" t="str">
            <v>ACA5</v>
          </cell>
        </row>
        <row r="226">
          <cell r="B226">
            <v>179</v>
          </cell>
          <cell r="C226" t="str">
            <v>ACA6a</v>
          </cell>
        </row>
        <row r="227">
          <cell r="B227">
            <v>227</v>
          </cell>
          <cell r="C227" t="str">
            <v>ACA6b</v>
          </cell>
        </row>
        <row r="228">
          <cell r="B228">
            <v>39</v>
          </cell>
          <cell r="C228" t="str">
            <v>ACAd</v>
          </cell>
        </row>
        <row r="229">
          <cell r="B229">
            <v>935</v>
          </cell>
          <cell r="C229" t="str">
            <v>ACAd1</v>
          </cell>
        </row>
        <row r="230">
          <cell r="B230">
            <v>211</v>
          </cell>
          <cell r="C230" t="str">
            <v>ACAd2/3</v>
          </cell>
        </row>
        <row r="231">
          <cell r="B231">
            <v>1015</v>
          </cell>
          <cell r="C231" t="str">
            <v>ACAd5</v>
          </cell>
        </row>
        <row r="232">
          <cell r="B232">
            <v>919</v>
          </cell>
          <cell r="C232" t="str">
            <v>ACAd6a</v>
          </cell>
        </row>
        <row r="233">
          <cell r="B233">
            <v>927</v>
          </cell>
          <cell r="C233" t="str">
            <v>ACAd6b</v>
          </cell>
        </row>
        <row r="234">
          <cell r="B234">
            <v>48</v>
          </cell>
          <cell r="C234" t="str">
            <v>ACAv</v>
          </cell>
        </row>
        <row r="235">
          <cell r="B235">
            <v>588</v>
          </cell>
          <cell r="C235" t="str">
            <v>ACAv1</v>
          </cell>
        </row>
        <row r="236">
          <cell r="B236">
            <v>296</v>
          </cell>
          <cell r="C236" t="str">
            <v>ACAv2/3</v>
          </cell>
        </row>
        <row r="237">
          <cell r="B237">
            <v>772</v>
          </cell>
          <cell r="C237" t="str">
            <v>ACAv5</v>
          </cell>
        </row>
        <row r="238">
          <cell r="B238">
            <v>810</v>
          </cell>
          <cell r="C238" t="str">
            <v>ACAv6a</v>
          </cell>
        </row>
        <row r="239">
          <cell r="B239">
            <v>819</v>
          </cell>
          <cell r="C239" t="str">
            <v>ACAv6b</v>
          </cell>
        </row>
        <row r="240">
          <cell r="B240">
            <v>972</v>
          </cell>
          <cell r="C240" t="str">
            <v>PL</v>
          </cell>
        </row>
        <row r="241">
          <cell r="B241">
            <v>171</v>
          </cell>
          <cell r="C241" t="str">
            <v>PL1</v>
          </cell>
        </row>
        <row r="242">
          <cell r="B242">
            <v>195</v>
          </cell>
          <cell r="C242" t="str">
            <v>PL2</v>
          </cell>
        </row>
        <row r="243">
          <cell r="B243">
            <v>304</v>
          </cell>
          <cell r="C243" t="str">
            <v>PL2/3</v>
          </cell>
        </row>
        <row r="244">
          <cell r="B244">
            <v>363</v>
          </cell>
          <cell r="C244" t="str">
            <v>PL5</v>
          </cell>
        </row>
        <row r="245">
          <cell r="B245">
            <v>84</v>
          </cell>
          <cell r="C245" t="str">
            <v>PL6a</v>
          </cell>
        </row>
        <row r="246">
          <cell r="B246">
            <v>132</v>
          </cell>
          <cell r="C246" t="str">
            <v>PL6b</v>
          </cell>
        </row>
        <row r="247">
          <cell r="B247">
            <v>44</v>
          </cell>
          <cell r="C247" t="str">
            <v>ILA</v>
          </cell>
        </row>
        <row r="248">
          <cell r="B248">
            <v>707</v>
          </cell>
          <cell r="C248" t="str">
            <v>ILA1</v>
          </cell>
        </row>
        <row r="249">
          <cell r="B249">
            <v>747</v>
          </cell>
          <cell r="C249" t="str">
            <v>ILA2</v>
          </cell>
        </row>
        <row r="250">
          <cell r="B250">
            <v>556</v>
          </cell>
          <cell r="C250" t="str">
            <v>ILA2/3</v>
          </cell>
        </row>
        <row r="251">
          <cell r="B251">
            <v>827</v>
          </cell>
          <cell r="C251" t="str">
            <v>ILA5</v>
          </cell>
        </row>
        <row r="252">
          <cell r="B252">
            <v>1054</v>
          </cell>
          <cell r="C252" t="str">
            <v>ILA6a</v>
          </cell>
        </row>
        <row r="253">
          <cell r="B253">
            <v>1081</v>
          </cell>
          <cell r="C253" t="str">
            <v>ILA6b</v>
          </cell>
        </row>
        <row r="254">
          <cell r="B254">
            <v>714</v>
          </cell>
          <cell r="C254" t="str">
            <v>ORB</v>
          </cell>
        </row>
        <row r="255">
          <cell r="B255">
            <v>264</v>
          </cell>
          <cell r="C255" t="str">
            <v>ORB1</v>
          </cell>
        </row>
        <row r="256">
          <cell r="B256">
            <v>492</v>
          </cell>
          <cell r="C256" t="str">
            <v>ORB2/3</v>
          </cell>
        </row>
        <row r="257">
          <cell r="B257">
            <v>352</v>
          </cell>
          <cell r="C257" t="str">
            <v>ORB5</v>
          </cell>
        </row>
        <row r="258">
          <cell r="B258">
            <v>476</v>
          </cell>
          <cell r="C258" t="str">
            <v>ORB6a</v>
          </cell>
        </row>
        <row r="259">
          <cell r="B259">
            <v>516</v>
          </cell>
          <cell r="C259" t="str">
            <v>ORB6b</v>
          </cell>
        </row>
        <row r="260">
          <cell r="B260">
            <v>723</v>
          </cell>
          <cell r="C260" t="str">
            <v>ORBl</v>
          </cell>
        </row>
        <row r="261">
          <cell r="B261">
            <v>448</v>
          </cell>
          <cell r="C261" t="str">
            <v>ORBl1</v>
          </cell>
        </row>
        <row r="262">
          <cell r="B262">
            <v>412</v>
          </cell>
          <cell r="C262" t="str">
            <v>ORBl2/3</v>
          </cell>
        </row>
        <row r="263">
          <cell r="B263">
            <v>630</v>
          </cell>
          <cell r="C263" t="str">
            <v>ORBl5</v>
          </cell>
        </row>
        <row r="264">
          <cell r="B264">
            <v>440</v>
          </cell>
          <cell r="C264" t="str">
            <v>ORBl6a</v>
          </cell>
        </row>
        <row r="265">
          <cell r="B265">
            <v>488</v>
          </cell>
          <cell r="C265" t="str">
            <v>ORBl6b</v>
          </cell>
        </row>
        <row r="266">
          <cell r="B266">
            <v>731</v>
          </cell>
          <cell r="C266" t="str">
            <v>ORBm</v>
          </cell>
        </row>
        <row r="267">
          <cell r="B267">
            <v>484</v>
          </cell>
          <cell r="C267" t="str">
            <v>ORBm1</v>
          </cell>
        </row>
        <row r="268">
          <cell r="B268">
            <v>524</v>
          </cell>
          <cell r="C268" t="str">
            <v>ORBm2</v>
          </cell>
        </row>
        <row r="269">
          <cell r="B269">
            <v>582</v>
          </cell>
          <cell r="C269" t="str">
            <v>ORBm2/3</v>
          </cell>
        </row>
        <row r="270">
          <cell r="B270">
            <v>620</v>
          </cell>
          <cell r="C270" t="str">
            <v>ORBm5</v>
          </cell>
        </row>
        <row r="271">
          <cell r="B271">
            <v>910</v>
          </cell>
          <cell r="C271" t="str">
            <v>ORBm6a</v>
          </cell>
        </row>
        <row r="272">
          <cell r="B272">
            <v>527696977</v>
          </cell>
          <cell r="C272" t="str">
            <v>ORBm6b</v>
          </cell>
        </row>
        <row r="273">
          <cell r="B273">
            <v>738</v>
          </cell>
          <cell r="C273" t="str">
            <v>ORBv</v>
          </cell>
        </row>
        <row r="274">
          <cell r="B274">
            <v>746</v>
          </cell>
          <cell r="C274" t="str">
            <v>ORBvl</v>
          </cell>
        </row>
        <row r="275">
          <cell r="B275">
            <v>969</v>
          </cell>
          <cell r="C275" t="str">
            <v>ORBvl1</v>
          </cell>
        </row>
        <row r="276">
          <cell r="B276">
            <v>288</v>
          </cell>
          <cell r="C276" t="str">
            <v>ORBvl2/3</v>
          </cell>
        </row>
        <row r="277">
          <cell r="B277">
            <v>1125</v>
          </cell>
          <cell r="C277" t="str">
            <v>ORBvl5</v>
          </cell>
        </row>
        <row r="278">
          <cell r="B278">
            <v>608</v>
          </cell>
          <cell r="C278" t="str">
            <v>ORBvl6a</v>
          </cell>
        </row>
        <row r="279">
          <cell r="B279">
            <v>680</v>
          </cell>
          <cell r="C279" t="str">
            <v>ORBvl6b</v>
          </cell>
        </row>
        <row r="280">
          <cell r="B280">
            <v>95</v>
          </cell>
          <cell r="C280" t="str">
            <v>AI</v>
          </cell>
        </row>
        <row r="281">
          <cell r="B281">
            <v>104</v>
          </cell>
          <cell r="C281" t="str">
            <v>AId</v>
          </cell>
        </row>
        <row r="282">
          <cell r="B282">
            <v>996</v>
          </cell>
          <cell r="C282" t="str">
            <v>AId1</v>
          </cell>
        </row>
        <row r="283">
          <cell r="B283">
            <v>328</v>
          </cell>
          <cell r="C283" t="str">
            <v>AId2/3</v>
          </cell>
        </row>
        <row r="284">
          <cell r="B284">
            <v>1101</v>
          </cell>
          <cell r="C284" t="str">
            <v>AId5</v>
          </cell>
        </row>
        <row r="285">
          <cell r="B285">
            <v>783</v>
          </cell>
          <cell r="C285" t="str">
            <v>AId6a</v>
          </cell>
        </row>
        <row r="286">
          <cell r="B286">
            <v>831</v>
          </cell>
          <cell r="C286" t="str">
            <v>AId6b</v>
          </cell>
        </row>
        <row r="287">
          <cell r="B287">
            <v>111</v>
          </cell>
          <cell r="C287" t="str">
            <v>AIp</v>
          </cell>
        </row>
        <row r="288">
          <cell r="B288">
            <v>120</v>
          </cell>
          <cell r="C288" t="str">
            <v>AIp1</v>
          </cell>
        </row>
        <row r="289">
          <cell r="B289">
            <v>163</v>
          </cell>
          <cell r="C289" t="str">
            <v>AIp2/3</v>
          </cell>
        </row>
        <row r="290">
          <cell r="B290">
            <v>344</v>
          </cell>
          <cell r="C290" t="str">
            <v>AIp5</v>
          </cell>
        </row>
        <row r="291">
          <cell r="B291">
            <v>314</v>
          </cell>
          <cell r="C291" t="str">
            <v>AIp6a</v>
          </cell>
        </row>
        <row r="292">
          <cell r="B292">
            <v>355</v>
          </cell>
          <cell r="C292" t="str">
            <v>AIp6b</v>
          </cell>
        </row>
        <row r="293">
          <cell r="B293">
            <v>119</v>
          </cell>
          <cell r="C293" t="str">
            <v>AIv</v>
          </cell>
        </row>
        <row r="294">
          <cell r="B294">
            <v>704</v>
          </cell>
          <cell r="C294" t="str">
            <v>AIv1</v>
          </cell>
        </row>
        <row r="295">
          <cell r="B295">
            <v>694</v>
          </cell>
          <cell r="C295" t="str">
            <v>AIv2/3</v>
          </cell>
        </row>
        <row r="296">
          <cell r="B296">
            <v>800</v>
          </cell>
          <cell r="C296" t="str">
            <v>AIv5</v>
          </cell>
        </row>
        <row r="297">
          <cell r="B297">
            <v>675</v>
          </cell>
          <cell r="C297" t="str">
            <v>AIv6a</v>
          </cell>
        </row>
        <row r="298">
          <cell r="B298">
            <v>699</v>
          </cell>
          <cell r="C298" t="str">
            <v>AIv6b</v>
          </cell>
        </row>
        <row r="299">
          <cell r="B299">
            <v>254</v>
          </cell>
          <cell r="C299" t="str">
            <v>RSP</v>
          </cell>
        </row>
        <row r="300">
          <cell r="B300">
            <v>894</v>
          </cell>
          <cell r="C300" t="str">
            <v>RSPagl</v>
          </cell>
        </row>
        <row r="301">
          <cell r="B301">
            <v>671</v>
          </cell>
          <cell r="C301" t="str">
            <v>RSPagl1</v>
          </cell>
        </row>
        <row r="302">
          <cell r="B302">
            <v>965</v>
          </cell>
          <cell r="C302" t="str">
            <v>RSPagl2/3</v>
          </cell>
        </row>
        <row r="303">
          <cell r="B303">
            <v>774</v>
          </cell>
          <cell r="C303" t="str">
            <v>RSPagl5</v>
          </cell>
        </row>
        <row r="304">
          <cell r="B304">
            <v>906</v>
          </cell>
          <cell r="C304" t="str">
            <v>RSPagl6a</v>
          </cell>
        </row>
        <row r="305">
          <cell r="B305">
            <v>279</v>
          </cell>
          <cell r="C305" t="str">
            <v>RSPagl6b</v>
          </cell>
        </row>
        <row r="306">
          <cell r="B306">
            <v>480149258</v>
          </cell>
          <cell r="C306" t="str">
            <v>VISmma</v>
          </cell>
        </row>
        <row r="307">
          <cell r="B307">
            <v>480149262</v>
          </cell>
          <cell r="C307" t="str">
            <v>VISmma1</v>
          </cell>
        </row>
        <row r="308">
          <cell r="B308">
            <v>480149266</v>
          </cell>
          <cell r="C308" t="str">
            <v>VISmma2/3</v>
          </cell>
        </row>
        <row r="309">
          <cell r="B309">
            <v>480149270</v>
          </cell>
          <cell r="C309" t="str">
            <v>VISmma4</v>
          </cell>
        </row>
        <row r="310">
          <cell r="B310">
            <v>480149274</v>
          </cell>
          <cell r="C310" t="str">
            <v>VISmma5</v>
          </cell>
        </row>
        <row r="311">
          <cell r="B311">
            <v>480149278</v>
          </cell>
          <cell r="C311" t="str">
            <v>VISmma6a</v>
          </cell>
        </row>
        <row r="312">
          <cell r="B312">
            <v>480149282</v>
          </cell>
          <cell r="C312" t="str">
            <v>VISmma6b</v>
          </cell>
        </row>
        <row r="313">
          <cell r="B313">
            <v>480149286</v>
          </cell>
          <cell r="C313" t="str">
            <v>VISmmp</v>
          </cell>
        </row>
        <row r="314">
          <cell r="B314">
            <v>480149290</v>
          </cell>
          <cell r="C314" t="str">
            <v>VISmmp1</v>
          </cell>
        </row>
        <row r="315">
          <cell r="B315">
            <v>480149294</v>
          </cell>
          <cell r="C315" t="str">
            <v>VISmmp2/3</v>
          </cell>
        </row>
        <row r="316">
          <cell r="B316">
            <v>480149298</v>
          </cell>
          <cell r="C316" t="str">
            <v>VISmmp4</v>
          </cell>
        </row>
        <row r="317">
          <cell r="B317">
            <v>480149302</v>
          </cell>
          <cell r="C317" t="str">
            <v>VISmmp5</v>
          </cell>
        </row>
        <row r="318">
          <cell r="B318">
            <v>480149306</v>
          </cell>
          <cell r="C318" t="str">
            <v>VISmmp6a</v>
          </cell>
        </row>
        <row r="319">
          <cell r="B319">
            <v>480149310</v>
          </cell>
          <cell r="C319" t="str">
            <v>VISmmp6b</v>
          </cell>
        </row>
        <row r="320">
          <cell r="B320">
            <v>480149314</v>
          </cell>
          <cell r="C320" t="str">
            <v>VISm</v>
          </cell>
        </row>
        <row r="321">
          <cell r="B321">
            <v>480149318</v>
          </cell>
          <cell r="C321" t="str">
            <v>VISm1</v>
          </cell>
        </row>
        <row r="322">
          <cell r="B322">
            <v>480149322</v>
          </cell>
          <cell r="C322" t="str">
            <v>VISm2/3</v>
          </cell>
        </row>
        <row r="323">
          <cell r="B323">
            <v>480149326</v>
          </cell>
          <cell r="C323" t="str">
            <v>VISm4</v>
          </cell>
        </row>
        <row r="324">
          <cell r="B324">
            <v>480149330</v>
          </cell>
          <cell r="C324" t="str">
            <v>VISm5</v>
          </cell>
        </row>
        <row r="325">
          <cell r="B325">
            <v>480149334</v>
          </cell>
          <cell r="C325" t="str">
            <v>VISm6a</v>
          </cell>
        </row>
        <row r="326">
          <cell r="B326">
            <v>480149338</v>
          </cell>
          <cell r="C326" t="str">
            <v>VISm6b</v>
          </cell>
        </row>
        <row r="327">
          <cell r="B327">
            <v>879</v>
          </cell>
          <cell r="C327" t="str">
            <v>RSPd</v>
          </cell>
        </row>
        <row r="328">
          <cell r="B328">
            <v>442</v>
          </cell>
          <cell r="C328" t="str">
            <v>RSPd1</v>
          </cell>
        </row>
        <row r="329">
          <cell r="B329">
            <v>434</v>
          </cell>
          <cell r="C329" t="str">
            <v>RSPd2/3</v>
          </cell>
        </row>
        <row r="330">
          <cell r="B330">
            <v>545</v>
          </cell>
          <cell r="C330" t="str">
            <v>RSPd4</v>
          </cell>
        </row>
        <row r="331">
          <cell r="B331">
            <v>610</v>
          </cell>
          <cell r="C331" t="str">
            <v>RSPd5</v>
          </cell>
        </row>
        <row r="332">
          <cell r="B332">
            <v>274</v>
          </cell>
          <cell r="C332" t="str">
            <v>RSPd6a</v>
          </cell>
        </row>
        <row r="333">
          <cell r="B333">
            <v>330</v>
          </cell>
          <cell r="C333" t="str">
            <v>RSPd6b</v>
          </cell>
        </row>
        <row r="334">
          <cell r="B334">
            <v>886</v>
          </cell>
          <cell r="C334" t="str">
            <v>RSPv</v>
          </cell>
        </row>
        <row r="335">
          <cell r="B335">
            <v>542</v>
          </cell>
          <cell r="C335" t="str">
            <v>RSPv1</v>
          </cell>
        </row>
        <row r="336">
          <cell r="B336">
            <v>606</v>
          </cell>
          <cell r="C336" t="str">
            <v>RSPv2</v>
          </cell>
        </row>
        <row r="337">
          <cell r="B337">
            <v>430</v>
          </cell>
          <cell r="C337" t="str">
            <v>RSPv2/3</v>
          </cell>
        </row>
        <row r="338">
          <cell r="B338">
            <v>687</v>
          </cell>
          <cell r="C338" t="str">
            <v>RSPv5</v>
          </cell>
        </row>
        <row r="339">
          <cell r="B339">
            <v>590</v>
          </cell>
          <cell r="C339" t="str">
            <v>RSPv6a</v>
          </cell>
        </row>
        <row r="340">
          <cell r="B340">
            <v>622</v>
          </cell>
          <cell r="C340" t="str">
            <v>RSPv6b</v>
          </cell>
        </row>
        <row r="341">
          <cell r="B341">
            <v>22</v>
          </cell>
          <cell r="C341" t="str">
            <v>PTLp</v>
          </cell>
        </row>
        <row r="342">
          <cell r="B342">
            <v>532</v>
          </cell>
          <cell r="C342" t="str">
            <v>PTLp1</v>
          </cell>
        </row>
        <row r="343">
          <cell r="B343">
            <v>241</v>
          </cell>
          <cell r="C343" t="str">
            <v>PTLp2/3</v>
          </cell>
        </row>
        <row r="344">
          <cell r="B344">
            <v>635</v>
          </cell>
          <cell r="C344" t="str">
            <v>PTLp4</v>
          </cell>
        </row>
        <row r="345">
          <cell r="B345">
            <v>683</v>
          </cell>
          <cell r="C345" t="str">
            <v>PTLp5</v>
          </cell>
        </row>
        <row r="346">
          <cell r="B346">
            <v>308</v>
          </cell>
          <cell r="C346" t="str">
            <v>PTLp6a</v>
          </cell>
        </row>
        <row r="347">
          <cell r="B347">
            <v>340</v>
          </cell>
          <cell r="C347" t="str">
            <v>PTLp6b</v>
          </cell>
        </row>
        <row r="348">
          <cell r="B348">
            <v>312782546</v>
          </cell>
          <cell r="C348" t="str">
            <v>VISa</v>
          </cell>
        </row>
        <row r="349">
          <cell r="B349">
            <v>312782550</v>
          </cell>
          <cell r="C349" t="str">
            <v>VISa1</v>
          </cell>
        </row>
        <row r="350">
          <cell r="B350">
            <v>312782554</v>
          </cell>
          <cell r="C350" t="str">
            <v>VISa2/3</v>
          </cell>
        </row>
        <row r="351">
          <cell r="B351">
            <v>312782558</v>
          </cell>
          <cell r="C351" t="str">
            <v>VISa4</v>
          </cell>
        </row>
        <row r="352">
          <cell r="B352">
            <v>312782562</v>
          </cell>
          <cell r="C352" t="str">
            <v>VISa5</v>
          </cell>
        </row>
        <row r="353">
          <cell r="B353">
            <v>312782566</v>
          </cell>
          <cell r="C353" t="str">
            <v>VISa6a</v>
          </cell>
        </row>
        <row r="354">
          <cell r="B354">
            <v>312782570</v>
          </cell>
          <cell r="C354" t="str">
            <v>VISa6b</v>
          </cell>
        </row>
        <row r="355">
          <cell r="B355">
            <v>417</v>
          </cell>
          <cell r="C355" t="str">
            <v>VISrl</v>
          </cell>
        </row>
        <row r="356">
          <cell r="B356">
            <v>312782604</v>
          </cell>
          <cell r="C356" t="str">
            <v>VISrl1</v>
          </cell>
        </row>
        <row r="357">
          <cell r="B357">
            <v>312782608</v>
          </cell>
          <cell r="C357" t="str">
            <v>VISrl2/3</v>
          </cell>
        </row>
        <row r="358">
          <cell r="B358">
            <v>312782612</v>
          </cell>
          <cell r="C358" t="str">
            <v>VISrl4</v>
          </cell>
        </row>
        <row r="359">
          <cell r="B359">
            <v>312782616</v>
          </cell>
          <cell r="C359" t="str">
            <v>VISrl5</v>
          </cell>
        </row>
        <row r="360">
          <cell r="B360">
            <v>312782620</v>
          </cell>
          <cell r="C360" t="str">
            <v>VISrl6a</v>
          </cell>
        </row>
        <row r="361">
          <cell r="B361">
            <v>312782624</v>
          </cell>
          <cell r="C361" t="str">
            <v>VISrl6b</v>
          </cell>
        </row>
        <row r="362">
          <cell r="B362">
            <v>541</v>
          </cell>
          <cell r="C362" t="str">
            <v>TEa</v>
          </cell>
        </row>
        <row r="363">
          <cell r="B363">
            <v>97</v>
          </cell>
          <cell r="C363" t="str">
            <v>TEa1</v>
          </cell>
        </row>
        <row r="364">
          <cell r="B364">
            <v>1127</v>
          </cell>
          <cell r="C364" t="str">
            <v>TEa2/3</v>
          </cell>
        </row>
        <row r="365">
          <cell r="B365">
            <v>234</v>
          </cell>
          <cell r="C365" t="str">
            <v>TEa4</v>
          </cell>
        </row>
        <row r="366">
          <cell r="B366">
            <v>289</v>
          </cell>
          <cell r="C366" t="str">
            <v>TEa5</v>
          </cell>
        </row>
        <row r="367">
          <cell r="B367">
            <v>729</v>
          </cell>
          <cell r="C367" t="str">
            <v>TEa6a</v>
          </cell>
        </row>
        <row r="368">
          <cell r="B368">
            <v>786</v>
          </cell>
          <cell r="C368" t="str">
            <v>TEa6b</v>
          </cell>
        </row>
        <row r="369">
          <cell r="B369">
            <v>922</v>
          </cell>
          <cell r="C369" t="str">
            <v>PERI</v>
          </cell>
        </row>
        <row r="370">
          <cell r="B370">
            <v>540</v>
          </cell>
          <cell r="C370" t="str">
            <v>PERI1</v>
          </cell>
        </row>
        <row r="371">
          <cell r="B371">
            <v>888</v>
          </cell>
          <cell r="C371" t="str">
            <v>PERI2/3</v>
          </cell>
        </row>
        <row r="372">
          <cell r="B372">
            <v>692</v>
          </cell>
          <cell r="C372" t="str">
            <v>PERI5</v>
          </cell>
        </row>
        <row r="373">
          <cell r="B373">
            <v>335</v>
          </cell>
          <cell r="C373" t="str">
            <v>PERI6a</v>
          </cell>
        </row>
        <row r="374">
          <cell r="B374">
            <v>368</v>
          </cell>
          <cell r="C374" t="str">
            <v>PERI6b</v>
          </cell>
        </row>
        <row r="375">
          <cell r="B375">
            <v>895</v>
          </cell>
          <cell r="C375" t="str">
            <v>ECT</v>
          </cell>
        </row>
        <row r="376">
          <cell r="B376">
            <v>836</v>
          </cell>
          <cell r="C376" t="str">
            <v>ECT1</v>
          </cell>
        </row>
        <row r="377">
          <cell r="B377">
            <v>427</v>
          </cell>
          <cell r="C377" t="str">
            <v>ECT2/3</v>
          </cell>
        </row>
        <row r="378">
          <cell r="B378">
            <v>988</v>
          </cell>
          <cell r="C378" t="str">
            <v>ECT5</v>
          </cell>
        </row>
        <row r="379">
          <cell r="B379">
            <v>977</v>
          </cell>
          <cell r="C379" t="str">
            <v>ECT6a</v>
          </cell>
        </row>
        <row r="380">
          <cell r="B380">
            <v>1045</v>
          </cell>
          <cell r="C380" t="str">
            <v>ECT6b</v>
          </cell>
        </row>
        <row r="381">
          <cell r="B381">
            <v>698</v>
          </cell>
          <cell r="C381" t="str">
            <v>OLF</v>
          </cell>
        </row>
        <row r="382">
          <cell r="B382">
            <v>507</v>
          </cell>
          <cell r="C382" t="str">
            <v>MOB</v>
          </cell>
        </row>
        <row r="383">
          <cell r="B383">
            <v>212</v>
          </cell>
          <cell r="C383" t="str">
            <v>MOBgl</v>
          </cell>
        </row>
        <row r="384">
          <cell r="B384">
            <v>220</v>
          </cell>
          <cell r="C384" t="str">
            <v>MOBgr</v>
          </cell>
        </row>
        <row r="385">
          <cell r="B385">
            <v>228</v>
          </cell>
          <cell r="C385" t="str">
            <v>MOBipl</v>
          </cell>
        </row>
        <row r="386">
          <cell r="B386">
            <v>236</v>
          </cell>
          <cell r="C386" t="str">
            <v>MOBmi</v>
          </cell>
        </row>
        <row r="387">
          <cell r="B387">
            <v>244</v>
          </cell>
          <cell r="C387" t="str">
            <v>MOBopl</v>
          </cell>
        </row>
        <row r="388">
          <cell r="B388">
            <v>151</v>
          </cell>
          <cell r="C388" t="str">
            <v>AOB</v>
          </cell>
        </row>
        <row r="389">
          <cell r="B389">
            <v>188</v>
          </cell>
          <cell r="C389" t="str">
            <v>AOBgl</v>
          </cell>
        </row>
        <row r="390">
          <cell r="B390">
            <v>196</v>
          </cell>
          <cell r="C390" t="str">
            <v>AOBgr</v>
          </cell>
        </row>
        <row r="391">
          <cell r="B391">
            <v>204</v>
          </cell>
          <cell r="C391" t="str">
            <v>AOBmi</v>
          </cell>
        </row>
        <row r="392">
          <cell r="B392">
            <v>159</v>
          </cell>
          <cell r="C392" t="str">
            <v>AON</v>
          </cell>
        </row>
        <row r="393">
          <cell r="B393">
            <v>167</v>
          </cell>
          <cell r="C393" t="str">
            <v>AONd</v>
          </cell>
        </row>
        <row r="394">
          <cell r="B394">
            <v>175</v>
          </cell>
          <cell r="C394" t="str">
            <v>AONe</v>
          </cell>
        </row>
        <row r="395">
          <cell r="B395">
            <v>183</v>
          </cell>
          <cell r="C395" t="str">
            <v>AONl</v>
          </cell>
        </row>
        <row r="396">
          <cell r="B396">
            <v>191</v>
          </cell>
          <cell r="C396" t="str">
            <v>AONm</v>
          </cell>
        </row>
        <row r="397">
          <cell r="B397">
            <v>199</v>
          </cell>
          <cell r="C397" t="str">
            <v>AONpv</v>
          </cell>
        </row>
        <row r="398">
          <cell r="B398">
            <v>160</v>
          </cell>
          <cell r="C398" t="str">
            <v>AON1</v>
          </cell>
        </row>
        <row r="399">
          <cell r="B399">
            <v>168</v>
          </cell>
          <cell r="C399" t="str">
            <v>AON2</v>
          </cell>
        </row>
        <row r="400">
          <cell r="B400">
            <v>589</v>
          </cell>
          <cell r="C400" t="str">
            <v>TT</v>
          </cell>
        </row>
        <row r="401">
          <cell r="B401">
            <v>597</v>
          </cell>
          <cell r="C401" t="str">
            <v>TTd</v>
          </cell>
        </row>
        <row r="402">
          <cell r="B402">
            <v>297</v>
          </cell>
          <cell r="C402" t="str">
            <v>TTd1-4</v>
          </cell>
        </row>
        <row r="403">
          <cell r="B403">
            <v>1034</v>
          </cell>
          <cell r="C403" t="str">
            <v>TTd1</v>
          </cell>
        </row>
        <row r="404">
          <cell r="B404">
            <v>1042</v>
          </cell>
          <cell r="C404" t="str">
            <v>TTd2</v>
          </cell>
        </row>
        <row r="405">
          <cell r="B405">
            <v>1050</v>
          </cell>
          <cell r="C405" t="str">
            <v>TTd3</v>
          </cell>
        </row>
        <row r="406">
          <cell r="B406">
            <v>1059</v>
          </cell>
          <cell r="C406" t="str">
            <v>TTd4</v>
          </cell>
        </row>
        <row r="407">
          <cell r="B407">
            <v>605</v>
          </cell>
          <cell r="C407" t="str">
            <v>TTv</v>
          </cell>
        </row>
        <row r="408">
          <cell r="B408">
            <v>306</v>
          </cell>
          <cell r="C408" t="str">
            <v>TTv1-3</v>
          </cell>
        </row>
        <row r="409">
          <cell r="B409">
            <v>1067</v>
          </cell>
          <cell r="C409" t="str">
            <v>TTv1</v>
          </cell>
        </row>
        <row r="410">
          <cell r="B410">
            <v>1075</v>
          </cell>
          <cell r="C410" t="str">
            <v>TTv2</v>
          </cell>
        </row>
        <row r="411">
          <cell r="B411">
            <v>1082</v>
          </cell>
          <cell r="C411" t="str">
            <v>TTv3</v>
          </cell>
        </row>
        <row r="412">
          <cell r="B412">
            <v>814</v>
          </cell>
          <cell r="C412" t="str">
            <v>DP</v>
          </cell>
        </row>
        <row r="413">
          <cell r="B413">
            <v>496</v>
          </cell>
          <cell r="C413" t="str">
            <v>DP1</v>
          </cell>
        </row>
        <row r="414">
          <cell r="B414">
            <v>535</v>
          </cell>
          <cell r="C414" t="str">
            <v>DP2</v>
          </cell>
        </row>
        <row r="415">
          <cell r="B415">
            <v>360</v>
          </cell>
          <cell r="C415" t="str">
            <v>DP2/3</v>
          </cell>
        </row>
        <row r="416">
          <cell r="B416">
            <v>646</v>
          </cell>
          <cell r="C416" t="str">
            <v>DP5</v>
          </cell>
        </row>
        <row r="417">
          <cell r="B417">
            <v>267</v>
          </cell>
          <cell r="C417" t="str">
            <v>DP6a</v>
          </cell>
        </row>
        <row r="418">
          <cell r="B418">
            <v>961</v>
          </cell>
          <cell r="C418" t="str">
            <v>PIR</v>
          </cell>
        </row>
        <row r="419">
          <cell r="B419">
            <v>152</v>
          </cell>
          <cell r="C419" t="str">
            <v>PIR1-3</v>
          </cell>
        </row>
        <row r="420">
          <cell r="B420">
            <v>276</v>
          </cell>
          <cell r="C420" t="str">
            <v>PIR1</v>
          </cell>
        </row>
        <row r="421">
          <cell r="B421">
            <v>284</v>
          </cell>
          <cell r="C421" t="str">
            <v>PIR2</v>
          </cell>
        </row>
        <row r="422">
          <cell r="B422">
            <v>291</v>
          </cell>
          <cell r="C422" t="str">
            <v>PIR3</v>
          </cell>
        </row>
        <row r="423">
          <cell r="B423">
            <v>619</v>
          </cell>
          <cell r="C423" t="str">
            <v>NLOT</v>
          </cell>
        </row>
        <row r="424">
          <cell r="B424">
            <v>392</v>
          </cell>
          <cell r="C424" t="str">
            <v>NLOT1-3</v>
          </cell>
        </row>
        <row r="425">
          <cell r="B425">
            <v>260</v>
          </cell>
          <cell r="C425" t="str">
            <v>NLOT1</v>
          </cell>
        </row>
        <row r="426">
          <cell r="B426">
            <v>268</v>
          </cell>
          <cell r="C426" t="str">
            <v>NLOT2</v>
          </cell>
        </row>
        <row r="427">
          <cell r="B427">
            <v>1139</v>
          </cell>
          <cell r="C427" t="str">
            <v>NLOT3</v>
          </cell>
        </row>
        <row r="428">
          <cell r="B428">
            <v>631</v>
          </cell>
          <cell r="C428" t="str">
            <v>COA</v>
          </cell>
        </row>
        <row r="429">
          <cell r="B429">
            <v>639</v>
          </cell>
          <cell r="C429" t="str">
            <v>COAa</v>
          </cell>
        </row>
        <row r="430">
          <cell r="B430">
            <v>192</v>
          </cell>
          <cell r="C430" t="str">
            <v>COAa1</v>
          </cell>
        </row>
        <row r="431">
          <cell r="B431">
            <v>200</v>
          </cell>
          <cell r="C431" t="str">
            <v>COAa2</v>
          </cell>
        </row>
        <row r="432">
          <cell r="B432">
            <v>208</v>
          </cell>
          <cell r="C432" t="str">
            <v>COAa3</v>
          </cell>
        </row>
        <row r="433">
          <cell r="B433">
            <v>647</v>
          </cell>
          <cell r="C433" t="str">
            <v>COAp</v>
          </cell>
        </row>
        <row r="434">
          <cell r="B434">
            <v>655</v>
          </cell>
          <cell r="C434" t="str">
            <v>COApl</v>
          </cell>
        </row>
        <row r="435">
          <cell r="B435">
            <v>584</v>
          </cell>
          <cell r="C435" t="str">
            <v>COApl1-2</v>
          </cell>
        </row>
        <row r="436">
          <cell r="B436">
            <v>376</v>
          </cell>
          <cell r="C436" t="str">
            <v>COApl1-3</v>
          </cell>
        </row>
        <row r="437">
          <cell r="B437">
            <v>216</v>
          </cell>
          <cell r="C437" t="str">
            <v>COApl1</v>
          </cell>
        </row>
        <row r="438">
          <cell r="B438">
            <v>224</v>
          </cell>
          <cell r="C438" t="str">
            <v>COApl2</v>
          </cell>
        </row>
        <row r="439">
          <cell r="B439">
            <v>232</v>
          </cell>
          <cell r="C439" t="str">
            <v>COApl3</v>
          </cell>
        </row>
        <row r="440">
          <cell r="B440">
            <v>663</v>
          </cell>
          <cell r="C440" t="str">
            <v>COApm</v>
          </cell>
        </row>
        <row r="441">
          <cell r="B441">
            <v>592</v>
          </cell>
          <cell r="C441" t="str">
            <v>COApm1-2</v>
          </cell>
        </row>
        <row r="442">
          <cell r="B442">
            <v>383</v>
          </cell>
          <cell r="C442" t="str">
            <v>COApm1-3</v>
          </cell>
        </row>
        <row r="443">
          <cell r="B443">
            <v>240</v>
          </cell>
          <cell r="C443" t="str">
            <v>COApm1</v>
          </cell>
        </row>
        <row r="444">
          <cell r="B444">
            <v>248</v>
          </cell>
          <cell r="C444" t="str">
            <v>COApm2</v>
          </cell>
        </row>
        <row r="445">
          <cell r="B445">
            <v>256</v>
          </cell>
          <cell r="C445" t="str">
            <v>COApm3</v>
          </cell>
        </row>
        <row r="446">
          <cell r="B446">
            <v>788</v>
          </cell>
          <cell r="C446" t="str">
            <v>PAA</v>
          </cell>
        </row>
        <row r="447">
          <cell r="B447">
            <v>400</v>
          </cell>
          <cell r="C447" t="str">
            <v>PAA1-3</v>
          </cell>
        </row>
        <row r="448">
          <cell r="B448">
            <v>408</v>
          </cell>
          <cell r="C448" t="str">
            <v>PAA1</v>
          </cell>
        </row>
        <row r="449">
          <cell r="B449">
            <v>416</v>
          </cell>
          <cell r="C449" t="str">
            <v>PAA2</v>
          </cell>
        </row>
        <row r="450">
          <cell r="B450">
            <v>424</v>
          </cell>
          <cell r="C450" t="str">
            <v>PAA3</v>
          </cell>
        </row>
        <row r="451">
          <cell r="B451">
            <v>566</v>
          </cell>
          <cell r="C451" t="str">
            <v>TR</v>
          </cell>
        </row>
        <row r="452">
          <cell r="B452">
            <v>517</v>
          </cell>
          <cell r="C452" t="str">
            <v>TR1-3</v>
          </cell>
        </row>
        <row r="453">
          <cell r="B453">
            <v>1140</v>
          </cell>
          <cell r="C453" t="str">
            <v>TR1</v>
          </cell>
        </row>
        <row r="454">
          <cell r="B454">
            <v>1141</v>
          </cell>
          <cell r="C454" t="str">
            <v>TR2</v>
          </cell>
        </row>
        <row r="455">
          <cell r="B455">
            <v>1142</v>
          </cell>
          <cell r="C455" t="str">
            <v>TR3</v>
          </cell>
        </row>
        <row r="456">
          <cell r="B456">
            <v>1089</v>
          </cell>
          <cell r="C456" t="str">
            <v>HPF</v>
          </cell>
        </row>
        <row r="457">
          <cell r="B457">
            <v>1080</v>
          </cell>
          <cell r="C457" t="str">
            <v>HIP</v>
          </cell>
        </row>
        <row r="458">
          <cell r="B458">
            <v>375</v>
          </cell>
          <cell r="C458" t="str">
            <v>CA</v>
          </cell>
        </row>
        <row r="459">
          <cell r="B459">
            <v>382</v>
          </cell>
          <cell r="C459" t="str">
            <v>CA1</v>
          </cell>
        </row>
        <row r="460">
          <cell r="B460">
            <v>391</v>
          </cell>
          <cell r="C460" t="str">
            <v>CA1slm</v>
          </cell>
        </row>
        <row r="461">
          <cell r="B461">
            <v>399</v>
          </cell>
          <cell r="C461" t="str">
            <v>CA1so</v>
          </cell>
        </row>
        <row r="462">
          <cell r="B462">
            <v>407</v>
          </cell>
          <cell r="C462" t="str">
            <v>CA1sp</v>
          </cell>
        </row>
        <row r="463">
          <cell r="B463">
            <v>415</v>
          </cell>
          <cell r="C463" t="str">
            <v>CA1sr</v>
          </cell>
        </row>
        <row r="464">
          <cell r="B464">
            <v>423</v>
          </cell>
          <cell r="C464" t="str">
            <v>CA2</v>
          </cell>
        </row>
        <row r="465">
          <cell r="B465">
            <v>431</v>
          </cell>
          <cell r="C465" t="str">
            <v>CA2slm</v>
          </cell>
        </row>
        <row r="466">
          <cell r="B466">
            <v>438</v>
          </cell>
          <cell r="C466" t="str">
            <v>CA2so</v>
          </cell>
        </row>
        <row r="467">
          <cell r="B467">
            <v>446</v>
          </cell>
          <cell r="C467" t="str">
            <v>CA2sp</v>
          </cell>
        </row>
        <row r="468">
          <cell r="B468">
            <v>454</v>
          </cell>
          <cell r="C468" t="str">
            <v>CA2sr</v>
          </cell>
        </row>
        <row r="469">
          <cell r="B469">
            <v>463</v>
          </cell>
          <cell r="C469" t="str">
            <v>CA3</v>
          </cell>
        </row>
        <row r="470">
          <cell r="B470">
            <v>471</v>
          </cell>
          <cell r="C470" t="str">
            <v>CA3slm</v>
          </cell>
        </row>
        <row r="471">
          <cell r="B471">
            <v>479</v>
          </cell>
          <cell r="C471" t="str">
            <v>CA3slu</v>
          </cell>
        </row>
        <row r="472">
          <cell r="B472">
            <v>486</v>
          </cell>
          <cell r="C472" t="str">
            <v>CA3so</v>
          </cell>
        </row>
        <row r="473">
          <cell r="B473">
            <v>495</v>
          </cell>
          <cell r="C473" t="str">
            <v>CA3sp</v>
          </cell>
        </row>
        <row r="474">
          <cell r="B474">
            <v>504</v>
          </cell>
          <cell r="C474" t="str">
            <v>CA3sr</v>
          </cell>
        </row>
        <row r="475">
          <cell r="B475">
            <v>726</v>
          </cell>
          <cell r="C475" t="str">
            <v>DG</v>
          </cell>
        </row>
        <row r="476">
          <cell r="B476">
            <v>10703</v>
          </cell>
          <cell r="C476" t="str">
            <v>DG-mo</v>
          </cell>
        </row>
        <row r="477">
          <cell r="B477">
            <v>10704</v>
          </cell>
          <cell r="C477" t="str">
            <v>DG-po</v>
          </cell>
        </row>
        <row r="478">
          <cell r="B478">
            <v>632</v>
          </cell>
          <cell r="C478" t="str">
            <v>DG-sg</v>
          </cell>
        </row>
        <row r="479">
          <cell r="B479">
            <v>10702</v>
          </cell>
          <cell r="C479" t="str">
            <v>DG-sgz</v>
          </cell>
        </row>
        <row r="480">
          <cell r="B480">
            <v>734</v>
          </cell>
          <cell r="C480" t="str">
            <v>DGcr</v>
          </cell>
        </row>
        <row r="481">
          <cell r="B481">
            <v>742</v>
          </cell>
          <cell r="C481" t="str">
            <v>DGcr-mo</v>
          </cell>
        </row>
        <row r="482">
          <cell r="B482">
            <v>751</v>
          </cell>
          <cell r="C482" t="str">
            <v>DGcr-po</v>
          </cell>
        </row>
        <row r="483">
          <cell r="B483">
            <v>758</v>
          </cell>
          <cell r="C483" t="str">
            <v>DGcr-sg</v>
          </cell>
        </row>
        <row r="484">
          <cell r="B484">
            <v>766</v>
          </cell>
          <cell r="C484" t="str">
            <v>DGlb</v>
          </cell>
        </row>
        <row r="485">
          <cell r="B485">
            <v>775</v>
          </cell>
          <cell r="C485" t="str">
            <v>DGlb-mo</v>
          </cell>
        </row>
        <row r="486">
          <cell r="B486">
            <v>782</v>
          </cell>
          <cell r="C486" t="str">
            <v>DGlb-po</v>
          </cell>
        </row>
        <row r="487">
          <cell r="B487">
            <v>790</v>
          </cell>
          <cell r="C487" t="str">
            <v>DGlb-sg</v>
          </cell>
        </row>
        <row r="488">
          <cell r="B488">
            <v>799</v>
          </cell>
          <cell r="C488" t="str">
            <v>DGmb</v>
          </cell>
        </row>
        <row r="489">
          <cell r="B489">
            <v>807</v>
          </cell>
          <cell r="C489" t="str">
            <v>DGmb-mo</v>
          </cell>
        </row>
        <row r="490">
          <cell r="B490">
            <v>815</v>
          </cell>
          <cell r="C490" t="str">
            <v>DGmb-po</v>
          </cell>
        </row>
        <row r="491">
          <cell r="B491">
            <v>823</v>
          </cell>
          <cell r="C491" t="str">
            <v>DGmb-sg</v>
          </cell>
        </row>
        <row r="492">
          <cell r="B492">
            <v>982</v>
          </cell>
          <cell r="C492" t="str">
            <v>FC</v>
          </cell>
        </row>
        <row r="493">
          <cell r="B493">
            <v>19</v>
          </cell>
          <cell r="C493" t="str">
            <v>IG</v>
          </cell>
        </row>
        <row r="494">
          <cell r="B494">
            <v>822</v>
          </cell>
          <cell r="C494" t="str">
            <v>RHP</v>
          </cell>
        </row>
        <row r="495">
          <cell r="B495">
            <v>909</v>
          </cell>
          <cell r="C495" t="str">
            <v>ENT</v>
          </cell>
        </row>
        <row r="496">
          <cell r="B496">
            <v>918</v>
          </cell>
          <cell r="C496" t="str">
            <v>ENTl</v>
          </cell>
        </row>
        <row r="497">
          <cell r="B497">
            <v>1121</v>
          </cell>
          <cell r="C497" t="str">
            <v>ENTl1</v>
          </cell>
        </row>
        <row r="498">
          <cell r="B498">
            <v>20</v>
          </cell>
          <cell r="C498" t="str">
            <v>ENTl2</v>
          </cell>
        </row>
        <row r="499">
          <cell r="B499">
            <v>999</v>
          </cell>
          <cell r="C499" t="str">
            <v>ENTl2/3</v>
          </cell>
        </row>
        <row r="500">
          <cell r="B500">
            <v>715</v>
          </cell>
          <cell r="C500" t="str">
            <v>ENTl2a</v>
          </cell>
        </row>
        <row r="501">
          <cell r="B501">
            <v>764</v>
          </cell>
          <cell r="C501" t="str">
            <v>ENTl2b</v>
          </cell>
        </row>
        <row r="502">
          <cell r="B502">
            <v>52</v>
          </cell>
          <cell r="C502" t="str">
            <v>ENTl3</v>
          </cell>
        </row>
        <row r="503">
          <cell r="B503">
            <v>92</v>
          </cell>
          <cell r="C503" t="str">
            <v>ENTl4</v>
          </cell>
        </row>
        <row r="504">
          <cell r="B504">
            <v>312</v>
          </cell>
          <cell r="C504" t="str">
            <v>ENTl4/5</v>
          </cell>
        </row>
        <row r="505">
          <cell r="B505">
            <v>139</v>
          </cell>
          <cell r="C505" t="str">
            <v>ENTl5</v>
          </cell>
        </row>
        <row r="506">
          <cell r="B506">
            <v>387</v>
          </cell>
          <cell r="C506" t="str">
            <v>ENTl5/6</v>
          </cell>
        </row>
        <row r="507">
          <cell r="B507">
            <v>28</v>
          </cell>
          <cell r="C507" t="str">
            <v>ENTl6a</v>
          </cell>
        </row>
        <row r="508">
          <cell r="B508">
            <v>60</v>
          </cell>
          <cell r="C508" t="str">
            <v>ENTl6b</v>
          </cell>
        </row>
        <row r="509">
          <cell r="B509">
            <v>926</v>
          </cell>
          <cell r="C509" t="str">
            <v>ENTm</v>
          </cell>
        </row>
        <row r="510">
          <cell r="B510">
            <v>526</v>
          </cell>
          <cell r="C510" t="str">
            <v>ENTm1</v>
          </cell>
        </row>
        <row r="511">
          <cell r="B511">
            <v>543</v>
          </cell>
          <cell r="C511" t="str">
            <v>ENTm2</v>
          </cell>
        </row>
        <row r="512">
          <cell r="B512">
            <v>468</v>
          </cell>
          <cell r="C512" t="str">
            <v>ENTm2a</v>
          </cell>
        </row>
        <row r="513">
          <cell r="B513">
            <v>508</v>
          </cell>
          <cell r="C513" t="str">
            <v>ENTm2b</v>
          </cell>
        </row>
        <row r="514">
          <cell r="B514">
            <v>664</v>
          </cell>
          <cell r="C514" t="str">
            <v>ENTm3</v>
          </cell>
        </row>
        <row r="515">
          <cell r="B515">
            <v>712</v>
          </cell>
          <cell r="C515" t="str">
            <v>ENTm4</v>
          </cell>
        </row>
        <row r="516">
          <cell r="B516">
            <v>727</v>
          </cell>
          <cell r="C516" t="str">
            <v>ENTm5</v>
          </cell>
        </row>
        <row r="517">
          <cell r="B517">
            <v>550</v>
          </cell>
          <cell r="C517" t="str">
            <v>ENTm5/6</v>
          </cell>
        </row>
        <row r="518">
          <cell r="B518">
            <v>743</v>
          </cell>
          <cell r="C518" t="str">
            <v>ENTm6</v>
          </cell>
        </row>
        <row r="519">
          <cell r="B519">
            <v>934</v>
          </cell>
          <cell r="C519" t="str">
            <v>ENTmv</v>
          </cell>
        </row>
        <row r="520">
          <cell r="B520">
            <v>259</v>
          </cell>
          <cell r="C520" t="str">
            <v>ENTmv1</v>
          </cell>
        </row>
        <row r="521">
          <cell r="B521">
            <v>324</v>
          </cell>
          <cell r="C521" t="str">
            <v>ENTmv2</v>
          </cell>
        </row>
        <row r="522">
          <cell r="B522">
            <v>371</v>
          </cell>
          <cell r="C522" t="str">
            <v>ENTmv3</v>
          </cell>
        </row>
        <row r="523">
          <cell r="B523">
            <v>419</v>
          </cell>
          <cell r="C523" t="str">
            <v>ENTmv4</v>
          </cell>
        </row>
        <row r="524">
          <cell r="B524">
            <v>1133</v>
          </cell>
          <cell r="C524" t="str">
            <v>ENTmv5/6</v>
          </cell>
        </row>
        <row r="525">
          <cell r="B525">
            <v>843</v>
          </cell>
          <cell r="C525" t="str">
            <v>PAR</v>
          </cell>
        </row>
        <row r="526">
          <cell r="B526">
            <v>10693</v>
          </cell>
          <cell r="C526" t="str">
            <v>PAR1</v>
          </cell>
        </row>
        <row r="527">
          <cell r="B527">
            <v>10694</v>
          </cell>
          <cell r="C527" t="str">
            <v>PAR2</v>
          </cell>
        </row>
        <row r="528">
          <cell r="B528">
            <v>10695</v>
          </cell>
          <cell r="C528" t="str">
            <v>PAR3</v>
          </cell>
        </row>
        <row r="529">
          <cell r="B529">
            <v>1037</v>
          </cell>
          <cell r="C529" t="str">
            <v>POST</v>
          </cell>
        </row>
        <row r="530">
          <cell r="B530">
            <v>10696</v>
          </cell>
          <cell r="C530" t="str">
            <v>POST1</v>
          </cell>
        </row>
        <row r="531">
          <cell r="B531">
            <v>10697</v>
          </cell>
          <cell r="C531" t="str">
            <v>POST2</v>
          </cell>
        </row>
        <row r="532">
          <cell r="B532">
            <v>10698</v>
          </cell>
          <cell r="C532" t="str">
            <v>POST3</v>
          </cell>
        </row>
        <row r="533">
          <cell r="B533">
            <v>1084</v>
          </cell>
          <cell r="C533" t="str">
            <v>PRE</v>
          </cell>
        </row>
        <row r="534">
          <cell r="B534">
            <v>10699</v>
          </cell>
          <cell r="C534" t="str">
            <v>PRE1</v>
          </cell>
        </row>
        <row r="535">
          <cell r="B535">
            <v>10700</v>
          </cell>
          <cell r="C535" t="str">
            <v>PRE2</v>
          </cell>
        </row>
        <row r="536">
          <cell r="B536">
            <v>10701</v>
          </cell>
          <cell r="C536" t="str">
            <v>PRE3</v>
          </cell>
        </row>
        <row r="537">
          <cell r="B537">
            <v>502</v>
          </cell>
          <cell r="C537" t="str">
            <v>SUB</v>
          </cell>
        </row>
        <row r="538">
          <cell r="B538">
            <v>509</v>
          </cell>
          <cell r="C538" t="str">
            <v>SUBd</v>
          </cell>
        </row>
        <row r="539">
          <cell r="B539">
            <v>829</v>
          </cell>
          <cell r="C539" t="str">
            <v>SUBd-m</v>
          </cell>
        </row>
        <row r="540">
          <cell r="B540">
            <v>845</v>
          </cell>
          <cell r="C540" t="str">
            <v>SUBd-sp</v>
          </cell>
        </row>
        <row r="541">
          <cell r="B541">
            <v>837</v>
          </cell>
          <cell r="C541" t="str">
            <v>SUBd-sr</v>
          </cell>
        </row>
        <row r="542">
          <cell r="B542">
            <v>518</v>
          </cell>
          <cell r="C542" t="str">
            <v>SUBv</v>
          </cell>
        </row>
        <row r="543">
          <cell r="B543">
            <v>853</v>
          </cell>
          <cell r="C543" t="str">
            <v>SUBv-m</v>
          </cell>
        </row>
        <row r="544">
          <cell r="B544">
            <v>870</v>
          </cell>
          <cell r="C544" t="str">
            <v>SUBv-sp</v>
          </cell>
        </row>
        <row r="545">
          <cell r="B545">
            <v>861</v>
          </cell>
          <cell r="C545" t="str">
            <v>SUBv-sr</v>
          </cell>
        </row>
        <row r="546">
          <cell r="B546">
            <v>484682470</v>
          </cell>
          <cell r="C546" t="str">
            <v>ProS</v>
          </cell>
        </row>
        <row r="547">
          <cell r="B547">
            <v>484682475</v>
          </cell>
          <cell r="C547" t="str">
            <v>ProSd</v>
          </cell>
        </row>
        <row r="548">
          <cell r="B548">
            <v>484682479</v>
          </cell>
          <cell r="C548" t="str">
            <v>ProSd-m</v>
          </cell>
        </row>
        <row r="549">
          <cell r="B549">
            <v>484682483</v>
          </cell>
          <cell r="C549" t="str">
            <v>ProSd-sp</v>
          </cell>
        </row>
        <row r="550">
          <cell r="B550">
            <v>484682487</v>
          </cell>
          <cell r="C550" t="str">
            <v>ProSd-sr</v>
          </cell>
        </row>
        <row r="551">
          <cell r="B551">
            <v>484682492</v>
          </cell>
          <cell r="C551" t="str">
            <v>ProSv</v>
          </cell>
        </row>
        <row r="552">
          <cell r="B552">
            <v>484682496</v>
          </cell>
          <cell r="C552" t="str">
            <v>ProSv-m</v>
          </cell>
        </row>
        <row r="553">
          <cell r="B553">
            <v>484682500</v>
          </cell>
          <cell r="C553" t="str">
            <v>ProSv-sp</v>
          </cell>
        </row>
        <row r="554">
          <cell r="B554">
            <v>484682504</v>
          </cell>
          <cell r="C554" t="str">
            <v>Prosv-sr</v>
          </cell>
        </row>
        <row r="555">
          <cell r="B555">
            <v>589508447</v>
          </cell>
          <cell r="C555" t="str">
            <v>HATA</v>
          </cell>
        </row>
        <row r="556">
          <cell r="B556">
            <v>484682508</v>
          </cell>
          <cell r="C556" t="str">
            <v>APr</v>
          </cell>
        </row>
        <row r="557">
          <cell r="B557">
            <v>703</v>
          </cell>
          <cell r="C557" t="str">
            <v>CTXsp</v>
          </cell>
        </row>
        <row r="558">
          <cell r="B558">
            <v>16</v>
          </cell>
          <cell r="C558" t="str">
            <v>6b</v>
          </cell>
        </row>
        <row r="559">
          <cell r="B559">
            <v>583</v>
          </cell>
          <cell r="C559" t="str">
            <v>CLA</v>
          </cell>
        </row>
        <row r="560">
          <cell r="B560">
            <v>942</v>
          </cell>
          <cell r="C560" t="str">
            <v>EP</v>
          </cell>
        </row>
        <row r="561">
          <cell r="B561">
            <v>952</v>
          </cell>
          <cell r="C561" t="str">
            <v>EPd</v>
          </cell>
        </row>
        <row r="562">
          <cell r="B562">
            <v>966</v>
          </cell>
          <cell r="C562" t="str">
            <v>EPv</v>
          </cell>
        </row>
        <row r="563">
          <cell r="B563">
            <v>131</v>
          </cell>
          <cell r="C563" t="str">
            <v>LA</v>
          </cell>
        </row>
        <row r="564">
          <cell r="B564">
            <v>295</v>
          </cell>
          <cell r="C564" t="str">
            <v>BLA</v>
          </cell>
        </row>
        <row r="565">
          <cell r="B565">
            <v>303</v>
          </cell>
          <cell r="C565" t="str">
            <v>BLAa</v>
          </cell>
        </row>
        <row r="566">
          <cell r="B566">
            <v>311</v>
          </cell>
          <cell r="C566" t="str">
            <v>BLAp</v>
          </cell>
        </row>
        <row r="567">
          <cell r="B567">
            <v>451</v>
          </cell>
          <cell r="C567" t="str">
            <v>BLAv</v>
          </cell>
        </row>
        <row r="568">
          <cell r="B568">
            <v>319</v>
          </cell>
          <cell r="C568" t="str">
            <v>BMA</v>
          </cell>
        </row>
        <row r="569">
          <cell r="B569">
            <v>327</v>
          </cell>
          <cell r="C569" t="str">
            <v>BMAa</v>
          </cell>
        </row>
        <row r="570">
          <cell r="B570">
            <v>334</v>
          </cell>
          <cell r="C570" t="str">
            <v>BMAp</v>
          </cell>
        </row>
        <row r="571">
          <cell r="B571">
            <v>780</v>
          </cell>
          <cell r="C571" t="str">
            <v>PA</v>
          </cell>
        </row>
        <row r="572">
          <cell r="B572">
            <v>623</v>
          </cell>
          <cell r="C572" t="str">
            <v>CNU</v>
          </cell>
        </row>
        <row r="573">
          <cell r="B573">
            <v>477</v>
          </cell>
          <cell r="C573" t="str">
            <v>STR</v>
          </cell>
        </row>
        <row r="574">
          <cell r="B574">
            <v>485</v>
          </cell>
          <cell r="C574" t="str">
            <v>STRd</v>
          </cell>
        </row>
        <row r="575">
          <cell r="B575">
            <v>672</v>
          </cell>
          <cell r="C575" t="str">
            <v>CP</v>
          </cell>
        </row>
        <row r="576">
          <cell r="B576">
            <v>493</v>
          </cell>
          <cell r="C576" t="str">
            <v>STRv</v>
          </cell>
        </row>
        <row r="577">
          <cell r="B577">
            <v>56</v>
          </cell>
          <cell r="C577" t="str">
            <v>ACB</v>
          </cell>
        </row>
        <row r="578">
          <cell r="B578">
            <v>998</v>
          </cell>
          <cell r="C578" t="str">
            <v>FS</v>
          </cell>
        </row>
        <row r="579">
          <cell r="B579">
            <v>754</v>
          </cell>
          <cell r="C579" t="str">
            <v>OT</v>
          </cell>
        </row>
        <row r="580">
          <cell r="B580">
            <v>481</v>
          </cell>
          <cell r="C580" t="str">
            <v>isl</v>
          </cell>
        </row>
        <row r="581">
          <cell r="B581">
            <v>489</v>
          </cell>
          <cell r="C581" t="str">
            <v>islm</v>
          </cell>
        </row>
        <row r="582">
          <cell r="B582">
            <v>144</v>
          </cell>
          <cell r="C582" t="str">
            <v>OT1-3</v>
          </cell>
        </row>
        <row r="583">
          <cell r="B583">
            <v>458</v>
          </cell>
          <cell r="C583" t="str">
            <v>OT1</v>
          </cell>
        </row>
        <row r="584">
          <cell r="B584">
            <v>465</v>
          </cell>
          <cell r="C584" t="str">
            <v>OT2</v>
          </cell>
        </row>
        <row r="585">
          <cell r="B585">
            <v>473</v>
          </cell>
          <cell r="C585" t="str">
            <v>OT3</v>
          </cell>
        </row>
        <row r="586">
          <cell r="B586">
            <v>549009199</v>
          </cell>
          <cell r="C586" t="str">
            <v>LSS</v>
          </cell>
        </row>
        <row r="587">
          <cell r="B587">
            <v>275</v>
          </cell>
          <cell r="C587" t="str">
            <v>LSX</v>
          </cell>
        </row>
        <row r="588">
          <cell r="B588">
            <v>242</v>
          </cell>
          <cell r="C588" t="str">
            <v>LS</v>
          </cell>
        </row>
        <row r="589">
          <cell r="B589">
            <v>250</v>
          </cell>
          <cell r="C589" t="str">
            <v>LSc</v>
          </cell>
        </row>
        <row r="590">
          <cell r="B590">
            <v>258</v>
          </cell>
          <cell r="C590" t="str">
            <v>LSr</v>
          </cell>
        </row>
        <row r="591">
          <cell r="B591">
            <v>266</v>
          </cell>
          <cell r="C591" t="str">
            <v>LSv</v>
          </cell>
        </row>
        <row r="592">
          <cell r="B592">
            <v>310</v>
          </cell>
          <cell r="C592" t="str">
            <v>SF</v>
          </cell>
        </row>
        <row r="593">
          <cell r="B593">
            <v>333</v>
          </cell>
          <cell r="C593" t="str">
            <v>SH</v>
          </cell>
        </row>
        <row r="594">
          <cell r="B594">
            <v>278</v>
          </cell>
          <cell r="C594" t="str">
            <v>sAMY</v>
          </cell>
        </row>
        <row r="595">
          <cell r="B595">
            <v>23</v>
          </cell>
          <cell r="C595" t="str">
            <v>AAA</v>
          </cell>
        </row>
        <row r="596">
          <cell r="B596">
            <v>292</v>
          </cell>
          <cell r="C596" t="str">
            <v>BA</v>
          </cell>
        </row>
        <row r="597">
          <cell r="B597">
            <v>536</v>
          </cell>
          <cell r="C597" t="str">
            <v>CEA</v>
          </cell>
        </row>
        <row r="598">
          <cell r="B598">
            <v>544</v>
          </cell>
          <cell r="C598" t="str">
            <v>CEAc</v>
          </cell>
        </row>
        <row r="599">
          <cell r="B599">
            <v>551</v>
          </cell>
          <cell r="C599" t="str">
            <v>CEAl</v>
          </cell>
        </row>
        <row r="600">
          <cell r="B600">
            <v>559</v>
          </cell>
          <cell r="C600" t="str">
            <v>CEAm</v>
          </cell>
        </row>
        <row r="601">
          <cell r="B601">
            <v>1105</v>
          </cell>
          <cell r="C601" t="str">
            <v>IA</v>
          </cell>
        </row>
        <row r="602">
          <cell r="B602">
            <v>403</v>
          </cell>
          <cell r="C602" t="str">
            <v>MEA</v>
          </cell>
        </row>
        <row r="603">
          <cell r="B603">
            <v>411</v>
          </cell>
          <cell r="C603" t="str">
            <v>MEAad</v>
          </cell>
        </row>
        <row r="604">
          <cell r="B604">
            <v>418</v>
          </cell>
          <cell r="C604" t="str">
            <v>MEAav</v>
          </cell>
        </row>
        <row r="605">
          <cell r="B605">
            <v>426</v>
          </cell>
          <cell r="C605" t="str">
            <v>MEApd</v>
          </cell>
        </row>
        <row r="606">
          <cell r="B606">
            <v>472</v>
          </cell>
          <cell r="C606" t="str">
            <v>MEApd-a</v>
          </cell>
        </row>
        <row r="607">
          <cell r="B607">
            <v>480</v>
          </cell>
          <cell r="C607" t="str">
            <v>MEApd-b</v>
          </cell>
        </row>
        <row r="608">
          <cell r="B608">
            <v>487</v>
          </cell>
          <cell r="C608" t="str">
            <v>MEApd-c</v>
          </cell>
        </row>
        <row r="609">
          <cell r="B609">
            <v>435</v>
          </cell>
          <cell r="C609" t="str">
            <v>MEApv</v>
          </cell>
        </row>
        <row r="610">
          <cell r="B610">
            <v>803</v>
          </cell>
          <cell r="C610" t="str">
            <v>PAL</v>
          </cell>
        </row>
        <row r="611">
          <cell r="B611">
            <v>818</v>
          </cell>
          <cell r="C611" t="str">
            <v>PALd</v>
          </cell>
        </row>
        <row r="612">
          <cell r="B612">
            <v>1022</v>
          </cell>
          <cell r="C612" t="str">
            <v>GPe</v>
          </cell>
        </row>
        <row r="613">
          <cell r="B613">
            <v>1031</v>
          </cell>
          <cell r="C613" t="str">
            <v>GPi</v>
          </cell>
        </row>
        <row r="614">
          <cell r="B614">
            <v>835</v>
          </cell>
          <cell r="C614" t="str">
            <v>PALv</v>
          </cell>
        </row>
        <row r="615">
          <cell r="B615">
            <v>342</v>
          </cell>
          <cell r="C615" t="str">
            <v>SI</v>
          </cell>
        </row>
        <row r="616">
          <cell r="B616">
            <v>298</v>
          </cell>
          <cell r="C616" t="str">
            <v>MA</v>
          </cell>
        </row>
        <row r="617">
          <cell r="B617">
            <v>826</v>
          </cell>
          <cell r="C617" t="str">
            <v>PALm</v>
          </cell>
        </row>
        <row r="618">
          <cell r="B618">
            <v>904</v>
          </cell>
          <cell r="C618" t="str">
            <v>MSC</v>
          </cell>
        </row>
        <row r="619">
          <cell r="B619">
            <v>564</v>
          </cell>
          <cell r="C619" t="str">
            <v>MS</v>
          </cell>
        </row>
        <row r="620">
          <cell r="B620">
            <v>596</v>
          </cell>
          <cell r="C620" t="str">
            <v>NDB</v>
          </cell>
        </row>
        <row r="621">
          <cell r="B621">
            <v>581</v>
          </cell>
          <cell r="C621" t="str">
            <v>TRS</v>
          </cell>
        </row>
        <row r="622">
          <cell r="B622">
            <v>809</v>
          </cell>
          <cell r="C622" t="str">
            <v>PALc</v>
          </cell>
        </row>
        <row r="623">
          <cell r="B623">
            <v>351</v>
          </cell>
          <cell r="C623" t="str">
            <v>BST</v>
          </cell>
        </row>
        <row r="624">
          <cell r="B624">
            <v>359</v>
          </cell>
          <cell r="C624" t="str">
            <v>BSTa</v>
          </cell>
        </row>
        <row r="625">
          <cell r="B625">
            <v>537</v>
          </cell>
          <cell r="C625" t="str">
            <v>BSTal</v>
          </cell>
        </row>
        <row r="626">
          <cell r="B626">
            <v>498</v>
          </cell>
          <cell r="C626" t="str">
            <v>BSTam</v>
          </cell>
        </row>
        <row r="627">
          <cell r="B627">
            <v>505</v>
          </cell>
          <cell r="C627" t="str">
            <v>BSTdm</v>
          </cell>
        </row>
        <row r="628">
          <cell r="B628">
            <v>513</v>
          </cell>
          <cell r="C628" t="str">
            <v>BSTfu</v>
          </cell>
        </row>
        <row r="629">
          <cell r="B629">
            <v>546</v>
          </cell>
          <cell r="C629" t="str">
            <v>BSTju</v>
          </cell>
        </row>
        <row r="630">
          <cell r="B630">
            <v>521</v>
          </cell>
          <cell r="C630" t="str">
            <v>BSTmg</v>
          </cell>
        </row>
        <row r="631">
          <cell r="B631">
            <v>554</v>
          </cell>
          <cell r="C631" t="str">
            <v>BSTov</v>
          </cell>
        </row>
        <row r="632">
          <cell r="B632">
            <v>562</v>
          </cell>
          <cell r="C632" t="str">
            <v>BSTrh</v>
          </cell>
        </row>
        <row r="633">
          <cell r="B633">
            <v>529</v>
          </cell>
          <cell r="C633" t="str">
            <v>BSTv</v>
          </cell>
        </row>
        <row r="634">
          <cell r="B634">
            <v>367</v>
          </cell>
          <cell r="C634" t="str">
            <v>BSTp</v>
          </cell>
        </row>
        <row r="635">
          <cell r="B635">
            <v>569</v>
          </cell>
          <cell r="C635" t="str">
            <v>BSTd</v>
          </cell>
        </row>
        <row r="636">
          <cell r="B636">
            <v>578</v>
          </cell>
          <cell r="C636" t="str">
            <v>BSTpr</v>
          </cell>
        </row>
        <row r="637">
          <cell r="B637">
            <v>585</v>
          </cell>
          <cell r="C637" t="str">
            <v>BSTif</v>
          </cell>
        </row>
        <row r="638">
          <cell r="B638">
            <v>594</v>
          </cell>
          <cell r="C638" t="str">
            <v>BSTtr</v>
          </cell>
        </row>
        <row r="639">
          <cell r="B639">
            <v>602</v>
          </cell>
          <cell r="C639" t="str">
            <v>BSTse</v>
          </cell>
        </row>
        <row r="640">
          <cell r="B640">
            <v>287</v>
          </cell>
          <cell r="C640" t="str">
            <v>BAC</v>
          </cell>
        </row>
        <row r="641">
          <cell r="B641">
            <v>343</v>
          </cell>
          <cell r="C641" t="str">
            <v>BS</v>
          </cell>
        </row>
        <row r="642">
          <cell r="B642">
            <v>1129</v>
          </cell>
          <cell r="C642" t="str">
            <v>IB</v>
          </cell>
        </row>
        <row r="643">
          <cell r="B643">
            <v>549</v>
          </cell>
          <cell r="C643" t="str">
            <v>TH</v>
          </cell>
        </row>
        <row r="644">
          <cell r="B644">
            <v>864</v>
          </cell>
          <cell r="C644" t="str">
            <v>DORsm</v>
          </cell>
        </row>
        <row r="645">
          <cell r="B645">
            <v>637</v>
          </cell>
          <cell r="C645" t="str">
            <v>VENT</v>
          </cell>
        </row>
        <row r="646">
          <cell r="B646">
            <v>629</v>
          </cell>
          <cell r="C646" t="str">
            <v>VAL</v>
          </cell>
        </row>
        <row r="647">
          <cell r="B647">
            <v>685</v>
          </cell>
          <cell r="C647" t="str">
            <v>VM</v>
          </cell>
        </row>
        <row r="648">
          <cell r="B648">
            <v>709</v>
          </cell>
          <cell r="C648" t="str">
            <v>VP</v>
          </cell>
        </row>
        <row r="649">
          <cell r="B649">
            <v>718</v>
          </cell>
          <cell r="C649" t="str">
            <v>VPL</v>
          </cell>
        </row>
        <row r="650">
          <cell r="B650">
            <v>725</v>
          </cell>
          <cell r="C650" t="str">
            <v>VPLpc</v>
          </cell>
        </row>
        <row r="651">
          <cell r="B651">
            <v>733</v>
          </cell>
          <cell r="C651" t="str">
            <v>VPM</v>
          </cell>
        </row>
        <row r="652">
          <cell r="B652">
            <v>741</v>
          </cell>
          <cell r="C652" t="str">
            <v>VPMpc</v>
          </cell>
        </row>
        <row r="653">
          <cell r="B653">
            <v>563807435</v>
          </cell>
          <cell r="C653" t="str">
            <v>PoT</v>
          </cell>
        </row>
        <row r="654">
          <cell r="B654">
            <v>406</v>
          </cell>
          <cell r="C654" t="str">
            <v>SPF</v>
          </cell>
        </row>
        <row r="655">
          <cell r="B655">
            <v>414</v>
          </cell>
          <cell r="C655" t="str">
            <v>SPFm</v>
          </cell>
        </row>
        <row r="656">
          <cell r="B656">
            <v>422</v>
          </cell>
          <cell r="C656" t="str">
            <v>SPFp</v>
          </cell>
        </row>
        <row r="657">
          <cell r="B657">
            <v>609</v>
          </cell>
          <cell r="C657" t="str">
            <v>SPA</v>
          </cell>
        </row>
        <row r="658">
          <cell r="B658">
            <v>1044</v>
          </cell>
          <cell r="C658" t="str">
            <v>PP</v>
          </cell>
        </row>
        <row r="659">
          <cell r="B659">
            <v>1008</v>
          </cell>
          <cell r="C659" t="str">
            <v>GENd</v>
          </cell>
        </row>
        <row r="660">
          <cell r="B660">
            <v>475</v>
          </cell>
          <cell r="C660" t="str">
            <v>MG</v>
          </cell>
        </row>
        <row r="661">
          <cell r="B661">
            <v>1072</v>
          </cell>
          <cell r="C661" t="str">
            <v>MGd</v>
          </cell>
        </row>
        <row r="662">
          <cell r="B662">
            <v>1079</v>
          </cell>
          <cell r="C662" t="str">
            <v>MGv</v>
          </cell>
        </row>
        <row r="663">
          <cell r="B663">
            <v>1088</v>
          </cell>
          <cell r="C663" t="str">
            <v>MGm</v>
          </cell>
        </row>
        <row r="664">
          <cell r="B664">
            <v>170</v>
          </cell>
          <cell r="C664" t="str">
            <v>LGd</v>
          </cell>
        </row>
        <row r="665">
          <cell r="B665">
            <v>496345664</v>
          </cell>
          <cell r="C665" t="str">
            <v>LGd-sh</v>
          </cell>
        </row>
        <row r="666">
          <cell r="B666">
            <v>496345668</v>
          </cell>
          <cell r="C666" t="str">
            <v>LGd-co</v>
          </cell>
        </row>
        <row r="667">
          <cell r="B667">
            <v>496345672</v>
          </cell>
          <cell r="C667" t="str">
            <v>LGd-ip</v>
          </cell>
        </row>
        <row r="668">
          <cell r="B668">
            <v>856</v>
          </cell>
          <cell r="C668" t="str">
            <v>DORpm</v>
          </cell>
        </row>
        <row r="669">
          <cell r="B669">
            <v>138</v>
          </cell>
          <cell r="C669" t="str">
            <v>LAT</v>
          </cell>
        </row>
        <row r="670">
          <cell r="B670">
            <v>218</v>
          </cell>
          <cell r="C670" t="str">
            <v>LP</v>
          </cell>
        </row>
        <row r="671">
          <cell r="B671">
            <v>1020</v>
          </cell>
          <cell r="C671" t="str">
            <v>PO</v>
          </cell>
        </row>
        <row r="672">
          <cell r="B672">
            <v>1029</v>
          </cell>
          <cell r="C672" t="str">
            <v>POL</v>
          </cell>
        </row>
        <row r="673">
          <cell r="B673">
            <v>325</v>
          </cell>
          <cell r="C673" t="str">
            <v>SGN</v>
          </cell>
        </row>
        <row r="674">
          <cell r="B674">
            <v>560581551</v>
          </cell>
          <cell r="C674" t="str">
            <v>Eth</v>
          </cell>
        </row>
        <row r="675">
          <cell r="B675">
            <v>560581555</v>
          </cell>
          <cell r="C675" t="str">
            <v>REth</v>
          </cell>
        </row>
        <row r="676">
          <cell r="B676">
            <v>239</v>
          </cell>
          <cell r="C676" t="str">
            <v>ATN</v>
          </cell>
        </row>
        <row r="677">
          <cell r="B677">
            <v>255</v>
          </cell>
          <cell r="C677" t="str">
            <v>AV</v>
          </cell>
        </row>
        <row r="678">
          <cell r="B678">
            <v>127</v>
          </cell>
          <cell r="C678" t="str">
            <v>AM</v>
          </cell>
        </row>
        <row r="679">
          <cell r="B679">
            <v>1096</v>
          </cell>
          <cell r="C679" t="str">
            <v>AMd</v>
          </cell>
        </row>
        <row r="680">
          <cell r="B680">
            <v>1104</v>
          </cell>
          <cell r="C680" t="str">
            <v>AMv</v>
          </cell>
        </row>
        <row r="681">
          <cell r="B681">
            <v>64</v>
          </cell>
          <cell r="C681" t="str">
            <v>AD</v>
          </cell>
        </row>
        <row r="682">
          <cell r="B682">
            <v>1120</v>
          </cell>
          <cell r="C682" t="str">
            <v>IAM</v>
          </cell>
        </row>
        <row r="683">
          <cell r="B683">
            <v>1113</v>
          </cell>
          <cell r="C683" t="str">
            <v>IAD</v>
          </cell>
        </row>
        <row r="684">
          <cell r="B684">
            <v>155</v>
          </cell>
          <cell r="C684" t="str">
            <v>LD</v>
          </cell>
        </row>
        <row r="685">
          <cell r="B685">
            <v>444</v>
          </cell>
          <cell r="C685" t="str">
            <v>MED</v>
          </cell>
        </row>
        <row r="686">
          <cell r="B686">
            <v>59</v>
          </cell>
          <cell r="C686" t="str">
            <v>IMD</v>
          </cell>
        </row>
        <row r="687">
          <cell r="B687">
            <v>362</v>
          </cell>
          <cell r="C687" t="str">
            <v>MD</v>
          </cell>
        </row>
        <row r="688">
          <cell r="B688">
            <v>617</v>
          </cell>
          <cell r="C688" t="str">
            <v>MDc</v>
          </cell>
        </row>
        <row r="689">
          <cell r="B689">
            <v>626</v>
          </cell>
          <cell r="C689" t="str">
            <v>MDl</v>
          </cell>
        </row>
        <row r="690">
          <cell r="B690">
            <v>636</v>
          </cell>
          <cell r="C690" t="str">
            <v>MDm</v>
          </cell>
        </row>
        <row r="691">
          <cell r="B691">
            <v>366</v>
          </cell>
          <cell r="C691" t="str">
            <v>SMT</v>
          </cell>
        </row>
        <row r="692">
          <cell r="B692">
            <v>1077</v>
          </cell>
          <cell r="C692" t="str">
            <v>PR</v>
          </cell>
        </row>
        <row r="693">
          <cell r="B693">
            <v>571</v>
          </cell>
          <cell r="C693" t="str">
            <v>MTN</v>
          </cell>
        </row>
        <row r="694">
          <cell r="B694">
            <v>149</v>
          </cell>
          <cell r="C694" t="str">
            <v>PVT</v>
          </cell>
        </row>
        <row r="695">
          <cell r="B695">
            <v>15</v>
          </cell>
          <cell r="C695" t="str">
            <v>PT</v>
          </cell>
        </row>
        <row r="696">
          <cell r="B696">
            <v>181</v>
          </cell>
          <cell r="C696" t="str">
            <v>RE</v>
          </cell>
        </row>
        <row r="697">
          <cell r="B697">
            <v>560581559</v>
          </cell>
          <cell r="C697" t="str">
            <v>Xi</v>
          </cell>
        </row>
        <row r="698">
          <cell r="B698">
            <v>51</v>
          </cell>
          <cell r="C698" t="str">
            <v>ILM</v>
          </cell>
        </row>
        <row r="699">
          <cell r="B699">
            <v>189</v>
          </cell>
          <cell r="C699" t="str">
            <v>RH</v>
          </cell>
        </row>
        <row r="700">
          <cell r="B700">
            <v>599</v>
          </cell>
          <cell r="C700" t="str">
            <v>CM</v>
          </cell>
        </row>
        <row r="701">
          <cell r="B701">
            <v>907</v>
          </cell>
          <cell r="C701" t="str">
            <v>PCN</v>
          </cell>
        </row>
        <row r="702">
          <cell r="B702">
            <v>575</v>
          </cell>
          <cell r="C702" t="str">
            <v>CL</v>
          </cell>
        </row>
        <row r="703">
          <cell r="B703">
            <v>930</v>
          </cell>
          <cell r="C703" t="str">
            <v>PF</v>
          </cell>
        </row>
        <row r="704">
          <cell r="B704">
            <v>560581563</v>
          </cell>
          <cell r="C704" t="str">
            <v>PIL</v>
          </cell>
        </row>
        <row r="705">
          <cell r="B705">
            <v>262</v>
          </cell>
          <cell r="C705" t="str">
            <v>RT</v>
          </cell>
        </row>
        <row r="706">
          <cell r="B706">
            <v>1014</v>
          </cell>
          <cell r="C706" t="str">
            <v>GENv</v>
          </cell>
        </row>
        <row r="707">
          <cell r="B707">
            <v>27</v>
          </cell>
          <cell r="C707" t="str">
            <v>IGL</v>
          </cell>
        </row>
        <row r="708">
          <cell r="B708">
            <v>563807439</v>
          </cell>
          <cell r="C708" t="str">
            <v>IntG</v>
          </cell>
        </row>
        <row r="709">
          <cell r="B709">
            <v>178</v>
          </cell>
          <cell r="C709" t="str">
            <v>LGv</v>
          </cell>
        </row>
        <row r="710">
          <cell r="B710">
            <v>300</v>
          </cell>
          <cell r="C710" t="str">
            <v>LGvl</v>
          </cell>
        </row>
        <row r="711">
          <cell r="B711">
            <v>316</v>
          </cell>
          <cell r="C711" t="str">
            <v>LGvm</v>
          </cell>
        </row>
        <row r="712">
          <cell r="B712">
            <v>321</v>
          </cell>
          <cell r="C712" t="str">
            <v>SubG</v>
          </cell>
        </row>
        <row r="713">
          <cell r="B713">
            <v>958</v>
          </cell>
          <cell r="C713" t="str">
            <v>EPI</v>
          </cell>
        </row>
        <row r="714">
          <cell r="B714">
            <v>483</v>
          </cell>
          <cell r="C714" t="str">
            <v>MH</v>
          </cell>
        </row>
        <row r="715">
          <cell r="B715">
            <v>186</v>
          </cell>
          <cell r="C715" t="str">
            <v>LH</v>
          </cell>
        </row>
        <row r="716">
          <cell r="B716">
            <v>953</v>
          </cell>
          <cell r="C716" t="str">
            <v>PIN</v>
          </cell>
        </row>
        <row r="717">
          <cell r="B717">
            <v>1097</v>
          </cell>
          <cell r="C717" t="str">
            <v>HY</v>
          </cell>
        </row>
        <row r="718">
          <cell r="B718">
            <v>157</v>
          </cell>
          <cell r="C718" t="str">
            <v>PVZ</v>
          </cell>
        </row>
        <row r="719">
          <cell r="B719">
            <v>390</v>
          </cell>
          <cell r="C719" t="str">
            <v>SO</v>
          </cell>
        </row>
        <row r="720">
          <cell r="B720">
            <v>332</v>
          </cell>
          <cell r="C720" t="str">
            <v>ASO</v>
          </cell>
        </row>
        <row r="721">
          <cell r="B721">
            <v>432</v>
          </cell>
          <cell r="C721" t="str">
            <v>NC</v>
          </cell>
        </row>
        <row r="722">
          <cell r="B722">
            <v>38</v>
          </cell>
          <cell r="C722" t="str">
            <v>PVH</v>
          </cell>
        </row>
        <row r="723">
          <cell r="B723">
            <v>71</v>
          </cell>
          <cell r="C723" t="str">
            <v>PVHm</v>
          </cell>
        </row>
        <row r="724">
          <cell r="B724">
            <v>47</v>
          </cell>
          <cell r="C724" t="str">
            <v>PVHam</v>
          </cell>
        </row>
        <row r="725">
          <cell r="B725">
            <v>79</v>
          </cell>
          <cell r="C725" t="str">
            <v>PVHmm</v>
          </cell>
        </row>
        <row r="726">
          <cell r="B726">
            <v>103</v>
          </cell>
          <cell r="C726" t="str">
            <v>PVHpm</v>
          </cell>
        </row>
        <row r="727">
          <cell r="B727">
            <v>652</v>
          </cell>
          <cell r="C727" t="str">
            <v>PVHpml</v>
          </cell>
        </row>
        <row r="728">
          <cell r="B728">
            <v>660</v>
          </cell>
          <cell r="C728" t="str">
            <v>PVHpmm</v>
          </cell>
        </row>
        <row r="729">
          <cell r="B729">
            <v>94</v>
          </cell>
          <cell r="C729" t="str">
            <v>PVHp</v>
          </cell>
        </row>
        <row r="730">
          <cell r="B730">
            <v>55</v>
          </cell>
          <cell r="C730" t="str">
            <v>PVHap</v>
          </cell>
        </row>
        <row r="731">
          <cell r="B731">
            <v>87</v>
          </cell>
          <cell r="C731" t="str">
            <v>PVHmpd</v>
          </cell>
        </row>
        <row r="732">
          <cell r="B732">
            <v>110</v>
          </cell>
          <cell r="C732" t="str">
            <v>PVHpv</v>
          </cell>
        </row>
        <row r="733">
          <cell r="B733">
            <v>30</v>
          </cell>
          <cell r="C733" t="str">
            <v>PVa</v>
          </cell>
        </row>
        <row r="734">
          <cell r="B734">
            <v>118</v>
          </cell>
          <cell r="C734" t="str">
            <v>PVi</v>
          </cell>
        </row>
        <row r="735">
          <cell r="B735">
            <v>223</v>
          </cell>
          <cell r="C735" t="str">
            <v>ARH</v>
          </cell>
        </row>
        <row r="736">
          <cell r="B736">
            <v>141</v>
          </cell>
          <cell r="C736" t="str">
            <v>PVR</v>
          </cell>
        </row>
        <row r="737">
          <cell r="B737">
            <v>72</v>
          </cell>
          <cell r="C737" t="str">
            <v>ADP</v>
          </cell>
        </row>
        <row r="738">
          <cell r="B738">
            <v>80</v>
          </cell>
          <cell r="C738" t="str">
            <v>AHA</v>
          </cell>
        </row>
        <row r="739">
          <cell r="B739">
            <v>263</v>
          </cell>
          <cell r="C739" t="str">
            <v>AVP</v>
          </cell>
        </row>
        <row r="740">
          <cell r="B740">
            <v>272</v>
          </cell>
          <cell r="C740" t="str">
            <v>AVPV</v>
          </cell>
        </row>
        <row r="741">
          <cell r="B741">
            <v>830</v>
          </cell>
          <cell r="C741" t="str">
            <v>DMH</v>
          </cell>
        </row>
        <row r="742">
          <cell r="B742">
            <v>668</v>
          </cell>
          <cell r="C742" t="str">
            <v>DMHa</v>
          </cell>
        </row>
        <row r="743">
          <cell r="B743">
            <v>676</v>
          </cell>
          <cell r="C743" t="str">
            <v>DMHp</v>
          </cell>
        </row>
        <row r="744">
          <cell r="B744">
            <v>684</v>
          </cell>
          <cell r="C744" t="str">
            <v>DMHv</v>
          </cell>
        </row>
        <row r="745">
          <cell r="B745">
            <v>452</v>
          </cell>
          <cell r="C745" t="str">
            <v>MEPO</v>
          </cell>
        </row>
        <row r="746">
          <cell r="B746">
            <v>523</v>
          </cell>
          <cell r="C746" t="str">
            <v>MPO</v>
          </cell>
        </row>
        <row r="747">
          <cell r="B747">
            <v>763</v>
          </cell>
          <cell r="C747" t="str">
            <v>OV</v>
          </cell>
        </row>
        <row r="748">
          <cell r="B748">
            <v>914</v>
          </cell>
          <cell r="C748" t="str">
            <v>PD</v>
          </cell>
        </row>
        <row r="749">
          <cell r="B749">
            <v>1109</v>
          </cell>
          <cell r="C749" t="str">
            <v>PS</v>
          </cell>
        </row>
        <row r="750">
          <cell r="B750">
            <v>1124</v>
          </cell>
          <cell r="C750" t="str">
            <v>PSCH</v>
          </cell>
        </row>
        <row r="751">
          <cell r="B751">
            <v>126</v>
          </cell>
          <cell r="C751" t="str">
            <v>PVp</v>
          </cell>
        </row>
        <row r="752">
          <cell r="B752">
            <v>133</v>
          </cell>
          <cell r="C752" t="str">
            <v>PVpo</v>
          </cell>
        </row>
        <row r="753">
          <cell r="B753">
            <v>347</v>
          </cell>
          <cell r="C753" t="str">
            <v>SBPV</v>
          </cell>
        </row>
        <row r="754">
          <cell r="B754">
            <v>286</v>
          </cell>
          <cell r="C754" t="str">
            <v>SCH</v>
          </cell>
        </row>
        <row r="755">
          <cell r="B755">
            <v>338</v>
          </cell>
          <cell r="C755" t="str">
            <v>SFO</v>
          </cell>
        </row>
        <row r="756">
          <cell r="B756">
            <v>576073699</v>
          </cell>
          <cell r="C756" t="str">
            <v>VMPO</v>
          </cell>
        </row>
        <row r="757">
          <cell r="B757">
            <v>689</v>
          </cell>
          <cell r="C757" t="str">
            <v>VLPO</v>
          </cell>
        </row>
        <row r="758">
          <cell r="B758">
            <v>467</v>
          </cell>
          <cell r="C758" t="str">
            <v>MEZ</v>
          </cell>
        </row>
        <row r="759">
          <cell r="B759">
            <v>88</v>
          </cell>
          <cell r="C759" t="str">
            <v>AHN</v>
          </cell>
        </row>
        <row r="760">
          <cell r="B760">
            <v>700</v>
          </cell>
          <cell r="C760" t="str">
            <v>AHNa</v>
          </cell>
        </row>
        <row r="761">
          <cell r="B761">
            <v>708</v>
          </cell>
          <cell r="C761" t="str">
            <v>AHNc</v>
          </cell>
        </row>
        <row r="762">
          <cell r="B762">
            <v>716</v>
          </cell>
          <cell r="C762" t="str">
            <v>AHNd</v>
          </cell>
        </row>
        <row r="763">
          <cell r="B763">
            <v>724</v>
          </cell>
          <cell r="C763" t="str">
            <v>AHNp</v>
          </cell>
        </row>
        <row r="764">
          <cell r="B764">
            <v>331</v>
          </cell>
          <cell r="C764" t="str">
            <v>MBO</v>
          </cell>
        </row>
        <row r="765">
          <cell r="B765">
            <v>210</v>
          </cell>
          <cell r="C765" t="str">
            <v>LM</v>
          </cell>
        </row>
        <row r="766">
          <cell r="B766">
            <v>491</v>
          </cell>
          <cell r="C766" t="str">
            <v>MM</v>
          </cell>
        </row>
        <row r="767">
          <cell r="B767">
            <v>732</v>
          </cell>
          <cell r="C767" t="str">
            <v>MMme</v>
          </cell>
        </row>
        <row r="768">
          <cell r="B768">
            <v>606826647</v>
          </cell>
          <cell r="C768" t="str">
            <v>MMl</v>
          </cell>
        </row>
        <row r="769">
          <cell r="B769">
            <v>606826651</v>
          </cell>
          <cell r="C769" t="str">
            <v>MMm</v>
          </cell>
        </row>
        <row r="770">
          <cell r="B770">
            <v>606826655</v>
          </cell>
          <cell r="C770" t="str">
            <v>MMp</v>
          </cell>
        </row>
        <row r="771">
          <cell r="B771">
            <v>606826659</v>
          </cell>
          <cell r="C771" t="str">
            <v>MMd</v>
          </cell>
        </row>
        <row r="772">
          <cell r="B772">
            <v>525</v>
          </cell>
          <cell r="C772" t="str">
            <v>SUM</v>
          </cell>
        </row>
        <row r="773">
          <cell r="B773">
            <v>1110</v>
          </cell>
          <cell r="C773" t="str">
            <v>SUMl</v>
          </cell>
        </row>
        <row r="774">
          <cell r="B774">
            <v>1118</v>
          </cell>
          <cell r="C774" t="str">
            <v>SUMm</v>
          </cell>
        </row>
        <row r="775">
          <cell r="B775">
            <v>557</v>
          </cell>
          <cell r="C775" t="str">
            <v>TM</v>
          </cell>
        </row>
        <row r="776">
          <cell r="B776">
            <v>1126</v>
          </cell>
          <cell r="C776" t="str">
            <v>TMd</v>
          </cell>
        </row>
        <row r="777">
          <cell r="B777">
            <v>1</v>
          </cell>
          <cell r="C777" t="str">
            <v>TMv</v>
          </cell>
        </row>
        <row r="778">
          <cell r="B778">
            <v>515</v>
          </cell>
          <cell r="C778" t="str">
            <v>MPN</v>
          </cell>
        </row>
        <row r="779">
          <cell r="B779">
            <v>740</v>
          </cell>
          <cell r="C779" t="str">
            <v>MPNc</v>
          </cell>
        </row>
        <row r="780">
          <cell r="B780">
            <v>748</v>
          </cell>
          <cell r="C780" t="str">
            <v>MPNl</v>
          </cell>
        </row>
        <row r="781">
          <cell r="B781">
            <v>756</v>
          </cell>
          <cell r="C781" t="str">
            <v>MPNm</v>
          </cell>
        </row>
        <row r="782">
          <cell r="B782">
            <v>980</v>
          </cell>
          <cell r="C782" t="str">
            <v>PMd</v>
          </cell>
        </row>
        <row r="783">
          <cell r="B783">
            <v>1004</v>
          </cell>
          <cell r="C783" t="str">
            <v>PMv</v>
          </cell>
        </row>
        <row r="784">
          <cell r="B784">
            <v>63</v>
          </cell>
          <cell r="C784" t="str">
            <v>PVHd</v>
          </cell>
        </row>
        <row r="785">
          <cell r="B785">
            <v>439</v>
          </cell>
          <cell r="C785" t="str">
            <v>PVHdp</v>
          </cell>
        </row>
        <row r="786">
          <cell r="B786">
            <v>447</v>
          </cell>
          <cell r="C786" t="str">
            <v>PVHf</v>
          </cell>
        </row>
        <row r="787">
          <cell r="B787">
            <v>455</v>
          </cell>
          <cell r="C787" t="str">
            <v>PVHlp</v>
          </cell>
        </row>
        <row r="788">
          <cell r="B788">
            <v>464</v>
          </cell>
          <cell r="C788" t="str">
            <v>PVHmpv</v>
          </cell>
        </row>
        <row r="789">
          <cell r="B789">
            <v>693</v>
          </cell>
          <cell r="C789" t="str">
            <v>VMH</v>
          </cell>
        </row>
        <row r="790">
          <cell r="B790">
            <v>761</v>
          </cell>
          <cell r="C790" t="str">
            <v>VMHa</v>
          </cell>
        </row>
        <row r="791">
          <cell r="B791">
            <v>769</v>
          </cell>
          <cell r="C791" t="str">
            <v>VMHc</v>
          </cell>
        </row>
        <row r="792">
          <cell r="B792">
            <v>777</v>
          </cell>
          <cell r="C792" t="str">
            <v>VMHdm</v>
          </cell>
        </row>
        <row r="793">
          <cell r="B793">
            <v>785</v>
          </cell>
          <cell r="C793" t="str">
            <v>VMHvl</v>
          </cell>
        </row>
        <row r="794">
          <cell r="B794">
            <v>946</v>
          </cell>
          <cell r="C794" t="str">
            <v>PH</v>
          </cell>
        </row>
        <row r="795">
          <cell r="B795">
            <v>290</v>
          </cell>
          <cell r="C795" t="str">
            <v>LZ</v>
          </cell>
        </row>
        <row r="796">
          <cell r="B796">
            <v>194</v>
          </cell>
          <cell r="C796" t="str">
            <v>LHA</v>
          </cell>
        </row>
        <row r="797">
          <cell r="B797">
            <v>226</v>
          </cell>
          <cell r="C797" t="str">
            <v>LPO</v>
          </cell>
        </row>
        <row r="798">
          <cell r="B798">
            <v>356</v>
          </cell>
          <cell r="C798" t="str">
            <v>PST</v>
          </cell>
        </row>
        <row r="799">
          <cell r="B799">
            <v>364</v>
          </cell>
          <cell r="C799" t="str">
            <v>PSTN</v>
          </cell>
        </row>
        <row r="800">
          <cell r="B800">
            <v>576073704</v>
          </cell>
          <cell r="C800" t="str">
            <v>PeF</v>
          </cell>
        </row>
        <row r="801">
          <cell r="B801">
            <v>173</v>
          </cell>
          <cell r="C801" t="str">
            <v>RCH</v>
          </cell>
        </row>
        <row r="802">
          <cell r="B802">
            <v>470</v>
          </cell>
          <cell r="C802" t="str">
            <v>STN</v>
          </cell>
        </row>
        <row r="803">
          <cell r="B803">
            <v>614</v>
          </cell>
          <cell r="C803" t="str">
            <v>TU</v>
          </cell>
        </row>
        <row r="804">
          <cell r="B804">
            <v>797</v>
          </cell>
          <cell r="C804" t="str">
            <v>ZI</v>
          </cell>
        </row>
        <row r="805">
          <cell r="B805">
            <v>796</v>
          </cell>
          <cell r="C805" t="str">
            <v>A13</v>
          </cell>
        </row>
        <row r="806">
          <cell r="B806">
            <v>804</v>
          </cell>
          <cell r="C806" t="str">
            <v>FF</v>
          </cell>
        </row>
        <row r="807">
          <cell r="B807">
            <v>10671</v>
          </cell>
          <cell r="C807" t="str">
            <v>ME</v>
          </cell>
        </row>
        <row r="808">
          <cell r="B808">
            <v>313</v>
          </cell>
          <cell r="C808" t="str">
            <v>MB</v>
          </cell>
        </row>
        <row r="809">
          <cell r="B809">
            <v>339</v>
          </cell>
          <cell r="C809" t="str">
            <v>MBsen</v>
          </cell>
        </row>
        <row r="810">
          <cell r="B810">
            <v>302</v>
          </cell>
          <cell r="C810" t="str">
            <v>SCs</v>
          </cell>
        </row>
        <row r="811">
          <cell r="B811">
            <v>851</v>
          </cell>
          <cell r="C811" t="str">
            <v>SCop</v>
          </cell>
        </row>
        <row r="812">
          <cell r="B812">
            <v>842</v>
          </cell>
          <cell r="C812" t="str">
            <v>SCsg</v>
          </cell>
        </row>
        <row r="813">
          <cell r="B813">
            <v>834</v>
          </cell>
          <cell r="C813" t="str">
            <v>SCzo</v>
          </cell>
        </row>
        <row r="814">
          <cell r="B814">
            <v>4</v>
          </cell>
          <cell r="C814" t="str">
            <v>IC</v>
          </cell>
        </row>
        <row r="815">
          <cell r="B815">
            <v>811</v>
          </cell>
          <cell r="C815" t="str">
            <v>ICc</v>
          </cell>
        </row>
        <row r="816">
          <cell r="B816">
            <v>820</v>
          </cell>
          <cell r="C816" t="str">
            <v>ICd</v>
          </cell>
        </row>
        <row r="817">
          <cell r="B817">
            <v>828</v>
          </cell>
          <cell r="C817" t="str">
            <v>ICe</v>
          </cell>
        </row>
        <row r="818">
          <cell r="B818">
            <v>580</v>
          </cell>
          <cell r="C818" t="str">
            <v>NB</v>
          </cell>
        </row>
        <row r="819">
          <cell r="B819">
            <v>271</v>
          </cell>
          <cell r="C819" t="str">
            <v>SAG</v>
          </cell>
        </row>
        <row r="820">
          <cell r="B820">
            <v>874</v>
          </cell>
          <cell r="C820" t="str">
            <v>PBG</v>
          </cell>
        </row>
        <row r="821">
          <cell r="B821">
            <v>460</v>
          </cell>
          <cell r="C821" t="str">
            <v>MEV</v>
          </cell>
        </row>
        <row r="822">
          <cell r="B822">
            <v>599626923</v>
          </cell>
          <cell r="C822" t="str">
            <v>SCO</v>
          </cell>
        </row>
        <row r="823">
          <cell r="B823">
            <v>323</v>
          </cell>
          <cell r="C823" t="str">
            <v>MBmot</v>
          </cell>
        </row>
        <row r="824">
          <cell r="B824">
            <v>381</v>
          </cell>
          <cell r="C824" t="str">
            <v>SNr</v>
          </cell>
        </row>
        <row r="825">
          <cell r="B825">
            <v>749</v>
          </cell>
          <cell r="C825" t="str">
            <v>VTA</v>
          </cell>
        </row>
        <row r="826">
          <cell r="B826">
            <v>607344830</v>
          </cell>
          <cell r="C826" t="str">
            <v>PN</v>
          </cell>
        </row>
        <row r="827">
          <cell r="B827">
            <v>246</v>
          </cell>
          <cell r="C827" t="str">
            <v>RR</v>
          </cell>
        </row>
        <row r="828">
          <cell r="B828">
            <v>128</v>
          </cell>
          <cell r="C828" t="str">
            <v>MRN</v>
          </cell>
        </row>
        <row r="829">
          <cell r="B829">
            <v>539</v>
          </cell>
          <cell r="C829" t="str">
            <v>MRNm</v>
          </cell>
        </row>
        <row r="830">
          <cell r="B830">
            <v>548</v>
          </cell>
          <cell r="C830" t="str">
            <v>MRNmg</v>
          </cell>
        </row>
        <row r="831">
          <cell r="B831">
            <v>555</v>
          </cell>
          <cell r="C831" t="str">
            <v>MRNp</v>
          </cell>
        </row>
        <row r="832">
          <cell r="B832">
            <v>294</v>
          </cell>
          <cell r="C832" t="str">
            <v>SCm</v>
          </cell>
        </row>
        <row r="833">
          <cell r="B833">
            <v>26</v>
          </cell>
          <cell r="C833" t="str">
            <v>SCdg</v>
          </cell>
        </row>
        <row r="834">
          <cell r="B834">
            <v>42</v>
          </cell>
          <cell r="C834" t="str">
            <v>SCdw</v>
          </cell>
        </row>
        <row r="835">
          <cell r="B835">
            <v>17</v>
          </cell>
          <cell r="C835" t="str">
            <v>SCiw</v>
          </cell>
        </row>
        <row r="836">
          <cell r="B836">
            <v>10</v>
          </cell>
          <cell r="C836" t="str">
            <v>SCig</v>
          </cell>
        </row>
        <row r="837">
          <cell r="B837">
            <v>494</v>
          </cell>
          <cell r="C837" t="str">
            <v>SCig-a</v>
          </cell>
        </row>
        <row r="838">
          <cell r="B838">
            <v>503</v>
          </cell>
          <cell r="C838" t="str">
            <v>SCig-b</v>
          </cell>
        </row>
        <row r="839">
          <cell r="B839">
            <v>511</v>
          </cell>
          <cell r="C839" t="str">
            <v>SCig-c</v>
          </cell>
        </row>
        <row r="840">
          <cell r="B840">
            <v>795</v>
          </cell>
          <cell r="C840" t="str">
            <v>PAG</v>
          </cell>
        </row>
        <row r="841">
          <cell r="B841">
            <v>50</v>
          </cell>
          <cell r="C841" t="str">
            <v>PRC</v>
          </cell>
        </row>
        <row r="842">
          <cell r="B842">
            <v>67</v>
          </cell>
          <cell r="C842" t="str">
            <v>INC</v>
          </cell>
        </row>
        <row r="843">
          <cell r="B843">
            <v>587</v>
          </cell>
          <cell r="C843" t="str">
            <v>ND</v>
          </cell>
        </row>
        <row r="844">
          <cell r="B844">
            <v>614454277</v>
          </cell>
          <cell r="C844" t="str">
            <v>Su3</v>
          </cell>
        </row>
        <row r="845">
          <cell r="B845">
            <v>1100</v>
          </cell>
          <cell r="C845" t="str">
            <v>PRT</v>
          </cell>
        </row>
        <row r="846">
          <cell r="B846">
            <v>215</v>
          </cell>
          <cell r="C846" t="str">
            <v>APN</v>
          </cell>
        </row>
        <row r="847">
          <cell r="B847">
            <v>531</v>
          </cell>
          <cell r="C847" t="str">
            <v>MPT</v>
          </cell>
        </row>
        <row r="848">
          <cell r="B848">
            <v>628</v>
          </cell>
          <cell r="C848" t="str">
            <v>NOT</v>
          </cell>
        </row>
        <row r="849">
          <cell r="B849">
            <v>634</v>
          </cell>
          <cell r="C849" t="str">
            <v>NPC</v>
          </cell>
        </row>
        <row r="850">
          <cell r="B850">
            <v>706</v>
          </cell>
          <cell r="C850" t="str">
            <v>OP</v>
          </cell>
        </row>
        <row r="851">
          <cell r="B851">
            <v>1061</v>
          </cell>
          <cell r="C851" t="str">
            <v>PPT</v>
          </cell>
        </row>
        <row r="852">
          <cell r="B852">
            <v>549009203</v>
          </cell>
          <cell r="C852" t="str">
            <v>RPF</v>
          </cell>
        </row>
        <row r="853">
          <cell r="B853">
            <v>549009207</v>
          </cell>
          <cell r="C853" t="str">
            <v>InCo</v>
          </cell>
        </row>
        <row r="854">
          <cell r="B854">
            <v>616</v>
          </cell>
          <cell r="C854" t="str">
            <v>CUN</v>
          </cell>
        </row>
        <row r="855">
          <cell r="B855">
            <v>214</v>
          </cell>
          <cell r="C855" t="str">
            <v>RN</v>
          </cell>
        </row>
        <row r="856">
          <cell r="B856">
            <v>35</v>
          </cell>
          <cell r="C856" t="str">
            <v>III</v>
          </cell>
        </row>
        <row r="857">
          <cell r="B857">
            <v>549009211</v>
          </cell>
          <cell r="C857" t="str">
            <v>MA3</v>
          </cell>
        </row>
        <row r="858">
          <cell r="B858">
            <v>975</v>
          </cell>
          <cell r="C858" t="str">
            <v>EW</v>
          </cell>
        </row>
        <row r="859">
          <cell r="B859">
            <v>115</v>
          </cell>
          <cell r="C859" t="str">
            <v>IV</v>
          </cell>
        </row>
        <row r="860">
          <cell r="B860">
            <v>606826663</v>
          </cell>
          <cell r="C860" t="str">
            <v>Pa4</v>
          </cell>
        </row>
        <row r="861">
          <cell r="B861">
            <v>757</v>
          </cell>
          <cell r="C861" t="str">
            <v>VTN</v>
          </cell>
        </row>
        <row r="862">
          <cell r="B862">
            <v>231</v>
          </cell>
          <cell r="C862" t="str">
            <v>AT</v>
          </cell>
        </row>
        <row r="863">
          <cell r="B863">
            <v>66</v>
          </cell>
          <cell r="C863" t="str">
            <v>LT</v>
          </cell>
        </row>
        <row r="864">
          <cell r="B864">
            <v>75</v>
          </cell>
          <cell r="C864" t="str">
            <v>DT</v>
          </cell>
        </row>
        <row r="865">
          <cell r="B865">
            <v>58</v>
          </cell>
          <cell r="C865" t="str">
            <v>MT</v>
          </cell>
        </row>
        <row r="866">
          <cell r="B866">
            <v>615</v>
          </cell>
          <cell r="C866" t="str">
            <v>SNl</v>
          </cell>
        </row>
        <row r="867">
          <cell r="B867">
            <v>348</v>
          </cell>
          <cell r="C867" t="str">
            <v>MBsta</v>
          </cell>
        </row>
        <row r="868">
          <cell r="B868">
            <v>374</v>
          </cell>
          <cell r="C868" t="str">
            <v>SNc</v>
          </cell>
        </row>
        <row r="869">
          <cell r="B869">
            <v>1052</v>
          </cell>
          <cell r="C869" t="str">
            <v>PPN</v>
          </cell>
        </row>
        <row r="870">
          <cell r="B870">
            <v>165</v>
          </cell>
          <cell r="C870" t="str">
            <v>RAmb</v>
          </cell>
        </row>
        <row r="871">
          <cell r="B871">
            <v>12</v>
          </cell>
          <cell r="C871" t="str">
            <v>IF</v>
          </cell>
        </row>
        <row r="872">
          <cell r="B872">
            <v>100</v>
          </cell>
          <cell r="C872" t="str">
            <v>IPN</v>
          </cell>
        </row>
        <row r="873">
          <cell r="B873">
            <v>607344834</v>
          </cell>
          <cell r="C873" t="str">
            <v>IPR</v>
          </cell>
        </row>
        <row r="874">
          <cell r="B874">
            <v>607344838</v>
          </cell>
          <cell r="C874" t="str">
            <v>IPC</v>
          </cell>
        </row>
        <row r="875">
          <cell r="B875">
            <v>607344842</v>
          </cell>
          <cell r="C875" t="str">
            <v>IPA</v>
          </cell>
        </row>
        <row r="876">
          <cell r="B876">
            <v>607344846</v>
          </cell>
          <cell r="C876" t="str">
            <v>IPL</v>
          </cell>
        </row>
        <row r="877">
          <cell r="B877">
            <v>607344850</v>
          </cell>
          <cell r="C877" t="str">
            <v>IPI</v>
          </cell>
        </row>
        <row r="878">
          <cell r="B878">
            <v>607344854</v>
          </cell>
          <cell r="C878" t="str">
            <v>IPDM</v>
          </cell>
        </row>
        <row r="879">
          <cell r="B879">
            <v>607344858</v>
          </cell>
          <cell r="C879" t="str">
            <v>IPDL</v>
          </cell>
        </row>
        <row r="880">
          <cell r="B880">
            <v>607344862</v>
          </cell>
          <cell r="C880" t="str">
            <v>IPRL</v>
          </cell>
        </row>
        <row r="881">
          <cell r="B881">
            <v>197</v>
          </cell>
          <cell r="C881" t="str">
            <v>RL</v>
          </cell>
        </row>
        <row r="882">
          <cell r="B882">
            <v>591</v>
          </cell>
          <cell r="C882" t="str">
            <v>CLI</v>
          </cell>
        </row>
        <row r="883">
          <cell r="B883">
            <v>872</v>
          </cell>
          <cell r="C883" t="str">
            <v>DR</v>
          </cell>
        </row>
        <row r="884">
          <cell r="B884">
            <v>1065</v>
          </cell>
          <cell r="C884" t="str">
            <v>HB</v>
          </cell>
        </row>
        <row r="885">
          <cell r="B885">
            <v>771</v>
          </cell>
          <cell r="C885" t="str">
            <v>P</v>
          </cell>
        </row>
        <row r="886">
          <cell r="B886">
            <v>1132</v>
          </cell>
          <cell r="C886" t="str">
            <v>P-sen</v>
          </cell>
        </row>
        <row r="887">
          <cell r="B887">
            <v>612</v>
          </cell>
          <cell r="C887" t="str">
            <v>NLL</v>
          </cell>
        </row>
        <row r="888">
          <cell r="B888">
            <v>82</v>
          </cell>
          <cell r="C888" t="str">
            <v>NLLd</v>
          </cell>
        </row>
        <row r="889">
          <cell r="B889">
            <v>90</v>
          </cell>
          <cell r="C889" t="str">
            <v>NLLh</v>
          </cell>
        </row>
        <row r="890">
          <cell r="B890">
            <v>99</v>
          </cell>
          <cell r="C890" t="str">
            <v>NLLv</v>
          </cell>
        </row>
        <row r="891">
          <cell r="B891">
            <v>7</v>
          </cell>
          <cell r="C891" t="str">
            <v>PSV</v>
          </cell>
        </row>
        <row r="892">
          <cell r="B892">
            <v>867</v>
          </cell>
          <cell r="C892" t="str">
            <v>PB</v>
          </cell>
        </row>
        <row r="893">
          <cell r="B893">
            <v>123</v>
          </cell>
          <cell r="C893" t="str">
            <v>KF</v>
          </cell>
        </row>
        <row r="894">
          <cell r="B894">
            <v>881</v>
          </cell>
          <cell r="C894" t="str">
            <v>PBl</v>
          </cell>
        </row>
        <row r="895">
          <cell r="B895">
            <v>860</v>
          </cell>
          <cell r="C895" t="str">
            <v>PBlc</v>
          </cell>
        </row>
        <row r="896">
          <cell r="B896">
            <v>868</v>
          </cell>
          <cell r="C896" t="str">
            <v>PBld</v>
          </cell>
        </row>
        <row r="897">
          <cell r="B897">
            <v>875</v>
          </cell>
          <cell r="C897" t="str">
            <v>PBle</v>
          </cell>
        </row>
        <row r="898">
          <cell r="B898">
            <v>883</v>
          </cell>
          <cell r="C898" t="str">
            <v>PBls</v>
          </cell>
        </row>
        <row r="899">
          <cell r="B899">
            <v>891</v>
          </cell>
          <cell r="C899" t="str">
            <v>PBlv</v>
          </cell>
        </row>
        <row r="900">
          <cell r="B900">
            <v>890</v>
          </cell>
          <cell r="C900" t="str">
            <v>PBm</v>
          </cell>
        </row>
        <row r="901">
          <cell r="B901">
            <v>899</v>
          </cell>
          <cell r="C901" t="str">
            <v>PBme</v>
          </cell>
        </row>
        <row r="902">
          <cell r="B902">
            <v>915</v>
          </cell>
          <cell r="C902" t="str">
            <v>PBmm</v>
          </cell>
        </row>
        <row r="903">
          <cell r="B903">
            <v>923</v>
          </cell>
          <cell r="C903" t="str">
            <v>PBmv</v>
          </cell>
        </row>
        <row r="904">
          <cell r="B904">
            <v>398</v>
          </cell>
          <cell r="C904" t="str">
            <v>SOC</v>
          </cell>
        </row>
        <row r="905">
          <cell r="B905">
            <v>122</v>
          </cell>
          <cell r="C905" t="str">
            <v>POR</v>
          </cell>
        </row>
        <row r="906">
          <cell r="B906">
            <v>105</v>
          </cell>
          <cell r="C906" t="str">
            <v>SOCm</v>
          </cell>
        </row>
        <row r="907">
          <cell r="B907">
            <v>114</v>
          </cell>
          <cell r="C907" t="str">
            <v>SOCl</v>
          </cell>
        </row>
        <row r="908">
          <cell r="B908">
            <v>987</v>
          </cell>
          <cell r="C908" t="str">
            <v>P-mot</v>
          </cell>
        </row>
        <row r="909">
          <cell r="B909">
            <v>280</v>
          </cell>
          <cell r="C909" t="str">
            <v>B</v>
          </cell>
        </row>
        <row r="910">
          <cell r="B910">
            <v>880</v>
          </cell>
          <cell r="C910" t="str">
            <v>DTN</v>
          </cell>
        </row>
        <row r="911">
          <cell r="B911">
            <v>283</v>
          </cell>
          <cell r="C911" t="str">
            <v>LTN</v>
          </cell>
        </row>
        <row r="912">
          <cell r="B912">
            <v>599626927</v>
          </cell>
          <cell r="C912" t="str">
            <v>PDTg</v>
          </cell>
        </row>
        <row r="913">
          <cell r="B913">
            <v>898</v>
          </cell>
          <cell r="C913" t="str">
            <v>PCG</v>
          </cell>
        </row>
        <row r="914">
          <cell r="B914">
            <v>931</v>
          </cell>
          <cell r="C914" t="str">
            <v>PG</v>
          </cell>
        </row>
        <row r="915">
          <cell r="B915">
            <v>1093</v>
          </cell>
          <cell r="C915" t="str">
            <v>PRNc</v>
          </cell>
        </row>
        <row r="916">
          <cell r="B916">
            <v>552</v>
          </cell>
          <cell r="C916" t="str">
            <v>PRNv</v>
          </cell>
        </row>
        <row r="917">
          <cell r="B917">
            <v>318</v>
          </cell>
          <cell r="C917" t="str">
            <v>SG</v>
          </cell>
        </row>
        <row r="918">
          <cell r="B918">
            <v>462</v>
          </cell>
          <cell r="C918" t="str">
            <v>SSN</v>
          </cell>
        </row>
        <row r="919">
          <cell r="B919">
            <v>534</v>
          </cell>
          <cell r="C919" t="str">
            <v>SUT</v>
          </cell>
        </row>
        <row r="920">
          <cell r="B920">
            <v>574</v>
          </cell>
          <cell r="C920" t="str">
            <v>TRN</v>
          </cell>
        </row>
        <row r="921">
          <cell r="B921">
            <v>621</v>
          </cell>
          <cell r="C921" t="str">
            <v>V</v>
          </cell>
        </row>
        <row r="922">
          <cell r="B922">
            <v>549009215</v>
          </cell>
          <cell r="C922" t="str">
            <v>P5</v>
          </cell>
        </row>
        <row r="923">
          <cell r="B923">
            <v>549009219</v>
          </cell>
          <cell r="C923" t="str">
            <v>Acs5</v>
          </cell>
        </row>
        <row r="924">
          <cell r="B924">
            <v>549009223</v>
          </cell>
          <cell r="C924" t="str">
            <v>PC5</v>
          </cell>
        </row>
        <row r="925">
          <cell r="B925">
            <v>549009227</v>
          </cell>
          <cell r="C925" t="str">
            <v>I5</v>
          </cell>
        </row>
        <row r="926">
          <cell r="B926">
            <v>1117</v>
          </cell>
          <cell r="C926" t="str">
            <v>P-sat</v>
          </cell>
        </row>
        <row r="927">
          <cell r="B927">
            <v>679</v>
          </cell>
          <cell r="C927" t="str">
            <v>CS</v>
          </cell>
        </row>
        <row r="928">
          <cell r="B928">
            <v>137</v>
          </cell>
          <cell r="C928" t="str">
            <v>CSl</v>
          </cell>
        </row>
        <row r="929">
          <cell r="B929">
            <v>130</v>
          </cell>
          <cell r="C929" t="str">
            <v>CSm</v>
          </cell>
        </row>
        <row r="930">
          <cell r="B930">
            <v>147</v>
          </cell>
          <cell r="C930" t="str">
            <v>LC</v>
          </cell>
        </row>
        <row r="931">
          <cell r="B931">
            <v>162</v>
          </cell>
          <cell r="C931" t="str">
            <v>LDT</v>
          </cell>
        </row>
        <row r="932">
          <cell r="B932">
            <v>604</v>
          </cell>
          <cell r="C932" t="str">
            <v>NI</v>
          </cell>
        </row>
        <row r="933">
          <cell r="B933">
            <v>146</v>
          </cell>
          <cell r="C933" t="str">
            <v>PRNr</v>
          </cell>
        </row>
        <row r="934">
          <cell r="B934">
            <v>238</v>
          </cell>
          <cell r="C934" t="str">
            <v>RPO</v>
          </cell>
        </row>
        <row r="935">
          <cell r="B935">
            <v>350</v>
          </cell>
          <cell r="C935" t="str">
            <v>SLC</v>
          </cell>
        </row>
        <row r="936">
          <cell r="B936">
            <v>358</v>
          </cell>
          <cell r="C936" t="str">
            <v>SLD</v>
          </cell>
        </row>
        <row r="937">
          <cell r="B937">
            <v>354</v>
          </cell>
          <cell r="C937" t="str">
            <v>MY</v>
          </cell>
        </row>
        <row r="938">
          <cell r="B938">
            <v>386</v>
          </cell>
          <cell r="C938" t="str">
            <v>MY-sen</v>
          </cell>
        </row>
        <row r="939">
          <cell r="B939">
            <v>207</v>
          </cell>
          <cell r="C939" t="str">
            <v>AP</v>
          </cell>
        </row>
        <row r="940">
          <cell r="B940">
            <v>607</v>
          </cell>
          <cell r="C940" t="str">
            <v>CN</v>
          </cell>
        </row>
        <row r="941">
          <cell r="B941">
            <v>112</v>
          </cell>
          <cell r="C941" t="str">
            <v>CNlam</v>
          </cell>
        </row>
        <row r="942">
          <cell r="B942">
            <v>560</v>
          </cell>
          <cell r="C942" t="str">
            <v>CNspg</v>
          </cell>
        </row>
        <row r="943">
          <cell r="B943">
            <v>96</v>
          </cell>
          <cell r="C943" t="str">
            <v>DCO</v>
          </cell>
        </row>
        <row r="944">
          <cell r="B944">
            <v>101</v>
          </cell>
          <cell r="C944" t="str">
            <v>VCO</v>
          </cell>
        </row>
        <row r="945">
          <cell r="B945">
            <v>720</v>
          </cell>
          <cell r="C945" t="str">
            <v>DCN</v>
          </cell>
        </row>
        <row r="946">
          <cell r="B946">
            <v>711</v>
          </cell>
          <cell r="C946" t="str">
            <v>CU</v>
          </cell>
        </row>
        <row r="947">
          <cell r="B947">
            <v>1039</v>
          </cell>
          <cell r="C947" t="str">
            <v>GR</v>
          </cell>
        </row>
        <row r="948">
          <cell r="B948">
            <v>903</v>
          </cell>
          <cell r="C948" t="str">
            <v>ECU</v>
          </cell>
        </row>
        <row r="949">
          <cell r="B949">
            <v>642</v>
          </cell>
          <cell r="C949" t="str">
            <v>NTB</v>
          </cell>
        </row>
        <row r="950">
          <cell r="B950">
            <v>651</v>
          </cell>
          <cell r="C950" t="str">
            <v>NTS</v>
          </cell>
        </row>
        <row r="951">
          <cell r="B951">
            <v>659</v>
          </cell>
          <cell r="C951" t="str">
            <v>NTSce</v>
          </cell>
        </row>
        <row r="952">
          <cell r="B952">
            <v>666</v>
          </cell>
          <cell r="C952" t="str">
            <v>NTSco</v>
          </cell>
        </row>
        <row r="953">
          <cell r="B953">
            <v>674</v>
          </cell>
          <cell r="C953" t="str">
            <v>NTSge</v>
          </cell>
        </row>
        <row r="954">
          <cell r="B954">
            <v>682</v>
          </cell>
          <cell r="C954" t="str">
            <v>NTSl</v>
          </cell>
        </row>
        <row r="955">
          <cell r="B955">
            <v>691</v>
          </cell>
          <cell r="C955" t="str">
            <v>NTSm</v>
          </cell>
        </row>
        <row r="956">
          <cell r="B956">
            <v>429</v>
          </cell>
          <cell r="C956" t="str">
            <v>SPVC</v>
          </cell>
        </row>
        <row r="957">
          <cell r="B957">
            <v>437</v>
          </cell>
          <cell r="C957" t="str">
            <v>SPVI</v>
          </cell>
        </row>
        <row r="958">
          <cell r="B958">
            <v>445</v>
          </cell>
          <cell r="C958" t="str">
            <v>SPVO</v>
          </cell>
        </row>
        <row r="959">
          <cell r="B959">
            <v>77</v>
          </cell>
          <cell r="C959" t="str">
            <v>SPVOcdm</v>
          </cell>
        </row>
        <row r="960">
          <cell r="B960">
            <v>53</v>
          </cell>
          <cell r="C960" t="str">
            <v>SPVOmdmd</v>
          </cell>
        </row>
        <row r="961">
          <cell r="B961">
            <v>61</v>
          </cell>
          <cell r="C961" t="str">
            <v>SPVOmdmv</v>
          </cell>
        </row>
        <row r="962">
          <cell r="B962">
            <v>45</v>
          </cell>
          <cell r="C962" t="str">
            <v>SPVOrdm</v>
          </cell>
        </row>
        <row r="963">
          <cell r="B963">
            <v>69</v>
          </cell>
          <cell r="C963" t="str">
            <v>SPVOvl</v>
          </cell>
        </row>
        <row r="964">
          <cell r="B964">
            <v>589508451</v>
          </cell>
          <cell r="C964" t="str">
            <v>Pa5</v>
          </cell>
        </row>
        <row r="965">
          <cell r="B965">
            <v>789</v>
          </cell>
          <cell r="C965" t="str">
            <v>z</v>
          </cell>
        </row>
        <row r="966">
          <cell r="B966">
            <v>370</v>
          </cell>
          <cell r="C966" t="str">
            <v>MY-mot</v>
          </cell>
        </row>
        <row r="967">
          <cell r="B967">
            <v>653</v>
          </cell>
          <cell r="C967" t="str">
            <v>VI</v>
          </cell>
        </row>
        <row r="968">
          <cell r="B968">
            <v>568</v>
          </cell>
          <cell r="C968" t="str">
            <v>ACVI</v>
          </cell>
        </row>
        <row r="969">
          <cell r="B969">
            <v>661</v>
          </cell>
          <cell r="C969" t="str">
            <v>VII</v>
          </cell>
        </row>
        <row r="970">
          <cell r="B970">
            <v>576</v>
          </cell>
          <cell r="C970" t="str">
            <v>ACVII</v>
          </cell>
        </row>
        <row r="971">
          <cell r="B971">
            <v>640</v>
          </cell>
          <cell r="C971" t="str">
            <v>EV</v>
          </cell>
        </row>
        <row r="972">
          <cell r="B972">
            <v>135</v>
          </cell>
          <cell r="C972" t="str">
            <v>AMB</v>
          </cell>
        </row>
        <row r="973">
          <cell r="B973">
            <v>939</v>
          </cell>
          <cell r="C973" t="str">
            <v>AMBd</v>
          </cell>
        </row>
        <row r="974">
          <cell r="B974">
            <v>143</v>
          </cell>
          <cell r="C974" t="str">
            <v>AMBv</v>
          </cell>
        </row>
        <row r="975">
          <cell r="B975">
            <v>839</v>
          </cell>
          <cell r="C975" t="str">
            <v>DMX</v>
          </cell>
        </row>
        <row r="976">
          <cell r="B976">
            <v>887</v>
          </cell>
          <cell r="C976" t="str">
            <v>ECO</v>
          </cell>
        </row>
        <row r="977">
          <cell r="B977">
            <v>1048</v>
          </cell>
          <cell r="C977" t="str">
            <v>GRN</v>
          </cell>
        </row>
        <row r="978">
          <cell r="B978">
            <v>372</v>
          </cell>
          <cell r="C978" t="str">
            <v>ICB</v>
          </cell>
        </row>
        <row r="979">
          <cell r="B979">
            <v>83</v>
          </cell>
          <cell r="C979" t="str">
            <v>IO</v>
          </cell>
        </row>
        <row r="980">
          <cell r="B980">
            <v>136</v>
          </cell>
          <cell r="C980" t="str">
            <v>IRN</v>
          </cell>
        </row>
        <row r="981">
          <cell r="B981">
            <v>106</v>
          </cell>
          <cell r="C981" t="str">
            <v>ISN</v>
          </cell>
        </row>
        <row r="982">
          <cell r="B982">
            <v>203</v>
          </cell>
          <cell r="C982" t="str">
            <v>LIN</v>
          </cell>
        </row>
        <row r="983">
          <cell r="B983">
            <v>235</v>
          </cell>
          <cell r="C983" t="str">
            <v>LRN</v>
          </cell>
        </row>
        <row r="984">
          <cell r="B984">
            <v>955</v>
          </cell>
          <cell r="C984" t="str">
            <v>LRNm</v>
          </cell>
        </row>
        <row r="985">
          <cell r="B985">
            <v>963</v>
          </cell>
          <cell r="C985" t="str">
            <v>LRNp</v>
          </cell>
        </row>
        <row r="986">
          <cell r="B986">
            <v>307</v>
          </cell>
          <cell r="C986" t="str">
            <v>MARN</v>
          </cell>
        </row>
        <row r="987">
          <cell r="B987">
            <v>395</v>
          </cell>
          <cell r="C987" t="str">
            <v>MDRN</v>
          </cell>
        </row>
        <row r="988">
          <cell r="B988">
            <v>1098</v>
          </cell>
          <cell r="C988" t="str">
            <v>MDRNd</v>
          </cell>
        </row>
        <row r="989">
          <cell r="B989">
            <v>1107</v>
          </cell>
          <cell r="C989" t="str">
            <v>MDRNv</v>
          </cell>
        </row>
        <row r="990">
          <cell r="B990">
            <v>852</v>
          </cell>
          <cell r="C990" t="str">
            <v>PARN</v>
          </cell>
        </row>
        <row r="991">
          <cell r="B991">
            <v>859</v>
          </cell>
          <cell r="C991" t="str">
            <v>PAS</v>
          </cell>
        </row>
        <row r="992">
          <cell r="B992">
            <v>938</v>
          </cell>
          <cell r="C992" t="str">
            <v>PGRN</v>
          </cell>
        </row>
        <row r="993">
          <cell r="B993">
            <v>970</v>
          </cell>
          <cell r="C993" t="str">
            <v>PGRNd</v>
          </cell>
        </row>
        <row r="994">
          <cell r="B994">
            <v>978</v>
          </cell>
          <cell r="C994" t="str">
            <v>PGRNl</v>
          </cell>
        </row>
        <row r="995">
          <cell r="B995">
            <v>154</v>
          </cell>
          <cell r="C995" t="str">
            <v>PHY</v>
          </cell>
        </row>
        <row r="996">
          <cell r="B996">
            <v>161</v>
          </cell>
          <cell r="C996" t="str">
            <v>NIS</v>
          </cell>
        </row>
        <row r="997">
          <cell r="B997">
            <v>177</v>
          </cell>
          <cell r="C997" t="str">
            <v>NR</v>
          </cell>
        </row>
        <row r="998">
          <cell r="B998">
            <v>169</v>
          </cell>
          <cell r="C998" t="str">
            <v>PRP</v>
          </cell>
        </row>
        <row r="999">
          <cell r="B999">
            <v>995</v>
          </cell>
          <cell r="C999" t="str">
            <v>PMR</v>
          </cell>
        </row>
        <row r="1000">
          <cell r="B1000">
            <v>1069</v>
          </cell>
          <cell r="C1000" t="str">
            <v>PPY</v>
          </cell>
        </row>
        <row r="1001">
          <cell r="B1001">
            <v>185</v>
          </cell>
          <cell r="C1001" t="str">
            <v>PPYd</v>
          </cell>
        </row>
        <row r="1002">
          <cell r="B1002">
            <v>193</v>
          </cell>
          <cell r="C1002" t="str">
            <v>PPYs</v>
          </cell>
        </row>
        <row r="1003">
          <cell r="B1003">
            <v>701</v>
          </cell>
          <cell r="C1003" t="str">
            <v>VNC</v>
          </cell>
        </row>
        <row r="1004">
          <cell r="B1004">
            <v>209</v>
          </cell>
          <cell r="C1004" t="str">
            <v>LAV</v>
          </cell>
        </row>
        <row r="1005">
          <cell r="B1005">
            <v>202</v>
          </cell>
          <cell r="C1005" t="str">
            <v>MV</v>
          </cell>
        </row>
        <row r="1006">
          <cell r="B1006">
            <v>225</v>
          </cell>
          <cell r="C1006" t="str">
            <v>SPIV</v>
          </cell>
        </row>
        <row r="1007">
          <cell r="B1007">
            <v>217</v>
          </cell>
          <cell r="C1007" t="str">
            <v>SUV</v>
          </cell>
        </row>
        <row r="1008">
          <cell r="B1008">
            <v>765</v>
          </cell>
          <cell r="C1008" t="str">
            <v>x</v>
          </cell>
        </row>
        <row r="1009">
          <cell r="B1009">
            <v>773</v>
          </cell>
          <cell r="C1009" t="str">
            <v>XII</v>
          </cell>
        </row>
        <row r="1010">
          <cell r="B1010">
            <v>781</v>
          </cell>
          <cell r="C1010" t="str">
            <v>y</v>
          </cell>
        </row>
        <row r="1011">
          <cell r="B1011">
            <v>76</v>
          </cell>
          <cell r="C1011" t="str">
            <v>INV</v>
          </cell>
        </row>
        <row r="1012">
          <cell r="B1012">
            <v>379</v>
          </cell>
          <cell r="C1012" t="str">
            <v>MY-sat</v>
          </cell>
        </row>
        <row r="1013">
          <cell r="B1013">
            <v>206</v>
          </cell>
          <cell r="C1013" t="str">
            <v>RM</v>
          </cell>
        </row>
        <row r="1014">
          <cell r="B1014">
            <v>230</v>
          </cell>
          <cell r="C1014" t="str">
            <v>RPA</v>
          </cell>
        </row>
        <row r="1015">
          <cell r="B1015">
            <v>222</v>
          </cell>
          <cell r="C1015" t="str">
            <v>RO</v>
          </cell>
        </row>
        <row r="1016">
          <cell r="B1016">
            <v>512</v>
          </cell>
          <cell r="C1016" t="str">
            <v>CB</v>
          </cell>
        </row>
        <row r="1017">
          <cell r="B1017">
            <v>528</v>
          </cell>
          <cell r="C1017" t="str">
            <v>CBX</v>
          </cell>
        </row>
        <row r="1018">
          <cell r="B1018">
            <v>1144</v>
          </cell>
          <cell r="C1018" t="str">
            <v>CBXmo</v>
          </cell>
        </row>
        <row r="1019">
          <cell r="B1019">
            <v>1145</v>
          </cell>
          <cell r="C1019" t="str">
            <v>CBXpu</v>
          </cell>
        </row>
        <row r="1020">
          <cell r="B1020">
            <v>1143</v>
          </cell>
          <cell r="C1020" t="str">
            <v>CBXgr</v>
          </cell>
        </row>
        <row r="1021">
          <cell r="B1021">
            <v>645</v>
          </cell>
          <cell r="C1021" t="str">
            <v>VERM</v>
          </cell>
        </row>
        <row r="1022">
          <cell r="B1022">
            <v>912</v>
          </cell>
          <cell r="C1022" t="str">
            <v>LING</v>
          </cell>
        </row>
        <row r="1023">
          <cell r="B1023">
            <v>10707</v>
          </cell>
          <cell r="C1023" t="str">
            <v>LINGmo</v>
          </cell>
        </row>
        <row r="1024">
          <cell r="B1024">
            <v>10706</v>
          </cell>
          <cell r="C1024" t="str">
            <v>LINGpu</v>
          </cell>
        </row>
        <row r="1025">
          <cell r="B1025">
            <v>10705</v>
          </cell>
          <cell r="C1025" t="str">
            <v>LINGgr</v>
          </cell>
        </row>
        <row r="1026">
          <cell r="B1026">
            <v>920</v>
          </cell>
          <cell r="C1026" t="str">
            <v>CENT</v>
          </cell>
        </row>
        <row r="1027">
          <cell r="B1027">
            <v>976</v>
          </cell>
          <cell r="C1027" t="str">
            <v>CENT2</v>
          </cell>
        </row>
        <row r="1028">
          <cell r="B1028">
            <v>10710</v>
          </cell>
          <cell r="C1028" t="str">
            <v>CENT2mo</v>
          </cell>
        </row>
        <row r="1029">
          <cell r="B1029">
            <v>10709</v>
          </cell>
          <cell r="C1029" t="str">
            <v>CENT2pu</v>
          </cell>
        </row>
        <row r="1030">
          <cell r="B1030">
            <v>10708</v>
          </cell>
          <cell r="C1030" t="str">
            <v>CENT2gr</v>
          </cell>
        </row>
        <row r="1031">
          <cell r="B1031">
            <v>984</v>
          </cell>
          <cell r="C1031" t="str">
            <v>CENT3</v>
          </cell>
        </row>
        <row r="1032">
          <cell r="B1032">
            <v>10713</v>
          </cell>
          <cell r="C1032" t="str">
            <v>CENT3mo</v>
          </cell>
        </row>
        <row r="1033">
          <cell r="B1033">
            <v>10712</v>
          </cell>
          <cell r="C1033" t="str">
            <v>CENT3pu</v>
          </cell>
        </row>
        <row r="1034">
          <cell r="B1034">
            <v>10711</v>
          </cell>
          <cell r="C1034" t="str">
            <v>CENT3gr</v>
          </cell>
        </row>
        <row r="1035">
          <cell r="B1035">
            <v>928</v>
          </cell>
          <cell r="C1035" t="str">
            <v>CUL</v>
          </cell>
        </row>
        <row r="1036">
          <cell r="B1036">
            <v>992</v>
          </cell>
          <cell r="C1036" t="str">
            <v>CUL4</v>
          </cell>
        </row>
        <row r="1037">
          <cell r="B1037">
            <v>10716</v>
          </cell>
          <cell r="C1037" t="str">
            <v>CUL4mo</v>
          </cell>
        </row>
        <row r="1038">
          <cell r="B1038">
            <v>10715</v>
          </cell>
          <cell r="C1038" t="str">
            <v>CUL4pu</v>
          </cell>
        </row>
        <row r="1039">
          <cell r="B1039">
            <v>10714</v>
          </cell>
          <cell r="C1039" t="str">
            <v>CUL4gr</v>
          </cell>
        </row>
        <row r="1040">
          <cell r="B1040">
            <v>1001</v>
          </cell>
          <cell r="C1040" t="str">
            <v>CUL5</v>
          </cell>
        </row>
        <row r="1041">
          <cell r="B1041">
            <v>10719</v>
          </cell>
          <cell r="C1041" t="str">
            <v>CUL5mo</v>
          </cell>
        </row>
        <row r="1042">
          <cell r="B1042">
            <v>10718</v>
          </cell>
          <cell r="C1042" t="str">
            <v>CUL5pu</v>
          </cell>
        </row>
        <row r="1043">
          <cell r="B1043">
            <v>10717</v>
          </cell>
          <cell r="C1043" t="str">
            <v>CUL5gr</v>
          </cell>
        </row>
        <row r="1044">
          <cell r="B1044">
            <v>1091</v>
          </cell>
          <cell r="C1044" t="str">
            <v>CUL4, 5</v>
          </cell>
        </row>
        <row r="1045">
          <cell r="B1045">
            <v>10722</v>
          </cell>
          <cell r="C1045" t="str">
            <v>CUL4, 5mo</v>
          </cell>
        </row>
        <row r="1046">
          <cell r="B1046">
            <v>10721</v>
          </cell>
          <cell r="C1046" t="str">
            <v>CUL4, 5pu</v>
          </cell>
        </row>
        <row r="1047">
          <cell r="B1047">
            <v>10720</v>
          </cell>
          <cell r="C1047" t="str">
            <v>CUL4, 5gr</v>
          </cell>
        </row>
        <row r="1048">
          <cell r="B1048">
            <v>936</v>
          </cell>
          <cell r="C1048" t="str">
            <v>DEC</v>
          </cell>
        </row>
        <row r="1049">
          <cell r="B1049">
            <v>10725</v>
          </cell>
          <cell r="C1049" t="str">
            <v>DECmo</v>
          </cell>
        </row>
        <row r="1050">
          <cell r="B1050">
            <v>10724</v>
          </cell>
          <cell r="C1050" t="str">
            <v>DECpu</v>
          </cell>
        </row>
        <row r="1051">
          <cell r="B1051">
            <v>10723</v>
          </cell>
          <cell r="C1051" t="str">
            <v>DECgr</v>
          </cell>
        </row>
        <row r="1052">
          <cell r="B1052">
            <v>944</v>
          </cell>
          <cell r="C1052" t="str">
            <v>FOTU</v>
          </cell>
        </row>
        <row r="1053">
          <cell r="B1053">
            <v>10728</v>
          </cell>
          <cell r="C1053" t="str">
            <v>FOTUmo</v>
          </cell>
        </row>
        <row r="1054">
          <cell r="B1054">
            <v>10727</v>
          </cell>
          <cell r="C1054" t="str">
            <v>FOTUpu</v>
          </cell>
        </row>
        <row r="1055">
          <cell r="B1055">
            <v>10726</v>
          </cell>
          <cell r="C1055" t="str">
            <v>FOTUgr</v>
          </cell>
        </row>
        <row r="1056">
          <cell r="B1056">
            <v>951</v>
          </cell>
          <cell r="C1056" t="str">
            <v>PYR</v>
          </cell>
        </row>
        <row r="1057">
          <cell r="B1057">
            <v>10731</v>
          </cell>
          <cell r="C1057" t="str">
            <v>PYRmo</v>
          </cell>
        </row>
        <row r="1058">
          <cell r="B1058">
            <v>10730</v>
          </cell>
          <cell r="C1058" t="str">
            <v>PYRpu</v>
          </cell>
        </row>
        <row r="1059">
          <cell r="B1059">
            <v>10729</v>
          </cell>
          <cell r="C1059" t="str">
            <v>PYRgr</v>
          </cell>
        </row>
        <row r="1060">
          <cell r="B1060">
            <v>957</v>
          </cell>
          <cell r="C1060" t="str">
            <v>UVU</v>
          </cell>
        </row>
        <row r="1061">
          <cell r="B1061">
            <v>10734</v>
          </cell>
          <cell r="C1061" t="str">
            <v>UVUmo</v>
          </cell>
        </row>
        <row r="1062">
          <cell r="B1062">
            <v>10733</v>
          </cell>
          <cell r="C1062" t="str">
            <v>UVUpu</v>
          </cell>
        </row>
        <row r="1063">
          <cell r="B1063">
            <v>10732</v>
          </cell>
          <cell r="C1063" t="str">
            <v>UVUgr</v>
          </cell>
        </row>
        <row r="1064">
          <cell r="B1064">
            <v>968</v>
          </cell>
          <cell r="C1064" t="str">
            <v>NOD</v>
          </cell>
        </row>
        <row r="1065">
          <cell r="B1065">
            <v>10737</v>
          </cell>
          <cell r="C1065" t="str">
            <v>NODmo</v>
          </cell>
        </row>
        <row r="1066">
          <cell r="B1066">
            <v>10736</v>
          </cell>
          <cell r="C1066" t="str">
            <v>NODpu</v>
          </cell>
        </row>
        <row r="1067">
          <cell r="B1067">
            <v>10735</v>
          </cell>
          <cell r="C1067" t="str">
            <v>NODgr</v>
          </cell>
        </row>
        <row r="1068">
          <cell r="B1068">
            <v>1073</v>
          </cell>
          <cell r="C1068" t="str">
            <v>HEM</v>
          </cell>
        </row>
        <row r="1069">
          <cell r="B1069">
            <v>1007</v>
          </cell>
          <cell r="C1069" t="str">
            <v>SIM</v>
          </cell>
        </row>
        <row r="1070">
          <cell r="B1070">
            <v>10674</v>
          </cell>
          <cell r="C1070" t="str">
            <v>SIMmo</v>
          </cell>
        </row>
        <row r="1071">
          <cell r="B1071">
            <v>10673</v>
          </cell>
          <cell r="C1071" t="str">
            <v>SIMpu</v>
          </cell>
        </row>
        <row r="1072">
          <cell r="B1072">
            <v>10672</v>
          </cell>
          <cell r="C1072" t="str">
            <v>SIMgr</v>
          </cell>
        </row>
        <row r="1073">
          <cell r="B1073">
            <v>1017</v>
          </cell>
          <cell r="C1073" t="str">
            <v>AN</v>
          </cell>
        </row>
        <row r="1074">
          <cell r="B1074">
            <v>1056</v>
          </cell>
          <cell r="C1074" t="str">
            <v>ANcr1</v>
          </cell>
        </row>
        <row r="1075">
          <cell r="B1075">
            <v>10677</v>
          </cell>
          <cell r="C1075" t="str">
            <v>ANcr1mo</v>
          </cell>
        </row>
        <row r="1076">
          <cell r="B1076">
            <v>10676</v>
          </cell>
          <cell r="C1076" t="str">
            <v>ANcr1pu</v>
          </cell>
        </row>
        <row r="1077">
          <cell r="B1077">
            <v>10675</v>
          </cell>
          <cell r="C1077" t="str">
            <v>ANcr1gr</v>
          </cell>
        </row>
        <row r="1078">
          <cell r="B1078">
            <v>1064</v>
          </cell>
          <cell r="C1078" t="str">
            <v>ANcr2</v>
          </cell>
        </row>
        <row r="1079">
          <cell r="B1079">
            <v>10680</v>
          </cell>
          <cell r="C1079" t="str">
            <v>ANcr2mo</v>
          </cell>
        </row>
        <row r="1080">
          <cell r="B1080">
            <v>10679</v>
          </cell>
          <cell r="C1080" t="str">
            <v>ANcr2pu</v>
          </cell>
        </row>
        <row r="1081">
          <cell r="B1081">
            <v>10678</v>
          </cell>
          <cell r="C1081" t="str">
            <v>ANcr2gr</v>
          </cell>
        </row>
        <row r="1082">
          <cell r="B1082">
            <v>1025</v>
          </cell>
          <cell r="C1082" t="str">
            <v>PRM</v>
          </cell>
        </row>
        <row r="1083">
          <cell r="B1083">
            <v>10683</v>
          </cell>
          <cell r="C1083" t="str">
            <v>PRMmo</v>
          </cell>
        </row>
        <row r="1084">
          <cell r="B1084">
            <v>10682</v>
          </cell>
          <cell r="C1084" t="str">
            <v>PRMpu</v>
          </cell>
        </row>
        <row r="1085">
          <cell r="B1085">
            <v>10681</v>
          </cell>
          <cell r="C1085" t="str">
            <v>PRMgr</v>
          </cell>
        </row>
        <row r="1086">
          <cell r="B1086">
            <v>1033</v>
          </cell>
          <cell r="C1086" t="str">
            <v>COPY</v>
          </cell>
        </row>
        <row r="1087">
          <cell r="B1087">
            <v>10686</v>
          </cell>
          <cell r="C1087" t="str">
            <v>COPYmo</v>
          </cell>
        </row>
        <row r="1088">
          <cell r="B1088">
            <v>10685</v>
          </cell>
          <cell r="C1088" t="str">
            <v>COPYpu</v>
          </cell>
        </row>
        <row r="1089">
          <cell r="B1089">
            <v>10684</v>
          </cell>
          <cell r="C1089" t="str">
            <v>COPYgr</v>
          </cell>
        </row>
        <row r="1090">
          <cell r="B1090">
            <v>1041</v>
          </cell>
          <cell r="C1090" t="str">
            <v>PFL</v>
          </cell>
        </row>
        <row r="1091">
          <cell r="B1091">
            <v>10689</v>
          </cell>
          <cell r="C1091" t="str">
            <v>PFLmo</v>
          </cell>
        </row>
        <row r="1092">
          <cell r="B1092">
            <v>10688</v>
          </cell>
          <cell r="C1092" t="str">
            <v>PFLpu</v>
          </cell>
        </row>
        <row r="1093">
          <cell r="B1093">
            <v>10687</v>
          </cell>
          <cell r="C1093" t="str">
            <v>PFLgr</v>
          </cell>
        </row>
        <row r="1094">
          <cell r="B1094">
            <v>1049</v>
          </cell>
          <cell r="C1094" t="str">
            <v>FL</v>
          </cell>
        </row>
        <row r="1095">
          <cell r="B1095">
            <v>10692</v>
          </cell>
          <cell r="C1095" t="str">
            <v>FLmo</v>
          </cell>
        </row>
        <row r="1096">
          <cell r="B1096">
            <v>10691</v>
          </cell>
          <cell r="C1096" t="str">
            <v>FLpu</v>
          </cell>
        </row>
        <row r="1097">
          <cell r="B1097">
            <v>10690</v>
          </cell>
          <cell r="C1097" t="str">
            <v>FLgr</v>
          </cell>
        </row>
        <row r="1098">
          <cell r="B1098">
            <v>519</v>
          </cell>
          <cell r="C1098" t="str">
            <v>CBN</v>
          </cell>
        </row>
        <row r="1099">
          <cell r="B1099">
            <v>989</v>
          </cell>
          <cell r="C1099" t="str">
            <v>FN</v>
          </cell>
        </row>
        <row r="1100">
          <cell r="B1100">
            <v>91</v>
          </cell>
          <cell r="C1100" t="str">
            <v>IP</v>
          </cell>
        </row>
        <row r="1101">
          <cell r="B1101">
            <v>846</v>
          </cell>
          <cell r="C1101" t="str">
            <v>DN</v>
          </cell>
        </row>
        <row r="1102">
          <cell r="B1102">
            <v>589508455</v>
          </cell>
          <cell r="C1102" t="str">
            <v>VeCB</v>
          </cell>
        </row>
        <row r="1103">
          <cell r="B1103">
            <v>1009</v>
          </cell>
          <cell r="C1103" t="str">
            <v>fiber tracts</v>
          </cell>
        </row>
        <row r="1104">
          <cell r="B1104">
            <v>967</v>
          </cell>
          <cell r="C1104" t="str">
            <v>cm</v>
          </cell>
        </row>
        <row r="1105">
          <cell r="B1105">
            <v>885</v>
          </cell>
          <cell r="C1105" t="str">
            <v>tn</v>
          </cell>
        </row>
        <row r="1106">
          <cell r="B1106">
            <v>949</v>
          </cell>
          <cell r="C1106" t="str">
            <v>von</v>
          </cell>
        </row>
        <row r="1107">
          <cell r="B1107">
            <v>840</v>
          </cell>
          <cell r="C1107" t="str">
            <v>In</v>
          </cell>
        </row>
        <row r="1108">
          <cell r="B1108">
            <v>1016</v>
          </cell>
          <cell r="C1108" t="str">
            <v>onl</v>
          </cell>
        </row>
        <row r="1109">
          <cell r="B1109">
            <v>21</v>
          </cell>
          <cell r="C1109" t="str">
            <v>lotg</v>
          </cell>
        </row>
        <row r="1110">
          <cell r="B1110">
            <v>665</v>
          </cell>
          <cell r="C1110" t="str">
            <v>lot</v>
          </cell>
        </row>
        <row r="1111">
          <cell r="B1111">
            <v>538</v>
          </cell>
          <cell r="C1111" t="str">
            <v>lotd</v>
          </cell>
        </row>
        <row r="1112">
          <cell r="B1112">
            <v>459</v>
          </cell>
          <cell r="C1112" t="str">
            <v>aolt</v>
          </cell>
        </row>
        <row r="1113">
          <cell r="B1113">
            <v>900</v>
          </cell>
          <cell r="C1113" t="str">
            <v>aco</v>
          </cell>
        </row>
        <row r="1114">
          <cell r="B1114">
            <v>848</v>
          </cell>
          <cell r="C1114" t="str">
            <v>IIn</v>
          </cell>
        </row>
        <row r="1115">
          <cell r="B1115">
            <v>876</v>
          </cell>
          <cell r="C1115" t="str">
            <v>aot</v>
          </cell>
        </row>
        <row r="1116">
          <cell r="B1116">
            <v>916</v>
          </cell>
          <cell r="C1116" t="str">
            <v>bsc</v>
          </cell>
        </row>
        <row r="1117">
          <cell r="B1117">
            <v>336</v>
          </cell>
          <cell r="C1117" t="str">
            <v>csc</v>
          </cell>
        </row>
        <row r="1118">
          <cell r="B1118">
            <v>117</v>
          </cell>
          <cell r="C1118" t="str">
            <v>och</v>
          </cell>
        </row>
        <row r="1119">
          <cell r="B1119">
            <v>125</v>
          </cell>
          <cell r="C1119" t="str">
            <v>opt</v>
          </cell>
        </row>
        <row r="1120">
          <cell r="B1120">
            <v>357</v>
          </cell>
          <cell r="C1120" t="str">
            <v>ttp</v>
          </cell>
        </row>
        <row r="1121">
          <cell r="B1121">
            <v>832</v>
          </cell>
          <cell r="C1121" t="str">
            <v>IIIn</v>
          </cell>
        </row>
        <row r="1122">
          <cell r="B1122">
            <v>62</v>
          </cell>
          <cell r="C1122" t="str">
            <v>mlf</v>
          </cell>
        </row>
        <row r="1123">
          <cell r="B1123">
            <v>158</v>
          </cell>
          <cell r="C1123" t="str">
            <v>pc</v>
          </cell>
        </row>
        <row r="1124">
          <cell r="B1124">
            <v>911</v>
          </cell>
          <cell r="C1124" t="str">
            <v>IVn</v>
          </cell>
        </row>
        <row r="1125">
          <cell r="B1125">
            <v>384</v>
          </cell>
          <cell r="C1125" t="str">
            <v>IVd</v>
          </cell>
        </row>
        <row r="1126">
          <cell r="B1126">
            <v>710</v>
          </cell>
          <cell r="C1126" t="str">
            <v>VIn</v>
          </cell>
        </row>
        <row r="1127">
          <cell r="B1127">
            <v>901</v>
          </cell>
          <cell r="C1127" t="str">
            <v>Vn</v>
          </cell>
        </row>
        <row r="1128">
          <cell r="B1128">
            <v>93</v>
          </cell>
          <cell r="C1128" t="str">
            <v>moV</v>
          </cell>
        </row>
        <row r="1129">
          <cell r="B1129">
            <v>229</v>
          </cell>
          <cell r="C1129" t="str">
            <v>sV</v>
          </cell>
        </row>
        <row r="1130">
          <cell r="B1130">
            <v>705</v>
          </cell>
          <cell r="C1130" t="str">
            <v>mtV</v>
          </cell>
        </row>
        <row r="1131">
          <cell r="B1131">
            <v>794</v>
          </cell>
          <cell r="C1131" t="str">
            <v>sptV</v>
          </cell>
        </row>
        <row r="1132">
          <cell r="B1132">
            <v>798</v>
          </cell>
          <cell r="C1132" t="str">
            <v>VIIn</v>
          </cell>
        </row>
        <row r="1133">
          <cell r="B1133">
            <v>1131</v>
          </cell>
          <cell r="C1133" t="str">
            <v>iVIIn</v>
          </cell>
        </row>
        <row r="1134">
          <cell r="B1134">
            <v>1116</v>
          </cell>
          <cell r="C1134" t="str">
            <v>gVIIn</v>
          </cell>
        </row>
        <row r="1135">
          <cell r="B1135">
            <v>933</v>
          </cell>
          <cell r="C1135" t="str">
            <v>VIIIn</v>
          </cell>
        </row>
        <row r="1136">
          <cell r="B1136">
            <v>1076</v>
          </cell>
          <cell r="C1136" t="str">
            <v>cvb</v>
          </cell>
        </row>
        <row r="1137">
          <cell r="B1137">
            <v>413</v>
          </cell>
          <cell r="C1137" t="str">
            <v>vVIIIn</v>
          </cell>
        </row>
        <row r="1138">
          <cell r="B1138">
            <v>948</v>
          </cell>
          <cell r="C1138" t="str">
            <v>cVIIIn</v>
          </cell>
        </row>
        <row r="1139">
          <cell r="B1139">
            <v>841</v>
          </cell>
          <cell r="C1139" t="str">
            <v>tb</v>
          </cell>
        </row>
        <row r="1140">
          <cell r="B1140">
            <v>641</v>
          </cell>
          <cell r="C1140" t="str">
            <v>ias</v>
          </cell>
        </row>
        <row r="1141">
          <cell r="B1141">
            <v>506</v>
          </cell>
          <cell r="C1141" t="str">
            <v>das</v>
          </cell>
        </row>
        <row r="1142">
          <cell r="B1142">
            <v>658</v>
          </cell>
          <cell r="C1142" t="str">
            <v>ll</v>
          </cell>
        </row>
        <row r="1143">
          <cell r="B1143">
            <v>633</v>
          </cell>
          <cell r="C1143" t="str">
            <v>cic</v>
          </cell>
        </row>
        <row r="1144">
          <cell r="B1144">
            <v>482</v>
          </cell>
          <cell r="C1144" t="str">
            <v>bic</v>
          </cell>
        </row>
        <row r="1145">
          <cell r="B1145">
            <v>808</v>
          </cell>
          <cell r="C1145" t="str">
            <v>IXn</v>
          </cell>
        </row>
        <row r="1146">
          <cell r="B1146">
            <v>917</v>
          </cell>
          <cell r="C1146" t="str">
            <v>Xn</v>
          </cell>
        </row>
        <row r="1147">
          <cell r="B1147">
            <v>237</v>
          </cell>
          <cell r="C1147" t="str">
            <v>ts</v>
          </cell>
        </row>
        <row r="1148">
          <cell r="B1148">
            <v>717</v>
          </cell>
          <cell r="C1148" t="str">
            <v>XIn</v>
          </cell>
        </row>
        <row r="1149">
          <cell r="B1149">
            <v>813</v>
          </cell>
          <cell r="C1149" t="str">
            <v>XIIn</v>
          </cell>
        </row>
        <row r="1150">
          <cell r="B1150">
            <v>925</v>
          </cell>
          <cell r="C1150" t="str">
            <v>vrt</v>
          </cell>
        </row>
        <row r="1151">
          <cell r="B1151">
            <v>792</v>
          </cell>
          <cell r="C1151" t="str">
            <v>drt</v>
          </cell>
        </row>
        <row r="1152">
          <cell r="B1152">
            <v>932</v>
          </cell>
          <cell r="C1152" t="str">
            <v>cett</v>
          </cell>
        </row>
        <row r="1153">
          <cell r="B1153">
            <v>570</v>
          </cell>
          <cell r="C1153" t="str">
            <v>dl</v>
          </cell>
        </row>
        <row r="1154">
          <cell r="B1154">
            <v>522</v>
          </cell>
          <cell r="C1154" t="str">
            <v>dcm</v>
          </cell>
        </row>
        <row r="1155">
          <cell r="B1155">
            <v>858</v>
          </cell>
          <cell r="C1155" t="str">
            <v>vc</v>
          </cell>
        </row>
        <row r="1156">
          <cell r="B1156">
            <v>586</v>
          </cell>
          <cell r="C1156" t="str">
            <v>fpr</v>
          </cell>
        </row>
        <row r="1157">
          <cell r="B1157">
            <v>514</v>
          </cell>
          <cell r="C1157" t="str">
            <v>dc</v>
          </cell>
        </row>
        <row r="1158">
          <cell r="B1158">
            <v>380</v>
          </cell>
          <cell r="C1158" t="str">
            <v>cuf</v>
          </cell>
        </row>
        <row r="1159">
          <cell r="B1159">
            <v>388</v>
          </cell>
          <cell r="C1159" t="str">
            <v>grf</v>
          </cell>
        </row>
        <row r="1160">
          <cell r="B1160">
            <v>396</v>
          </cell>
          <cell r="C1160" t="str">
            <v>iaf</v>
          </cell>
        </row>
        <row r="1161">
          <cell r="B1161">
            <v>697</v>
          </cell>
          <cell r="C1161" t="str">
            <v>ml</v>
          </cell>
        </row>
        <row r="1162">
          <cell r="B1162">
            <v>871</v>
          </cell>
          <cell r="C1162" t="str">
            <v>sst</v>
          </cell>
        </row>
        <row r="1163">
          <cell r="B1163">
            <v>29</v>
          </cell>
          <cell r="C1163" t="str">
            <v>sttl</v>
          </cell>
        </row>
        <row r="1164">
          <cell r="B1164">
            <v>389</v>
          </cell>
          <cell r="C1164" t="str">
            <v>sttv</v>
          </cell>
        </row>
        <row r="1165">
          <cell r="B1165">
            <v>245</v>
          </cell>
          <cell r="C1165" t="str">
            <v>scrt</v>
          </cell>
        </row>
        <row r="1166">
          <cell r="B1166">
            <v>261</v>
          </cell>
          <cell r="C1166" t="str">
            <v>sop</v>
          </cell>
        </row>
        <row r="1167">
          <cell r="B1167">
            <v>270</v>
          </cell>
          <cell r="C1167" t="str">
            <v>srp</v>
          </cell>
        </row>
        <row r="1168">
          <cell r="B1168">
            <v>293</v>
          </cell>
          <cell r="C1168" t="str">
            <v>svp</v>
          </cell>
        </row>
        <row r="1169">
          <cell r="B1169">
            <v>277</v>
          </cell>
          <cell r="C1169" t="str">
            <v>stp</v>
          </cell>
        </row>
        <row r="1170">
          <cell r="B1170">
            <v>253</v>
          </cell>
          <cell r="C1170" t="str">
            <v>shp</v>
          </cell>
        </row>
        <row r="1171">
          <cell r="B1171">
            <v>285</v>
          </cell>
          <cell r="C1171" t="str">
            <v>step</v>
          </cell>
        </row>
        <row r="1172">
          <cell r="B1172">
            <v>627</v>
          </cell>
          <cell r="C1172" t="str">
            <v>hht</v>
          </cell>
        </row>
        <row r="1173">
          <cell r="B1173">
            <v>960</v>
          </cell>
          <cell r="C1173" t="str">
            <v>cbf</v>
          </cell>
        </row>
        <row r="1174">
          <cell r="B1174">
            <v>744</v>
          </cell>
          <cell r="C1174" t="str">
            <v>cbc</v>
          </cell>
        </row>
        <row r="1175">
          <cell r="B1175">
            <v>752</v>
          </cell>
          <cell r="C1175" t="str">
            <v>cbp</v>
          </cell>
        </row>
        <row r="1176">
          <cell r="B1176">
            <v>326</v>
          </cell>
          <cell r="C1176" t="str">
            <v>scp</v>
          </cell>
        </row>
        <row r="1177">
          <cell r="B1177">
            <v>812</v>
          </cell>
          <cell r="C1177" t="str">
            <v>dscp</v>
          </cell>
        </row>
        <row r="1178">
          <cell r="B1178">
            <v>85</v>
          </cell>
          <cell r="C1178" t="str">
            <v>sct</v>
          </cell>
        </row>
        <row r="1179">
          <cell r="B1179">
            <v>850</v>
          </cell>
          <cell r="C1179" t="str">
            <v>uf</v>
          </cell>
        </row>
        <row r="1180">
          <cell r="B1180">
            <v>866</v>
          </cell>
          <cell r="C1180" t="str">
            <v>sctv</v>
          </cell>
        </row>
        <row r="1181">
          <cell r="B1181">
            <v>78</v>
          </cell>
          <cell r="C1181" t="str">
            <v>mcp</v>
          </cell>
        </row>
        <row r="1182">
          <cell r="B1182">
            <v>1123</v>
          </cell>
          <cell r="C1182" t="str">
            <v>icp</v>
          </cell>
        </row>
        <row r="1183">
          <cell r="B1183">
            <v>553</v>
          </cell>
          <cell r="C1183" t="str">
            <v>sctd</v>
          </cell>
        </row>
        <row r="1184">
          <cell r="B1184">
            <v>499</v>
          </cell>
          <cell r="C1184" t="str">
            <v>cct</v>
          </cell>
        </row>
        <row r="1185">
          <cell r="B1185">
            <v>650</v>
          </cell>
          <cell r="C1185" t="str">
            <v>jrb</v>
          </cell>
        </row>
        <row r="1186">
          <cell r="B1186">
            <v>490</v>
          </cell>
          <cell r="C1186" t="str">
            <v>bct</v>
          </cell>
        </row>
        <row r="1187">
          <cell r="B1187">
            <v>404</v>
          </cell>
          <cell r="C1187" t="str">
            <v>oct</v>
          </cell>
        </row>
        <row r="1188">
          <cell r="B1188">
            <v>410</v>
          </cell>
          <cell r="C1188" t="str">
            <v>rct</v>
          </cell>
        </row>
        <row r="1189">
          <cell r="B1189">
            <v>373</v>
          </cell>
          <cell r="C1189" t="str">
            <v>tct</v>
          </cell>
        </row>
        <row r="1190">
          <cell r="B1190">
            <v>728</v>
          </cell>
          <cell r="C1190" t="str">
            <v>arb</v>
          </cell>
        </row>
        <row r="1191">
          <cell r="B1191">
            <v>484682512</v>
          </cell>
          <cell r="C1191" t="str">
            <v>scwm</v>
          </cell>
        </row>
        <row r="1192">
          <cell r="B1192">
            <v>983</v>
          </cell>
          <cell r="C1192" t="str">
            <v>lfbs</v>
          </cell>
        </row>
        <row r="1193">
          <cell r="B1193">
            <v>776</v>
          </cell>
          <cell r="C1193" t="str">
            <v>cc</v>
          </cell>
        </row>
        <row r="1194">
          <cell r="B1194">
            <v>956</v>
          </cell>
          <cell r="C1194" t="str">
            <v>fa</v>
          </cell>
        </row>
        <row r="1195">
          <cell r="B1195">
            <v>579</v>
          </cell>
          <cell r="C1195" t="str">
            <v>ec</v>
          </cell>
        </row>
        <row r="1196">
          <cell r="B1196">
            <v>964</v>
          </cell>
          <cell r="C1196" t="str">
            <v>ee</v>
          </cell>
        </row>
        <row r="1197">
          <cell r="B1197">
            <v>1108</v>
          </cell>
          <cell r="C1197" t="str">
            <v>ccg</v>
          </cell>
        </row>
        <row r="1198">
          <cell r="B1198">
            <v>971</v>
          </cell>
          <cell r="C1198" t="str">
            <v>fp</v>
          </cell>
        </row>
        <row r="1199">
          <cell r="B1199">
            <v>979</v>
          </cell>
          <cell r="C1199" t="str">
            <v>ccr</v>
          </cell>
        </row>
        <row r="1200">
          <cell r="B1200">
            <v>484682516</v>
          </cell>
          <cell r="C1200" t="str">
            <v>ccb</v>
          </cell>
        </row>
        <row r="1201">
          <cell r="B1201">
            <v>986</v>
          </cell>
          <cell r="C1201" t="str">
            <v>ccs</v>
          </cell>
        </row>
        <row r="1202">
          <cell r="B1202">
            <v>784</v>
          </cell>
          <cell r="C1202" t="str">
            <v>cst</v>
          </cell>
        </row>
        <row r="1203">
          <cell r="B1203">
            <v>6</v>
          </cell>
          <cell r="C1203" t="str">
            <v>int</v>
          </cell>
        </row>
        <row r="1204">
          <cell r="B1204">
            <v>924</v>
          </cell>
          <cell r="C1204" t="str">
            <v>cpd</v>
          </cell>
        </row>
        <row r="1205">
          <cell r="B1205">
            <v>1036</v>
          </cell>
          <cell r="C1205" t="str">
            <v>cte</v>
          </cell>
        </row>
        <row r="1206">
          <cell r="B1206">
            <v>1012</v>
          </cell>
          <cell r="C1206" t="str">
            <v>crt</v>
          </cell>
        </row>
        <row r="1207">
          <cell r="B1207">
            <v>1003</v>
          </cell>
          <cell r="C1207" t="str">
            <v>cpt</v>
          </cell>
        </row>
        <row r="1208">
          <cell r="B1208">
            <v>994</v>
          </cell>
          <cell r="C1208" t="str">
            <v>cbt</v>
          </cell>
        </row>
        <row r="1209">
          <cell r="B1209">
            <v>190</v>
          </cell>
          <cell r="C1209" t="str">
            <v>py</v>
          </cell>
        </row>
        <row r="1210">
          <cell r="B1210">
            <v>198</v>
          </cell>
          <cell r="C1210" t="str">
            <v>pyd</v>
          </cell>
        </row>
        <row r="1211">
          <cell r="B1211">
            <v>1019</v>
          </cell>
          <cell r="C1211" t="str">
            <v>cstc</v>
          </cell>
        </row>
        <row r="1212">
          <cell r="B1212">
            <v>1028</v>
          </cell>
          <cell r="C1212" t="str">
            <v>cstu</v>
          </cell>
        </row>
        <row r="1213">
          <cell r="B1213">
            <v>896</v>
          </cell>
          <cell r="C1213" t="str">
            <v>lfbst</v>
          </cell>
        </row>
        <row r="1214">
          <cell r="B1214">
            <v>1092</v>
          </cell>
          <cell r="C1214" t="str">
            <v>em</v>
          </cell>
        </row>
        <row r="1215">
          <cell r="B1215">
            <v>14</v>
          </cell>
          <cell r="C1215" t="str">
            <v>im</v>
          </cell>
        </row>
        <row r="1216">
          <cell r="B1216">
            <v>86</v>
          </cell>
          <cell r="C1216" t="str">
            <v>mtc</v>
          </cell>
        </row>
        <row r="1217">
          <cell r="B1217">
            <v>365</v>
          </cell>
          <cell r="C1217" t="str">
            <v>tp</v>
          </cell>
        </row>
        <row r="1218">
          <cell r="B1218">
            <v>484682520</v>
          </cell>
          <cell r="C1218" t="str">
            <v>or</v>
          </cell>
        </row>
        <row r="1219">
          <cell r="B1219">
            <v>484682524</v>
          </cell>
          <cell r="C1219" t="str">
            <v>ar</v>
          </cell>
        </row>
        <row r="1220">
          <cell r="B1220">
            <v>1000</v>
          </cell>
          <cell r="C1220" t="str">
            <v>eps</v>
          </cell>
        </row>
        <row r="1221">
          <cell r="B1221">
            <v>760</v>
          </cell>
          <cell r="C1221" t="str">
            <v>epsc</v>
          </cell>
        </row>
        <row r="1222">
          <cell r="B1222">
            <v>142</v>
          </cell>
          <cell r="C1222" t="str">
            <v>pap</v>
          </cell>
        </row>
        <row r="1223">
          <cell r="B1223">
            <v>102</v>
          </cell>
          <cell r="C1223" t="str">
            <v>nst</v>
          </cell>
        </row>
        <row r="1224">
          <cell r="B1224">
            <v>109</v>
          </cell>
          <cell r="C1224" t="str">
            <v>ntt</v>
          </cell>
        </row>
        <row r="1225">
          <cell r="B1225">
            <v>134</v>
          </cell>
          <cell r="C1225" t="str">
            <v>ptf</v>
          </cell>
        </row>
        <row r="1226">
          <cell r="B1226">
            <v>309</v>
          </cell>
          <cell r="C1226" t="str">
            <v>snp</v>
          </cell>
        </row>
        <row r="1227">
          <cell r="B1227">
            <v>317</v>
          </cell>
          <cell r="C1227" t="str">
            <v>stf</v>
          </cell>
        </row>
        <row r="1228">
          <cell r="B1228">
            <v>877</v>
          </cell>
          <cell r="C1228" t="str">
            <v>tsp</v>
          </cell>
        </row>
        <row r="1229">
          <cell r="B1229">
            <v>1051</v>
          </cell>
          <cell r="C1229" t="str">
            <v>tspd</v>
          </cell>
        </row>
        <row r="1230">
          <cell r="B1230">
            <v>1060</v>
          </cell>
          <cell r="C1230" t="str">
            <v>dtd</v>
          </cell>
        </row>
        <row r="1231">
          <cell r="B1231">
            <v>1043</v>
          </cell>
          <cell r="C1231" t="str">
            <v>tspc</v>
          </cell>
        </row>
        <row r="1232">
          <cell r="B1232">
            <v>863</v>
          </cell>
          <cell r="C1232" t="str">
            <v>rust</v>
          </cell>
        </row>
        <row r="1233">
          <cell r="B1233">
            <v>397</v>
          </cell>
          <cell r="C1233" t="str">
            <v>vtd</v>
          </cell>
        </row>
        <row r="1234">
          <cell r="B1234">
            <v>221</v>
          </cell>
          <cell r="C1234" t="str">
            <v>rrt</v>
          </cell>
        </row>
        <row r="1235">
          <cell r="B1235">
            <v>736</v>
          </cell>
          <cell r="C1235" t="str">
            <v>ctb</v>
          </cell>
        </row>
        <row r="1236">
          <cell r="B1236">
            <v>855</v>
          </cell>
          <cell r="C1236" t="str">
            <v>rst</v>
          </cell>
        </row>
        <row r="1237">
          <cell r="B1237">
            <v>205</v>
          </cell>
          <cell r="C1237" t="str">
            <v>rstl</v>
          </cell>
        </row>
        <row r="1238">
          <cell r="B1238">
            <v>213</v>
          </cell>
          <cell r="C1238" t="str">
            <v>rstm</v>
          </cell>
        </row>
        <row r="1239">
          <cell r="B1239">
            <v>941</v>
          </cell>
          <cell r="C1239" t="str">
            <v>vsp</v>
          </cell>
        </row>
        <row r="1240">
          <cell r="B1240">
            <v>991</v>
          </cell>
          <cell r="C1240" t="str">
            <v>mfbs</v>
          </cell>
        </row>
        <row r="1241">
          <cell r="B1241">
            <v>768</v>
          </cell>
          <cell r="C1241" t="str">
            <v>mfbc</v>
          </cell>
        </row>
        <row r="1242">
          <cell r="B1242">
            <v>884</v>
          </cell>
          <cell r="C1242" t="str">
            <v>amc</v>
          </cell>
        </row>
        <row r="1243">
          <cell r="B1243">
            <v>892</v>
          </cell>
          <cell r="C1243" t="str">
            <v>apd</v>
          </cell>
        </row>
        <row r="1244">
          <cell r="B1244">
            <v>908</v>
          </cell>
          <cell r="C1244" t="str">
            <v>act</v>
          </cell>
        </row>
        <row r="1245">
          <cell r="B1245">
            <v>940</v>
          </cell>
          <cell r="C1245" t="str">
            <v>cing</v>
          </cell>
        </row>
        <row r="1246">
          <cell r="B1246">
            <v>1099</v>
          </cell>
          <cell r="C1246" t="str">
            <v>fxs</v>
          </cell>
        </row>
        <row r="1247">
          <cell r="B1247">
            <v>466</v>
          </cell>
          <cell r="C1247" t="str">
            <v>alv</v>
          </cell>
        </row>
        <row r="1248">
          <cell r="B1248">
            <v>530</v>
          </cell>
          <cell r="C1248" t="str">
            <v>df</v>
          </cell>
        </row>
        <row r="1249">
          <cell r="B1249">
            <v>603</v>
          </cell>
          <cell r="C1249" t="str">
            <v>fi</v>
          </cell>
        </row>
        <row r="1250">
          <cell r="B1250">
            <v>745</v>
          </cell>
          <cell r="C1250" t="str">
            <v>fxprg</v>
          </cell>
        </row>
        <row r="1251">
          <cell r="B1251">
            <v>420</v>
          </cell>
          <cell r="C1251" t="str">
            <v>db</v>
          </cell>
        </row>
        <row r="1252">
          <cell r="B1252">
            <v>737</v>
          </cell>
          <cell r="C1252" t="str">
            <v>fxpo</v>
          </cell>
        </row>
        <row r="1253">
          <cell r="B1253">
            <v>428</v>
          </cell>
          <cell r="C1253" t="str">
            <v>mct</v>
          </cell>
        </row>
        <row r="1254">
          <cell r="B1254">
            <v>436</v>
          </cell>
          <cell r="C1254" t="str">
            <v>fx</v>
          </cell>
        </row>
        <row r="1255">
          <cell r="B1255">
            <v>618</v>
          </cell>
          <cell r="C1255" t="str">
            <v>hc</v>
          </cell>
        </row>
        <row r="1256">
          <cell r="B1256">
            <v>443</v>
          </cell>
          <cell r="C1256" t="str">
            <v>dhc</v>
          </cell>
        </row>
        <row r="1257">
          <cell r="B1257">
            <v>449</v>
          </cell>
          <cell r="C1257" t="str">
            <v>vhc</v>
          </cell>
        </row>
        <row r="1258">
          <cell r="B1258">
            <v>713</v>
          </cell>
          <cell r="C1258" t="str">
            <v>per</v>
          </cell>
        </row>
        <row r="1259">
          <cell r="B1259">
            <v>474</v>
          </cell>
          <cell r="C1259" t="str">
            <v>ab</v>
          </cell>
        </row>
        <row r="1260">
          <cell r="B1260">
            <v>37</v>
          </cell>
          <cell r="C1260" t="str">
            <v>lab</v>
          </cell>
        </row>
        <row r="1261">
          <cell r="B1261">
            <v>301</v>
          </cell>
          <cell r="C1261" t="str">
            <v>st</v>
          </cell>
        </row>
        <row r="1262">
          <cell r="B1262">
            <v>484682528</v>
          </cell>
          <cell r="C1262" t="str">
            <v>stc</v>
          </cell>
        </row>
        <row r="1263">
          <cell r="B1263">
            <v>824</v>
          </cell>
          <cell r="C1263" t="str">
            <v>mfsbshy</v>
          </cell>
        </row>
        <row r="1264">
          <cell r="B1264">
            <v>54</v>
          </cell>
          <cell r="C1264" t="str">
            <v>mfb</v>
          </cell>
        </row>
        <row r="1265">
          <cell r="B1265">
            <v>405</v>
          </cell>
          <cell r="C1265" t="str">
            <v>vlt</v>
          </cell>
        </row>
        <row r="1266">
          <cell r="B1266">
            <v>174</v>
          </cell>
          <cell r="C1266" t="str">
            <v>poc</v>
          </cell>
        </row>
        <row r="1267">
          <cell r="B1267">
            <v>349</v>
          </cell>
          <cell r="C1267" t="str">
            <v>sup</v>
          </cell>
        </row>
        <row r="1268">
          <cell r="B1268">
            <v>817</v>
          </cell>
          <cell r="C1268" t="str">
            <v>supa</v>
          </cell>
        </row>
        <row r="1269">
          <cell r="B1269">
            <v>825</v>
          </cell>
          <cell r="C1269" t="str">
            <v>supd</v>
          </cell>
        </row>
        <row r="1270">
          <cell r="B1270">
            <v>833</v>
          </cell>
          <cell r="C1270" t="str">
            <v>supv</v>
          </cell>
        </row>
        <row r="1271">
          <cell r="B1271">
            <v>166</v>
          </cell>
          <cell r="C1271" t="str">
            <v>pmx</v>
          </cell>
        </row>
        <row r="1272">
          <cell r="B1272">
            <v>341</v>
          </cell>
          <cell r="C1272" t="str">
            <v>smd</v>
          </cell>
        </row>
        <row r="1273">
          <cell r="B1273">
            <v>182</v>
          </cell>
          <cell r="C1273" t="str">
            <v>php</v>
          </cell>
        </row>
        <row r="1274">
          <cell r="B1274">
            <v>762</v>
          </cell>
          <cell r="C1274" t="str">
            <v>phpd</v>
          </cell>
        </row>
        <row r="1275">
          <cell r="B1275">
            <v>770</v>
          </cell>
          <cell r="C1275" t="str">
            <v>phpl</v>
          </cell>
        </row>
        <row r="1276">
          <cell r="B1276">
            <v>779</v>
          </cell>
          <cell r="C1276" t="str">
            <v>phpm</v>
          </cell>
        </row>
        <row r="1277">
          <cell r="B1277">
            <v>787</v>
          </cell>
          <cell r="C1277" t="str">
            <v>phpv</v>
          </cell>
        </row>
        <row r="1278">
          <cell r="B1278">
            <v>150</v>
          </cell>
          <cell r="C1278" t="str">
            <v>pvbh</v>
          </cell>
        </row>
        <row r="1279">
          <cell r="B1279">
            <v>46</v>
          </cell>
          <cell r="C1279" t="str">
            <v>mfbsma</v>
          </cell>
        </row>
        <row r="1280">
          <cell r="B1280">
            <v>753</v>
          </cell>
          <cell r="C1280" t="str">
            <v>pm</v>
          </cell>
        </row>
        <row r="1281">
          <cell r="B1281">
            <v>690</v>
          </cell>
          <cell r="C1281" t="str">
            <v>mtt</v>
          </cell>
        </row>
        <row r="1282">
          <cell r="B1282">
            <v>681</v>
          </cell>
          <cell r="C1282" t="str">
            <v>mtg</v>
          </cell>
        </row>
        <row r="1283">
          <cell r="B1283">
            <v>673</v>
          </cell>
          <cell r="C1283" t="str">
            <v>mp</v>
          </cell>
        </row>
        <row r="1284">
          <cell r="B1284">
            <v>1068</v>
          </cell>
          <cell r="C1284" t="str">
            <v>mfbst</v>
          </cell>
        </row>
        <row r="1285">
          <cell r="B1285">
            <v>722</v>
          </cell>
          <cell r="C1285" t="str">
            <v>pvbt</v>
          </cell>
        </row>
        <row r="1286">
          <cell r="B1286">
            <v>1083</v>
          </cell>
          <cell r="C1286" t="str">
            <v>mfbse</v>
          </cell>
        </row>
        <row r="1287">
          <cell r="B1287">
            <v>802</v>
          </cell>
          <cell r="C1287" t="str">
            <v>sm</v>
          </cell>
        </row>
        <row r="1288">
          <cell r="B1288">
            <v>595</v>
          </cell>
          <cell r="C1288" t="str">
            <v>fr</v>
          </cell>
        </row>
        <row r="1289">
          <cell r="B1289">
            <v>611</v>
          </cell>
          <cell r="C1289" t="str">
            <v>hbc</v>
          </cell>
        </row>
        <row r="1290">
          <cell r="B1290">
            <v>730</v>
          </cell>
          <cell r="C1290" t="str">
            <v>PIS</v>
          </cell>
        </row>
        <row r="1291">
          <cell r="B1291">
            <v>70</v>
          </cell>
          <cell r="C1291" t="str">
            <v>mfbsm</v>
          </cell>
        </row>
        <row r="1292">
          <cell r="B1292">
            <v>547</v>
          </cell>
          <cell r="C1292" t="str">
            <v>dlf</v>
          </cell>
        </row>
        <row r="1293">
          <cell r="B1293">
            <v>563</v>
          </cell>
          <cell r="C1293" t="str">
            <v>dtt</v>
          </cell>
        </row>
        <row r="1294">
          <cell r="B1294">
            <v>73</v>
          </cell>
          <cell r="C1294" t="str">
            <v>VS</v>
          </cell>
        </row>
        <row r="1295">
          <cell r="B1295">
            <v>81</v>
          </cell>
          <cell r="C1295" t="str">
            <v>VL</v>
          </cell>
        </row>
        <row r="1296">
          <cell r="B1296">
            <v>89</v>
          </cell>
          <cell r="C1296" t="str">
            <v>RC</v>
          </cell>
        </row>
        <row r="1297">
          <cell r="B1297">
            <v>98</v>
          </cell>
          <cell r="C1297" t="str">
            <v>SEZ</v>
          </cell>
        </row>
        <row r="1298">
          <cell r="B1298">
            <v>108</v>
          </cell>
          <cell r="C1298" t="str">
            <v>chpl</v>
          </cell>
        </row>
        <row r="1299">
          <cell r="B1299">
            <v>116</v>
          </cell>
          <cell r="C1299" t="str">
            <v>chfl</v>
          </cell>
        </row>
        <row r="1300">
          <cell r="B1300">
            <v>124</v>
          </cell>
          <cell r="C1300" t="str">
            <v>IVF</v>
          </cell>
        </row>
        <row r="1301">
          <cell r="B1301">
            <v>129</v>
          </cell>
          <cell r="C1301" t="str">
            <v>V3</v>
          </cell>
        </row>
        <row r="1302">
          <cell r="B1302">
            <v>140</v>
          </cell>
          <cell r="C1302" t="str">
            <v>AQ</v>
          </cell>
        </row>
        <row r="1303">
          <cell r="B1303">
            <v>145</v>
          </cell>
          <cell r="C1303" t="str">
            <v>V4</v>
          </cell>
        </row>
        <row r="1304">
          <cell r="B1304">
            <v>153</v>
          </cell>
          <cell r="C1304" t="str">
            <v>V4r</v>
          </cell>
        </row>
        <row r="1305">
          <cell r="B1305">
            <v>164</v>
          </cell>
          <cell r="C1305" t="str">
            <v>c</v>
          </cell>
        </row>
        <row r="1306">
          <cell r="B1306">
            <v>1024</v>
          </cell>
          <cell r="C1306" t="str">
            <v>grv</v>
          </cell>
        </row>
        <row r="1307">
          <cell r="B1307">
            <v>1032</v>
          </cell>
          <cell r="C1307" t="str">
            <v>grv of CTX</v>
          </cell>
        </row>
        <row r="1308">
          <cell r="B1308">
            <v>1055</v>
          </cell>
          <cell r="C1308" t="str">
            <v>eg</v>
          </cell>
        </row>
        <row r="1309">
          <cell r="B1309">
            <v>1063</v>
          </cell>
          <cell r="C1309" t="str">
            <v>hf</v>
          </cell>
        </row>
        <row r="1310">
          <cell r="B1310">
            <v>1071</v>
          </cell>
          <cell r="C1310" t="str">
            <v>rf</v>
          </cell>
        </row>
        <row r="1311">
          <cell r="B1311">
            <v>1078</v>
          </cell>
          <cell r="C1311" t="str">
            <v>ri</v>
          </cell>
        </row>
        <row r="1312">
          <cell r="B1312">
            <v>1040</v>
          </cell>
          <cell r="C1312" t="str">
            <v>grv of CBX</v>
          </cell>
        </row>
        <row r="1313">
          <cell r="B1313">
            <v>1087</v>
          </cell>
          <cell r="C1313" t="str">
            <v>pce</v>
          </cell>
        </row>
        <row r="1314">
          <cell r="B1314">
            <v>1095</v>
          </cell>
          <cell r="C1314" t="str">
            <v>pcf</v>
          </cell>
        </row>
        <row r="1315">
          <cell r="B1315">
            <v>1103</v>
          </cell>
          <cell r="C1315" t="str">
            <v>pri</v>
          </cell>
        </row>
        <row r="1316">
          <cell r="B1316">
            <v>1112</v>
          </cell>
          <cell r="C1316" t="str">
            <v>psf</v>
          </cell>
        </row>
        <row r="1317">
          <cell r="B1317">
            <v>1119</v>
          </cell>
          <cell r="C1317" t="str">
            <v>ppf</v>
          </cell>
        </row>
        <row r="1318">
          <cell r="B1318">
            <v>3</v>
          </cell>
          <cell r="C1318" t="str">
            <v>sec</v>
          </cell>
        </row>
        <row r="1319">
          <cell r="B1319">
            <v>11</v>
          </cell>
          <cell r="C1319" t="str">
            <v>plf</v>
          </cell>
        </row>
        <row r="1320">
          <cell r="B1320">
            <v>18</v>
          </cell>
          <cell r="C1320" t="str">
            <v>nf</v>
          </cell>
        </row>
        <row r="1321">
          <cell r="B1321">
            <v>25</v>
          </cell>
          <cell r="C1321" t="str">
            <v>sif</v>
          </cell>
        </row>
        <row r="1322">
          <cell r="B1322">
            <v>34</v>
          </cell>
          <cell r="C1322" t="str">
            <v>icf</v>
          </cell>
        </row>
        <row r="1323">
          <cell r="B1323">
            <v>43</v>
          </cell>
          <cell r="C1323" t="str">
            <v>apf</v>
          </cell>
        </row>
        <row r="1324">
          <cell r="B1324">
            <v>49</v>
          </cell>
          <cell r="C1324" t="str">
            <v>ipf</v>
          </cell>
        </row>
        <row r="1325">
          <cell r="B1325">
            <v>57</v>
          </cell>
          <cell r="C1325" t="str">
            <v>pms</v>
          </cell>
        </row>
        <row r="1326">
          <cell r="B1326">
            <v>65</v>
          </cell>
          <cell r="C1326" t="str">
            <v>pfs</v>
          </cell>
        </row>
        <row r="1327">
          <cell r="B1327">
            <v>624</v>
          </cell>
          <cell r="C1327" t="str">
            <v>IPF</v>
          </cell>
        </row>
        <row r="1328">
          <cell r="B1328">
            <v>304325711</v>
          </cell>
          <cell r="C1328" t="str">
            <v>retina</v>
          </cell>
        </row>
      </sheetData>
      <sheetData sheetId="4">
        <row r="2">
          <cell r="B2">
            <v>15564</v>
          </cell>
          <cell r="C2" t="str">
            <v>mouse</v>
          </cell>
        </row>
        <row r="3">
          <cell r="B3">
            <v>15565</v>
          </cell>
          <cell r="C3" t="str">
            <v>NP</v>
          </cell>
        </row>
        <row r="4">
          <cell r="B4">
            <v>15566</v>
          </cell>
          <cell r="C4" t="str">
            <v>F</v>
          </cell>
        </row>
        <row r="5">
          <cell r="B5">
            <v>15567</v>
          </cell>
          <cell r="C5" t="str">
            <v>SP</v>
          </cell>
        </row>
        <row r="6">
          <cell r="B6">
            <v>15568</v>
          </cell>
          <cell r="C6" t="str">
            <v>RSP</v>
          </cell>
        </row>
        <row r="7">
          <cell r="B7">
            <v>15569</v>
          </cell>
          <cell r="C7" t="str">
            <v>POTel</v>
          </cell>
        </row>
        <row r="8">
          <cell r="B8">
            <v>15570</v>
          </cell>
          <cell r="C8" t="str">
            <v>POR</v>
          </cell>
        </row>
        <row r="9">
          <cell r="B9">
            <v>15571</v>
          </cell>
          <cell r="C9" t="str">
            <v>RSCom</v>
          </cell>
        </row>
        <row r="10">
          <cell r="B10">
            <v>15572</v>
          </cell>
          <cell r="C10" t="str">
            <v>RSComv</v>
          </cell>
        </row>
        <row r="11">
          <cell r="B11">
            <v>15573</v>
          </cell>
          <cell r="C11" t="str">
            <v>ACBed</v>
          </cell>
        </row>
        <row r="12">
          <cell r="B12">
            <v>15574</v>
          </cell>
          <cell r="C12" t="str">
            <v>RSComm</v>
          </cell>
        </row>
        <row r="13">
          <cell r="B13">
            <v>15575</v>
          </cell>
          <cell r="C13" t="str">
            <v>MnPOC</v>
          </cell>
        </row>
        <row r="14">
          <cell r="B14">
            <v>15576</v>
          </cell>
          <cell r="C14" t="str">
            <v>POA</v>
          </cell>
        </row>
        <row r="15">
          <cell r="B15">
            <v>15577</v>
          </cell>
          <cell r="C15" t="str">
            <v>PO</v>
          </cell>
        </row>
        <row r="16">
          <cell r="B16">
            <v>111220530</v>
          </cell>
          <cell r="C16" t="str">
            <v>POv</v>
          </cell>
        </row>
        <row r="17">
          <cell r="B17">
            <v>111220532</v>
          </cell>
          <cell r="C17" t="str">
            <v>POm</v>
          </cell>
        </row>
        <row r="18">
          <cell r="B18">
            <v>15578</v>
          </cell>
          <cell r="C18" t="str">
            <v>LTer</v>
          </cell>
        </row>
        <row r="19">
          <cell r="B19">
            <v>15579</v>
          </cell>
          <cell r="C19" t="str">
            <v>LTerv</v>
          </cell>
        </row>
        <row r="20">
          <cell r="B20">
            <v>15580</v>
          </cell>
          <cell r="C20" t="str">
            <v>LTerm</v>
          </cell>
        </row>
        <row r="21">
          <cell r="B21">
            <v>15581</v>
          </cell>
          <cell r="C21" t="str">
            <v>LTerp</v>
          </cell>
        </row>
        <row r="22">
          <cell r="B22">
            <v>15582</v>
          </cell>
          <cell r="C22" t="str">
            <v>VOLT</v>
          </cell>
        </row>
        <row r="23">
          <cell r="B23">
            <v>15583</v>
          </cell>
          <cell r="C23" t="str">
            <v>LTeri</v>
          </cell>
        </row>
        <row r="24">
          <cell r="B24">
            <v>15584</v>
          </cell>
          <cell r="C24" t="str">
            <v>MnPOI</v>
          </cell>
        </row>
        <row r="25">
          <cell r="B25">
            <v>15585</v>
          </cell>
          <cell r="C25" t="str">
            <v>LTers</v>
          </cell>
        </row>
        <row r="26">
          <cell r="B26">
            <v>15586</v>
          </cell>
          <cell r="C26" t="str">
            <v>MnPOS</v>
          </cell>
        </row>
        <row r="27">
          <cell r="B27">
            <v>15587</v>
          </cell>
          <cell r="C27" t="str">
            <v>PO1</v>
          </cell>
        </row>
        <row r="28">
          <cell r="B28">
            <v>15588</v>
          </cell>
          <cell r="C28" t="str">
            <v>PO1v</v>
          </cell>
        </row>
        <row r="29">
          <cell r="B29">
            <v>15589</v>
          </cell>
          <cell r="C29" t="str">
            <v>PO1m</v>
          </cell>
        </row>
        <row r="30">
          <cell r="B30">
            <v>15590</v>
          </cell>
          <cell r="C30" t="str">
            <v>PO1p</v>
          </cell>
        </row>
        <row r="31">
          <cell r="B31">
            <v>15591</v>
          </cell>
          <cell r="C31" t="str">
            <v>AVPe</v>
          </cell>
        </row>
        <row r="32">
          <cell r="B32">
            <v>15592</v>
          </cell>
          <cell r="C32" t="str">
            <v>DSPO</v>
          </cell>
        </row>
        <row r="33">
          <cell r="B33">
            <v>15593</v>
          </cell>
          <cell r="C33" t="str">
            <v>PO1i</v>
          </cell>
        </row>
        <row r="34">
          <cell r="B34">
            <v>15594</v>
          </cell>
          <cell r="C34" t="str">
            <v>PS</v>
          </cell>
        </row>
        <row r="35">
          <cell r="B35">
            <v>15595</v>
          </cell>
          <cell r="C35" t="str">
            <v>DMPAi</v>
          </cell>
        </row>
        <row r="36">
          <cell r="B36">
            <v>15596</v>
          </cell>
          <cell r="C36" t="str">
            <v>LPO1</v>
          </cell>
        </row>
        <row r="37">
          <cell r="B37">
            <v>15597</v>
          </cell>
          <cell r="C37" t="str">
            <v>PO1s</v>
          </cell>
        </row>
        <row r="38">
          <cell r="B38">
            <v>15598</v>
          </cell>
          <cell r="C38" t="str">
            <v>DMPAs</v>
          </cell>
        </row>
        <row r="39">
          <cell r="B39">
            <v>15599</v>
          </cell>
          <cell r="C39" t="str">
            <v>PO2</v>
          </cell>
        </row>
        <row r="40">
          <cell r="B40">
            <v>15600</v>
          </cell>
          <cell r="C40" t="str">
            <v>PO2v</v>
          </cell>
        </row>
        <row r="41">
          <cell r="B41">
            <v>15601</v>
          </cell>
          <cell r="C41" t="str">
            <v>PO2m</v>
          </cell>
        </row>
        <row r="42">
          <cell r="B42">
            <v>15602</v>
          </cell>
          <cell r="C42" t="str">
            <v>PO2p</v>
          </cell>
        </row>
        <row r="43">
          <cell r="B43">
            <v>15603</v>
          </cell>
          <cell r="C43" t="str">
            <v>MPOPe</v>
          </cell>
        </row>
        <row r="44">
          <cell r="B44">
            <v>15604</v>
          </cell>
          <cell r="C44" t="str">
            <v>MPO</v>
          </cell>
        </row>
        <row r="45">
          <cell r="B45">
            <v>15605</v>
          </cell>
          <cell r="C45" t="str">
            <v>MPOL</v>
          </cell>
        </row>
        <row r="46">
          <cell r="B46">
            <v>15606</v>
          </cell>
          <cell r="C46" t="str">
            <v>MPOM</v>
          </cell>
        </row>
        <row r="47">
          <cell r="B47">
            <v>15607</v>
          </cell>
          <cell r="C47" t="str">
            <v>MPOC</v>
          </cell>
        </row>
        <row r="48">
          <cell r="B48">
            <v>15608</v>
          </cell>
          <cell r="C48" t="str">
            <v>PO2i</v>
          </cell>
        </row>
        <row r="49">
          <cell r="B49">
            <v>15609</v>
          </cell>
          <cell r="C49" t="str">
            <v>LPO2</v>
          </cell>
        </row>
        <row r="50">
          <cell r="B50">
            <v>15610</v>
          </cell>
          <cell r="C50" t="str">
            <v>PO2s</v>
          </cell>
        </row>
        <row r="51">
          <cell r="B51">
            <v>15611</v>
          </cell>
          <cell r="C51" t="str">
            <v>VMPO</v>
          </cell>
        </row>
        <row r="52">
          <cell r="B52">
            <v>15612</v>
          </cell>
          <cell r="C52" t="str">
            <v>VLPO</v>
          </cell>
        </row>
        <row r="53">
          <cell r="B53">
            <v>15613</v>
          </cell>
          <cell r="C53" t="str">
            <v>POH</v>
          </cell>
        </row>
        <row r="54">
          <cell r="B54">
            <v>15614</v>
          </cell>
          <cell r="C54" t="str">
            <v>POHv</v>
          </cell>
        </row>
        <row r="55">
          <cell r="B55">
            <v>15615</v>
          </cell>
          <cell r="C55" t="str">
            <v>POHm</v>
          </cell>
        </row>
        <row r="56">
          <cell r="B56">
            <v>15616</v>
          </cell>
          <cell r="C56" t="str">
            <v>POHp</v>
          </cell>
        </row>
        <row r="57">
          <cell r="B57">
            <v>15617</v>
          </cell>
          <cell r="C57" t="str">
            <v>POHi</v>
          </cell>
        </row>
        <row r="58">
          <cell r="B58">
            <v>15618</v>
          </cell>
          <cell r="C58" t="str">
            <v>StHy</v>
          </cell>
        </row>
        <row r="59">
          <cell r="B59">
            <v>15619</v>
          </cell>
          <cell r="C59" t="str">
            <v>POHA</v>
          </cell>
        </row>
        <row r="60">
          <cell r="B60">
            <v>15620</v>
          </cell>
          <cell r="C60" t="str">
            <v>POHs</v>
          </cell>
        </row>
        <row r="61">
          <cell r="B61">
            <v>15621</v>
          </cell>
          <cell r="C61" t="str">
            <v>ESO</v>
          </cell>
        </row>
        <row r="62">
          <cell r="B62">
            <v>15622</v>
          </cell>
          <cell r="C62" t="str">
            <v>THy</v>
          </cell>
        </row>
        <row r="63">
          <cell r="B63">
            <v>15623</v>
          </cell>
          <cell r="C63" t="str">
            <v>THyA</v>
          </cell>
        </row>
        <row r="64">
          <cell r="B64">
            <v>15624</v>
          </cell>
          <cell r="C64" t="str">
            <v>TPaA</v>
          </cell>
        </row>
        <row r="65">
          <cell r="B65">
            <v>15625</v>
          </cell>
          <cell r="C65" t="str">
            <v>TPaAv</v>
          </cell>
        </row>
        <row r="66">
          <cell r="B66">
            <v>15626</v>
          </cell>
          <cell r="C66" t="str">
            <v>TPaAm</v>
          </cell>
        </row>
        <row r="67">
          <cell r="B67">
            <v>15627</v>
          </cell>
          <cell r="C67" t="str">
            <v>TPaAp</v>
          </cell>
        </row>
        <row r="68">
          <cell r="B68">
            <v>15628</v>
          </cell>
          <cell r="C68" t="str">
            <v>RPa</v>
          </cell>
        </row>
        <row r="69">
          <cell r="B69">
            <v>15629</v>
          </cell>
          <cell r="C69" t="str">
            <v>TPaAi</v>
          </cell>
        </row>
        <row r="70">
          <cell r="B70">
            <v>15630</v>
          </cell>
          <cell r="C70" t="str">
            <v>LA</v>
          </cell>
        </row>
        <row r="71">
          <cell r="B71">
            <v>15631</v>
          </cell>
          <cell r="C71" t="str">
            <v>TSM</v>
          </cell>
        </row>
        <row r="72">
          <cell r="B72">
            <v>15632</v>
          </cell>
          <cell r="C72" t="str">
            <v>TPaAs</v>
          </cell>
        </row>
        <row r="73">
          <cell r="B73">
            <v>15633</v>
          </cell>
          <cell r="C73" t="str">
            <v>SO</v>
          </cell>
        </row>
        <row r="74">
          <cell r="B74">
            <v>15634</v>
          </cell>
          <cell r="C74" t="str">
            <v>ES</v>
          </cell>
        </row>
        <row r="75">
          <cell r="B75">
            <v>15635</v>
          </cell>
          <cell r="C75" t="str">
            <v>EPg</v>
          </cell>
        </row>
        <row r="76">
          <cell r="B76">
            <v>15636</v>
          </cell>
          <cell r="C76" t="str">
            <v>EN</v>
          </cell>
        </row>
        <row r="77">
          <cell r="B77">
            <v>15637</v>
          </cell>
          <cell r="C77" t="str">
            <v>ENv</v>
          </cell>
        </row>
        <row r="78">
          <cell r="B78">
            <v>15638</v>
          </cell>
          <cell r="C78" t="str">
            <v>ENm</v>
          </cell>
        </row>
        <row r="79">
          <cell r="B79">
            <v>15639</v>
          </cell>
          <cell r="C79" t="str">
            <v>ENp</v>
          </cell>
        </row>
        <row r="80">
          <cell r="B80">
            <v>15640</v>
          </cell>
          <cell r="C80" t="str">
            <v>ON</v>
          </cell>
        </row>
        <row r="81">
          <cell r="B81">
            <v>15641</v>
          </cell>
          <cell r="C81" t="str">
            <v>OPL</v>
          </cell>
        </row>
        <row r="82">
          <cell r="B82">
            <v>15642</v>
          </cell>
          <cell r="C82" t="str">
            <v>ENi</v>
          </cell>
        </row>
        <row r="83">
          <cell r="B83">
            <v>15643</v>
          </cell>
          <cell r="C83" t="str">
            <v>Hor</v>
          </cell>
        </row>
        <row r="84">
          <cell r="B84">
            <v>15644</v>
          </cell>
          <cell r="C84" t="str">
            <v>Bi</v>
          </cell>
        </row>
        <row r="85">
          <cell r="B85">
            <v>15645</v>
          </cell>
          <cell r="C85" t="str">
            <v>Mu</v>
          </cell>
        </row>
        <row r="86">
          <cell r="B86">
            <v>15646</v>
          </cell>
          <cell r="C86" t="str">
            <v>Acr</v>
          </cell>
        </row>
        <row r="87">
          <cell r="B87">
            <v>15647</v>
          </cell>
          <cell r="C87" t="str">
            <v>IPL</v>
          </cell>
        </row>
        <row r="88">
          <cell r="B88">
            <v>15648</v>
          </cell>
          <cell r="C88" t="str">
            <v>ENs</v>
          </cell>
        </row>
        <row r="89">
          <cell r="B89">
            <v>15649</v>
          </cell>
          <cell r="C89" t="str">
            <v>GCL</v>
          </cell>
        </row>
        <row r="90">
          <cell r="B90">
            <v>15650</v>
          </cell>
          <cell r="C90" t="str">
            <v>GC</v>
          </cell>
        </row>
        <row r="91">
          <cell r="B91">
            <v>15651</v>
          </cell>
          <cell r="C91" t="str">
            <v>IAcr</v>
          </cell>
        </row>
        <row r="92">
          <cell r="B92">
            <v>15652</v>
          </cell>
          <cell r="C92" t="str">
            <v>OF</v>
          </cell>
        </row>
        <row r="93">
          <cell r="B93">
            <v>15653</v>
          </cell>
          <cell r="C93" t="str">
            <v>TSPaA</v>
          </cell>
        </row>
        <row r="94">
          <cell r="B94">
            <v>15654</v>
          </cell>
          <cell r="C94" t="str">
            <v>TSPaAv</v>
          </cell>
        </row>
        <row r="95">
          <cell r="B95">
            <v>15655</v>
          </cell>
          <cell r="C95" t="str">
            <v>TSPaAm</v>
          </cell>
        </row>
        <row r="96">
          <cell r="B96">
            <v>15656</v>
          </cell>
          <cell r="C96" t="str">
            <v>TSPaAp</v>
          </cell>
        </row>
        <row r="97">
          <cell r="B97">
            <v>15657</v>
          </cell>
          <cell r="C97" t="str">
            <v>SCHp</v>
          </cell>
        </row>
        <row r="98">
          <cell r="B98">
            <v>15658</v>
          </cell>
          <cell r="C98" t="str">
            <v>TSPa</v>
          </cell>
        </row>
        <row r="99">
          <cell r="B99">
            <v>15659</v>
          </cell>
          <cell r="C99" t="str">
            <v>TSPaAi</v>
          </cell>
        </row>
        <row r="100">
          <cell r="B100">
            <v>15660</v>
          </cell>
          <cell r="C100" t="str">
            <v>SCH</v>
          </cell>
        </row>
        <row r="101">
          <cell r="B101">
            <v>15661</v>
          </cell>
          <cell r="C101" t="str">
            <v>SCHc</v>
          </cell>
        </row>
        <row r="102">
          <cell r="B102">
            <v>15662</v>
          </cell>
          <cell r="C102" t="str">
            <v>AH</v>
          </cell>
        </row>
        <row r="103">
          <cell r="B103">
            <v>15663</v>
          </cell>
          <cell r="C103" t="str">
            <v>TSPaAs</v>
          </cell>
        </row>
        <row r="104">
          <cell r="B104">
            <v>15664</v>
          </cell>
          <cell r="C104" t="str">
            <v>SCHs</v>
          </cell>
        </row>
        <row r="105">
          <cell r="B105">
            <v>15665</v>
          </cell>
          <cell r="C105" t="str">
            <v>TC</v>
          </cell>
        </row>
        <row r="106">
          <cell r="B106">
            <v>15666</v>
          </cell>
          <cell r="C106" t="str">
            <v>THyB</v>
          </cell>
        </row>
        <row r="107">
          <cell r="B107">
            <v>15667</v>
          </cell>
          <cell r="C107" t="str">
            <v>THyB-D</v>
          </cell>
        </row>
        <row r="108">
          <cell r="B108">
            <v>15668</v>
          </cell>
          <cell r="C108" t="str">
            <v>THyB-Dv</v>
          </cell>
        </row>
        <row r="109">
          <cell r="B109">
            <v>15669</v>
          </cell>
          <cell r="C109" t="str">
            <v>THyB-Dm</v>
          </cell>
        </row>
        <row r="110">
          <cell r="B110">
            <v>15670</v>
          </cell>
          <cell r="C110" t="str">
            <v>THyB-Dp</v>
          </cell>
        </row>
        <row r="111">
          <cell r="B111">
            <v>15671</v>
          </cell>
          <cell r="C111" t="str">
            <v>ABasp</v>
          </cell>
        </row>
        <row r="112">
          <cell r="B112">
            <v>15672</v>
          </cell>
          <cell r="C112" t="str">
            <v>VMHp</v>
          </cell>
        </row>
        <row r="113">
          <cell r="B113">
            <v>15673</v>
          </cell>
          <cell r="C113" t="str">
            <v>THyB-Di</v>
          </cell>
        </row>
        <row r="114">
          <cell r="B114">
            <v>15674</v>
          </cell>
          <cell r="C114" t="str">
            <v>ABasc</v>
          </cell>
        </row>
        <row r="115">
          <cell r="B115">
            <v>15675</v>
          </cell>
          <cell r="C115" t="str">
            <v>VMH</v>
          </cell>
        </row>
        <row r="116">
          <cell r="B116">
            <v>15676</v>
          </cell>
          <cell r="C116" t="str">
            <v>VMHdm</v>
          </cell>
        </row>
        <row r="117">
          <cell r="B117">
            <v>15677</v>
          </cell>
          <cell r="C117" t="str">
            <v>VMHce</v>
          </cell>
        </row>
        <row r="118">
          <cell r="B118">
            <v>15678</v>
          </cell>
          <cell r="C118" t="str">
            <v>VMHvl</v>
          </cell>
        </row>
        <row r="119">
          <cell r="B119">
            <v>15679</v>
          </cell>
          <cell r="C119" t="str">
            <v>VMHsh</v>
          </cell>
        </row>
        <row r="120">
          <cell r="B120">
            <v>15680</v>
          </cell>
          <cell r="C120" t="str">
            <v>THyB-Ds</v>
          </cell>
        </row>
        <row r="121">
          <cell r="B121">
            <v>15681</v>
          </cell>
          <cell r="C121" t="str">
            <v>ABass</v>
          </cell>
        </row>
        <row r="122">
          <cell r="B122">
            <v>15682</v>
          </cell>
          <cell r="C122" t="str">
            <v>SbO</v>
          </cell>
        </row>
        <row r="123">
          <cell r="B123">
            <v>15683</v>
          </cell>
          <cell r="C123" t="str">
            <v>Tu</v>
          </cell>
        </row>
        <row r="124">
          <cell r="B124">
            <v>15684</v>
          </cell>
          <cell r="C124" t="str">
            <v>THyB-I</v>
          </cell>
        </row>
        <row r="125">
          <cell r="B125">
            <v>15685</v>
          </cell>
          <cell r="C125" t="str">
            <v>THyB-Iv</v>
          </cell>
        </row>
        <row r="126">
          <cell r="B126">
            <v>15686</v>
          </cell>
          <cell r="C126" t="str">
            <v>THyB-Im</v>
          </cell>
        </row>
        <row r="127">
          <cell r="B127">
            <v>15687</v>
          </cell>
          <cell r="C127" t="str">
            <v>THyB-Ip</v>
          </cell>
        </row>
        <row r="128">
          <cell r="B128">
            <v>15688</v>
          </cell>
          <cell r="C128" t="str">
            <v>Arcp</v>
          </cell>
        </row>
        <row r="129">
          <cell r="B129">
            <v>15689</v>
          </cell>
          <cell r="C129" t="str">
            <v>ME</v>
          </cell>
        </row>
        <row r="130">
          <cell r="B130">
            <v>15690</v>
          </cell>
          <cell r="C130" t="str">
            <v>Inf</v>
          </cell>
        </row>
        <row r="131">
          <cell r="B131">
            <v>15691</v>
          </cell>
          <cell r="C131" t="str">
            <v>NHy</v>
          </cell>
        </row>
        <row r="132">
          <cell r="B132">
            <v>15692</v>
          </cell>
          <cell r="C132" t="str">
            <v>T-DMHp</v>
          </cell>
        </row>
        <row r="133">
          <cell r="B133">
            <v>15693</v>
          </cell>
          <cell r="C133" t="str">
            <v>THyB-Ii</v>
          </cell>
        </row>
        <row r="134">
          <cell r="B134">
            <v>15694</v>
          </cell>
          <cell r="C134" t="str">
            <v>T-DMH</v>
          </cell>
        </row>
        <row r="135">
          <cell r="B135">
            <v>15695</v>
          </cell>
          <cell r="C135" t="str">
            <v>T-DMHc</v>
          </cell>
        </row>
        <row r="136">
          <cell r="B136">
            <v>15696</v>
          </cell>
          <cell r="C136" t="str">
            <v>T-DMHs</v>
          </cell>
        </row>
        <row r="137">
          <cell r="B137">
            <v>15697</v>
          </cell>
          <cell r="C137" t="str">
            <v>Arci</v>
          </cell>
        </row>
        <row r="138">
          <cell r="B138">
            <v>15698</v>
          </cell>
          <cell r="C138" t="str">
            <v>PMV</v>
          </cell>
        </row>
        <row r="139">
          <cell r="B139">
            <v>15699</v>
          </cell>
          <cell r="C139" t="str">
            <v>THyB-Is</v>
          </cell>
        </row>
        <row r="140">
          <cell r="B140">
            <v>15700</v>
          </cell>
          <cell r="C140" t="str">
            <v>Arcs</v>
          </cell>
        </row>
        <row r="141">
          <cell r="B141">
            <v>15701</v>
          </cell>
          <cell r="C141" t="str">
            <v>MTu</v>
          </cell>
        </row>
        <row r="142">
          <cell r="B142">
            <v>15702</v>
          </cell>
          <cell r="C142" t="str">
            <v>THyB-V</v>
          </cell>
        </row>
        <row r="143">
          <cell r="B143">
            <v>15703</v>
          </cell>
          <cell r="C143" t="str">
            <v>THyB-Vv</v>
          </cell>
        </row>
        <row r="144">
          <cell r="B144">
            <v>15704</v>
          </cell>
          <cell r="C144" t="str">
            <v>T-HVO</v>
          </cell>
        </row>
        <row r="145">
          <cell r="B145">
            <v>15705</v>
          </cell>
          <cell r="C145" t="str">
            <v>THyB-Vm</v>
          </cell>
        </row>
        <row r="146">
          <cell r="B146">
            <v>15706</v>
          </cell>
          <cell r="C146" t="str">
            <v>THyB-Vp</v>
          </cell>
        </row>
        <row r="147">
          <cell r="B147">
            <v>15707</v>
          </cell>
          <cell r="C147" t="str">
            <v>VTMp</v>
          </cell>
        </row>
        <row r="148">
          <cell r="B148">
            <v>15708</v>
          </cell>
          <cell r="C148" t="str">
            <v>THyB-Vi</v>
          </cell>
        </row>
        <row r="149">
          <cell r="B149">
            <v>15709</v>
          </cell>
          <cell r="C149" t="str">
            <v>VTMi</v>
          </cell>
        </row>
        <row r="150">
          <cell r="B150">
            <v>15710</v>
          </cell>
          <cell r="C150" t="str">
            <v>THyB-Vs</v>
          </cell>
        </row>
        <row r="151">
          <cell r="B151">
            <v>15711</v>
          </cell>
          <cell r="C151" t="str">
            <v>VTMs</v>
          </cell>
        </row>
        <row r="152">
          <cell r="B152">
            <v>15712</v>
          </cell>
          <cell r="C152" t="str">
            <v>THyB-P</v>
          </cell>
        </row>
        <row r="153">
          <cell r="B153">
            <v>15713</v>
          </cell>
          <cell r="C153" t="str">
            <v>THyB-Pv</v>
          </cell>
        </row>
        <row r="154">
          <cell r="B154">
            <v>15714</v>
          </cell>
          <cell r="C154" t="str">
            <v>MRO</v>
          </cell>
        </row>
        <row r="155">
          <cell r="B155">
            <v>15715</v>
          </cell>
          <cell r="C155" t="str">
            <v>THyB-Pm</v>
          </cell>
        </row>
        <row r="156">
          <cell r="B156">
            <v>15716</v>
          </cell>
          <cell r="C156" t="str">
            <v>THyB-Pp</v>
          </cell>
        </row>
        <row r="157">
          <cell r="B157">
            <v>15717</v>
          </cell>
          <cell r="C157" t="str">
            <v>PPeM</v>
          </cell>
        </row>
        <row r="158">
          <cell r="B158">
            <v>15718</v>
          </cell>
          <cell r="C158" t="str">
            <v>THyB-Pi</v>
          </cell>
        </row>
        <row r="159">
          <cell r="B159">
            <v>15719</v>
          </cell>
          <cell r="C159" t="str">
            <v>PMD</v>
          </cell>
        </row>
        <row r="160">
          <cell r="B160">
            <v>15720</v>
          </cell>
          <cell r="C160" t="str">
            <v>THyB-Ps</v>
          </cell>
        </row>
        <row r="161">
          <cell r="B161">
            <v>15721</v>
          </cell>
          <cell r="C161" t="str">
            <v>Te</v>
          </cell>
        </row>
        <row r="162">
          <cell r="B162">
            <v>15722</v>
          </cell>
          <cell r="C162" t="str">
            <v>THyB-M</v>
          </cell>
        </row>
        <row r="163">
          <cell r="B163">
            <v>15723</v>
          </cell>
          <cell r="C163" t="str">
            <v>Mam</v>
          </cell>
        </row>
        <row r="164">
          <cell r="B164">
            <v>15724</v>
          </cell>
          <cell r="C164" t="str">
            <v>Mamv</v>
          </cell>
        </row>
        <row r="165">
          <cell r="B165">
            <v>15725</v>
          </cell>
          <cell r="C165" t="str">
            <v>Mamm</v>
          </cell>
        </row>
        <row r="166">
          <cell r="B166">
            <v>15726</v>
          </cell>
          <cell r="C166" t="str">
            <v>Mamp</v>
          </cell>
        </row>
        <row r="167">
          <cell r="B167">
            <v>15727</v>
          </cell>
          <cell r="C167" t="str">
            <v>MnM</v>
          </cell>
        </row>
        <row r="168">
          <cell r="B168">
            <v>15728</v>
          </cell>
          <cell r="C168" t="str">
            <v>Mami</v>
          </cell>
        </row>
        <row r="169">
          <cell r="B169">
            <v>15729</v>
          </cell>
          <cell r="C169" t="str">
            <v>MM</v>
          </cell>
        </row>
        <row r="170">
          <cell r="B170">
            <v>15730</v>
          </cell>
          <cell r="C170" t="str">
            <v>MMm</v>
          </cell>
        </row>
        <row r="171">
          <cell r="B171">
            <v>15731</v>
          </cell>
          <cell r="C171" t="str">
            <v>MMl</v>
          </cell>
        </row>
        <row r="172">
          <cell r="B172">
            <v>15732</v>
          </cell>
          <cell r="C172" t="str">
            <v>MMp</v>
          </cell>
        </row>
        <row r="173">
          <cell r="B173">
            <v>15733</v>
          </cell>
          <cell r="C173" t="str">
            <v>Mams</v>
          </cell>
        </row>
        <row r="174">
          <cell r="B174">
            <v>15734</v>
          </cell>
          <cell r="C174" t="str">
            <v>LM</v>
          </cell>
        </row>
        <row r="175">
          <cell r="B175">
            <v>15735</v>
          </cell>
          <cell r="C175" t="str">
            <v>VTMm</v>
          </cell>
        </row>
        <row r="176">
          <cell r="B176">
            <v>15736</v>
          </cell>
          <cell r="C176" t="str">
            <v>THyF</v>
          </cell>
        </row>
        <row r="177">
          <cell r="B177">
            <v>15737</v>
          </cell>
          <cell r="C177" t="str">
            <v>MamF</v>
          </cell>
        </row>
        <row r="178">
          <cell r="B178">
            <v>15738</v>
          </cell>
          <cell r="C178" t="str">
            <v>CSP</v>
          </cell>
        </row>
        <row r="179">
          <cell r="B179">
            <v>15739</v>
          </cell>
          <cell r="C179" t="str">
            <v>Tel</v>
          </cell>
        </row>
        <row r="180">
          <cell r="B180">
            <v>15740</v>
          </cell>
          <cell r="C180" t="str">
            <v>TelR</v>
          </cell>
        </row>
        <row r="181">
          <cell r="B181">
            <v>15741</v>
          </cell>
          <cell r="C181" t="str">
            <v>CSCom</v>
          </cell>
        </row>
        <row r="182">
          <cell r="B182">
            <v>15742</v>
          </cell>
          <cell r="C182" t="str">
            <v>CSComv</v>
          </cell>
        </row>
        <row r="183">
          <cell r="B183">
            <v>15743</v>
          </cell>
          <cell r="C183" t="str">
            <v>SFOe</v>
          </cell>
        </row>
        <row r="184">
          <cell r="B184">
            <v>15744</v>
          </cell>
          <cell r="C184" t="str">
            <v>CSComm</v>
          </cell>
        </row>
        <row r="185">
          <cell r="B185">
            <v>15745</v>
          </cell>
          <cell r="C185" t="str">
            <v>CSComp</v>
          </cell>
        </row>
        <row r="186">
          <cell r="B186">
            <v>15746</v>
          </cell>
          <cell r="C186" t="str">
            <v>SFOp</v>
          </cell>
        </row>
        <row r="187">
          <cell r="B187">
            <v>15747</v>
          </cell>
          <cell r="C187" t="str">
            <v>CSComi</v>
          </cell>
        </row>
        <row r="188">
          <cell r="B188">
            <v>15748</v>
          </cell>
          <cell r="C188" t="str">
            <v>CSComs</v>
          </cell>
        </row>
        <row r="189">
          <cell r="B189">
            <v>15749</v>
          </cell>
          <cell r="C189" t="str">
            <v>TCh</v>
          </cell>
        </row>
        <row r="190">
          <cell r="B190">
            <v>15750</v>
          </cell>
          <cell r="C190" t="str">
            <v>TelA</v>
          </cell>
        </row>
        <row r="191">
          <cell r="B191">
            <v>15751</v>
          </cell>
          <cell r="C191" t="str">
            <v>SPall</v>
          </cell>
        </row>
        <row r="192">
          <cell r="B192">
            <v>111220534</v>
          </cell>
          <cell r="C192" t="str">
            <v>SPallv</v>
          </cell>
        </row>
        <row r="193">
          <cell r="B193">
            <v>111220536</v>
          </cell>
          <cell r="C193" t="str">
            <v>SPallm</v>
          </cell>
        </row>
        <row r="194">
          <cell r="B194">
            <v>15752</v>
          </cell>
          <cell r="C194" t="str">
            <v>SeSPall</v>
          </cell>
        </row>
        <row r="195">
          <cell r="B195">
            <v>15753</v>
          </cell>
          <cell r="C195" t="str">
            <v>DgSe</v>
          </cell>
        </row>
        <row r="196">
          <cell r="B196">
            <v>15754</v>
          </cell>
          <cell r="C196" t="str">
            <v>DgSev</v>
          </cell>
        </row>
        <row r="197">
          <cell r="B197">
            <v>15755</v>
          </cell>
          <cell r="C197" t="str">
            <v>DgSem</v>
          </cell>
        </row>
        <row r="198">
          <cell r="B198">
            <v>15756</v>
          </cell>
          <cell r="C198" t="str">
            <v>DgSep</v>
          </cell>
        </row>
        <row r="199">
          <cell r="B199">
            <v>15757</v>
          </cell>
          <cell r="C199" t="str">
            <v>LSV</v>
          </cell>
        </row>
        <row r="200">
          <cell r="B200">
            <v>15758</v>
          </cell>
          <cell r="C200" t="str">
            <v>MnSC</v>
          </cell>
        </row>
        <row r="201">
          <cell r="B201">
            <v>15759</v>
          </cell>
          <cell r="C201" t="str">
            <v>DgSei</v>
          </cell>
        </row>
        <row r="202">
          <cell r="B202">
            <v>15760</v>
          </cell>
          <cell r="C202" t="str">
            <v>LSIV</v>
          </cell>
        </row>
        <row r="203">
          <cell r="B203">
            <v>15761</v>
          </cell>
          <cell r="C203" t="str">
            <v>SHy</v>
          </cell>
        </row>
        <row r="204">
          <cell r="B204">
            <v>15762</v>
          </cell>
          <cell r="C204" t="str">
            <v>DgSes</v>
          </cell>
        </row>
        <row r="205">
          <cell r="B205">
            <v>15763</v>
          </cell>
          <cell r="C205" t="str">
            <v>VDB</v>
          </cell>
        </row>
        <row r="206">
          <cell r="B206">
            <v>15764</v>
          </cell>
          <cell r="C206" t="str">
            <v>MS</v>
          </cell>
        </row>
        <row r="207">
          <cell r="B207">
            <v>15765</v>
          </cell>
          <cell r="C207" t="str">
            <v>PalSe</v>
          </cell>
        </row>
        <row r="208">
          <cell r="B208">
            <v>15766</v>
          </cell>
          <cell r="C208" t="str">
            <v>PalSev</v>
          </cell>
        </row>
        <row r="209">
          <cell r="B209">
            <v>15767</v>
          </cell>
          <cell r="C209" t="str">
            <v>PalSem</v>
          </cell>
        </row>
        <row r="210">
          <cell r="B210">
            <v>15768</v>
          </cell>
          <cell r="C210" t="str">
            <v>PalSep</v>
          </cell>
        </row>
        <row r="211">
          <cell r="B211">
            <v>15769</v>
          </cell>
          <cell r="C211" t="str">
            <v>LSIp</v>
          </cell>
        </row>
        <row r="212">
          <cell r="B212">
            <v>15770</v>
          </cell>
          <cell r="C212" t="str">
            <v>PalSei</v>
          </cell>
        </row>
        <row r="213">
          <cell r="B213">
            <v>15771</v>
          </cell>
          <cell r="C213" t="str">
            <v>LSII</v>
          </cell>
        </row>
        <row r="214">
          <cell r="B214">
            <v>15772</v>
          </cell>
          <cell r="C214" t="str">
            <v>Ld</v>
          </cell>
        </row>
        <row r="215">
          <cell r="B215">
            <v>15773</v>
          </cell>
          <cell r="C215" t="str">
            <v>PalSes</v>
          </cell>
        </row>
        <row r="216">
          <cell r="B216">
            <v>15774</v>
          </cell>
          <cell r="C216" t="str">
            <v>StrSe</v>
          </cell>
        </row>
        <row r="217">
          <cell r="B217">
            <v>15775</v>
          </cell>
          <cell r="C217" t="str">
            <v>StrSev</v>
          </cell>
        </row>
        <row r="218">
          <cell r="B218">
            <v>15776</v>
          </cell>
          <cell r="C218" t="str">
            <v>StrSem</v>
          </cell>
        </row>
        <row r="219">
          <cell r="B219">
            <v>15777</v>
          </cell>
          <cell r="C219" t="str">
            <v>StrSep</v>
          </cell>
        </row>
        <row r="220">
          <cell r="B220">
            <v>15778</v>
          </cell>
          <cell r="C220" t="str">
            <v>LSD</v>
          </cell>
        </row>
        <row r="221">
          <cell r="B221">
            <v>15779</v>
          </cell>
          <cell r="C221" t="str">
            <v>TS</v>
          </cell>
        </row>
        <row r="222">
          <cell r="B222">
            <v>15780</v>
          </cell>
          <cell r="C222" t="str">
            <v>SFi</v>
          </cell>
        </row>
        <row r="223">
          <cell r="B223">
            <v>15781</v>
          </cell>
          <cell r="C223" t="str">
            <v>StrSei</v>
          </cell>
        </row>
        <row r="224">
          <cell r="B224">
            <v>15782</v>
          </cell>
          <cell r="C224" t="str">
            <v>LSID</v>
          </cell>
        </row>
        <row r="225">
          <cell r="B225">
            <v>15783</v>
          </cell>
          <cell r="C225" t="str">
            <v>StrSes</v>
          </cell>
        </row>
        <row r="226">
          <cell r="B226">
            <v>15784</v>
          </cell>
          <cell r="C226" t="str">
            <v>PaSe</v>
          </cell>
        </row>
        <row r="227">
          <cell r="B227">
            <v>15785</v>
          </cell>
          <cell r="C227" t="str">
            <v>SeDg</v>
          </cell>
        </row>
        <row r="228">
          <cell r="B228">
            <v>15786</v>
          </cell>
          <cell r="C228" t="str">
            <v>SeDgv</v>
          </cell>
        </row>
        <row r="229">
          <cell r="B229">
            <v>15787</v>
          </cell>
          <cell r="C229" t="str">
            <v>SeDgm</v>
          </cell>
        </row>
        <row r="230">
          <cell r="B230">
            <v>15788</v>
          </cell>
          <cell r="C230" t="str">
            <v>SeDgp</v>
          </cell>
        </row>
        <row r="231">
          <cell r="B231">
            <v>15789</v>
          </cell>
          <cell r="C231" t="str">
            <v>BSTMS</v>
          </cell>
        </row>
        <row r="232">
          <cell r="B232">
            <v>15790</v>
          </cell>
          <cell r="C232" t="str">
            <v>BSTMv</v>
          </cell>
        </row>
        <row r="233">
          <cell r="B233">
            <v>15791</v>
          </cell>
          <cell r="C233" t="str">
            <v>BSTMa</v>
          </cell>
        </row>
        <row r="234">
          <cell r="B234">
            <v>15792</v>
          </cell>
          <cell r="C234" t="str">
            <v>SeDgi</v>
          </cell>
        </row>
        <row r="235">
          <cell r="B235">
            <v>15793</v>
          </cell>
          <cell r="C235" t="str">
            <v>SIBT</v>
          </cell>
        </row>
        <row r="236">
          <cell r="B236">
            <v>15794</v>
          </cell>
          <cell r="C236" t="str">
            <v>BAC</v>
          </cell>
        </row>
        <row r="237">
          <cell r="B237">
            <v>15795</v>
          </cell>
          <cell r="C237" t="str">
            <v>SeDgs</v>
          </cell>
        </row>
        <row r="238">
          <cell r="B238">
            <v>15796</v>
          </cell>
          <cell r="C238" t="str">
            <v>HDBT</v>
          </cell>
        </row>
        <row r="239">
          <cell r="B239">
            <v>15797</v>
          </cell>
          <cell r="C239" t="str">
            <v>SePal</v>
          </cell>
        </row>
        <row r="240">
          <cell r="B240">
            <v>15798</v>
          </cell>
          <cell r="C240" t="str">
            <v>SePalv</v>
          </cell>
        </row>
        <row r="241">
          <cell r="B241">
            <v>15799</v>
          </cell>
          <cell r="C241" t="str">
            <v>SePalm</v>
          </cell>
        </row>
        <row r="242">
          <cell r="B242">
            <v>15800</v>
          </cell>
          <cell r="C242" t="str">
            <v>SePalp</v>
          </cell>
        </row>
        <row r="243">
          <cell r="B243">
            <v>15801</v>
          </cell>
          <cell r="C243" t="str">
            <v>BSTLS</v>
          </cell>
        </row>
        <row r="244">
          <cell r="B244">
            <v>15802</v>
          </cell>
          <cell r="C244" t="str">
            <v>BSTLi</v>
          </cell>
        </row>
        <row r="245">
          <cell r="B245">
            <v>15803</v>
          </cell>
          <cell r="C245" t="str">
            <v>SePali</v>
          </cell>
        </row>
        <row r="246">
          <cell r="B246">
            <v>15804</v>
          </cell>
          <cell r="C246" t="str">
            <v>SePalCo</v>
          </cell>
        </row>
        <row r="247">
          <cell r="B247">
            <v>15805</v>
          </cell>
          <cell r="C247" t="str">
            <v>SePalSh</v>
          </cell>
        </row>
        <row r="248">
          <cell r="B248">
            <v>15806</v>
          </cell>
          <cell r="C248" t="str">
            <v>SePals</v>
          </cell>
        </row>
        <row r="249">
          <cell r="B249">
            <v>15807</v>
          </cell>
          <cell r="C249" t="str">
            <v>TuSePal</v>
          </cell>
        </row>
        <row r="250">
          <cell r="B250">
            <v>15808</v>
          </cell>
          <cell r="C250" t="str">
            <v>ICjM</v>
          </cell>
        </row>
        <row r="251">
          <cell r="B251">
            <v>15809</v>
          </cell>
          <cell r="C251" t="str">
            <v>SeStr</v>
          </cell>
        </row>
        <row r="252">
          <cell r="B252">
            <v>15810</v>
          </cell>
          <cell r="C252" t="str">
            <v>SeStrv</v>
          </cell>
        </row>
        <row r="253">
          <cell r="B253">
            <v>15811</v>
          </cell>
          <cell r="C253" t="str">
            <v>SeStrm</v>
          </cell>
        </row>
        <row r="254">
          <cell r="B254">
            <v>15812</v>
          </cell>
          <cell r="C254" t="str">
            <v>SeStrp</v>
          </cell>
        </row>
        <row r="255">
          <cell r="B255">
            <v>15813</v>
          </cell>
          <cell r="C255" t="str">
            <v>AcbCo</v>
          </cell>
        </row>
        <row r="256">
          <cell r="B256">
            <v>15814</v>
          </cell>
          <cell r="C256" t="str">
            <v>SeStri</v>
          </cell>
        </row>
        <row r="257">
          <cell r="B257">
            <v>15815</v>
          </cell>
          <cell r="C257" t="str">
            <v>AcbSh</v>
          </cell>
        </row>
        <row r="258">
          <cell r="B258">
            <v>15816</v>
          </cell>
          <cell r="C258" t="str">
            <v>SeStrs</v>
          </cell>
        </row>
        <row r="259">
          <cell r="B259">
            <v>15817</v>
          </cell>
          <cell r="C259" t="str">
            <v>TuSeStr</v>
          </cell>
        </row>
        <row r="260">
          <cell r="B260">
            <v>15818</v>
          </cell>
          <cell r="C260" t="str">
            <v>CSPall</v>
          </cell>
        </row>
        <row r="261">
          <cell r="B261">
            <v>111220538</v>
          </cell>
          <cell r="C261" t="str">
            <v>CSPallv</v>
          </cell>
        </row>
        <row r="262">
          <cell r="B262">
            <v>111220540</v>
          </cell>
          <cell r="C262" t="str">
            <v>CSPallm</v>
          </cell>
        </row>
        <row r="263">
          <cell r="B263">
            <v>111220542</v>
          </cell>
          <cell r="C263" t="str">
            <v>CSPallp</v>
          </cell>
        </row>
        <row r="264">
          <cell r="B264">
            <v>111220544</v>
          </cell>
          <cell r="C264" t="str">
            <v>CSPalli</v>
          </cell>
        </row>
        <row r="265">
          <cell r="B265">
            <v>111220546</v>
          </cell>
          <cell r="C265" t="str">
            <v>CSPalls</v>
          </cell>
        </row>
        <row r="266">
          <cell r="B266">
            <v>15819</v>
          </cell>
          <cell r="C266" t="str">
            <v>Dg</v>
          </cell>
        </row>
        <row r="267">
          <cell r="B267">
            <v>15820</v>
          </cell>
          <cell r="C267" t="str">
            <v>Dgv</v>
          </cell>
        </row>
        <row r="268">
          <cell r="B268">
            <v>15821</v>
          </cell>
          <cell r="C268" t="str">
            <v>Dgm</v>
          </cell>
        </row>
        <row r="269">
          <cell r="B269">
            <v>15822</v>
          </cell>
          <cell r="C269" t="str">
            <v>Dgp</v>
          </cell>
        </row>
        <row r="270">
          <cell r="B270">
            <v>15823</v>
          </cell>
          <cell r="C270" t="str">
            <v>BSTMC</v>
          </cell>
        </row>
        <row r="271">
          <cell r="B271">
            <v>15824</v>
          </cell>
          <cell r="C271" t="str">
            <v>BSTMpm</v>
          </cell>
        </row>
        <row r="272">
          <cell r="B272">
            <v>15825</v>
          </cell>
          <cell r="C272" t="str">
            <v>BSTMpi</v>
          </cell>
        </row>
        <row r="273">
          <cell r="B273">
            <v>15826</v>
          </cell>
          <cell r="C273" t="str">
            <v>BSTMpl</v>
          </cell>
        </row>
        <row r="274">
          <cell r="B274">
            <v>15827</v>
          </cell>
          <cell r="C274" t="str">
            <v>EADg</v>
          </cell>
        </row>
        <row r="275">
          <cell r="B275">
            <v>15828</v>
          </cell>
          <cell r="C275" t="str">
            <v>Dgi</v>
          </cell>
        </row>
        <row r="276">
          <cell r="B276">
            <v>15829</v>
          </cell>
          <cell r="C276" t="str">
            <v>SIB</v>
          </cell>
        </row>
        <row r="277">
          <cell r="B277">
            <v>15830</v>
          </cell>
          <cell r="C277" t="str">
            <v>IPal</v>
          </cell>
        </row>
        <row r="278">
          <cell r="B278">
            <v>15831</v>
          </cell>
          <cell r="C278" t="str">
            <v>Dgs</v>
          </cell>
        </row>
        <row r="279">
          <cell r="B279">
            <v>15832</v>
          </cell>
          <cell r="C279" t="str">
            <v>HDB</v>
          </cell>
        </row>
        <row r="280">
          <cell r="B280">
            <v>15833</v>
          </cell>
          <cell r="C280" t="str">
            <v>MCDB</v>
          </cell>
        </row>
        <row r="281">
          <cell r="B281">
            <v>15834</v>
          </cell>
          <cell r="C281" t="str">
            <v>Pal</v>
          </cell>
        </row>
        <row r="282">
          <cell r="B282">
            <v>15835</v>
          </cell>
          <cell r="C282" t="str">
            <v>Palv</v>
          </cell>
        </row>
        <row r="283">
          <cell r="B283">
            <v>15836</v>
          </cell>
          <cell r="C283" t="str">
            <v>Palm</v>
          </cell>
        </row>
        <row r="284">
          <cell r="B284">
            <v>15837</v>
          </cell>
          <cell r="C284" t="str">
            <v>Palp</v>
          </cell>
        </row>
        <row r="285">
          <cell r="B285">
            <v>15838</v>
          </cell>
          <cell r="C285" t="str">
            <v>BSTLC</v>
          </cell>
        </row>
        <row r="286">
          <cell r="B286">
            <v>15839</v>
          </cell>
          <cell r="C286" t="str">
            <v>BSTLp</v>
          </cell>
        </row>
        <row r="287">
          <cell r="B287">
            <v>15840</v>
          </cell>
          <cell r="C287" t="str">
            <v>BSTLj</v>
          </cell>
        </row>
        <row r="288">
          <cell r="B288">
            <v>15841</v>
          </cell>
          <cell r="C288" t="str">
            <v>BSTLd</v>
          </cell>
        </row>
        <row r="289">
          <cell r="B289">
            <v>15842</v>
          </cell>
          <cell r="C289" t="str">
            <v>Pali</v>
          </cell>
        </row>
        <row r="290">
          <cell r="B290">
            <v>15843</v>
          </cell>
          <cell r="C290" t="str">
            <v>EPal</v>
          </cell>
        </row>
        <row r="291">
          <cell r="B291">
            <v>15844</v>
          </cell>
          <cell r="C291" t="str">
            <v>VPal</v>
          </cell>
        </row>
        <row r="292">
          <cell r="B292">
            <v>15845</v>
          </cell>
          <cell r="C292" t="str">
            <v>Pals</v>
          </cell>
        </row>
        <row r="293">
          <cell r="B293">
            <v>15846</v>
          </cell>
          <cell r="C293" t="str">
            <v>TuPal</v>
          </cell>
        </row>
        <row r="294">
          <cell r="B294">
            <v>15847</v>
          </cell>
          <cell r="C294" t="str">
            <v>TuPal1</v>
          </cell>
        </row>
        <row r="295">
          <cell r="B295">
            <v>15848</v>
          </cell>
          <cell r="C295" t="str">
            <v>TuPal2</v>
          </cell>
        </row>
        <row r="296">
          <cell r="B296">
            <v>15849</v>
          </cell>
          <cell r="C296" t="str">
            <v>TuPal3</v>
          </cell>
        </row>
        <row r="297">
          <cell r="B297">
            <v>15850</v>
          </cell>
          <cell r="C297" t="str">
            <v>ICjPal</v>
          </cell>
        </row>
        <row r="298">
          <cell r="B298">
            <v>15851</v>
          </cell>
          <cell r="C298" t="str">
            <v>Str</v>
          </cell>
        </row>
        <row r="299">
          <cell r="B299">
            <v>15852</v>
          </cell>
          <cell r="C299" t="str">
            <v>Strv</v>
          </cell>
        </row>
        <row r="300">
          <cell r="B300">
            <v>15853</v>
          </cell>
          <cell r="C300" t="str">
            <v>Strm</v>
          </cell>
        </row>
        <row r="301">
          <cell r="B301">
            <v>15854</v>
          </cell>
          <cell r="C301" t="str">
            <v>Strp</v>
          </cell>
        </row>
        <row r="302">
          <cell r="B302">
            <v>15855</v>
          </cell>
          <cell r="C302" t="str">
            <v>Cau</v>
          </cell>
        </row>
        <row r="303">
          <cell r="B303">
            <v>15856</v>
          </cell>
          <cell r="C303" t="str">
            <v>Stri</v>
          </cell>
        </row>
        <row r="304">
          <cell r="B304">
            <v>15857</v>
          </cell>
          <cell r="C304" t="str">
            <v>Put</v>
          </cell>
        </row>
        <row r="305">
          <cell r="B305">
            <v>15858</v>
          </cell>
          <cell r="C305" t="str">
            <v>VStr</v>
          </cell>
        </row>
        <row r="306">
          <cell r="B306">
            <v>15859</v>
          </cell>
          <cell r="C306" t="str">
            <v>IPAC</v>
          </cell>
        </row>
        <row r="307">
          <cell r="B307">
            <v>15860</v>
          </cell>
          <cell r="C307" t="str">
            <v>LSS</v>
          </cell>
        </row>
        <row r="308">
          <cell r="B308">
            <v>15861</v>
          </cell>
          <cell r="C308" t="str">
            <v>Strs</v>
          </cell>
        </row>
        <row r="309">
          <cell r="B309">
            <v>15862</v>
          </cell>
          <cell r="C309" t="str">
            <v>TuStr</v>
          </cell>
        </row>
        <row r="310">
          <cell r="B310">
            <v>15863</v>
          </cell>
          <cell r="C310" t="str">
            <v>TuStr1</v>
          </cell>
        </row>
        <row r="311">
          <cell r="B311">
            <v>15864</v>
          </cell>
          <cell r="C311" t="str">
            <v>TuStr2</v>
          </cell>
        </row>
        <row r="312">
          <cell r="B312">
            <v>15865</v>
          </cell>
          <cell r="C312" t="str">
            <v>TuStr3</v>
          </cell>
        </row>
        <row r="313">
          <cell r="B313">
            <v>15866</v>
          </cell>
          <cell r="C313" t="str">
            <v>ICjStr</v>
          </cell>
        </row>
        <row r="314">
          <cell r="B314">
            <v>15867</v>
          </cell>
          <cell r="C314" t="str">
            <v>ASPall</v>
          </cell>
        </row>
        <row r="315">
          <cell r="B315">
            <v>15868</v>
          </cell>
          <cell r="C315" t="str">
            <v>AStr</v>
          </cell>
        </row>
        <row r="316">
          <cell r="B316">
            <v>15869</v>
          </cell>
          <cell r="C316" t="str">
            <v>AStrv</v>
          </cell>
        </row>
        <row r="317">
          <cell r="B317">
            <v>15870</v>
          </cell>
          <cell r="C317" t="str">
            <v>AStrm</v>
          </cell>
        </row>
        <row r="318">
          <cell r="B318">
            <v>15871</v>
          </cell>
          <cell r="C318" t="str">
            <v>AStrp</v>
          </cell>
        </row>
        <row r="319">
          <cell r="B319">
            <v>15872</v>
          </cell>
          <cell r="C319" t="str">
            <v>ASt</v>
          </cell>
        </row>
        <row r="320">
          <cell r="B320">
            <v>15873</v>
          </cell>
          <cell r="C320" t="str">
            <v>AStri</v>
          </cell>
        </row>
        <row r="321">
          <cell r="B321">
            <v>15874</v>
          </cell>
          <cell r="C321" t="str">
            <v>CeL</v>
          </cell>
        </row>
        <row r="322">
          <cell r="B322">
            <v>15875</v>
          </cell>
          <cell r="C322" t="str">
            <v>CeC</v>
          </cell>
        </row>
        <row r="323">
          <cell r="B323">
            <v>15876</v>
          </cell>
          <cell r="C323" t="str">
            <v>IA</v>
          </cell>
        </row>
        <row r="324">
          <cell r="B324">
            <v>15877</v>
          </cell>
          <cell r="C324" t="str">
            <v>AStrs</v>
          </cell>
        </row>
        <row r="325">
          <cell r="B325">
            <v>15878</v>
          </cell>
          <cell r="C325" t="str">
            <v>APal</v>
          </cell>
        </row>
        <row r="326">
          <cell r="B326">
            <v>15879</v>
          </cell>
          <cell r="C326" t="str">
            <v>APalv</v>
          </cell>
        </row>
        <row r="327">
          <cell r="B327">
            <v>15880</v>
          </cell>
          <cell r="C327" t="str">
            <v>APalm</v>
          </cell>
        </row>
        <row r="328">
          <cell r="B328">
            <v>15881</v>
          </cell>
          <cell r="C328" t="str">
            <v>APalp</v>
          </cell>
        </row>
        <row r="329">
          <cell r="B329">
            <v>15882</v>
          </cell>
          <cell r="C329" t="str">
            <v>BSTLA</v>
          </cell>
        </row>
        <row r="330">
          <cell r="B330">
            <v>15883</v>
          </cell>
          <cell r="C330" t="str">
            <v>APali</v>
          </cell>
        </row>
        <row r="331">
          <cell r="B331">
            <v>15884</v>
          </cell>
          <cell r="C331" t="str">
            <v>CeM</v>
          </cell>
        </row>
        <row r="332">
          <cell r="B332">
            <v>15885</v>
          </cell>
          <cell r="C332" t="str">
            <v>APals</v>
          </cell>
        </row>
        <row r="333">
          <cell r="B333">
            <v>15886</v>
          </cell>
          <cell r="C333" t="str">
            <v>ADg</v>
          </cell>
        </row>
        <row r="334">
          <cell r="B334">
            <v>15887</v>
          </cell>
          <cell r="C334" t="str">
            <v>ADgv</v>
          </cell>
        </row>
        <row r="335">
          <cell r="B335">
            <v>15888</v>
          </cell>
          <cell r="C335" t="str">
            <v>ADgm</v>
          </cell>
        </row>
        <row r="336">
          <cell r="B336">
            <v>15889</v>
          </cell>
          <cell r="C336" t="str">
            <v>ADgp</v>
          </cell>
        </row>
        <row r="337">
          <cell r="B337">
            <v>15890</v>
          </cell>
          <cell r="C337" t="str">
            <v>BSTMA</v>
          </cell>
        </row>
        <row r="338">
          <cell r="B338">
            <v>15891</v>
          </cell>
          <cell r="C338" t="str">
            <v>ADgi</v>
          </cell>
        </row>
        <row r="339">
          <cell r="B339">
            <v>15892</v>
          </cell>
          <cell r="C339" t="str">
            <v>ADgs</v>
          </cell>
        </row>
        <row r="340">
          <cell r="B340">
            <v>15893</v>
          </cell>
          <cell r="C340" t="str">
            <v>AHy</v>
          </cell>
        </row>
        <row r="341">
          <cell r="B341">
            <v>15894</v>
          </cell>
          <cell r="C341" t="str">
            <v>AHyv</v>
          </cell>
        </row>
        <row r="342">
          <cell r="B342">
            <v>15895</v>
          </cell>
          <cell r="C342" t="str">
            <v>AHym</v>
          </cell>
        </row>
        <row r="343">
          <cell r="B343">
            <v>15896</v>
          </cell>
          <cell r="C343" t="str">
            <v>AHyp</v>
          </cell>
        </row>
        <row r="344">
          <cell r="B344">
            <v>15897</v>
          </cell>
          <cell r="C344" t="str">
            <v>AHyi</v>
          </cell>
        </row>
        <row r="345">
          <cell r="B345">
            <v>15898</v>
          </cell>
          <cell r="C345" t="str">
            <v>AHys</v>
          </cell>
        </row>
        <row r="346">
          <cell r="B346">
            <v>15899</v>
          </cell>
          <cell r="C346" t="str">
            <v>MePD</v>
          </cell>
        </row>
        <row r="347">
          <cell r="B347">
            <v>15900</v>
          </cell>
          <cell r="C347" t="str">
            <v>MePV</v>
          </cell>
        </row>
        <row r="348">
          <cell r="B348">
            <v>15901</v>
          </cell>
          <cell r="C348" t="str">
            <v>MeAD</v>
          </cell>
        </row>
        <row r="349">
          <cell r="B349">
            <v>15902</v>
          </cell>
          <cell r="C349" t="str">
            <v>MeAV</v>
          </cell>
        </row>
        <row r="350">
          <cell r="B350">
            <v>15903</v>
          </cell>
          <cell r="C350" t="str">
            <v>Pall</v>
          </cell>
        </row>
        <row r="351">
          <cell r="B351">
            <v>111220548</v>
          </cell>
          <cell r="C351" t="str">
            <v>Pallv</v>
          </cell>
        </row>
        <row r="352">
          <cell r="B352">
            <v>111220550</v>
          </cell>
          <cell r="C352" t="str">
            <v>Pallm</v>
          </cell>
        </row>
        <row r="353">
          <cell r="B353">
            <v>15904</v>
          </cell>
          <cell r="C353" t="str">
            <v>VPall</v>
          </cell>
        </row>
        <row r="354">
          <cell r="B354">
            <v>15905</v>
          </cell>
          <cell r="C354" t="str">
            <v>OB</v>
          </cell>
        </row>
        <row r="355">
          <cell r="B355">
            <v>15906</v>
          </cell>
          <cell r="C355" t="str">
            <v>OBv</v>
          </cell>
        </row>
        <row r="356">
          <cell r="B356">
            <v>15907</v>
          </cell>
          <cell r="C356" t="str">
            <v>OBm</v>
          </cell>
        </row>
        <row r="357">
          <cell r="B357">
            <v>15908</v>
          </cell>
          <cell r="C357" t="str">
            <v>OBp</v>
          </cell>
        </row>
        <row r="358">
          <cell r="B358">
            <v>15909</v>
          </cell>
          <cell r="C358" t="str">
            <v>OB-Gr</v>
          </cell>
        </row>
        <row r="359">
          <cell r="B359">
            <v>15910</v>
          </cell>
          <cell r="C359" t="str">
            <v>OB-Ipl</v>
          </cell>
        </row>
        <row r="360">
          <cell r="B360">
            <v>15911</v>
          </cell>
          <cell r="C360" t="str">
            <v>OBi</v>
          </cell>
        </row>
        <row r="361">
          <cell r="B361">
            <v>15912</v>
          </cell>
          <cell r="C361" t="str">
            <v>OB-Mtr</v>
          </cell>
        </row>
        <row r="362">
          <cell r="B362">
            <v>15913</v>
          </cell>
          <cell r="C362" t="str">
            <v>OB-Opl</v>
          </cell>
        </row>
        <row r="363">
          <cell r="B363">
            <v>15914</v>
          </cell>
          <cell r="C363" t="str">
            <v>OBs</v>
          </cell>
        </row>
        <row r="364">
          <cell r="B364">
            <v>15915</v>
          </cell>
          <cell r="C364" t="str">
            <v>OB-Glom</v>
          </cell>
        </row>
        <row r="365">
          <cell r="B365">
            <v>15916</v>
          </cell>
          <cell r="C365" t="str">
            <v>OB-OF</v>
          </cell>
        </row>
        <row r="366">
          <cell r="B366">
            <v>15917</v>
          </cell>
          <cell r="C366" t="str">
            <v>AOV</v>
          </cell>
        </row>
        <row r="367">
          <cell r="B367">
            <v>15918</v>
          </cell>
          <cell r="C367" t="str">
            <v>AOVv</v>
          </cell>
        </row>
        <row r="368">
          <cell r="B368">
            <v>15919</v>
          </cell>
          <cell r="C368" t="str">
            <v>AOVm</v>
          </cell>
        </row>
        <row r="369">
          <cell r="B369">
            <v>15920</v>
          </cell>
          <cell r="C369" t="str">
            <v>AOVp</v>
          </cell>
        </row>
        <row r="370">
          <cell r="B370">
            <v>15921</v>
          </cell>
          <cell r="C370" t="str">
            <v>AOVi</v>
          </cell>
        </row>
        <row r="371">
          <cell r="B371">
            <v>15922</v>
          </cell>
          <cell r="C371" t="str">
            <v>AOVs</v>
          </cell>
        </row>
        <row r="372">
          <cell r="B372">
            <v>15923</v>
          </cell>
          <cell r="C372" t="str">
            <v>AOV1</v>
          </cell>
        </row>
        <row r="373">
          <cell r="B373">
            <v>15924</v>
          </cell>
          <cell r="C373" t="str">
            <v>AOV2</v>
          </cell>
        </row>
        <row r="374">
          <cell r="B374">
            <v>15925</v>
          </cell>
          <cell r="C374" t="str">
            <v>AOV3</v>
          </cell>
        </row>
        <row r="375">
          <cell r="B375">
            <v>15926</v>
          </cell>
          <cell r="C375" t="str">
            <v>AOVE</v>
          </cell>
        </row>
        <row r="376">
          <cell r="B376">
            <v>15927</v>
          </cell>
          <cell r="C376" t="str">
            <v>Nv</v>
          </cell>
        </row>
        <row r="377">
          <cell r="B377">
            <v>15928</v>
          </cell>
          <cell r="C377" t="str">
            <v>VPrP</v>
          </cell>
        </row>
        <row r="378">
          <cell r="B378">
            <v>15929</v>
          </cell>
          <cell r="C378" t="str">
            <v>VPrPv</v>
          </cell>
        </row>
        <row r="379">
          <cell r="B379">
            <v>15930</v>
          </cell>
          <cell r="C379" t="str">
            <v>VPrPm</v>
          </cell>
        </row>
        <row r="380">
          <cell r="B380">
            <v>15931</v>
          </cell>
          <cell r="C380" t="str">
            <v>VPrPp</v>
          </cell>
        </row>
        <row r="381">
          <cell r="B381">
            <v>15932</v>
          </cell>
          <cell r="C381" t="str">
            <v>VPrPi</v>
          </cell>
        </row>
        <row r="382">
          <cell r="B382">
            <v>15933</v>
          </cell>
          <cell r="C382" t="str">
            <v>BEC</v>
          </cell>
        </row>
        <row r="383">
          <cell r="B383">
            <v>15934</v>
          </cell>
          <cell r="C383" t="str">
            <v>DEn</v>
          </cell>
        </row>
        <row r="384">
          <cell r="B384">
            <v>15935</v>
          </cell>
          <cell r="C384" t="str">
            <v>VEn</v>
          </cell>
        </row>
        <row r="385">
          <cell r="B385">
            <v>15936</v>
          </cell>
          <cell r="C385" t="str">
            <v>VPrPs</v>
          </cell>
        </row>
        <row r="386">
          <cell r="B386">
            <v>15937</v>
          </cell>
          <cell r="C386" t="str">
            <v>VPrP1</v>
          </cell>
        </row>
        <row r="387">
          <cell r="B387">
            <v>15938</v>
          </cell>
          <cell r="C387" t="str">
            <v>VPrP2</v>
          </cell>
        </row>
        <row r="388">
          <cell r="B388">
            <v>15939</v>
          </cell>
          <cell r="C388" t="str">
            <v>VPrP3</v>
          </cell>
        </row>
        <row r="389">
          <cell r="B389">
            <v>15940</v>
          </cell>
          <cell r="C389" t="str">
            <v>VAP</v>
          </cell>
        </row>
        <row r="390">
          <cell r="B390">
            <v>15941</v>
          </cell>
          <cell r="C390" t="str">
            <v>VAPv</v>
          </cell>
        </row>
        <row r="391">
          <cell r="B391">
            <v>15942</v>
          </cell>
          <cell r="C391" t="str">
            <v>VAPm</v>
          </cell>
        </row>
        <row r="392">
          <cell r="B392">
            <v>15943</v>
          </cell>
          <cell r="C392" t="str">
            <v>VAPp</v>
          </cell>
        </row>
        <row r="393">
          <cell r="B393">
            <v>15944</v>
          </cell>
          <cell r="C393" t="str">
            <v>La</v>
          </cell>
        </row>
        <row r="394">
          <cell r="B394">
            <v>15945</v>
          </cell>
          <cell r="C394" t="str">
            <v>AHi</v>
          </cell>
        </row>
        <row r="395">
          <cell r="B395">
            <v>15946</v>
          </cell>
          <cell r="C395" t="str">
            <v>VAPi</v>
          </cell>
        </row>
        <row r="396">
          <cell r="B396">
            <v>15947</v>
          </cell>
          <cell r="C396" t="str">
            <v>BMA</v>
          </cell>
        </row>
        <row r="397">
          <cell r="B397">
            <v>15948</v>
          </cell>
          <cell r="C397" t="str">
            <v>BMP</v>
          </cell>
        </row>
        <row r="398">
          <cell r="B398">
            <v>15949</v>
          </cell>
          <cell r="C398" t="str">
            <v>VAPs</v>
          </cell>
        </row>
        <row r="399">
          <cell r="B399">
            <v>15950</v>
          </cell>
          <cell r="C399" t="str">
            <v>PMCo</v>
          </cell>
        </row>
        <row r="400">
          <cell r="B400">
            <v>15951</v>
          </cell>
          <cell r="C400" t="str">
            <v>LOT</v>
          </cell>
        </row>
        <row r="401">
          <cell r="B401">
            <v>15952</v>
          </cell>
          <cell r="C401" t="str">
            <v>LOT3</v>
          </cell>
        </row>
        <row r="402">
          <cell r="B402">
            <v>15953</v>
          </cell>
          <cell r="C402" t="str">
            <v>LOT2</v>
          </cell>
        </row>
        <row r="403">
          <cell r="B403">
            <v>15954</v>
          </cell>
          <cell r="C403" t="str">
            <v>LOT1</v>
          </cell>
        </row>
        <row r="404">
          <cell r="B404">
            <v>15955</v>
          </cell>
          <cell r="C404" t="str">
            <v>NAOT</v>
          </cell>
        </row>
        <row r="405">
          <cell r="B405">
            <v>15956</v>
          </cell>
          <cell r="C405" t="str">
            <v>LPall</v>
          </cell>
        </row>
        <row r="406">
          <cell r="B406">
            <v>15957</v>
          </cell>
          <cell r="C406" t="str">
            <v>AOB</v>
          </cell>
        </row>
        <row r="407">
          <cell r="B407">
            <v>15958</v>
          </cell>
          <cell r="C407" t="str">
            <v>AOBv</v>
          </cell>
        </row>
        <row r="408">
          <cell r="B408">
            <v>15959</v>
          </cell>
          <cell r="C408" t="str">
            <v>AOBm</v>
          </cell>
        </row>
        <row r="409">
          <cell r="B409">
            <v>15960</v>
          </cell>
          <cell r="C409" t="str">
            <v>AOBp</v>
          </cell>
        </row>
        <row r="410">
          <cell r="B410">
            <v>15961</v>
          </cell>
          <cell r="C410" t="str">
            <v>AGr</v>
          </cell>
        </row>
        <row r="411">
          <cell r="B411">
            <v>15962</v>
          </cell>
          <cell r="C411" t="str">
            <v>AIPl</v>
          </cell>
        </row>
        <row r="412">
          <cell r="B412">
            <v>15963</v>
          </cell>
          <cell r="C412" t="str">
            <v>AOBi</v>
          </cell>
        </row>
        <row r="413">
          <cell r="B413">
            <v>15964</v>
          </cell>
          <cell r="C413" t="str">
            <v>AMtr</v>
          </cell>
        </row>
        <row r="414">
          <cell r="B414">
            <v>15965</v>
          </cell>
          <cell r="C414" t="str">
            <v>AOPl</v>
          </cell>
        </row>
        <row r="415">
          <cell r="B415">
            <v>15966</v>
          </cell>
          <cell r="C415" t="str">
            <v>AOBs</v>
          </cell>
        </row>
        <row r="416">
          <cell r="B416">
            <v>15967</v>
          </cell>
          <cell r="C416" t="str">
            <v>AGlom</v>
          </cell>
        </row>
        <row r="417">
          <cell r="B417">
            <v>15968</v>
          </cell>
          <cell r="C417" t="str">
            <v>AOF</v>
          </cell>
        </row>
        <row r="418">
          <cell r="B418">
            <v>15969</v>
          </cell>
          <cell r="C418" t="str">
            <v>AOD</v>
          </cell>
        </row>
        <row r="419">
          <cell r="B419">
            <v>15970</v>
          </cell>
          <cell r="C419" t="str">
            <v>AODv</v>
          </cell>
        </row>
        <row r="420">
          <cell r="B420">
            <v>15971</v>
          </cell>
          <cell r="C420" t="str">
            <v>AODm</v>
          </cell>
        </row>
        <row r="421">
          <cell r="B421">
            <v>15972</v>
          </cell>
          <cell r="C421" t="str">
            <v>AODp</v>
          </cell>
        </row>
        <row r="422">
          <cell r="B422">
            <v>15973</v>
          </cell>
          <cell r="C422" t="str">
            <v>AODi</v>
          </cell>
        </row>
        <row r="423">
          <cell r="B423">
            <v>15974</v>
          </cell>
          <cell r="C423" t="str">
            <v>AODs</v>
          </cell>
        </row>
        <row r="424">
          <cell r="B424">
            <v>15975</v>
          </cell>
          <cell r="C424" t="str">
            <v>AOD1</v>
          </cell>
        </row>
        <row r="425">
          <cell r="B425">
            <v>15976</v>
          </cell>
          <cell r="C425" t="str">
            <v>AOD2</v>
          </cell>
        </row>
        <row r="426">
          <cell r="B426">
            <v>15977</v>
          </cell>
          <cell r="C426" t="str">
            <v>AOD3</v>
          </cell>
        </row>
        <row r="427">
          <cell r="B427">
            <v>15978</v>
          </cell>
          <cell r="C427" t="str">
            <v>AODE</v>
          </cell>
        </row>
        <row r="428">
          <cell r="B428">
            <v>15979</v>
          </cell>
          <cell r="C428" t="str">
            <v>LPrP</v>
          </cell>
        </row>
        <row r="429">
          <cell r="B429">
            <v>15980</v>
          </cell>
          <cell r="C429" t="str">
            <v>LPrPv</v>
          </cell>
        </row>
        <row r="430">
          <cell r="B430">
            <v>15981</v>
          </cell>
          <cell r="C430" t="str">
            <v>LPrPm</v>
          </cell>
        </row>
        <row r="431">
          <cell r="B431">
            <v>15982</v>
          </cell>
          <cell r="C431" t="str">
            <v>LPrPp</v>
          </cell>
        </row>
        <row r="432">
          <cell r="B432">
            <v>15983</v>
          </cell>
          <cell r="C432" t="str">
            <v>LPrPi</v>
          </cell>
        </row>
        <row r="433">
          <cell r="B433">
            <v>15984</v>
          </cell>
          <cell r="C433" t="str">
            <v>Cl</v>
          </cell>
        </row>
        <row r="434">
          <cell r="B434">
            <v>15985</v>
          </cell>
          <cell r="C434" t="str">
            <v>LPrPs</v>
          </cell>
        </row>
        <row r="435">
          <cell r="B435">
            <v>15986</v>
          </cell>
          <cell r="C435" t="str">
            <v>LPrP1</v>
          </cell>
        </row>
        <row r="436">
          <cell r="B436">
            <v>15987</v>
          </cell>
          <cell r="C436" t="str">
            <v>LPrP2</v>
          </cell>
        </row>
        <row r="437">
          <cell r="B437">
            <v>15988</v>
          </cell>
          <cell r="C437" t="str">
            <v>LPrP3</v>
          </cell>
        </row>
        <row r="438">
          <cell r="B438">
            <v>15989</v>
          </cell>
          <cell r="C438" t="str">
            <v>LAP</v>
          </cell>
        </row>
        <row r="439">
          <cell r="B439">
            <v>15990</v>
          </cell>
          <cell r="C439" t="str">
            <v>LAPv</v>
          </cell>
        </row>
        <row r="440">
          <cell r="B440">
            <v>15991</v>
          </cell>
          <cell r="C440" t="str">
            <v>LAPm</v>
          </cell>
        </row>
        <row r="441">
          <cell r="B441">
            <v>15992</v>
          </cell>
          <cell r="C441" t="str">
            <v>LAPp</v>
          </cell>
        </row>
        <row r="442">
          <cell r="B442">
            <v>15993</v>
          </cell>
          <cell r="C442" t="str">
            <v>LAPi</v>
          </cell>
        </row>
        <row r="443">
          <cell r="B443">
            <v>15994</v>
          </cell>
          <cell r="C443" t="str">
            <v>BLA</v>
          </cell>
        </row>
        <row r="444">
          <cell r="B444">
            <v>15995</v>
          </cell>
          <cell r="C444" t="str">
            <v>BLP</v>
          </cell>
        </row>
        <row r="445">
          <cell r="B445">
            <v>15996</v>
          </cell>
          <cell r="C445" t="str">
            <v>BLV</v>
          </cell>
        </row>
        <row r="446">
          <cell r="B446">
            <v>15997</v>
          </cell>
          <cell r="C446" t="str">
            <v>LAPs</v>
          </cell>
        </row>
        <row r="447">
          <cell r="B447">
            <v>15998</v>
          </cell>
          <cell r="C447" t="str">
            <v>APir</v>
          </cell>
        </row>
        <row r="448">
          <cell r="B448">
            <v>15999</v>
          </cell>
          <cell r="C448" t="str">
            <v>PLCo</v>
          </cell>
        </row>
        <row r="449">
          <cell r="B449">
            <v>16000</v>
          </cell>
          <cell r="C449" t="str">
            <v>ACo</v>
          </cell>
        </row>
        <row r="450">
          <cell r="B450">
            <v>16001</v>
          </cell>
          <cell r="C450" t="str">
            <v>DPall</v>
          </cell>
        </row>
        <row r="451">
          <cell r="B451">
            <v>111220552</v>
          </cell>
          <cell r="C451" t="str">
            <v>DPallv</v>
          </cell>
        </row>
        <row r="452">
          <cell r="B452">
            <v>111220554</v>
          </cell>
          <cell r="C452" t="str">
            <v>DPallm</v>
          </cell>
        </row>
        <row r="453">
          <cell r="B453">
            <v>111220556</v>
          </cell>
          <cell r="C453" t="str">
            <v>DPallp</v>
          </cell>
        </row>
        <row r="454">
          <cell r="B454">
            <v>111220558</v>
          </cell>
          <cell r="C454" t="str">
            <v>DPalli</v>
          </cell>
        </row>
        <row r="455">
          <cell r="B455">
            <v>111220560</v>
          </cell>
          <cell r="C455" t="str">
            <v>DPalls</v>
          </cell>
        </row>
        <row r="456">
          <cell r="B456">
            <v>16002</v>
          </cell>
          <cell r="C456" t="str">
            <v>FCx</v>
          </cell>
        </row>
        <row r="457">
          <cell r="B457">
            <v>16003</v>
          </cell>
          <cell r="C457" t="str">
            <v>FCv</v>
          </cell>
        </row>
        <row r="458">
          <cell r="B458">
            <v>16004</v>
          </cell>
          <cell r="C458" t="str">
            <v>FCm</v>
          </cell>
        </row>
        <row r="459">
          <cell r="B459">
            <v>16005</v>
          </cell>
          <cell r="C459" t="str">
            <v>FCp</v>
          </cell>
        </row>
        <row r="460">
          <cell r="B460">
            <v>16006</v>
          </cell>
          <cell r="C460" t="str">
            <v>FCi</v>
          </cell>
        </row>
        <row r="461">
          <cell r="B461">
            <v>16007</v>
          </cell>
          <cell r="C461" t="str">
            <v>FCs</v>
          </cell>
        </row>
        <row r="462">
          <cell r="B462">
            <v>16008</v>
          </cell>
          <cell r="C462" t="str">
            <v>FC-1</v>
          </cell>
        </row>
        <row r="463">
          <cell r="B463">
            <v>16009</v>
          </cell>
          <cell r="C463" t="str">
            <v>FC-2</v>
          </cell>
        </row>
        <row r="464">
          <cell r="B464">
            <v>16010</v>
          </cell>
          <cell r="C464" t="str">
            <v>FC-3</v>
          </cell>
        </row>
        <row r="465">
          <cell r="B465">
            <v>16011</v>
          </cell>
          <cell r="C465" t="str">
            <v>FC-4</v>
          </cell>
        </row>
        <row r="466">
          <cell r="B466">
            <v>16012</v>
          </cell>
          <cell r="C466" t="str">
            <v>FC-5</v>
          </cell>
        </row>
        <row r="467">
          <cell r="B467">
            <v>16013</v>
          </cell>
          <cell r="C467" t="str">
            <v>FC-6</v>
          </cell>
        </row>
        <row r="468">
          <cell r="B468">
            <v>16014</v>
          </cell>
          <cell r="C468" t="str">
            <v>FC-6a</v>
          </cell>
        </row>
        <row r="469">
          <cell r="B469">
            <v>16015</v>
          </cell>
          <cell r="C469" t="str">
            <v>FC-6b</v>
          </cell>
        </row>
        <row r="470">
          <cell r="B470">
            <v>16016</v>
          </cell>
          <cell r="C470" t="str">
            <v>PCx</v>
          </cell>
        </row>
        <row r="471">
          <cell r="B471">
            <v>16017</v>
          </cell>
          <cell r="C471" t="str">
            <v>PCv</v>
          </cell>
        </row>
        <row r="472">
          <cell r="B472">
            <v>16018</v>
          </cell>
          <cell r="C472" t="str">
            <v>PCm</v>
          </cell>
        </row>
        <row r="473">
          <cell r="B473">
            <v>16019</v>
          </cell>
          <cell r="C473" t="str">
            <v>PCp</v>
          </cell>
        </row>
        <row r="474">
          <cell r="B474">
            <v>16020</v>
          </cell>
          <cell r="C474" t="str">
            <v>PCi</v>
          </cell>
        </row>
        <row r="475">
          <cell r="B475">
            <v>16021</v>
          </cell>
          <cell r="C475" t="str">
            <v>PCs</v>
          </cell>
        </row>
        <row r="476">
          <cell r="B476">
            <v>16022</v>
          </cell>
          <cell r="C476" t="str">
            <v>PC-1</v>
          </cell>
        </row>
        <row r="477">
          <cell r="B477">
            <v>16023</v>
          </cell>
          <cell r="C477" t="str">
            <v>PC-2</v>
          </cell>
        </row>
        <row r="478">
          <cell r="B478">
            <v>16024</v>
          </cell>
          <cell r="C478" t="str">
            <v>PC-3</v>
          </cell>
        </row>
        <row r="479">
          <cell r="B479">
            <v>16025</v>
          </cell>
          <cell r="C479" t="str">
            <v>PC-4</v>
          </cell>
        </row>
        <row r="480">
          <cell r="B480">
            <v>16026</v>
          </cell>
          <cell r="C480" t="str">
            <v>PC-5</v>
          </cell>
        </row>
        <row r="481">
          <cell r="B481">
            <v>16027</v>
          </cell>
          <cell r="C481" t="str">
            <v>PC-6</v>
          </cell>
        </row>
        <row r="482">
          <cell r="B482">
            <v>16028</v>
          </cell>
          <cell r="C482" t="str">
            <v>PC-6a</v>
          </cell>
        </row>
        <row r="483">
          <cell r="B483">
            <v>16029</v>
          </cell>
          <cell r="C483" t="str">
            <v>PC-6b</v>
          </cell>
        </row>
        <row r="484">
          <cell r="B484">
            <v>16030</v>
          </cell>
          <cell r="C484" t="str">
            <v>OCx</v>
          </cell>
        </row>
        <row r="485">
          <cell r="B485">
            <v>16031</v>
          </cell>
          <cell r="C485" t="str">
            <v>OCv</v>
          </cell>
        </row>
        <row r="486">
          <cell r="B486">
            <v>16032</v>
          </cell>
          <cell r="C486" t="str">
            <v>OCm</v>
          </cell>
        </row>
        <row r="487">
          <cell r="B487">
            <v>16033</v>
          </cell>
          <cell r="C487" t="str">
            <v>OCp</v>
          </cell>
        </row>
        <row r="488">
          <cell r="B488">
            <v>16034</v>
          </cell>
          <cell r="C488" t="str">
            <v>OCi</v>
          </cell>
        </row>
        <row r="489">
          <cell r="B489">
            <v>16035</v>
          </cell>
          <cell r="C489" t="str">
            <v>OCs</v>
          </cell>
        </row>
        <row r="490">
          <cell r="B490">
            <v>16036</v>
          </cell>
          <cell r="C490" t="str">
            <v>OC-1</v>
          </cell>
        </row>
        <row r="491">
          <cell r="B491">
            <v>16037</v>
          </cell>
          <cell r="C491" t="str">
            <v>OC-2</v>
          </cell>
        </row>
        <row r="492">
          <cell r="B492">
            <v>16038</v>
          </cell>
          <cell r="C492" t="str">
            <v>OC-3</v>
          </cell>
        </row>
        <row r="493">
          <cell r="B493">
            <v>16039</v>
          </cell>
          <cell r="C493" t="str">
            <v>OC-4</v>
          </cell>
        </row>
        <row r="494">
          <cell r="B494">
            <v>16040</v>
          </cell>
          <cell r="C494" t="str">
            <v>OC-5</v>
          </cell>
        </row>
        <row r="495">
          <cell r="B495">
            <v>16041</v>
          </cell>
          <cell r="C495" t="str">
            <v>OC-6</v>
          </cell>
        </row>
        <row r="496">
          <cell r="B496">
            <v>16042</v>
          </cell>
          <cell r="C496" t="str">
            <v>OC-6a</v>
          </cell>
        </row>
        <row r="497">
          <cell r="B497">
            <v>16043</v>
          </cell>
          <cell r="C497" t="str">
            <v>OC-6b</v>
          </cell>
        </row>
        <row r="498">
          <cell r="B498">
            <v>16044</v>
          </cell>
          <cell r="C498" t="str">
            <v>TCx</v>
          </cell>
        </row>
        <row r="499">
          <cell r="B499">
            <v>16045</v>
          </cell>
          <cell r="C499" t="str">
            <v>TCv</v>
          </cell>
        </row>
        <row r="500">
          <cell r="B500">
            <v>16046</v>
          </cell>
          <cell r="C500" t="str">
            <v>TCm</v>
          </cell>
        </row>
        <row r="501">
          <cell r="B501">
            <v>16047</v>
          </cell>
          <cell r="C501" t="str">
            <v>TCp</v>
          </cell>
        </row>
        <row r="502">
          <cell r="B502">
            <v>16048</v>
          </cell>
          <cell r="C502" t="str">
            <v>TCi</v>
          </cell>
        </row>
        <row r="503">
          <cell r="B503">
            <v>16049</v>
          </cell>
          <cell r="C503" t="str">
            <v>TCs</v>
          </cell>
        </row>
        <row r="504">
          <cell r="B504">
            <v>16050</v>
          </cell>
          <cell r="C504" t="str">
            <v>TC-1</v>
          </cell>
        </row>
        <row r="505">
          <cell r="B505">
            <v>16051</v>
          </cell>
          <cell r="C505" t="str">
            <v>TC-2</v>
          </cell>
        </row>
        <row r="506">
          <cell r="B506">
            <v>16052</v>
          </cell>
          <cell r="C506" t="str">
            <v>TC-3</v>
          </cell>
        </row>
        <row r="507">
          <cell r="B507">
            <v>16053</v>
          </cell>
          <cell r="C507" t="str">
            <v>TC-4</v>
          </cell>
        </row>
        <row r="508">
          <cell r="B508">
            <v>16054</v>
          </cell>
          <cell r="C508" t="str">
            <v>TC-5</v>
          </cell>
        </row>
        <row r="509">
          <cell r="B509">
            <v>16055</v>
          </cell>
          <cell r="C509" t="str">
            <v>TC-6</v>
          </cell>
        </row>
        <row r="510">
          <cell r="B510">
            <v>16056</v>
          </cell>
          <cell r="C510" t="str">
            <v>TC-6a</v>
          </cell>
        </row>
        <row r="511">
          <cell r="B511">
            <v>16057</v>
          </cell>
          <cell r="C511" t="str">
            <v>TC-6b</v>
          </cell>
        </row>
        <row r="512">
          <cell r="B512">
            <v>16058</v>
          </cell>
          <cell r="C512" t="str">
            <v>InsCx</v>
          </cell>
        </row>
        <row r="513">
          <cell r="B513">
            <v>16059</v>
          </cell>
          <cell r="C513" t="str">
            <v>InsCv</v>
          </cell>
        </row>
        <row r="514">
          <cell r="B514">
            <v>16060</v>
          </cell>
          <cell r="C514" t="str">
            <v>InsCm</v>
          </cell>
        </row>
        <row r="515">
          <cell r="B515">
            <v>16061</v>
          </cell>
          <cell r="C515" t="str">
            <v>InsCp</v>
          </cell>
        </row>
        <row r="516">
          <cell r="B516">
            <v>16062</v>
          </cell>
          <cell r="C516" t="str">
            <v>InsCi</v>
          </cell>
        </row>
        <row r="517">
          <cell r="B517">
            <v>16063</v>
          </cell>
          <cell r="C517" t="str">
            <v>InsCs</v>
          </cell>
        </row>
        <row r="518">
          <cell r="B518">
            <v>16064</v>
          </cell>
          <cell r="C518" t="str">
            <v>InsC-1</v>
          </cell>
        </row>
        <row r="519">
          <cell r="B519">
            <v>16065</v>
          </cell>
          <cell r="C519" t="str">
            <v>InsC-2</v>
          </cell>
        </row>
        <row r="520">
          <cell r="B520">
            <v>16066</v>
          </cell>
          <cell r="C520" t="str">
            <v>InsC-3</v>
          </cell>
        </row>
        <row r="521">
          <cell r="B521">
            <v>16067</v>
          </cell>
          <cell r="C521" t="str">
            <v>InsC-4</v>
          </cell>
        </row>
        <row r="522">
          <cell r="B522">
            <v>16068</v>
          </cell>
          <cell r="C522" t="str">
            <v>InsC-5</v>
          </cell>
        </row>
        <row r="523">
          <cell r="B523">
            <v>16069</v>
          </cell>
          <cell r="C523" t="str">
            <v>InsC-6</v>
          </cell>
        </row>
        <row r="524">
          <cell r="B524">
            <v>16070</v>
          </cell>
          <cell r="C524" t="str">
            <v>InsC-6a</v>
          </cell>
        </row>
        <row r="525">
          <cell r="B525">
            <v>16071</v>
          </cell>
          <cell r="C525" t="str">
            <v>InsC-6b</v>
          </cell>
        </row>
        <row r="526">
          <cell r="B526">
            <v>16072</v>
          </cell>
          <cell r="C526" t="str">
            <v>CCx</v>
          </cell>
        </row>
        <row r="527">
          <cell r="B527">
            <v>16073</v>
          </cell>
          <cell r="C527" t="str">
            <v>CCv</v>
          </cell>
        </row>
        <row r="528">
          <cell r="B528">
            <v>16074</v>
          </cell>
          <cell r="C528" t="str">
            <v>CCm</v>
          </cell>
        </row>
        <row r="529">
          <cell r="B529">
            <v>16075</v>
          </cell>
          <cell r="C529" t="str">
            <v>CCp</v>
          </cell>
        </row>
        <row r="530">
          <cell r="B530">
            <v>16076</v>
          </cell>
          <cell r="C530" t="str">
            <v>CCi</v>
          </cell>
        </row>
        <row r="531">
          <cell r="B531">
            <v>16077</v>
          </cell>
          <cell r="C531" t="str">
            <v>CCs</v>
          </cell>
        </row>
        <row r="532">
          <cell r="B532">
            <v>16078</v>
          </cell>
          <cell r="C532" t="str">
            <v>CC-1</v>
          </cell>
        </row>
        <row r="533">
          <cell r="B533">
            <v>16079</v>
          </cell>
          <cell r="C533" t="str">
            <v>CC-2</v>
          </cell>
        </row>
        <row r="534">
          <cell r="B534">
            <v>16080</v>
          </cell>
          <cell r="C534" t="str">
            <v>CC-3</v>
          </cell>
        </row>
        <row r="535">
          <cell r="B535">
            <v>16081</v>
          </cell>
          <cell r="C535" t="str">
            <v>CC-4</v>
          </cell>
        </row>
        <row r="536">
          <cell r="B536">
            <v>16082</v>
          </cell>
          <cell r="C536" t="str">
            <v>CC-5</v>
          </cell>
        </row>
        <row r="537">
          <cell r="B537">
            <v>16083</v>
          </cell>
          <cell r="C537" t="str">
            <v>CC-6</v>
          </cell>
        </row>
        <row r="538">
          <cell r="B538">
            <v>16084</v>
          </cell>
          <cell r="C538" t="str">
            <v>CC-6a</v>
          </cell>
        </row>
        <row r="539">
          <cell r="B539">
            <v>16085</v>
          </cell>
          <cell r="C539" t="str">
            <v>CC-6b</v>
          </cell>
        </row>
        <row r="540">
          <cell r="B540">
            <v>16086</v>
          </cell>
          <cell r="C540" t="str">
            <v>PERCx</v>
          </cell>
        </row>
        <row r="541">
          <cell r="B541">
            <v>16087</v>
          </cell>
          <cell r="C541" t="str">
            <v>PRh-Ect-1</v>
          </cell>
        </row>
        <row r="542">
          <cell r="B542">
            <v>16088</v>
          </cell>
          <cell r="C542" t="str">
            <v>PRh-Ect-2</v>
          </cell>
        </row>
        <row r="543">
          <cell r="B543">
            <v>16089</v>
          </cell>
          <cell r="C543" t="str">
            <v>PRh-Ect-3</v>
          </cell>
        </row>
        <row r="544">
          <cell r="B544">
            <v>16090</v>
          </cell>
          <cell r="C544" t="str">
            <v>PRh-Ect-4</v>
          </cell>
        </row>
        <row r="545">
          <cell r="B545">
            <v>16091</v>
          </cell>
          <cell r="C545" t="str">
            <v>PRh-Ect-5</v>
          </cell>
        </row>
        <row r="546">
          <cell r="B546">
            <v>16092</v>
          </cell>
          <cell r="C546" t="str">
            <v>PRh-Ect-6</v>
          </cell>
        </row>
        <row r="547">
          <cell r="B547">
            <v>16093</v>
          </cell>
          <cell r="C547" t="str">
            <v>RSCx</v>
          </cell>
        </row>
        <row r="548">
          <cell r="B548">
            <v>16094</v>
          </cell>
          <cell r="C548" t="str">
            <v>RSC-1</v>
          </cell>
        </row>
        <row r="549">
          <cell r="B549">
            <v>16095</v>
          </cell>
          <cell r="C549" t="str">
            <v>RSC-2</v>
          </cell>
        </row>
        <row r="550">
          <cell r="B550">
            <v>16096</v>
          </cell>
          <cell r="C550" t="str">
            <v>RSC-3</v>
          </cell>
        </row>
        <row r="551">
          <cell r="B551">
            <v>16097</v>
          </cell>
          <cell r="C551" t="str">
            <v>RSC-4</v>
          </cell>
        </row>
        <row r="552">
          <cell r="B552">
            <v>16098</v>
          </cell>
          <cell r="C552" t="str">
            <v>RSC-5</v>
          </cell>
        </row>
        <row r="553">
          <cell r="B553">
            <v>16099</v>
          </cell>
          <cell r="C553" t="str">
            <v>RSC-6</v>
          </cell>
        </row>
        <row r="554">
          <cell r="B554">
            <v>16100</v>
          </cell>
          <cell r="C554" t="str">
            <v>RSC-6a</v>
          </cell>
        </row>
        <row r="555">
          <cell r="B555">
            <v>16101</v>
          </cell>
          <cell r="C555" t="str">
            <v>RSC-6b</v>
          </cell>
        </row>
        <row r="556">
          <cell r="B556">
            <v>16102</v>
          </cell>
          <cell r="C556" t="str">
            <v>ERCx</v>
          </cell>
        </row>
        <row r="557">
          <cell r="B557">
            <v>16103</v>
          </cell>
          <cell r="C557" t="str">
            <v>ERv</v>
          </cell>
        </row>
        <row r="558">
          <cell r="B558">
            <v>16104</v>
          </cell>
          <cell r="C558" t="str">
            <v>ERm</v>
          </cell>
        </row>
        <row r="559">
          <cell r="B559">
            <v>16105</v>
          </cell>
          <cell r="C559" t="str">
            <v>ERp</v>
          </cell>
        </row>
        <row r="560">
          <cell r="B560">
            <v>16106</v>
          </cell>
          <cell r="C560" t="str">
            <v>ERi</v>
          </cell>
        </row>
        <row r="561">
          <cell r="B561">
            <v>16107</v>
          </cell>
          <cell r="C561" t="str">
            <v>ERs</v>
          </cell>
        </row>
        <row r="562">
          <cell r="B562">
            <v>16108</v>
          </cell>
          <cell r="C562" t="str">
            <v>ER-1</v>
          </cell>
        </row>
        <row r="563">
          <cell r="B563">
            <v>16109</v>
          </cell>
          <cell r="C563" t="str">
            <v>ER-2</v>
          </cell>
        </row>
        <row r="564">
          <cell r="B564">
            <v>16110</v>
          </cell>
          <cell r="C564" t="str">
            <v>ER-3</v>
          </cell>
        </row>
        <row r="565">
          <cell r="B565">
            <v>16111</v>
          </cell>
          <cell r="C565" t="str">
            <v>ER-4</v>
          </cell>
        </row>
        <row r="566">
          <cell r="B566">
            <v>16112</v>
          </cell>
          <cell r="C566" t="str">
            <v>ER-5</v>
          </cell>
        </row>
        <row r="567">
          <cell r="B567">
            <v>16113</v>
          </cell>
          <cell r="C567" t="str">
            <v>ER-6</v>
          </cell>
        </row>
        <row r="568">
          <cell r="B568">
            <v>16114</v>
          </cell>
          <cell r="C568" t="str">
            <v>MPall</v>
          </cell>
        </row>
        <row r="569">
          <cell r="B569">
            <v>111220562</v>
          </cell>
          <cell r="C569" t="str">
            <v>MPallv</v>
          </cell>
        </row>
        <row r="570">
          <cell r="B570">
            <v>111220564</v>
          </cell>
          <cell r="C570" t="str">
            <v>MPallm</v>
          </cell>
        </row>
        <row r="571">
          <cell r="B571">
            <v>111220566</v>
          </cell>
          <cell r="C571" t="str">
            <v>MPallp</v>
          </cell>
        </row>
        <row r="572">
          <cell r="B572">
            <v>111220568</v>
          </cell>
          <cell r="C572" t="str">
            <v>MPalli</v>
          </cell>
        </row>
        <row r="573">
          <cell r="B573">
            <v>111220570</v>
          </cell>
          <cell r="C573" t="str">
            <v>MPalls</v>
          </cell>
        </row>
        <row r="574">
          <cell r="B574">
            <v>16115</v>
          </cell>
          <cell r="C574" t="str">
            <v>DG</v>
          </cell>
        </row>
        <row r="575">
          <cell r="B575">
            <v>16116</v>
          </cell>
          <cell r="C575" t="str">
            <v>DGv</v>
          </cell>
        </row>
        <row r="576">
          <cell r="B576">
            <v>16117</v>
          </cell>
          <cell r="C576" t="str">
            <v>DGm</v>
          </cell>
        </row>
        <row r="577">
          <cell r="B577">
            <v>16118</v>
          </cell>
          <cell r="C577" t="str">
            <v>DGp</v>
          </cell>
        </row>
        <row r="578">
          <cell r="B578">
            <v>16119</v>
          </cell>
          <cell r="C578" t="str">
            <v>DGi</v>
          </cell>
        </row>
        <row r="579">
          <cell r="B579">
            <v>16120</v>
          </cell>
          <cell r="C579" t="str">
            <v>DGHil</v>
          </cell>
        </row>
        <row r="580">
          <cell r="B580">
            <v>16121</v>
          </cell>
          <cell r="C580" t="str">
            <v>DGs</v>
          </cell>
        </row>
        <row r="581">
          <cell r="B581">
            <v>16122</v>
          </cell>
          <cell r="C581" t="str">
            <v>DGGran</v>
          </cell>
        </row>
        <row r="582">
          <cell r="B582">
            <v>16123</v>
          </cell>
          <cell r="C582" t="str">
            <v>DGMol</v>
          </cell>
        </row>
        <row r="583">
          <cell r="B583">
            <v>16124</v>
          </cell>
          <cell r="C583" t="str">
            <v>CA</v>
          </cell>
        </row>
        <row r="584">
          <cell r="B584">
            <v>16125</v>
          </cell>
          <cell r="C584" t="str">
            <v>CAv</v>
          </cell>
        </row>
        <row r="585">
          <cell r="B585">
            <v>16126</v>
          </cell>
          <cell r="C585" t="str">
            <v>CAm</v>
          </cell>
        </row>
        <row r="586">
          <cell r="B586">
            <v>16127</v>
          </cell>
          <cell r="C586" t="str">
            <v>CAp</v>
          </cell>
        </row>
        <row r="587">
          <cell r="B587">
            <v>16128</v>
          </cell>
          <cell r="C587" t="str">
            <v>CAi</v>
          </cell>
        </row>
        <row r="588">
          <cell r="B588">
            <v>16130</v>
          </cell>
          <cell r="C588" t="str">
            <v>CAs</v>
          </cell>
        </row>
        <row r="589">
          <cell r="B589">
            <v>16131</v>
          </cell>
          <cell r="C589" t="str">
            <v>CA1</v>
          </cell>
        </row>
        <row r="590">
          <cell r="B590">
            <v>16132</v>
          </cell>
          <cell r="C590" t="str">
            <v>CA1so</v>
          </cell>
        </row>
        <row r="591">
          <cell r="B591">
            <v>16133</v>
          </cell>
          <cell r="C591" t="str">
            <v>CA1sp</v>
          </cell>
        </row>
        <row r="592">
          <cell r="B592">
            <v>16134</v>
          </cell>
          <cell r="C592" t="str">
            <v>CA1sr</v>
          </cell>
        </row>
        <row r="593">
          <cell r="B593">
            <v>16135</v>
          </cell>
          <cell r="C593" t="str">
            <v>CA1slm</v>
          </cell>
        </row>
        <row r="594">
          <cell r="B594">
            <v>16136</v>
          </cell>
          <cell r="C594" t="str">
            <v>CA2</v>
          </cell>
        </row>
        <row r="595">
          <cell r="B595">
            <v>16137</v>
          </cell>
          <cell r="C595" t="str">
            <v>CA2slm</v>
          </cell>
        </row>
        <row r="596">
          <cell r="B596">
            <v>16138</v>
          </cell>
          <cell r="C596" t="str">
            <v>CA2so</v>
          </cell>
        </row>
        <row r="597">
          <cell r="B597">
            <v>16139</v>
          </cell>
          <cell r="C597" t="str">
            <v>CA2sp</v>
          </cell>
        </row>
        <row r="598">
          <cell r="B598">
            <v>16140</v>
          </cell>
          <cell r="C598" t="str">
            <v>CA2sr</v>
          </cell>
        </row>
        <row r="599">
          <cell r="B599">
            <v>16141</v>
          </cell>
          <cell r="C599" t="str">
            <v>CA3</v>
          </cell>
        </row>
        <row r="600">
          <cell r="B600">
            <v>16142</v>
          </cell>
          <cell r="C600" t="str">
            <v>CA3so</v>
          </cell>
        </row>
        <row r="601">
          <cell r="B601">
            <v>16143</v>
          </cell>
          <cell r="C601" t="str">
            <v>CA3sp</v>
          </cell>
        </row>
        <row r="602">
          <cell r="B602">
            <v>16144</v>
          </cell>
          <cell r="C602" t="str">
            <v>CA3slu</v>
          </cell>
        </row>
        <row r="603">
          <cell r="B603">
            <v>16145</v>
          </cell>
          <cell r="C603" t="str">
            <v>CA3sr</v>
          </cell>
        </row>
        <row r="604">
          <cell r="B604">
            <v>16146</v>
          </cell>
          <cell r="C604" t="str">
            <v>CA3slm</v>
          </cell>
        </row>
        <row r="605">
          <cell r="B605">
            <v>16147</v>
          </cell>
          <cell r="C605" t="str">
            <v>IG</v>
          </cell>
        </row>
        <row r="606">
          <cell r="B606">
            <v>16148</v>
          </cell>
          <cell r="C606" t="str">
            <v>IGv</v>
          </cell>
        </row>
        <row r="607">
          <cell r="B607">
            <v>16149</v>
          </cell>
          <cell r="C607" t="str">
            <v>IGm</v>
          </cell>
        </row>
        <row r="608">
          <cell r="B608">
            <v>16150</v>
          </cell>
          <cell r="C608" t="str">
            <v>IGp</v>
          </cell>
        </row>
        <row r="609">
          <cell r="B609">
            <v>16151</v>
          </cell>
          <cell r="C609" t="str">
            <v>IGi</v>
          </cell>
        </row>
        <row r="610">
          <cell r="B610">
            <v>16152</v>
          </cell>
          <cell r="C610" t="str">
            <v>IGs</v>
          </cell>
        </row>
        <row r="611">
          <cell r="B611">
            <v>16153</v>
          </cell>
          <cell r="C611" t="str">
            <v>PyIG</v>
          </cell>
        </row>
        <row r="612">
          <cell r="B612">
            <v>16154</v>
          </cell>
          <cell r="C612" t="str">
            <v>TTe</v>
          </cell>
        </row>
        <row r="613">
          <cell r="B613">
            <v>16155</v>
          </cell>
          <cell r="C613" t="str">
            <v>TTev</v>
          </cell>
        </row>
        <row r="614">
          <cell r="B614">
            <v>16156</v>
          </cell>
          <cell r="C614" t="str">
            <v>TTem</v>
          </cell>
        </row>
        <row r="615">
          <cell r="B615">
            <v>16157</v>
          </cell>
          <cell r="C615" t="str">
            <v>TTep</v>
          </cell>
        </row>
        <row r="616">
          <cell r="B616">
            <v>16158</v>
          </cell>
          <cell r="C616" t="str">
            <v>DPp</v>
          </cell>
        </row>
        <row r="617">
          <cell r="B617">
            <v>16159</v>
          </cell>
          <cell r="C617" t="str">
            <v>TTei</v>
          </cell>
        </row>
        <row r="618">
          <cell r="B618">
            <v>16160</v>
          </cell>
          <cell r="C618" t="str">
            <v>DPi</v>
          </cell>
        </row>
        <row r="619">
          <cell r="B619">
            <v>16161</v>
          </cell>
          <cell r="C619" t="str">
            <v>TTes</v>
          </cell>
        </row>
        <row r="620">
          <cell r="B620">
            <v>16162</v>
          </cell>
          <cell r="C620" t="str">
            <v>PyTT</v>
          </cell>
        </row>
        <row r="621">
          <cell r="B621">
            <v>16163</v>
          </cell>
          <cell r="C621" t="str">
            <v>S</v>
          </cell>
        </row>
        <row r="622">
          <cell r="B622">
            <v>16164</v>
          </cell>
          <cell r="C622" t="str">
            <v>Sv</v>
          </cell>
        </row>
        <row r="623">
          <cell r="B623">
            <v>16165</v>
          </cell>
          <cell r="C623" t="str">
            <v>Sm</v>
          </cell>
        </row>
        <row r="624">
          <cell r="B624">
            <v>16166</v>
          </cell>
          <cell r="C624" t="str">
            <v>Sp</v>
          </cell>
        </row>
        <row r="625">
          <cell r="B625">
            <v>16167</v>
          </cell>
          <cell r="C625" t="str">
            <v>Si</v>
          </cell>
        </row>
        <row r="626">
          <cell r="B626">
            <v>16169</v>
          </cell>
          <cell r="C626" t="str">
            <v>Ss</v>
          </cell>
        </row>
        <row r="627">
          <cell r="B627">
            <v>16170</v>
          </cell>
          <cell r="C627" t="str">
            <v>PyS</v>
          </cell>
        </row>
        <row r="628">
          <cell r="B628">
            <v>16171</v>
          </cell>
          <cell r="C628" t="str">
            <v>SMol</v>
          </cell>
        </row>
        <row r="629">
          <cell r="B629">
            <v>16172</v>
          </cell>
          <cell r="C629" t="str">
            <v>PrS</v>
          </cell>
        </row>
        <row r="630">
          <cell r="B630">
            <v>16173</v>
          </cell>
          <cell r="C630" t="str">
            <v>PrSv</v>
          </cell>
        </row>
        <row r="631">
          <cell r="B631">
            <v>16174</v>
          </cell>
          <cell r="C631" t="str">
            <v>PrSm</v>
          </cell>
        </row>
        <row r="632">
          <cell r="B632">
            <v>16175</v>
          </cell>
          <cell r="C632" t="str">
            <v>PrSp</v>
          </cell>
        </row>
        <row r="633">
          <cell r="B633">
            <v>16176</v>
          </cell>
          <cell r="C633" t="str">
            <v>PrSi</v>
          </cell>
        </row>
        <row r="634">
          <cell r="B634">
            <v>16177</v>
          </cell>
          <cell r="C634" t="str">
            <v>PrSs</v>
          </cell>
        </row>
        <row r="635">
          <cell r="B635">
            <v>16178</v>
          </cell>
          <cell r="C635" t="str">
            <v>PrS-1</v>
          </cell>
        </row>
        <row r="636">
          <cell r="B636">
            <v>16179</v>
          </cell>
          <cell r="C636" t="str">
            <v>PrS-2</v>
          </cell>
        </row>
        <row r="637">
          <cell r="B637">
            <v>16180</v>
          </cell>
          <cell r="C637" t="str">
            <v>PrS-3</v>
          </cell>
        </row>
        <row r="638">
          <cell r="B638">
            <v>16181</v>
          </cell>
          <cell r="C638" t="str">
            <v>PrS-4</v>
          </cell>
        </row>
        <row r="639">
          <cell r="B639">
            <v>16182</v>
          </cell>
          <cell r="C639" t="str">
            <v>PrS-5</v>
          </cell>
        </row>
        <row r="640">
          <cell r="B640">
            <v>16183</v>
          </cell>
          <cell r="C640" t="str">
            <v>PrS-6</v>
          </cell>
        </row>
        <row r="641">
          <cell r="B641">
            <v>16184</v>
          </cell>
          <cell r="C641" t="str">
            <v>PrS-6a</v>
          </cell>
        </row>
        <row r="642">
          <cell r="B642">
            <v>16185</v>
          </cell>
          <cell r="C642" t="str">
            <v>PrS-6b</v>
          </cell>
        </row>
        <row r="643">
          <cell r="B643">
            <v>16186</v>
          </cell>
          <cell r="C643" t="str">
            <v>PaS</v>
          </cell>
        </row>
        <row r="644">
          <cell r="B644">
            <v>16187</v>
          </cell>
          <cell r="C644" t="str">
            <v>PaSv</v>
          </cell>
        </row>
        <row r="645">
          <cell r="B645">
            <v>16188</v>
          </cell>
          <cell r="C645" t="str">
            <v>PaSm</v>
          </cell>
        </row>
        <row r="646">
          <cell r="B646">
            <v>16189</v>
          </cell>
          <cell r="C646" t="str">
            <v>PaSp</v>
          </cell>
        </row>
        <row r="647">
          <cell r="B647">
            <v>16190</v>
          </cell>
          <cell r="C647" t="str">
            <v>PaSi</v>
          </cell>
        </row>
        <row r="648">
          <cell r="B648">
            <v>16191</v>
          </cell>
          <cell r="C648" t="str">
            <v>PaSs</v>
          </cell>
        </row>
        <row r="649">
          <cell r="B649">
            <v>16192</v>
          </cell>
          <cell r="C649" t="str">
            <v>PaS-1</v>
          </cell>
        </row>
        <row r="650">
          <cell r="B650">
            <v>16193</v>
          </cell>
          <cell r="C650" t="str">
            <v>PaS-2</v>
          </cell>
        </row>
        <row r="651">
          <cell r="B651">
            <v>16194</v>
          </cell>
          <cell r="C651" t="str">
            <v>PaS-3</v>
          </cell>
        </row>
        <row r="652">
          <cell r="B652">
            <v>16195</v>
          </cell>
          <cell r="C652" t="str">
            <v>PaS-4</v>
          </cell>
        </row>
        <row r="653">
          <cell r="B653">
            <v>16196</v>
          </cell>
          <cell r="C653" t="str">
            <v>PaS-5</v>
          </cell>
        </row>
        <row r="654">
          <cell r="B654">
            <v>16197</v>
          </cell>
          <cell r="C654" t="str">
            <v>PaS-6</v>
          </cell>
        </row>
        <row r="655">
          <cell r="B655">
            <v>111220572</v>
          </cell>
          <cell r="C655" t="str">
            <v>PaS-6a</v>
          </cell>
        </row>
        <row r="656">
          <cell r="B656">
            <v>111220574</v>
          </cell>
          <cell r="C656" t="str">
            <v>PaS-6b</v>
          </cell>
        </row>
        <row r="657">
          <cell r="B657">
            <v>112892265</v>
          </cell>
          <cell r="C657" t="str">
            <v>Fc</v>
          </cell>
        </row>
        <row r="658">
          <cell r="B658">
            <v>112892267</v>
          </cell>
          <cell r="C658" t="str">
            <v>Fcv</v>
          </cell>
        </row>
        <row r="659">
          <cell r="B659">
            <v>112892269</v>
          </cell>
          <cell r="C659" t="str">
            <v>Fcm</v>
          </cell>
        </row>
        <row r="660">
          <cell r="B660">
            <v>112892271</v>
          </cell>
          <cell r="C660" t="str">
            <v>Fcp</v>
          </cell>
        </row>
        <row r="661">
          <cell r="B661">
            <v>112892273</v>
          </cell>
          <cell r="C661" t="str">
            <v>Fci</v>
          </cell>
        </row>
        <row r="662">
          <cell r="B662">
            <v>112892275</v>
          </cell>
          <cell r="C662" t="str">
            <v>Fcs</v>
          </cell>
        </row>
        <row r="663">
          <cell r="B663">
            <v>112892277</v>
          </cell>
          <cell r="C663" t="str">
            <v>PyFc</v>
          </cell>
        </row>
        <row r="664">
          <cell r="B664">
            <v>112892279</v>
          </cell>
          <cell r="C664" t="str">
            <v>FcMol</v>
          </cell>
        </row>
        <row r="665">
          <cell r="B665">
            <v>16198</v>
          </cell>
          <cell r="C665" t="str">
            <v>SePall</v>
          </cell>
        </row>
        <row r="666">
          <cell r="B666">
            <v>16199</v>
          </cell>
          <cell r="C666" t="str">
            <v>SePallv</v>
          </cell>
        </row>
        <row r="667">
          <cell r="B667">
            <v>16200</v>
          </cell>
          <cell r="C667" t="str">
            <v>SePallm</v>
          </cell>
        </row>
        <row r="668">
          <cell r="B668">
            <v>16201</v>
          </cell>
          <cell r="C668" t="str">
            <v>SePallp</v>
          </cell>
        </row>
        <row r="669">
          <cell r="B669">
            <v>16202</v>
          </cell>
          <cell r="C669" t="str">
            <v>SePalli</v>
          </cell>
        </row>
        <row r="670">
          <cell r="B670">
            <v>16203</v>
          </cell>
          <cell r="C670" t="str">
            <v>SePalls</v>
          </cell>
        </row>
        <row r="671">
          <cell r="B671">
            <v>16204</v>
          </cell>
          <cell r="C671" t="str">
            <v>SHi</v>
          </cell>
        </row>
        <row r="672">
          <cell r="B672">
            <v>16205</v>
          </cell>
          <cell r="C672" t="str">
            <v>TelH</v>
          </cell>
        </row>
        <row r="673">
          <cell r="B673">
            <v>16206</v>
          </cell>
          <cell r="C673" t="str">
            <v>TelHv</v>
          </cell>
        </row>
        <row r="674">
          <cell r="B674">
            <v>16207</v>
          </cell>
          <cell r="C674" t="str">
            <v>TelHm</v>
          </cell>
        </row>
        <row r="675">
          <cell r="B675">
            <v>16208</v>
          </cell>
          <cell r="C675" t="str">
            <v>TelHp</v>
          </cell>
        </row>
        <row r="676">
          <cell r="B676">
            <v>16209</v>
          </cell>
          <cell r="C676" t="str">
            <v>TelHi</v>
          </cell>
        </row>
        <row r="677">
          <cell r="B677">
            <v>16210</v>
          </cell>
          <cell r="C677" t="str">
            <v>TelHs</v>
          </cell>
        </row>
        <row r="678">
          <cell r="B678">
            <v>16211</v>
          </cell>
          <cell r="C678" t="str">
            <v>PHy</v>
          </cell>
        </row>
        <row r="679">
          <cell r="B679">
            <v>16212</v>
          </cell>
          <cell r="C679" t="str">
            <v>PHyA</v>
          </cell>
        </row>
        <row r="680">
          <cell r="B680">
            <v>16213</v>
          </cell>
          <cell r="C680" t="str">
            <v>PPaA</v>
          </cell>
        </row>
        <row r="681">
          <cell r="B681">
            <v>16214</v>
          </cell>
          <cell r="C681" t="str">
            <v>PPav</v>
          </cell>
        </row>
        <row r="682">
          <cell r="B682">
            <v>16215</v>
          </cell>
          <cell r="C682" t="str">
            <v>PPam</v>
          </cell>
        </row>
        <row r="683">
          <cell r="B683">
            <v>16216</v>
          </cell>
          <cell r="C683" t="str">
            <v>PPap</v>
          </cell>
        </row>
        <row r="684">
          <cell r="B684">
            <v>16217</v>
          </cell>
          <cell r="C684" t="str">
            <v>PPa</v>
          </cell>
        </row>
        <row r="685">
          <cell r="B685">
            <v>16218</v>
          </cell>
          <cell r="C685" t="str">
            <v>PaD</v>
          </cell>
        </row>
        <row r="686">
          <cell r="B686">
            <v>16219</v>
          </cell>
          <cell r="C686" t="str">
            <v>PaC</v>
          </cell>
        </row>
        <row r="687">
          <cell r="B687">
            <v>16220</v>
          </cell>
          <cell r="C687" t="str">
            <v>Pacap</v>
          </cell>
        </row>
        <row r="688">
          <cell r="B688">
            <v>16221</v>
          </cell>
          <cell r="C688" t="str">
            <v>PaLM</v>
          </cell>
        </row>
        <row r="689">
          <cell r="B689">
            <v>16222</v>
          </cell>
          <cell r="C689" t="str">
            <v>PaMM</v>
          </cell>
        </row>
        <row r="690">
          <cell r="B690">
            <v>16223</v>
          </cell>
          <cell r="C690" t="str">
            <v>PaMP</v>
          </cell>
        </row>
        <row r="691">
          <cell r="B691">
            <v>16224</v>
          </cell>
          <cell r="C691" t="str">
            <v>PaR</v>
          </cell>
        </row>
        <row r="692">
          <cell r="B692">
            <v>16225</v>
          </cell>
          <cell r="C692" t="str">
            <v>PPai</v>
          </cell>
        </row>
        <row r="693">
          <cell r="B693">
            <v>16226</v>
          </cell>
          <cell r="C693" t="str">
            <v>PaL</v>
          </cell>
        </row>
        <row r="694">
          <cell r="B694">
            <v>16227</v>
          </cell>
          <cell r="C694" t="str">
            <v>UDPeF</v>
          </cell>
        </row>
        <row r="695">
          <cell r="B695">
            <v>16228</v>
          </cell>
          <cell r="C695" t="str">
            <v>UDLH</v>
          </cell>
        </row>
        <row r="696">
          <cell r="B696">
            <v>16229</v>
          </cell>
          <cell r="C696" t="str">
            <v>LPo</v>
          </cell>
        </row>
        <row r="697">
          <cell r="B697">
            <v>16230</v>
          </cell>
          <cell r="C697" t="str">
            <v>PSM</v>
          </cell>
        </row>
        <row r="698">
          <cell r="B698">
            <v>16231</v>
          </cell>
          <cell r="C698" t="str">
            <v>PPas</v>
          </cell>
        </row>
        <row r="699">
          <cell r="B699">
            <v>16232</v>
          </cell>
          <cell r="C699" t="str">
            <v>EPD</v>
          </cell>
        </row>
        <row r="700">
          <cell r="B700">
            <v>16233</v>
          </cell>
          <cell r="C700" t="str">
            <v>PSPa</v>
          </cell>
        </row>
        <row r="701">
          <cell r="B701">
            <v>16234</v>
          </cell>
          <cell r="C701" t="str">
            <v>PSPav</v>
          </cell>
        </row>
        <row r="702">
          <cell r="B702">
            <v>16235</v>
          </cell>
          <cell r="C702" t="str">
            <v>PSPam</v>
          </cell>
        </row>
        <row r="703">
          <cell r="B703">
            <v>16236</v>
          </cell>
          <cell r="C703" t="str">
            <v>PSPap</v>
          </cell>
        </row>
        <row r="704">
          <cell r="B704">
            <v>16237</v>
          </cell>
          <cell r="C704" t="str">
            <v>AHPp</v>
          </cell>
        </row>
        <row r="705">
          <cell r="B705">
            <v>16238</v>
          </cell>
          <cell r="C705" t="str">
            <v>A13</v>
          </cell>
        </row>
        <row r="706">
          <cell r="B706">
            <v>16239</v>
          </cell>
          <cell r="C706" t="str">
            <v>PSPai</v>
          </cell>
        </row>
        <row r="707">
          <cell r="B707">
            <v>16240</v>
          </cell>
          <cell r="C707" t="str">
            <v>AHP</v>
          </cell>
        </row>
        <row r="708">
          <cell r="B708">
            <v>16241</v>
          </cell>
          <cell r="C708" t="str">
            <v>Stg</v>
          </cell>
        </row>
        <row r="709">
          <cell r="B709">
            <v>16242</v>
          </cell>
          <cell r="C709" t="str">
            <v>LDPeF</v>
          </cell>
        </row>
        <row r="710">
          <cell r="B710">
            <v>16243</v>
          </cell>
          <cell r="C710" t="str">
            <v>LDLH</v>
          </cell>
        </row>
        <row r="711">
          <cell r="B711">
            <v>16244</v>
          </cell>
          <cell r="C711" t="str">
            <v>PSPas</v>
          </cell>
        </row>
        <row r="712">
          <cell r="B712">
            <v>16245</v>
          </cell>
          <cell r="C712" t="str">
            <v>EPV</v>
          </cell>
        </row>
        <row r="713">
          <cell r="B713">
            <v>16246</v>
          </cell>
          <cell r="C713" t="str">
            <v>DVLH</v>
          </cell>
        </row>
        <row r="714">
          <cell r="B714">
            <v>16247</v>
          </cell>
          <cell r="C714" t="str">
            <v>PHyB</v>
          </cell>
        </row>
        <row r="715">
          <cell r="B715">
            <v>16248</v>
          </cell>
          <cell r="C715" t="str">
            <v>PHyB-D</v>
          </cell>
        </row>
        <row r="716">
          <cell r="B716">
            <v>16249</v>
          </cell>
          <cell r="C716" t="str">
            <v>PHyB-Dv</v>
          </cell>
        </row>
        <row r="717">
          <cell r="B717">
            <v>16250</v>
          </cell>
          <cell r="C717" t="str">
            <v>PHyB-Dm</v>
          </cell>
        </row>
        <row r="718">
          <cell r="B718">
            <v>16251</v>
          </cell>
          <cell r="C718" t="str">
            <v>PHyB-Dp</v>
          </cell>
        </row>
        <row r="719">
          <cell r="B719">
            <v>16252</v>
          </cell>
          <cell r="C719" t="str">
            <v>PBasp</v>
          </cell>
        </row>
        <row r="720">
          <cell r="B720">
            <v>16253</v>
          </cell>
          <cell r="C720" t="str">
            <v>PHyB-Di</v>
          </cell>
        </row>
        <row r="721">
          <cell r="B721">
            <v>16254</v>
          </cell>
          <cell r="C721" t="str">
            <v>PBasi</v>
          </cell>
        </row>
        <row r="722">
          <cell r="B722">
            <v>16255</v>
          </cell>
          <cell r="C722" t="str">
            <v>UBLH</v>
          </cell>
        </row>
        <row r="723">
          <cell r="B723">
            <v>16256</v>
          </cell>
          <cell r="C723" t="str">
            <v>UBPeF</v>
          </cell>
        </row>
        <row r="724">
          <cell r="B724">
            <v>16257</v>
          </cell>
          <cell r="C724" t="str">
            <v>PHyB-Ds</v>
          </cell>
        </row>
        <row r="725">
          <cell r="B725">
            <v>16258</v>
          </cell>
          <cell r="C725" t="str">
            <v>MCSH</v>
          </cell>
        </row>
        <row r="726">
          <cell r="B726">
            <v>16259</v>
          </cell>
          <cell r="C726" t="str">
            <v>PHyB-I</v>
          </cell>
        </row>
        <row r="727">
          <cell r="B727">
            <v>16260</v>
          </cell>
          <cell r="C727" t="str">
            <v>PHyB-Iv</v>
          </cell>
        </row>
        <row r="728">
          <cell r="B728">
            <v>16261</v>
          </cell>
          <cell r="C728" t="str">
            <v>PHyB-Im</v>
          </cell>
        </row>
        <row r="729">
          <cell r="B729">
            <v>16262</v>
          </cell>
          <cell r="C729" t="str">
            <v>PHyB-Ip</v>
          </cell>
        </row>
        <row r="730">
          <cell r="B730">
            <v>16263</v>
          </cell>
          <cell r="C730" t="str">
            <v>P-DMHp</v>
          </cell>
        </row>
        <row r="731">
          <cell r="B731">
            <v>16264</v>
          </cell>
          <cell r="C731" t="str">
            <v>PHyB-Ii</v>
          </cell>
        </row>
        <row r="732">
          <cell r="B732">
            <v>16265</v>
          </cell>
          <cell r="C732" t="str">
            <v>P-DMH</v>
          </cell>
        </row>
        <row r="733">
          <cell r="B733">
            <v>16266</v>
          </cell>
          <cell r="C733" t="str">
            <v>P-DMHc</v>
          </cell>
        </row>
        <row r="734">
          <cell r="B734">
            <v>16267</v>
          </cell>
          <cell r="C734" t="str">
            <v>P-DMHs</v>
          </cell>
        </row>
        <row r="735">
          <cell r="B735">
            <v>16268</v>
          </cell>
          <cell r="C735" t="str">
            <v>LBLH</v>
          </cell>
        </row>
        <row r="736">
          <cell r="B736">
            <v>16269</v>
          </cell>
          <cell r="C736" t="str">
            <v>LBPeF</v>
          </cell>
        </row>
        <row r="737">
          <cell r="B737">
            <v>16270</v>
          </cell>
          <cell r="C737" t="str">
            <v>PHyB-Is</v>
          </cell>
        </row>
        <row r="738">
          <cell r="B738">
            <v>16271</v>
          </cell>
          <cell r="C738" t="str">
            <v>LTu</v>
          </cell>
        </row>
        <row r="739">
          <cell r="B739">
            <v>16272</v>
          </cell>
          <cell r="C739" t="str">
            <v>STh</v>
          </cell>
        </row>
        <row r="740">
          <cell r="B740">
            <v>16273</v>
          </cell>
          <cell r="C740" t="str">
            <v>PSTh</v>
          </cell>
        </row>
        <row r="741">
          <cell r="B741">
            <v>16274</v>
          </cell>
          <cell r="C741" t="str">
            <v>PHyB-V</v>
          </cell>
        </row>
        <row r="742">
          <cell r="B742">
            <v>16275</v>
          </cell>
          <cell r="C742" t="str">
            <v>PHyB-Vv</v>
          </cell>
        </row>
        <row r="743">
          <cell r="B743">
            <v>16276</v>
          </cell>
          <cell r="C743" t="str">
            <v>P-HVO</v>
          </cell>
        </row>
        <row r="744">
          <cell r="B744">
            <v>16277</v>
          </cell>
          <cell r="C744" t="str">
            <v>PHyB-Vm</v>
          </cell>
        </row>
        <row r="745">
          <cell r="B745">
            <v>16278</v>
          </cell>
          <cell r="C745" t="str">
            <v>PHyB-Vp</v>
          </cell>
        </row>
        <row r="746">
          <cell r="B746">
            <v>16279</v>
          </cell>
          <cell r="C746" t="str">
            <v>DTMp</v>
          </cell>
        </row>
        <row r="747">
          <cell r="B747">
            <v>16280</v>
          </cell>
          <cell r="C747" t="str">
            <v>PHyB-Vi</v>
          </cell>
        </row>
        <row r="748">
          <cell r="B748">
            <v>16281</v>
          </cell>
          <cell r="C748" t="str">
            <v>DTMi</v>
          </cell>
        </row>
        <row r="749">
          <cell r="B749">
            <v>16282</v>
          </cell>
          <cell r="C749" t="str">
            <v>PHyB-Vs</v>
          </cell>
        </row>
        <row r="750">
          <cell r="B750">
            <v>16283</v>
          </cell>
          <cell r="C750" t="str">
            <v>PTe</v>
          </cell>
        </row>
        <row r="751">
          <cell r="B751">
            <v>16284</v>
          </cell>
          <cell r="C751" t="str">
            <v>CTM</v>
          </cell>
        </row>
        <row r="752">
          <cell r="B752">
            <v>16285</v>
          </cell>
          <cell r="C752" t="str">
            <v>PHyB-P</v>
          </cell>
        </row>
        <row r="753">
          <cell r="B753">
            <v>16286</v>
          </cell>
          <cell r="C753" t="str">
            <v>PHyB-Pv</v>
          </cell>
        </row>
        <row r="754">
          <cell r="B754">
            <v>16287</v>
          </cell>
          <cell r="C754" t="str">
            <v>PHyB-Pm</v>
          </cell>
        </row>
        <row r="755">
          <cell r="B755">
            <v>16288</v>
          </cell>
          <cell r="C755" t="str">
            <v>PHyB-Pp</v>
          </cell>
        </row>
        <row r="756">
          <cell r="B756">
            <v>16289</v>
          </cell>
          <cell r="C756" t="str">
            <v>PPRM</v>
          </cell>
        </row>
        <row r="757">
          <cell r="B757">
            <v>16290</v>
          </cell>
          <cell r="C757" t="str">
            <v>PHyB-Pi</v>
          </cell>
        </row>
        <row r="758">
          <cell r="B758">
            <v>16291</v>
          </cell>
          <cell r="C758" t="str">
            <v>IPRM</v>
          </cell>
        </row>
        <row r="759">
          <cell r="B759">
            <v>16292</v>
          </cell>
          <cell r="C759" t="str">
            <v>PHyB-Ps</v>
          </cell>
        </row>
        <row r="760">
          <cell r="B760">
            <v>16293</v>
          </cell>
          <cell r="C760" t="str">
            <v>LPRM</v>
          </cell>
        </row>
        <row r="761">
          <cell r="B761">
            <v>16294</v>
          </cell>
          <cell r="C761" t="str">
            <v>PHyB-M</v>
          </cell>
        </row>
        <row r="762">
          <cell r="B762">
            <v>16295</v>
          </cell>
          <cell r="C762" t="str">
            <v>RMa</v>
          </cell>
        </row>
        <row r="763">
          <cell r="B763">
            <v>16296</v>
          </cell>
          <cell r="C763" t="str">
            <v>RMav</v>
          </cell>
        </row>
        <row r="764">
          <cell r="B764">
            <v>16297</v>
          </cell>
          <cell r="C764" t="str">
            <v>RMam</v>
          </cell>
        </row>
        <row r="765">
          <cell r="B765">
            <v>16298</v>
          </cell>
          <cell r="C765" t="str">
            <v>RMap</v>
          </cell>
        </row>
        <row r="766">
          <cell r="B766">
            <v>16299</v>
          </cell>
          <cell r="C766" t="str">
            <v>RMM</v>
          </cell>
        </row>
        <row r="767">
          <cell r="B767">
            <v>16300</v>
          </cell>
          <cell r="C767" t="str">
            <v>SMT</v>
          </cell>
        </row>
        <row r="768">
          <cell r="B768">
            <v>16301</v>
          </cell>
          <cell r="C768" t="str">
            <v>RMai</v>
          </cell>
        </row>
        <row r="769">
          <cell r="B769">
            <v>16302</v>
          </cell>
          <cell r="C769" t="str">
            <v>RML</v>
          </cell>
        </row>
        <row r="770">
          <cell r="B770">
            <v>16303</v>
          </cell>
          <cell r="C770" t="str">
            <v>RMas</v>
          </cell>
        </row>
        <row r="771">
          <cell r="B771">
            <v>16304</v>
          </cell>
          <cell r="C771" t="str">
            <v>SThO</v>
          </cell>
        </row>
        <row r="772">
          <cell r="B772">
            <v>16305</v>
          </cell>
          <cell r="C772" t="str">
            <v>PSThO</v>
          </cell>
        </row>
        <row r="773">
          <cell r="B773">
            <v>16306</v>
          </cell>
          <cell r="C773" t="str">
            <v>PHyF</v>
          </cell>
        </row>
        <row r="774">
          <cell r="B774">
            <v>16307</v>
          </cell>
          <cell r="C774" t="str">
            <v>RMaF</v>
          </cell>
        </row>
        <row r="775">
          <cell r="B775">
            <v>16308</v>
          </cell>
          <cell r="C775" t="str">
            <v>D</v>
          </cell>
        </row>
        <row r="776">
          <cell r="B776">
            <v>16309</v>
          </cell>
          <cell r="C776" t="str">
            <v>p3</v>
          </cell>
        </row>
        <row r="777">
          <cell r="B777">
            <v>16310</v>
          </cell>
          <cell r="C777" t="str">
            <v>PTh</v>
          </cell>
        </row>
        <row r="778">
          <cell r="B778">
            <v>16311</v>
          </cell>
          <cell r="C778" t="str">
            <v>p3R</v>
          </cell>
        </row>
        <row r="779">
          <cell r="B779">
            <v>16312</v>
          </cell>
          <cell r="C779" t="str">
            <v>p3Ch</v>
          </cell>
        </row>
        <row r="780">
          <cell r="B780">
            <v>111220576</v>
          </cell>
          <cell r="C780" t="str">
            <v>p3Chv</v>
          </cell>
        </row>
        <row r="781">
          <cell r="B781">
            <v>111220578</v>
          </cell>
          <cell r="C781" t="str">
            <v>p3Chm</v>
          </cell>
        </row>
        <row r="782">
          <cell r="B782">
            <v>16313</v>
          </cell>
          <cell r="C782" t="str">
            <v>p3A</v>
          </cell>
        </row>
        <row r="783">
          <cell r="B783">
            <v>16314</v>
          </cell>
          <cell r="C783" t="str">
            <v>p3AD</v>
          </cell>
        </row>
        <row r="784">
          <cell r="B784">
            <v>16315</v>
          </cell>
          <cell r="C784" t="str">
            <v>PThE</v>
          </cell>
        </row>
        <row r="785">
          <cell r="B785">
            <v>16316</v>
          </cell>
          <cell r="C785" t="str">
            <v>PThEv</v>
          </cell>
        </row>
        <row r="786">
          <cell r="B786">
            <v>16317</v>
          </cell>
          <cell r="C786" t="str">
            <v>PThEm</v>
          </cell>
        </row>
        <row r="787">
          <cell r="B787">
            <v>16318</v>
          </cell>
          <cell r="C787" t="str">
            <v>PThEp</v>
          </cell>
        </row>
        <row r="788">
          <cell r="B788">
            <v>16319</v>
          </cell>
          <cell r="C788" t="str">
            <v>PThEi</v>
          </cell>
        </row>
        <row r="789">
          <cell r="B789">
            <v>16320</v>
          </cell>
          <cell r="C789" t="str">
            <v>SM</v>
          </cell>
        </row>
        <row r="790">
          <cell r="B790">
            <v>16321</v>
          </cell>
          <cell r="C790" t="str">
            <v>PThEs</v>
          </cell>
        </row>
        <row r="791">
          <cell r="B791">
            <v>16322</v>
          </cell>
          <cell r="C791" t="str">
            <v>p3AL</v>
          </cell>
        </row>
        <row r="792">
          <cell r="B792">
            <v>16323</v>
          </cell>
          <cell r="C792" t="str">
            <v>RtC</v>
          </cell>
        </row>
        <row r="793">
          <cell r="B793">
            <v>16324</v>
          </cell>
          <cell r="C793" t="str">
            <v>RtCv</v>
          </cell>
        </row>
        <row r="794">
          <cell r="B794">
            <v>16325</v>
          </cell>
          <cell r="C794" t="str">
            <v>RtCm</v>
          </cell>
        </row>
        <row r="795">
          <cell r="B795">
            <v>16326</v>
          </cell>
          <cell r="C795" t="str">
            <v>RtCp</v>
          </cell>
        </row>
        <row r="796">
          <cell r="B796">
            <v>16327</v>
          </cell>
          <cell r="C796" t="str">
            <v>RHy</v>
          </cell>
        </row>
        <row r="797">
          <cell r="B797">
            <v>16328</v>
          </cell>
          <cell r="C797" t="str">
            <v>RtCi</v>
          </cell>
        </row>
        <row r="798">
          <cell r="B798">
            <v>16329</v>
          </cell>
          <cell r="C798" t="str">
            <v>Rt</v>
          </cell>
        </row>
        <row r="799">
          <cell r="B799">
            <v>16330</v>
          </cell>
          <cell r="C799" t="str">
            <v>RtCs</v>
          </cell>
        </row>
        <row r="800">
          <cell r="B800">
            <v>16331</v>
          </cell>
          <cell r="C800" t="str">
            <v>SubG</v>
          </cell>
        </row>
        <row r="801">
          <cell r="B801">
            <v>16332</v>
          </cell>
          <cell r="C801" t="str">
            <v>p3APV</v>
          </cell>
        </row>
        <row r="802">
          <cell r="B802">
            <v>111220580</v>
          </cell>
          <cell r="C802" t="str">
            <v>p3APVv</v>
          </cell>
        </row>
        <row r="803">
          <cell r="B803">
            <v>111220582</v>
          </cell>
          <cell r="C803" t="str">
            <v>p3APVm</v>
          </cell>
        </row>
        <row r="804">
          <cell r="B804">
            <v>16333</v>
          </cell>
          <cell r="C804" t="str">
            <v>p3ZL</v>
          </cell>
        </row>
        <row r="805">
          <cell r="B805">
            <v>16334</v>
          </cell>
          <cell r="C805" t="str">
            <v>p3ZLv</v>
          </cell>
        </row>
        <row r="806">
          <cell r="B806">
            <v>16335</v>
          </cell>
          <cell r="C806" t="str">
            <v>p3ZLm</v>
          </cell>
        </row>
        <row r="807">
          <cell r="B807">
            <v>16336</v>
          </cell>
          <cell r="C807" t="str">
            <v>p3ZLp</v>
          </cell>
        </row>
        <row r="808">
          <cell r="B808">
            <v>16337</v>
          </cell>
          <cell r="C808" t="str">
            <v>p3ZLS</v>
          </cell>
        </row>
        <row r="809">
          <cell r="B809">
            <v>16338</v>
          </cell>
          <cell r="C809" t="str">
            <v>p3ZLi</v>
          </cell>
        </row>
        <row r="810">
          <cell r="B810">
            <v>16339</v>
          </cell>
          <cell r="C810" t="str">
            <v>IntC</v>
          </cell>
        </row>
        <row r="811">
          <cell r="B811">
            <v>16340</v>
          </cell>
          <cell r="C811" t="str">
            <v>p3ZLs</v>
          </cell>
        </row>
        <row r="812">
          <cell r="B812">
            <v>16341</v>
          </cell>
          <cell r="C812" t="str">
            <v>PreG</v>
          </cell>
        </row>
        <row r="813">
          <cell r="B813">
            <v>16342</v>
          </cell>
          <cell r="C813" t="str">
            <v>PP</v>
          </cell>
        </row>
        <row r="814">
          <cell r="B814">
            <v>16343</v>
          </cell>
          <cell r="C814" t="str">
            <v>ZIC</v>
          </cell>
        </row>
        <row r="815">
          <cell r="B815">
            <v>16344</v>
          </cell>
          <cell r="C815" t="str">
            <v>ZICv</v>
          </cell>
        </row>
        <row r="816">
          <cell r="B816">
            <v>16345</v>
          </cell>
          <cell r="C816" t="str">
            <v>ZICm</v>
          </cell>
        </row>
        <row r="817">
          <cell r="B817">
            <v>16346</v>
          </cell>
          <cell r="C817" t="str">
            <v>ZICp</v>
          </cell>
        </row>
        <row r="818">
          <cell r="B818">
            <v>16347</v>
          </cell>
          <cell r="C818" t="str">
            <v>ZIM</v>
          </cell>
        </row>
        <row r="819">
          <cell r="B819">
            <v>16348</v>
          </cell>
          <cell r="C819" t="str">
            <v>ZICi</v>
          </cell>
        </row>
        <row r="820">
          <cell r="B820">
            <v>16349</v>
          </cell>
          <cell r="C820" t="str">
            <v>RZI</v>
          </cell>
        </row>
        <row r="821">
          <cell r="B821">
            <v>16350</v>
          </cell>
          <cell r="C821" t="str">
            <v>ZICs</v>
          </cell>
        </row>
        <row r="822">
          <cell r="B822">
            <v>16352</v>
          </cell>
          <cell r="C822" t="str">
            <v>PThTg</v>
          </cell>
        </row>
        <row r="823">
          <cell r="B823">
            <v>16353</v>
          </cell>
          <cell r="C823" t="str">
            <v>p3B</v>
          </cell>
        </row>
        <row r="824">
          <cell r="B824">
            <v>16354</v>
          </cell>
          <cell r="C824" t="str">
            <v>p3Bv</v>
          </cell>
        </row>
        <row r="825">
          <cell r="B825">
            <v>16355</v>
          </cell>
          <cell r="C825" t="str">
            <v>p3Bm</v>
          </cell>
        </row>
        <row r="826">
          <cell r="B826">
            <v>16356</v>
          </cell>
          <cell r="C826" t="str">
            <v>p3Bp</v>
          </cell>
        </row>
        <row r="827">
          <cell r="B827">
            <v>16357</v>
          </cell>
          <cell r="C827" t="str">
            <v>p3PEW</v>
          </cell>
        </row>
        <row r="828">
          <cell r="B828">
            <v>16358</v>
          </cell>
          <cell r="C828" t="str">
            <v>p3Bi</v>
          </cell>
        </row>
        <row r="829">
          <cell r="B829">
            <v>16359</v>
          </cell>
          <cell r="C829" t="str">
            <v>p3ZLC</v>
          </cell>
        </row>
        <row r="830">
          <cell r="B830">
            <v>16360</v>
          </cell>
          <cell r="C830" t="str">
            <v>CZI</v>
          </cell>
        </row>
        <row r="831">
          <cell r="B831">
            <v>16361</v>
          </cell>
          <cell r="C831" t="str">
            <v>p3Tg</v>
          </cell>
        </row>
        <row r="832">
          <cell r="B832">
            <v>16362</v>
          </cell>
          <cell r="C832" t="str">
            <v>Gem</v>
          </cell>
        </row>
        <row r="833">
          <cell r="B833">
            <v>16363</v>
          </cell>
          <cell r="C833" t="str">
            <v>p3PBP</v>
          </cell>
        </row>
        <row r="834">
          <cell r="B834">
            <v>16364</v>
          </cell>
          <cell r="C834" t="str">
            <v>p3Bs</v>
          </cell>
        </row>
        <row r="835">
          <cell r="B835">
            <v>16351</v>
          </cell>
          <cell r="C835" t="str">
            <v>EPAc</v>
          </cell>
        </row>
        <row r="836">
          <cell r="B836">
            <v>16365</v>
          </cell>
          <cell r="C836" t="str">
            <v>p3SNC</v>
          </cell>
        </row>
        <row r="837">
          <cell r="B837">
            <v>16366</v>
          </cell>
          <cell r="C837" t="str">
            <v>p3SNR</v>
          </cell>
        </row>
        <row r="838">
          <cell r="B838">
            <v>16367</v>
          </cell>
          <cell r="C838" t="str">
            <v>p3PN</v>
          </cell>
        </row>
        <row r="839">
          <cell r="B839">
            <v>16368</v>
          </cell>
          <cell r="C839" t="str">
            <v>p3F</v>
          </cell>
        </row>
        <row r="840">
          <cell r="B840">
            <v>16369</v>
          </cell>
          <cell r="C840" t="str">
            <v>p3Fv</v>
          </cell>
        </row>
        <row r="841">
          <cell r="B841">
            <v>16370</v>
          </cell>
          <cell r="C841" t="str">
            <v>p3Fm</v>
          </cell>
        </row>
        <row r="842">
          <cell r="B842">
            <v>16371</v>
          </cell>
          <cell r="C842" t="str">
            <v>p3Fp</v>
          </cell>
        </row>
        <row r="843">
          <cell r="B843">
            <v>16372</v>
          </cell>
          <cell r="C843" t="str">
            <v>p3Fi</v>
          </cell>
        </row>
        <row r="844">
          <cell r="B844">
            <v>16373</v>
          </cell>
          <cell r="C844" t="str">
            <v>p3Fs</v>
          </cell>
        </row>
        <row r="845">
          <cell r="B845">
            <v>16374</v>
          </cell>
          <cell r="C845" t="str">
            <v>p3VTA</v>
          </cell>
        </row>
        <row r="846">
          <cell r="B846">
            <v>16375</v>
          </cell>
          <cell r="C846" t="str">
            <v>p2</v>
          </cell>
        </row>
        <row r="847">
          <cell r="B847">
            <v>16376</v>
          </cell>
          <cell r="C847" t="str">
            <v>Th</v>
          </cell>
        </row>
        <row r="848">
          <cell r="B848">
            <v>16377</v>
          </cell>
          <cell r="C848" t="str">
            <v>p2R</v>
          </cell>
        </row>
        <row r="849">
          <cell r="B849">
            <v>16378</v>
          </cell>
          <cell r="C849" t="str">
            <v>p2Ch</v>
          </cell>
        </row>
        <row r="850">
          <cell r="B850">
            <v>111220584</v>
          </cell>
          <cell r="C850" t="str">
            <v>p2Chv</v>
          </cell>
        </row>
        <row r="851">
          <cell r="B851">
            <v>111220586</v>
          </cell>
          <cell r="C851" t="str">
            <v>p2Chm</v>
          </cell>
        </row>
        <row r="852">
          <cell r="B852">
            <v>16379</v>
          </cell>
          <cell r="C852" t="str">
            <v>BHbC</v>
          </cell>
        </row>
        <row r="853">
          <cell r="B853">
            <v>16380</v>
          </cell>
          <cell r="C853" t="str">
            <v>Pi</v>
          </cell>
        </row>
        <row r="854">
          <cell r="B854">
            <v>16381</v>
          </cell>
          <cell r="C854" t="str">
            <v>RHb</v>
          </cell>
        </row>
        <row r="855">
          <cell r="B855">
            <v>16382</v>
          </cell>
          <cell r="C855" t="str">
            <v>p2A</v>
          </cell>
        </row>
        <row r="856">
          <cell r="B856">
            <v>16383</v>
          </cell>
          <cell r="C856" t="str">
            <v>p2AD</v>
          </cell>
        </row>
        <row r="857">
          <cell r="B857">
            <v>16384</v>
          </cell>
          <cell r="C857" t="str">
            <v>Hb</v>
          </cell>
        </row>
        <row r="858">
          <cell r="B858">
            <v>16385</v>
          </cell>
          <cell r="C858" t="str">
            <v>Hbv</v>
          </cell>
        </row>
        <row r="859">
          <cell r="B859">
            <v>16386</v>
          </cell>
          <cell r="C859" t="str">
            <v>Hbm</v>
          </cell>
        </row>
        <row r="860">
          <cell r="B860">
            <v>16387</v>
          </cell>
          <cell r="C860" t="str">
            <v>Hbp</v>
          </cell>
        </row>
        <row r="861">
          <cell r="B861">
            <v>16388</v>
          </cell>
          <cell r="C861" t="str">
            <v>MHb</v>
          </cell>
        </row>
        <row r="862">
          <cell r="B862">
            <v>16389</v>
          </cell>
          <cell r="C862" t="str">
            <v>MSHb</v>
          </cell>
        </row>
        <row r="863">
          <cell r="B863">
            <v>16390</v>
          </cell>
          <cell r="C863" t="str">
            <v>Hbi</v>
          </cell>
        </row>
        <row r="864">
          <cell r="B864">
            <v>16391</v>
          </cell>
          <cell r="C864" t="str">
            <v>LHbM</v>
          </cell>
        </row>
        <row r="865">
          <cell r="B865">
            <v>16392</v>
          </cell>
          <cell r="C865" t="str">
            <v>LSHb</v>
          </cell>
        </row>
        <row r="866">
          <cell r="B866">
            <v>16393</v>
          </cell>
          <cell r="C866" t="str">
            <v>Hbs</v>
          </cell>
        </row>
        <row r="867">
          <cell r="B867">
            <v>16394</v>
          </cell>
          <cell r="C867" t="str">
            <v>LHbL</v>
          </cell>
        </row>
        <row r="868">
          <cell r="B868">
            <v>16395</v>
          </cell>
          <cell r="C868" t="str">
            <v>p2AL</v>
          </cell>
        </row>
        <row r="869">
          <cell r="B869">
            <v>111220588</v>
          </cell>
          <cell r="C869" t="str">
            <v>p2ALv</v>
          </cell>
        </row>
        <row r="870">
          <cell r="B870">
            <v>111220590</v>
          </cell>
          <cell r="C870" t="str">
            <v>p2ALm</v>
          </cell>
        </row>
        <row r="871">
          <cell r="B871">
            <v>16396</v>
          </cell>
          <cell r="C871" t="str">
            <v>DTTh</v>
          </cell>
        </row>
        <row r="872">
          <cell r="B872">
            <v>16397</v>
          </cell>
          <cell r="C872" t="str">
            <v>DTThv</v>
          </cell>
        </row>
        <row r="873">
          <cell r="B873">
            <v>16398</v>
          </cell>
          <cell r="C873" t="str">
            <v>DTThm</v>
          </cell>
        </row>
        <row r="874">
          <cell r="B874">
            <v>16399</v>
          </cell>
          <cell r="C874" t="str">
            <v>DTThp</v>
          </cell>
        </row>
        <row r="875">
          <cell r="B875">
            <v>16400</v>
          </cell>
          <cell r="C875" t="str">
            <v>PVA</v>
          </cell>
        </row>
        <row r="876">
          <cell r="B876">
            <v>16401</v>
          </cell>
          <cell r="C876" t="str">
            <v>IMD</v>
          </cell>
        </row>
        <row r="877">
          <cell r="B877">
            <v>16402</v>
          </cell>
          <cell r="C877" t="str">
            <v>CM</v>
          </cell>
        </row>
        <row r="878">
          <cell r="B878">
            <v>16403</v>
          </cell>
          <cell r="C878" t="str">
            <v>IAM</v>
          </cell>
        </row>
        <row r="879">
          <cell r="B879">
            <v>16404</v>
          </cell>
          <cell r="C879" t="str">
            <v>IAD</v>
          </cell>
        </row>
        <row r="880">
          <cell r="B880">
            <v>16405</v>
          </cell>
          <cell r="C880" t="str">
            <v>Rh</v>
          </cell>
        </row>
        <row r="881">
          <cell r="B881">
            <v>16406</v>
          </cell>
          <cell r="C881" t="str">
            <v>Re</v>
          </cell>
        </row>
        <row r="882">
          <cell r="B882">
            <v>16407</v>
          </cell>
          <cell r="C882" t="str">
            <v>RRe</v>
          </cell>
        </row>
        <row r="883">
          <cell r="B883">
            <v>16408</v>
          </cell>
          <cell r="C883" t="str">
            <v>VRe</v>
          </cell>
        </row>
        <row r="884">
          <cell r="B884">
            <v>16409</v>
          </cell>
          <cell r="C884" t="str">
            <v>DTThi</v>
          </cell>
        </row>
        <row r="885">
          <cell r="B885">
            <v>16410</v>
          </cell>
          <cell r="C885" t="str">
            <v>PT</v>
          </cell>
        </row>
        <row r="886">
          <cell r="B886">
            <v>16411</v>
          </cell>
          <cell r="C886" t="str">
            <v>MD</v>
          </cell>
        </row>
        <row r="887">
          <cell r="B887">
            <v>16412</v>
          </cell>
          <cell r="C887" t="str">
            <v>MDM</v>
          </cell>
        </row>
        <row r="888">
          <cell r="B888">
            <v>16413</v>
          </cell>
          <cell r="C888" t="str">
            <v>MDL</v>
          </cell>
        </row>
        <row r="889">
          <cell r="B889">
            <v>16414</v>
          </cell>
          <cell r="C889" t="str">
            <v>MDC</v>
          </cell>
        </row>
        <row r="890">
          <cell r="B890">
            <v>16415</v>
          </cell>
          <cell r="C890" t="str">
            <v>IL</v>
          </cell>
        </row>
        <row r="891">
          <cell r="B891">
            <v>16416</v>
          </cell>
          <cell r="C891" t="str">
            <v>PC</v>
          </cell>
        </row>
        <row r="892">
          <cell r="B892">
            <v>16417</v>
          </cell>
          <cell r="C892" t="str">
            <v>OPC</v>
          </cell>
        </row>
        <row r="893">
          <cell r="B893">
            <v>16418</v>
          </cell>
          <cell r="C893" t="str">
            <v>CL</v>
          </cell>
        </row>
        <row r="894">
          <cell r="B894">
            <v>16419</v>
          </cell>
          <cell r="C894" t="str">
            <v>A</v>
          </cell>
        </row>
        <row r="895">
          <cell r="B895">
            <v>16420</v>
          </cell>
          <cell r="C895" t="str">
            <v>AD</v>
          </cell>
        </row>
        <row r="896">
          <cell r="B896">
            <v>16421</v>
          </cell>
          <cell r="C896" t="str">
            <v>AV</v>
          </cell>
        </row>
        <row r="897">
          <cell r="B897">
            <v>16422</v>
          </cell>
          <cell r="C897" t="str">
            <v>AM</v>
          </cell>
        </row>
        <row r="898">
          <cell r="B898">
            <v>16423</v>
          </cell>
          <cell r="C898" t="str">
            <v>V</v>
          </cell>
        </row>
        <row r="899">
          <cell r="B899">
            <v>16424</v>
          </cell>
          <cell r="C899" t="str">
            <v>VM</v>
          </cell>
        </row>
        <row r="900">
          <cell r="B900">
            <v>16425</v>
          </cell>
          <cell r="C900" t="str">
            <v>VMP</v>
          </cell>
        </row>
        <row r="901">
          <cell r="B901">
            <v>16426</v>
          </cell>
          <cell r="C901" t="str">
            <v>SubM</v>
          </cell>
        </row>
        <row r="902">
          <cell r="B902">
            <v>16427</v>
          </cell>
          <cell r="C902" t="str">
            <v>VA</v>
          </cell>
        </row>
        <row r="903">
          <cell r="B903">
            <v>16428</v>
          </cell>
          <cell r="C903" t="str">
            <v>VL</v>
          </cell>
        </row>
        <row r="904">
          <cell r="B904">
            <v>16429</v>
          </cell>
          <cell r="C904" t="str">
            <v>VPM</v>
          </cell>
        </row>
        <row r="905">
          <cell r="B905">
            <v>16430</v>
          </cell>
          <cell r="C905" t="str">
            <v>VPL</v>
          </cell>
        </row>
        <row r="906">
          <cell r="B906">
            <v>16431</v>
          </cell>
          <cell r="C906" t="str">
            <v>VPPC</v>
          </cell>
        </row>
        <row r="907">
          <cell r="B907">
            <v>16432</v>
          </cell>
          <cell r="C907" t="str">
            <v>Po</v>
          </cell>
        </row>
        <row r="908">
          <cell r="B908">
            <v>16433</v>
          </cell>
          <cell r="C908" t="str">
            <v>DTThs</v>
          </cell>
        </row>
        <row r="909">
          <cell r="B909">
            <v>16434</v>
          </cell>
          <cell r="C909" t="str">
            <v>LD</v>
          </cell>
        </row>
        <row r="910">
          <cell r="B910">
            <v>16435</v>
          </cell>
          <cell r="C910" t="str">
            <v>LP</v>
          </cell>
        </row>
        <row r="911">
          <cell r="B911">
            <v>16436</v>
          </cell>
          <cell r="C911" t="str">
            <v>DLG</v>
          </cell>
        </row>
        <row r="912">
          <cell r="B912">
            <v>16437</v>
          </cell>
          <cell r="C912" t="str">
            <v>ITTh</v>
          </cell>
        </row>
        <row r="913">
          <cell r="B913">
            <v>16438</v>
          </cell>
          <cell r="C913" t="str">
            <v>ITThv</v>
          </cell>
        </row>
        <row r="914">
          <cell r="B914">
            <v>16439</v>
          </cell>
          <cell r="C914" t="str">
            <v>ITThm</v>
          </cell>
        </row>
        <row r="915">
          <cell r="B915">
            <v>16440</v>
          </cell>
          <cell r="C915" t="str">
            <v>ITThp</v>
          </cell>
        </row>
        <row r="916">
          <cell r="B916">
            <v>16441</v>
          </cell>
          <cell r="C916" t="str">
            <v>PVP</v>
          </cell>
        </row>
        <row r="917">
          <cell r="B917">
            <v>16442</v>
          </cell>
          <cell r="C917" t="str">
            <v>PF</v>
          </cell>
        </row>
        <row r="918">
          <cell r="B918">
            <v>16443</v>
          </cell>
          <cell r="C918" t="str">
            <v>ITThi</v>
          </cell>
        </row>
        <row r="919">
          <cell r="B919">
            <v>16444</v>
          </cell>
          <cell r="C919" t="str">
            <v>Lth</v>
          </cell>
        </row>
        <row r="920">
          <cell r="B920">
            <v>16445</v>
          </cell>
          <cell r="C920" t="str">
            <v>Sc</v>
          </cell>
        </row>
        <row r="921">
          <cell r="B921">
            <v>16446</v>
          </cell>
          <cell r="C921" t="str">
            <v>Eth</v>
          </cell>
        </row>
        <row r="922">
          <cell r="B922">
            <v>16447</v>
          </cell>
          <cell r="C922" t="str">
            <v>SEth</v>
          </cell>
        </row>
        <row r="923">
          <cell r="B923">
            <v>16448</v>
          </cell>
          <cell r="C923" t="str">
            <v>VLi</v>
          </cell>
        </row>
        <row r="924">
          <cell r="B924">
            <v>16449</v>
          </cell>
          <cell r="C924" t="str">
            <v>PoT</v>
          </cell>
        </row>
        <row r="925">
          <cell r="B925">
            <v>16450</v>
          </cell>
          <cell r="C925" t="str">
            <v>ITThs</v>
          </cell>
        </row>
        <row r="926">
          <cell r="B926">
            <v>16451</v>
          </cell>
          <cell r="C926" t="str">
            <v>IPo</v>
          </cell>
        </row>
        <row r="927">
          <cell r="B927">
            <v>16452</v>
          </cell>
          <cell r="C927" t="str">
            <v>SG</v>
          </cell>
        </row>
        <row r="928">
          <cell r="B928">
            <v>16453</v>
          </cell>
          <cell r="C928" t="str">
            <v>VTTh</v>
          </cell>
        </row>
        <row r="929">
          <cell r="B929">
            <v>16454</v>
          </cell>
          <cell r="C929" t="str">
            <v>VTThv</v>
          </cell>
        </row>
        <row r="930">
          <cell r="B930">
            <v>16455</v>
          </cell>
          <cell r="C930" t="str">
            <v>VTThm</v>
          </cell>
        </row>
        <row r="931">
          <cell r="B931">
            <v>16456</v>
          </cell>
          <cell r="C931" t="str">
            <v>VTThp</v>
          </cell>
        </row>
        <row r="932">
          <cell r="B932">
            <v>16457</v>
          </cell>
          <cell r="C932" t="str">
            <v>SPFMC</v>
          </cell>
        </row>
        <row r="933">
          <cell r="B933">
            <v>16458</v>
          </cell>
          <cell r="C933" t="str">
            <v>VTThi</v>
          </cell>
        </row>
        <row r="934">
          <cell r="B934">
            <v>16459</v>
          </cell>
          <cell r="C934" t="str">
            <v>SPFPC</v>
          </cell>
        </row>
        <row r="935">
          <cell r="B935">
            <v>16460</v>
          </cell>
          <cell r="C935" t="str">
            <v>PIL</v>
          </cell>
        </row>
        <row r="936">
          <cell r="B936">
            <v>16461</v>
          </cell>
          <cell r="C936" t="str">
            <v>VTThs</v>
          </cell>
        </row>
        <row r="937">
          <cell r="B937">
            <v>16462</v>
          </cell>
          <cell r="C937" t="str">
            <v>MG</v>
          </cell>
        </row>
        <row r="938">
          <cell r="B938">
            <v>16463</v>
          </cell>
          <cell r="C938" t="str">
            <v>MGV</v>
          </cell>
        </row>
        <row r="939">
          <cell r="B939">
            <v>16464</v>
          </cell>
          <cell r="C939" t="str">
            <v>MGD</v>
          </cell>
        </row>
        <row r="940">
          <cell r="B940">
            <v>16465</v>
          </cell>
          <cell r="C940" t="str">
            <v>MGM</v>
          </cell>
        </row>
        <row r="941">
          <cell r="B941">
            <v>16466</v>
          </cell>
          <cell r="C941" t="str">
            <v>p2AAV</v>
          </cell>
        </row>
        <row r="942">
          <cell r="B942">
            <v>111220592</v>
          </cell>
          <cell r="C942" t="str">
            <v>p2AAVv</v>
          </cell>
        </row>
        <row r="943">
          <cell r="B943">
            <v>111220594</v>
          </cell>
          <cell r="C943" t="str">
            <v>p2AAVm</v>
          </cell>
        </row>
        <row r="944">
          <cell r="B944">
            <v>16467</v>
          </cell>
          <cell r="C944" t="str">
            <v>p2ZL</v>
          </cell>
        </row>
        <row r="945">
          <cell r="B945">
            <v>16468</v>
          </cell>
          <cell r="C945" t="str">
            <v>p2ZLv</v>
          </cell>
        </row>
        <row r="946">
          <cell r="B946">
            <v>16469</v>
          </cell>
          <cell r="C946" t="str">
            <v>p2ZLm</v>
          </cell>
        </row>
        <row r="947">
          <cell r="B947">
            <v>16470</v>
          </cell>
          <cell r="C947" t="str">
            <v>p2ZLp</v>
          </cell>
        </row>
        <row r="948">
          <cell r="B948">
            <v>16471</v>
          </cell>
          <cell r="C948" t="str">
            <v>p2ZLS</v>
          </cell>
        </row>
        <row r="949">
          <cell r="B949">
            <v>16472</v>
          </cell>
          <cell r="C949" t="str">
            <v>p2ZLi</v>
          </cell>
        </row>
        <row r="950">
          <cell r="B950">
            <v>16473</v>
          </cell>
          <cell r="C950" t="str">
            <v>IZL</v>
          </cell>
        </row>
        <row r="951">
          <cell r="B951">
            <v>16474</v>
          </cell>
          <cell r="C951" t="str">
            <v>p2ZLs</v>
          </cell>
        </row>
        <row r="952">
          <cell r="B952">
            <v>16475</v>
          </cell>
          <cell r="C952" t="str">
            <v>IGL</v>
          </cell>
        </row>
        <row r="953">
          <cell r="B953">
            <v>16476</v>
          </cell>
          <cell r="C953" t="str">
            <v>p2Lim</v>
          </cell>
        </row>
        <row r="954">
          <cell r="B954">
            <v>16477</v>
          </cell>
          <cell r="C954" t="str">
            <v>p2Limv</v>
          </cell>
        </row>
        <row r="955">
          <cell r="B955">
            <v>16478</v>
          </cell>
          <cell r="C955" t="str">
            <v>p2Limm</v>
          </cell>
        </row>
        <row r="956">
          <cell r="B956">
            <v>16479</v>
          </cell>
          <cell r="C956" t="str">
            <v>p2Limp</v>
          </cell>
        </row>
        <row r="957">
          <cell r="B957">
            <v>16480</v>
          </cell>
          <cell r="C957" t="str">
            <v>Lim</v>
          </cell>
        </row>
        <row r="958">
          <cell r="B958">
            <v>16481</v>
          </cell>
          <cell r="C958" t="str">
            <v>p2Limi</v>
          </cell>
        </row>
        <row r="959">
          <cell r="B959">
            <v>16482</v>
          </cell>
          <cell r="C959" t="str">
            <v>p2LimRt</v>
          </cell>
        </row>
        <row r="960">
          <cell r="B960">
            <v>16483</v>
          </cell>
          <cell r="C960" t="str">
            <v>p2Lims</v>
          </cell>
        </row>
        <row r="961">
          <cell r="B961">
            <v>16484</v>
          </cell>
          <cell r="C961" t="str">
            <v>p2PP</v>
          </cell>
        </row>
        <row r="962">
          <cell r="B962">
            <v>16485</v>
          </cell>
          <cell r="C962" t="str">
            <v>EpP</v>
          </cell>
        </row>
        <row r="963">
          <cell r="B963">
            <v>16486</v>
          </cell>
          <cell r="C963" t="str">
            <v>ThTg</v>
          </cell>
        </row>
        <row r="964">
          <cell r="B964">
            <v>16487</v>
          </cell>
          <cell r="C964" t="str">
            <v>p2B</v>
          </cell>
        </row>
        <row r="965">
          <cell r="B965">
            <v>16488</v>
          </cell>
          <cell r="C965" t="str">
            <v>p2Bv</v>
          </cell>
        </row>
        <row r="966">
          <cell r="B966">
            <v>16489</v>
          </cell>
          <cell r="C966" t="str">
            <v>p2Bm</v>
          </cell>
        </row>
        <row r="967">
          <cell r="B967">
            <v>16490</v>
          </cell>
          <cell r="C967" t="str">
            <v>p2Bp</v>
          </cell>
        </row>
        <row r="968">
          <cell r="B968">
            <v>16491</v>
          </cell>
          <cell r="C968" t="str">
            <v>p2PEW</v>
          </cell>
        </row>
        <row r="969">
          <cell r="B969">
            <v>16492</v>
          </cell>
          <cell r="C969" t="str">
            <v>p2Bi</v>
          </cell>
        </row>
        <row r="970">
          <cell r="B970">
            <v>16493</v>
          </cell>
          <cell r="C970" t="str">
            <v>p2ZLC</v>
          </cell>
        </row>
        <row r="971">
          <cell r="B971">
            <v>16494</v>
          </cell>
          <cell r="C971" t="str">
            <v>RI</v>
          </cell>
        </row>
        <row r="972">
          <cell r="B972">
            <v>16495</v>
          </cell>
          <cell r="C972" t="str">
            <v>PR</v>
          </cell>
        </row>
        <row r="973">
          <cell r="B973">
            <v>16496</v>
          </cell>
          <cell r="C973" t="str">
            <v>p2PBP</v>
          </cell>
        </row>
        <row r="974">
          <cell r="B974">
            <v>16497</v>
          </cell>
          <cell r="C974" t="str">
            <v>p2Bs</v>
          </cell>
        </row>
        <row r="975">
          <cell r="B975">
            <v>16498</v>
          </cell>
          <cell r="C975" t="str">
            <v>p2MT</v>
          </cell>
        </row>
        <row r="976">
          <cell r="B976">
            <v>16499</v>
          </cell>
          <cell r="C976" t="str">
            <v>p2SNC</v>
          </cell>
        </row>
        <row r="977">
          <cell r="B977">
            <v>16500</v>
          </cell>
          <cell r="C977" t="str">
            <v>p2SNR</v>
          </cell>
        </row>
        <row r="978">
          <cell r="B978">
            <v>16501</v>
          </cell>
          <cell r="C978" t="str">
            <v>p2PN</v>
          </cell>
        </row>
        <row r="979">
          <cell r="B979">
            <v>16502</v>
          </cell>
          <cell r="C979" t="str">
            <v>p2F</v>
          </cell>
        </row>
        <row r="980">
          <cell r="B980">
            <v>16503</v>
          </cell>
          <cell r="C980" t="str">
            <v>p2Fv</v>
          </cell>
        </row>
        <row r="981">
          <cell r="B981">
            <v>16504</v>
          </cell>
          <cell r="C981" t="str">
            <v>p2Fm</v>
          </cell>
        </row>
        <row r="982">
          <cell r="B982">
            <v>16505</v>
          </cell>
          <cell r="C982" t="str">
            <v>p2Fp</v>
          </cell>
        </row>
        <row r="983">
          <cell r="B983">
            <v>16506</v>
          </cell>
          <cell r="C983" t="str">
            <v>p2Fi</v>
          </cell>
        </row>
        <row r="984">
          <cell r="B984">
            <v>16507</v>
          </cell>
          <cell r="C984" t="str">
            <v>p2Fs</v>
          </cell>
        </row>
        <row r="985">
          <cell r="B985">
            <v>16508</v>
          </cell>
          <cell r="C985" t="str">
            <v>p2VTA</v>
          </cell>
        </row>
        <row r="986">
          <cell r="B986">
            <v>16509</v>
          </cell>
          <cell r="C986" t="str">
            <v>p1</v>
          </cell>
        </row>
        <row r="987">
          <cell r="B987">
            <v>16510</v>
          </cell>
          <cell r="C987" t="str">
            <v>Pt</v>
          </cell>
        </row>
        <row r="988">
          <cell r="B988">
            <v>16511</v>
          </cell>
          <cell r="C988" t="str">
            <v>p1R</v>
          </cell>
        </row>
        <row r="989">
          <cell r="B989">
            <v>16512</v>
          </cell>
          <cell r="C989" t="str">
            <v>PCom</v>
          </cell>
        </row>
        <row r="990">
          <cell r="B990">
            <v>16513</v>
          </cell>
          <cell r="C990" t="str">
            <v>PComv</v>
          </cell>
        </row>
        <row r="991">
          <cell r="B991">
            <v>16514</v>
          </cell>
          <cell r="C991" t="str">
            <v>SCO</v>
          </cell>
        </row>
        <row r="992">
          <cell r="B992">
            <v>16515</v>
          </cell>
          <cell r="C992" t="str">
            <v>PComm</v>
          </cell>
        </row>
        <row r="993">
          <cell r="B993">
            <v>16516</v>
          </cell>
          <cell r="C993" t="str">
            <v>PComp</v>
          </cell>
        </row>
        <row r="994">
          <cell r="B994">
            <v>16517</v>
          </cell>
          <cell r="C994" t="str">
            <v>PComi</v>
          </cell>
        </row>
        <row r="995">
          <cell r="B995">
            <v>16518</v>
          </cell>
          <cell r="C995" t="str">
            <v>PComs</v>
          </cell>
        </row>
        <row r="996">
          <cell r="B996">
            <v>16519</v>
          </cell>
          <cell r="C996" t="str">
            <v>p1A</v>
          </cell>
        </row>
        <row r="997">
          <cell r="B997">
            <v>16520</v>
          </cell>
          <cell r="C997" t="str">
            <v>PcP</v>
          </cell>
        </row>
        <row r="998">
          <cell r="B998">
            <v>111220596</v>
          </cell>
          <cell r="C998" t="str">
            <v>PcPv</v>
          </cell>
        </row>
        <row r="999">
          <cell r="B999">
            <v>111220598</v>
          </cell>
          <cell r="C999" t="str">
            <v>PcPm</v>
          </cell>
        </row>
        <row r="1000">
          <cell r="B1000">
            <v>16521</v>
          </cell>
          <cell r="C1000" t="str">
            <v>PcPD</v>
          </cell>
        </row>
        <row r="1001">
          <cell r="B1001">
            <v>16522</v>
          </cell>
          <cell r="C1001" t="str">
            <v>PcPDv</v>
          </cell>
        </row>
        <row r="1002">
          <cell r="B1002">
            <v>16523</v>
          </cell>
          <cell r="C1002" t="str">
            <v>PcPDm</v>
          </cell>
        </row>
        <row r="1003">
          <cell r="B1003">
            <v>16524</v>
          </cell>
          <cell r="C1003" t="str">
            <v>PcPDp</v>
          </cell>
        </row>
        <row r="1004">
          <cell r="B1004">
            <v>16525</v>
          </cell>
          <cell r="C1004" t="str">
            <v>PcPD-PAG</v>
          </cell>
        </row>
        <row r="1005">
          <cell r="B1005">
            <v>16526</v>
          </cell>
          <cell r="C1005" t="str">
            <v>PcPDi</v>
          </cell>
        </row>
        <row r="1006">
          <cell r="B1006">
            <v>16527</v>
          </cell>
          <cell r="C1006" t="str">
            <v>DF</v>
          </cell>
        </row>
        <row r="1007">
          <cell r="B1007">
            <v>16528</v>
          </cell>
          <cell r="C1007" t="str">
            <v>PcPDs</v>
          </cell>
        </row>
        <row r="1008">
          <cell r="B1008">
            <v>16529</v>
          </cell>
          <cell r="C1008" t="str">
            <v>DFS</v>
          </cell>
        </row>
        <row r="1009">
          <cell r="B1009">
            <v>16530</v>
          </cell>
          <cell r="C1009" t="str">
            <v>PcPL</v>
          </cell>
        </row>
        <row r="1010">
          <cell r="B1010">
            <v>16531</v>
          </cell>
          <cell r="C1010" t="str">
            <v>PcPLv</v>
          </cell>
        </row>
        <row r="1011">
          <cell r="B1011">
            <v>16532</v>
          </cell>
          <cell r="C1011" t="str">
            <v>PcPLm</v>
          </cell>
        </row>
        <row r="1012">
          <cell r="B1012">
            <v>16533</v>
          </cell>
          <cell r="C1012" t="str">
            <v>PcPLp</v>
          </cell>
        </row>
        <row r="1013">
          <cell r="B1013">
            <v>16534</v>
          </cell>
          <cell r="C1013" t="str">
            <v>PcPL-PAG</v>
          </cell>
        </row>
        <row r="1014">
          <cell r="B1014">
            <v>16535</v>
          </cell>
          <cell r="C1014" t="str">
            <v>PcPLi</v>
          </cell>
        </row>
        <row r="1015">
          <cell r="B1015">
            <v>16536</v>
          </cell>
          <cell r="C1015" t="str">
            <v>APTD</v>
          </cell>
        </row>
        <row r="1016">
          <cell r="B1016">
            <v>16537</v>
          </cell>
          <cell r="C1016" t="str">
            <v>PcPLs</v>
          </cell>
        </row>
        <row r="1017">
          <cell r="B1017">
            <v>16538</v>
          </cell>
          <cell r="C1017" t="str">
            <v>APTDS</v>
          </cell>
        </row>
        <row r="1018">
          <cell r="B1018">
            <v>16539</v>
          </cell>
          <cell r="C1018" t="str">
            <v>PcPV</v>
          </cell>
        </row>
        <row r="1019">
          <cell r="B1019">
            <v>16540</v>
          </cell>
          <cell r="C1019" t="str">
            <v>PcPVv</v>
          </cell>
        </row>
        <row r="1020">
          <cell r="B1020">
            <v>16541</v>
          </cell>
          <cell r="C1020" t="str">
            <v>PcPVm</v>
          </cell>
        </row>
        <row r="1021">
          <cell r="B1021">
            <v>16542</v>
          </cell>
          <cell r="C1021" t="str">
            <v>PcPVp</v>
          </cell>
        </row>
        <row r="1022">
          <cell r="B1022">
            <v>16543</v>
          </cell>
          <cell r="C1022" t="str">
            <v>PcPV-PAG</v>
          </cell>
        </row>
        <row r="1023">
          <cell r="B1023">
            <v>16544</v>
          </cell>
          <cell r="C1023" t="str">
            <v>PcPVi</v>
          </cell>
        </row>
        <row r="1024">
          <cell r="B1024">
            <v>16545</v>
          </cell>
          <cell r="C1024" t="str">
            <v>APTV</v>
          </cell>
        </row>
        <row r="1025">
          <cell r="B1025">
            <v>16546</v>
          </cell>
          <cell r="C1025" t="str">
            <v>PcPVs</v>
          </cell>
        </row>
        <row r="1026">
          <cell r="B1026">
            <v>16547</v>
          </cell>
          <cell r="C1026" t="str">
            <v>APTVS</v>
          </cell>
        </row>
        <row r="1027">
          <cell r="B1027">
            <v>16548</v>
          </cell>
          <cell r="C1027" t="str">
            <v>JcP</v>
          </cell>
        </row>
        <row r="1028">
          <cell r="B1028">
            <v>111220600</v>
          </cell>
          <cell r="C1028" t="str">
            <v>JcPv</v>
          </cell>
        </row>
        <row r="1029">
          <cell r="B1029">
            <v>111220602</v>
          </cell>
          <cell r="C1029" t="str">
            <v>JcPm</v>
          </cell>
        </row>
        <row r="1030">
          <cell r="B1030">
            <v>16549</v>
          </cell>
          <cell r="C1030" t="str">
            <v>JcPD</v>
          </cell>
        </row>
        <row r="1031">
          <cell r="B1031">
            <v>16550</v>
          </cell>
          <cell r="C1031" t="str">
            <v>JcPDv</v>
          </cell>
        </row>
        <row r="1032">
          <cell r="B1032">
            <v>16551</v>
          </cell>
          <cell r="C1032" t="str">
            <v>JcPDm</v>
          </cell>
        </row>
        <row r="1033">
          <cell r="B1033">
            <v>16552</v>
          </cell>
          <cell r="C1033" t="str">
            <v>JcPDp</v>
          </cell>
        </row>
        <row r="1034">
          <cell r="B1034">
            <v>16553</v>
          </cell>
          <cell r="C1034" t="str">
            <v>JcPD-PAG</v>
          </cell>
        </row>
        <row r="1035">
          <cell r="B1035">
            <v>16554</v>
          </cell>
          <cell r="C1035" t="str">
            <v>JcPDi</v>
          </cell>
        </row>
        <row r="1036">
          <cell r="B1036">
            <v>16555</v>
          </cell>
          <cell r="C1036" t="str">
            <v>DJcP</v>
          </cell>
        </row>
        <row r="1037">
          <cell r="B1037">
            <v>16556</v>
          </cell>
          <cell r="C1037" t="str">
            <v>SpD</v>
          </cell>
        </row>
        <row r="1038">
          <cell r="B1038">
            <v>16557</v>
          </cell>
          <cell r="C1038" t="str">
            <v>JcPDs</v>
          </cell>
        </row>
        <row r="1039">
          <cell r="B1039">
            <v>16558</v>
          </cell>
          <cell r="C1039" t="str">
            <v>JcP-DT</v>
          </cell>
        </row>
        <row r="1040">
          <cell r="B1040">
            <v>16559</v>
          </cell>
          <cell r="C1040" t="str">
            <v>JcPL</v>
          </cell>
        </row>
        <row r="1041">
          <cell r="B1041">
            <v>16560</v>
          </cell>
          <cell r="C1041" t="str">
            <v>JcPLv</v>
          </cell>
        </row>
        <row r="1042">
          <cell r="B1042">
            <v>16561</v>
          </cell>
          <cell r="C1042" t="str">
            <v>JcPLm</v>
          </cell>
        </row>
        <row r="1043">
          <cell r="B1043">
            <v>16562</v>
          </cell>
          <cell r="C1043" t="str">
            <v>JcPLp</v>
          </cell>
        </row>
        <row r="1044">
          <cell r="B1044">
            <v>16563</v>
          </cell>
          <cell r="C1044" t="str">
            <v>JcPL-PAG</v>
          </cell>
        </row>
        <row r="1045">
          <cell r="B1045">
            <v>16564</v>
          </cell>
          <cell r="C1045" t="str">
            <v>JcPLi</v>
          </cell>
        </row>
        <row r="1046">
          <cell r="B1046">
            <v>16565</v>
          </cell>
          <cell r="C1046" t="str">
            <v>JcPLRt</v>
          </cell>
        </row>
        <row r="1047">
          <cell r="B1047">
            <v>16566</v>
          </cell>
          <cell r="C1047" t="str">
            <v>SpL</v>
          </cell>
        </row>
        <row r="1048">
          <cell r="B1048">
            <v>16567</v>
          </cell>
          <cell r="C1048" t="str">
            <v>JcPLs</v>
          </cell>
        </row>
        <row r="1049">
          <cell r="B1049">
            <v>16568</v>
          </cell>
          <cell r="C1049" t="str">
            <v>JcP-LTL</v>
          </cell>
        </row>
        <row r="1050">
          <cell r="B1050">
            <v>16569</v>
          </cell>
          <cell r="C1050" t="str">
            <v>JcPV</v>
          </cell>
        </row>
        <row r="1051">
          <cell r="B1051">
            <v>16570</v>
          </cell>
          <cell r="C1051" t="str">
            <v>JcPVv</v>
          </cell>
        </row>
        <row r="1052">
          <cell r="B1052">
            <v>16571</v>
          </cell>
          <cell r="C1052" t="str">
            <v>JcPVm</v>
          </cell>
        </row>
        <row r="1053">
          <cell r="B1053">
            <v>16572</v>
          </cell>
          <cell r="C1053" t="str">
            <v>JcPVp</v>
          </cell>
        </row>
        <row r="1054">
          <cell r="B1054">
            <v>16573</v>
          </cell>
          <cell r="C1054" t="str">
            <v>JcPV-PAG</v>
          </cell>
        </row>
        <row r="1055">
          <cell r="B1055">
            <v>16574</v>
          </cell>
          <cell r="C1055" t="str">
            <v>JcPVi</v>
          </cell>
        </row>
        <row r="1056">
          <cell r="B1056">
            <v>16575</v>
          </cell>
          <cell r="C1056" t="str">
            <v>VJcP</v>
          </cell>
        </row>
        <row r="1057">
          <cell r="B1057">
            <v>16576</v>
          </cell>
          <cell r="C1057" t="str">
            <v>JcPVs</v>
          </cell>
        </row>
        <row r="1058">
          <cell r="B1058">
            <v>16577</v>
          </cell>
          <cell r="C1058" t="str">
            <v>JcP-LTV</v>
          </cell>
        </row>
        <row r="1059">
          <cell r="B1059">
            <v>16578</v>
          </cell>
          <cell r="C1059" t="str">
            <v>CoP</v>
          </cell>
        </row>
        <row r="1060">
          <cell r="B1060">
            <v>111220604</v>
          </cell>
          <cell r="C1060" t="str">
            <v>CoPv</v>
          </cell>
        </row>
        <row r="1061">
          <cell r="B1061">
            <v>111220606</v>
          </cell>
          <cell r="C1061" t="str">
            <v>CoPm</v>
          </cell>
        </row>
        <row r="1062">
          <cell r="B1062">
            <v>16579</v>
          </cell>
          <cell r="C1062" t="str">
            <v>CoPD</v>
          </cell>
        </row>
        <row r="1063">
          <cell r="B1063">
            <v>16580</v>
          </cell>
          <cell r="C1063" t="str">
            <v>CoPDv</v>
          </cell>
        </row>
        <row r="1064">
          <cell r="B1064">
            <v>16581</v>
          </cell>
          <cell r="C1064" t="str">
            <v>CoPDm</v>
          </cell>
        </row>
        <row r="1065">
          <cell r="B1065">
            <v>16582</v>
          </cell>
          <cell r="C1065" t="str">
            <v>CoPDp</v>
          </cell>
        </row>
        <row r="1066">
          <cell r="B1066">
            <v>16583</v>
          </cell>
          <cell r="C1066" t="str">
            <v>CoPD-PAG</v>
          </cell>
        </row>
        <row r="1067">
          <cell r="B1067">
            <v>16584</v>
          </cell>
          <cell r="C1067" t="str">
            <v>CoPDi</v>
          </cell>
        </row>
        <row r="1068">
          <cell r="B1068">
            <v>16585</v>
          </cell>
          <cell r="C1068" t="str">
            <v>MPT</v>
          </cell>
        </row>
        <row r="1069">
          <cell r="B1069">
            <v>16586</v>
          </cell>
          <cell r="C1069" t="str">
            <v>PrPT</v>
          </cell>
        </row>
        <row r="1070">
          <cell r="B1070">
            <v>16587</v>
          </cell>
          <cell r="C1070" t="str">
            <v>CoPDRt</v>
          </cell>
        </row>
        <row r="1071">
          <cell r="B1071">
            <v>16588</v>
          </cell>
          <cell r="C1071" t="str">
            <v>CoPDs</v>
          </cell>
        </row>
        <row r="1072">
          <cell r="B1072">
            <v>16589</v>
          </cell>
          <cell r="C1072" t="str">
            <v>OPT</v>
          </cell>
        </row>
        <row r="1073">
          <cell r="B1073">
            <v>16590</v>
          </cell>
          <cell r="C1073" t="str">
            <v>DT</v>
          </cell>
        </row>
        <row r="1074">
          <cell r="B1074">
            <v>16591</v>
          </cell>
          <cell r="C1074" t="str">
            <v>CoPL</v>
          </cell>
        </row>
        <row r="1075">
          <cell r="B1075">
            <v>16592</v>
          </cell>
          <cell r="C1075" t="str">
            <v>CoPLv</v>
          </cell>
        </row>
        <row r="1076">
          <cell r="B1076">
            <v>16593</v>
          </cell>
          <cell r="C1076" t="str">
            <v>CoPLm</v>
          </cell>
        </row>
        <row r="1077">
          <cell r="B1077">
            <v>16594</v>
          </cell>
          <cell r="C1077" t="str">
            <v>CoPLp</v>
          </cell>
        </row>
        <row r="1078">
          <cell r="B1078">
            <v>16595</v>
          </cell>
          <cell r="C1078" t="str">
            <v>CoPL-PAG</v>
          </cell>
        </row>
        <row r="1079">
          <cell r="B1079">
            <v>16596</v>
          </cell>
          <cell r="C1079" t="str">
            <v>CoPLi</v>
          </cell>
        </row>
        <row r="1080">
          <cell r="B1080">
            <v>16597</v>
          </cell>
          <cell r="C1080" t="str">
            <v>PCPC</v>
          </cell>
        </row>
        <row r="1081">
          <cell r="B1081">
            <v>16598</v>
          </cell>
          <cell r="C1081" t="str">
            <v>IPT</v>
          </cell>
        </row>
        <row r="1082">
          <cell r="B1082">
            <v>16599</v>
          </cell>
          <cell r="C1082" t="str">
            <v>CoPLRt</v>
          </cell>
        </row>
        <row r="1083">
          <cell r="B1083">
            <v>16600</v>
          </cell>
          <cell r="C1083" t="str">
            <v>CoPLs</v>
          </cell>
        </row>
        <row r="1084">
          <cell r="B1084">
            <v>16601</v>
          </cell>
          <cell r="C1084" t="str">
            <v>LTL</v>
          </cell>
        </row>
        <row r="1085">
          <cell r="B1085">
            <v>16602</v>
          </cell>
          <cell r="C1085" t="str">
            <v>CoPV</v>
          </cell>
        </row>
        <row r="1086">
          <cell r="B1086">
            <v>16603</v>
          </cell>
          <cell r="C1086" t="str">
            <v>CoPVv</v>
          </cell>
        </row>
        <row r="1087">
          <cell r="B1087">
            <v>16604</v>
          </cell>
          <cell r="C1087" t="str">
            <v>CoPVm</v>
          </cell>
        </row>
        <row r="1088">
          <cell r="B1088">
            <v>16605</v>
          </cell>
          <cell r="C1088" t="str">
            <v>CoPVp</v>
          </cell>
        </row>
        <row r="1089">
          <cell r="B1089">
            <v>16606</v>
          </cell>
          <cell r="C1089" t="str">
            <v>CoPV-PAG</v>
          </cell>
        </row>
        <row r="1090">
          <cell r="B1090">
            <v>16607</v>
          </cell>
          <cell r="C1090" t="str">
            <v>CoPVi</v>
          </cell>
        </row>
        <row r="1091">
          <cell r="B1091">
            <v>16608</v>
          </cell>
          <cell r="C1091" t="str">
            <v>SPT</v>
          </cell>
        </row>
        <row r="1092">
          <cell r="B1092">
            <v>16609</v>
          </cell>
          <cell r="C1092" t="str">
            <v>MCPC</v>
          </cell>
        </row>
        <row r="1093">
          <cell r="B1093">
            <v>16610</v>
          </cell>
          <cell r="C1093" t="str">
            <v>CoPVs</v>
          </cell>
        </row>
        <row r="1094">
          <cell r="B1094">
            <v>16611</v>
          </cell>
          <cell r="C1094" t="str">
            <v>LTV</v>
          </cell>
        </row>
        <row r="1095">
          <cell r="B1095">
            <v>16612</v>
          </cell>
          <cell r="C1095" t="str">
            <v>p1AVL</v>
          </cell>
        </row>
        <row r="1096">
          <cell r="B1096">
            <v>111220608</v>
          </cell>
          <cell r="C1096" t="str">
            <v>p1AVLv</v>
          </cell>
        </row>
        <row r="1097">
          <cell r="B1097">
            <v>111220610</v>
          </cell>
          <cell r="C1097" t="str">
            <v>p1AVLm</v>
          </cell>
        </row>
        <row r="1098">
          <cell r="B1098">
            <v>16613</v>
          </cell>
          <cell r="C1098" t="str">
            <v>p1Lim</v>
          </cell>
        </row>
        <row r="1099">
          <cell r="B1099">
            <v>16614</v>
          </cell>
          <cell r="C1099" t="str">
            <v>p1Limv</v>
          </cell>
        </row>
        <row r="1100">
          <cell r="B1100">
            <v>16615</v>
          </cell>
          <cell r="C1100" t="str">
            <v>p1Limm</v>
          </cell>
        </row>
        <row r="1101">
          <cell r="B1101">
            <v>16616</v>
          </cell>
          <cell r="C1101" t="str">
            <v>p1Limp</v>
          </cell>
        </row>
        <row r="1102">
          <cell r="B1102">
            <v>16617</v>
          </cell>
          <cell r="C1102" t="str">
            <v>p1Lim-PAG</v>
          </cell>
        </row>
        <row r="1103">
          <cell r="B1103">
            <v>16618</v>
          </cell>
          <cell r="C1103" t="str">
            <v>p1Limi</v>
          </cell>
        </row>
        <row r="1104">
          <cell r="B1104">
            <v>16619</v>
          </cell>
          <cell r="C1104" t="str">
            <v>p1LimRt</v>
          </cell>
        </row>
        <row r="1105">
          <cell r="B1105">
            <v>16621</v>
          </cell>
          <cell r="C1105" t="str">
            <v>p1Lims</v>
          </cell>
        </row>
        <row r="1106">
          <cell r="B1106">
            <v>16622</v>
          </cell>
          <cell r="C1106" t="str">
            <v>p1SNL</v>
          </cell>
        </row>
        <row r="1107">
          <cell r="B1107">
            <v>16623</v>
          </cell>
          <cell r="C1107" t="str">
            <v>PtTg</v>
          </cell>
        </row>
        <row r="1108">
          <cell r="B1108">
            <v>16624</v>
          </cell>
          <cell r="C1108" t="str">
            <v>p1B</v>
          </cell>
        </row>
        <row r="1109">
          <cell r="B1109">
            <v>16625</v>
          </cell>
          <cell r="C1109" t="str">
            <v>p1Bv</v>
          </cell>
        </row>
        <row r="1110">
          <cell r="B1110">
            <v>16626</v>
          </cell>
          <cell r="C1110" t="str">
            <v>p1Bm</v>
          </cell>
        </row>
        <row r="1111">
          <cell r="B1111">
            <v>16627</v>
          </cell>
          <cell r="C1111" t="str">
            <v>p1Bp</v>
          </cell>
        </row>
        <row r="1112">
          <cell r="B1112">
            <v>16628</v>
          </cell>
          <cell r="C1112" t="str">
            <v>p1B-PAG</v>
          </cell>
        </row>
        <row r="1113">
          <cell r="B1113">
            <v>16629</v>
          </cell>
          <cell r="C1113" t="str">
            <v>Dk</v>
          </cell>
        </row>
        <row r="1114">
          <cell r="B1114">
            <v>16630</v>
          </cell>
          <cell r="C1114" t="str">
            <v>p1PEW</v>
          </cell>
        </row>
        <row r="1115">
          <cell r="B1115">
            <v>16631</v>
          </cell>
          <cell r="C1115" t="str">
            <v>p1Bi</v>
          </cell>
        </row>
        <row r="1116">
          <cell r="B1116">
            <v>16620</v>
          </cell>
          <cell r="C1116" t="str">
            <v>InC</v>
          </cell>
        </row>
        <row r="1117">
          <cell r="B1117">
            <v>16632</v>
          </cell>
          <cell r="C1117" t="str">
            <v>p1BRt</v>
          </cell>
        </row>
        <row r="1118">
          <cell r="B1118">
            <v>16633</v>
          </cell>
          <cell r="C1118" t="str">
            <v>RPC</v>
          </cell>
        </row>
        <row r="1119">
          <cell r="B1119">
            <v>16634</v>
          </cell>
          <cell r="C1119" t="str">
            <v>p1PaR</v>
          </cell>
        </row>
        <row r="1120">
          <cell r="B1120">
            <v>16635</v>
          </cell>
          <cell r="C1120" t="str">
            <v>p1PBP</v>
          </cell>
        </row>
        <row r="1121">
          <cell r="B1121">
            <v>16636</v>
          </cell>
          <cell r="C1121" t="str">
            <v>p1Bs</v>
          </cell>
        </row>
        <row r="1122">
          <cell r="B1122">
            <v>16637</v>
          </cell>
          <cell r="C1122" t="str">
            <v>p1MT</v>
          </cell>
        </row>
        <row r="1123">
          <cell r="B1123">
            <v>16638</v>
          </cell>
          <cell r="C1123" t="str">
            <v>p1SNC</v>
          </cell>
        </row>
        <row r="1124">
          <cell r="B1124">
            <v>16639</v>
          </cell>
          <cell r="C1124" t="str">
            <v>p1SNR</v>
          </cell>
        </row>
        <row r="1125">
          <cell r="B1125">
            <v>16640</v>
          </cell>
          <cell r="C1125" t="str">
            <v>p1PN</v>
          </cell>
        </row>
        <row r="1126">
          <cell r="B1126">
            <v>16641</v>
          </cell>
          <cell r="C1126" t="str">
            <v>p1F</v>
          </cell>
        </row>
        <row r="1127">
          <cell r="B1127">
            <v>16642</v>
          </cell>
          <cell r="C1127" t="str">
            <v>p1Fv</v>
          </cell>
        </row>
        <row r="1128">
          <cell r="B1128">
            <v>16643</v>
          </cell>
          <cell r="C1128" t="str">
            <v>p1Fm</v>
          </cell>
        </row>
        <row r="1129">
          <cell r="B1129">
            <v>16644</v>
          </cell>
          <cell r="C1129" t="str">
            <v>p1Fp</v>
          </cell>
        </row>
        <row r="1130">
          <cell r="B1130">
            <v>16645</v>
          </cell>
          <cell r="C1130" t="str">
            <v>p1F-PAG</v>
          </cell>
        </row>
        <row r="1131">
          <cell r="B1131">
            <v>16646</v>
          </cell>
          <cell r="C1131" t="str">
            <v>p1Fi</v>
          </cell>
        </row>
        <row r="1132">
          <cell r="B1132">
            <v>16647</v>
          </cell>
          <cell r="C1132" t="str">
            <v>p1Fs</v>
          </cell>
        </row>
        <row r="1133">
          <cell r="B1133">
            <v>16648</v>
          </cell>
          <cell r="C1133" t="str">
            <v>p1VTA</v>
          </cell>
        </row>
        <row r="1134">
          <cell r="B1134">
            <v>16649</v>
          </cell>
          <cell r="C1134" t="str">
            <v>M</v>
          </cell>
        </row>
        <row r="1135">
          <cell r="B1135">
            <v>16650</v>
          </cell>
          <cell r="C1135" t="str">
            <v>m1</v>
          </cell>
        </row>
        <row r="1136">
          <cell r="B1136">
            <v>16651</v>
          </cell>
          <cell r="C1136" t="str">
            <v>MTt</v>
          </cell>
        </row>
        <row r="1137">
          <cell r="B1137">
            <v>16652</v>
          </cell>
          <cell r="C1137" t="str">
            <v>m1R</v>
          </cell>
        </row>
        <row r="1138">
          <cell r="B1138">
            <v>16653</v>
          </cell>
          <cell r="C1138" t="str">
            <v>m1Rv</v>
          </cell>
        </row>
        <row r="1139">
          <cell r="B1139">
            <v>16654</v>
          </cell>
          <cell r="C1139" t="str">
            <v>m1Rm</v>
          </cell>
        </row>
        <row r="1140">
          <cell r="B1140">
            <v>114403703</v>
          </cell>
          <cell r="C1140" t="str">
            <v>m1Rp</v>
          </cell>
        </row>
        <row r="1141">
          <cell r="B1141">
            <v>114403707</v>
          </cell>
          <cell r="C1141" t="str">
            <v>m1Ri</v>
          </cell>
        </row>
        <row r="1142">
          <cell r="B1142">
            <v>114403711</v>
          </cell>
          <cell r="C1142" t="str">
            <v>m1Rs</v>
          </cell>
        </row>
        <row r="1143">
          <cell r="B1143">
            <v>16655</v>
          </cell>
          <cell r="C1143" t="str">
            <v>BTGC</v>
          </cell>
        </row>
        <row r="1144">
          <cell r="B1144">
            <v>16656</v>
          </cell>
          <cell r="C1144" t="str">
            <v>BTC</v>
          </cell>
        </row>
        <row r="1145">
          <cell r="B1145">
            <v>16657</v>
          </cell>
          <cell r="C1145" t="str">
            <v>BICC</v>
          </cell>
        </row>
        <row r="1146">
          <cell r="B1146">
            <v>16658</v>
          </cell>
          <cell r="C1146" t="str">
            <v>m1A</v>
          </cell>
        </row>
        <row r="1147">
          <cell r="B1147">
            <v>16659</v>
          </cell>
          <cell r="C1147" t="str">
            <v>m1AD</v>
          </cell>
        </row>
        <row r="1148">
          <cell r="B1148">
            <v>16660</v>
          </cell>
          <cell r="C1148" t="str">
            <v>m1ADv</v>
          </cell>
        </row>
        <row r="1149">
          <cell r="B1149">
            <v>16661</v>
          </cell>
          <cell r="C1149" t="str">
            <v>m1ADm</v>
          </cell>
        </row>
        <row r="1150">
          <cell r="B1150">
            <v>16662</v>
          </cell>
          <cell r="C1150" t="str">
            <v>m1ADp</v>
          </cell>
        </row>
        <row r="1151">
          <cell r="B1151">
            <v>16663</v>
          </cell>
          <cell r="C1151" t="str">
            <v>m1AD-PAG</v>
          </cell>
        </row>
        <row r="1152">
          <cell r="B1152">
            <v>16664</v>
          </cell>
          <cell r="C1152" t="str">
            <v>m1ADi</v>
          </cell>
        </row>
        <row r="1153">
          <cell r="B1153">
            <v>16665</v>
          </cell>
          <cell r="C1153" t="str">
            <v>m1VPaC</v>
          </cell>
        </row>
        <row r="1154">
          <cell r="B1154">
            <v>16666</v>
          </cell>
          <cell r="C1154" t="str">
            <v>m1ADs</v>
          </cell>
        </row>
        <row r="1155">
          <cell r="B1155">
            <v>16667</v>
          </cell>
          <cell r="C1155" t="str">
            <v>m1DPaC</v>
          </cell>
        </row>
        <row r="1156">
          <cell r="B1156">
            <v>16668</v>
          </cell>
          <cell r="C1156" t="str">
            <v>m1ADL</v>
          </cell>
        </row>
        <row r="1157">
          <cell r="B1157">
            <v>16669</v>
          </cell>
          <cell r="C1157" t="str">
            <v>TG</v>
          </cell>
        </row>
        <row r="1158">
          <cell r="B1158">
            <v>16670</v>
          </cell>
          <cell r="C1158" t="str">
            <v>TGv</v>
          </cell>
        </row>
        <row r="1159">
          <cell r="B1159">
            <v>16671</v>
          </cell>
          <cell r="C1159" t="str">
            <v>TGm</v>
          </cell>
        </row>
        <row r="1160">
          <cell r="B1160">
            <v>16672</v>
          </cell>
          <cell r="C1160" t="str">
            <v>TGp</v>
          </cell>
        </row>
        <row r="1161">
          <cell r="B1161">
            <v>16673</v>
          </cell>
          <cell r="C1161" t="str">
            <v>TGDL-PAG</v>
          </cell>
        </row>
        <row r="1162">
          <cell r="B1162">
            <v>16674</v>
          </cell>
          <cell r="C1162" t="str">
            <v>TGi</v>
          </cell>
        </row>
        <row r="1163">
          <cell r="B1163">
            <v>16675</v>
          </cell>
          <cell r="C1163" t="str">
            <v>TGC</v>
          </cell>
        </row>
        <row r="1164">
          <cell r="B1164">
            <v>16676</v>
          </cell>
          <cell r="C1164" t="str">
            <v>TGs</v>
          </cell>
        </row>
        <row r="1165">
          <cell r="B1165">
            <v>16677</v>
          </cell>
          <cell r="C1165" t="str">
            <v>TGS</v>
          </cell>
        </row>
        <row r="1166">
          <cell r="B1166">
            <v>16678</v>
          </cell>
          <cell r="C1166" t="str">
            <v>SC</v>
          </cell>
        </row>
        <row r="1167">
          <cell r="B1167">
            <v>16679</v>
          </cell>
          <cell r="C1167" t="str">
            <v>SCv</v>
          </cell>
        </row>
        <row r="1168">
          <cell r="B1168">
            <v>16680</v>
          </cell>
          <cell r="C1168" t="str">
            <v>SCm</v>
          </cell>
        </row>
        <row r="1169">
          <cell r="B1169">
            <v>16681</v>
          </cell>
          <cell r="C1169" t="str">
            <v>SCp</v>
          </cell>
        </row>
        <row r="1170">
          <cell r="B1170">
            <v>16682</v>
          </cell>
          <cell r="C1170" t="str">
            <v>SCDL-PAG</v>
          </cell>
        </row>
        <row r="1171">
          <cell r="B1171">
            <v>16683</v>
          </cell>
          <cell r="C1171" t="str">
            <v>DpWh</v>
          </cell>
        </row>
        <row r="1172">
          <cell r="B1172">
            <v>16684</v>
          </cell>
          <cell r="C1172" t="str">
            <v>SCi</v>
          </cell>
        </row>
        <row r="1173">
          <cell r="B1173">
            <v>16685</v>
          </cell>
          <cell r="C1173" t="str">
            <v>DpG</v>
          </cell>
        </row>
        <row r="1174">
          <cell r="B1174">
            <v>16686</v>
          </cell>
          <cell r="C1174" t="str">
            <v>InWh</v>
          </cell>
        </row>
        <row r="1175">
          <cell r="B1175">
            <v>16687</v>
          </cell>
          <cell r="C1175" t="str">
            <v>InG</v>
          </cell>
        </row>
        <row r="1176">
          <cell r="B1176">
            <v>16688</v>
          </cell>
          <cell r="C1176" t="str">
            <v>SCs</v>
          </cell>
        </row>
        <row r="1177">
          <cell r="B1177">
            <v>16689</v>
          </cell>
          <cell r="C1177" t="str">
            <v>Op</v>
          </cell>
        </row>
        <row r="1178">
          <cell r="B1178">
            <v>16690</v>
          </cell>
          <cell r="C1178" t="str">
            <v>SuG</v>
          </cell>
        </row>
        <row r="1179">
          <cell r="B1179">
            <v>16691</v>
          </cell>
          <cell r="C1179" t="str">
            <v>Zo</v>
          </cell>
        </row>
        <row r="1180">
          <cell r="B1180">
            <v>16692</v>
          </cell>
          <cell r="C1180" t="str">
            <v>IC</v>
          </cell>
        </row>
        <row r="1181">
          <cell r="B1181">
            <v>16693</v>
          </cell>
          <cell r="C1181" t="str">
            <v>ICv</v>
          </cell>
        </row>
        <row r="1182">
          <cell r="B1182">
            <v>16694</v>
          </cell>
          <cell r="C1182" t="str">
            <v>ICm</v>
          </cell>
        </row>
        <row r="1183">
          <cell r="B1183">
            <v>16695</v>
          </cell>
          <cell r="C1183" t="str">
            <v>ICp</v>
          </cell>
        </row>
        <row r="1184">
          <cell r="B1184">
            <v>16696</v>
          </cell>
          <cell r="C1184" t="str">
            <v>ICDL-PAG</v>
          </cell>
        </row>
        <row r="1185">
          <cell r="B1185">
            <v>16697</v>
          </cell>
          <cell r="C1185" t="str">
            <v>ICi</v>
          </cell>
        </row>
        <row r="1186">
          <cell r="B1186">
            <v>16698</v>
          </cell>
          <cell r="C1186" t="str">
            <v>CIC</v>
          </cell>
        </row>
        <row r="1187">
          <cell r="B1187">
            <v>112892281</v>
          </cell>
          <cell r="C1187" t="str">
            <v>IIC</v>
          </cell>
        </row>
        <row r="1188">
          <cell r="B1188">
            <v>16699</v>
          </cell>
          <cell r="C1188" t="str">
            <v>ICs</v>
          </cell>
        </row>
        <row r="1189">
          <cell r="B1189">
            <v>16700</v>
          </cell>
          <cell r="C1189" t="str">
            <v>ICIC</v>
          </cell>
        </row>
        <row r="1190">
          <cell r="B1190">
            <v>16701</v>
          </cell>
          <cell r="C1190" t="str">
            <v>DCIC</v>
          </cell>
        </row>
        <row r="1191">
          <cell r="B1191">
            <v>16702</v>
          </cell>
          <cell r="C1191" t="str">
            <v>ECIC</v>
          </cell>
        </row>
        <row r="1192">
          <cell r="B1192">
            <v>16703</v>
          </cell>
          <cell r="C1192" t="str">
            <v>m1AL</v>
          </cell>
        </row>
        <row r="1193">
          <cell r="B1193">
            <v>16704</v>
          </cell>
          <cell r="C1193" t="str">
            <v>m1ALv</v>
          </cell>
        </row>
        <row r="1194">
          <cell r="B1194">
            <v>16705</v>
          </cell>
          <cell r="C1194" t="str">
            <v>m1ALm</v>
          </cell>
        </row>
        <row r="1195">
          <cell r="B1195">
            <v>16706</v>
          </cell>
          <cell r="C1195" t="str">
            <v>m1ALp</v>
          </cell>
        </row>
        <row r="1196">
          <cell r="B1196">
            <v>16707</v>
          </cell>
          <cell r="C1196" t="str">
            <v>TGL-PAG</v>
          </cell>
        </row>
        <row r="1197">
          <cell r="B1197">
            <v>16708</v>
          </cell>
          <cell r="C1197" t="str">
            <v>SCL-PAG</v>
          </cell>
        </row>
        <row r="1198">
          <cell r="B1198">
            <v>16709</v>
          </cell>
          <cell r="C1198" t="str">
            <v>ICL-PAG</v>
          </cell>
        </row>
        <row r="1199">
          <cell r="B1199">
            <v>16710</v>
          </cell>
          <cell r="C1199" t="str">
            <v>m1ALi</v>
          </cell>
        </row>
        <row r="1200">
          <cell r="B1200">
            <v>16711</v>
          </cell>
          <cell r="C1200" t="str">
            <v>ICBR</v>
          </cell>
        </row>
        <row r="1201">
          <cell r="B1201">
            <v>16712</v>
          </cell>
          <cell r="C1201" t="str">
            <v>ICBC</v>
          </cell>
        </row>
        <row r="1202">
          <cell r="B1202">
            <v>16713</v>
          </cell>
          <cell r="C1202" t="str">
            <v>m1ALs</v>
          </cell>
        </row>
        <row r="1203">
          <cell r="B1203">
            <v>16714</v>
          </cell>
          <cell r="C1203" t="str">
            <v>SubBR</v>
          </cell>
        </row>
        <row r="1204">
          <cell r="B1204">
            <v>16715</v>
          </cell>
          <cell r="C1204" t="str">
            <v>SubBC</v>
          </cell>
        </row>
        <row r="1205">
          <cell r="B1205">
            <v>16716</v>
          </cell>
          <cell r="C1205" t="str">
            <v>m1AVL</v>
          </cell>
        </row>
        <row r="1206">
          <cell r="B1206">
            <v>16717</v>
          </cell>
          <cell r="C1206" t="str">
            <v>m1Lim</v>
          </cell>
        </row>
        <row r="1207">
          <cell r="B1207">
            <v>16718</v>
          </cell>
          <cell r="C1207" t="str">
            <v>m1Limv</v>
          </cell>
        </row>
        <row r="1208">
          <cell r="B1208">
            <v>16719</v>
          </cell>
          <cell r="C1208" t="str">
            <v>m1Limm</v>
          </cell>
        </row>
        <row r="1209">
          <cell r="B1209">
            <v>16720</v>
          </cell>
          <cell r="C1209" t="str">
            <v>m1Limp</v>
          </cell>
        </row>
        <row r="1210">
          <cell r="B1210">
            <v>16721</v>
          </cell>
          <cell r="C1210" t="str">
            <v>m1Lim-PAG</v>
          </cell>
        </row>
        <row r="1211">
          <cell r="B1211">
            <v>16722</v>
          </cell>
          <cell r="C1211" t="str">
            <v>m1Limi</v>
          </cell>
        </row>
        <row r="1212">
          <cell r="B1212">
            <v>16723</v>
          </cell>
          <cell r="C1212" t="str">
            <v>m1LimRt</v>
          </cell>
        </row>
        <row r="1213">
          <cell r="B1213">
            <v>16724</v>
          </cell>
          <cell r="C1213" t="str">
            <v>m1Lims</v>
          </cell>
        </row>
        <row r="1214">
          <cell r="B1214">
            <v>16725</v>
          </cell>
          <cell r="C1214" t="str">
            <v>MTg</v>
          </cell>
        </row>
        <row r="1215">
          <cell r="B1215">
            <v>16726</v>
          </cell>
          <cell r="C1215" t="str">
            <v>m1B</v>
          </cell>
        </row>
        <row r="1216">
          <cell r="B1216">
            <v>16727</v>
          </cell>
          <cell r="C1216" t="str">
            <v>m1Bv</v>
          </cell>
        </row>
        <row r="1217">
          <cell r="B1217">
            <v>16728</v>
          </cell>
          <cell r="C1217" t="str">
            <v>m1Bm</v>
          </cell>
        </row>
        <row r="1218">
          <cell r="B1218">
            <v>16729</v>
          </cell>
          <cell r="C1218" t="str">
            <v>m1Bp</v>
          </cell>
        </row>
        <row r="1219">
          <cell r="B1219">
            <v>16730</v>
          </cell>
          <cell r="C1219" t="str">
            <v>m1B-PAG</v>
          </cell>
        </row>
        <row r="1220">
          <cell r="B1220">
            <v>16731</v>
          </cell>
          <cell r="C1220" t="str">
            <v>m1PEW</v>
          </cell>
        </row>
        <row r="1221">
          <cell r="B1221">
            <v>16732</v>
          </cell>
          <cell r="C1221" t="str">
            <v>m1Bi</v>
          </cell>
        </row>
        <row r="1222">
          <cell r="B1222">
            <v>16748</v>
          </cell>
          <cell r="C1222" t="str">
            <v>RLi</v>
          </cell>
        </row>
        <row r="1223">
          <cell r="B1223">
            <v>16733</v>
          </cell>
          <cell r="C1223" t="str">
            <v>3EW</v>
          </cell>
        </row>
        <row r="1224">
          <cell r="B1224">
            <v>16734</v>
          </cell>
          <cell r="C1224" t="str">
            <v>3M</v>
          </cell>
        </row>
        <row r="1225">
          <cell r="B1225">
            <v>16735</v>
          </cell>
          <cell r="C1225" t="str">
            <v>m1BRt</v>
          </cell>
        </row>
        <row r="1226">
          <cell r="B1226">
            <v>16736</v>
          </cell>
          <cell r="C1226" t="str">
            <v>m1PaR</v>
          </cell>
        </row>
        <row r="1227">
          <cell r="B1227">
            <v>16737</v>
          </cell>
          <cell r="C1227" t="str">
            <v>RMC</v>
          </cell>
        </row>
        <row r="1228">
          <cell r="B1228">
            <v>16738</v>
          </cell>
          <cell r="C1228" t="str">
            <v>m1Bs</v>
          </cell>
        </row>
        <row r="1229">
          <cell r="B1229">
            <v>16739</v>
          </cell>
          <cell r="C1229" t="str">
            <v>m1PN</v>
          </cell>
        </row>
        <row r="1230">
          <cell r="B1230">
            <v>16740</v>
          </cell>
          <cell r="C1230" t="str">
            <v>m1SNC</v>
          </cell>
        </row>
        <row r="1231">
          <cell r="B1231">
            <v>16741</v>
          </cell>
          <cell r="C1231" t="str">
            <v>m1SNR</v>
          </cell>
        </row>
        <row r="1232">
          <cell r="B1232">
            <v>112892283</v>
          </cell>
          <cell r="C1232" t="str">
            <v>m1PBP</v>
          </cell>
        </row>
        <row r="1233">
          <cell r="B1233">
            <v>16742</v>
          </cell>
          <cell r="C1233" t="str">
            <v>m1F</v>
          </cell>
        </row>
        <row r="1234">
          <cell r="B1234">
            <v>16743</v>
          </cell>
          <cell r="C1234" t="str">
            <v>m1Fv</v>
          </cell>
        </row>
        <row r="1235">
          <cell r="B1235">
            <v>16744</v>
          </cell>
          <cell r="C1235" t="str">
            <v>m1Fm</v>
          </cell>
        </row>
        <row r="1236">
          <cell r="B1236">
            <v>16745</v>
          </cell>
          <cell r="C1236" t="str">
            <v>m1Fp</v>
          </cell>
        </row>
        <row r="1237">
          <cell r="B1237">
            <v>16746</v>
          </cell>
          <cell r="C1237" t="str">
            <v>m1F-PAG</v>
          </cell>
        </row>
        <row r="1238">
          <cell r="B1238">
            <v>16747</v>
          </cell>
          <cell r="C1238" t="str">
            <v>m1Fi</v>
          </cell>
        </row>
        <row r="1239">
          <cell r="B1239">
            <v>16749</v>
          </cell>
          <cell r="C1239" t="str">
            <v>m1Fs</v>
          </cell>
        </row>
        <row r="1240">
          <cell r="B1240">
            <v>16750</v>
          </cell>
          <cell r="C1240" t="str">
            <v>m1VTA</v>
          </cell>
        </row>
        <row r="1241">
          <cell r="B1241">
            <v>16751</v>
          </cell>
          <cell r="C1241" t="str">
            <v>m2</v>
          </cell>
        </row>
        <row r="1242">
          <cell r="B1242">
            <v>16752</v>
          </cell>
          <cell r="C1242" t="str">
            <v>PIsTt</v>
          </cell>
        </row>
        <row r="1243">
          <cell r="B1243">
            <v>16753</v>
          </cell>
          <cell r="C1243" t="str">
            <v>m2R</v>
          </cell>
        </row>
        <row r="1244">
          <cell r="B1244">
            <v>112892285</v>
          </cell>
          <cell r="C1244" t="str">
            <v>m2Rv</v>
          </cell>
        </row>
        <row r="1245">
          <cell r="B1245">
            <v>112892287</v>
          </cell>
          <cell r="C1245" t="str">
            <v>m2Rm</v>
          </cell>
        </row>
        <row r="1246">
          <cell r="B1246">
            <v>112892289</v>
          </cell>
          <cell r="C1246" t="str">
            <v>m2Rp</v>
          </cell>
        </row>
        <row r="1247">
          <cell r="B1247">
            <v>112892291</v>
          </cell>
          <cell r="C1247" t="str">
            <v>m2Ri</v>
          </cell>
        </row>
        <row r="1248">
          <cell r="B1248">
            <v>112892293</v>
          </cell>
          <cell r="C1248" t="str">
            <v>m2Rs</v>
          </cell>
        </row>
        <row r="1249">
          <cell r="B1249">
            <v>16754</v>
          </cell>
          <cell r="C1249" t="str">
            <v>m2A</v>
          </cell>
        </row>
        <row r="1250">
          <cell r="B1250">
            <v>16755</v>
          </cell>
          <cell r="C1250" t="str">
            <v>m2AD</v>
          </cell>
        </row>
        <row r="1251">
          <cell r="B1251">
            <v>16756</v>
          </cell>
          <cell r="C1251" t="str">
            <v>m2ADv</v>
          </cell>
        </row>
        <row r="1252">
          <cell r="B1252">
            <v>16757</v>
          </cell>
          <cell r="C1252" t="str">
            <v>m2ADm</v>
          </cell>
        </row>
        <row r="1253">
          <cell r="B1253">
            <v>16758</v>
          </cell>
          <cell r="C1253" t="str">
            <v>m2ADp</v>
          </cell>
        </row>
        <row r="1254">
          <cell r="B1254">
            <v>16759</v>
          </cell>
          <cell r="C1254" t="str">
            <v>PIsD-PAG</v>
          </cell>
        </row>
        <row r="1255">
          <cell r="B1255">
            <v>16760</v>
          </cell>
          <cell r="C1255" t="str">
            <v>m2ADi</v>
          </cell>
        </row>
        <row r="1256">
          <cell r="B1256">
            <v>112892295</v>
          </cell>
          <cell r="C1256" t="str">
            <v>m2VPaC</v>
          </cell>
        </row>
        <row r="1257">
          <cell r="B1257">
            <v>16761</v>
          </cell>
          <cell r="C1257" t="str">
            <v>m2ADs</v>
          </cell>
        </row>
        <row r="1258">
          <cell r="B1258">
            <v>112892297</v>
          </cell>
          <cell r="C1258" t="str">
            <v>m2DPaC</v>
          </cell>
        </row>
        <row r="1259">
          <cell r="B1259">
            <v>16762</v>
          </cell>
          <cell r="C1259" t="str">
            <v>m2ADL</v>
          </cell>
        </row>
        <row r="1260">
          <cell r="B1260">
            <v>16763</v>
          </cell>
          <cell r="C1260" t="str">
            <v>m2ADLv</v>
          </cell>
        </row>
        <row r="1261">
          <cell r="B1261">
            <v>16764</v>
          </cell>
          <cell r="C1261" t="str">
            <v>m2ADLm</v>
          </cell>
        </row>
        <row r="1262">
          <cell r="B1262">
            <v>16765</v>
          </cell>
          <cell r="C1262" t="str">
            <v>m2ADLp</v>
          </cell>
        </row>
        <row r="1263">
          <cell r="B1263">
            <v>16766</v>
          </cell>
          <cell r="C1263" t="str">
            <v>PIsDL-PAG</v>
          </cell>
        </row>
        <row r="1264">
          <cell r="B1264">
            <v>16767</v>
          </cell>
          <cell r="C1264" t="str">
            <v>m2ADLi</v>
          </cell>
        </row>
        <row r="1265">
          <cell r="B1265">
            <v>16768</v>
          </cell>
          <cell r="C1265" t="str">
            <v>SagD</v>
          </cell>
        </row>
        <row r="1266">
          <cell r="B1266">
            <v>16769</v>
          </cell>
          <cell r="C1266" t="str">
            <v>m2ADLs</v>
          </cell>
        </row>
        <row r="1267">
          <cell r="B1267">
            <v>16770</v>
          </cell>
          <cell r="C1267" t="str">
            <v>SagS</v>
          </cell>
        </row>
        <row r="1268">
          <cell r="B1268">
            <v>16771</v>
          </cell>
          <cell r="C1268" t="str">
            <v>m2AL</v>
          </cell>
        </row>
        <row r="1269">
          <cell r="B1269">
            <v>16772</v>
          </cell>
          <cell r="C1269" t="str">
            <v>m2ALv</v>
          </cell>
        </row>
        <row r="1270">
          <cell r="B1270">
            <v>16773</v>
          </cell>
          <cell r="C1270" t="str">
            <v>m2ALm</v>
          </cell>
        </row>
        <row r="1271">
          <cell r="B1271">
            <v>16774</v>
          </cell>
          <cell r="C1271" t="str">
            <v>m2ALp</v>
          </cell>
        </row>
        <row r="1272">
          <cell r="B1272">
            <v>16775</v>
          </cell>
          <cell r="C1272" t="str">
            <v>PIsL-PAG</v>
          </cell>
        </row>
        <row r="1273">
          <cell r="B1273">
            <v>16776</v>
          </cell>
          <cell r="C1273" t="str">
            <v>m2ALi</v>
          </cell>
        </row>
        <row r="1274">
          <cell r="B1274">
            <v>16777</v>
          </cell>
          <cell r="C1274" t="str">
            <v>CnF</v>
          </cell>
        </row>
        <row r="1275">
          <cell r="B1275">
            <v>16778</v>
          </cell>
          <cell r="C1275" t="str">
            <v>m2ALs</v>
          </cell>
        </row>
        <row r="1276">
          <cell r="B1276">
            <v>16779</v>
          </cell>
          <cell r="C1276" t="str">
            <v>CnFS</v>
          </cell>
        </row>
        <row r="1277">
          <cell r="B1277">
            <v>16780</v>
          </cell>
          <cell r="C1277" t="str">
            <v>m2AVL</v>
          </cell>
        </row>
        <row r="1278">
          <cell r="B1278">
            <v>16781</v>
          </cell>
          <cell r="C1278" t="str">
            <v>m2Lim</v>
          </cell>
        </row>
        <row r="1279">
          <cell r="B1279">
            <v>16782</v>
          </cell>
          <cell r="C1279" t="str">
            <v>m2Limv</v>
          </cell>
        </row>
        <row r="1280">
          <cell r="B1280">
            <v>16783</v>
          </cell>
          <cell r="C1280" t="str">
            <v>m2Limm</v>
          </cell>
        </row>
        <row r="1281">
          <cell r="B1281">
            <v>16784</v>
          </cell>
          <cell r="C1281" t="str">
            <v>m2Limp</v>
          </cell>
        </row>
        <row r="1282">
          <cell r="B1282">
            <v>16785</v>
          </cell>
          <cell r="C1282" t="str">
            <v>m2Lim-PAG</v>
          </cell>
        </row>
        <row r="1283">
          <cell r="B1283">
            <v>16786</v>
          </cell>
          <cell r="C1283" t="str">
            <v>m2Limi</v>
          </cell>
        </row>
        <row r="1284">
          <cell r="B1284">
            <v>16787</v>
          </cell>
          <cell r="C1284" t="str">
            <v>SCnF</v>
          </cell>
        </row>
        <row r="1285">
          <cell r="B1285">
            <v>16788</v>
          </cell>
          <cell r="C1285" t="str">
            <v>m2LimRt</v>
          </cell>
        </row>
        <row r="1286">
          <cell r="B1286">
            <v>16789</v>
          </cell>
          <cell r="C1286" t="str">
            <v>m2Lims</v>
          </cell>
        </row>
        <row r="1287">
          <cell r="B1287">
            <v>16790</v>
          </cell>
          <cell r="C1287" t="str">
            <v>PIsTg</v>
          </cell>
        </row>
        <row r="1288">
          <cell r="B1288">
            <v>16791</v>
          </cell>
          <cell r="C1288" t="str">
            <v>m2B</v>
          </cell>
        </row>
        <row r="1289">
          <cell r="B1289">
            <v>16792</v>
          </cell>
          <cell r="C1289" t="str">
            <v>m2Bv</v>
          </cell>
        </row>
        <row r="1290">
          <cell r="B1290">
            <v>16793</v>
          </cell>
          <cell r="C1290" t="str">
            <v>m2Bm</v>
          </cell>
        </row>
        <row r="1291">
          <cell r="B1291">
            <v>16794</v>
          </cell>
          <cell r="C1291" t="str">
            <v>m2Bp</v>
          </cell>
        </row>
        <row r="1292">
          <cell r="B1292">
            <v>16795</v>
          </cell>
          <cell r="C1292" t="str">
            <v>m2B-PAG</v>
          </cell>
        </row>
        <row r="1293">
          <cell r="B1293">
            <v>16796</v>
          </cell>
          <cell r="C1293" t="str">
            <v>m2DR</v>
          </cell>
        </row>
        <row r="1294">
          <cell r="B1294">
            <v>16797</v>
          </cell>
          <cell r="C1294" t="str">
            <v>m2Bi</v>
          </cell>
        </row>
        <row r="1295">
          <cell r="B1295">
            <v>16798</v>
          </cell>
          <cell r="C1295" t="str">
            <v>m2BRt</v>
          </cell>
        </row>
        <row r="1296">
          <cell r="B1296">
            <v>16799</v>
          </cell>
          <cell r="C1296" t="str">
            <v>m2PaR</v>
          </cell>
        </row>
        <row r="1297">
          <cell r="B1297">
            <v>16800</v>
          </cell>
          <cell r="C1297" t="str">
            <v>m2Bs</v>
          </cell>
        </row>
        <row r="1298">
          <cell r="B1298">
            <v>16801</v>
          </cell>
          <cell r="C1298" t="str">
            <v>m2PN</v>
          </cell>
        </row>
        <row r="1299">
          <cell r="B1299">
            <v>16802</v>
          </cell>
          <cell r="C1299" t="str">
            <v>m2PBP</v>
          </cell>
        </row>
        <row r="1300">
          <cell r="B1300">
            <v>16803</v>
          </cell>
          <cell r="C1300" t="str">
            <v>m2SNC</v>
          </cell>
        </row>
        <row r="1301">
          <cell r="B1301">
            <v>16804</v>
          </cell>
          <cell r="C1301" t="str">
            <v>m2SNR</v>
          </cell>
        </row>
        <row r="1302">
          <cell r="B1302">
            <v>16805</v>
          </cell>
          <cell r="C1302" t="str">
            <v>m2F</v>
          </cell>
        </row>
        <row r="1303">
          <cell r="B1303">
            <v>112892299</v>
          </cell>
          <cell r="C1303" t="str">
            <v>m2Fv</v>
          </cell>
        </row>
        <row r="1304">
          <cell r="B1304">
            <v>112892301</v>
          </cell>
          <cell r="C1304" t="str">
            <v>m2Fm</v>
          </cell>
        </row>
        <row r="1305">
          <cell r="B1305">
            <v>112892303</v>
          </cell>
          <cell r="C1305" t="str">
            <v>m2Fp</v>
          </cell>
        </row>
        <row r="1306">
          <cell r="B1306">
            <v>112892305</v>
          </cell>
          <cell r="C1306" t="str">
            <v>m2Fi</v>
          </cell>
        </row>
        <row r="1307">
          <cell r="B1307">
            <v>112892307</v>
          </cell>
          <cell r="C1307" t="str">
            <v>m2Fs</v>
          </cell>
        </row>
        <row r="1308">
          <cell r="B1308">
            <v>16806</v>
          </cell>
          <cell r="C1308" t="str">
            <v>m2VTA</v>
          </cell>
        </row>
        <row r="1309">
          <cell r="B1309">
            <v>16807</v>
          </cell>
          <cell r="C1309" t="str">
            <v>IF</v>
          </cell>
        </row>
        <row r="1310">
          <cell r="B1310">
            <v>16808</v>
          </cell>
          <cell r="C1310" t="str">
            <v>H</v>
          </cell>
        </row>
        <row r="1311">
          <cell r="B1311">
            <v>16809</v>
          </cell>
          <cell r="C1311" t="str">
            <v>PPH</v>
          </cell>
        </row>
        <row r="1312">
          <cell r="B1312">
            <v>16810</v>
          </cell>
          <cell r="C1312" t="str">
            <v>is</v>
          </cell>
        </row>
        <row r="1313">
          <cell r="B1313">
            <v>16811</v>
          </cell>
          <cell r="C1313" t="str">
            <v>isR</v>
          </cell>
        </row>
        <row r="1314">
          <cell r="B1314">
            <v>16812</v>
          </cell>
          <cell r="C1314" t="str">
            <v>isRv</v>
          </cell>
        </row>
        <row r="1315">
          <cell r="B1315">
            <v>114403715</v>
          </cell>
          <cell r="C1315" t="str">
            <v>isRm</v>
          </cell>
        </row>
        <row r="1316">
          <cell r="B1316">
            <v>114403719</v>
          </cell>
          <cell r="C1316" t="str">
            <v>isRp</v>
          </cell>
        </row>
        <row r="1317">
          <cell r="B1317">
            <v>114403723</v>
          </cell>
          <cell r="C1317" t="str">
            <v>isRi</v>
          </cell>
        </row>
        <row r="1318">
          <cell r="B1318">
            <v>114403727</v>
          </cell>
          <cell r="C1318" t="str">
            <v>isRs</v>
          </cell>
        </row>
        <row r="1319">
          <cell r="B1319">
            <v>16813</v>
          </cell>
          <cell r="C1319" t="str">
            <v>isA</v>
          </cell>
        </row>
        <row r="1320">
          <cell r="B1320">
            <v>16814</v>
          </cell>
          <cell r="C1320" t="str">
            <v>CbV</v>
          </cell>
        </row>
        <row r="1321">
          <cell r="B1321">
            <v>16815</v>
          </cell>
          <cell r="C1321" t="str">
            <v>CbVLip</v>
          </cell>
        </row>
        <row r="1322">
          <cell r="B1322">
            <v>16816</v>
          </cell>
          <cell r="C1322" t="str">
            <v>CbV-EGL</v>
          </cell>
        </row>
        <row r="1323">
          <cell r="B1323">
            <v>16817</v>
          </cell>
          <cell r="C1323" t="str">
            <v>CbVv</v>
          </cell>
        </row>
        <row r="1324">
          <cell r="B1324">
            <v>16818</v>
          </cell>
          <cell r="C1324" t="str">
            <v>CbVm</v>
          </cell>
        </row>
        <row r="1325">
          <cell r="B1325">
            <v>16819</v>
          </cell>
          <cell r="C1325" t="str">
            <v>CbVp</v>
          </cell>
        </row>
        <row r="1326">
          <cell r="B1326">
            <v>16820</v>
          </cell>
          <cell r="C1326" t="str">
            <v>CbVWM</v>
          </cell>
        </row>
        <row r="1327">
          <cell r="B1327">
            <v>16821</v>
          </cell>
          <cell r="C1327" t="str">
            <v>CbVi</v>
          </cell>
        </row>
        <row r="1328">
          <cell r="B1328">
            <v>16822</v>
          </cell>
          <cell r="C1328" t="str">
            <v>CbVN</v>
          </cell>
        </row>
        <row r="1329">
          <cell r="B1329">
            <v>16823</v>
          </cell>
          <cell r="C1329" t="str">
            <v>Med</v>
          </cell>
        </row>
        <row r="1330">
          <cell r="B1330">
            <v>16824</v>
          </cell>
          <cell r="C1330" t="str">
            <v>MedM</v>
          </cell>
        </row>
        <row r="1331">
          <cell r="B1331">
            <v>16825</v>
          </cell>
          <cell r="C1331" t="str">
            <v>MedL</v>
          </cell>
        </row>
        <row r="1332">
          <cell r="B1332">
            <v>16826</v>
          </cell>
          <cell r="C1332" t="str">
            <v>MedDL</v>
          </cell>
        </row>
        <row r="1333">
          <cell r="B1333">
            <v>16827</v>
          </cell>
          <cell r="C1333" t="str">
            <v>isVeCb</v>
          </cell>
        </row>
        <row r="1334">
          <cell r="B1334">
            <v>16828</v>
          </cell>
          <cell r="C1334" t="str">
            <v>CbVs</v>
          </cell>
        </row>
        <row r="1335">
          <cell r="B1335">
            <v>16829</v>
          </cell>
          <cell r="C1335" t="str">
            <v>CbVCx</v>
          </cell>
        </row>
        <row r="1336">
          <cell r="B1336">
            <v>16830</v>
          </cell>
          <cell r="C1336" t="str">
            <v>1Cb</v>
          </cell>
        </row>
        <row r="1337">
          <cell r="B1337">
            <v>16831</v>
          </cell>
          <cell r="C1337" t="str">
            <v>2Cb</v>
          </cell>
        </row>
        <row r="1338">
          <cell r="B1338">
            <v>16832</v>
          </cell>
          <cell r="C1338" t="str">
            <v>3Cb</v>
          </cell>
        </row>
        <row r="1339">
          <cell r="B1339">
            <v>16833</v>
          </cell>
          <cell r="C1339" t="str">
            <v>4Cb</v>
          </cell>
        </row>
        <row r="1340">
          <cell r="B1340">
            <v>16834</v>
          </cell>
          <cell r="C1340" t="str">
            <v>5Cb</v>
          </cell>
        </row>
        <row r="1341">
          <cell r="B1341">
            <v>16835</v>
          </cell>
          <cell r="C1341" t="str">
            <v>6Cb</v>
          </cell>
        </row>
        <row r="1342">
          <cell r="B1342">
            <v>16836</v>
          </cell>
          <cell r="C1342" t="str">
            <v>7Cb</v>
          </cell>
        </row>
        <row r="1343">
          <cell r="B1343">
            <v>16837</v>
          </cell>
          <cell r="C1343" t="str">
            <v>8Cb</v>
          </cell>
        </row>
        <row r="1344">
          <cell r="B1344">
            <v>16838</v>
          </cell>
          <cell r="C1344" t="str">
            <v>9Cb</v>
          </cell>
        </row>
        <row r="1345">
          <cell r="B1345">
            <v>16839</v>
          </cell>
          <cell r="C1345" t="str">
            <v>10Cb</v>
          </cell>
        </row>
        <row r="1346">
          <cell r="B1346">
            <v>16840</v>
          </cell>
          <cell r="C1346" t="str">
            <v>MolV</v>
          </cell>
        </row>
        <row r="1347">
          <cell r="B1347">
            <v>16841</v>
          </cell>
          <cell r="C1347" t="str">
            <v>PkV</v>
          </cell>
        </row>
        <row r="1348">
          <cell r="B1348">
            <v>16842</v>
          </cell>
          <cell r="C1348" t="str">
            <v>IGrV</v>
          </cell>
        </row>
        <row r="1349">
          <cell r="B1349">
            <v>16843</v>
          </cell>
          <cell r="C1349" t="str">
            <v>isADL</v>
          </cell>
        </row>
        <row r="1350">
          <cell r="B1350">
            <v>111220612</v>
          </cell>
          <cell r="C1350" t="str">
            <v>isADLv</v>
          </cell>
        </row>
        <row r="1351">
          <cell r="B1351">
            <v>111220614</v>
          </cell>
          <cell r="C1351" t="str">
            <v>isADLm</v>
          </cell>
        </row>
        <row r="1352">
          <cell r="B1352">
            <v>112892309</v>
          </cell>
          <cell r="C1352" t="str">
            <v>isADLp</v>
          </cell>
        </row>
        <row r="1353">
          <cell r="B1353">
            <v>112892311</v>
          </cell>
          <cell r="C1353" t="str">
            <v>isADLi</v>
          </cell>
        </row>
        <row r="1354">
          <cell r="B1354">
            <v>112892313</v>
          </cell>
          <cell r="C1354" t="str">
            <v>isADLs</v>
          </cell>
        </row>
        <row r="1355">
          <cell r="B1355">
            <v>16844</v>
          </cell>
          <cell r="C1355" t="str">
            <v>PBC</v>
          </cell>
        </row>
        <row r="1356">
          <cell r="B1356">
            <v>16845</v>
          </cell>
          <cell r="C1356" t="str">
            <v>PBv</v>
          </cell>
        </row>
        <row r="1357">
          <cell r="B1357">
            <v>16846</v>
          </cell>
          <cell r="C1357" t="str">
            <v>PBm</v>
          </cell>
        </row>
        <row r="1358">
          <cell r="B1358">
            <v>16847</v>
          </cell>
          <cell r="C1358" t="str">
            <v>PBp</v>
          </cell>
        </row>
        <row r="1359">
          <cell r="B1359">
            <v>16848</v>
          </cell>
          <cell r="C1359" t="str">
            <v>PB-PAG</v>
          </cell>
        </row>
        <row r="1360">
          <cell r="B1360">
            <v>16849</v>
          </cell>
          <cell r="C1360" t="str">
            <v>PBi</v>
          </cell>
        </row>
        <row r="1361">
          <cell r="B1361">
            <v>16850</v>
          </cell>
          <cell r="C1361" t="str">
            <v>MPB</v>
          </cell>
        </row>
        <row r="1362">
          <cell r="B1362">
            <v>16851</v>
          </cell>
          <cell r="C1362" t="str">
            <v>PBs</v>
          </cell>
        </row>
        <row r="1363">
          <cell r="B1363">
            <v>16852</v>
          </cell>
          <cell r="C1363" t="str">
            <v>LPB</v>
          </cell>
        </row>
        <row r="1364">
          <cell r="B1364">
            <v>16853</v>
          </cell>
          <cell r="C1364" t="str">
            <v>KF</v>
          </cell>
        </row>
        <row r="1365">
          <cell r="B1365">
            <v>16854</v>
          </cell>
          <cell r="C1365" t="str">
            <v>Ist</v>
          </cell>
        </row>
        <row r="1366">
          <cell r="B1366">
            <v>16855</v>
          </cell>
          <cell r="C1366" t="str">
            <v>Istv</v>
          </cell>
        </row>
        <row r="1367">
          <cell r="B1367">
            <v>16856</v>
          </cell>
          <cell r="C1367" t="str">
            <v>Istm</v>
          </cell>
        </row>
        <row r="1368">
          <cell r="B1368">
            <v>16857</v>
          </cell>
          <cell r="C1368" t="str">
            <v>Istp</v>
          </cell>
        </row>
        <row r="1369">
          <cell r="B1369">
            <v>16858</v>
          </cell>
          <cell r="C1369" t="str">
            <v>Ist-PAG</v>
          </cell>
        </row>
        <row r="1370">
          <cell r="B1370">
            <v>16859</v>
          </cell>
          <cell r="C1370" t="str">
            <v>Isti</v>
          </cell>
        </row>
        <row r="1371">
          <cell r="B1371">
            <v>16860</v>
          </cell>
          <cell r="C1371" t="str">
            <v>DLL</v>
          </cell>
        </row>
        <row r="1372">
          <cell r="B1372">
            <v>16861</v>
          </cell>
          <cell r="C1372" t="str">
            <v>Ists</v>
          </cell>
        </row>
        <row r="1373">
          <cell r="B1373">
            <v>16862</v>
          </cell>
          <cell r="C1373" t="str">
            <v>PBG</v>
          </cell>
        </row>
        <row r="1374">
          <cell r="B1374">
            <v>16863</v>
          </cell>
          <cell r="C1374" t="str">
            <v>PeLA</v>
          </cell>
        </row>
        <row r="1375">
          <cell r="B1375">
            <v>16864</v>
          </cell>
          <cell r="C1375" t="str">
            <v>isAVL</v>
          </cell>
        </row>
        <row r="1376">
          <cell r="B1376">
            <v>16865</v>
          </cell>
          <cell r="C1376" t="str">
            <v>isLim</v>
          </cell>
        </row>
        <row r="1377">
          <cell r="B1377">
            <v>16866</v>
          </cell>
          <cell r="C1377" t="str">
            <v>isLimv</v>
          </cell>
        </row>
        <row r="1378">
          <cell r="B1378">
            <v>16867</v>
          </cell>
          <cell r="C1378" t="str">
            <v>isLimm</v>
          </cell>
        </row>
        <row r="1379">
          <cell r="B1379">
            <v>16868</v>
          </cell>
          <cell r="C1379" t="str">
            <v>isLimp</v>
          </cell>
        </row>
        <row r="1380">
          <cell r="B1380">
            <v>16869</v>
          </cell>
          <cell r="C1380" t="str">
            <v>isLim-PAG</v>
          </cell>
        </row>
        <row r="1381">
          <cell r="B1381">
            <v>16870</v>
          </cell>
          <cell r="C1381" t="str">
            <v>isMes5</v>
          </cell>
        </row>
        <row r="1382">
          <cell r="B1382">
            <v>16871</v>
          </cell>
          <cell r="C1382" t="str">
            <v>isLimi</v>
          </cell>
        </row>
        <row r="1383">
          <cell r="B1383">
            <v>16872</v>
          </cell>
          <cell r="C1383" t="str">
            <v>MiTg</v>
          </cell>
        </row>
        <row r="1384">
          <cell r="B1384">
            <v>16873</v>
          </cell>
          <cell r="C1384" t="str">
            <v>isLimRt</v>
          </cell>
        </row>
        <row r="1385">
          <cell r="B1385">
            <v>16874</v>
          </cell>
          <cell r="C1385" t="str">
            <v>isLims</v>
          </cell>
        </row>
        <row r="1386">
          <cell r="B1386">
            <v>16875</v>
          </cell>
          <cell r="C1386" t="str">
            <v>isILL</v>
          </cell>
        </row>
        <row r="1387">
          <cell r="B1387">
            <v>16886</v>
          </cell>
          <cell r="C1387" t="str">
            <v>isPaL</v>
          </cell>
        </row>
        <row r="1388">
          <cell r="B1388">
            <v>16876</v>
          </cell>
          <cell r="C1388" t="str">
            <v>isB</v>
          </cell>
        </row>
        <row r="1389">
          <cell r="B1389">
            <v>111220616</v>
          </cell>
          <cell r="C1389" t="str">
            <v>isBv</v>
          </cell>
        </row>
        <row r="1390">
          <cell r="B1390">
            <v>111220618</v>
          </cell>
          <cell r="C1390" t="str">
            <v>isBm</v>
          </cell>
        </row>
        <row r="1391">
          <cell r="B1391">
            <v>16877</v>
          </cell>
          <cell r="C1391" t="str">
            <v>isBL</v>
          </cell>
        </row>
        <row r="1392">
          <cell r="B1392">
            <v>16878</v>
          </cell>
          <cell r="C1392" t="str">
            <v>isBLv</v>
          </cell>
        </row>
        <row r="1393">
          <cell r="B1393">
            <v>16879</v>
          </cell>
          <cell r="C1393" t="str">
            <v>isBLm</v>
          </cell>
        </row>
        <row r="1394">
          <cell r="B1394">
            <v>16880</v>
          </cell>
          <cell r="C1394" t="str">
            <v>isBLp</v>
          </cell>
        </row>
        <row r="1395">
          <cell r="B1395">
            <v>16881</v>
          </cell>
          <cell r="C1395" t="str">
            <v>isDRDL</v>
          </cell>
        </row>
        <row r="1396">
          <cell r="B1396">
            <v>112892315</v>
          </cell>
          <cell r="C1396" t="str">
            <v>isDRW</v>
          </cell>
        </row>
        <row r="1397">
          <cell r="B1397">
            <v>16882</v>
          </cell>
          <cell r="C1397" t="str">
            <v>isBLi</v>
          </cell>
        </row>
        <row r="1398">
          <cell r="B1398">
            <v>16883</v>
          </cell>
          <cell r="C1398" t="str">
            <v>isBLRt</v>
          </cell>
        </row>
        <row r="1399">
          <cell r="B1399">
            <v>16884</v>
          </cell>
          <cell r="C1399" t="str">
            <v>RRF</v>
          </cell>
        </row>
        <row r="1400">
          <cell r="B1400">
            <v>16885</v>
          </cell>
          <cell r="C1400" t="str">
            <v>isBLs</v>
          </cell>
        </row>
        <row r="1401">
          <cell r="B1401">
            <v>16887</v>
          </cell>
          <cell r="C1401" t="str">
            <v>isBI</v>
          </cell>
        </row>
        <row r="1402">
          <cell r="B1402">
            <v>16888</v>
          </cell>
          <cell r="C1402" t="str">
            <v>isBIv</v>
          </cell>
        </row>
        <row r="1403">
          <cell r="B1403">
            <v>16889</v>
          </cell>
          <cell r="C1403" t="str">
            <v>isBIm</v>
          </cell>
        </row>
        <row r="1404">
          <cell r="B1404">
            <v>16890</v>
          </cell>
          <cell r="C1404" t="str">
            <v>isBIp</v>
          </cell>
        </row>
        <row r="1405">
          <cell r="B1405">
            <v>16891</v>
          </cell>
          <cell r="C1405" t="str">
            <v>isDRI</v>
          </cell>
        </row>
        <row r="1406">
          <cell r="B1406">
            <v>16892</v>
          </cell>
          <cell r="C1406" t="str">
            <v>isMDTg</v>
          </cell>
        </row>
        <row r="1407">
          <cell r="B1407">
            <v>16893</v>
          </cell>
          <cell r="C1407" t="str">
            <v>isBIi</v>
          </cell>
        </row>
        <row r="1408">
          <cell r="B1408">
            <v>16894</v>
          </cell>
          <cell r="C1408" t="str">
            <v>isBIRt</v>
          </cell>
        </row>
        <row r="1409">
          <cell r="B1409">
            <v>16895</v>
          </cell>
          <cell r="C1409" t="str">
            <v>isBIs</v>
          </cell>
        </row>
        <row r="1410">
          <cell r="B1410">
            <v>16896</v>
          </cell>
          <cell r="C1410" t="str">
            <v>isSNR</v>
          </cell>
        </row>
        <row r="1411">
          <cell r="B1411">
            <v>16897</v>
          </cell>
          <cell r="C1411" t="str">
            <v>isBM</v>
          </cell>
        </row>
        <row r="1412">
          <cell r="B1412">
            <v>16898</v>
          </cell>
          <cell r="C1412" t="str">
            <v>isBMv</v>
          </cell>
        </row>
        <row r="1413">
          <cell r="B1413">
            <v>16899</v>
          </cell>
          <cell r="C1413" t="str">
            <v>isBMm</v>
          </cell>
        </row>
        <row r="1414">
          <cell r="B1414">
            <v>16900</v>
          </cell>
          <cell r="C1414" t="str">
            <v>isBMp</v>
          </cell>
        </row>
        <row r="1415">
          <cell r="B1415">
            <v>16901</v>
          </cell>
          <cell r="C1415" t="str">
            <v>isDRV</v>
          </cell>
        </row>
        <row r="1416">
          <cell r="B1416">
            <v>16902</v>
          </cell>
          <cell r="C1416" t="str">
            <v>isBMi</v>
          </cell>
        </row>
        <row r="1417">
          <cell r="B1417">
            <v>16903</v>
          </cell>
          <cell r="C1417" t="str">
            <v>4M</v>
          </cell>
        </row>
        <row r="1418">
          <cell r="B1418">
            <v>16904</v>
          </cell>
          <cell r="C1418" t="str">
            <v>4Sh</v>
          </cell>
        </row>
        <row r="1419">
          <cell r="B1419">
            <v>16905</v>
          </cell>
          <cell r="C1419" t="str">
            <v>Pa4</v>
          </cell>
        </row>
        <row r="1420">
          <cell r="B1420">
            <v>16906</v>
          </cell>
          <cell r="C1420" t="str">
            <v>CLi</v>
          </cell>
        </row>
        <row r="1421">
          <cell r="B1421">
            <v>16907</v>
          </cell>
          <cell r="C1421" t="str">
            <v>isBMs</v>
          </cell>
        </row>
        <row r="1422">
          <cell r="B1422">
            <v>16908</v>
          </cell>
          <cell r="C1422" t="str">
            <v>isSNC</v>
          </cell>
        </row>
        <row r="1423">
          <cell r="B1423">
            <v>16909</v>
          </cell>
          <cell r="C1423" t="str">
            <v>IPPr</v>
          </cell>
        </row>
        <row r="1424">
          <cell r="B1424">
            <v>16910</v>
          </cell>
          <cell r="C1424" t="str">
            <v>isPN</v>
          </cell>
        </row>
        <row r="1425">
          <cell r="B1425">
            <v>16911</v>
          </cell>
          <cell r="C1425" t="str">
            <v>isF</v>
          </cell>
        </row>
        <row r="1426">
          <cell r="B1426">
            <v>16912</v>
          </cell>
          <cell r="C1426" t="str">
            <v>isFv</v>
          </cell>
        </row>
        <row r="1427">
          <cell r="B1427">
            <v>16913</v>
          </cell>
          <cell r="C1427" t="str">
            <v>isFm</v>
          </cell>
        </row>
        <row r="1428">
          <cell r="B1428">
            <v>112892317</v>
          </cell>
          <cell r="C1428" t="str">
            <v>isFp</v>
          </cell>
        </row>
        <row r="1429">
          <cell r="B1429">
            <v>112892319</v>
          </cell>
          <cell r="C1429" t="str">
            <v>isFi</v>
          </cell>
        </row>
        <row r="1430">
          <cell r="B1430">
            <v>112892321</v>
          </cell>
          <cell r="C1430" t="str">
            <v>isFs</v>
          </cell>
        </row>
        <row r="1431">
          <cell r="B1431">
            <v>126531028</v>
          </cell>
          <cell r="C1431" t="str">
            <v>MnIPPr</v>
          </cell>
        </row>
        <row r="1432">
          <cell r="B1432">
            <v>16914</v>
          </cell>
          <cell r="C1432" t="str">
            <v>isVTA</v>
          </cell>
        </row>
        <row r="1433">
          <cell r="B1433">
            <v>16915</v>
          </cell>
          <cell r="C1433" t="str">
            <v>r1</v>
          </cell>
        </row>
        <row r="1434">
          <cell r="B1434">
            <v>16916</v>
          </cell>
          <cell r="C1434" t="str">
            <v>r1R</v>
          </cell>
        </row>
        <row r="1435">
          <cell r="B1435">
            <v>16917</v>
          </cell>
          <cell r="C1435" t="str">
            <v>CbCh</v>
          </cell>
        </row>
        <row r="1436">
          <cell r="B1436">
            <v>16918</v>
          </cell>
          <cell r="C1436" t="str">
            <v>r1RhL</v>
          </cell>
        </row>
        <row r="1437">
          <cell r="B1437">
            <v>16919</v>
          </cell>
          <cell r="C1437" t="str">
            <v>r1A</v>
          </cell>
        </row>
        <row r="1438">
          <cell r="B1438">
            <v>111220620</v>
          </cell>
          <cell r="C1438" t="str">
            <v>r1Av</v>
          </cell>
        </row>
        <row r="1439">
          <cell r="B1439">
            <v>111220622</v>
          </cell>
          <cell r="C1439" t="str">
            <v>r1Am</v>
          </cell>
        </row>
        <row r="1440">
          <cell r="B1440">
            <v>16920</v>
          </cell>
          <cell r="C1440" t="str">
            <v>CbH</v>
          </cell>
        </row>
        <row r="1441">
          <cell r="B1441">
            <v>16921</v>
          </cell>
          <cell r="C1441" t="str">
            <v>CbH-EGL</v>
          </cell>
        </row>
        <row r="1442">
          <cell r="B1442">
            <v>16922</v>
          </cell>
          <cell r="C1442" t="str">
            <v>CbHv</v>
          </cell>
        </row>
        <row r="1443">
          <cell r="B1443">
            <v>16923</v>
          </cell>
          <cell r="C1443" t="str">
            <v>CbHLip</v>
          </cell>
        </row>
        <row r="1444">
          <cell r="B1444">
            <v>16924</v>
          </cell>
          <cell r="C1444" t="str">
            <v>CbHm</v>
          </cell>
        </row>
        <row r="1445">
          <cell r="B1445">
            <v>16925</v>
          </cell>
          <cell r="C1445" t="str">
            <v>CbHp</v>
          </cell>
        </row>
        <row r="1446">
          <cell r="B1446">
            <v>16926</v>
          </cell>
          <cell r="C1446" t="str">
            <v>CbHWM</v>
          </cell>
        </row>
        <row r="1447">
          <cell r="B1447">
            <v>16927</v>
          </cell>
          <cell r="C1447" t="str">
            <v>CbHi</v>
          </cell>
        </row>
        <row r="1448">
          <cell r="B1448">
            <v>16928</v>
          </cell>
          <cell r="C1448" t="str">
            <v>CbHN</v>
          </cell>
        </row>
        <row r="1449">
          <cell r="B1449">
            <v>16929</v>
          </cell>
          <cell r="C1449" t="str">
            <v>Int</v>
          </cell>
        </row>
        <row r="1450">
          <cell r="B1450">
            <v>16930</v>
          </cell>
          <cell r="C1450" t="str">
            <v>IntA</v>
          </cell>
        </row>
        <row r="1451">
          <cell r="B1451">
            <v>16931</v>
          </cell>
          <cell r="C1451" t="str">
            <v>IntDL</v>
          </cell>
        </row>
        <row r="1452">
          <cell r="B1452">
            <v>16932</v>
          </cell>
          <cell r="C1452" t="str">
            <v>IntP</v>
          </cell>
        </row>
        <row r="1453">
          <cell r="B1453">
            <v>16933</v>
          </cell>
          <cell r="C1453" t="str">
            <v>Lat</v>
          </cell>
        </row>
        <row r="1454">
          <cell r="B1454">
            <v>16934</v>
          </cell>
          <cell r="C1454" t="str">
            <v>LatDL</v>
          </cell>
        </row>
        <row r="1455">
          <cell r="B1455">
            <v>16935</v>
          </cell>
          <cell r="C1455" t="str">
            <v>LatPC</v>
          </cell>
        </row>
        <row r="1456">
          <cell r="B1456">
            <v>16936</v>
          </cell>
          <cell r="C1456" t="str">
            <v>r1VeCb</v>
          </cell>
        </row>
        <row r="1457">
          <cell r="B1457">
            <v>16937</v>
          </cell>
          <cell r="C1457" t="str">
            <v>A4</v>
          </cell>
        </row>
        <row r="1458">
          <cell r="B1458">
            <v>16938</v>
          </cell>
          <cell r="C1458" t="str">
            <v>CbHs</v>
          </cell>
        </row>
        <row r="1459">
          <cell r="B1459">
            <v>16939</v>
          </cell>
          <cell r="C1459" t="str">
            <v>CbHCx</v>
          </cell>
        </row>
        <row r="1460">
          <cell r="B1460">
            <v>16940</v>
          </cell>
          <cell r="C1460" t="str">
            <v>Sim</v>
          </cell>
        </row>
        <row r="1461">
          <cell r="B1461">
            <v>16941</v>
          </cell>
          <cell r="C1461" t="str">
            <v>Crus1</v>
          </cell>
        </row>
        <row r="1462">
          <cell r="B1462">
            <v>16942</v>
          </cell>
          <cell r="C1462" t="str">
            <v>Crus2</v>
          </cell>
        </row>
        <row r="1463">
          <cell r="B1463">
            <v>16943</v>
          </cell>
          <cell r="C1463" t="str">
            <v>PM</v>
          </cell>
        </row>
        <row r="1464">
          <cell r="B1464">
            <v>16944</v>
          </cell>
          <cell r="C1464" t="str">
            <v>Cop</v>
          </cell>
        </row>
        <row r="1465">
          <cell r="B1465">
            <v>16945</v>
          </cell>
          <cell r="C1465" t="str">
            <v>PFl</v>
          </cell>
        </row>
        <row r="1466">
          <cell r="B1466">
            <v>16946</v>
          </cell>
          <cell r="C1466" t="str">
            <v>Fl</v>
          </cell>
        </row>
        <row r="1467">
          <cell r="B1467">
            <v>16947</v>
          </cell>
          <cell r="C1467" t="str">
            <v>MolH</v>
          </cell>
        </row>
        <row r="1468">
          <cell r="B1468">
            <v>16948</v>
          </cell>
          <cell r="C1468" t="str">
            <v>PkH</v>
          </cell>
        </row>
        <row r="1469">
          <cell r="B1469">
            <v>16949</v>
          </cell>
          <cell r="C1469" t="str">
            <v>IGrH</v>
          </cell>
        </row>
        <row r="1470">
          <cell r="B1470">
            <v>16950</v>
          </cell>
          <cell r="C1470" t="str">
            <v>r1Ve</v>
          </cell>
        </row>
        <row r="1471">
          <cell r="B1471">
            <v>16951</v>
          </cell>
          <cell r="C1471" t="str">
            <v>r1Vev</v>
          </cell>
        </row>
        <row r="1472">
          <cell r="B1472">
            <v>16952</v>
          </cell>
          <cell r="C1472" t="str">
            <v>r1Vem</v>
          </cell>
        </row>
        <row r="1473">
          <cell r="B1473">
            <v>111220624</v>
          </cell>
          <cell r="C1473" t="str">
            <v>r1Vep</v>
          </cell>
        </row>
        <row r="1474">
          <cell r="B1474">
            <v>124372424</v>
          </cell>
          <cell r="C1474" t="str">
            <v>r1Y</v>
          </cell>
        </row>
        <row r="1475">
          <cell r="B1475">
            <v>111220626</v>
          </cell>
          <cell r="C1475" t="str">
            <v>r1Vei</v>
          </cell>
        </row>
        <row r="1476">
          <cell r="B1476">
            <v>16953</v>
          </cell>
          <cell r="C1476" t="str">
            <v>r1SuVe</v>
          </cell>
        </row>
        <row r="1477">
          <cell r="B1477">
            <v>111220628</v>
          </cell>
          <cell r="C1477" t="str">
            <v>r1Ves</v>
          </cell>
        </row>
        <row r="1478">
          <cell r="B1478">
            <v>16954</v>
          </cell>
          <cell r="C1478" t="str">
            <v>r1Tr</v>
          </cell>
        </row>
        <row r="1479">
          <cell r="B1479">
            <v>16955</v>
          </cell>
          <cell r="C1479" t="str">
            <v>r1Trv</v>
          </cell>
        </row>
        <row r="1480">
          <cell r="B1480">
            <v>16956</v>
          </cell>
          <cell r="C1480" t="str">
            <v>r1Trm</v>
          </cell>
        </row>
        <row r="1481">
          <cell r="B1481">
            <v>111220630</v>
          </cell>
          <cell r="C1481" t="str">
            <v>r1Trp</v>
          </cell>
        </row>
        <row r="1482">
          <cell r="B1482">
            <v>111220632</v>
          </cell>
          <cell r="C1482" t="str">
            <v>r1Tri</v>
          </cell>
        </row>
        <row r="1483">
          <cell r="B1483">
            <v>16958</v>
          </cell>
          <cell r="C1483" t="str">
            <v>r1DPCRt</v>
          </cell>
        </row>
        <row r="1484">
          <cell r="B1484">
            <v>111220634</v>
          </cell>
          <cell r="C1484" t="str">
            <v>r1Trs</v>
          </cell>
        </row>
        <row r="1485">
          <cell r="B1485">
            <v>16957</v>
          </cell>
          <cell r="C1485" t="str">
            <v>r1Pr5</v>
          </cell>
        </row>
        <row r="1486">
          <cell r="B1486">
            <v>16959</v>
          </cell>
          <cell r="C1486" t="str">
            <v>r1Lim</v>
          </cell>
        </row>
        <row r="1487">
          <cell r="B1487">
            <v>16960</v>
          </cell>
          <cell r="C1487" t="str">
            <v>r1Limv</v>
          </cell>
        </row>
        <row r="1488">
          <cell r="B1488">
            <v>16961</v>
          </cell>
          <cell r="C1488" t="str">
            <v>r1Limm</v>
          </cell>
        </row>
        <row r="1489">
          <cell r="B1489">
            <v>111220636</v>
          </cell>
          <cell r="C1489" t="str">
            <v>r1Limp</v>
          </cell>
        </row>
        <row r="1490">
          <cell r="B1490">
            <v>16963</v>
          </cell>
          <cell r="C1490" t="str">
            <v>r1LimCG</v>
          </cell>
        </row>
        <row r="1491">
          <cell r="B1491">
            <v>16964</v>
          </cell>
          <cell r="C1491" t="str">
            <v>LDTg</v>
          </cell>
        </row>
        <row r="1492">
          <cell r="B1492">
            <v>16966</v>
          </cell>
          <cell r="C1492" t="str">
            <v>r1Mes5</v>
          </cell>
        </row>
        <row r="1493">
          <cell r="B1493">
            <v>111220638</v>
          </cell>
          <cell r="C1493" t="str">
            <v>r1Limi</v>
          </cell>
        </row>
        <row r="1494">
          <cell r="B1494">
            <v>16962</v>
          </cell>
          <cell r="C1494" t="str">
            <v>r1VPCRt</v>
          </cell>
        </row>
        <row r="1495">
          <cell r="B1495">
            <v>111220640</v>
          </cell>
          <cell r="C1495" t="str">
            <v>r1Lims</v>
          </cell>
        </row>
        <row r="1496">
          <cell r="B1496">
            <v>16965</v>
          </cell>
          <cell r="C1496" t="str">
            <v>PPTg</v>
          </cell>
        </row>
        <row r="1497">
          <cell r="B1497">
            <v>16967</v>
          </cell>
          <cell r="C1497" t="str">
            <v>r1B</v>
          </cell>
        </row>
        <row r="1498">
          <cell r="B1498">
            <v>111220642</v>
          </cell>
          <cell r="C1498" t="str">
            <v>r1Bv</v>
          </cell>
        </row>
        <row r="1499">
          <cell r="B1499">
            <v>111220644</v>
          </cell>
          <cell r="C1499" t="str">
            <v>r1Bm</v>
          </cell>
        </row>
        <row r="1500">
          <cell r="B1500">
            <v>16968</v>
          </cell>
          <cell r="C1500" t="str">
            <v>r1BL</v>
          </cell>
        </row>
        <row r="1501">
          <cell r="B1501">
            <v>16969</v>
          </cell>
          <cell r="C1501" t="str">
            <v>r1BLv</v>
          </cell>
        </row>
        <row r="1502">
          <cell r="B1502">
            <v>16970</v>
          </cell>
          <cell r="C1502" t="str">
            <v>r1BLm</v>
          </cell>
        </row>
        <row r="1503">
          <cell r="B1503">
            <v>16971</v>
          </cell>
          <cell r="C1503" t="str">
            <v>r1BLp</v>
          </cell>
        </row>
        <row r="1504">
          <cell r="B1504">
            <v>124372428</v>
          </cell>
          <cell r="C1504" t="str">
            <v>r1BLIZ</v>
          </cell>
        </row>
        <row r="1505">
          <cell r="B1505">
            <v>16972</v>
          </cell>
          <cell r="C1505" t="str">
            <v>LC</v>
          </cell>
        </row>
        <row r="1506">
          <cell r="B1506">
            <v>16973</v>
          </cell>
          <cell r="C1506" t="str">
            <v>Bar</v>
          </cell>
        </row>
        <row r="1507">
          <cell r="B1507">
            <v>16974</v>
          </cell>
          <cell r="C1507" t="str">
            <v>NPS</v>
          </cell>
        </row>
        <row r="1508">
          <cell r="B1508">
            <v>16975</v>
          </cell>
          <cell r="C1508" t="str">
            <v>r1BLi</v>
          </cell>
        </row>
        <row r="1509">
          <cell r="B1509">
            <v>16976</v>
          </cell>
          <cell r="C1509" t="str">
            <v>r1CG</v>
          </cell>
        </row>
        <row r="1510">
          <cell r="B1510">
            <v>16977</v>
          </cell>
          <cell r="C1510" t="str">
            <v>Su5</v>
          </cell>
        </row>
        <row r="1511">
          <cell r="B1511">
            <v>16978</v>
          </cell>
          <cell r="C1511" t="str">
            <v>r1BLRt</v>
          </cell>
        </row>
        <row r="1512">
          <cell r="B1512">
            <v>16981</v>
          </cell>
          <cell r="C1512" t="str">
            <v>r1BLs</v>
          </cell>
        </row>
        <row r="1513">
          <cell r="B1513">
            <v>16979</v>
          </cell>
          <cell r="C1513" t="str">
            <v>r1MPL</v>
          </cell>
        </row>
        <row r="1514">
          <cell r="B1514">
            <v>16980</v>
          </cell>
          <cell r="C1514" t="str">
            <v>r1LPaL</v>
          </cell>
        </row>
        <row r="1515">
          <cell r="B1515">
            <v>16982</v>
          </cell>
          <cell r="C1515" t="str">
            <v>r1ILL</v>
          </cell>
        </row>
        <row r="1516">
          <cell r="B1516">
            <v>16983</v>
          </cell>
          <cell r="C1516" t="str">
            <v>RR</v>
          </cell>
        </row>
        <row r="1517">
          <cell r="B1517">
            <v>16984</v>
          </cell>
          <cell r="C1517" t="str">
            <v>r1BI</v>
          </cell>
        </row>
        <row r="1518">
          <cell r="B1518">
            <v>16985</v>
          </cell>
          <cell r="C1518" t="str">
            <v>r1BIv</v>
          </cell>
        </row>
        <row r="1519">
          <cell r="B1519">
            <v>16986</v>
          </cell>
          <cell r="C1519" t="str">
            <v>r1BIm</v>
          </cell>
        </row>
        <row r="1520">
          <cell r="B1520">
            <v>16987</v>
          </cell>
          <cell r="C1520" t="str">
            <v>r1BIp</v>
          </cell>
        </row>
        <row r="1521">
          <cell r="B1521">
            <v>16988</v>
          </cell>
          <cell r="C1521" t="str">
            <v>r1BICG</v>
          </cell>
        </row>
        <row r="1522">
          <cell r="B1522">
            <v>16989</v>
          </cell>
          <cell r="C1522" t="str">
            <v>r1MDTg</v>
          </cell>
        </row>
        <row r="1523">
          <cell r="B1523">
            <v>124372436</v>
          </cell>
          <cell r="C1523" t="str">
            <v>r1BIIZ</v>
          </cell>
        </row>
        <row r="1524">
          <cell r="B1524">
            <v>16990</v>
          </cell>
          <cell r="C1524" t="str">
            <v>r1BIi</v>
          </cell>
        </row>
        <row r="1525">
          <cell r="B1525">
            <v>16991</v>
          </cell>
          <cell r="C1525" t="str">
            <v>r1BIRt</v>
          </cell>
        </row>
        <row r="1526">
          <cell r="B1526">
            <v>16992</v>
          </cell>
          <cell r="C1526" t="str">
            <v>r1SubC</v>
          </cell>
        </row>
        <row r="1527">
          <cell r="B1527">
            <v>16993</v>
          </cell>
          <cell r="C1527" t="str">
            <v>r1BIs</v>
          </cell>
        </row>
        <row r="1528">
          <cell r="B1528">
            <v>124372440</v>
          </cell>
          <cell r="C1528" t="str">
            <v>r1LPn</v>
          </cell>
        </row>
        <row r="1529">
          <cell r="B1529">
            <v>16994</v>
          </cell>
          <cell r="C1529" t="str">
            <v>r1BM</v>
          </cell>
        </row>
        <row r="1530">
          <cell r="B1530">
            <v>16995</v>
          </cell>
          <cell r="C1530" t="str">
            <v>r1BMv</v>
          </cell>
        </row>
        <row r="1531">
          <cell r="B1531">
            <v>16996</v>
          </cell>
          <cell r="C1531" t="str">
            <v>r1BMm</v>
          </cell>
        </row>
        <row r="1532">
          <cell r="B1532">
            <v>16997</v>
          </cell>
          <cell r="C1532" t="str">
            <v>r1BMp</v>
          </cell>
        </row>
        <row r="1533">
          <cell r="B1533">
            <v>16998</v>
          </cell>
          <cell r="C1533" t="str">
            <v>r1DR</v>
          </cell>
        </row>
        <row r="1534">
          <cell r="B1534">
            <v>16999</v>
          </cell>
          <cell r="C1534" t="str">
            <v>Sph</v>
          </cell>
        </row>
        <row r="1535">
          <cell r="B1535">
            <v>17000</v>
          </cell>
          <cell r="C1535" t="str">
            <v>DTg</v>
          </cell>
        </row>
        <row r="1536">
          <cell r="B1536">
            <v>17001</v>
          </cell>
          <cell r="C1536" t="str">
            <v>DTgC</v>
          </cell>
        </row>
        <row r="1537">
          <cell r="B1537">
            <v>17002</v>
          </cell>
          <cell r="C1537" t="str">
            <v>DTgS</v>
          </cell>
        </row>
        <row r="1538">
          <cell r="B1538">
            <v>17003</v>
          </cell>
          <cell r="C1538" t="str">
            <v>r1BMCG</v>
          </cell>
        </row>
        <row r="1539">
          <cell r="B1539">
            <v>17004</v>
          </cell>
          <cell r="C1539" t="str">
            <v>r1BMi</v>
          </cell>
        </row>
        <row r="1540">
          <cell r="B1540">
            <v>17005</v>
          </cell>
          <cell r="C1540" t="str">
            <v>IPA</v>
          </cell>
        </row>
        <row r="1541">
          <cell r="B1541">
            <v>17006</v>
          </cell>
          <cell r="C1541" t="str">
            <v>Rbd</v>
          </cell>
        </row>
        <row r="1542">
          <cell r="B1542">
            <v>17007</v>
          </cell>
          <cell r="C1542" t="str">
            <v>VTg</v>
          </cell>
        </row>
        <row r="1543">
          <cell r="B1543">
            <v>17008</v>
          </cell>
          <cell r="C1543" t="str">
            <v>ATg</v>
          </cell>
        </row>
        <row r="1544">
          <cell r="B1544">
            <v>17009</v>
          </cell>
          <cell r="C1544" t="str">
            <v>PTg</v>
          </cell>
        </row>
        <row r="1545">
          <cell r="B1545">
            <v>17010</v>
          </cell>
          <cell r="C1545" t="str">
            <v>r1PMnR</v>
          </cell>
        </row>
        <row r="1546">
          <cell r="B1546">
            <v>17011</v>
          </cell>
          <cell r="C1546" t="str">
            <v>r1MnR</v>
          </cell>
        </row>
        <row r="1547">
          <cell r="B1547">
            <v>17012</v>
          </cell>
          <cell r="C1547" t="str">
            <v>r1BMRt</v>
          </cell>
        </row>
        <row r="1548">
          <cell r="B1548">
            <v>17013</v>
          </cell>
          <cell r="C1548" t="str">
            <v>r1BMs</v>
          </cell>
        </row>
        <row r="1549">
          <cell r="B1549">
            <v>17014</v>
          </cell>
          <cell r="C1549" t="str">
            <v>IPR</v>
          </cell>
        </row>
        <row r="1550">
          <cell r="B1550">
            <v>17015</v>
          </cell>
          <cell r="C1550" t="str">
            <v>IPDM</v>
          </cell>
        </row>
        <row r="1551">
          <cell r="B1551">
            <v>17016</v>
          </cell>
          <cell r="C1551" t="str">
            <v>IPDL</v>
          </cell>
        </row>
        <row r="1552">
          <cell r="B1552">
            <v>17017</v>
          </cell>
          <cell r="C1552" t="str">
            <v>IPRL</v>
          </cell>
        </row>
        <row r="1553">
          <cell r="B1553">
            <v>17018</v>
          </cell>
          <cell r="C1553" t="str">
            <v>IPC</v>
          </cell>
        </row>
        <row r="1554">
          <cell r="B1554">
            <v>17019</v>
          </cell>
          <cell r="C1554" t="str">
            <v>IPCDM</v>
          </cell>
        </row>
        <row r="1555">
          <cell r="B1555">
            <v>17020</v>
          </cell>
          <cell r="C1555" t="str">
            <v>IPCDL</v>
          </cell>
        </row>
        <row r="1556">
          <cell r="B1556">
            <v>17021</v>
          </cell>
          <cell r="C1556" t="str">
            <v>IPCL</v>
          </cell>
        </row>
        <row r="1557">
          <cell r="B1557">
            <v>17022</v>
          </cell>
          <cell r="C1557" t="str">
            <v>r1F</v>
          </cell>
        </row>
        <row r="1558">
          <cell r="B1558">
            <v>112892323</v>
          </cell>
          <cell r="C1558" t="str">
            <v>r1Fv</v>
          </cell>
        </row>
        <row r="1559">
          <cell r="B1559">
            <v>112892325</v>
          </cell>
          <cell r="C1559" t="str">
            <v>r1Fm</v>
          </cell>
        </row>
        <row r="1560">
          <cell r="B1560">
            <v>112892327</v>
          </cell>
          <cell r="C1560" t="str">
            <v>r1Fp</v>
          </cell>
        </row>
        <row r="1561">
          <cell r="B1561">
            <v>112892329</v>
          </cell>
          <cell r="C1561" t="str">
            <v>r1Fi</v>
          </cell>
        </row>
        <row r="1562">
          <cell r="B1562">
            <v>112892331</v>
          </cell>
          <cell r="C1562" t="str">
            <v>r1Fs</v>
          </cell>
        </row>
        <row r="1563">
          <cell r="B1563">
            <v>124372444</v>
          </cell>
          <cell r="C1563" t="str">
            <v>MnIPR</v>
          </cell>
        </row>
        <row r="1564">
          <cell r="B1564">
            <v>124372448</v>
          </cell>
          <cell r="C1564" t="str">
            <v>MnIPC</v>
          </cell>
        </row>
        <row r="1565">
          <cell r="B1565">
            <v>17023</v>
          </cell>
          <cell r="C1565" t="str">
            <v>r2</v>
          </cell>
        </row>
        <row r="1566">
          <cell r="B1566">
            <v>17024</v>
          </cell>
          <cell r="C1566" t="str">
            <v>r2R</v>
          </cell>
        </row>
        <row r="1567">
          <cell r="B1567">
            <v>17025</v>
          </cell>
          <cell r="C1567" t="str">
            <v>r2A</v>
          </cell>
        </row>
        <row r="1568">
          <cell r="B1568">
            <v>111220646</v>
          </cell>
          <cell r="C1568" t="str">
            <v>r2Av</v>
          </cell>
        </row>
        <row r="1569">
          <cell r="B1569">
            <v>111220648</v>
          </cell>
          <cell r="C1569" t="str">
            <v>r2Am</v>
          </cell>
        </row>
        <row r="1570">
          <cell r="B1570">
            <v>17026</v>
          </cell>
          <cell r="C1570" t="str">
            <v>r2Co</v>
          </cell>
        </row>
        <row r="1571">
          <cell r="B1571">
            <v>17027</v>
          </cell>
          <cell r="C1571" t="str">
            <v>r2Cov</v>
          </cell>
        </row>
        <row r="1572">
          <cell r="B1572">
            <v>17028</v>
          </cell>
          <cell r="C1572" t="str">
            <v>r2Com</v>
          </cell>
        </row>
        <row r="1573">
          <cell r="B1573">
            <v>111220650</v>
          </cell>
          <cell r="C1573" t="str">
            <v>r2Cop</v>
          </cell>
        </row>
        <row r="1574">
          <cell r="B1574">
            <v>17029</v>
          </cell>
          <cell r="C1574" t="str">
            <v>r2DC</v>
          </cell>
        </row>
        <row r="1575">
          <cell r="B1575">
            <v>111220652</v>
          </cell>
          <cell r="C1575" t="str">
            <v>r2Coi</v>
          </cell>
        </row>
        <row r="1576">
          <cell r="B1576">
            <v>111220654</v>
          </cell>
          <cell r="C1576" t="str">
            <v>r2Cos</v>
          </cell>
        </row>
        <row r="1577">
          <cell r="B1577">
            <v>17030</v>
          </cell>
          <cell r="C1577" t="str">
            <v>r2AVC</v>
          </cell>
        </row>
        <row r="1578">
          <cell r="B1578">
            <v>17031</v>
          </cell>
          <cell r="C1578" t="str">
            <v>r2Ve</v>
          </cell>
        </row>
        <row r="1579">
          <cell r="B1579">
            <v>17032</v>
          </cell>
          <cell r="C1579" t="str">
            <v>r2Vev</v>
          </cell>
        </row>
        <row r="1580">
          <cell r="B1580">
            <v>17033</v>
          </cell>
          <cell r="C1580" t="str">
            <v>r2Vem</v>
          </cell>
        </row>
        <row r="1581">
          <cell r="B1581">
            <v>111220656</v>
          </cell>
          <cell r="C1581" t="str">
            <v>r2Vep</v>
          </cell>
        </row>
        <row r="1582">
          <cell r="B1582">
            <v>124372452</v>
          </cell>
          <cell r="C1582" t="str">
            <v>r2Y</v>
          </cell>
        </row>
        <row r="1583">
          <cell r="B1583">
            <v>111220658</v>
          </cell>
          <cell r="C1583" t="str">
            <v>r2Vei</v>
          </cell>
        </row>
        <row r="1584">
          <cell r="B1584">
            <v>17034</v>
          </cell>
          <cell r="C1584" t="str">
            <v>r2SuVe</v>
          </cell>
        </row>
        <row r="1585">
          <cell r="B1585">
            <v>111220660</v>
          </cell>
          <cell r="C1585" t="str">
            <v>r2Ves</v>
          </cell>
        </row>
        <row r="1586">
          <cell r="B1586">
            <v>17036</v>
          </cell>
          <cell r="C1586" t="str">
            <v>r2Tr</v>
          </cell>
        </row>
        <row r="1587">
          <cell r="B1587">
            <v>17037</v>
          </cell>
          <cell r="C1587" t="str">
            <v>r2Trv</v>
          </cell>
        </row>
        <row r="1588">
          <cell r="B1588">
            <v>17038</v>
          </cell>
          <cell r="C1588" t="str">
            <v>r2Trm</v>
          </cell>
        </row>
        <row r="1589">
          <cell r="B1589">
            <v>111220662</v>
          </cell>
          <cell r="C1589" t="str">
            <v>r2Trp</v>
          </cell>
        </row>
        <row r="1590">
          <cell r="B1590">
            <v>111220664</v>
          </cell>
          <cell r="C1590" t="str">
            <v>r2Tri</v>
          </cell>
        </row>
        <row r="1591">
          <cell r="B1591">
            <v>17040</v>
          </cell>
          <cell r="C1591" t="str">
            <v>r2-5Tr</v>
          </cell>
        </row>
        <row r="1592">
          <cell r="B1592">
            <v>17041</v>
          </cell>
          <cell r="C1592" t="str">
            <v>r2DPCRt</v>
          </cell>
        </row>
        <row r="1593">
          <cell r="B1593">
            <v>111220666</v>
          </cell>
          <cell r="C1593" t="str">
            <v>r2Trs</v>
          </cell>
        </row>
        <row r="1594">
          <cell r="B1594">
            <v>17039</v>
          </cell>
          <cell r="C1594" t="str">
            <v>r2Pr5</v>
          </cell>
        </row>
        <row r="1595">
          <cell r="B1595">
            <v>17042</v>
          </cell>
          <cell r="C1595" t="str">
            <v>r2Lim</v>
          </cell>
        </row>
        <row r="1596">
          <cell r="B1596">
            <v>17043</v>
          </cell>
          <cell r="C1596" t="str">
            <v>r2Limv</v>
          </cell>
        </row>
        <row r="1597">
          <cell r="B1597">
            <v>17044</v>
          </cell>
          <cell r="C1597" t="str">
            <v>r2Limm</v>
          </cell>
        </row>
        <row r="1598">
          <cell r="B1598">
            <v>111220668</v>
          </cell>
          <cell r="C1598" t="str">
            <v>r2Limp</v>
          </cell>
        </row>
        <row r="1599">
          <cell r="B1599">
            <v>17050</v>
          </cell>
          <cell r="C1599" t="str">
            <v>r2LimCG</v>
          </cell>
        </row>
        <row r="1600">
          <cell r="B1600">
            <v>111220670</v>
          </cell>
          <cell r="C1600" t="str">
            <v>r2Limi</v>
          </cell>
        </row>
        <row r="1601">
          <cell r="B1601">
            <v>17051</v>
          </cell>
          <cell r="C1601" t="str">
            <v>r2VPCRt</v>
          </cell>
        </row>
        <row r="1602">
          <cell r="B1602">
            <v>111220672</v>
          </cell>
          <cell r="C1602" t="str">
            <v>r2Lims</v>
          </cell>
        </row>
        <row r="1603">
          <cell r="B1603">
            <v>17045</v>
          </cell>
          <cell r="C1603" t="str">
            <v>r2-5M</v>
          </cell>
        </row>
        <row r="1604">
          <cell r="B1604">
            <v>17046</v>
          </cell>
          <cell r="C1604" t="str">
            <v>5Te</v>
          </cell>
        </row>
        <row r="1605">
          <cell r="B1605">
            <v>17047</v>
          </cell>
          <cell r="C1605" t="str">
            <v>5Ma</v>
          </cell>
        </row>
        <row r="1606">
          <cell r="B1606">
            <v>17048</v>
          </cell>
          <cell r="C1606" t="str">
            <v>5Pt</v>
          </cell>
        </row>
        <row r="1607">
          <cell r="B1607">
            <v>17049</v>
          </cell>
          <cell r="C1607" t="str">
            <v>5TT</v>
          </cell>
        </row>
        <row r="1608">
          <cell r="B1608">
            <v>17052</v>
          </cell>
          <cell r="C1608" t="str">
            <v>A7</v>
          </cell>
        </row>
        <row r="1609">
          <cell r="B1609">
            <v>17053</v>
          </cell>
          <cell r="C1609" t="str">
            <v>r2B</v>
          </cell>
        </row>
        <row r="1610">
          <cell r="B1610">
            <v>111220674</v>
          </cell>
          <cell r="C1610" t="str">
            <v>r2Bv</v>
          </cell>
        </row>
        <row r="1611">
          <cell r="B1611">
            <v>111220676</v>
          </cell>
          <cell r="C1611" t="str">
            <v>r2Bm</v>
          </cell>
        </row>
        <row r="1612">
          <cell r="B1612">
            <v>17054</v>
          </cell>
          <cell r="C1612" t="str">
            <v>r2BL</v>
          </cell>
        </row>
        <row r="1613">
          <cell r="B1613">
            <v>17055</v>
          </cell>
          <cell r="C1613" t="str">
            <v>r2BLv</v>
          </cell>
        </row>
        <row r="1614">
          <cell r="B1614">
            <v>17056</v>
          </cell>
          <cell r="C1614" t="str">
            <v>r2BLm</v>
          </cell>
        </row>
        <row r="1615">
          <cell r="B1615">
            <v>17057</v>
          </cell>
          <cell r="C1615" t="str">
            <v>r2BLp</v>
          </cell>
        </row>
        <row r="1616">
          <cell r="B1616">
            <v>124372456</v>
          </cell>
          <cell r="C1616" t="str">
            <v>r2BLIZ</v>
          </cell>
        </row>
        <row r="1617">
          <cell r="B1617">
            <v>17058</v>
          </cell>
          <cell r="C1617" t="str">
            <v>r2BLi</v>
          </cell>
        </row>
        <row r="1618">
          <cell r="B1618">
            <v>17059</v>
          </cell>
          <cell r="C1618" t="str">
            <v>r2SubC</v>
          </cell>
        </row>
        <row r="1619">
          <cell r="B1619">
            <v>17062</v>
          </cell>
          <cell r="C1619" t="str">
            <v>r2BLRt</v>
          </cell>
        </row>
        <row r="1620">
          <cell r="B1620">
            <v>17063</v>
          </cell>
          <cell r="C1620" t="str">
            <v>r2BLs</v>
          </cell>
        </row>
        <row r="1621">
          <cell r="B1621">
            <v>17064</v>
          </cell>
          <cell r="C1621" t="str">
            <v>r2VLL</v>
          </cell>
        </row>
        <row r="1622">
          <cell r="B1622">
            <v>17060</v>
          </cell>
          <cell r="C1622" t="str">
            <v>r2MPL</v>
          </cell>
        </row>
        <row r="1623">
          <cell r="B1623">
            <v>17061</v>
          </cell>
          <cell r="C1623" t="str">
            <v>r2LPL</v>
          </cell>
        </row>
        <row r="1624">
          <cell r="B1624">
            <v>17065</v>
          </cell>
          <cell r="C1624" t="str">
            <v>B9</v>
          </cell>
        </row>
        <row r="1625">
          <cell r="B1625">
            <v>17066</v>
          </cell>
          <cell r="C1625" t="str">
            <v>r2BI</v>
          </cell>
        </row>
        <row r="1626">
          <cell r="B1626">
            <v>17067</v>
          </cell>
          <cell r="C1626" t="str">
            <v>r2BIv</v>
          </cell>
        </row>
        <row r="1627">
          <cell r="B1627">
            <v>17068</v>
          </cell>
          <cell r="C1627" t="str">
            <v>r2BIm</v>
          </cell>
        </row>
        <row r="1628">
          <cell r="B1628">
            <v>17069</v>
          </cell>
          <cell r="C1628" t="str">
            <v>r2BIp</v>
          </cell>
        </row>
        <row r="1629">
          <cell r="B1629">
            <v>17070</v>
          </cell>
          <cell r="C1629" t="str">
            <v>r2BICG</v>
          </cell>
        </row>
        <row r="1630">
          <cell r="B1630">
            <v>17071</v>
          </cell>
          <cell r="C1630" t="str">
            <v>r2CGB</v>
          </cell>
        </row>
        <row r="1631">
          <cell r="B1631">
            <v>17072</v>
          </cell>
          <cell r="C1631" t="str">
            <v>r2CGA</v>
          </cell>
        </row>
        <row r="1632">
          <cell r="B1632">
            <v>17073</v>
          </cell>
          <cell r="C1632" t="str">
            <v>r2BIIZ</v>
          </cell>
        </row>
        <row r="1633">
          <cell r="B1633">
            <v>17074</v>
          </cell>
          <cell r="C1633" t="str">
            <v>r2BIi</v>
          </cell>
        </row>
        <row r="1634">
          <cell r="B1634">
            <v>17075</v>
          </cell>
          <cell r="C1634" t="str">
            <v>DMTg</v>
          </cell>
        </row>
        <row r="1635">
          <cell r="B1635">
            <v>17076</v>
          </cell>
          <cell r="C1635" t="str">
            <v>r2BIRt</v>
          </cell>
        </row>
        <row r="1636">
          <cell r="B1636">
            <v>17077</v>
          </cell>
          <cell r="C1636" t="str">
            <v>r2PMnR</v>
          </cell>
        </row>
        <row r="1637">
          <cell r="B1637">
            <v>17078</v>
          </cell>
          <cell r="C1637" t="str">
            <v>r2BIs</v>
          </cell>
        </row>
        <row r="1638">
          <cell r="B1638">
            <v>124372464</v>
          </cell>
          <cell r="C1638" t="str">
            <v>r2LPn</v>
          </cell>
        </row>
        <row r="1639">
          <cell r="B1639">
            <v>17079</v>
          </cell>
          <cell r="C1639" t="str">
            <v>r2BM</v>
          </cell>
        </row>
        <row r="1640">
          <cell r="B1640">
            <v>17080</v>
          </cell>
          <cell r="C1640" t="str">
            <v>r2BMv</v>
          </cell>
        </row>
        <row r="1641">
          <cell r="B1641">
            <v>17081</v>
          </cell>
          <cell r="C1641" t="str">
            <v>r2BMm</v>
          </cell>
        </row>
        <row r="1642">
          <cell r="B1642">
            <v>17082</v>
          </cell>
          <cell r="C1642" t="str">
            <v>r2BMp</v>
          </cell>
        </row>
        <row r="1643">
          <cell r="B1643">
            <v>17083</v>
          </cell>
          <cell r="C1643" t="str">
            <v>PDTg</v>
          </cell>
        </row>
        <row r="1644">
          <cell r="B1644">
            <v>17084</v>
          </cell>
          <cell r="C1644" t="str">
            <v>Inc</v>
          </cell>
        </row>
        <row r="1645">
          <cell r="B1645">
            <v>17085</v>
          </cell>
          <cell r="C1645" t="str">
            <v>r2BMi</v>
          </cell>
        </row>
        <row r="1646">
          <cell r="B1646">
            <v>17086</v>
          </cell>
          <cell r="C1646" t="str">
            <v>r2BMRt</v>
          </cell>
        </row>
        <row r="1647">
          <cell r="B1647">
            <v>17087</v>
          </cell>
          <cell r="C1647" t="str">
            <v>r2PPnR</v>
          </cell>
        </row>
        <row r="1648">
          <cell r="B1648">
            <v>17088</v>
          </cell>
          <cell r="C1648" t="str">
            <v>r2MnR</v>
          </cell>
        </row>
        <row r="1649">
          <cell r="B1649">
            <v>17089</v>
          </cell>
          <cell r="C1649" t="str">
            <v>r2BMs</v>
          </cell>
        </row>
        <row r="1650">
          <cell r="B1650">
            <v>17090</v>
          </cell>
          <cell r="C1650" t="str">
            <v>RMTg</v>
          </cell>
        </row>
        <row r="1651">
          <cell r="B1651">
            <v>17091</v>
          </cell>
          <cell r="C1651" t="str">
            <v>r2F</v>
          </cell>
        </row>
        <row r="1652">
          <cell r="B1652">
            <v>112892333</v>
          </cell>
          <cell r="C1652" t="str">
            <v>r2Fv</v>
          </cell>
        </row>
        <row r="1653">
          <cell r="B1653">
            <v>112892335</v>
          </cell>
          <cell r="C1653" t="str">
            <v>r2Fm</v>
          </cell>
        </row>
        <row r="1654">
          <cell r="B1654">
            <v>112892337</v>
          </cell>
          <cell r="C1654" t="str">
            <v>r2Fp</v>
          </cell>
        </row>
        <row r="1655">
          <cell r="B1655">
            <v>112892339</v>
          </cell>
          <cell r="C1655" t="str">
            <v>r2Fi</v>
          </cell>
        </row>
        <row r="1656">
          <cell r="B1656">
            <v>112892341</v>
          </cell>
          <cell r="C1656" t="str">
            <v>r2Fs</v>
          </cell>
        </row>
        <row r="1657">
          <cell r="B1657">
            <v>17092</v>
          </cell>
          <cell r="C1657" t="str">
            <v>PH</v>
          </cell>
        </row>
        <row r="1658">
          <cell r="B1658">
            <v>17093</v>
          </cell>
          <cell r="C1658" t="str">
            <v>r3</v>
          </cell>
        </row>
        <row r="1659">
          <cell r="B1659">
            <v>17094</v>
          </cell>
          <cell r="C1659" t="str">
            <v>r3R</v>
          </cell>
        </row>
        <row r="1660">
          <cell r="B1660">
            <v>17095</v>
          </cell>
          <cell r="C1660" t="str">
            <v>r3A</v>
          </cell>
        </row>
        <row r="1661">
          <cell r="B1661">
            <v>111220678</v>
          </cell>
          <cell r="C1661" t="str">
            <v>r3Av</v>
          </cell>
        </row>
        <row r="1662">
          <cell r="B1662">
            <v>111220680</v>
          </cell>
          <cell r="C1662" t="str">
            <v>r3Am</v>
          </cell>
        </row>
        <row r="1663">
          <cell r="B1663">
            <v>17096</v>
          </cell>
          <cell r="C1663" t="str">
            <v>r3Co</v>
          </cell>
        </row>
        <row r="1664">
          <cell r="B1664">
            <v>17097</v>
          </cell>
          <cell r="C1664" t="str">
            <v>r3Cov</v>
          </cell>
        </row>
        <row r="1665">
          <cell r="B1665">
            <v>17098</v>
          </cell>
          <cell r="C1665" t="str">
            <v>r3Com</v>
          </cell>
        </row>
        <row r="1666">
          <cell r="B1666">
            <v>111220682</v>
          </cell>
          <cell r="C1666" t="str">
            <v>r3Cop</v>
          </cell>
        </row>
        <row r="1667">
          <cell r="B1667">
            <v>17099</v>
          </cell>
          <cell r="C1667" t="str">
            <v>r3DC</v>
          </cell>
        </row>
        <row r="1668">
          <cell r="B1668">
            <v>111220684</v>
          </cell>
          <cell r="C1668" t="str">
            <v>r3Coi</v>
          </cell>
        </row>
        <row r="1669">
          <cell r="B1669">
            <v>111220686</v>
          </cell>
          <cell r="C1669" t="str">
            <v>r3Cos</v>
          </cell>
        </row>
        <row r="1670">
          <cell r="B1670">
            <v>17100</v>
          </cell>
          <cell r="C1670" t="str">
            <v>r3AVC</v>
          </cell>
        </row>
        <row r="1671">
          <cell r="B1671">
            <v>17101</v>
          </cell>
          <cell r="C1671" t="str">
            <v>r3Ve</v>
          </cell>
        </row>
        <row r="1672">
          <cell r="B1672">
            <v>17102</v>
          </cell>
          <cell r="C1672" t="str">
            <v>r3Vev</v>
          </cell>
        </row>
        <row r="1673">
          <cell r="B1673">
            <v>17103</v>
          </cell>
          <cell r="C1673" t="str">
            <v>r3Vem</v>
          </cell>
        </row>
        <row r="1674">
          <cell r="B1674">
            <v>111220688</v>
          </cell>
          <cell r="C1674" t="str">
            <v>r3Vep</v>
          </cell>
        </row>
        <row r="1675">
          <cell r="B1675">
            <v>17106</v>
          </cell>
          <cell r="C1675" t="str">
            <v>r3MVePC</v>
          </cell>
        </row>
        <row r="1676">
          <cell r="B1676">
            <v>111220690</v>
          </cell>
          <cell r="C1676" t="str">
            <v>r3Vei</v>
          </cell>
        </row>
        <row r="1677">
          <cell r="B1677">
            <v>17105</v>
          </cell>
          <cell r="C1677" t="str">
            <v>r3MVeMC</v>
          </cell>
        </row>
        <row r="1678">
          <cell r="B1678">
            <v>111220692</v>
          </cell>
          <cell r="C1678" t="str">
            <v>r3Ves</v>
          </cell>
        </row>
        <row r="1679">
          <cell r="B1679">
            <v>17104</v>
          </cell>
          <cell r="C1679" t="str">
            <v>r3LVe</v>
          </cell>
        </row>
        <row r="1680">
          <cell r="B1680">
            <v>17107</v>
          </cell>
          <cell r="C1680" t="str">
            <v>r3Tr</v>
          </cell>
        </row>
        <row r="1681">
          <cell r="B1681">
            <v>17108</v>
          </cell>
          <cell r="C1681" t="str">
            <v>r3Trv</v>
          </cell>
        </row>
        <row r="1682">
          <cell r="B1682">
            <v>17109</v>
          </cell>
          <cell r="C1682" t="str">
            <v>r3Trm</v>
          </cell>
        </row>
        <row r="1683">
          <cell r="B1683">
            <v>111220694</v>
          </cell>
          <cell r="C1683" t="str">
            <v>r3Trp</v>
          </cell>
        </row>
        <row r="1684">
          <cell r="B1684">
            <v>111220696</v>
          </cell>
          <cell r="C1684" t="str">
            <v>r3Tri</v>
          </cell>
        </row>
        <row r="1685">
          <cell r="B1685">
            <v>17111</v>
          </cell>
          <cell r="C1685" t="str">
            <v>r3-5Tr</v>
          </cell>
        </row>
        <row r="1686">
          <cell r="B1686">
            <v>17112</v>
          </cell>
          <cell r="C1686" t="str">
            <v>r3DPCRt</v>
          </cell>
        </row>
        <row r="1687">
          <cell r="B1687">
            <v>111220698</v>
          </cell>
          <cell r="C1687" t="str">
            <v>r3Trs</v>
          </cell>
        </row>
        <row r="1688">
          <cell r="B1688">
            <v>17110</v>
          </cell>
          <cell r="C1688" t="str">
            <v>r3Sp5O</v>
          </cell>
        </row>
        <row r="1689">
          <cell r="B1689">
            <v>17113</v>
          </cell>
          <cell r="C1689" t="str">
            <v>r3Lim</v>
          </cell>
        </row>
        <row r="1690">
          <cell r="B1690">
            <v>17114</v>
          </cell>
          <cell r="C1690" t="str">
            <v>r3Limv</v>
          </cell>
        </row>
        <row r="1691">
          <cell r="B1691">
            <v>17115</v>
          </cell>
          <cell r="C1691" t="str">
            <v>r3Limm</v>
          </cell>
        </row>
        <row r="1692">
          <cell r="B1692">
            <v>111220700</v>
          </cell>
          <cell r="C1692" t="str">
            <v>r3Limp</v>
          </cell>
        </row>
        <row r="1693">
          <cell r="B1693">
            <v>17122</v>
          </cell>
          <cell r="C1693" t="str">
            <v>r3LimCG</v>
          </cell>
        </row>
        <row r="1694">
          <cell r="B1694">
            <v>111220702</v>
          </cell>
          <cell r="C1694" t="str">
            <v>r3Limi</v>
          </cell>
        </row>
        <row r="1695">
          <cell r="B1695">
            <v>17121</v>
          </cell>
          <cell r="C1695" t="str">
            <v>r3VPCRt</v>
          </cell>
        </row>
        <row r="1696">
          <cell r="B1696">
            <v>111220704</v>
          </cell>
          <cell r="C1696" t="str">
            <v>r3Lims</v>
          </cell>
        </row>
        <row r="1697">
          <cell r="B1697">
            <v>17116</v>
          </cell>
          <cell r="C1697" t="str">
            <v>r3-5M</v>
          </cell>
        </row>
        <row r="1698">
          <cell r="B1698">
            <v>17117</v>
          </cell>
          <cell r="C1698" t="str">
            <v>5ADi</v>
          </cell>
        </row>
        <row r="1699">
          <cell r="B1699">
            <v>17123</v>
          </cell>
          <cell r="C1699" t="str">
            <v>r3B</v>
          </cell>
        </row>
        <row r="1700">
          <cell r="B1700">
            <v>111220706</v>
          </cell>
          <cell r="C1700" t="str">
            <v>r3Bv</v>
          </cell>
        </row>
        <row r="1701">
          <cell r="B1701">
            <v>111220708</v>
          </cell>
          <cell r="C1701" t="str">
            <v>r3Bm</v>
          </cell>
        </row>
        <row r="1702">
          <cell r="B1702">
            <v>17124</v>
          </cell>
          <cell r="C1702" t="str">
            <v>r3BL</v>
          </cell>
        </row>
        <row r="1703">
          <cell r="B1703">
            <v>17125</v>
          </cell>
          <cell r="C1703" t="str">
            <v>r3BLv</v>
          </cell>
        </row>
        <row r="1704">
          <cell r="B1704">
            <v>17126</v>
          </cell>
          <cell r="C1704" t="str">
            <v>r3BLm</v>
          </cell>
        </row>
        <row r="1705">
          <cell r="B1705">
            <v>17127</v>
          </cell>
          <cell r="C1705" t="str">
            <v>r3BLp</v>
          </cell>
        </row>
        <row r="1706">
          <cell r="B1706">
            <v>124372468</v>
          </cell>
          <cell r="C1706" t="str">
            <v>r3BLIZ</v>
          </cell>
        </row>
        <row r="1707">
          <cell r="B1707">
            <v>17128</v>
          </cell>
          <cell r="C1707" t="str">
            <v>r3BLCG</v>
          </cell>
        </row>
        <row r="1708">
          <cell r="B1708">
            <v>17129</v>
          </cell>
          <cell r="C1708" t="str">
            <v>r3BLi</v>
          </cell>
        </row>
        <row r="1709">
          <cell r="B1709">
            <v>17130</v>
          </cell>
          <cell r="C1709" t="str">
            <v>r3BLRt</v>
          </cell>
        </row>
        <row r="1710">
          <cell r="B1710">
            <v>17131</v>
          </cell>
          <cell r="C1710" t="str">
            <v>r3BLs</v>
          </cell>
        </row>
        <row r="1711">
          <cell r="B1711">
            <v>17118</v>
          </cell>
          <cell r="C1711" t="str">
            <v>r3VLL</v>
          </cell>
        </row>
        <row r="1712">
          <cell r="B1712">
            <v>17119</v>
          </cell>
          <cell r="C1712" t="str">
            <v>r3MPL</v>
          </cell>
        </row>
        <row r="1713">
          <cell r="B1713">
            <v>17120</v>
          </cell>
          <cell r="C1713" t="str">
            <v>r3LPL</v>
          </cell>
        </row>
        <row r="1714">
          <cell r="B1714">
            <v>17132</v>
          </cell>
          <cell r="C1714" t="str">
            <v>r3BI</v>
          </cell>
        </row>
        <row r="1715">
          <cell r="B1715">
            <v>17133</v>
          </cell>
          <cell r="C1715" t="str">
            <v>r3BIv</v>
          </cell>
        </row>
        <row r="1716">
          <cell r="B1716">
            <v>17134</v>
          </cell>
          <cell r="C1716" t="str">
            <v>r3BIm</v>
          </cell>
        </row>
        <row r="1717">
          <cell r="B1717">
            <v>17135</v>
          </cell>
          <cell r="C1717" t="str">
            <v>r3BIp</v>
          </cell>
        </row>
        <row r="1718">
          <cell r="B1718">
            <v>17136</v>
          </cell>
          <cell r="C1718" t="str">
            <v>r3CGA</v>
          </cell>
        </row>
        <row r="1719">
          <cell r="B1719">
            <v>17137</v>
          </cell>
          <cell r="C1719" t="str">
            <v>r3CGB</v>
          </cell>
        </row>
        <row r="1720">
          <cell r="B1720">
            <v>17138</v>
          </cell>
          <cell r="C1720" t="str">
            <v>r3BIIZ</v>
          </cell>
        </row>
        <row r="1721">
          <cell r="B1721">
            <v>17139</v>
          </cell>
          <cell r="C1721" t="str">
            <v>r3BIi</v>
          </cell>
        </row>
        <row r="1722">
          <cell r="B1722">
            <v>17140</v>
          </cell>
          <cell r="C1722" t="str">
            <v>r3BIRt</v>
          </cell>
        </row>
        <row r="1723">
          <cell r="B1723">
            <v>17141</v>
          </cell>
          <cell r="C1723" t="str">
            <v>r3BIs</v>
          </cell>
        </row>
        <row r="1724">
          <cell r="B1724">
            <v>17142</v>
          </cell>
          <cell r="C1724" t="str">
            <v>r3LPn</v>
          </cell>
        </row>
        <row r="1725">
          <cell r="B1725">
            <v>17143</v>
          </cell>
          <cell r="C1725" t="str">
            <v>r3BM</v>
          </cell>
        </row>
        <row r="1726">
          <cell r="B1726">
            <v>17144</v>
          </cell>
          <cell r="C1726" t="str">
            <v>r3BMv</v>
          </cell>
        </row>
        <row r="1727">
          <cell r="B1727">
            <v>17145</v>
          </cell>
          <cell r="C1727" t="str">
            <v>r3BMm</v>
          </cell>
        </row>
        <row r="1728">
          <cell r="B1728">
            <v>17146</v>
          </cell>
          <cell r="C1728" t="str">
            <v>r3BMp</v>
          </cell>
        </row>
        <row r="1729">
          <cell r="B1729">
            <v>17147</v>
          </cell>
          <cell r="C1729" t="str">
            <v>r3Pre6CG</v>
          </cell>
        </row>
        <row r="1730">
          <cell r="B1730">
            <v>17148</v>
          </cell>
          <cell r="C1730" t="str">
            <v>r3BMi</v>
          </cell>
        </row>
        <row r="1731">
          <cell r="B1731">
            <v>17149</v>
          </cell>
          <cell r="C1731" t="str">
            <v>r3PnR</v>
          </cell>
        </row>
        <row r="1732">
          <cell r="B1732">
            <v>17150</v>
          </cell>
          <cell r="C1732" t="str">
            <v>r3RtTgS</v>
          </cell>
        </row>
        <row r="1733">
          <cell r="B1733">
            <v>17151</v>
          </cell>
          <cell r="C1733" t="str">
            <v>r3RtTgC</v>
          </cell>
        </row>
        <row r="1734">
          <cell r="B1734">
            <v>17152</v>
          </cell>
          <cell r="C1734" t="str">
            <v>r3BMRt</v>
          </cell>
        </row>
        <row r="1735">
          <cell r="B1735">
            <v>17153</v>
          </cell>
          <cell r="C1735" t="str">
            <v>r3BMs</v>
          </cell>
        </row>
        <row r="1736">
          <cell r="B1736">
            <v>17154</v>
          </cell>
          <cell r="C1736" t="str">
            <v>r3MPn</v>
          </cell>
        </row>
        <row r="1737">
          <cell r="B1737">
            <v>17155</v>
          </cell>
          <cell r="C1737" t="str">
            <v>r3F</v>
          </cell>
        </row>
        <row r="1738">
          <cell r="B1738">
            <v>112892343</v>
          </cell>
          <cell r="C1738" t="str">
            <v>r3Fv</v>
          </cell>
        </row>
        <row r="1739">
          <cell r="B1739">
            <v>112892345</v>
          </cell>
          <cell r="C1739" t="str">
            <v>r3Fm</v>
          </cell>
        </row>
        <row r="1740">
          <cell r="B1740">
            <v>112892347</v>
          </cell>
          <cell r="C1740" t="str">
            <v>r3Fp</v>
          </cell>
        </row>
        <row r="1741">
          <cell r="B1741">
            <v>112892349</v>
          </cell>
          <cell r="C1741" t="str">
            <v>r3Fi</v>
          </cell>
        </row>
        <row r="1742">
          <cell r="B1742">
            <v>112892351</v>
          </cell>
          <cell r="C1742" t="str">
            <v>r3Fs</v>
          </cell>
        </row>
        <row r="1743">
          <cell r="B1743">
            <v>17156</v>
          </cell>
          <cell r="C1743" t="str">
            <v>r4</v>
          </cell>
        </row>
        <row r="1744">
          <cell r="B1744">
            <v>17157</v>
          </cell>
          <cell r="C1744" t="str">
            <v>r4R</v>
          </cell>
        </row>
        <row r="1745">
          <cell r="B1745">
            <v>17158</v>
          </cell>
          <cell r="C1745" t="str">
            <v>r4A</v>
          </cell>
        </row>
        <row r="1746">
          <cell r="B1746">
            <v>111220710</v>
          </cell>
          <cell r="C1746" t="str">
            <v>r4Av</v>
          </cell>
        </row>
        <row r="1747">
          <cell r="B1747">
            <v>111220712</v>
          </cell>
          <cell r="C1747" t="str">
            <v>r4Am</v>
          </cell>
        </row>
        <row r="1748">
          <cell r="B1748">
            <v>17159</v>
          </cell>
          <cell r="C1748" t="str">
            <v>r4Co</v>
          </cell>
        </row>
        <row r="1749">
          <cell r="B1749">
            <v>17160</v>
          </cell>
          <cell r="C1749" t="str">
            <v>r4Cov</v>
          </cell>
        </row>
        <row r="1750">
          <cell r="B1750">
            <v>17161</v>
          </cell>
          <cell r="C1750" t="str">
            <v>r4Com</v>
          </cell>
        </row>
        <row r="1751">
          <cell r="B1751">
            <v>111220714</v>
          </cell>
          <cell r="C1751" t="str">
            <v>r4Cop</v>
          </cell>
        </row>
        <row r="1752">
          <cell r="B1752">
            <v>17162</v>
          </cell>
          <cell r="C1752" t="str">
            <v>r4DC</v>
          </cell>
        </row>
        <row r="1753">
          <cell r="B1753">
            <v>111220716</v>
          </cell>
          <cell r="C1753" t="str">
            <v>r4Coi</v>
          </cell>
        </row>
        <row r="1754">
          <cell r="B1754">
            <v>111220718</v>
          </cell>
          <cell r="C1754" t="str">
            <v>r4Cos</v>
          </cell>
        </row>
        <row r="1755">
          <cell r="B1755">
            <v>17163</v>
          </cell>
          <cell r="C1755" t="str">
            <v>r4PVC</v>
          </cell>
        </row>
        <row r="1756">
          <cell r="B1756">
            <v>17164</v>
          </cell>
          <cell r="C1756" t="str">
            <v>r4Ve</v>
          </cell>
        </row>
        <row r="1757">
          <cell r="B1757">
            <v>17165</v>
          </cell>
          <cell r="C1757" t="str">
            <v>r4Vev</v>
          </cell>
        </row>
        <row r="1758">
          <cell r="B1758">
            <v>17166</v>
          </cell>
          <cell r="C1758" t="str">
            <v>r4Vem</v>
          </cell>
        </row>
        <row r="1759">
          <cell r="B1759">
            <v>111220720</v>
          </cell>
          <cell r="C1759" t="str">
            <v>r4Vep</v>
          </cell>
        </row>
        <row r="1760">
          <cell r="B1760">
            <v>17169</v>
          </cell>
          <cell r="C1760" t="str">
            <v>r4MVePC</v>
          </cell>
        </row>
        <row r="1761">
          <cell r="B1761">
            <v>111220722</v>
          </cell>
          <cell r="C1761" t="str">
            <v>r4Vei</v>
          </cell>
        </row>
        <row r="1762">
          <cell r="B1762">
            <v>17168</v>
          </cell>
          <cell r="C1762" t="str">
            <v>r4MVeMC</v>
          </cell>
        </row>
        <row r="1763">
          <cell r="B1763">
            <v>111220724</v>
          </cell>
          <cell r="C1763" t="str">
            <v>r4Ves</v>
          </cell>
        </row>
        <row r="1764">
          <cell r="B1764">
            <v>17167</v>
          </cell>
          <cell r="C1764" t="str">
            <v>r4LVe</v>
          </cell>
        </row>
        <row r="1765">
          <cell r="B1765">
            <v>17170</v>
          </cell>
          <cell r="C1765" t="str">
            <v>r4Tr</v>
          </cell>
        </row>
        <row r="1766">
          <cell r="B1766">
            <v>17171</v>
          </cell>
          <cell r="C1766" t="str">
            <v>r4Trv</v>
          </cell>
        </row>
        <row r="1767">
          <cell r="B1767">
            <v>17172</v>
          </cell>
          <cell r="C1767" t="str">
            <v>r4Trm</v>
          </cell>
        </row>
        <row r="1768">
          <cell r="B1768">
            <v>111220726</v>
          </cell>
          <cell r="C1768" t="str">
            <v>r4Trp</v>
          </cell>
        </row>
        <row r="1769">
          <cell r="B1769">
            <v>111220728</v>
          </cell>
          <cell r="C1769" t="str">
            <v>r4Tri</v>
          </cell>
        </row>
        <row r="1770">
          <cell r="B1770">
            <v>17174</v>
          </cell>
          <cell r="C1770" t="str">
            <v>r4-5Tr</v>
          </cell>
        </row>
        <row r="1771">
          <cell r="B1771">
            <v>17175</v>
          </cell>
          <cell r="C1771" t="str">
            <v>r4DPCRt</v>
          </cell>
        </row>
        <row r="1772">
          <cell r="B1772">
            <v>111220730</v>
          </cell>
          <cell r="C1772" t="str">
            <v>r4Trs</v>
          </cell>
        </row>
        <row r="1773">
          <cell r="B1773">
            <v>17173</v>
          </cell>
          <cell r="C1773" t="str">
            <v>r4Sp5O</v>
          </cell>
        </row>
        <row r="1774">
          <cell r="B1774">
            <v>17176</v>
          </cell>
          <cell r="C1774" t="str">
            <v>r4Lim</v>
          </cell>
        </row>
        <row r="1775">
          <cell r="B1775">
            <v>17177</v>
          </cell>
          <cell r="C1775" t="str">
            <v>r4Limv</v>
          </cell>
        </row>
        <row r="1776">
          <cell r="B1776">
            <v>17178</v>
          </cell>
          <cell r="C1776" t="str">
            <v>r4Limm</v>
          </cell>
        </row>
        <row r="1777">
          <cell r="B1777">
            <v>111220732</v>
          </cell>
          <cell r="C1777" t="str">
            <v>r4Limp</v>
          </cell>
        </row>
        <row r="1778">
          <cell r="B1778">
            <v>17179</v>
          </cell>
          <cell r="C1778" t="str">
            <v>r4LimCG</v>
          </cell>
        </row>
        <row r="1779">
          <cell r="B1779">
            <v>111220734</v>
          </cell>
          <cell r="C1779" t="str">
            <v>r4Limi</v>
          </cell>
        </row>
        <row r="1780">
          <cell r="B1780">
            <v>17180</v>
          </cell>
          <cell r="C1780" t="str">
            <v>r4VPCRt</v>
          </cell>
        </row>
        <row r="1781">
          <cell r="B1781">
            <v>111220736</v>
          </cell>
          <cell r="C1781" t="str">
            <v>r4Lims</v>
          </cell>
        </row>
        <row r="1782">
          <cell r="B1782">
            <v>17181</v>
          </cell>
          <cell r="C1782" t="str">
            <v>r4A5</v>
          </cell>
        </row>
        <row r="1783">
          <cell r="B1783">
            <v>17182</v>
          </cell>
          <cell r="C1783" t="str">
            <v>r4B</v>
          </cell>
        </row>
        <row r="1784">
          <cell r="B1784">
            <v>111220738</v>
          </cell>
          <cell r="C1784" t="str">
            <v>r4Bv</v>
          </cell>
        </row>
        <row r="1785">
          <cell r="B1785">
            <v>111220740</v>
          </cell>
          <cell r="C1785" t="str">
            <v>r4Bm</v>
          </cell>
        </row>
        <row r="1786">
          <cell r="B1786">
            <v>17183</v>
          </cell>
          <cell r="C1786" t="str">
            <v>r4BL</v>
          </cell>
        </row>
        <row r="1787">
          <cell r="B1787">
            <v>17184</v>
          </cell>
          <cell r="C1787" t="str">
            <v>r4BLv</v>
          </cell>
        </row>
        <row r="1788">
          <cell r="B1788">
            <v>17185</v>
          </cell>
          <cell r="C1788" t="str">
            <v>r4BLm</v>
          </cell>
        </row>
        <row r="1789">
          <cell r="B1789">
            <v>17186</v>
          </cell>
          <cell r="C1789" t="str">
            <v>r4BLp</v>
          </cell>
        </row>
        <row r="1790">
          <cell r="B1790">
            <v>17187</v>
          </cell>
          <cell r="C1790" t="str">
            <v>r4BLIZ</v>
          </cell>
        </row>
        <row r="1791">
          <cell r="B1791">
            <v>17188</v>
          </cell>
          <cell r="C1791" t="str">
            <v>r4BLi</v>
          </cell>
        </row>
        <row r="1792">
          <cell r="B1792">
            <v>17189</v>
          </cell>
          <cell r="C1792" t="str">
            <v>EVe</v>
          </cell>
        </row>
        <row r="1793">
          <cell r="B1793">
            <v>17191</v>
          </cell>
          <cell r="C1793" t="str">
            <v>r4BLRt</v>
          </cell>
        </row>
        <row r="1794">
          <cell r="B1794">
            <v>17192</v>
          </cell>
          <cell r="C1794" t="str">
            <v>r4BLs</v>
          </cell>
        </row>
        <row r="1795">
          <cell r="B1795">
            <v>17193</v>
          </cell>
          <cell r="C1795" t="str">
            <v>r4VLL</v>
          </cell>
        </row>
        <row r="1796">
          <cell r="B1796">
            <v>17194</v>
          </cell>
          <cell r="C1796" t="str">
            <v>r4MPL</v>
          </cell>
        </row>
        <row r="1797">
          <cell r="B1797">
            <v>17195</v>
          </cell>
          <cell r="C1797" t="str">
            <v>r4LPL</v>
          </cell>
        </row>
        <row r="1798">
          <cell r="B1798">
            <v>17196</v>
          </cell>
          <cell r="C1798" t="str">
            <v>r4BI</v>
          </cell>
        </row>
        <row r="1799">
          <cell r="B1799">
            <v>17197</v>
          </cell>
          <cell r="C1799" t="str">
            <v>r4BIv</v>
          </cell>
        </row>
        <row r="1800">
          <cell r="B1800">
            <v>17198</v>
          </cell>
          <cell r="C1800" t="str">
            <v>r4BIm</v>
          </cell>
        </row>
        <row r="1801">
          <cell r="B1801">
            <v>17199</v>
          </cell>
          <cell r="C1801" t="str">
            <v>r4BIp</v>
          </cell>
        </row>
        <row r="1802">
          <cell r="B1802">
            <v>17200</v>
          </cell>
          <cell r="C1802" t="str">
            <v>r4BIIZ</v>
          </cell>
        </row>
        <row r="1803">
          <cell r="B1803">
            <v>17201</v>
          </cell>
          <cell r="C1803" t="str">
            <v>r4CGA</v>
          </cell>
        </row>
        <row r="1804">
          <cell r="B1804">
            <v>17202</v>
          </cell>
          <cell r="C1804" t="str">
            <v>r4CGB</v>
          </cell>
        </row>
        <row r="1805">
          <cell r="B1805">
            <v>17203</v>
          </cell>
          <cell r="C1805" t="str">
            <v>r4BIi</v>
          </cell>
        </row>
        <row r="1806">
          <cell r="B1806">
            <v>17204</v>
          </cell>
          <cell r="C1806" t="str">
            <v>r4BIRt</v>
          </cell>
        </row>
        <row r="1807">
          <cell r="B1807">
            <v>17205</v>
          </cell>
          <cell r="C1807" t="str">
            <v>r4BIs</v>
          </cell>
        </row>
        <row r="1808">
          <cell r="B1808">
            <v>17206</v>
          </cell>
          <cell r="C1808" t="str">
            <v>r4LPn</v>
          </cell>
        </row>
        <row r="1809">
          <cell r="B1809">
            <v>17207</v>
          </cell>
          <cell r="C1809" t="str">
            <v>r4BM</v>
          </cell>
        </row>
        <row r="1810">
          <cell r="B1810">
            <v>17208</v>
          </cell>
          <cell r="C1810" t="str">
            <v>r4BMv</v>
          </cell>
        </row>
        <row r="1811">
          <cell r="B1811">
            <v>17209</v>
          </cell>
          <cell r="C1811" t="str">
            <v>r4BMm</v>
          </cell>
        </row>
        <row r="1812">
          <cell r="B1812">
            <v>17210</v>
          </cell>
          <cell r="C1812" t="str">
            <v>r4BMp</v>
          </cell>
        </row>
        <row r="1813">
          <cell r="B1813">
            <v>17211</v>
          </cell>
          <cell r="C1813" t="str">
            <v>r4Pre6CG</v>
          </cell>
        </row>
        <row r="1814">
          <cell r="B1814">
            <v>17212</v>
          </cell>
          <cell r="C1814" t="str">
            <v>r4BMi</v>
          </cell>
        </row>
        <row r="1815">
          <cell r="B1815">
            <v>17213</v>
          </cell>
          <cell r="C1815" t="str">
            <v>r4RtTgS</v>
          </cell>
        </row>
        <row r="1816">
          <cell r="B1816">
            <v>17214</v>
          </cell>
          <cell r="C1816" t="str">
            <v>r4RtTgC</v>
          </cell>
        </row>
        <row r="1817">
          <cell r="B1817">
            <v>17215</v>
          </cell>
          <cell r="C1817" t="str">
            <v>r4BMRt</v>
          </cell>
        </row>
        <row r="1818">
          <cell r="B1818">
            <v>17216</v>
          </cell>
          <cell r="C1818" t="str">
            <v>r4PnR</v>
          </cell>
        </row>
        <row r="1819">
          <cell r="B1819">
            <v>17217</v>
          </cell>
          <cell r="C1819" t="str">
            <v>r4BMs</v>
          </cell>
        </row>
        <row r="1820">
          <cell r="B1820">
            <v>17218</v>
          </cell>
          <cell r="C1820" t="str">
            <v>r4MPn</v>
          </cell>
        </row>
        <row r="1821">
          <cell r="B1821">
            <v>17219</v>
          </cell>
          <cell r="C1821" t="str">
            <v>r4F</v>
          </cell>
        </row>
        <row r="1822">
          <cell r="B1822">
            <v>112892353</v>
          </cell>
          <cell r="C1822" t="str">
            <v>r4Fv</v>
          </cell>
        </row>
        <row r="1823">
          <cell r="B1823">
            <v>112892355</v>
          </cell>
          <cell r="C1823" t="str">
            <v>r4Fm</v>
          </cell>
        </row>
        <row r="1824">
          <cell r="B1824">
            <v>112892357</v>
          </cell>
          <cell r="C1824" t="str">
            <v>r4Fp</v>
          </cell>
        </row>
        <row r="1825">
          <cell r="B1825">
            <v>112892359</v>
          </cell>
          <cell r="C1825" t="str">
            <v>r4Fi</v>
          </cell>
        </row>
        <row r="1826">
          <cell r="B1826">
            <v>112892361</v>
          </cell>
          <cell r="C1826" t="str">
            <v>r4Fs</v>
          </cell>
        </row>
        <row r="1827">
          <cell r="B1827">
            <v>17220</v>
          </cell>
          <cell r="C1827" t="str">
            <v>PMH</v>
          </cell>
        </row>
        <row r="1828">
          <cell r="B1828">
            <v>17221</v>
          </cell>
          <cell r="C1828" t="str">
            <v>r5</v>
          </cell>
        </row>
        <row r="1829">
          <cell r="B1829">
            <v>17222</v>
          </cell>
          <cell r="C1829" t="str">
            <v>r5R</v>
          </cell>
        </row>
        <row r="1830">
          <cell r="B1830">
            <v>17223</v>
          </cell>
          <cell r="C1830" t="str">
            <v>r5A</v>
          </cell>
        </row>
        <row r="1831">
          <cell r="B1831">
            <v>111220742</v>
          </cell>
          <cell r="C1831" t="str">
            <v>r5Av</v>
          </cell>
        </row>
        <row r="1832">
          <cell r="B1832">
            <v>111220744</v>
          </cell>
          <cell r="C1832" t="str">
            <v>r5Am</v>
          </cell>
        </row>
        <row r="1833">
          <cell r="B1833">
            <v>17224</v>
          </cell>
          <cell r="C1833" t="str">
            <v>r5Co</v>
          </cell>
        </row>
        <row r="1834">
          <cell r="B1834">
            <v>17225</v>
          </cell>
          <cell r="C1834" t="str">
            <v>r5Cov</v>
          </cell>
        </row>
        <row r="1835">
          <cell r="B1835">
            <v>17226</v>
          </cell>
          <cell r="C1835" t="str">
            <v>r5Com</v>
          </cell>
        </row>
        <row r="1836">
          <cell r="B1836">
            <v>111220746</v>
          </cell>
          <cell r="C1836" t="str">
            <v>r5Cop</v>
          </cell>
        </row>
        <row r="1837">
          <cell r="B1837">
            <v>17227</v>
          </cell>
          <cell r="C1837" t="str">
            <v>r5DC</v>
          </cell>
        </row>
        <row r="1838">
          <cell r="B1838">
            <v>111220748</v>
          </cell>
          <cell r="C1838" t="str">
            <v>r5Coi</v>
          </cell>
        </row>
        <row r="1839">
          <cell r="B1839">
            <v>111220750</v>
          </cell>
          <cell r="C1839" t="str">
            <v>r5Cos</v>
          </cell>
        </row>
        <row r="1840">
          <cell r="B1840">
            <v>17228</v>
          </cell>
          <cell r="C1840" t="str">
            <v>r5PVC</v>
          </cell>
        </row>
        <row r="1841">
          <cell r="B1841">
            <v>17229</v>
          </cell>
          <cell r="C1841" t="str">
            <v>r5Ve</v>
          </cell>
        </row>
        <row r="1842">
          <cell r="B1842">
            <v>17230</v>
          </cell>
          <cell r="C1842" t="str">
            <v>r5Vev</v>
          </cell>
        </row>
        <row r="1843">
          <cell r="B1843">
            <v>17231</v>
          </cell>
          <cell r="C1843" t="str">
            <v>r5Vem</v>
          </cell>
        </row>
        <row r="1844">
          <cell r="B1844">
            <v>111220752</v>
          </cell>
          <cell r="C1844" t="str">
            <v>r5Vep</v>
          </cell>
        </row>
        <row r="1845">
          <cell r="B1845">
            <v>17234</v>
          </cell>
          <cell r="C1845" t="str">
            <v>r5MVePC</v>
          </cell>
        </row>
        <row r="1846">
          <cell r="B1846">
            <v>111220754</v>
          </cell>
          <cell r="C1846" t="str">
            <v>r5Vei</v>
          </cell>
        </row>
        <row r="1847">
          <cell r="B1847">
            <v>17233</v>
          </cell>
          <cell r="C1847" t="str">
            <v>r5MVeMC</v>
          </cell>
        </row>
        <row r="1848">
          <cell r="B1848">
            <v>111220756</v>
          </cell>
          <cell r="C1848" t="str">
            <v>r5Ves</v>
          </cell>
        </row>
        <row r="1849">
          <cell r="B1849">
            <v>17232</v>
          </cell>
          <cell r="C1849" t="str">
            <v>r5SpVe</v>
          </cell>
        </row>
        <row r="1850">
          <cell r="B1850">
            <v>17235</v>
          </cell>
          <cell r="C1850" t="str">
            <v>r5Tr</v>
          </cell>
        </row>
        <row r="1851">
          <cell r="B1851">
            <v>17236</v>
          </cell>
          <cell r="C1851" t="str">
            <v>r5Trv</v>
          </cell>
        </row>
        <row r="1852">
          <cell r="B1852">
            <v>17237</v>
          </cell>
          <cell r="C1852" t="str">
            <v>r5Trm</v>
          </cell>
        </row>
        <row r="1853">
          <cell r="B1853">
            <v>111220758</v>
          </cell>
          <cell r="C1853" t="str">
            <v>r5Trp</v>
          </cell>
        </row>
        <row r="1854">
          <cell r="B1854">
            <v>17240</v>
          </cell>
          <cell r="C1854" t="str">
            <v>r5Sol</v>
          </cell>
        </row>
        <row r="1855">
          <cell r="B1855">
            <v>111220760</v>
          </cell>
          <cell r="C1855" t="str">
            <v>r5Tri</v>
          </cell>
        </row>
        <row r="1856">
          <cell r="B1856">
            <v>17239</v>
          </cell>
          <cell r="C1856" t="str">
            <v>r5-5Tr</v>
          </cell>
        </row>
        <row r="1857">
          <cell r="B1857">
            <v>17241</v>
          </cell>
          <cell r="C1857" t="str">
            <v>r5DPCRt</v>
          </cell>
        </row>
        <row r="1858">
          <cell r="B1858">
            <v>111220762</v>
          </cell>
          <cell r="C1858" t="str">
            <v>r5Trs</v>
          </cell>
        </row>
        <row r="1859">
          <cell r="B1859">
            <v>17238</v>
          </cell>
          <cell r="C1859" t="str">
            <v>r5Sp5O</v>
          </cell>
        </row>
        <row r="1860">
          <cell r="B1860">
            <v>17242</v>
          </cell>
          <cell r="C1860" t="str">
            <v>r5Lim</v>
          </cell>
        </row>
        <row r="1861">
          <cell r="B1861">
            <v>17243</v>
          </cell>
          <cell r="C1861" t="str">
            <v>r5Limv</v>
          </cell>
        </row>
        <row r="1862">
          <cell r="B1862">
            <v>17244</v>
          </cell>
          <cell r="C1862" t="str">
            <v>r5Limm</v>
          </cell>
        </row>
        <row r="1863">
          <cell r="B1863">
            <v>111220764</v>
          </cell>
          <cell r="C1863" t="str">
            <v>r5Limp</v>
          </cell>
        </row>
        <row r="1864">
          <cell r="B1864">
            <v>17245</v>
          </cell>
          <cell r="C1864" t="str">
            <v>r5LimCG</v>
          </cell>
        </row>
        <row r="1865">
          <cell r="B1865">
            <v>111220766</v>
          </cell>
          <cell r="C1865" t="str">
            <v>r5Limi</v>
          </cell>
        </row>
        <row r="1866">
          <cell r="B1866">
            <v>17246</v>
          </cell>
          <cell r="C1866" t="str">
            <v>r5VPCRt</v>
          </cell>
        </row>
        <row r="1867">
          <cell r="B1867">
            <v>17248</v>
          </cell>
          <cell r="C1867" t="str">
            <v>SS</v>
          </cell>
        </row>
        <row r="1868">
          <cell r="B1868">
            <v>111220768</v>
          </cell>
          <cell r="C1868" t="str">
            <v>r5Lims</v>
          </cell>
        </row>
        <row r="1869">
          <cell r="B1869">
            <v>17247</v>
          </cell>
          <cell r="C1869" t="str">
            <v>r5A5</v>
          </cell>
        </row>
        <row r="1870">
          <cell r="B1870">
            <v>17249</v>
          </cell>
          <cell r="C1870" t="str">
            <v>CAT</v>
          </cell>
        </row>
        <row r="1871">
          <cell r="B1871">
            <v>17250</v>
          </cell>
          <cell r="C1871" t="str">
            <v>r5B</v>
          </cell>
        </row>
        <row r="1872">
          <cell r="B1872">
            <v>111220770</v>
          </cell>
          <cell r="C1872" t="str">
            <v>r5Bv</v>
          </cell>
        </row>
        <row r="1873">
          <cell r="B1873">
            <v>111220772</v>
          </cell>
          <cell r="C1873" t="str">
            <v>r5Bm</v>
          </cell>
        </row>
        <row r="1874">
          <cell r="B1874">
            <v>17251</v>
          </cell>
          <cell r="C1874" t="str">
            <v>r5BL</v>
          </cell>
        </row>
        <row r="1875">
          <cell r="B1875">
            <v>17252</v>
          </cell>
          <cell r="C1875" t="str">
            <v>r5BLv</v>
          </cell>
        </row>
        <row r="1876">
          <cell r="B1876">
            <v>17253</v>
          </cell>
          <cell r="C1876" t="str">
            <v>r5BLm</v>
          </cell>
        </row>
        <row r="1877">
          <cell r="B1877">
            <v>17254</v>
          </cell>
          <cell r="C1877" t="str">
            <v>r5BLp</v>
          </cell>
        </row>
        <row r="1878">
          <cell r="B1878">
            <v>17255</v>
          </cell>
          <cell r="C1878" t="str">
            <v>r5BLIZ</v>
          </cell>
        </row>
        <row r="1879">
          <cell r="B1879">
            <v>17256</v>
          </cell>
          <cell r="C1879" t="str">
            <v>r5BLi</v>
          </cell>
        </row>
        <row r="1880">
          <cell r="B1880">
            <v>17190</v>
          </cell>
          <cell r="C1880" t="str">
            <v>SGe</v>
          </cell>
        </row>
        <row r="1881">
          <cell r="B1881">
            <v>17257</v>
          </cell>
          <cell r="C1881" t="str">
            <v>r5BLRt</v>
          </cell>
        </row>
        <row r="1882">
          <cell r="B1882">
            <v>17258</v>
          </cell>
          <cell r="C1882" t="str">
            <v>r5BLs</v>
          </cell>
        </row>
        <row r="1883">
          <cell r="B1883">
            <v>17259</v>
          </cell>
          <cell r="C1883" t="str">
            <v>r5VLL</v>
          </cell>
        </row>
        <row r="1884">
          <cell r="B1884">
            <v>17260</v>
          </cell>
          <cell r="C1884" t="str">
            <v>DPeO</v>
          </cell>
        </row>
        <row r="1885">
          <cell r="B1885">
            <v>17261</v>
          </cell>
          <cell r="C1885" t="str">
            <v>LSO</v>
          </cell>
        </row>
        <row r="1886">
          <cell r="B1886">
            <v>17262</v>
          </cell>
          <cell r="C1886" t="str">
            <v>MSO</v>
          </cell>
        </row>
        <row r="1887">
          <cell r="B1887">
            <v>17263</v>
          </cell>
          <cell r="C1887" t="str">
            <v>RPeO</v>
          </cell>
        </row>
        <row r="1888">
          <cell r="B1888">
            <v>17264</v>
          </cell>
          <cell r="C1888" t="str">
            <v>SPeO</v>
          </cell>
        </row>
        <row r="1889">
          <cell r="B1889">
            <v>17265</v>
          </cell>
          <cell r="C1889" t="str">
            <v>VLPeO</v>
          </cell>
        </row>
        <row r="1890">
          <cell r="B1890">
            <v>17266</v>
          </cell>
          <cell r="C1890" t="str">
            <v>r5BI</v>
          </cell>
        </row>
        <row r="1891">
          <cell r="B1891">
            <v>17267</v>
          </cell>
          <cell r="C1891" t="str">
            <v>r5BIv</v>
          </cell>
        </row>
        <row r="1892">
          <cell r="B1892">
            <v>17268</v>
          </cell>
          <cell r="C1892" t="str">
            <v>r5BIm</v>
          </cell>
        </row>
        <row r="1893">
          <cell r="B1893">
            <v>17269</v>
          </cell>
          <cell r="C1893" t="str">
            <v>r5BIp</v>
          </cell>
        </row>
        <row r="1894">
          <cell r="B1894">
            <v>17270</v>
          </cell>
          <cell r="C1894" t="str">
            <v>r5BIIZ</v>
          </cell>
        </row>
        <row r="1895">
          <cell r="B1895">
            <v>17271</v>
          </cell>
          <cell r="C1895" t="str">
            <v>r5BIi</v>
          </cell>
        </row>
        <row r="1896">
          <cell r="B1896">
            <v>17272</v>
          </cell>
          <cell r="C1896" t="str">
            <v>r5BIRt</v>
          </cell>
        </row>
        <row r="1897">
          <cell r="B1897">
            <v>17273</v>
          </cell>
          <cell r="C1897" t="str">
            <v>r5BIs</v>
          </cell>
        </row>
        <row r="1898">
          <cell r="B1898">
            <v>17274</v>
          </cell>
          <cell r="C1898" t="str">
            <v>LTz</v>
          </cell>
        </row>
        <row r="1899">
          <cell r="B1899">
            <v>17275</v>
          </cell>
          <cell r="C1899" t="str">
            <v>r5BM</v>
          </cell>
        </row>
        <row r="1900">
          <cell r="B1900">
            <v>17276</v>
          </cell>
          <cell r="C1900" t="str">
            <v>r5BMv</v>
          </cell>
        </row>
        <row r="1901">
          <cell r="B1901">
            <v>17277</v>
          </cell>
          <cell r="C1901" t="str">
            <v>r5BMm</v>
          </cell>
        </row>
        <row r="1902">
          <cell r="B1902">
            <v>17278</v>
          </cell>
          <cell r="C1902" t="str">
            <v>r5BMp</v>
          </cell>
        </row>
        <row r="1903">
          <cell r="B1903">
            <v>17279</v>
          </cell>
          <cell r="C1903" t="str">
            <v>6M</v>
          </cell>
        </row>
        <row r="1904">
          <cell r="B1904">
            <v>17280</v>
          </cell>
          <cell r="C1904" t="str">
            <v>r5BMi</v>
          </cell>
        </row>
        <row r="1905">
          <cell r="B1905">
            <v>17281</v>
          </cell>
          <cell r="C1905" t="str">
            <v>Pa6</v>
          </cell>
        </row>
        <row r="1906">
          <cell r="B1906">
            <v>17282</v>
          </cell>
          <cell r="C1906" t="str">
            <v>RPnRt</v>
          </cell>
        </row>
        <row r="1907">
          <cell r="B1907">
            <v>17283</v>
          </cell>
          <cell r="C1907" t="str">
            <v>r5BMRt</v>
          </cell>
        </row>
        <row r="1908">
          <cell r="B1908">
            <v>17284</v>
          </cell>
          <cell r="C1908" t="str">
            <v>r5RM</v>
          </cell>
        </row>
        <row r="1909">
          <cell r="B1909">
            <v>17285</v>
          </cell>
          <cell r="C1909" t="str">
            <v>RIP</v>
          </cell>
        </row>
        <row r="1910">
          <cell r="B1910">
            <v>17286</v>
          </cell>
          <cell r="C1910" t="str">
            <v>r5BMs</v>
          </cell>
        </row>
        <row r="1911">
          <cell r="B1911">
            <v>17287</v>
          </cell>
          <cell r="C1911" t="str">
            <v>MTz</v>
          </cell>
        </row>
        <row r="1912">
          <cell r="B1912">
            <v>17288</v>
          </cell>
          <cell r="C1912" t="str">
            <v>VMPeO</v>
          </cell>
        </row>
        <row r="1913">
          <cell r="B1913">
            <v>17289</v>
          </cell>
          <cell r="C1913" t="str">
            <v>r5F</v>
          </cell>
        </row>
        <row r="1914">
          <cell r="B1914">
            <v>112892363</v>
          </cell>
          <cell r="C1914" t="str">
            <v>r5Fv</v>
          </cell>
        </row>
        <row r="1915">
          <cell r="B1915">
            <v>112892365</v>
          </cell>
          <cell r="C1915" t="str">
            <v>r5Fm</v>
          </cell>
        </row>
        <row r="1916">
          <cell r="B1916">
            <v>112892367</v>
          </cell>
          <cell r="C1916" t="str">
            <v>r5Fp</v>
          </cell>
        </row>
        <row r="1917">
          <cell r="B1917">
            <v>112892369</v>
          </cell>
          <cell r="C1917" t="str">
            <v>r5Fi</v>
          </cell>
        </row>
        <row r="1918">
          <cell r="B1918">
            <v>112892371</v>
          </cell>
          <cell r="C1918" t="str">
            <v>r5Fs</v>
          </cell>
        </row>
        <row r="1919">
          <cell r="B1919">
            <v>17290</v>
          </cell>
          <cell r="C1919" t="str">
            <v>r6</v>
          </cell>
        </row>
        <row r="1920">
          <cell r="B1920">
            <v>17291</v>
          </cell>
          <cell r="C1920" t="str">
            <v>r6R</v>
          </cell>
        </row>
        <row r="1921">
          <cell r="B1921">
            <v>17292</v>
          </cell>
          <cell r="C1921" t="str">
            <v>r6A</v>
          </cell>
        </row>
        <row r="1922">
          <cell r="B1922">
            <v>111220774</v>
          </cell>
          <cell r="C1922" t="str">
            <v>r6Av</v>
          </cell>
        </row>
        <row r="1923">
          <cell r="B1923">
            <v>111220776</v>
          </cell>
          <cell r="C1923" t="str">
            <v>r6Am</v>
          </cell>
        </row>
        <row r="1924">
          <cell r="B1924">
            <v>17293</v>
          </cell>
          <cell r="C1924" t="str">
            <v>r6Co</v>
          </cell>
        </row>
        <row r="1925">
          <cell r="B1925">
            <v>17294</v>
          </cell>
          <cell r="C1925" t="str">
            <v>r6Cov</v>
          </cell>
        </row>
        <row r="1926">
          <cell r="B1926">
            <v>17295</v>
          </cell>
          <cell r="C1926" t="str">
            <v>r6Com</v>
          </cell>
        </row>
        <row r="1927">
          <cell r="B1927">
            <v>111220778</v>
          </cell>
          <cell r="C1927" t="str">
            <v>r6Cop</v>
          </cell>
        </row>
        <row r="1928">
          <cell r="B1928">
            <v>17296</v>
          </cell>
          <cell r="C1928" t="str">
            <v>r6DC</v>
          </cell>
        </row>
        <row r="1929">
          <cell r="B1929">
            <v>111220780</v>
          </cell>
          <cell r="C1929" t="str">
            <v>r6Coi</v>
          </cell>
        </row>
        <row r="1930">
          <cell r="B1930">
            <v>111220782</v>
          </cell>
          <cell r="C1930" t="str">
            <v>r6Cos</v>
          </cell>
        </row>
        <row r="1931">
          <cell r="B1931">
            <v>17297</v>
          </cell>
          <cell r="C1931" t="str">
            <v>r6PVC</v>
          </cell>
        </row>
        <row r="1932">
          <cell r="B1932">
            <v>17298</v>
          </cell>
          <cell r="C1932" t="str">
            <v>r6Ve</v>
          </cell>
        </row>
        <row r="1933">
          <cell r="B1933">
            <v>17299</v>
          </cell>
          <cell r="C1933" t="str">
            <v>r6Vev</v>
          </cell>
        </row>
        <row r="1934">
          <cell r="B1934">
            <v>17300</v>
          </cell>
          <cell r="C1934" t="str">
            <v>r6Vem</v>
          </cell>
        </row>
        <row r="1935">
          <cell r="B1935">
            <v>111220784</v>
          </cell>
          <cell r="C1935" t="str">
            <v>r6Vep</v>
          </cell>
        </row>
        <row r="1936">
          <cell r="B1936">
            <v>17303</v>
          </cell>
          <cell r="C1936" t="str">
            <v>r6MVePC</v>
          </cell>
        </row>
        <row r="1937">
          <cell r="B1937">
            <v>111220786</v>
          </cell>
          <cell r="C1937" t="str">
            <v>r6Vei</v>
          </cell>
        </row>
        <row r="1938">
          <cell r="B1938">
            <v>17302</v>
          </cell>
          <cell r="C1938" t="str">
            <v>r6MVeMC</v>
          </cell>
        </row>
        <row r="1939">
          <cell r="B1939">
            <v>111220788</v>
          </cell>
          <cell r="C1939" t="str">
            <v>r6Ves</v>
          </cell>
        </row>
        <row r="1940">
          <cell r="B1940">
            <v>17301</v>
          </cell>
          <cell r="C1940" t="str">
            <v>r6SpVe</v>
          </cell>
        </row>
        <row r="1941">
          <cell r="B1941">
            <v>17304</v>
          </cell>
          <cell r="C1941" t="str">
            <v>r6Tr</v>
          </cell>
        </row>
        <row r="1942">
          <cell r="B1942">
            <v>17305</v>
          </cell>
          <cell r="C1942" t="str">
            <v>r6Trv</v>
          </cell>
        </row>
        <row r="1943">
          <cell r="B1943">
            <v>17306</v>
          </cell>
          <cell r="C1943" t="str">
            <v>r6Trm</v>
          </cell>
        </row>
        <row r="1944">
          <cell r="B1944">
            <v>111220790</v>
          </cell>
          <cell r="C1944" t="str">
            <v>r6Trp</v>
          </cell>
        </row>
        <row r="1945">
          <cell r="B1945">
            <v>17309</v>
          </cell>
          <cell r="C1945" t="str">
            <v>r6Sol</v>
          </cell>
        </row>
        <row r="1946">
          <cell r="B1946">
            <v>111220792</v>
          </cell>
          <cell r="C1946" t="str">
            <v>r6Tri</v>
          </cell>
        </row>
        <row r="1947">
          <cell r="B1947">
            <v>17308</v>
          </cell>
          <cell r="C1947" t="str">
            <v>r6-5Tr</v>
          </cell>
        </row>
        <row r="1948">
          <cell r="B1948">
            <v>17310</v>
          </cell>
          <cell r="C1948" t="str">
            <v>r6DPCRt</v>
          </cell>
        </row>
        <row r="1949">
          <cell r="B1949">
            <v>111220794</v>
          </cell>
          <cell r="C1949" t="str">
            <v>r6Trs</v>
          </cell>
        </row>
        <row r="1950">
          <cell r="B1950">
            <v>17307</v>
          </cell>
          <cell r="C1950" t="str">
            <v>r6Sp5O</v>
          </cell>
        </row>
        <row r="1951">
          <cell r="B1951">
            <v>17311</v>
          </cell>
          <cell r="C1951" t="str">
            <v>r6Lim</v>
          </cell>
        </row>
        <row r="1952">
          <cell r="B1952">
            <v>17312</v>
          </cell>
          <cell r="C1952" t="str">
            <v>r6Limv</v>
          </cell>
        </row>
        <row r="1953">
          <cell r="B1953">
            <v>17313</v>
          </cell>
          <cell r="C1953" t="str">
            <v>r6Limm</v>
          </cell>
        </row>
        <row r="1954">
          <cell r="B1954">
            <v>111220796</v>
          </cell>
          <cell r="C1954" t="str">
            <v>r6Limp</v>
          </cell>
        </row>
        <row r="1955">
          <cell r="B1955">
            <v>17314</v>
          </cell>
          <cell r="C1955" t="str">
            <v>r6LimCG</v>
          </cell>
        </row>
        <row r="1956">
          <cell r="B1956">
            <v>111220798</v>
          </cell>
          <cell r="C1956" t="str">
            <v>r6Limi</v>
          </cell>
        </row>
        <row r="1957">
          <cell r="B1957">
            <v>17315</v>
          </cell>
          <cell r="C1957" t="str">
            <v>r6VPCRt</v>
          </cell>
        </row>
        <row r="1958">
          <cell r="B1958">
            <v>17316</v>
          </cell>
          <cell r="C1958" t="str">
            <v>IS</v>
          </cell>
        </row>
        <row r="1959">
          <cell r="B1959">
            <v>111220800</v>
          </cell>
          <cell r="C1959" t="str">
            <v>r6Lims</v>
          </cell>
        </row>
        <row r="1960">
          <cell r="B1960">
            <v>17317</v>
          </cell>
          <cell r="C1960" t="str">
            <v>7M</v>
          </cell>
        </row>
        <row r="1961">
          <cell r="B1961">
            <v>17318</v>
          </cell>
          <cell r="C1961" t="str">
            <v>r6B</v>
          </cell>
        </row>
        <row r="1962">
          <cell r="B1962">
            <v>111220802</v>
          </cell>
          <cell r="C1962" t="str">
            <v>r6Bv</v>
          </cell>
        </row>
        <row r="1963">
          <cell r="B1963">
            <v>111220804</v>
          </cell>
          <cell r="C1963" t="str">
            <v>r6Bm</v>
          </cell>
        </row>
        <row r="1964">
          <cell r="B1964">
            <v>17319</v>
          </cell>
          <cell r="C1964" t="str">
            <v>r6BL</v>
          </cell>
        </row>
        <row r="1965">
          <cell r="B1965">
            <v>17320</v>
          </cell>
          <cell r="C1965" t="str">
            <v>r6BLv</v>
          </cell>
        </row>
        <row r="1966">
          <cell r="B1966">
            <v>17321</v>
          </cell>
          <cell r="C1966" t="str">
            <v>r6BLm</v>
          </cell>
        </row>
        <row r="1967">
          <cell r="B1967">
            <v>17322</v>
          </cell>
          <cell r="C1967" t="str">
            <v>r6BLp</v>
          </cell>
        </row>
        <row r="1968">
          <cell r="B1968">
            <v>17323</v>
          </cell>
          <cell r="C1968" t="str">
            <v>r6BLIZ</v>
          </cell>
        </row>
        <row r="1969">
          <cell r="B1969">
            <v>17324</v>
          </cell>
          <cell r="C1969" t="str">
            <v>r6BLi</v>
          </cell>
        </row>
        <row r="1970">
          <cell r="B1970">
            <v>17325</v>
          </cell>
          <cell r="C1970" t="str">
            <v>r6BLRt</v>
          </cell>
        </row>
        <row r="1971">
          <cell r="B1971">
            <v>17326</v>
          </cell>
          <cell r="C1971" t="str">
            <v>r6BLs</v>
          </cell>
        </row>
        <row r="1972">
          <cell r="B1972">
            <v>17327</v>
          </cell>
          <cell r="C1972" t="str">
            <v>RTZ</v>
          </cell>
        </row>
        <row r="1973">
          <cell r="B1973">
            <v>17328</v>
          </cell>
          <cell r="C1973" t="str">
            <v>r6BI</v>
          </cell>
        </row>
        <row r="1974">
          <cell r="B1974">
            <v>17329</v>
          </cell>
          <cell r="C1974" t="str">
            <v>r6BIv</v>
          </cell>
        </row>
        <row r="1975">
          <cell r="B1975">
            <v>17330</v>
          </cell>
          <cell r="C1975" t="str">
            <v>r6BIm</v>
          </cell>
        </row>
        <row r="1976">
          <cell r="B1976">
            <v>17331</v>
          </cell>
          <cell r="C1976" t="str">
            <v>r6BIp</v>
          </cell>
        </row>
        <row r="1977">
          <cell r="B1977">
            <v>17332</v>
          </cell>
          <cell r="C1977" t="str">
            <v>r6BIIZ</v>
          </cell>
        </row>
        <row r="1978">
          <cell r="B1978">
            <v>17333</v>
          </cell>
          <cell r="C1978" t="str">
            <v>r6BIi</v>
          </cell>
        </row>
        <row r="1979">
          <cell r="B1979">
            <v>17334</v>
          </cell>
          <cell r="C1979" t="str">
            <v>r6BIRt</v>
          </cell>
        </row>
        <row r="1980">
          <cell r="B1980">
            <v>17335</v>
          </cell>
          <cell r="C1980" t="str">
            <v>r6BIs</v>
          </cell>
        </row>
        <row r="1981">
          <cell r="B1981">
            <v>17336</v>
          </cell>
          <cell r="C1981" t="str">
            <v>r6PGi</v>
          </cell>
        </row>
        <row r="1982">
          <cell r="B1982">
            <v>17337</v>
          </cell>
          <cell r="C1982" t="str">
            <v>r6RVM</v>
          </cell>
        </row>
        <row r="1983">
          <cell r="B1983">
            <v>17338</v>
          </cell>
          <cell r="C1983" t="str">
            <v>r6BM</v>
          </cell>
        </row>
        <row r="1984">
          <cell r="B1984">
            <v>17339</v>
          </cell>
          <cell r="C1984" t="str">
            <v>r6BMv</v>
          </cell>
        </row>
        <row r="1985">
          <cell r="B1985">
            <v>17340</v>
          </cell>
          <cell r="C1985" t="str">
            <v>r6BMm</v>
          </cell>
        </row>
        <row r="1986">
          <cell r="B1986">
            <v>17341</v>
          </cell>
          <cell r="C1986" t="str">
            <v>r6BMp</v>
          </cell>
        </row>
        <row r="1987">
          <cell r="B1987">
            <v>17342</v>
          </cell>
          <cell r="C1987" t="str">
            <v>r6Pr</v>
          </cell>
        </row>
        <row r="1988">
          <cell r="B1988">
            <v>17343</v>
          </cell>
          <cell r="C1988" t="str">
            <v>r6BMi</v>
          </cell>
        </row>
        <row r="1989">
          <cell r="B1989">
            <v>17344</v>
          </cell>
          <cell r="C1989" t="str">
            <v>r6BMRt</v>
          </cell>
        </row>
        <row r="1990">
          <cell r="B1990">
            <v>17345</v>
          </cell>
          <cell r="C1990" t="str">
            <v>r6RM</v>
          </cell>
        </row>
        <row r="1991">
          <cell r="B1991">
            <v>17346</v>
          </cell>
          <cell r="C1991" t="str">
            <v>r6Gi</v>
          </cell>
        </row>
        <row r="1992">
          <cell r="B1992">
            <v>17347</v>
          </cell>
          <cell r="C1992" t="str">
            <v>r6GiV</v>
          </cell>
        </row>
        <row r="1993">
          <cell r="B1993">
            <v>17348</v>
          </cell>
          <cell r="C1993" t="str">
            <v>r6BMs</v>
          </cell>
        </row>
        <row r="1994">
          <cell r="B1994">
            <v>17349</v>
          </cell>
          <cell r="C1994" t="str">
            <v>r6-RP</v>
          </cell>
        </row>
        <row r="1995">
          <cell r="B1995">
            <v>17350</v>
          </cell>
          <cell r="C1995" t="str">
            <v>r6PPy</v>
          </cell>
        </row>
        <row r="1996">
          <cell r="B1996">
            <v>17351</v>
          </cell>
          <cell r="C1996" t="str">
            <v>r6F</v>
          </cell>
        </row>
        <row r="1997">
          <cell r="B1997">
            <v>112892373</v>
          </cell>
          <cell r="C1997" t="str">
            <v>r6Fv</v>
          </cell>
        </row>
        <row r="1998">
          <cell r="B1998">
            <v>112892375</v>
          </cell>
          <cell r="C1998" t="str">
            <v>r6Fm</v>
          </cell>
        </row>
        <row r="1999">
          <cell r="B1999">
            <v>112892377</v>
          </cell>
          <cell r="C1999" t="str">
            <v>r6Fp</v>
          </cell>
        </row>
        <row r="2000">
          <cell r="B2000">
            <v>112892379</v>
          </cell>
          <cell r="C2000" t="str">
            <v>r6Fi</v>
          </cell>
        </row>
        <row r="2001">
          <cell r="B2001">
            <v>112892381</v>
          </cell>
          <cell r="C2001" t="str">
            <v>r6Fs</v>
          </cell>
        </row>
        <row r="2002">
          <cell r="B2002">
            <v>17352</v>
          </cell>
          <cell r="C2002" t="str">
            <v>MH</v>
          </cell>
        </row>
        <row r="2003">
          <cell r="B2003">
            <v>17353</v>
          </cell>
          <cell r="C2003" t="str">
            <v>r7</v>
          </cell>
        </row>
        <row r="2004">
          <cell r="B2004">
            <v>17354</v>
          </cell>
          <cell r="C2004" t="str">
            <v>r7R</v>
          </cell>
        </row>
        <row r="2005">
          <cell r="B2005">
            <v>17355</v>
          </cell>
          <cell r="C2005" t="str">
            <v>r7A</v>
          </cell>
        </row>
        <row r="2006">
          <cell r="B2006">
            <v>111220806</v>
          </cell>
          <cell r="C2006" t="str">
            <v>r7Av</v>
          </cell>
        </row>
        <row r="2007">
          <cell r="B2007">
            <v>111220808</v>
          </cell>
          <cell r="C2007" t="str">
            <v>r7Am</v>
          </cell>
        </row>
        <row r="2008">
          <cell r="B2008">
            <v>17356</v>
          </cell>
          <cell r="C2008" t="str">
            <v>r7Co</v>
          </cell>
        </row>
        <row r="2009">
          <cell r="B2009">
            <v>17357</v>
          </cell>
          <cell r="C2009" t="str">
            <v>r7Cov</v>
          </cell>
        </row>
        <row r="2010">
          <cell r="B2010">
            <v>17358</v>
          </cell>
          <cell r="C2010" t="str">
            <v>r7Com</v>
          </cell>
        </row>
        <row r="2011">
          <cell r="B2011">
            <v>111220810</v>
          </cell>
          <cell r="C2011" t="str">
            <v>r7Cop</v>
          </cell>
        </row>
        <row r="2012">
          <cell r="B2012">
            <v>17359</v>
          </cell>
          <cell r="C2012" t="str">
            <v>r7DC</v>
          </cell>
        </row>
        <row r="2013">
          <cell r="B2013">
            <v>111220812</v>
          </cell>
          <cell r="C2013" t="str">
            <v>r7Coi</v>
          </cell>
        </row>
        <row r="2014">
          <cell r="B2014">
            <v>111220814</v>
          </cell>
          <cell r="C2014" t="str">
            <v>r7Cos</v>
          </cell>
        </row>
        <row r="2015">
          <cell r="B2015">
            <v>17360</v>
          </cell>
          <cell r="C2015" t="str">
            <v>r7PVC</v>
          </cell>
        </row>
        <row r="2016">
          <cell r="B2016">
            <v>17361</v>
          </cell>
          <cell r="C2016" t="str">
            <v>r7Ve</v>
          </cell>
        </row>
        <row r="2017">
          <cell r="B2017">
            <v>17362</v>
          </cell>
          <cell r="C2017" t="str">
            <v>r7Vev</v>
          </cell>
        </row>
        <row r="2018">
          <cell r="B2018">
            <v>17363</v>
          </cell>
          <cell r="C2018" t="str">
            <v>r7Vem</v>
          </cell>
        </row>
        <row r="2019">
          <cell r="B2019">
            <v>111220816</v>
          </cell>
          <cell r="C2019" t="str">
            <v>r7Vep</v>
          </cell>
        </row>
        <row r="2020">
          <cell r="B2020">
            <v>17365</v>
          </cell>
          <cell r="C2020" t="str">
            <v>r7MVePC</v>
          </cell>
        </row>
        <row r="2021">
          <cell r="B2021">
            <v>111220818</v>
          </cell>
          <cell r="C2021" t="str">
            <v>r7Vei</v>
          </cell>
        </row>
        <row r="2022">
          <cell r="B2022">
            <v>111220820</v>
          </cell>
          <cell r="C2022" t="str">
            <v>r7Ves</v>
          </cell>
        </row>
        <row r="2023">
          <cell r="B2023">
            <v>17364</v>
          </cell>
          <cell r="C2023" t="str">
            <v>r7SpVe</v>
          </cell>
        </row>
        <row r="2024">
          <cell r="B2024">
            <v>17366</v>
          </cell>
          <cell r="C2024" t="str">
            <v>r7Tr</v>
          </cell>
        </row>
        <row r="2025">
          <cell r="B2025">
            <v>17367</v>
          </cell>
          <cell r="C2025" t="str">
            <v>r7Trv</v>
          </cell>
        </row>
        <row r="2026">
          <cell r="B2026">
            <v>17368</v>
          </cell>
          <cell r="C2026" t="str">
            <v>r7Trm</v>
          </cell>
        </row>
        <row r="2027">
          <cell r="B2027">
            <v>111220822</v>
          </cell>
          <cell r="C2027" t="str">
            <v>r7Trp</v>
          </cell>
        </row>
        <row r="2028">
          <cell r="B2028">
            <v>17371</v>
          </cell>
          <cell r="C2028" t="str">
            <v>r7Sol</v>
          </cell>
        </row>
        <row r="2029">
          <cell r="B2029">
            <v>111220824</v>
          </cell>
          <cell r="C2029" t="str">
            <v>r7Tri</v>
          </cell>
        </row>
        <row r="2030">
          <cell r="B2030">
            <v>17370</v>
          </cell>
          <cell r="C2030" t="str">
            <v>r7-5Tr</v>
          </cell>
        </row>
        <row r="2031">
          <cell r="B2031">
            <v>17372</v>
          </cell>
          <cell r="C2031" t="str">
            <v>r7DPCRt</v>
          </cell>
        </row>
        <row r="2032">
          <cell r="B2032">
            <v>111220826</v>
          </cell>
          <cell r="C2032" t="str">
            <v>r7Trs</v>
          </cell>
        </row>
        <row r="2033">
          <cell r="B2033">
            <v>17369</v>
          </cell>
          <cell r="C2033" t="str">
            <v>r7Sp5I</v>
          </cell>
        </row>
        <row r="2034">
          <cell r="B2034">
            <v>17373</v>
          </cell>
          <cell r="C2034" t="str">
            <v>r7Lim</v>
          </cell>
        </row>
        <row r="2035">
          <cell r="B2035">
            <v>17374</v>
          </cell>
          <cell r="C2035" t="str">
            <v>r7Limv</v>
          </cell>
        </row>
        <row r="2036">
          <cell r="B2036">
            <v>17375</v>
          </cell>
          <cell r="C2036" t="str">
            <v>r7Limm</v>
          </cell>
        </row>
        <row r="2037">
          <cell r="B2037">
            <v>111220828</v>
          </cell>
          <cell r="C2037" t="str">
            <v>r7Limp</v>
          </cell>
        </row>
        <row r="2038">
          <cell r="B2038">
            <v>17376</v>
          </cell>
          <cell r="C2038" t="str">
            <v>r7LimCG</v>
          </cell>
        </row>
        <row r="2039">
          <cell r="B2039">
            <v>17377</v>
          </cell>
          <cell r="C2039" t="str">
            <v>r7-10M</v>
          </cell>
        </row>
        <row r="2040">
          <cell r="B2040">
            <v>111220830</v>
          </cell>
          <cell r="C2040" t="str">
            <v>r7Limi</v>
          </cell>
        </row>
        <row r="2041">
          <cell r="B2041">
            <v>17379</v>
          </cell>
          <cell r="C2041" t="str">
            <v>r7VPCRt</v>
          </cell>
        </row>
        <row r="2042">
          <cell r="B2042">
            <v>111220832</v>
          </cell>
          <cell r="C2042" t="str">
            <v>r7Lims</v>
          </cell>
        </row>
        <row r="2043">
          <cell r="B2043">
            <v>17378</v>
          </cell>
          <cell r="C2043" t="str">
            <v>r7Amb</v>
          </cell>
        </row>
        <row r="2044">
          <cell r="B2044">
            <v>17380</v>
          </cell>
          <cell r="C2044" t="str">
            <v>r7B</v>
          </cell>
        </row>
        <row r="2045">
          <cell r="B2045">
            <v>111220834</v>
          </cell>
          <cell r="C2045" t="str">
            <v>r7Bv</v>
          </cell>
        </row>
        <row r="2046">
          <cell r="B2046">
            <v>111220836</v>
          </cell>
          <cell r="C2046" t="str">
            <v>r7Bm</v>
          </cell>
        </row>
        <row r="2047">
          <cell r="B2047">
            <v>17381</v>
          </cell>
          <cell r="C2047" t="str">
            <v>r7BL</v>
          </cell>
        </row>
        <row r="2048">
          <cell r="B2048">
            <v>17382</v>
          </cell>
          <cell r="C2048" t="str">
            <v>r7BLv</v>
          </cell>
        </row>
        <row r="2049">
          <cell r="B2049">
            <v>17383</v>
          </cell>
          <cell r="C2049" t="str">
            <v>r7BLm</v>
          </cell>
        </row>
        <row r="2050">
          <cell r="B2050">
            <v>17384</v>
          </cell>
          <cell r="C2050" t="str">
            <v>r7BLp</v>
          </cell>
        </row>
        <row r="2051">
          <cell r="B2051">
            <v>17385</v>
          </cell>
          <cell r="C2051" t="str">
            <v>r7BLIZ</v>
          </cell>
        </row>
        <row r="2052">
          <cell r="B2052">
            <v>17386</v>
          </cell>
          <cell r="C2052" t="str">
            <v>r7BLi</v>
          </cell>
        </row>
        <row r="2053">
          <cell r="B2053">
            <v>17387</v>
          </cell>
          <cell r="C2053" t="str">
            <v>r7BLRt</v>
          </cell>
        </row>
        <row r="2054">
          <cell r="B2054">
            <v>17388</v>
          </cell>
          <cell r="C2054" t="str">
            <v>r7BLs</v>
          </cell>
        </row>
        <row r="2055">
          <cell r="B2055">
            <v>17389</v>
          </cell>
          <cell r="C2055" t="str">
            <v>RVL</v>
          </cell>
        </row>
        <row r="2056">
          <cell r="B2056">
            <v>17390</v>
          </cell>
          <cell r="C2056" t="str">
            <v>r7BI</v>
          </cell>
        </row>
        <row r="2057">
          <cell r="B2057">
            <v>17391</v>
          </cell>
          <cell r="C2057" t="str">
            <v>r7BIv</v>
          </cell>
        </row>
        <row r="2058">
          <cell r="B2058">
            <v>17392</v>
          </cell>
          <cell r="C2058" t="str">
            <v>r7BIm</v>
          </cell>
        </row>
        <row r="2059">
          <cell r="B2059">
            <v>17393</v>
          </cell>
          <cell r="C2059" t="str">
            <v>r7BIp</v>
          </cell>
        </row>
        <row r="2060">
          <cell r="B2060">
            <v>17394</v>
          </cell>
          <cell r="C2060" t="str">
            <v>r7BIIZ</v>
          </cell>
        </row>
        <row r="2061">
          <cell r="B2061">
            <v>17395</v>
          </cell>
          <cell r="C2061" t="str">
            <v>r7BIi</v>
          </cell>
        </row>
        <row r="2062">
          <cell r="B2062">
            <v>17396</v>
          </cell>
          <cell r="C2062" t="str">
            <v>r7BIRt</v>
          </cell>
        </row>
        <row r="2063">
          <cell r="B2063">
            <v>17397</v>
          </cell>
          <cell r="C2063" t="str">
            <v>r7BIs</v>
          </cell>
        </row>
        <row r="2064">
          <cell r="B2064">
            <v>17398</v>
          </cell>
          <cell r="C2064" t="str">
            <v>r7PGi</v>
          </cell>
        </row>
        <row r="2065">
          <cell r="B2065">
            <v>17399</v>
          </cell>
          <cell r="C2065" t="str">
            <v>r7RVM</v>
          </cell>
        </row>
        <row r="2066">
          <cell r="B2066">
            <v>17400</v>
          </cell>
          <cell r="C2066" t="str">
            <v>r7BM</v>
          </cell>
        </row>
        <row r="2067">
          <cell r="B2067">
            <v>17401</v>
          </cell>
          <cell r="C2067" t="str">
            <v>r7BMv</v>
          </cell>
        </row>
        <row r="2068">
          <cell r="B2068">
            <v>17402</v>
          </cell>
          <cell r="C2068" t="str">
            <v>r7BMm</v>
          </cell>
        </row>
        <row r="2069">
          <cell r="B2069">
            <v>17403</v>
          </cell>
          <cell r="C2069" t="str">
            <v>r7BMp</v>
          </cell>
        </row>
        <row r="2070">
          <cell r="B2070">
            <v>17404</v>
          </cell>
          <cell r="C2070" t="str">
            <v>r7Pr</v>
          </cell>
        </row>
        <row r="2071">
          <cell r="B2071">
            <v>17405</v>
          </cell>
          <cell r="C2071" t="str">
            <v>r7-12M</v>
          </cell>
        </row>
        <row r="2072">
          <cell r="B2072">
            <v>17406</v>
          </cell>
          <cell r="C2072" t="str">
            <v>r7Ro</v>
          </cell>
        </row>
        <row r="2073">
          <cell r="B2073">
            <v>17407</v>
          </cell>
          <cell r="C2073" t="str">
            <v>r7BMi</v>
          </cell>
        </row>
        <row r="2074">
          <cell r="B2074">
            <v>17408</v>
          </cell>
          <cell r="C2074" t="str">
            <v>r7-RO</v>
          </cell>
        </row>
        <row r="2075">
          <cell r="B2075">
            <v>17409</v>
          </cell>
          <cell r="C2075" t="str">
            <v>r7BMRt</v>
          </cell>
        </row>
        <row r="2076">
          <cell r="B2076">
            <v>17410</v>
          </cell>
          <cell r="C2076" t="str">
            <v>r7Gi</v>
          </cell>
        </row>
        <row r="2077">
          <cell r="B2077">
            <v>17411</v>
          </cell>
          <cell r="C2077" t="str">
            <v>r7GiV</v>
          </cell>
        </row>
        <row r="2078">
          <cell r="B2078">
            <v>17412</v>
          </cell>
          <cell r="C2078" t="str">
            <v>r7BMs</v>
          </cell>
        </row>
        <row r="2079">
          <cell r="B2079">
            <v>17413</v>
          </cell>
          <cell r="C2079" t="str">
            <v>r7-RP</v>
          </cell>
        </row>
        <row r="2080">
          <cell r="B2080">
            <v>17414</v>
          </cell>
          <cell r="C2080" t="str">
            <v>r7PPy</v>
          </cell>
        </row>
        <row r="2081">
          <cell r="B2081">
            <v>17415</v>
          </cell>
          <cell r="C2081" t="str">
            <v>r7F</v>
          </cell>
        </row>
        <row r="2082">
          <cell r="B2082">
            <v>112892383</v>
          </cell>
          <cell r="C2082" t="str">
            <v>r7Fv</v>
          </cell>
        </row>
        <row r="2083">
          <cell r="B2083">
            <v>112892385</v>
          </cell>
          <cell r="C2083" t="str">
            <v>r7Fm</v>
          </cell>
        </row>
        <row r="2084">
          <cell r="B2084">
            <v>112892387</v>
          </cell>
          <cell r="C2084" t="str">
            <v>r7Fp</v>
          </cell>
        </row>
        <row r="2085">
          <cell r="B2085">
            <v>112892389</v>
          </cell>
          <cell r="C2085" t="str">
            <v>r7Fi</v>
          </cell>
        </row>
        <row r="2086">
          <cell r="B2086">
            <v>112892391</v>
          </cell>
          <cell r="C2086" t="str">
            <v>r7Fs</v>
          </cell>
        </row>
        <row r="2087">
          <cell r="B2087">
            <v>17416</v>
          </cell>
          <cell r="C2087" t="str">
            <v>r8</v>
          </cell>
        </row>
        <row r="2088">
          <cell r="B2088">
            <v>17417</v>
          </cell>
          <cell r="C2088" t="str">
            <v>r8R</v>
          </cell>
        </row>
        <row r="2089">
          <cell r="B2089">
            <v>17418</v>
          </cell>
          <cell r="C2089" t="str">
            <v>r8A</v>
          </cell>
        </row>
        <row r="2090">
          <cell r="B2090">
            <v>111220838</v>
          </cell>
          <cell r="C2090" t="str">
            <v>r8Av</v>
          </cell>
        </row>
        <row r="2091">
          <cell r="B2091">
            <v>111220840</v>
          </cell>
          <cell r="C2091" t="str">
            <v>r8Am</v>
          </cell>
        </row>
        <row r="2092">
          <cell r="B2092">
            <v>17419</v>
          </cell>
          <cell r="C2092" t="str">
            <v>r8Ve</v>
          </cell>
        </row>
        <row r="2093">
          <cell r="B2093">
            <v>17420</v>
          </cell>
          <cell r="C2093" t="str">
            <v>r8Vev</v>
          </cell>
        </row>
        <row r="2094">
          <cell r="B2094">
            <v>17421</v>
          </cell>
          <cell r="C2094" t="str">
            <v>r8Vem</v>
          </cell>
        </row>
        <row r="2095">
          <cell r="B2095">
            <v>111220842</v>
          </cell>
          <cell r="C2095" t="str">
            <v>r8Vep</v>
          </cell>
        </row>
        <row r="2096">
          <cell r="B2096">
            <v>17423</v>
          </cell>
          <cell r="C2096" t="str">
            <v>r8MVePC</v>
          </cell>
        </row>
        <row r="2097">
          <cell r="B2097">
            <v>111220844</v>
          </cell>
          <cell r="C2097" t="str">
            <v>r8Vei</v>
          </cell>
        </row>
        <row r="2098">
          <cell r="B2098">
            <v>17422</v>
          </cell>
          <cell r="C2098" t="str">
            <v>r8SpVe</v>
          </cell>
        </row>
        <row r="2099">
          <cell r="B2099">
            <v>111220846</v>
          </cell>
          <cell r="C2099" t="str">
            <v>r8Ves</v>
          </cell>
        </row>
        <row r="2100">
          <cell r="B2100">
            <v>17424</v>
          </cell>
          <cell r="C2100" t="str">
            <v>r8Tr</v>
          </cell>
        </row>
        <row r="2101">
          <cell r="B2101">
            <v>17425</v>
          </cell>
          <cell r="C2101" t="str">
            <v>r8Trv</v>
          </cell>
        </row>
        <row r="2102">
          <cell r="B2102">
            <v>17426</v>
          </cell>
          <cell r="C2102" t="str">
            <v>r8Trm</v>
          </cell>
        </row>
        <row r="2103">
          <cell r="B2103">
            <v>111220848</v>
          </cell>
          <cell r="C2103" t="str">
            <v>r8Trp</v>
          </cell>
        </row>
        <row r="2104">
          <cell r="B2104">
            <v>17429</v>
          </cell>
          <cell r="C2104" t="str">
            <v>r8Sol</v>
          </cell>
        </row>
        <row r="2105">
          <cell r="B2105">
            <v>111220850</v>
          </cell>
          <cell r="C2105" t="str">
            <v>r8Tri</v>
          </cell>
        </row>
        <row r="2106">
          <cell r="B2106">
            <v>17428</v>
          </cell>
          <cell r="C2106" t="str">
            <v>r8-5Tr</v>
          </cell>
        </row>
        <row r="2107">
          <cell r="B2107">
            <v>17430</v>
          </cell>
          <cell r="C2107" t="str">
            <v>r8DPCRt</v>
          </cell>
        </row>
        <row r="2108">
          <cell r="B2108">
            <v>111220852</v>
          </cell>
          <cell r="C2108" t="str">
            <v>r8Trs</v>
          </cell>
        </row>
        <row r="2109">
          <cell r="B2109">
            <v>17427</v>
          </cell>
          <cell r="C2109" t="str">
            <v>r8Sp5I</v>
          </cell>
        </row>
        <row r="2110">
          <cell r="B2110">
            <v>17431</v>
          </cell>
          <cell r="C2110" t="str">
            <v>r8Lim</v>
          </cell>
        </row>
        <row r="2111">
          <cell r="B2111">
            <v>17432</v>
          </cell>
          <cell r="C2111" t="str">
            <v>r8Limv</v>
          </cell>
        </row>
        <row r="2112">
          <cell r="B2112">
            <v>17433</v>
          </cell>
          <cell r="C2112" t="str">
            <v>r8Limm</v>
          </cell>
        </row>
        <row r="2113">
          <cell r="B2113">
            <v>111220854</v>
          </cell>
          <cell r="C2113" t="str">
            <v>r8Limp</v>
          </cell>
        </row>
        <row r="2114">
          <cell r="B2114">
            <v>17435</v>
          </cell>
          <cell r="C2114" t="str">
            <v>r8-10M</v>
          </cell>
        </row>
        <row r="2115">
          <cell r="B2115">
            <v>112892393</v>
          </cell>
          <cell r="C2115" t="str">
            <v>r8LimCG</v>
          </cell>
        </row>
        <row r="2116">
          <cell r="B2116">
            <v>111220856</v>
          </cell>
          <cell r="C2116" t="str">
            <v>r8Limi</v>
          </cell>
        </row>
        <row r="2117">
          <cell r="B2117">
            <v>17434</v>
          </cell>
          <cell r="C2117" t="str">
            <v>r8VPCRt</v>
          </cell>
        </row>
        <row r="2118">
          <cell r="B2118">
            <v>111220858</v>
          </cell>
          <cell r="C2118" t="str">
            <v>r8Lims</v>
          </cell>
        </row>
        <row r="2119">
          <cell r="B2119">
            <v>17436</v>
          </cell>
          <cell r="C2119" t="str">
            <v>r8Amb</v>
          </cell>
        </row>
        <row r="2120">
          <cell r="B2120">
            <v>17437</v>
          </cell>
          <cell r="C2120" t="str">
            <v>r8B</v>
          </cell>
        </row>
        <row r="2121">
          <cell r="B2121">
            <v>111220860</v>
          </cell>
          <cell r="C2121" t="str">
            <v>r8Bv</v>
          </cell>
        </row>
        <row r="2122">
          <cell r="B2122">
            <v>111220862</v>
          </cell>
          <cell r="C2122" t="str">
            <v>r8Bm</v>
          </cell>
        </row>
        <row r="2123">
          <cell r="B2123">
            <v>17438</v>
          </cell>
          <cell r="C2123" t="str">
            <v>r8BL</v>
          </cell>
        </row>
        <row r="2124">
          <cell r="B2124">
            <v>17439</v>
          </cell>
          <cell r="C2124" t="str">
            <v>r8BLv</v>
          </cell>
        </row>
        <row r="2125">
          <cell r="B2125">
            <v>17440</v>
          </cell>
          <cell r="C2125" t="str">
            <v>r8BLm</v>
          </cell>
        </row>
        <row r="2126">
          <cell r="B2126">
            <v>17441</v>
          </cell>
          <cell r="C2126" t="str">
            <v>r8BLp</v>
          </cell>
        </row>
        <row r="2127">
          <cell r="B2127">
            <v>17442</v>
          </cell>
          <cell r="C2127" t="str">
            <v>r8-BLIZ</v>
          </cell>
        </row>
        <row r="2128">
          <cell r="B2128">
            <v>17443</v>
          </cell>
          <cell r="C2128" t="str">
            <v>r8BLi</v>
          </cell>
        </row>
        <row r="2129">
          <cell r="B2129">
            <v>17444</v>
          </cell>
          <cell r="C2129" t="str">
            <v>r8BLRt</v>
          </cell>
        </row>
        <row r="2130">
          <cell r="B2130">
            <v>17445</v>
          </cell>
          <cell r="C2130" t="str">
            <v>r8BLs</v>
          </cell>
        </row>
        <row r="2131">
          <cell r="B2131">
            <v>17446</v>
          </cell>
          <cell r="C2131" t="str">
            <v>r8LRt</v>
          </cell>
        </row>
        <row r="2132">
          <cell r="B2132">
            <v>17447</v>
          </cell>
          <cell r="C2132" t="str">
            <v>r8LRtPC</v>
          </cell>
        </row>
        <row r="2133">
          <cell r="B2133">
            <v>17448</v>
          </cell>
          <cell r="C2133" t="str">
            <v>r8Li</v>
          </cell>
        </row>
        <row r="2134">
          <cell r="B2134">
            <v>17449</v>
          </cell>
          <cell r="C2134" t="str">
            <v>r8BI</v>
          </cell>
        </row>
        <row r="2135">
          <cell r="B2135">
            <v>17450</v>
          </cell>
          <cell r="C2135" t="str">
            <v>r8BIv</v>
          </cell>
        </row>
        <row r="2136">
          <cell r="B2136">
            <v>17451</v>
          </cell>
          <cell r="C2136" t="str">
            <v>r8BIm</v>
          </cell>
        </row>
        <row r="2137">
          <cell r="B2137">
            <v>17452</v>
          </cell>
          <cell r="C2137" t="str">
            <v>r8BIp</v>
          </cell>
        </row>
        <row r="2138">
          <cell r="B2138">
            <v>17453</v>
          </cell>
          <cell r="C2138" t="str">
            <v>r8BIIZ</v>
          </cell>
        </row>
        <row r="2139">
          <cell r="B2139">
            <v>17454</v>
          </cell>
          <cell r="C2139" t="str">
            <v>r8IS</v>
          </cell>
        </row>
        <row r="2140">
          <cell r="B2140">
            <v>17455</v>
          </cell>
          <cell r="C2140" t="str">
            <v>r8BIi</v>
          </cell>
        </row>
        <row r="2141">
          <cell r="B2141">
            <v>17456</v>
          </cell>
          <cell r="C2141" t="str">
            <v>r8BIRt</v>
          </cell>
        </row>
        <row r="2142">
          <cell r="B2142">
            <v>17457</v>
          </cell>
          <cell r="C2142" t="str">
            <v>r8BIs</v>
          </cell>
        </row>
        <row r="2143">
          <cell r="B2143">
            <v>17458</v>
          </cell>
          <cell r="C2143" t="str">
            <v>r8RVM</v>
          </cell>
        </row>
        <row r="2144">
          <cell r="B2144">
            <v>17459</v>
          </cell>
          <cell r="C2144" t="str">
            <v>r8PGi</v>
          </cell>
        </row>
        <row r="2145">
          <cell r="B2145">
            <v>17460</v>
          </cell>
          <cell r="C2145" t="str">
            <v>r8BM</v>
          </cell>
        </row>
        <row r="2146">
          <cell r="B2146">
            <v>17461</v>
          </cell>
          <cell r="C2146" t="str">
            <v>r8BMv</v>
          </cell>
        </row>
        <row r="2147">
          <cell r="B2147">
            <v>17462</v>
          </cell>
          <cell r="C2147" t="str">
            <v>r8BMm</v>
          </cell>
        </row>
        <row r="2148">
          <cell r="B2148">
            <v>17463</v>
          </cell>
          <cell r="C2148" t="str">
            <v>r8BMp</v>
          </cell>
        </row>
        <row r="2149">
          <cell r="B2149">
            <v>17464</v>
          </cell>
          <cell r="C2149" t="str">
            <v>r8Pr</v>
          </cell>
        </row>
        <row r="2150">
          <cell r="B2150">
            <v>17465</v>
          </cell>
          <cell r="C2150" t="str">
            <v>r8-12M</v>
          </cell>
        </row>
        <row r="2151">
          <cell r="B2151">
            <v>17466</v>
          </cell>
          <cell r="C2151" t="str">
            <v>r8Ro</v>
          </cell>
        </row>
        <row r="2152">
          <cell r="B2152">
            <v>17467</v>
          </cell>
          <cell r="C2152" t="str">
            <v>r8BMi</v>
          </cell>
        </row>
        <row r="2153">
          <cell r="B2153">
            <v>17468</v>
          </cell>
          <cell r="C2153" t="str">
            <v>r8-RO</v>
          </cell>
        </row>
        <row r="2154">
          <cell r="B2154">
            <v>17469</v>
          </cell>
          <cell r="C2154" t="str">
            <v>r8BMRt</v>
          </cell>
        </row>
        <row r="2155">
          <cell r="B2155">
            <v>17470</v>
          </cell>
          <cell r="C2155" t="str">
            <v>r8Gi</v>
          </cell>
        </row>
        <row r="2156">
          <cell r="B2156">
            <v>17471</v>
          </cell>
          <cell r="C2156" t="str">
            <v>r8GiV</v>
          </cell>
        </row>
        <row r="2157">
          <cell r="B2157">
            <v>17472</v>
          </cell>
          <cell r="C2157" t="str">
            <v>r8BMs</v>
          </cell>
        </row>
        <row r="2158">
          <cell r="B2158">
            <v>17473</v>
          </cell>
          <cell r="C2158" t="str">
            <v>r8-RP</v>
          </cell>
        </row>
        <row r="2159">
          <cell r="B2159">
            <v>17474</v>
          </cell>
          <cell r="C2159" t="str">
            <v>r8-IO</v>
          </cell>
        </row>
        <row r="2160">
          <cell r="B2160">
            <v>17475</v>
          </cell>
          <cell r="C2160" t="str">
            <v>r8F</v>
          </cell>
        </row>
        <row r="2161">
          <cell r="B2161">
            <v>112892395</v>
          </cell>
          <cell r="C2161" t="str">
            <v>r8Fv</v>
          </cell>
        </row>
        <row r="2162">
          <cell r="B2162">
            <v>112892397</v>
          </cell>
          <cell r="C2162" t="str">
            <v>r8Fm</v>
          </cell>
        </row>
        <row r="2163">
          <cell r="B2163">
            <v>112892399</v>
          </cell>
          <cell r="C2163" t="str">
            <v>r8Fp</v>
          </cell>
        </row>
        <row r="2164">
          <cell r="B2164">
            <v>112892401</v>
          </cell>
          <cell r="C2164" t="str">
            <v>r8Fi</v>
          </cell>
        </row>
        <row r="2165">
          <cell r="B2165">
            <v>112892403</v>
          </cell>
          <cell r="C2165" t="str">
            <v>r8Fs</v>
          </cell>
        </row>
        <row r="2166">
          <cell r="B2166">
            <v>17476</v>
          </cell>
          <cell r="C2166" t="str">
            <v>r9</v>
          </cell>
        </row>
        <row r="2167">
          <cell r="B2167">
            <v>17477</v>
          </cell>
          <cell r="C2167" t="str">
            <v>r9R</v>
          </cell>
        </row>
        <row r="2168">
          <cell r="B2168">
            <v>17478</v>
          </cell>
          <cell r="C2168" t="str">
            <v>r9A</v>
          </cell>
        </row>
        <row r="2169">
          <cell r="B2169">
            <v>111220864</v>
          </cell>
          <cell r="C2169" t="str">
            <v>r9Av</v>
          </cell>
        </row>
        <row r="2170">
          <cell r="B2170">
            <v>111220866</v>
          </cell>
          <cell r="C2170" t="str">
            <v>r9Am</v>
          </cell>
        </row>
        <row r="2171">
          <cell r="B2171">
            <v>17479</v>
          </cell>
          <cell r="C2171" t="str">
            <v>r9Ve</v>
          </cell>
        </row>
        <row r="2172">
          <cell r="B2172">
            <v>17480</v>
          </cell>
          <cell r="C2172" t="str">
            <v>r9Vev</v>
          </cell>
        </row>
        <row r="2173">
          <cell r="B2173">
            <v>17481</v>
          </cell>
          <cell r="C2173" t="str">
            <v>r9Vem</v>
          </cell>
        </row>
        <row r="2174">
          <cell r="B2174">
            <v>111220868</v>
          </cell>
          <cell r="C2174" t="str">
            <v>r9Vep</v>
          </cell>
        </row>
        <row r="2175">
          <cell r="B2175">
            <v>17483</v>
          </cell>
          <cell r="C2175" t="str">
            <v>r9MVePC</v>
          </cell>
        </row>
        <row r="2176">
          <cell r="B2176">
            <v>111220870</v>
          </cell>
          <cell r="C2176" t="str">
            <v>r9Vei</v>
          </cell>
        </row>
        <row r="2177">
          <cell r="B2177">
            <v>17482</v>
          </cell>
          <cell r="C2177" t="str">
            <v>r9SpVe</v>
          </cell>
        </row>
        <row r="2178">
          <cell r="B2178">
            <v>111220872</v>
          </cell>
          <cell r="C2178" t="str">
            <v>r9Ves</v>
          </cell>
        </row>
        <row r="2179">
          <cell r="B2179">
            <v>17484</v>
          </cell>
          <cell r="C2179" t="str">
            <v>r9ECu</v>
          </cell>
        </row>
        <row r="2180">
          <cell r="B2180">
            <v>17485</v>
          </cell>
          <cell r="C2180" t="str">
            <v>r9Tr</v>
          </cell>
        </row>
        <row r="2181">
          <cell r="B2181">
            <v>17486</v>
          </cell>
          <cell r="C2181" t="str">
            <v>r9Trv</v>
          </cell>
        </row>
        <row r="2182">
          <cell r="B2182">
            <v>17487</v>
          </cell>
          <cell r="C2182" t="str">
            <v>r9Trm</v>
          </cell>
        </row>
        <row r="2183">
          <cell r="B2183">
            <v>111220874</v>
          </cell>
          <cell r="C2183" t="str">
            <v>r9Trp</v>
          </cell>
        </row>
        <row r="2184">
          <cell r="B2184">
            <v>17490</v>
          </cell>
          <cell r="C2184" t="str">
            <v>r9Sol</v>
          </cell>
        </row>
        <row r="2185">
          <cell r="B2185">
            <v>111220876</v>
          </cell>
          <cell r="C2185" t="str">
            <v>r9Tri</v>
          </cell>
        </row>
        <row r="2186">
          <cell r="B2186">
            <v>17489</v>
          </cell>
          <cell r="C2186" t="str">
            <v>r9-5Tr</v>
          </cell>
        </row>
        <row r="2187">
          <cell r="B2187">
            <v>17493</v>
          </cell>
          <cell r="C2187" t="str">
            <v>r9DPCRt</v>
          </cell>
        </row>
        <row r="2188">
          <cell r="B2188">
            <v>111220878</v>
          </cell>
          <cell r="C2188" t="str">
            <v>r9Trs</v>
          </cell>
        </row>
        <row r="2189">
          <cell r="B2189">
            <v>17488</v>
          </cell>
          <cell r="C2189" t="str">
            <v>r9Sp5I</v>
          </cell>
        </row>
        <row r="2190">
          <cell r="B2190">
            <v>17491</v>
          </cell>
          <cell r="C2190" t="str">
            <v>r9Gr</v>
          </cell>
        </row>
        <row r="2191">
          <cell r="B2191">
            <v>17492</v>
          </cell>
          <cell r="C2191" t="str">
            <v>r9Cu</v>
          </cell>
        </row>
        <row r="2192">
          <cell r="B2192">
            <v>17494</v>
          </cell>
          <cell r="C2192" t="str">
            <v>r9Lim</v>
          </cell>
        </row>
        <row r="2193">
          <cell r="B2193">
            <v>17495</v>
          </cell>
          <cell r="C2193" t="str">
            <v>r9Limv</v>
          </cell>
        </row>
        <row r="2194">
          <cell r="B2194">
            <v>17496</v>
          </cell>
          <cell r="C2194" t="str">
            <v>r9Limm</v>
          </cell>
        </row>
        <row r="2195">
          <cell r="B2195">
            <v>111220880</v>
          </cell>
          <cell r="C2195" t="str">
            <v>r9Limp</v>
          </cell>
        </row>
        <row r="2196">
          <cell r="B2196">
            <v>17498</v>
          </cell>
          <cell r="C2196" t="str">
            <v>r9-10M</v>
          </cell>
        </row>
        <row r="2197">
          <cell r="B2197">
            <v>112892405</v>
          </cell>
          <cell r="C2197" t="str">
            <v>r9LimCG</v>
          </cell>
        </row>
        <row r="2198">
          <cell r="B2198">
            <v>111220882</v>
          </cell>
          <cell r="C2198" t="str">
            <v>r9Limi</v>
          </cell>
        </row>
        <row r="2199">
          <cell r="B2199">
            <v>17497</v>
          </cell>
          <cell r="C2199" t="str">
            <v>r9VPCRt</v>
          </cell>
        </row>
        <row r="2200">
          <cell r="B2200">
            <v>111220884</v>
          </cell>
          <cell r="C2200" t="str">
            <v>r9Lims</v>
          </cell>
        </row>
        <row r="2201">
          <cell r="B2201">
            <v>17499</v>
          </cell>
          <cell r="C2201" t="str">
            <v>r9Amb</v>
          </cell>
        </row>
        <row r="2202">
          <cell r="B2202">
            <v>17500</v>
          </cell>
          <cell r="C2202" t="str">
            <v>r9B</v>
          </cell>
        </row>
        <row r="2203">
          <cell r="B2203">
            <v>111220886</v>
          </cell>
          <cell r="C2203" t="str">
            <v>r9Bv</v>
          </cell>
        </row>
        <row r="2204">
          <cell r="B2204">
            <v>111220888</v>
          </cell>
          <cell r="C2204" t="str">
            <v>r9Bm</v>
          </cell>
        </row>
        <row r="2205">
          <cell r="B2205">
            <v>17501</v>
          </cell>
          <cell r="C2205" t="str">
            <v>r9BL</v>
          </cell>
        </row>
        <row r="2206">
          <cell r="B2206">
            <v>17502</v>
          </cell>
          <cell r="C2206" t="str">
            <v>r9BLv</v>
          </cell>
        </row>
        <row r="2207">
          <cell r="B2207">
            <v>17503</v>
          </cell>
          <cell r="C2207" t="str">
            <v>r9BLm</v>
          </cell>
        </row>
        <row r="2208">
          <cell r="B2208">
            <v>17504</v>
          </cell>
          <cell r="C2208" t="str">
            <v>r9BLp</v>
          </cell>
        </row>
        <row r="2209">
          <cell r="B2209">
            <v>17505</v>
          </cell>
          <cell r="C2209" t="str">
            <v>r9BLIZ</v>
          </cell>
        </row>
        <row r="2210">
          <cell r="B2210">
            <v>17506</v>
          </cell>
          <cell r="C2210" t="str">
            <v>r9BLi</v>
          </cell>
        </row>
        <row r="2211">
          <cell r="B2211">
            <v>17507</v>
          </cell>
          <cell r="C2211" t="str">
            <v>r9BLRt</v>
          </cell>
        </row>
        <row r="2212">
          <cell r="B2212">
            <v>17508</v>
          </cell>
          <cell r="C2212" t="str">
            <v>r9BLs</v>
          </cell>
        </row>
        <row r="2213">
          <cell r="B2213">
            <v>17509</v>
          </cell>
          <cell r="C2213" t="str">
            <v>r9LRt</v>
          </cell>
        </row>
        <row r="2214">
          <cell r="B2214">
            <v>17510</v>
          </cell>
          <cell r="C2214" t="str">
            <v>r9LRtPC</v>
          </cell>
        </row>
        <row r="2215">
          <cell r="B2215">
            <v>17511</v>
          </cell>
          <cell r="C2215" t="str">
            <v>r9Li</v>
          </cell>
        </row>
        <row r="2216">
          <cell r="B2216">
            <v>17512</v>
          </cell>
          <cell r="C2216" t="str">
            <v>r9BI</v>
          </cell>
        </row>
        <row r="2217">
          <cell r="B2217">
            <v>17513</v>
          </cell>
          <cell r="C2217" t="str">
            <v>r9BIv</v>
          </cell>
        </row>
        <row r="2218">
          <cell r="B2218">
            <v>17514</v>
          </cell>
          <cell r="C2218" t="str">
            <v>r9BIm</v>
          </cell>
        </row>
        <row r="2219">
          <cell r="B2219">
            <v>17515</v>
          </cell>
          <cell r="C2219" t="str">
            <v>r9BIp</v>
          </cell>
        </row>
        <row r="2220">
          <cell r="B2220">
            <v>17516</v>
          </cell>
          <cell r="C2220" t="str">
            <v>r9BIIZ</v>
          </cell>
        </row>
        <row r="2221">
          <cell r="B2221">
            <v>17517</v>
          </cell>
          <cell r="C2221" t="str">
            <v>r9IS</v>
          </cell>
        </row>
        <row r="2222">
          <cell r="B2222">
            <v>17518</v>
          </cell>
          <cell r="C2222" t="str">
            <v>r9BIi</v>
          </cell>
        </row>
        <row r="2223">
          <cell r="B2223">
            <v>17519</v>
          </cell>
          <cell r="C2223" t="str">
            <v>r9BIRt</v>
          </cell>
        </row>
        <row r="2224">
          <cell r="B2224">
            <v>17520</v>
          </cell>
          <cell r="C2224" t="str">
            <v>r9BIs</v>
          </cell>
        </row>
        <row r="2225">
          <cell r="B2225">
            <v>17521</v>
          </cell>
          <cell r="C2225" t="str">
            <v>r9PGi</v>
          </cell>
        </row>
        <row r="2226">
          <cell r="B2226">
            <v>17522</v>
          </cell>
          <cell r="C2226" t="str">
            <v>r9RVM</v>
          </cell>
        </row>
        <row r="2227">
          <cell r="B2227">
            <v>17523</v>
          </cell>
          <cell r="C2227" t="str">
            <v>r9BM</v>
          </cell>
        </row>
        <row r="2228">
          <cell r="B2228">
            <v>17524</v>
          </cell>
          <cell r="C2228" t="str">
            <v>r9BMv</v>
          </cell>
        </row>
        <row r="2229">
          <cell r="B2229">
            <v>17525</v>
          </cell>
          <cell r="C2229" t="str">
            <v>r9BMm</v>
          </cell>
        </row>
        <row r="2230">
          <cell r="B2230">
            <v>17526</v>
          </cell>
          <cell r="C2230" t="str">
            <v>r9BMp</v>
          </cell>
        </row>
        <row r="2231">
          <cell r="B2231">
            <v>17527</v>
          </cell>
          <cell r="C2231" t="str">
            <v>r9-12M</v>
          </cell>
        </row>
        <row r="2232">
          <cell r="B2232">
            <v>17528</v>
          </cell>
          <cell r="C2232" t="str">
            <v>r9Ro</v>
          </cell>
        </row>
        <row r="2233">
          <cell r="B2233">
            <v>17529</v>
          </cell>
          <cell r="C2233" t="str">
            <v>r9BMi</v>
          </cell>
        </row>
        <row r="2234">
          <cell r="B2234">
            <v>17530</v>
          </cell>
          <cell r="C2234" t="str">
            <v>r9-RO</v>
          </cell>
        </row>
        <row r="2235">
          <cell r="B2235">
            <v>17531</v>
          </cell>
          <cell r="C2235" t="str">
            <v>r9BMRt</v>
          </cell>
        </row>
        <row r="2236">
          <cell r="B2236">
            <v>17532</v>
          </cell>
          <cell r="C2236" t="str">
            <v>r9Gi</v>
          </cell>
        </row>
        <row r="2237">
          <cell r="B2237">
            <v>17533</v>
          </cell>
          <cell r="C2237" t="str">
            <v>r9GiV</v>
          </cell>
        </row>
        <row r="2238">
          <cell r="B2238">
            <v>17534</v>
          </cell>
          <cell r="C2238" t="str">
            <v>r9BMs</v>
          </cell>
        </row>
        <row r="2239">
          <cell r="B2239">
            <v>17535</v>
          </cell>
          <cell r="C2239" t="str">
            <v>r9-RP</v>
          </cell>
        </row>
        <row r="2240">
          <cell r="B2240">
            <v>17536</v>
          </cell>
          <cell r="C2240" t="str">
            <v>r9-IO</v>
          </cell>
        </row>
        <row r="2241">
          <cell r="B2241">
            <v>17537</v>
          </cell>
          <cell r="C2241" t="str">
            <v>r9F</v>
          </cell>
        </row>
        <row r="2242">
          <cell r="B2242">
            <v>112892407</v>
          </cell>
          <cell r="C2242" t="str">
            <v>r9Fv</v>
          </cell>
        </row>
        <row r="2243">
          <cell r="B2243">
            <v>112892409</v>
          </cell>
          <cell r="C2243" t="str">
            <v>r9Fm</v>
          </cell>
        </row>
        <row r="2244">
          <cell r="B2244">
            <v>112892411</v>
          </cell>
          <cell r="C2244" t="str">
            <v>r9Fp</v>
          </cell>
        </row>
        <row r="2245">
          <cell r="B2245">
            <v>112892413</v>
          </cell>
          <cell r="C2245" t="str">
            <v>r9Fi</v>
          </cell>
        </row>
        <row r="2246">
          <cell r="B2246">
            <v>112892415</v>
          </cell>
          <cell r="C2246" t="str">
            <v>r9Fs</v>
          </cell>
        </row>
        <row r="2247">
          <cell r="B2247">
            <v>17538</v>
          </cell>
          <cell r="C2247" t="str">
            <v>r10</v>
          </cell>
        </row>
        <row r="2248">
          <cell r="B2248">
            <v>17539</v>
          </cell>
          <cell r="C2248" t="str">
            <v>r10R</v>
          </cell>
        </row>
        <row r="2249">
          <cell r="B2249">
            <v>17540</v>
          </cell>
          <cell r="C2249" t="str">
            <v>r10A</v>
          </cell>
        </row>
        <row r="2250">
          <cell r="B2250">
            <v>111220890</v>
          </cell>
          <cell r="C2250" t="str">
            <v>r10Av</v>
          </cell>
        </row>
        <row r="2251">
          <cell r="B2251">
            <v>111220892</v>
          </cell>
          <cell r="C2251" t="str">
            <v>r10Am</v>
          </cell>
        </row>
        <row r="2252">
          <cell r="B2252">
            <v>17541</v>
          </cell>
          <cell r="C2252" t="str">
            <v>r10Ve</v>
          </cell>
        </row>
        <row r="2253">
          <cell r="B2253">
            <v>17542</v>
          </cell>
          <cell r="C2253" t="str">
            <v>r10Vev</v>
          </cell>
        </row>
        <row r="2254">
          <cell r="B2254">
            <v>17543</v>
          </cell>
          <cell r="C2254" t="str">
            <v>r10Vem</v>
          </cell>
        </row>
        <row r="2255">
          <cell r="B2255">
            <v>111220894</v>
          </cell>
          <cell r="C2255" t="str">
            <v>r10Vep</v>
          </cell>
        </row>
        <row r="2256">
          <cell r="B2256">
            <v>17545</v>
          </cell>
          <cell r="C2256" t="str">
            <v>r10MVePC</v>
          </cell>
        </row>
        <row r="2257">
          <cell r="B2257">
            <v>111220896</v>
          </cell>
          <cell r="C2257" t="str">
            <v>r10Vei</v>
          </cell>
        </row>
        <row r="2258">
          <cell r="B2258">
            <v>17544</v>
          </cell>
          <cell r="C2258" t="str">
            <v>r10SpVe</v>
          </cell>
        </row>
        <row r="2259">
          <cell r="B2259">
            <v>111220898</v>
          </cell>
          <cell r="C2259" t="str">
            <v>r10Ves</v>
          </cell>
        </row>
        <row r="2260">
          <cell r="B2260">
            <v>17546</v>
          </cell>
          <cell r="C2260" t="str">
            <v>r10ECu</v>
          </cell>
        </row>
        <row r="2261">
          <cell r="B2261">
            <v>17547</v>
          </cell>
          <cell r="C2261" t="str">
            <v>r10Tr</v>
          </cell>
        </row>
        <row r="2262">
          <cell r="B2262">
            <v>17548</v>
          </cell>
          <cell r="C2262" t="str">
            <v>r10Trv</v>
          </cell>
        </row>
        <row r="2263">
          <cell r="B2263">
            <v>17549</v>
          </cell>
          <cell r="C2263" t="str">
            <v>r10Trm</v>
          </cell>
        </row>
        <row r="2264">
          <cell r="B2264">
            <v>111220900</v>
          </cell>
          <cell r="C2264" t="str">
            <v>r10Trp</v>
          </cell>
        </row>
        <row r="2265">
          <cell r="B2265">
            <v>17552</v>
          </cell>
          <cell r="C2265" t="str">
            <v>r10Sol</v>
          </cell>
        </row>
        <row r="2266">
          <cell r="B2266">
            <v>111220902</v>
          </cell>
          <cell r="C2266" t="str">
            <v>r10Tri</v>
          </cell>
        </row>
        <row r="2267">
          <cell r="B2267">
            <v>17551</v>
          </cell>
          <cell r="C2267" t="str">
            <v>r10-5Tr</v>
          </cell>
        </row>
        <row r="2268">
          <cell r="B2268">
            <v>17555</v>
          </cell>
          <cell r="C2268" t="str">
            <v>r10DPCRt</v>
          </cell>
        </row>
        <row r="2269">
          <cell r="B2269">
            <v>111220904</v>
          </cell>
          <cell r="C2269" t="str">
            <v>r10Trs</v>
          </cell>
        </row>
        <row r="2270">
          <cell r="B2270">
            <v>17550</v>
          </cell>
          <cell r="C2270" t="str">
            <v>r10Sp5C</v>
          </cell>
        </row>
        <row r="2271">
          <cell r="B2271">
            <v>17553</v>
          </cell>
          <cell r="C2271" t="str">
            <v>r10Gr</v>
          </cell>
        </row>
        <row r="2272">
          <cell r="B2272">
            <v>17554</v>
          </cell>
          <cell r="C2272" t="str">
            <v>r10Cu</v>
          </cell>
        </row>
        <row r="2273">
          <cell r="B2273">
            <v>17556</v>
          </cell>
          <cell r="C2273" t="str">
            <v>r10Lim</v>
          </cell>
        </row>
        <row r="2274">
          <cell r="B2274">
            <v>17557</v>
          </cell>
          <cell r="C2274" t="str">
            <v>r10Limv</v>
          </cell>
        </row>
        <row r="2275">
          <cell r="B2275">
            <v>17558</v>
          </cell>
          <cell r="C2275" t="str">
            <v>r10Limm</v>
          </cell>
        </row>
        <row r="2276">
          <cell r="B2276">
            <v>111220906</v>
          </cell>
          <cell r="C2276" t="str">
            <v>r10Limp</v>
          </cell>
        </row>
        <row r="2277">
          <cell r="B2277">
            <v>17560</v>
          </cell>
          <cell r="C2277" t="str">
            <v>r10-10M</v>
          </cell>
        </row>
        <row r="2278">
          <cell r="B2278">
            <v>112892417</v>
          </cell>
          <cell r="C2278" t="str">
            <v>r10LimCG</v>
          </cell>
        </row>
        <row r="2279">
          <cell r="B2279">
            <v>111220908</v>
          </cell>
          <cell r="C2279" t="str">
            <v>r10Limi</v>
          </cell>
        </row>
        <row r="2280">
          <cell r="B2280">
            <v>17559</v>
          </cell>
          <cell r="C2280" t="str">
            <v>r10VPCRt</v>
          </cell>
        </row>
        <row r="2281">
          <cell r="B2281">
            <v>111220910</v>
          </cell>
          <cell r="C2281" t="str">
            <v>r10Lims</v>
          </cell>
        </row>
        <row r="2282">
          <cell r="B2282">
            <v>17561</v>
          </cell>
          <cell r="C2282" t="str">
            <v>r10Amb</v>
          </cell>
        </row>
        <row r="2283">
          <cell r="B2283">
            <v>17562</v>
          </cell>
          <cell r="C2283" t="str">
            <v>r10B</v>
          </cell>
        </row>
        <row r="2284">
          <cell r="B2284">
            <v>111220912</v>
          </cell>
          <cell r="C2284" t="str">
            <v>r10Bv</v>
          </cell>
        </row>
        <row r="2285">
          <cell r="B2285">
            <v>111220914</v>
          </cell>
          <cell r="C2285" t="str">
            <v>r10Bm</v>
          </cell>
        </row>
        <row r="2286">
          <cell r="B2286">
            <v>17563</v>
          </cell>
          <cell r="C2286" t="str">
            <v>r10BL</v>
          </cell>
        </row>
        <row r="2287">
          <cell r="B2287">
            <v>17564</v>
          </cell>
          <cell r="C2287" t="str">
            <v>r10BLv</v>
          </cell>
        </row>
        <row r="2288">
          <cell r="B2288">
            <v>17565</v>
          </cell>
          <cell r="C2288" t="str">
            <v>r10BLm</v>
          </cell>
        </row>
        <row r="2289">
          <cell r="B2289">
            <v>17566</v>
          </cell>
          <cell r="C2289" t="str">
            <v>r10BLp</v>
          </cell>
        </row>
        <row r="2290">
          <cell r="B2290">
            <v>17567</v>
          </cell>
          <cell r="C2290" t="str">
            <v>r10BLIZ</v>
          </cell>
        </row>
        <row r="2291">
          <cell r="B2291">
            <v>17568</v>
          </cell>
          <cell r="C2291" t="str">
            <v>r10BLi</v>
          </cell>
        </row>
        <row r="2292">
          <cell r="B2292">
            <v>17569</v>
          </cell>
          <cell r="C2292" t="str">
            <v>r10BLRt</v>
          </cell>
        </row>
        <row r="2293">
          <cell r="B2293">
            <v>17570</v>
          </cell>
          <cell r="C2293" t="str">
            <v>r10BLs</v>
          </cell>
        </row>
        <row r="2294">
          <cell r="B2294">
            <v>17571</v>
          </cell>
          <cell r="C2294" t="str">
            <v>r10BI</v>
          </cell>
        </row>
        <row r="2295">
          <cell r="B2295">
            <v>17572</v>
          </cell>
          <cell r="C2295" t="str">
            <v>r10BIv</v>
          </cell>
        </row>
        <row r="2296">
          <cell r="B2296">
            <v>17573</v>
          </cell>
          <cell r="C2296" t="str">
            <v>r10BIm</v>
          </cell>
        </row>
        <row r="2297">
          <cell r="B2297">
            <v>17574</v>
          </cell>
          <cell r="C2297" t="str">
            <v>r10BIp</v>
          </cell>
        </row>
        <row r="2298">
          <cell r="B2298">
            <v>17575</v>
          </cell>
          <cell r="C2298" t="str">
            <v>r10IS</v>
          </cell>
        </row>
        <row r="2299">
          <cell r="B2299">
            <v>17576</v>
          </cell>
          <cell r="C2299" t="str">
            <v>r10BIIZ</v>
          </cell>
        </row>
        <row r="2300">
          <cell r="B2300">
            <v>17577</v>
          </cell>
          <cell r="C2300" t="str">
            <v>r10BIi</v>
          </cell>
        </row>
        <row r="2301">
          <cell r="B2301">
            <v>17578</v>
          </cell>
          <cell r="C2301" t="str">
            <v>r10-11M</v>
          </cell>
        </row>
        <row r="2302">
          <cell r="B2302">
            <v>17579</v>
          </cell>
          <cell r="C2302" t="str">
            <v>r10BIRt</v>
          </cell>
        </row>
        <row r="2303">
          <cell r="B2303">
            <v>17580</v>
          </cell>
          <cell r="C2303" t="str">
            <v>r10BIs</v>
          </cell>
        </row>
        <row r="2304">
          <cell r="B2304">
            <v>17581</v>
          </cell>
          <cell r="C2304" t="str">
            <v>r10BM</v>
          </cell>
        </row>
        <row r="2305">
          <cell r="B2305">
            <v>17582</v>
          </cell>
          <cell r="C2305" t="str">
            <v>r10BMv</v>
          </cell>
        </row>
        <row r="2306">
          <cell r="B2306">
            <v>17583</v>
          </cell>
          <cell r="C2306" t="str">
            <v>r10BMm</v>
          </cell>
        </row>
        <row r="2307">
          <cell r="B2307">
            <v>17584</v>
          </cell>
          <cell r="C2307" t="str">
            <v>r10BMp</v>
          </cell>
        </row>
        <row r="2308">
          <cell r="B2308">
            <v>17585</v>
          </cell>
          <cell r="C2308" t="str">
            <v>r10-12M</v>
          </cell>
        </row>
        <row r="2309">
          <cell r="B2309">
            <v>17586</v>
          </cell>
          <cell r="C2309" t="str">
            <v>r10Ro</v>
          </cell>
        </row>
        <row r="2310">
          <cell r="B2310">
            <v>17587</v>
          </cell>
          <cell r="C2310" t="str">
            <v>r10BMi</v>
          </cell>
        </row>
        <row r="2311">
          <cell r="B2311">
            <v>17588</v>
          </cell>
          <cell r="C2311" t="str">
            <v>r10-RO</v>
          </cell>
        </row>
        <row r="2312">
          <cell r="B2312">
            <v>17589</v>
          </cell>
          <cell r="C2312" t="str">
            <v>r10BMRt</v>
          </cell>
        </row>
        <row r="2313">
          <cell r="B2313">
            <v>17590</v>
          </cell>
          <cell r="C2313" t="str">
            <v>r10Gi</v>
          </cell>
        </row>
        <row r="2314">
          <cell r="B2314">
            <v>17591</v>
          </cell>
          <cell r="C2314" t="str">
            <v>r10GiV</v>
          </cell>
        </row>
        <row r="2315">
          <cell r="B2315">
            <v>17592</v>
          </cell>
          <cell r="C2315" t="str">
            <v>r10BMs</v>
          </cell>
        </row>
        <row r="2316">
          <cell r="B2316">
            <v>17593</v>
          </cell>
          <cell r="C2316" t="str">
            <v>r10-RP</v>
          </cell>
        </row>
        <row r="2317">
          <cell r="B2317">
            <v>17594</v>
          </cell>
          <cell r="C2317" t="str">
            <v>r10-IO</v>
          </cell>
        </row>
        <row r="2318">
          <cell r="B2318">
            <v>17595</v>
          </cell>
          <cell r="C2318" t="str">
            <v>r10F</v>
          </cell>
        </row>
        <row r="2319">
          <cell r="B2319">
            <v>112892419</v>
          </cell>
          <cell r="C2319" t="str">
            <v>r10Fv</v>
          </cell>
        </row>
        <row r="2320">
          <cell r="B2320">
            <v>112892421</v>
          </cell>
          <cell r="C2320" t="str">
            <v>r10Fm</v>
          </cell>
        </row>
        <row r="2321">
          <cell r="B2321">
            <v>112892423</v>
          </cell>
          <cell r="C2321" t="str">
            <v>r10Fp</v>
          </cell>
        </row>
        <row r="2322">
          <cell r="B2322">
            <v>112892425</v>
          </cell>
          <cell r="C2322" t="str">
            <v>r10Fi</v>
          </cell>
        </row>
        <row r="2323">
          <cell r="B2323">
            <v>112892427</v>
          </cell>
          <cell r="C2323" t="str">
            <v>r10Fs</v>
          </cell>
        </row>
        <row r="2324">
          <cell r="B2324">
            <v>17596</v>
          </cell>
          <cell r="C2324" t="str">
            <v>r11</v>
          </cell>
        </row>
        <row r="2325">
          <cell r="B2325">
            <v>17597</v>
          </cell>
          <cell r="C2325" t="str">
            <v>r11R</v>
          </cell>
        </row>
        <row r="2326">
          <cell r="B2326">
            <v>17598</v>
          </cell>
          <cell r="C2326" t="str">
            <v>r11A</v>
          </cell>
        </row>
        <row r="2327">
          <cell r="B2327">
            <v>111220916</v>
          </cell>
          <cell r="C2327" t="str">
            <v>r11Av</v>
          </cell>
        </row>
        <row r="2328">
          <cell r="B2328">
            <v>111220918</v>
          </cell>
          <cell r="C2328" t="str">
            <v>r11Am</v>
          </cell>
        </row>
        <row r="2329">
          <cell r="B2329">
            <v>17599</v>
          </cell>
          <cell r="C2329" t="str">
            <v>r11Ve</v>
          </cell>
        </row>
        <row r="2330">
          <cell r="B2330">
            <v>17600</v>
          </cell>
          <cell r="C2330" t="str">
            <v>r11Vev</v>
          </cell>
        </row>
        <row r="2331">
          <cell r="B2331">
            <v>17601</v>
          </cell>
          <cell r="C2331" t="str">
            <v>r11Vem</v>
          </cell>
        </row>
        <row r="2332">
          <cell r="B2332">
            <v>111220920</v>
          </cell>
          <cell r="C2332" t="str">
            <v>r11Vep</v>
          </cell>
        </row>
        <row r="2333">
          <cell r="B2333">
            <v>111220922</v>
          </cell>
          <cell r="C2333" t="str">
            <v>r11Vei</v>
          </cell>
        </row>
        <row r="2334">
          <cell r="B2334">
            <v>111220924</v>
          </cell>
          <cell r="C2334" t="str">
            <v>r11Ves</v>
          </cell>
        </row>
        <row r="2335">
          <cell r="B2335">
            <v>17602</v>
          </cell>
          <cell r="C2335" t="str">
            <v>r11ECu</v>
          </cell>
        </row>
        <row r="2336">
          <cell r="B2336">
            <v>17603</v>
          </cell>
          <cell r="C2336" t="str">
            <v>r11Tr</v>
          </cell>
        </row>
        <row r="2337">
          <cell r="B2337">
            <v>17604</v>
          </cell>
          <cell r="C2337" t="str">
            <v>r11Trv</v>
          </cell>
        </row>
        <row r="2338">
          <cell r="B2338">
            <v>17605</v>
          </cell>
          <cell r="C2338" t="str">
            <v>r11Trm</v>
          </cell>
        </row>
        <row r="2339">
          <cell r="B2339">
            <v>111220926</v>
          </cell>
          <cell r="C2339" t="str">
            <v>r11Trp</v>
          </cell>
        </row>
        <row r="2340">
          <cell r="B2340">
            <v>17608</v>
          </cell>
          <cell r="C2340" t="str">
            <v>r11Sol</v>
          </cell>
        </row>
        <row r="2341">
          <cell r="B2341">
            <v>111220928</v>
          </cell>
          <cell r="C2341" t="str">
            <v>r11Tri</v>
          </cell>
        </row>
        <row r="2342">
          <cell r="B2342">
            <v>17607</v>
          </cell>
          <cell r="C2342" t="str">
            <v>r11-5Tr</v>
          </cell>
        </row>
        <row r="2343">
          <cell r="B2343">
            <v>17611</v>
          </cell>
          <cell r="C2343" t="str">
            <v>r11DPCRt</v>
          </cell>
        </row>
        <row r="2344">
          <cell r="B2344">
            <v>111220930</v>
          </cell>
          <cell r="C2344" t="str">
            <v>r11Trs</v>
          </cell>
        </row>
        <row r="2345">
          <cell r="B2345">
            <v>17606</v>
          </cell>
          <cell r="C2345" t="str">
            <v>r11Sp5C</v>
          </cell>
        </row>
        <row r="2346">
          <cell r="B2346">
            <v>17609</v>
          </cell>
          <cell r="C2346" t="str">
            <v>r11Gr</v>
          </cell>
        </row>
        <row r="2347">
          <cell r="B2347">
            <v>17610</v>
          </cell>
          <cell r="C2347" t="str">
            <v>r11Cu</v>
          </cell>
        </row>
        <row r="2348">
          <cell r="B2348">
            <v>17612</v>
          </cell>
          <cell r="C2348" t="str">
            <v>r11Lim</v>
          </cell>
        </row>
        <row r="2349">
          <cell r="B2349">
            <v>17613</v>
          </cell>
          <cell r="C2349" t="str">
            <v>r11Limv</v>
          </cell>
        </row>
        <row r="2350">
          <cell r="B2350">
            <v>17614</v>
          </cell>
          <cell r="C2350" t="str">
            <v>r11Limm</v>
          </cell>
        </row>
        <row r="2351">
          <cell r="B2351">
            <v>111220932</v>
          </cell>
          <cell r="C2351" t="str">
            <v>r11Limp</v>
          </cell>
        </row>
        <row r="2352">
          <cell r="B2352">
            <v>17615</v>
          </cell>
          <cell r="C2352" t="str">
            <v>r11LimCG</v>
          </cell>
        </row>
        <row r="2353">
          <cell r="B2353">
            <v>17617</v>
          </cell>
          <cell r="C2353" t="str">
            <v>r11-10M</v>
          </cell>
        </row>
        <row r="2354">
          <cell r="B2354">
            <v>111220934</v>
          </cell>
          <cell r="C2354" t="str">
            <v>r11Limi</v>
          </cell>
        </row>
        <row r="2355">
          <cell r="B2355">
            <v>17616</v>
          </cell>
          <cell r="C2355" t="str">
            <v>r11VPCRt</v>
          </cell>
        </row>
        <row r="2356">
          <cell r="B2356">
            <v>17618</v>
          </cell>
          <cell r="C2356" t="str">
            <v>r11-11M</v>
          </cell>
        </row>
        <row r="2357">
          <cell r="B2357">
            <v>111220936</v>
          </cell>
          <cell r="C2357" t="str">
            <v>r11Lims</v>
          </cell>
        </row>
        <row r="2358">
          <cell r="B2358">
            <v>17619</v>
          </cell>
          <cell r="C2358" t="str">
            <v>r11Amb</v>
          </cell>
        </row>
        <row r="2359">
          <cell r="B2359">
            <v>17620</v>
          </cell>
          <cell r="C2359" t="str">
            <v>r11B</v>
          </cell>
        </row>
        <row r="2360">
          <cell r="B2360">
            <v>111220938</v>
          </cell>
          <cell r="C2360" t="str">
            <v>r11Bv</v>
          </cell>
        </row>
        <row r="2361">
          <cell r="B2361">
            <v>111220940</v>
          </cell>
          <cell r="C2361" t="str">
            <v>r11Bm</v>
          </cell>
        </row>
        <row r="2362">
          <cell r="B2362">
            <v>17621</v>
          </cell>
          <cell r="C2362" t="str">
            <v>r11BL</v>
          </cell>
        </row>
        <row r="2363">
          <cell r="B2363">
            <v>17622</v>
          </cell>
          <cell r="C2363" t="str">
            <v>r11BLv</v>
          </cell>
        </row>
        <row r="2364">
          <cell r="B2364">
            <v>17623</v>
          </cell>
          <cell r="C2364" t="str">
            <v>r11BLm</v>
          </cell>
        </row>
        <row r="2365">
          <cell r="B2365">
            <v>17624</v>
          </cell>
          <cell r="C2365" t="str">
            <v>r11BLp</v>
          </cell>
        </row>
        <row r="2366">
          <cell r="B2366">
            <v>17625</v>
          </cell>
          <cell r="C2366" t="str">
            <v>r11BLIZ</v>
          </cell>
        </row>
        <row r="2367">
          <cell r="B2367">
            <v>17626</v>
          </cell>
          <cell r="C2367" t="str">
            <v>r11BLi</v>
          </cell>
        </row>
        <row r="2368">
          <cell r="B2368">
            <v>17627</v>
          </cell>
          <cell r="C2368" t="str">
            <v>r11BLRt</v>
          </cell>
        </row>
        <row r="2369">
          <cell r="B2369">
            <v>17628</v>
          </cell>
          <cell r="C2369" t="str">
            <v>r11BLs</v>
          </cell>
        </row>
        <row r="2370">
          <cell r="B2370">
            <v>17629</v>
          </cell>
          <cell r="C2370" t="str">
            <v>r11BI</v>
          </cell>
        </row>
        <row r="2371">
          <cell r="B2371">
            <v>17630</v>
          </cell>
          <cell r="C2371" t="str">
            <v>r11BIv</v>
          </cell>
        </row>
        <row r="2372">
          <cell r="B2372">
            <v>17631</v>
          </cell>
          <cell r="C2372" t="str">
            <v>r11BIm</v>
          </cell>
        </row>
        <row r="2373">
          <cell r="B2373">
            <v>17632</v>
          </cell>
          <cell r="C2373" t="str">
            <v>r11BIp</v>
          </cell>
        </row>
        <row r="2374">
          <cell r="B2374">
            <v>17633</v>
          </cell>
          <cell r="C2374" t="str">
            <v>r11BIIZ</v>
          </cell>
        </row>
        <row r="2375">
          <cell r="B2375">
            <v>17634</v>
          </cell>
          <cell r="C2375" t="str">
            <v>r11-11</v>
          </cell>
        </row>
        <row r="2376">
          <cell r="B2376">
            <v>17635</v>
          </cell>
          <cell r="C2376" t="str">
            <v>r11BIi</v>
          </cell>
        </row>
        <row r="2377">
          <cell r="B2377">
            <v>17636</v>
          </cell>
          <cell r="C2377" t="str">
            <v>r11BIRt</v>
          </cell>
        </row>
        <row r="2378">
          <cell r="B2378">
            <v>17637</v>
          </cell>
          <cell r="C2378" t="str">
            <v>r11BIs</v>
          </cell>
        </row>
        <row r="2379">
          <cell r="B2379">
            <v>17638</v>
          </cell>
          <cell r="C2379" t="str">
            <v>r11BM</v>
          </cell>
        </row>
        <row r="2380">
          <cell r="B2380">
            <v>17639</v>
          </cell>
          <cell r="C2380" t="str">
            <v>r11BMv</v>
          </cell>
        </row>
        <row r="2381">
          <cell r="B2381">
            <v>17640</v>
          </cell>
          <cell r="C2381" t="str">
            <v>r11BMm</v>
          </cell>
        </row>
        <row r="2382">
          <cell r="B2382">
            <v>17641</v>
          </cell>
          <cell r="C2382" t="str">
            <v>r11BMp</v>
          </cell>
        </row>
        <row r="2383">
          <cell r="B2383">
            <v>114403731</v>
          </cell>
          <cell r="C2383" t="str">
            <v>r11Ro</v>
          </cell>
        </row>
        <row r="2384">
          <cell r="B2384">
            <v>17642</v>
          </cell>
          <cell r="C2384" t="str">
            <v>r11-12M</v>
          </cell>
        </row>
        <row r="2385">
          <cell r="B2385">
            <v>17643</v>
          </cell>
          <cell r="C2385" t="str">
            <v>r11BMi</v>
          </cell>
        </row>
        <row r="2386">
          <cell r="B2386">
            <v>17644</v>
          </cell>
          <cell r="C2386" t="str">
            <v>r11-RO</v>
          </cell>
        </row>
        <row r="2387">
          <cell r="B2387">
            <v>17645</v>
          </cell>
          <cell r="C2387" t="str">
            <v>r11BMRt</v>
          </cell>
        </row>
        <row r="2388">
          <cell r="B2388">
            <v>17646</v>
          </cell>
          <cell r="C2388" t="str">
            <v>r11Gi</v>
          </cell>
        </row>
        <row r="2389">
          <cell r="B2389">
            <v>17647</v>
          </cell>
          <cell r="C2389" t="str">
            <v>r11GiV</v>
          </cell>
        </row>
        <row r="2390">
          <cell r="B2390">
            <v>17648</v>
          </cell>
          <cell r="C2390" t="str">
            <v>r11BMs</v>
          </cell>
        </row>
        <row r="2391">
          <cell r="B2391">
            <v>17649</v>
          </cell>
          <cell r="C2391" t="str">
            <v>r11-RP</v>
          </cell>
        </row>
        <row r="2392">
          <cell r="B2392">
            <v>127201621</v>
          </cell>
          <cell r="C2392" t="str">
            <v>r11-IO</v>
          </cell>
        </row>
        <row r="2393">
          <cell r="B2393">
            <v>17650</v>
          </cell>
          <cell r="C2393" t="str">
            <v>r11F</v>
          </cell>
        </row>
        <row r="2394">
          <cell r="B2394">
            <v>112892429</v>
          </cell>
          <cell r="C2394" t="str">
            <v>r11Fv</v>
          </cell>
        </row>
        <row r="2395">
          <cell r="B2395">
            <v>112892431</v>
          </cell>
          <cell r="C2395" t="str">
            <v>r11Fm</v>
          </cell>
        </row>
        <row r="2396">
          <cell r="B2396">
            <v>112892433</v>
          </cell>
          <cell r="C2396" t="str">
            <v>r11Fp</v>
          </cell>
        </row>
        <row r="2397">
          <cell r="B2397">
            <v>112892435</v>
          </cell>
          <cell r="C2397" t="str">
            <v>r11Fi</v>
          </cell>
        </row>
        <row r="2398">
          <cell r="B2398">
            <v>112892437</v>
          </cell>
          <cell r="C2398" t="str">
            <v>r11Fs</v>
          </cell>
        </row>
        <row r="2399">
          <cell r="B2399">
            <v>17651</v>
          </cell>
          <cell r="C2399" t="str">
            <v>SpC</v>
          </cell>
        </row>
        <row r="2400">
          <cell r="B2400">
            <v>17652</v>
          </cell>
          <cell r="C2400" t="str">
            <v>SpR</v>
          </cell>
        </row>
        <row r="2401">
          <cell r="B2401">
            <v>17653</v>
          </cell>
          <cell r="C2401" t="str">
            <v>SpA</v>
          </cell>
        </row>
        <row r="2402">
          <cell r="B2402">
            <v>111220942</v>
          </cell>
          <cell r="C2402" t="str">
            <v>SpAv</v>
          </cell>
        </row>
        <row r="2403">
          <cell r="B2403">
            <v>111220944</v>
          </cell>
          <cell r="C2403" t="str">
            <v>SpAm</v>
          </cell>
        </row>
        <row r="2404">
          <cell r="B2404">
            <v>17654</v>
          </cell>
          <cell r="C2404" t="str">
            <v>SpAM</v>
          </cell>
        </row>
        <row r="2405">
          <cell r="B2405">
            <v>17655</v>
          </cell>
          <cell r="C2405" t="str">
            <v>SpAMv</v>
          </cell>
        </row>
        <row r="2406">
          <cell r="B2406">
            <v>17656</v>
          </cell>
          <cell r="C2406" t="str">
            <v>SpAMm</v>
          </cell>
        </row>
        <row r="2407">
          <cell r="B2407">
            <v>17657</v>
          </cell>
          <cell r="C2407" t="str">
            <v>SpAMp</v>
          </cell>
        </row>
        <row r="2408">
          <cell r="B2408">
            <v>17658</v>
          </cell>
          <cell r="C2408" t="str">
            <v>AM10Sp</v>
          </cell>
        </row>
        <row r="2409">
          <cell r="B2409">
            <v>17659</v>
          </cell>
          <cell r="C2409" t="str">
            <v>SpAMi</v>
          </cell>
        </row>
        <row r="2410">
          <cell r="B2410">
            <v>17660</v>
          </cell>
          <cell r="C2410" t="str">
            <v>4SpCC</v>
          </cell>
        </row>
        <row r="2411">
          <cell r="B2411">
            <v>17661</v>
          </cell>
          <cell r="C2411" t="str">
            <v>IB</v>
          </cell>
        </row>
        <row r="2412">
          <cell r="B2412">
            <v>17662</v>
          </cell>
          <cell r="C2412" t="str">
            <v>Dth</v>
          </cell>
        </row>
        <row r="2413">
          <cell r="B2413">
            <v>17663</v>
          </cell>
          <cell r="C2413" t="str">
            <v>LuDCom</v>
          </cell>
        </row>
        <row r="2414">
          <cell r="B2414">
            <v>17664</v>
          </cell>
          <cell r="C2414" t="str">
            <v>SDCom</v>
          </cell>
        </row>
        <row r="2415">
          <cell r="B2415">
            <v>17665</v>
          </cell>
          <cell r="C2415" t="str">
            <v>SpAMs</v>
          </cell>
        </row>
        <row r="2416">
          <cell r="B2416">
            <v>17666</v>
          </cell>
          <cell r="C2416" t="str">
            <v>SpAL</v>
          </cell>
        </row>
        <row r="2417">
          <cell r="B2417">
            <v>17667</v>
          </cell>
          <cell r="C2417" t="str">
            <v>SpALv</v>
          </cell>
        </row>
        <row r="2418">
          <cell r="B2418">
            <v>17668</v>
          </cell>
          <cell r="C2418" t="str">
            <v>AL10Sp</v>
          </cell>
        </row>
        <row r="2419">
          <cell r="B2419">
            <v>17669</v>
          </cell>
          <cell r="C2419" t="str">
            <v>SpALm</v>
          </cell>
        </row>
        <row r="2420">
          <cell r="B2420">
            <v>17670</v>
          </cell>
          <cell r="C2420" t="str">
            <v>SpALp</v>
          </cell>
        </row>
        <row r="2421">
          <cell r="B2421">
            <v>17671</v>
          </cell>
          <cell r="C2421" t="str">
            <v>SpALi</v>
          </cell>
        </row>
        <row r="2422">
          <cell r="B2422">
            <v>17672</v>
          </cell>
          <cell r="C2422" t="str">
            <v>3Sp</v>
          </cell>
        </row>
        <row r="2423">
          <cell r="B2423">
            <v>17673</v>
          </cell>
          <cell r="C2423" t="str">
            <v>4SpL</v>
          </cell>
        </row>
        <row r="2424">
          <cell r="B2424">
            <v>17674</v>
          </cell>
          <cell r="C2424" t="str">
            <v>SpALs</v>
          </cell>
        </row>
        <row r="2425">
          <cell r="B2425">
            <v>17675</v>
          </cell>
          <cell r="C2425" t="str">
            <v>1Sp</v>
          </cell>
        </row>
        <row r="2426">
          <cell r="B2426">
            <v>17676</v>
          </cell>
          <cell r="C2426" t="str">
            <v>2Sp</v>
          </cell>
        </row>
        <row r="2427">
          <cell r="B2427">
            <v>17677</v>
          </cell>
          <cell r="C2427" t="str">
            <v>SpAV</v>
          </cell>
        </row>
        <row r="2428">
          <cell r="B2428">
            <v>17678</v>
          </cell>
          <cell r="C2428" t="str">
            <v>SpAVv</v>
          </cell>
        </row>
        <row r="2429">
          <cell r="B2429">
            <v>17679</v>
          </cell>
          <cell r="C2429" t="str">
            <v>SpAVm</v>
          </cell>
        </row>
        <row r="2430">
          <cell r="B2430">
            <v>17680</v>
          </cell>
          <cell r="C2430" t="str">
            <v>SpAVp</v>
          </cell>
        </row>
        <row r="2431">
          <cell r="B2431">
            <v>17681</v>
          </cell>
          <cell r="C2431" t="str">
            <v>AV10Sp</v>
          </cell>
        </row>
        <row r="2432">
          <cell r="B2432">
            <v>17682</v>
          </cell>
          <cell r="C2432" t="str">
            <v>SpAVi</v>
          </cell>
        </row>
        <row r="2433">
          <cell r="B2433">
            <v>17683</v>
          </cell>
          <cell r="C2433" t="str">
            <v>5Sp</v>
          </cell>
        </row>
        <row r="2434">
          <cell r="B2434">
            <v>17684</v>
          </cell>
          <cell r="C2434" t="str">
            <v>5SpM</v>
          </cell>
        </row>
        <row r="2435">
          <cell r="B2435">
            <v>17685</v>
          </cell>
          <cell r="C2435" t="str">
            <v>5SpL</v>
          </cell>
        </row>
        <row r="2436">
          <cell r="B2436">
            <v>17686</v>
          </cell>
          <cell r="C2436" t="str">
            <v>6Sp</v>
          </cell>
        </row>
        <row r="2437">
          <cell r="B2437">
            <v>17687</v>
          </cell>
          <cell r="C2437" t="str">
            <v>6SpM</v>
          </cell>
        </row>
        <row r="2438">
          <cell r="B2438">
            <v>17688</v>
          </cell>
          <cell r="C2438" t="str">
            <v>6SpL</v>
          </cell>
        </row>
        <row r="2439">
          <cell r="B2439">
            <v>17689</v>
          </cell>
          <cell r="C2439" t="str">
            <v>SpAVs</v>
          </cell>
        </row>
        <row r="2440">
          <cell r="B2440">
            <v>17690</v>
          </cell>
          <cell r="C2440" t="str">
            <v>LSpin</v>
          </cell>
        </row>
        <row r="2441">
          <cell r="B2441">
            <v>17691</v>
          </cell>
          <cell r="C2441" t="str">
            <v>LatC</v>
          </cell>
        </row>
        <row r="2442">
          <cell r="B2442">
            <v>17692</v>
          </cell>
          <cell r="C2442" t="str">
            <v>SpB</v>
          </cell>
        </row>
        <row r="2443">
          <cell r="B2443">
            <v>111220946</v>
          </cell>
          <cell r="C2443" t="str">
            <v>SpBv</v>
          </cell>
        </row>
        <row r="2444">
          <cell r="B2444">
            <v>111220948</v>
          </cell>
          <cell r="C2444" t="str">
            <v>SpBm</v>
          </cell>
        </row>
        <row r="2445">
          <cell r="B2445">
            <v>17693</v>
          </cell>
          <cell r="C2445" t="str">
            <v>SpBL</v>
          </cell>
        </row>
        <row r="2446">
          <cell r="B2446">
            <v>17694</v>
          </cell>
          <cell r="C2446" t="str">
            <v>SpBLv</v>
          </cell>
        </row>
        <row r="2447">
          <cell r="B2447">
            <v>17695</v>
          </cell>
          <cell r="C2447" t="str">
            <v>SpBLm</v>
          </cell>
        </row>
        <row r="2448">
          <cell r="B2448">
            <v>17696</v>
          </cell>
          <cell r="C2448" t="str">
            <v>SpBLp</v>
          </cell>
        </row>
        <row r="2449">
          <cell r="B2449">
            <v>17697</v>
          </cell>
          <cell r="C2449" t="str">
            <v>BL10Sp</v>
          </cell>
        </row>
        <row r="2450">
          <cell r="B2450">
            <v>17698</v>
          </cell>
          <cell r="C2450" t="str">
            <v>SpBLi</v>
          </cell>
        </row>
        <row r="2451">
          <cell r="B2451">
            <v>17699</v>
          </cell>
          <cell r="C2451" t="str">
            <v>7Sp</v>
          </cell>
        </row>
        <row r="2452">
          <cell r="B2452">
            <v>17700</v>
          </cell>
          <cell r="C2452" t="str">
            <v>LPrCb</v>
          </cell>
        </row>
        <row r="2453">
          <cell r="B2453">
            <v>17701</v>
          </cell>
          <cell r="C2453" t="str">
            <v>SPrCb</v>
          </cell>
        </row>
        <row r="2454">
          <cell r="B2454">
            <v>17702</v>
          </cell>
          <cell r="C2454" t="str">
            <v>CeCv</v>
          </cell>
        </row>
        <row r="2455">
          <cell r="B2455">
            <v>17703</v>
          </cell>
          <cell r="C2455" t="str">
            <v>VHLI</v>
          </cell>
        </row>
        <row r="2456">
          <cell r="B2456">
            <v>17704</v>
          </cell>
          <cell r="C2456" t="str">
            <v>TSyP</v>
          </cell>
        </row>
        <row r="2457">
          <cell r="B2457">
            <v>17705</v>
          </cell>
          <cell r="C2457" t="str">
            <v>IMM</v>
          </cell>
        </row>
        <row r="2458">
          <cell r="B2458">
            <v>17706</v>
          </cell>
          <cell r="C2458" t="str">
            <v>IML</v>
          </cell>
        </row>
        <row r="2459">
          <cell r="B2459">
            <v>17707</v>
          </cell>
          <cell r="C2459" t="str">
            <v>LDCom</v>
          </cell>
        </row>
        <row r="2460">
          <cell r="B2460">
            <v>17708</v>
          </cell>
          <cell r="C2460" t="str">
            <v>SPSy</v>
          </cell>
        </row>
        <row r="2461">
          <cell r="B2461">
            <v>17709</v>
          </cell>
          <cell r="C2461" t="str">
            <v>SpBLs</v>
          </cell>
        </row>
        <row r="2462">
          <cell r="B2462">
            <v>17710</v>
          </cell>
          <cell r="C2462" t="str">
            <v>SpBI</v>
          </cell>
        </row>
        <row r="2463">
          <cell r="B2463">
            <v>17711</v>
          </cell>
          <cell r="C2463" t="str">
            <v>SpBIv</v>
          </cell>
        </row>
        <row r="2464">
          <cell r="B2464">
            <v>17712</v>
          </cell>
          <cell r="C2464" t="str">
            <v>SpBIm</v>
          </cell>
        </row>
        <row r="2465">
          <cell r="B2465">
            <v>17713</v>
          </cell>
          <cell r="C2465" t="str">
            <v>SpBIp</v>
          </cell>
        </row>
        <row r="2466">
          <cell r="B2466">
            <v>17714</v>
          </cell>
          <cell r="C2466" t="str">
            <v>BI10Sp</v>
          </cell>
        </row>
        <row r="2467">
          <cell r="B2467">
            <v>17715</v>
          </cell>
          <cell r="C2467" t="str">
            <v>SpBIi</v>
          </cell>
        </row>
        <row r="2468">
          <cell r="B2468">
            <v>17716</v>
          </cell>
          <cell r="C2468" t="str">
            <v>9Sp</v>
          </cell>
        </row>
        <row r="2469">
          <cell r="B2469">
            <v>17717</v>
          </cell>
          <cell r="C2469" t="str">
            <v>MC</v>
          </cell>
        </row>
        <row r="2470">
          <cell r="B2470">
            <v>17718</v>
          </cell>
          <cell r="C2470" t="str">
            <v>MMC</v>
          </cell>
        </row>
        <row r="2471">
          <cell r="B2471">
            <v>17719</v>
          </cell>
          <cell r="C2471" t="str">
            <v>LMC</v>
          </cell>
        </row>
        <row r="2472">
          <cell r="B2472">
            <v>17720</v>
          </cell>
          <cell r="C2472" t="str">
            <v>CMC</v>
          </cell>
        </row>
        <row r="2473">
          <cell r="B2473">
            <v>17721</v>
          </cell>
          <cell r="C2473" t="str">
            <v>Onuf</v>
          </cell>
        </row>
        <row r="2474">
          <cell r="B2474">
            <v>17722</v>
          </cell>
          <cell r="C2474" t="str">
            <v>OnufM</v>
          </cell>
        </row>
        <row r="2475">
          <cell r="B2475">
            <v>17723</v>
          </cell>
          <cell r="C2475" t="str">
            <v>OnufL</v>
          </cell>
        </row>
        <row r="2476">
          <cell r="B2476">
            <v>17724</v>
          </cell>
          <cell r="C2476" t="str">
            <v>SpBIs</v>
          </cell>
        </row>
        <row r="2477">
          <cell r="B2477">
            <v>17725</v>
          </cell>
          <cell r="C2477" t="str">
            <v>SpBM</v>
          </cell>
        </row>
        <row r="2478">
          <cell r="B2478">
            <v>17726</v>
          </cell>
          <cell r="C2478" t="str">
            <v>SpBMv</v>
          </cell>
        </row>
        <row r="2479">
          <cell r="B2479">
            <v>17727</v>
          </cell>
          <cell r="C2479" t="str">
            <v>SpBMm</v>
          </cell>
        </row>
        <row r="2480">
          <cell r="B2480">
            <v>17728</v>
          </cell>
          <cell r="C2480" t="str">
            <v>SpBMp</v>
          </cell>
        </row>
        <row r="2481">
          <cell r="B2481">
            <v>17729</v>
          </cell>
          <cell r="C2481" t="str">
            <v>BM10Sp</v>
          </cell>
        </row>
        <row r="2482">
          <cell r="B2482">
            <v>17730</v>
          </cell>
          <cell r="C2482" t="str">
            <v>SpBMi</v>
          </cell>
        </row>
        <row r="2483">
          <cell r="B2483">
            <v>17731</v>
          </cell>
          <cell r="C2483" t="str">
            <v>8Sp</v>
          </cell>
        </row>
        <row r="2484">
          <cell r="B2484">
            <v>17732</v>
          </cell>
          <cell r="C2484" t="str">
            <v>VHMI</v>
          </cell>
        </row>
        <row r="2485">
          <cell r="B2485">
            <v>17733</v>
          </cell>
          <cell r="C2485" t="str">
            <v>SpBMs</v>
          </cell>
        </row>
        <row r="2486">
          <cell r="B2486">
            <v>17734</v>
          </cell>
          <cell r="C2486" t="str">
            <v>SpF</v>
          </cell>
        </row>
        <row r="2487">
          <cell r="B2487">
            <v>112892439</v>
          </cell>
          <cell r="C2487" t="str">
            <v>SpFv</v>
          </cell>
        </row>
        <row r="2488">
          <cell r="B2488">
            <v>112892441</v>
          </cell>
          <cell r="C2488" t="str">
            <v>SpFm</v>
          </cell>
        </row>
        <row r="2489">
          <cell r="B2489">
            <v>112892443</v>
          </cell>
          <cell r="C2489" t="str">
            <v>SpFp</v>
          </cell>
        </row>
        <row r="2490">
          <cell r="B2490">
            <v>112892445</v>
          </cell>
          <cell r="C2490" t="str">
            <v>SpFi</v>
          </cell>
        </row>
        <row r="2491">
          <cell r="B2491">
            <v>112892447</v>
          </cell>
          <cell r="C2491" t="str">
            <v>SpFs</v>
          </cell>
        </row>
        <row r="2492">
          <cell r="B2492">
            <v>17735</v>
          </cell>
          <cell r="C2492" t="str">
            <v>tracts</v>
          </cell>
        </row>
        <row r="2493">
          <cell r="B2493">
            <v>17736</v>
          </cell>
          <cell r="C2493" t="str">
            <v>3n</v>
          </cell>
        </row>
        <row r="2494">
          <cell r="B2494">
            <v>17737</v>
          </cell>
          <cell r="C2494" t="str">
            <v>4n</v>
          </cell>
        </row>
        <row r="2495">
          <cell r="B2495">
            <v>17738</v>
          </cell>
          <cell r="C2495" t="str">
            <v>4d</v>
          </cell>
        </row>
        <row r="2496">
          <cell r="B2496">
            <v>17739</v>
          </cell>
          <cell r="C2496" t="str">
            <v>5n</v>
          </cell>
        </row>
        <row r="2497">
          <cell r="B2497">
            <v>17740</v>
          </cell>
          <cell r="C2497" t="str">
            <v>5mes</v>
          </cell>
        </row>
        <row r="2498">
          <cell r="B2498">
            <v>17741</v>
          </cell>
          <cell r="C2498" t="str">
            <v>6n</v>
          </cell>
        </row>
        <row r="2499">
          <cell r="B2499">
            <v>17742</v>
          </cell>
          <cell r="C2499" t="str">
            <v>7n</v>
          </cell>
        </row>
        <row r="2500">
          <cell r="B2500">
            <v>17743</v>
          </cell>
          <cell r="C2500" t="str">
            <v>7na</v>
          </cell>
        </row>
        <row r="2501">
          <cell r="B2501">
            <v>17744</v>
          </cell>
          <cell r="C2501" t="str">
            <v>7ne</v>
          </cell>
        </row>
        <row r="2502">
          <cell r="B2502">
            <v>17745</v>
          </cell>
          <cell r="C2502" t="str">
            <v>7ng</v>
          </cell>
        </row>
        <row r="2503">
          <cell r="B2503">
            <v>17746</v>
          </cell>
          <cell r="C2503" t="str">
            <v>8n</v>
          </cell>
        </row>
        <row r="2504">
          <cell r="B2504">
            <v>17747</v>
          </cell>
          <cell r="C2504" t="str">
            <v>9n</v>
          </cell>
        </row>
        <row r="2505">
          <cell r="B2505">
            <v>17748</v>
          </cell>
          <cell r="C2505" t="str">
            <v>10n</v>
          </cell>
        </row>
        <row r="2506">
          <cell r="B2506">
            <v>17749</v>
          </cell>
          <cell r="C2506" t="str">
            <v>11n</v>
          </cell>
        </row>
        <row r="2507">
          <cell r="B2507">
            <v>17750</v>
          </cell>
          <cell r="C2507" t="str">
            <v>12n</v>
          </cell>
        </row>
        <row r="2508">
          <cell r="B2508">
            <v>17751</v>
          </cell>
          <cell r="C2508" t="str">
            <v>ac</v>
          </cell>
        </row>
        <row r="2509">
          <cell r="B2509">
            <v>16129</v>
          </cell>
          <cell r="C2509" t="str">
            <v>alvCA</v>
          </cell>
        </row>
        <row r="2510">
          <cell r="B2510">
            <v>16168</v>
          </cell>
          <cell r="C2510" t="str">
            <v>alvS</v>
          </cell>
        </row>
        <row r="2511">
          <cell r="B2511">
            <v>17752</v>
          </cell>
          <cell r="C2511" t="str">
            <v>asc5</v>
          </cell>
        </row>
        <row r="2512">
          <cell r="B2512">
            <v>17753</v>
          </cell>
          <cell r="C2512" t="str">
            <v>bic</v>
          </cell>
        </row>
        <row r="2513">
          <cell r="B2513">
            <v>17754</v>
          </cell>
          <cell r="C2513" t="str">
            <v>cbc</v>
          </cell>
        </row>
        <row r="2514">
          <cell r="B2514">
            <v>17755</v>
          </cell>
          <cell r="C2514" t="str">
            <v>cc</v>
          </cell>
        </row>
        <row r="2515">
          <cell r="B2515">
            <v>17756</v>
          </cell>
          <cell r="C2515" t="str">
            <v>csp</v>
          </cell>
        </row>
        <row r="2516">
          <cell r="B2516">
            <v>17757</v>
          </cell>
          <cell r="C2516" t="str">
            <v>d5th</v>
          </cell>
        </row>
        <row r="2517">
          <cell r="B2517">
            <v>17758</v>
          </cell>
          <cell r="C2517" t="str">
            <v>db</v>
          </cell>
        </row>
        <row r="2518">
          <cell r="B2518">
            <v>17759</v>
          </cell>
          <cell r="C2518" t="str">
            <v>dc</v>
          </cell>
        </row>
        <row r="2519">
          <cell r="B2519">
            <v>17760</v>
          </cell>
          <cell r="C2519" t="str">
            <v>dpy</v>
          </cell>
        </row>
        <row r="2520">
          <cell r="B2520">
            <v>17761</v>
          </cell>
          <cell r="C2520" t="str">
            <v>dsc</v>
          </cell>
        </row>
        <row r="2521">
          <cell r="B2521">
            <v>17762</v>
          </cell>
          <cell r="C2521" t="str">
            <v>dscp</v>
          </cell>
        </row>
        <row r="2522">
          <cell r="B2522">
            <v>17763</v>
          </cell>
          <cell r="C2522" t="str">
            <v>dsoc</v>
          </cell>
        </row>
        <row r="2523">
          <cell r="B2523">
            <v>17764</v>
          </cell>
          <cell r="C2523" t="str">
            <v>dtg</v>
          </cell>
        </row>
        <row r="2524">
          <cell r="B2524">
            <v>17765</v>
          </cell>
          <cell r="C2524" t="str">
            <v>ec</v>
          </cell>
        </row>
        <row r="2525">
          <cell r="B2525">
            <v>17766</v>
          </cell>
          <cell r="C2525" t="str">
            <v>fi</v>
          </cell>
        </row>
        <row r="2526">
          <cell r="B2526">
            <v>17767</v>
          </cell>
          <cell r="C2526" t="str">
            <v>fx</v>
          </cell>
        </row>
        <row r="2527">
          <cell r="B2527">
            <v>17768</v>
          </cell>
          <cell r="C2527" t="str">
            <v>hbc</v>
          </cell>
        </row>
        <row r="2528">
          <cell r="B2528">
            <v>17769</v>
          </cell>
          <cell r="C2528" t="str">
            <v>hc</v>
          </cell>
        </row>
        <row r="2529">
          <cell r="B2529">
            <v>17770</v>
          </cell>
          <cell r="C2529" t="str">
            <v>ic</v>
          </cell>
        </row>
        <row r="2530">
          <cell r="B2530">
            <v>17771</v>
          </cell>
          <cell r="C2530" t="str">
            <v>icc</v>
          </cell>
        </row>
        <row r="2531">
          <cell r="B2531">
            <v>17772</v>
          </cell>
          <cell r="C2531" t="str">
            <v>icp</v>
          </cell>
        </row>
        <row r="2532">
          <cell r="B2532">
            <v>17773</v>
          </cell>
          <cell r="C2532" t="str">
            <v>lot</v>
          </cell>
        </row>
        <row r="2533">
          <cell r="B2533">
            <v>17774</v>
          </cell>
          <cell r="C2533" t="str">
            <v>ll</v>
          </cell>
        </row>
        <row r="2534">
          <cell r="B2534">
            <v>17775</v>
          </cell>
          <cell r="C2534" t="str">
            <v>mcp</v>
          </cell>
        </row>
        <row r="2535">
          <cell r="B2535">
            <v>17776</v>
          </cell>
          <cell r="C2535" t="str">
            <v>ml</v>
          </cell>
        </row>
        <row r="2536">
          <cell r="B2536">
            <v>17777</v>
          </cell>
          <cell r="C2536" t="str">
            <v>dml</v>
          </cell>
        </row>
        <row r="2537">
          <cell r="B2537">
            <v>17778</v>
          </cell>
          <cell r="C2537" t="str">
            <v>mlf</v>
          </cell>
        </row>
        <row r="2538">
          <cell r="B2538">
            <v>17779</v>
          </cell>
          <cell r="C2538" t="str">
            <v>mot</v>
          </cell>
        </row>
        <row r="2539">
          <cell r="B2539">
            <v>17780</v>
          </cell>
          <cell r="C2539" t="str">
            <v>mped</v>
          </cell>
        </row>
        <row r="2540">
          <cell r="B2540">
            <v>17781</v>
          </cell>
          <cell r="C2540" t="str">
            <v>mtg</v>
          </cell>
        </row>
        <row r="2541">
          <cell r="B2541">
            <v>17782</v>
          </cell>
          <cell r="C2541" t="str">
            <v>mth</v>
          </cell>
        </row>
        <row r="2542">
          <cell r="B2542">
            <v>17783</v>
          </cell>
          <cell r="C2542" t="str">
            <v>och</v>
          </cell>
        </row>
        <row r="2543">
          <cell r="B2543">
            <v>17784</v>
          </cell>
          <cell r="C2543" t="str">
            <v>on</v>
          </cell>
        </row>
        <row r="2544">
          <cell r="B2544">
            <v>17785</v>
          </cell>
          <cell r="C2544" t="str">
            <v>opt</v>
          </cell>
        </row>
        <row r="2545">
          <cell r="B2545">
            <v>17786</v>
          </cell>
          <cell r="C2545" t="str">
            <v>p</v>
          </cell>
        </row>
        <row r="2546">
          <cell r="B2546">
            <v>17787</v>
          </cell>
          <cell r="C2546" t="str">
            <v>pc</v>
          </cell>
        </row>
        <row r="2547">
          <cell r="B2547">
            <v>17788</v>
          </cell>
          <cell r="C2547" t="str">
            <v>ped</v>
          </cell>
        </row>
        <row r="2548">
          <cell r="B2548">
            <v>17789</v>
          </cell>
          <cell r="C2548" t="str">
            <v>py</v>
          </cell>
        </row>
        <row r="2549">
          <cell r="B2549">
            <v>17790</v>
          </cell>
          <cell r="C2549" t="str">
            <v>rf</v>
          </cell>
        </row>
        <row r="2550">
          <cell r="B2550">
            <v>17791</v>
          </cell>
          <cell r="C2550" t="str">
            <v>rmc</v>
          </cell>
        </row>
        <row r="2551">
          <cell r="B2551">
            <v>17792</v>
          </cell>
          <cell r="C2551" t="str">
            <v>rs</v>
          </cell>
        </row>
        <row r="2552">
          <cell r="B2552">
            <v>17793</v>
          </cell>
          <cell r="C2552" t="str">
            <v>scp</v>
          </cell>
        </row>
        <row r="2553">
          <cell r="B2553">
            <v>17794</v>
          </cell>
          <cell r="C2553" t="str">
            <v>sm</v>
          </cell>
        </row>
        <row r="2554">
          <cell r="B2554">
            <v>17795</v>
          </cell>
          <cell r="C2554" t="str">
            <v>soc</v>
          </cell>
        </row>
        <row r="2555">
          <cell r="B2555">
            <v>17796</v>
          </cell>
          <cell r="C2555" t="str">
            <v>sol</v>
          </cell>
        </row>
        <row r="2556">
          <cell r="B2556">
            <v>17797</v>
          </cell>
          <cell r="C2556" t="str">
            <v>sp5</v>
          </cell>
        </row>
        <row r="2557">
          <cell r="B2557">
            <v>17798</v>
          </cell>
          <cell r="C2557" t="str">
            <v>st</v>
          </cell>
        </row>
        <row r="2558">
          <cell r="B2558">
            <v>17799</v>
          </cell>
          <cell r="C2558" t="str">
            <v>tc</v>
          </cell>
        </row>
        <row r="2559">
          <cell r="B2559">
            <v>17800</v>
          </cell>
          <cell r="C2559" t="str">
            <v>tgc</v>
          </cell>
        </row>
        <row r="2560">
          <cell r="B2560">
            <v>17801</v>
          </cell>
          <cell r="C2560" t="str">
            <v>thcx</v>
          </cell>
        </row>
        <row r="2561">
          <cell r="B2561">
            <v>17802</v>
          </cell>
          <cell r="C2561" t="str">
            <v>tsp</v>
          </cell>
        </row>
        <row r="2562">
          <cell r="B2562">
            <v>17803</v>
          </cell>
          <cell r="C2562" t="str">
            <v>tz</v>
          </cell>
        </row>
        <row r="2563">
          <cell r="B2563">
            <v>17804</v>
          </cell>
          <cell r="C2563" t="str">
            <v>un</v>
          </cell>
        </row>
        <row r="2564">
          <cell r="B2564">
            <v>17805</v>
          </cell>
          <cell r="C2564" t="str">
            <v>vsc</v>
          </cell>
        </row>
        <row r="2565">
          <cell r="B2565">
            <v>17806</v>
          </cell>
          <cell r="C2565" t="str">
            <v>vsoc</v>
          </cell>
        </row>
        <row r="2566">
          <cell r="B2566">
            <v>17807</v>
          </cell>
          <cell r="C2566" t="str">
            <v>vtg</v>
          </cell>
        </row>
        <row r="2567">
          <cell r="B2567">
            <v>17808</v>
          </cell>
          <cell r="C2567" t="str">
            <v>zli</v>
          </cell>
        </row>
        <row r="2568">
          <cell r="B2568">
            <v>126651558</v>
          </cell>
          <cell r="C2568" t="str">
            <v>ventricles</v>
          </cell>
        </row>
        <row r="2569">
          <cell r="B2569">
            <v>126651562</v>
          </cell>
          <cell r="C2569" t="str">
            <v>v_F</v>
          </cell>
        </row>
        <row r="2570">
          <cell r="B2570">
            <v>126651566</v>
          </cell>
          <cell r="C2570" t="str">
            <v>v_SP</v>
          </cell>
        </row>
        <row r="2571">
          <cell r="B2571">
            <v>126651570</v>
          </cell>
          <cell r="C2571" t="str">
            <v>v_RSP</v>
          </cell>
        </row>
        <row r="2572">
          <cell r="B2572">
            <v>126651574</v>
          </cell>
          <cell r="C2572" t="str">
            <v>v_POTel</v>
          </cell>
        </row>
        <row r="2573">
          <cell r="B2573">
            <v>126651578</v>
          </cell>
          <cell r="C2573" t="str">
            <v>v_POR</v>
          </cell>
        </row>
        <row r="2574">
          <cell r="B2574">
            <v>126651582</v>
          </cell>
          <cell r="C2574" t="str">
            <v>v_POA</v>
          </cell>
        </row>
        <row r="2575">
          <cell r="B2575">
            <v>126651586</v>
          </cell>
          <cell r="C2575" t="str">
            <v>v_THy</v>
          </cell>
        </row>
        <row r="2576">
          <cell r="B2576">
            <v>126651590</v>
          </cell>
          <cell r="C2576" t="str">
            <v>v_THyA</v>
          </cell>
        </row>
        <row r="2577">
          <cell r="B2577">
            <v>126651594</v>
          </cell>
          <cell r="C2577" t="str">
            <v>v_THyB</v>
          </cell>
        </row>
        <row r="2578">
          <cell r="B2578">
            <v>126651598</v>
          </cell>
          <cell r="C2578" t="str">
            <v>v_THyF</v>
          </cell>
        </row>
        <row r="2579">
          <cell r="B2579">
            <v>126651602</v>
          </cell>
          <cell r="C2579" t="str">
            <v>v_CSP</v>
          </cell>
        </row>
        <row r="2580">
          <cell r="B2580">
            <v>126651606</v>
          </cell>
          <cell r="C2580" t="str">
            <v>v_Tel</v>
          </cell>
        </row>
        <row r="2581">
          <cell r="B2581">
            <v>126651610</v>
          </cell>
          <cell r="C2581" t="str">
            <v>v_TelR</v>
          </cell>
        </row>
        <row r="2582">
          <cell r="B2582">
            <v>126651614</v>
          </cell>
          <cell r="C2582" t="str">
            <v>v_TelA</v>
          </cell>
        </row>
        <row r="2583">
          <cell r="B2583">
            <v>126651618</v>
          </cell>
          <cell r="C2583" t="str">
            <v>v_PHy</v>
          </cell>
        </row>
        <row r="2584">
          <cell r="B2584">
            <v>126651622</v>
          </cell>
          <cell r="C2584" t="str">
            <v>v_PHyA</v>
          </cell>
        </row>
        <row r="2585">
          <cell r="B2585">
            <v>126651626</v>
          </cell>
          <cell r="C2585" t="str">
            <v>v_PHyB</v>
          </cell>
        </row>
        <row r="2586">
          <cell r="B2586">
            <v>126651630</v>
          </cell>
          <cell r="C2586" t="str">
            <v>v_PHyF</v>
          </cell>
        </row>
        <row r="2587">
          <cell r="B2587">
            <v>126651634</v>
          </cell>
          <cell r="C2587" t="str">
            <v>v_D</v>
          </cell>
        </row>
        <row r="2588">
          <cell r="B2588">
            <v>126651638</v>
          </cell>
          <cell r="C2588" t="str">
            <v>v_p3</v>
          </cell>
        </row>
        <row r="2589">
          <cell r="B2589">
            <v>126651642</v>
          </cell>
          <cell r="C2589" t="str">
            <v>v_PTh</v>
          </cell>
        </row>
        <row r="2590">
          <cell r="B2590">
            <v>126651646</v>
          </cell>
          <cell r="C2590" t="str">
            <v>v_p3R</v>
          </cell>
        </row>
        <row r="2591">
          <cell r="B2591">
            <v>126651650</v>
          </cell>
          <cell r="C2591" t="str">
            <v>v_p3A</v>
          </cell>
        </row>
        <row r="2592">
          <cell r="B2592">
            <v>126651654</v>
          </cell>
          <cell r="C2592" t="str">
            <v>v_PThTg</v>
          </cell>
        </row>
        <row r="2593">
          <cell r="B2593">
            <v>126651658</v>
          </cell>
          <cell r="C2593" t="str">
            <v>v_p3B</v>
          </cell>
        </row>
        <row r="2594">
          <cell r="B2594">
            <v>126651662</v>
          </cell>
          <cell r="C2594" t="str">
            <v>v_p3F</v>
          </cell>
        </row>
        <row r="2595">
          <cell r="B2595">
            <v>126651666</v>
          </cell>
          <cell r="C2595" t="str">
            <v>v_p2</v>
          </cell>
        </row>
        <row r="2596">
          <cell r="B2596">
            <v>126651670</v>
          </cell>
          <cell r="C2596" t="str">
            <v>v_Th</v>
          </cell>
        </row>
        <row r="2597">
          <cell r="B2597">
            <v>126651674</v>
          </cell>
          <cell r="C2597" t="str">
            <v>v_p2R</v>
          </cell>
        </row>
        <row r="2598">
          <cell r="B2598">
            <v>126651678</v>
          </cell>
          <cell r="C2598" t="str">
            <v>v_p2A</v>
          </cell>
        </row>
        <row r="2599">
          <cell r="B2599">
            <v>126651682</v>
          </cell>
          <cell r="C2599" t="str">
            <v>v_ThTg</v>
          </cell>
        </row>
        <row r="2600">
          <cell r="B2600">
            <v>126651686</v>
          </cell>
          <cell r="C2600" t="str">
            <v>v_p2B</v>
          </cell>
        </row>
        <row r="2601">
          <cell r="B2601">
            <v>126651690</v>
          </cell>
          <cell r="C2601" t="str">
            <v>v_p2F</v>
          </cell>
        </row>
        <row r="2602">
          <cell r="B2602">
            <v>126651694</v>
          </cell>
          <cell r="C2602" t="str">
            <v>v_p1</v>
          </cell>
        </row>
        <row r="2603">
          <cell r="B2603">
            <v>126651698</v>
          </cell>
          <cell r="C2603" t="str">
            <v>v_Pt</v>
          </cell>
        </row>
        <row r="2604">
          <cell r="B2604">
            <v>126651702</v>
          </cell>
          <cell r="C2604" t="str">
            <v>v_p1R</v>
          </cell>
        </row>
        <row r="2605">
          <cell r="B2605">
            <v>126651706</v>
          </cell>
          <cell r="C2605" t="str">
            <v>v_p1A</v>
          </cell>
        </row>
        <row r="2606">
          <cell r="B2606">
            <v>126651710</v>
          </cell>
          <cell r="C2606" t="str">
            <v>v_PtTg</v>
          </cell>
        </row>
        <row r="2607">
          <cell r="B2607">
            <v>126651714</v>
          </cell>
          <cell r="C2607" t="str">
            <v>v_p1B</v>
          </cell>
        </row>
        <row r="2608">
          <cell r="B2608">
            <v>126651718</v>
          </cell>
          <cell r="C2608" t="str">
            <v>v_p1F</v>
          </cell>
        </row>
        <row r="2609">
          <cell r="B2609">
            <v>126651722</v>
          </cell>
          <cell r="C2609" t="str">
            <v>v_M</v>
          </cell>
        </row>
        <row r="2610">
          <cell r="B2610">
            <v>126651726</v>
          </cell>
          <cell r="C2610" t="str">
            <v>v_m1</v>
          </cell>
        </row>
        <row r="2611">
          <cell r="B2611">
            <v>126651730</v>
          </cell>
          <cell r="C2611" t="str">
            <v>v_MTt</v>
          </cell>
        </row>
        <row r="2612">
          <cell r="B2612">
            <v>126651734</v>
          </cell>
          <cell r="C2612" t="str">
            <v>v_m1R</v>
          </cell>
        </row>
        <row r="2613">
          <cell r="B2613">
            <v>126651738</v>
          </cell>
          <cell r="C2613" t="str">
            <v>v_m1A</v>
          </cell>
        </row>
        <row r="2614">
          <cell r="B2614">
            <v>126651742</v>
          </cell>
          <cell r="C2614" t="str">
            <v>v_MTg</v>
          </cell>
        </row>
        <row r="2615">
          <cell r="B2615">
            <v>126651746</v>
          </cell>
          <cell r="C2615" t="str">
            <v>v_m1B</v>
          </cell>
        </row>
        <row r="2616">
          <cell r="B2616">
            <v>126651750</v>
          </cell>
          <cell r="C2616" t="str">
            <v>v_m1F</v>
          </cell>
        </row>
        <row r="2617">
          <cell r="B2617">
            <v>126651754</v>
          </cell>
          <cell r="C2617" t="str">
            <v>v_m2</v>
          </cell>
        </row>
        <row r="2618">
          <cell r="B2618">
            <v>126651758</v>
          </cell>
          <cell r="C2618" t="str">
            <v>v_PIsTt</v>
          </cell>
        </row>
        <row r="2619">
          <cell r="B2619">
            <v>126651762</v>
          </cell>
          <cell r="C2619" t="str">
            <v>v_m2R</v>
          </cell>
        </row>
        <row r="2620">
          <cell r="B2620">
            <v>126651766</v>
          </cell>
          <cell r="C2620" t="str">
            <v>v_m2A</v>
          </cell>
        </row>
        <row r="2621">
          <cell r="B2621">
            <v>126651770</v>
          </cell>
          <cell r="C2621" t="str">
            <v>v_PIsTg</v>
          </cell>
        </row>
        <row r="2622">
          <cell r="B2622">
            <v>126651774</v>
          </cell>
          <cell r="C2622" t="str">
            <v>v_m2B</v>
          </cell>
        </row>
        <row r="2623">
          <cell r="B2623">
            <v>126651778</v>
          </cell>
          <cell r="C2623" t="str">
            <v>v_m2F</v>
          </cell>
        </row>
        <row r="2624">
          <cell r="B2624">
            <v>126651782</v>
          </cell>
          <cell r="C2624" t="str">
            <v>v_H</v>
          </cell>
        </row>
        <row r="2625">
          <cell r="B2625">
            <v>126651786</v>
          </cell>
          <cell r="C2625" t="str">
            <v>v_PPH</v>
          </cell>
        </row>
        <row r="2626">
          <cell r="B2626">
            <v>126651790</v>
          </cell>
          <cell r="C2626" t="str">
            <v>v_is</v>
          </cell>
        </row>
        <row r="2627">
          <cell r="B2627">
            <v>126651794</v>
          </cell>
          <cell r="C2627" t="str">
            <v>v_isR</v>
          </cell>
        </row>
        <row r="2628">
          <cell r="B2628">
            <v>126651798</v>
          </cell>
          <cell r="C2628" t="str">
            <v>v_isA</v>
          </cell>
        </row>
        <row r="2629">
          <cell r="B2629">
            <v>126651802</v>
          </cell>
          <cell r="C2629" t="str">
            <v>v_isB</v>
          </cell>
        </row>
        <row r="2630">
          <cell r="B2630">
            <v>126651806</v>
          </cell>
          <cell r="C2630" t="str">
            <v>v_isF</v>
          </cell>
        </row>
        <row r="2631">
          <cell r="B2631">
            <v>126651810</v>
          </cell>
          <cell r="C2631" t="str">
            <v>v_r1</v>
          </cell>
        </row>
        <row r="2632">
          <cell r="B2632">
            <v>126651814</v>
          </cell>
          <cell r="C2632" t="str">
            <v>v_r1R</v>
          </cell>
        </row>
        <row r="2633">
          <cell r="B2633">
            <v>126651818</v>
          </cell>
          <cell r="C2633" t="str">
            <v>v_r1A</v>
          </cell>
        </row>
        <row r="2634">
          <cell r="B2634">
            <v>126651822</v>
          </cell>
          <cell r="C2634" t="str">
            <v>v_r1B</v>
          </cell>
        </row>
        <row r="2635">
          <cell r="B2635">
            <v>126651826</v>
          </cell>
          <cell r="C2635" t="str">
            <v>v_r1F</v>
          </cell>
        </row>
        <row r="2636">
          <cell r="B2636">
            <v>126651830</v>
          </cell>
          <cell r="C2636" t="str">
            <v>v_r2</v>
          </cell>
        </row>
        <row r="2637">
          <cell r="B2637">
            <v>126651834</v>
          </cell>
          <cell r="C2637" t="str">
            <v>v_r2R</v>
          </cell>
        </row>
        <row r="2638">
          <cell r="B2638">
            <v>126651838</v>
          </cell>
          <cell r="C2638" t="str">
            <v>v_r2A</v>
          </cell>
        </row>
        <row r="2639">
          <cell r="B2639">
            <v>126651842</v>
          </cell>
          <cell r="C2639" t="str">
            <v>v_r2B</v>
          </cell>
        </row>
        <row r="2640">
          <cell r="B2640">
            <v>126651846</v>
          </cell>
          <cell r="C2640" t="str">
            <v>v_r2F</v>
          </cell>
        </row>
        <row r="2641">
          <cell r="B2641">
            <v>126651850</v>
          </cell>
          <cell r="C2641" t="str">
            <v>v_PH</v>
          </cell>
        </row>
        <row r="2642">
          <cell r="B2642">
            <v>126651854</v>
          </cell>
          <cell r="C2642" t="str">
            <v>v_r3</v>
          </cell>
        </row>
        <row r="2643">
          <cell r="B2643">
            <v>126651858</v>
          </cell>
          <cell r="C2643" t="str">
            <v>v_r3R</v>
          </cell>
        </row>
        <row r="2644">
          <cell r="B2644">
            <v>126651862</v>
          </cell>
          <cell r="C2644" t="str">
            <v>v_r3A</v>
          </cell>
        </row>
        <row r="2645">
          <cell r="B2645">
            <v>126651866</v>
          </cell>
          <cell r="C2645" t="str">
            <v>v_r3B</v>
          </cell>
        </row>
        <row r="2646">
          <cell r="B2646">
            <v>126651870</v>
          </cell>
          <cell r="C2646" t="str">
            <v>v_r3F</v>
          </cell>
        </row>
        <row r="2647">
          <cell r="B2647">
            <v>126651874</v>
          </cell>
          <cell r="C2647" t="str">
            <v>v_r4</v>
          </cell>
        </row>
        <row r="2648">
          <cell r="B2648">
            <v>126651878</v>
          </cell>
          <cell r="C2648" t="str">
            <v>v_r4R</v>
          </cell>
        </row>
        <row r="2649">
          <cell r="B2649">
            <v>126651882</v>
          </cell>
          <cell r="C2649" t="str">
            <v>v_r4A</v>
          </cell>
        </row>
        <row r="2650">
          <cell r="B2650">
            <v>126651886</v>
          </cell>
          <cell r="C2650" t="str">
            <v>v_r4B</v>
          </cell>
        </row>
        <row r="2651">
          <cell r="B2651">
            <v>126651890</v>
          </cell>
          <cell r="C2651" t="str">
            <v>v_r4F</v>
          </cell>
        </row>
        <row r="2652">
          <cell r="B2652">
            <v>126651894</v>
          </cell>
          <cell r="C2652" t="str">
            <v>v_PMH</v>
          </cell>
        </row>
        <row r="2653">
          <cell r="B2653">
            <v>126651898</v>
          </cell>
          <cell r="C2653" t="str">
            <v>v_r5</v>
          </cell>
        </row>
        <row r="2654">
          <cell r="B2654">
            <v>126651902</v>
          </cell>
          <cell r="C2654" t="str">
            <v>v_r5R</v>
          </cell>
        </row>
        <row r="2655">
          <cell r="B2655">
            <v>126651906</v>
          </cell>
          <cell r="C2655" t="str">
            <v>v_r5A</v>
          </cell>
        </row>
        <row r="2656">
          <cell r="B2656">
            <v>126651910</v>
          </cell>
          <cell r="C2656" t="str">
            <v>v_r5B</v>
          </cell>
        </row>
        <row r="2657">
          <cell r="B2657">
            <v>126651914</v>
          </cell>
          <cell r="C2657" t="str">
            <v>v_r5F</v>
          </cell>
        </row>
        <row r="2658">
          <cell r="B2658">
            <v>126651918</v>
          </cell>
          <cell r="C2658" t="str">
            <v>v_r6</v>
          </cell>
        </row>
        <row r="2659">
          <cell r="B2659">
            <v>126651922</v>
          </cell>
          <cell r="C2659" t="str">
            <v>v_r6R</v>
          </cell>
        </row>
        <row r="2660">
          <cell r="B2660">
            <v>126651926</v>
          </cell>
          <cell r="C2660" t="str">
            <v>v_r6A</v>
          </cell>
        </row>
        <row r="2661">
          <cell r="B2661">
            <v>126651930</v>
          </cell>
          <cell r="C2661" t="str">
            <v>v_r6B</v>
          </cell>
        </row>
        <row r="2662">
          <cell r="B2662">
            <v>126651934</v>
          </cell>
          <cell r="C2662" t="str">
            <v>v_r6F</v>
          </cell>
        </row>
        <row r="2663">
          <cell r="B2663">
            <v>126651938</v>
          </cell>
          <cell r="C2663" t="str">
            <v>v_MH</v>
          </cell>
        </row>
        <row r="2664">
          <cell r="B2664">
            <v>126651942</v>
          </cell>
          <cell r="C2664" t="str">
            <v>v_r7</v>
          </cell>
        </row>
        <row r="2665">
          <cell r="B2665">
            <v>126651946</v>
          </cell>
          <cell r="C2665" t="str">
            <v>v_r7R</v>
          </cell>
        </row>
        <row r="2666">
          <cell r="B2666">
            <v>126651950</v>
          </cell>
          <cell r="C2666" t="str">
            <v>v_r7A</v>
          </cell>
        </row>
        <row r="2667">
          <cell r="B2667">
            <v>126651954</v>
          </cell>
          <cell r="C2667" t="str">
            <v>v_r7B</v>
          </cell>
        </row>
        <row r="2668">
          <cell r="B2668">
            <v>126651958</v>
          </cell>
          <cell r="C2668" t="str">
            <v>v_r7F</v>
          </cell>
        </row>
        <row r="2669">
          <cell r="B2669">
            <v>126651962</v>
          </cell>
          <cell r="C2669" t="str">
            <v>v_r8</v>
          </cell>
        </row>
        <row r="2670">
          <cell r="B2670">
            <v>126651966</v>
          </cell>
          <cell r="C2670" t="str">
            <v>v_r8R</v>
          </cell>
        </row>
        <row r="2671">
          <cell r="B2671">
            <v>126651970</v>
          </cell>
          <cell r="C2671" t="str">
            <v>v_r8A</v>
          </cell>
        </row>
        <row r="2672">
          <cell r="B2672">
            <v>126651974</v>
          </cell>
          <cell r="C2672" t="str">
            <v>v_r8B</v>
          </cell>
        </row>
        <row r="2673">
          <cell r="B2673">
            <v>126651978</v>
          </cell>
          <cell r="C2673" t="str">
            <v>v_r8F</v>
          </cell>
        </row>
        <row r="2674">
          <cell r="B2674">
            <v>126651982</v>
          </cell>
          <cell r="C2674" t="str">
            <v>v_r9</v>
          </cell>
        </row>
        <row r="2675">
          <cell r="B2675">
            <v>126651986</v>
          </cell>
          <cell r="C2675" t="str">
            <v>v_r9R</v>
          </cell>
        </row>
        <row r="2676">
          <cell r="B2676">
            <v>126651990</v>
          </cell>
          <cell r="C2676" t="str">
            <v>v_r9A</v>
          </cell>
        </row>
        <row r="2677">
          <cell r="B2677">
            <v>126651994</v>
          </cell>
          <cell r="C2677" t="str">
            <v>v_r9B</v>
          </cell>
        </row>
        <row r="2678">
          <cell r="B2678">
            <v>126651998</v>
          </cell>
          <cell r="C2678" t="str">
            <v>v_r9F</v>
          </cell>
        </row>
        <row r="2679">
          <cell r="B2679">
            <v>126652002</v>
          </cell>
          <cell r="C2679" t="str">
            <v>v_r10</v>
          </cell>
        </row>
        <row r="2680">
          <cell r="B2680">
            <v>126652006</v>
          </cell>
          <cell r="C2680" t="str">
            <v>v_r10R</v>
          </cell>
        </row>
        <row r="2681">
          <cell r="B2681">
            <v>126652010</v>
          </cell>
          <cell r="C2681" t="str">
            <v>v_r10A</v>
          </cell>
        </row>
        <row r="2682">
          <cell r="B2682">
            <v>126652014</v>
          </cell>
          <cell r="C2682" t="str">
            <v>v_r10B</v>
          </cell>
        </row>
        <row r="2683">
          <cell r="B2683">
            <v>126652018</v>
          </cell>
          <cell r="C2683" t="str">
            <v>v_r10F</v>
          </cell>
        </row>
        <row r="2684">
          <cell r="B2684">
            <v>126652022</v>
          </cell>
          <cell r="C2684" t="str">
            <v>v_r11</v>
          </cell>
        </row>
        <row r="2685">
          <cell r="B2685">
            <v>126652026</v>
          </cell>
          <cell r="C2685" t="str">
            <v>v_r11R</v>
          </cell>
        </row>
        <row r="2686">
          <cell r="B2686">
            <v>126652030</v>
          </cell>
          <cell r="C2686" t="str">
            <v>v_r11A</v>
          </cell>
        </row>
        <row r="2687">
          <cell r="B2687">
            <v>126652034</v>
          </cell>
          <cell r="C2687" t="str">
            <v>v_r11B</v>
          </cell>
        </row>
        <row r="2688">
          <cell r="B2688">
            <v>126652038</v>
          </cell>
          <cell r="C2688" t="str">
            <v>v_r11F</v>
          </cell>
        </row>
        <row r="2689">
          <cell r="B2689">
            <v>126652042</v>
          </cell>
          <cell r="C2689" t="str">
            <v>v_SpC</v>
          </cell>
        </row>
        <row r="2690">
          <cell r="B2690">
            <v>126652046</v>
          </cell>
          <cell r="C2690" t="str">
            <v>v_SpR</v>
          </cell>
        </row>
        <row r="2691">
          <cell r="B2691">
            <v>126652050</v>
          </cell>
          <cell r="C2691" t="str">
            <v>v_SpA</v>
          </cell>
        </row>
        <row r="2692">
          <cell r="B2692">
            <v>126652054</v>
          </cell>
          <cell r="C2692" t="str">
            <v>v_SpB</v>
          </cell>
        </row>
        <row r="2693">
          <cell r="B2693">
            <v>126652058</v>
          </cell>
          <cell r="C2693" t="str">
            <v>v_SpF</v>
          </cell>
        </row>
      </sheetData>
      <sheetData sheetId="5">
        <row r="2">
          <cell r="B2">
            <v>10153</v>
          </cell>
          <cell r="C2" t="str">
            <v>NP</v>
          </cell>
        </row>
        <row r="3">
          <cell r="B3">
            <v>10154</v>
          </cell>
          <cell r="C3" t="str">
            <v>NT</v>
          </cell>
        </row>
        <row r="4">
          <cell r="B4">
            <v>10155</v>
          </cell>
          <cell r="C4" t="str">
            <v>Br</v>
          </cell>
        </row>
        <row r="5">
          <cell r="B5">
            <v>10156</v>
          </cell>
          <cell r="C5" t="str">
            <v>F</v>
          </cell>
        </row>
        <row r="6">
          <cell r="B6">
            <v>10157</v>
          </cell>
          <cell r="C6" t="str">
            <v>FGM</v>
          </cell>
        </row>
        <row r="7">
          <cell r="B7">
            <v>10506</v>
          </cell>
          <cell r="C7" t="str">
            <v>FTS</v>
          </cell>
        </row>
        <row r="8">
          <cell r="B8">
            <v>11580</v>
          </cell>
          <cell r="C8" t="str">
            <v>SG</v>
          </cell>
        </row>
        <row r="9">
          <cell r="B9">
            <v>11581</v>
          </cell>
          <cell r="C9" t="str">
            <v>fSG</v>
          </cell>
        </row>
        <row r="10">
          <cell r="B10">
            <v>11587</v>
          </cell>
          <cell r="C10" t="str">
            <v>fSGfp</v>
          </cell>
        </row>
        <row r="11">
          <cell r="B11">
            <v>11582</v>
          </cell>
          <cell r="C11" t="str">
            <v>fSGdm</v>
          </cell>
        </row>
        <row r="12">
          <cell r="B12">
            <v>11585</v>
          </cell>
          <cell r="C12" t="str">
            <v>fSGdl</v>
          </cell>
        </row>
        <row r="13">
          <cell r="B13">
            <v>11586</v>
          </cell>
          <cell r="C13" t="str">
            <v>fSGvl</v>
          </cell>
        </row>
        <row r="14">
          <cell r="B14">
            <v>11583</v>
          </cell>
          <cell r="C14" t="str">
            <v>fSGor</v>
          </cell>
        </row>
        <row r="15">
          <cell r="B15">
            <v>11584</v>
          </cell>
          <cell r="C15" t="str">
            <v>fSGm1</v>
          </cell>
        </row>
        <row r="16">
          <cell r="B16">
            <v>11593</v>
          </cell>
          <cell r="C16" t="str">
            <v>pSG</v>
          </cell>
        </row>
        <row r="17">
          <cell r="B17">
            <v>11594</v>
          </cell>
          <cell r="C17" t="str">
            <v>pSGs1</v>
          </cell>
        </row>
        <row r="18">
          <cell r="B18">
            <v>11597</v>
          </cell>
          <cell r="C18" t="str">
            <v>pSGdm</v>
          </cell>
        </row>
        <row r="19">
          <cell r="B19">
            <v>11595</v>
          </cell>
          <cell r="C19" t="str">
            <v>pSGpd</v>
          </cell>
        </row>
        <row r="20">
          <cell r="B20">
            <v>11596</v>
          </cell>
          <cell r="C20" t="str">
            <v>pSGpv</v>
          </cell>
        </row>
        <row r="21">
          <cell r="B21">
            <v>11598</v>
          </cell>
          <cell r="C21" t="str">
            <v>tSG</v>
          </cell>
        </row>
        <row r="22">
          <cell r="B22">
            <v>15498</v>
          </cell>
          <cell r="C22" t="str">
            <v>tSGdl</v>
          </cell>
        </row>
        <row r="23">
          <cell r="B23">
            <v>11599</v>
          </cell>
          <cell r="C23" t="str">
            <v>tSGa1</v>
          </cell>
        </row>
        <row r="24">
          <cell r="B24">
            <v>11600</v>
          </cell>
          <cell r="C24" t="str">
            <v>tSGsl</v>
          </cell>
        </row>
        <row r="25">
          <cell r="B25">
            <v>13202</v>
          </cell>
          <cell r="C25" t="str">
            <v>tSGps</v>
          </cell>
        </row>
        <row r="26">
          <cell r="B26">
            <v>13206</v>
          </cell>
          <cell r="C26" t="str">
            <v>tSGpi</v>
          </cell>
        </row>
        <row r="27">
          <cell r="B27">
            <v>15499</v>
          </cell>
          <cell r="C27" t="str">
            <v>tSGvl</v>
          </cell>
        </row>
        <row r="28">
          <cell r="B28">
            <v>13203</v>
          </cell>
          <cell r="C28" t="str">
            <v>tSGml</v>
          </cell>
        </row>
        <row r="29">
          <cell r="B29">
            <v>11601</v>
          </cell>
          <cell r="C29" t="str">
            <v>tSGil</v>
          </cell>
        </row>
        <row r="30">
          <cell r="B30">
            <v>11602</v>
          </cell>
          <cell r="C30" t="str">
            <v>tSGmi</v>
          </cell>
        </row>
        <row r="31">
          <cell r="B31">
            <v>13204</v>
          </cell>
          <cell r="C31" t="str">
            <v>tSG36</v>
          </cell>
        </row>
        <row r="32">
          <cell r="B32">
            <v>13205</v>
          </cell>
          <cell r="C32" t="str">
            <v>tSGtf</v>
          </cell>
        </row>
        <row r="33">
          <cell r="B33">
            <v>11603</v>
          </cell>
          <cell r="C33" t="str">
            <v>tSGph</v>
          </cell>
        </row>
        <row r="34">
          <cell r="B34">
            <v>11604</v>
          </cell>
          <cell r="C34" t="str">
            <v>tSGmt</v>
          </cell>
        </row>
        <row r="35">
          <cell r="B35">
            <v>11605</v>
          </cell>
          <cell r="C35" t="str">
            <v>tSGlt</v>
          </cell>
        </row>
        <row r="36">
          <cell r="B36">
            <v>11606</v>
          </cell>
          <cell r="C36" t="str">
            <v>tSGtp</v>
          </cell>
        </row>
        <row r="37">
          <cell r="B37">
            <v>11588</v>
          </cell>
          <cell r="C37" t="str">
            <v>oSG</v>
          </cell>
        </row>
        <row r="38">
          <cell r="B38">
            <v>13201</v>
          </cell>
          <cell r="C38" t="str">
            <v>oSGpro</v>
          </cell>
        </row>
        <row r="39">
          <cell r="B39">
            <v>11589</v>
          </cell>
          <cell r="C39" t="str">
            <v>oSGv1</v>
          </cell>
        </row>
        <row r="40">
          <cell r="B40">
            <v>13200</v>
          </cell>
          <cell r="C40" t="str">
            <v>oSGexs</v>
          </cell>
        </row>
        <row r="41">
          <cell r="B41">
            <v>11590</v>
          </cell>
          <cell r="C41" t="str">
            <v>oSGdm</v>
          </cell>
        </row>
        <row r="42">
          <cell r="B42">
            <v>11591</v>
          </cell>
          <cell r="C42" t="str">
            <v>oSGvm</v>
          </cell>
        </row>
        <row r="43">
          <cell r="B43">
            <v>11592</v>
          </cell>
          <cell r="C43" t="str">
            <v>oSGml</v>
          </cell>
        </row>
        <row r="44">
          <cell r="B44">
            <v>12971</v>
          </cell>
          <cell r="C44" t="str">
            <v>iSG</v>
          </cell>
        </row>
        <row r="45">
          <cell r="B45">
            <v>12972</v>
          </cell>
          <cell r="C45" t="str">
            <v>iSGdg</v>
          </cell>
        </row>
        <row r="46">
          <cell r="B46">
            <v>12973</v>
          </cell>
          <cell r="C46" t="str">
            <v>iSGg</v>
          </cell>
        </row>
        <row r="47">
          <cell r="B47">
            <v>12966</v>
          </cell>
          <cell r="C47" t="str">
            <v>cSG</v>
          </cell>
        </row>
        <row r="48">
          <cell r="B48">
            <v>12967</v>
          </cell>
          <cell r="C48" t="str">
            <v>cSGr</v>
          </cell>
        </row>
        <row r="49">
          <cell r="B49">
            <v>12968</v>
          </cell>
          <cell r="C49" t="str">
            <v>cSGmi</v>
          </cell>
        </row>
        <row r="50">
          <cell r="B50">
            <v>12969</v>
          </cell>
          <cell r="C50" t="str">
            <v>cSGc</v>
          </cell>
        </row>
        <row r="51">
          <cell r="B51">
            <v>12970</v>
          </cell>
          <cell r="C51" t="str">
            <v>cSGsg</v>
          </cell>
        </row>
        <row r="52">
          <cell r="B52">
            <v>12974</v>
          </cell>
          <cell r="C52" t="str">
            <v>peSG</v>
          </cell>
        </row>
        <row r="53">
          <cell r="B53">
            <v>13213</v>
          </cell>
          <cell r="C53" t="str">
            <v>SGPC</v>
          </cell>
        </row>
        <row r="54">
          <cell r="B54">
            <v>12979</v>
          </cell>
          <cell r="C54" t="str">
            <v>SGpcr</v>
          </cell>
        </row>
        <row r="55">
          <cell r="B55">
            <v>13214</v>
          </cell>
          <cell r="C55" t="str">
            <v>SGpcc</v>
          </cell>
        </row>
        <row r="56">
          <cell r="B56">
            <v>13273</v>
          </cell>
          <cell r="C56" t="str">
            <v>SGpas</v>
          </cell>
        </row>
        <row r="57">
          <cell r="B57">
            <v>12975</v>
          </cell>
          <cell r="C57" t="str">
            <v>SGec</v>
          </cell>
        </row>
        <row r="58">
          <cell r="B58">
            <v>13212</v>
          </cell>
          <cell r="C58" t="str">
            <v>SGecl</v>
          </cell>
        </row>
        <row r="59">
          <cell r="B59">
            <v>12976</v>
          </cell>
          <cell r="C59" t="str">
            <v>SGEo</v>
          </cell>
        </row>
        <row r="60">
          <cell r="B60">
            <v>12977</v>
          </cell>
          <cell r="C60" t="str">
            <v>SGEr</v>
          </cell>
        </row>
        <row r="61">
          <cell r="B61">
            <v>13211</v>
          </cell>
          <cell r="C61" t="str">
            <v>SGecm</v>
          </cell>
        </row>
        <row r="62">
          <cell r="B62">
            <v>12978</v>
          </cell>
          <cell r="C62" t="str">
            <v>SGEc</v>
          </cell>
        </row>
        <row r="63">
          <cell r="B63">
            <v>13210</v>
          </cell>
          <cell r="C63" t="str">
            <v>SGprs</v>
          </cell>
        </row>
        <row r="64">
          <cell r="B64">
            <v>13274</v>
          </cell>
          <cell r="C64" t="str">
            <v>SGprsr</v>
          </cell>
        </row>
        <row r="65">
          <cell r="B65">
            <v>13275</v>
          </cell>
          <cell r="C65" t="str">
            <v>SGprsc</v>
          </cell>
        </row>
        <row r="66">
          <cell r="B66">
            <v>12980</v>
          </cell>
          <cell r="C66" t="str">
            <v>SGrs</v>
          </cell>
        </row>
        <row r="67">
          <cell r="B67">
            <v>13276</v>
          </cell>
          <cell r="C67" t="str">
            <v>SGIag</v>
          </cell>
        </row>
        <row r="68">
          <cell r="B68">
            <v>13207</v>
          </cell>
          <cell r="C68" t="str">
            <v>alSG</v>
          </cell>
        </row>
        <row r="69">
          <cell r="B69">
            <v>13208</v>
          </cell>
          <cell r="C69" t="str">
            <v>SGhip</v>
          </cell>
        </row>
        <row r="70">
          <cell r="B70">
            <v>13209</v>
          </cell>
          <cell r="C70" t="str">
            <v>SGsub</v>
          </cell>
        </row>
        <row r="71">
          <cell r="B71">
            <v>13277</v>
          </cell>
          <cell r="C71" t="str">
            <v>SGpir</v>
          </cell>
        </row>
        <row r="72">
          <cell r="B72">
            <v>146034614</v>
          </cell>
          <cell r="C72" t="str">
            <v>SGiag</v>
          </cell>
        </row>
        <row r="73">
          <cell r="B73">
            <v>10508</v>
          </cell>
          <cell r="C73" t="str">
            <v>MZ</v>
          </cell>
        </row>
        <row r="74">
          <cell r="B74">
            <v>10509</v>
          </cell>
          <cell r="C74" t="str">
            <v>fMZ</v>
          </cell>
        </row>
        <row r="75">
          <cell r="B75">
            <v>11612</v>
          </cell>
          <cell r="C75" t="str">
            <v>fMZfp</v>
          </cell>
        </row>
        <row r="76">
          <cell r="B76">
            <v>11607</v>
          </cell>
          <cell r="C76" t="str">
            <v>fMZdm</v>
          </cell>
        </row>
        <row r="77">
          <cell r="B77">
            <v>11610</v>
          </cell>
          <cell r="C77" t="str">
            <v>fMZdl</v>
          </cell>
        </row>
        <row r="78">
          <cell r="B78">
            <v>11611</v>
          </cell>
          <cell r="C78" t="str">
            <v>fMZvl</v>
          </cell>
        </row>
        <row r="79">
          <cell r="B79">
            <v>11608</v>
          </cell>
          <cell r="C79" t="str">
            <v>fMZor</v>
          </cell>
        </row>
        <row r="80">
          <cell r="B80">
            <v>11609</v>
          </cell>
          <cell r="C80" t="str">
            <v>fMZm1</v>
          </cell>
        </row>
        <row r="81">
          <cell r="B81">
            <v>10511</v>
          </cell>
          <cell r="C81" t="str">
            <v>pMZ</v>
          </cell>
        </row>
        <row r="82">
          <cell r="B82">
            <v>11617</v>
          </cell>
          <cell r="C82" t="str">
            <v>pMZs1</v>
          </cell>
        </row>
        <row r="83">
          <cell r="B83">
            <v>11620</v>
          </cell>
          <cell r="C83" t="str">
            <v>pMZdm</v>
          </cell>
        </row>
        <row r="84">
          <cell r="B84">
            <v>11618</v>
          </cell>
          <cell r="C84" t="str">
            <v>pMZpd</v>
          </cell>
        </row>
        <row r="85">
          <cell r="B85">
            <v>11619</v>
          </cell>
          <cell r="C85" t="str">
            <v>pMZpv</v>
          </cell>
        </row>
        <row r="86">
          <cell r="B86">
            <v>10512</v>
          </cell>
          <cell r="C86" t="str">
            <v>tMZ</v>
          </cell>
        </row>
        <row r="87">
          <cell r="B87">
            <v>15500</v>
          </cell>
          <cell r="C87" t="str">
            <v>tMZdl</v>
          </cell>
        </row>
        <row r="88">
          <cell r="B88">
            <v>11621</v>
          </cell>
          <cell r="C88" t="str">
            <v>tMZa1</v>
          </cell>
        </row>
        <row r="89">
          <cell r="B89">
            <v>11622</v>
          </cell>
          <cell r="C89" t="str">
            <v>tMZsl</v>
          </cell>
        </row>
        <row r="90">
          <cell r="B90">
            <v>13082</v>
          </cell>
          <cell r="C90" t="str">
            <v>tMZps</v>
          </cell>
        </row>
        <row r="91">
          <cell r="B91">
            <v>13086</v>
          </cell>
          <cell r="C91" t="str">
            <v>tMZpi</v>
          </cell>
        </row>
        <row r="92">
          <cell r="B92">
            <v>15501</v>
          </cell>
          <cell r="C92" t="str">
            <v>tMZvl</v>
          </cell>
        </row>
        <row r="93">
          <cell r="B93">
            <v>13083</v>
          </cell>
          <cell r="C93" t="str">
            <v>tMZml</v>
          </cell>
        </row>
        <row r="94">
          <cell r="B94">
            <v>11623</v>
          </cell>
          <cell r="C94" t="str">
            <v>tMZil</v>
          </cell>
        </row>
        <row r="95">
          <cell r="B95">
            <v>11624</v>
          </cell>
          <cell r="C95" t="str">
            <v>tMZmi</v>
          </cell>
        </row>
        <row r="96">
          <cell r="B96">
            <v>13084</v>
          </cell>
          <cell r="C96" t="str">
            <v>tMZ36</v>
          </cell>
        </row>
        <row r="97">
          <cell r="B97">
            <v>13085</v>
          </cell>
          <cell r="C97" t="str">
            <v>tMZtf</v>
          </cell>
        </row>
        <row r="98">
          <cell r="B98">
            <v>11625</v>
          </cell>
          <cell r="C98" t="str">
            <v>tMZph</v>
          </cell>
        </row>
        <row r="99">
          <cell r="B99">
            <v>11626</v>
          </cell>
          <cell r="C99" t="str">
            <v>tMZmt</v>
          </cell>
        </row>
        <row r="100">
          <cell r="B100">
            <v>11627</v>
          </cell>
          <cell r="C100" t="str">
            <v>tMZlt</v>
          </cell>
        </row>
        <row r="101">
          <cell r="B101">
            <v>11628</v>
          </cell>
          <cell r="C101" t="str">
            <v>tMZtp</v>
          </cell>
        </row>
        <row r="102">
          <cell r="B102">
            <v>10510</v>
          </cell>
          <cell r="C102" t="str">
            <v>oMZ</v>
          </cell>
        </row>
        <row r="103">
          <cell r="B103">
            <v>13081</v>
          </cell>
          <cell r="C103" t="str">
            <v>oMZpro</v>
          </cell>
        </row>
        <row r="104">
          <cell r="B104">
            <v>11613</v>
          </cell>
          <cell r="C104" t="str">
            <v>oMZv1</v>
          </cell>
        </row>
        <row r="105">
          <cell r="B105">
            <v>13080</v>
          </cell>
          <cell r="C105" t="str">
            <v>oMZexs</v>
          </cell>
        </row>
        <row r="106">
          <cell r="B106">
            <v>11614</v>
          </cell>
          <cell r="C106" t="str">
            <v>oMZdm</v>
          </cell>
        </row>
        <row r="107">
          <cell r="B107">
            <v>11615</v>
          </cell>
          <cell r="C107" t="str">
            <v>oMZvm</v>
          </cell>
        </row>
        <row r="108">
          <cell r="B108">
            <v>11616</v>
          </cell>
          <cell r="C108" t="str">
            <v>oMZml</v>
          </cell>
        </row>
        <row r="109">
          <cell r="B109">
            <v>11634</v>
          </cell>
          <cell r="C109" t="str">
            <v>iMZ</v>
          </cell>
        </row>
        <row r="110">
          <cell r="B110">
            <v>11635</v>
          </cell>
          <cell r="C110" t="str">
            <v>iMZdg</v>
          </cell>
        </row>
        <row r="111">
          <cell r="B111">
            <v>11636</v>
          </cell>
          <cell r="C111" t="str">
            <v>iMZgr</v>
          </cell>
        </row>
        <row r="112">
          <cell r="B112">
            <v>11629</v>
          </cell>
          <cell r="C112" t="str">
            <v>cMZ</v>
          </cell>
        </row>
        <row r="113">
          <cell r="B113">
            <v>11630</v>
          </cell>
          <cell r="C113" t="str">
            <v>cMZr</v>
          </cell>
        </row>
        <row r="114">
          <cell r="B114">
            <v>11631</v>
          </cell>
          <cell r="C114" t="str">
            <v>cMZmi</v>
          </cell>
        </row>
        <row r="115">
          <cell r="B115">
            <v>11632</v>
          </cell>
          <cell r="C115" t="str">
            <v>cMZc</v>
          </cell>
        </row>
        <row r="116">
          <cell r="B116">
            <v>11633</v>
          </cell>
          <cell r="C116" t="str">
            <v>cMZsg</v>
          </cell>
        </row>
        <row r="117">
          <cell r="B117">
            <v>10514</v>
          </cell>
          <cell r="C117" t="str">
            <v>peMZ</v>
          </cell>
        </row>
        <row r="118">
          <cell r="B118">
            <v>11645</v>
          </cell>
          <cell r="C118" t="str">
            <v>MZpc</v>
          </cell>
        </row>
        <row r="119">
          <cell r="B119">
            <v>11646</v>
          </cell>
          <cell r="C119" t="str">
            <v>MZpcr</v>
          </cell>
        </row>
        <row r="120">
          <cell r="B120">
            <v>11647</v>
          </cell>
          <cell r="C120" t="str">
            <v>MZpcc</v>
          </cell>
        </row>
        <row r="121">
          <cell r="B121">
            <v>13278</v>
          </cell>
          <cell r="C121" t="str">
            <v>MZpas</v>
          </cell>
        </row>
        <row r="122">
          <cell r="B122">
            <v>11641</v>
          </cell>
          <cell r="C122" t="str">
            <v>MZEC</v>
          </cell>
        </row>
        <row r="123">
          <cell r="B123">
            <v>13094</v>
          </cell>
          <cell r="C123" t="str">
            <v>MZlec</v>
          </cell>
        </row>
        <row r="124">
          <cell r="B124">
            <v>11642</v>
          </cell>
          <cell r="C124" t="str">
            <v>MZeo</v>
          </cell>
        </row>
        <row r="125">
          <cell r="B125">
            <v>11643</v>
          </cell>
          <cell r="C125" t="str">
            <v>Mzer</v>
          </cell>
        </row>
        <row r="126">
          <cell r="B126">
            <v>13093</v>
          </cell>
          <cell r="C126" t="str">
            <v>MZmec</v>
          </cell>
        </row>
        <row r="127">
          <cell r="B127">
            <v>11644</v>
          </cell>
          <cell r="C127" t="str">
            <v>MZec</v>
          </cell>
        </row>
        <row r="128">
          <cell r="B128">
            <v>11640</v>
          </cell>
          <cell r="C128" t="str">
            <v>MZprs</v>
          </cell>
        </row>
        <row r="129">
          <cell r="B129">
            <v>13091</v>
          </cell>
          <cell r="C129" t="str">
            <v>MZprsr</v>
          </cell>
        </row>
        <row r="130">
          <cell r="B130">
            <v>13092</v>
          </cell>
          <cell r="C130" t="str">
            <v>MZprsc</v>
          </cell>
        </row>
        <row r="131">
          <cell r="B131">
            <v>11648</v>
          </cell>
          <cell r="C131" t="str">
            <v>MZrs</v>
          </cell>
        </row>
        <row r="132">
          <cell r="B132">
            <v>13279</v>
          </cell>
          <cell r="C132" t="str">
            <v>MZIag</v>
          </cell>
        </row>
        <row r="133">
          <cell r="B133">
            <v>10513</v>
          </cell>
          <cell r="C133" t="str">
            <v>alMZ</v>
          </cell>
        </row>
        <row r="134">
          <cell r="B134">
            <v>11637</v>
          </cell>
          <cell r="C134" t="str">
            <v>MZhip</v>
          </cell>
        </row>
        <row r="135">
          <cell r="B135">
            <v>13087</v>
          </cell>
          <cell r="C135" t="str">
            <v>MZhipr</v>
          </cell>
        </row>
        <row r="136">
          <cell r="B136">
            <v>13088</v>
          </cell>
          <cell r="C136" t="str">
            <v>MZhipc</v>
          </cell>
        </row>
        <row r="137">
          <cell r="B137">
            <v>11638</v>
          </cell>
          <cell r="C137" t="str">
            <v>MZsub</v>
          </cell>
        </row>
        <row r="138">
          <cell r="B138">
            <v>13089</v>
          </cell>
          <cell r="C138" t="str">
            <v>MZsubr</v>
          </cell>
        </row>
        <row r="139">
          <cell r="B139">
            <v>13090</v>
          </cell>
          <cell r="C139" t="str">
            <v>MZsubc</v>
          </cell>
        </row>
        <row r="140">
          <cell r="B140">
            <v>11639</v>
          </cell>
          <cell r="C140" t="str">
            <v>MZpir</v>
          </cell>
        </row>
        <row r="141">
          <cell r="B141">
            <v>146034618</v>
          </cell>
          <cell r="C141" t="str">
            <v>MZiag</v>
          </cell>
        </row>
        <row r="142">
          <cell r="B142">
            <v>10515</v>
          </cell>
          <cell r="C142" t="str">
            <v>CP</v>
          </cell>
        </row>
        <row r="143">
          <cell r="B143">
            <v>10516</v>
          </cell>
          <cell r="C143" t="str">
            <v>fCP</v>
          </cell>
        </row>
        <row r="144">
          <cell r="B144">
            <v>11664</v>
          </cell>
          <cell r="C144" t="str">
            <v>fCPfp</v>
          </cell>
        </row>
        <row r="145">
          <cell r="B145">
            <v>11665</v>
          </cell>
          <cell r="C145" t="str">
            <v>fCPfpo</v>
          </cell>
        </row>
        <row r="146">
          <cell r="B146">
            <v>11666</v>
          </cell>
          <cell r="C146" t="str">
            <v>fCPfpi</v>
          </cell>
        </row>
        <row r="147">
          <cell r="B147">
            <v>11649</v>
          </cell>
          <cell r="C147" t="str">
            <v>fCPdm</v>
          </cell>
        </row>
        <row r="148">
          <cell r="B148">
            <v>11650</v>
          </cell>
          <cell r="C148" t="str">
            <v>fCPdmo</v>
          </cell>
        </row>
        <row r="149">
          <cell r="B149">
            <v>11651</v>
          </cell>
          <cell r="C149" t="str">
            <v>fCPdmi</v>
          </cell>
        </row>
        <row r="150">
          <cell r="B150">
            <v>11658</v>
          </cell>
          <cell r="C150" t="str">
            <v>fCPdl</v>
          </cell>
        </row>
        <row r="151">
          <cell r="B151">
            <v>11659</v>
          </cell>
          <cell r="C151" t="str">
            <v>fCPdlo</v>
          </cell>
        </row>
        <row r="152">
          <cell r="B152">
            <v>11660</v>
          </cell>
          <cell r="C152" t="str">
            <v>fCPdli</v>
          </cell>
        </row>
        <row r="153">
          <cell r="B153">
            <v>11661</v>
          </cell>
          <cell r="C153" t="str">
            <v>fCPvl</v>
          </cell>
        </row>
        <row r="154">
          <cell r="B154">
            <v>11662</v>
          </cell>
          <cell r="C154" t="str">
            <v>fCPvlo</v>
          </cell>
        </row>
        <row r="155">
          <cell r="B155">
            <v>11663</v>
          </cell>
          <cell r="C155" t="str">
            <v>fCPvli</v>
          </cell>
        </row>
        <row r="156">
          <cell r="B156">
            <v>11652</v>
          </cell>
          <cell r="C156" t="str">
            <v>fCPor</v>
          </cell>
        </row>
        <row r="157">
          <cell r="B157">
            <v>11653</v>
          </cell>
          <cell r="C157" t="str">
            <v>fCPoro</v>
          </cell>
        </row>
        <row r="158">
          <cell r="B158">
            <v>11654</v>
          </cell>
          <cell r="C158" t="str">
            <v>fCPori</v>
          </cell>
        </row>
        <row r="159">
          <cell r="B159">
            <v>11655</v>
          </cell>
          <cell r="C159" t="str">
            <v>fCPm1</v>
          </cell>
        </row>
        <row r="160">
          <cell r="B160">
            <v>11656</v>
          </cell>
          <cell r="C160" t="str">
            <v>fCPm1o</v>
          </cell>
        </row>
        <row r="161">
          <cell r="B161">
            <v>11657</v>
          </cell>
          <cell r="C161" t="str">
            <v>fCPm1i</v>
          </cell>
        </row>
        <row r="162">
          <cell r="B162">
            <v>10518</v>
          </cell>
          <cell r="C162" t="str">
            <v>pCP</v>
          </cell>
        </row>
        <row r="163">
          <cell r="B163">
            <v>11679</v>
          </cell>
          <cell r="C163" t="str">
            <v>pCPs1</v>
          </cell>
        </row>
        <row r="164">
          <cell r="B164">
            <v>11680</v>
          </cell>
          <cell r="C164" t="str">
            <v>pCPs1o</v>
          </cell>
        </row>
        <row r="165">
          <cell r="B165">
            <v>11681</v>
          </cell>
          <cell r="C165" t="str">
            <v>pCPs1i</v>
          </cell>
        </row>
        <row r="166">
          <cell r="B166">
            <v>11688</v>
          </cell>
          <cell r="C166" t="str">
            <v>pCPdm</v>
          </cell>
        </row>
        <row r="167">
          <cell r="B167">
            <v>11689</v>
          </cell>
          <cell r="C167" t="str">
            <v>pCPdmo</v>
          </cell>
        </row>
        <row r="168">
          <cell r="B168">
            <v>11690</v>
          </cell>
          <cell r="C168" t="str">
            <v>pCPdmi</v>
          </cell>
        </row>
        <row r="169">
          <cell r="B169">
            <v>11682</v>
          </cell>
          <cell r="C169" t="str">
            <v>pCPpd</v>
          </cell>
        </row>
        <row r="170">
          <cell r="B170">
            <v>11683</v>
          </cell>
          <cell r="C170" t="str">
            <v>pCPpdo</v>
          </cell>
        </row>
        <row r="171">
          <cell r="B171">
            <v>11684</v>
          </cell>
          <cell r="C171" t="str">
            <v>pCPpdi</v>
          </cell>
        </row>
        <row r="172">
          <cell r="B172">
            <v>11685</v>
          </cell>
          <cell r="C172" t="str">
            <v>pCPpv</v>
          </cell>
        </row>
        <row r="173">
          <cell r="B173">
            <v>11686</v>
          </cell>
          <cell r="C173" t="str">
            <v>pCPpvo</v>
          </cell>
        </row>
        <row r="174">
          <cell r="B174">
            <v>11687</v>
          </cell>
          <cell r="C174" t="str">
            <v>pCPpvi</v>
          </cell>
        </row>
        <row r="175">
          <cell r="B175">
            <v>10519</v>
          </cell>
          <cell r="C175" t="str">
            <v>tCP</v>
          </cell>
        </row>
        <row r="176">
          <cell r="B176">
            <v>15502</v>
          </cell>
          <cell r="C176" t="str">
            <v>tCPdl</v>
          </cell>
        </row>
        <row r="177">
          <cell r="B177">
            <v>11691</v>
          </cell>
          <cell r="C177" t="str">
            <v>tCPa1</v>
          </cell>
        </row>
        <row r="178">
          <cell r="B178">
            <v>11692</v>
          </cell>
          <cell r="C178" t="str">
            <v>tCPa1o</v>
          </cell>
        </row>
        <row r="179">
          <cell r="B179">
            <v>11693</v>
          </cell>
          <cell r="C179" t="str">
            <v>tCPa1i</v>
          </cell>
        </row>
        <row r="180">
          <cell r="B180">
            <v>11694</v>
          </cell>
          <cell r="C180" t="str">
            <v>tCPsl</v>
          </cell>
        </row>
        <row r="181">
          <cell r="B181">
            <v>11695</v>
          </cell>
          <cell r="C181" t="str">
            <v>tCPslo</v>
          </cell>
        </row>
        <row r="182">
          <cell r="B182">
            <v>11696</v>
          </cell>
          <cell r="C182" t="str">
            <v>tCPsli</v>
          </cell>
        </row>
        <row r="183">
          <cell r="B183">
            <v>13097</v>
          </cell>
          <cell r="C183" t="str">
            <v>tCPps</v>
          </cell>
        </row>
        <row r="184">
          <cell r="B184">
            <v>13105</v>
          </cell>
          <cell r="C184" t="str">
            <v>tCPpi</v>
          </cell>
        </row>
        <row r="185">
          <cell r="B185">
            <v>15503</v>
          </cell>
          <cell r="C185" t="str">
            <v>tCPvl</v>
          </cell>
        </row>
        <row r="186">
          <cell r="B186">
            <v>13098</v>
          </cell>
          <cell r="C186" t="str">
            <v>tCPml</v>
          </cell>
        </row>
        <row r="187">
          <cell r="B187">
            <v>11697</v>
          </cell>
          <cell r="C187" t="str">
            <v>tCPil</v>
          </cell>
        </row>
        <row r="188">
          <cell r="B188">
            <v>11698</v>
          </cell>
          <cell r="C188" t="str">
            <v>tCPilo</v>
          </cell>
        </row>
        <row r="189">
          <cell r="B189">
            <v>11699</v>
          </cell>
          <cell r="C189" t="str">
            <v>tCPili</v>
          </cell>
        </row>
        <row r="190">
          <cell r="B190">
            <v>11700</v>
          </cell>
          <cell r="C190" t="str">
            <v>tCPmi</v>
          </cell>
        </row>
        <row r="191">
          <cell r="B191">
            <v>11701</v>
          </cell>
          <cell r="C191" t="str">
            <v>tCPmio</v>
          </cell>
        </row>
        <row r="192">
          <cell r="B192">
            <v>11702</v>
          </cell>
          <cell r="C192" t="str">
            <v>tCPmii</v>
          </cell>
        </row>
        <row r="193">
          <cell r="B193">
            <v>13099</v>
          </cell>
          <cell r="C193" t="str">
            <v>tCP36</v>
          </cell>
        </row>
        <row r="194">
          <cell r="B194">
            <v>13100</v>
          </cell>
          <cell r="C194" t="str">
            <v>tCP36o</v>
          </cell>
        </row>
        <row r="195">
          <cell r="B195">
            <v>13101</v>
          </cell>
          <cell r="C195" t="str">
            <v>tCP36i</v>
          </cell>
        </row>
        <row r="196">
          <cell r="B196">
            <v>13102</v>
          </cell>
          <cell r="C196" t="str">
            <v>tCPtf</v>
          </cell>
        </row>
        <row r="197">
          <cell r="B197">
            <v>13103</v>
          </cell>
          <cell r="C197" t="str">
            <v>tCPtfo</v>
          </cell>
        </row>
        <row r="198">
          <cell r="B198">
            <v>13104</v>
          </cell>
          <cell r="C198" t="str">
            <v>tCPtfi</v>
          </cell>
        </row>
        <row r="199">
          <cell r="B199">
            <v>11703</v>
          </cell>
          <cell r="C199" t="str">
            <v>tCPph</v>
          </cell>
        </row>
        <row r="200">
          <cell r="B200">
            <v>11704</v>
          </cell>
          <cell r="C200" t="str">
            <v>tCPpho</v>
          </cell>
        </row>
        <row r="201">
          <cell r="B201">
            <v>11705</v>
          </cell>
          <cell r="C201" t="str">
            <v>tCPphi</v>
          </cell>
        </row>
        <row r="202">
          <cell r="B202">
            <v>11706</v>
          </cell>
          <cell r="C202" t="str">
            <v>tCPmt</v>
          </cell>
        </row>
        <row r="203">
          <cell r="B203">
            <v>11707</v>
          </cell>
          <cell r="C203" t="str">
            <v>tCPmto</v>
          </cell>
        </row>
        <row r="204">
          <cell r="B204">
            <v>11708</v>
          </cell>
          <cell r="C204" t="str">
            <v>tCPmti</v>
          </cell>
        </row>
        <row r="205">
          <cell r="B205">
            <v>11709</v>
          </cell>
          <cell r="C205" t="str">
            <v>tCPlt</v>
          </cell>
        </row>
        <row r="206">
          <cell r="B206">
            <v>11710</v>
          </cell>
          <cell r="C206" t="str">
            <v>tCPlto</v>
          </cell>
        </row>
        <row r="207">
          <cell r="B207">
            <v>11711</v>
          </cell>
          <cell r="C207" t="str">
            <v>tCPlti</v>
          </cell>
        </row>
        <row r="208">
          <cell r="B208">
            <v>11712</v>
          </cell>
          <cell r="C208" t="str">
            <v>tCPtp</v>
          </cell>
        </row>
        <row r="209">
          <cell r="B209">
            <v>11713</v>
          </cell>
          <cell r="C209" t="str">
            <v>tCPtpo</v>
          </cell>
        </row>
        <row r="210">
          <cell r="B210">
            <v>11714</v>
          </cell>
          <cell r="C210" t="str">
            <v>tCPtpi</v>
          </cell>
        </row>
        <row r="211">
          <cell r="B211">
            <v>10517</v>
          </cell>
          <cell r="C211" t="str">
            <v>oCP</v>
          </cell>
        </row>
        <row r="212">
          <cell r="B212">
            <v>13096</v>
          </cell>
          <cell r="C212" t="str">
            <v>oCPpro</v>
          </cell>
        </row>
        <row r="213">
          <cell r="B213">
            <v>11667</v>
          </cell>
          <cell r="C213" t="str">
            <v>oCPv1</v>
          </cell>
        </row>
        <row r="214">
          <cell r="B214">
            <v>11668</v>
          </cell>
          <cell r="C214" t="str">
            <v>oCPv1o</v>
          </cell>
        </row>
        <row r="215">
          <cell r="B215">
            <v>11669</v>
          </cell>
          <cell r="C215" t="str">
            <v>oCPv1i</v>
          </cell>
        </row>
        <row r="216">
          <cell r="B216">
            <v>13095</v>
          </cell>
          <cell r="C216" t="str">
            <v>oCPexs</v>
          </cell>
        </row>
        <row r="217">
          <cell r="B217">
            <v>11670</v>
          </cell>
          <cell r="C217" t="str">
            <v>oCPdm</v>
          </cell>
        </row>
        <row r="218">
          <cell r="B218">
            <v>11671</v>
          </cell>
          <cell r="C218" t="str">
            <v>oCPdmo</v>
          </cell>
        </row>
        <row r="219">
          <cell r="B219">
            <v>11672</v>
          </cell>
          <cell r="C219" t="str">
            <v>oCPdmi</v>
          </cell>
        </row>
        <row r="220">
          <cell r="B220">
            <v>11673</v>
          </cell>
          <cell r="C220" t="str">
            <v>oCPvm</v>
          </cell>
        </row>
        <row r="221">
          <cell r="B221">
            <v>11674</v>
          </cell>
          <cell r="C221" t="str">
            <v>oCPvmo</v>
          </cell>
        </row>
        <row r="222">
          <cell r="B222">
            <v>11675</v>
          </cell>
          <cell r="C222" t="str">
            <v>oCPvmi</v>
          </cell>
        </row>
        <row r="223">
          <cell r="B223">
            <v>11676</v>
          </cell>
          <cell r="C223" t="str">
            <v>oCPml</v>
          </cell>
        </row>
        <row r="224">
          <cell r="B224">
            <v>11677</v>
          </cell>
          <cell r="C224" t="str">
            <v>oCPmlo</v>
          </cell>
        </row>
        <row r="225">
          <cell r="B225">
            <v>11678</v>
          </cell>
          <cell r="C225" t="str">
            <v>oCPmli</v>
          </cell>
        </row>
        <row r="226">
          <cell r="B226">
            <v>11728</v>
          </cell>
          <cell r="C226" t="str">
            <v>iCP</v>
          </cell>
        </row>
        <row r="227">
          <cell r="B227">
            <v>11729</v>
          </cell>
          <cell r="C227" t="str">
            <v>iCPdg</v>
          </cell>
        </row>
        <row r="228">
          <cell r="B228">
            <v>11730</v>
          </cell>
          <cell r="C228" t="str">
            <v>iCPdgo</v>
          </cell>
        </row>
        <row r="229">
          <cell r="B229">
            <v>11731</v>
          </cell>
          <cell r="C229" t="str">
            <v>iCPdgi</v>
          </cell>
        </row>
        <row r="230">
          <cell r="B230">
            <v>11732</v>
          </cell>
          <cell r="C230" t="str">
            <v>iCPgr</v>
          </cell>
        </row>
        <row r="231">
          <cell r="B231">
            <v>11733</v>
          </cell>
          <cell r="C231" t="str">
            <v>iCPgro</v>
          </cell>
        </row>
        <row r="232">
          <cell r="B232">
            <v>11734</v>
          </cell>
          <cell r="C232" t="str">
            <v>iCPgri</v>
          </cell>
        </row>
        <row r="233">
          <cell r="B233">
            <v>11715</v>
          </cell>
          <cell r="C233" t="str">
            <v>cCP</v>
          </cell>
        </row>
        <row r="234">
          <cell r="B234">
            <v>11716</v>
          </cell>
          <cell r="C234" t="str">
            <v>cCPr</v>
          </cell>
        </row>
        <row r="235">
          <cell r="B235">
            <v>11717</v>
          </cell>
          <cell r="C235" t="str">
            <v>cCPro</v>
          </cell>
        </row>
        <row r="236">
          <cell r="B236">
            <v>11718</v>
          </cell>
          <cell r="C236" t="str">
            <v>cCPri</v>
          </cell>
        </row>
        <row r="237">
          <cell r="B237">
            <v>11719</v>
          </cell>
          <cell r="C237" t="str">
            <v>cCPmi</v>
          </cell>
        </row>
        <row r="238">
          <cell r="B238">
            <v>11720</v>
          </cell>
          <cell r="C238" t="str">
            <v>cCPmio</v>
          </cell>
        </row>
        <row r="239">
          <cell r="B239">
            <v>11721</v>
          </cell>
          <cell r="C239" t="str">
            <v>cCPmii</v>
          </cell>
        </row>
        <row r="240">
          <cell r="B240">
            <v>11722</v>
          </cell>
          <cell r="C240" t="str">
            <v>cCPc</v>
          </cell>
        </row>
        <row r="241">
          <cell r="B241">
            <v>11723</v>
          </cell>
          <cell r="C241" t="str">
            <v>cCPco</v>
          </cell>
        </row>
        <row r="242">
          <cell r="B242">
            <v>11724</v>
          </cell>
          <cell r="C242" t="str">
            <v>cCPci</v>
          </cell>
        </row>
        <row r="243">
          <cell r="B243">
            <v>11725</v>
          </cell>
          <cell r="C243" t="str">
            <v>cCPsg</v>
          </cell>
        </row>
        <row r="244">
          <cell r="B244">
            <v>11726</v>
          </cell>
          <cell r="C244" t="str">
            <v>cCPsgo</v>
          </cell>
        </row>
        <row r="245">
          <cell r="B245">
            <v>11727</v>
          </cell>
          <cell r="C245" t="str">
            <v>cCPsgi</v>
          </cell>
        </row>
        <row r="246">
          <cell r="B246">
            <v>10521</v>
          </cell>
          <cell r="C246" t="str">
            <v>peCP</v>
          </cell>
        </row>
        <row r="247">
          <cell r="B247">
            <v>11746</v>
          </cell>
          <cell r="C247" t="str">
            <v>CPpc</v>
          </cell>
        </row>
        <row r="248">
          <cell r="B248">
            <v>11747</v>
          </cell>
          <cell r="C248" t="str">
            <v>CPpcr</v>
          </cell>
        </row>
        <row r="249">
          <cell r="B249">
            <v>11748</v>
          </cell>
          <cell r="C249" t="str">
            <v>CPpcro</v>
          </cell>
        </row>
        <row r="250">
          <cell r="B250">
            <v>11749</v>
          </cell>
          <cell r="C250" t="str">
            <v>CPpcri</v>
          </cell>
        </row>
        <row r="251">
          <cell r="B251">
            <v>11750</v>
          </cell>
          <cell r="C251" t="str">
            <v>CPpcc</v>
          </cell>
        </row>
        <row r="252">
          <cell r="B252">
            <v>11751</v>
          </cell>
          <cell r="C252" t="str">
            <v>CPpcco</v>
          </cell>
        </row>
        <row r="253">
          <cell r="B253">
            <v>11752</v>
          </cell>
          <cell r="C253" t="str">
            <v>CPpcci</v>
          </cell>
        </row>
        <row r="254">
          <cell r="B254">
            <v>13280</v>
          </cell>
          <cell r="C254" t="str">
            <v>CPpas</v>
          </cell>
        </row>
        <row r="255">
          <cell r="B255">
            <v>11742</v>
          </cell>
          <cell r="C255" t="str">
            <v>CPEC</v>
          </cell>
        </row>
        <row r="256">
          <cell r="B256">
            <v>13109</v>
          </cell>
          <cell r="C256" t="str">
            <v>CPlec</v>
          </cell>
        </row>
        <row r="257">
          <cell r="B257">
            <v>11743</v>
          </cell>
          <cell r="C257" t="str">
            <v>CPeo</v>
          </cell>
        </row>
        <row r="258">
          <cell r="B258">
            <v>11744</v>
          </cell>
          <cell r="C258" t="str">
            <v>CPer</v>
          </cell>
        </row>
        <row r="259">
          <cell r="B259">
            <v>13108</v>
          </cell>
          <cell r="C259" t="str">
            <v>CPmec</v>
          </cell>
        </row>
        <row r="260">
          <cell r="B260">
            <v>11745</v>
          </cell>
          <cell r="C260" t="str">
            <v>CPec</v>
          </cell>
        </row>
        <row r="261">
          <cell r="B261">
            <v>11741</v>
          </cell>
          <cell r="C261" t="str">
            <v>CPprs</v>
          </cell>
        </row>
        <row r="262">
          <cell r="B262">
            <v>13106</v>
          </cell>
          <cell r="C262" t="str">
            <v>CPprsr</v>
          </cell>
        </row>
        <row r="263">
          <cell r="B263">
            <v>13107</v>
          </cell>
          <cell r="C263" t="str">
            <v>CPprsc</v>
          </cell>
        </row>
        <row r="264">
          <cell r="B264">
            <v>11753</v>
          </cell>
          <cell r="C264" t="str">
            <v>CPrs</v>
          </cell>
        </row>
        <row r="265">
          <cell r="B265">
            <v>11754</v>
          </cell>
          <cell r="C265" t="str">
            <v>CPrso</v>
          </cell>
        </row>
        <row r="266">
          <cell r="B266">
            <v>11755</v>
          </cell>
          <cell r="C266" t="str">
            <v>CPrsi</v>
          </cell>
        </row>
        <row r="267">
          <cell r="B267">
            <v>13281</v>
          </cell>
          <cell r="C267" t="str">
            <v>CPIag</v>
          </cell>
        </row>
        <row r="268">
          <cell r="B268">
            <v>13282</v>
          </cell>
          <cell r="C268" t="str">
            <v>CPIago</v>
          </cell>
        </row>
        <row r="269">
          <cell r="B269">
            <v>13283</v>
          </cell>
          <cell r="C269" t="str">
            <v>CPIagi</v>
          </cell>
        </row>
        <row r="270">
          <cell r="B270">
            <v>10520</v>
          </cell>
          <cell r="C270" t="str">
            <v>alCP</v>
          </cell>
        </row>
        <row r="271">
          <cell r="B271">
            <v>11735</v>
          </cell>
          <cell r="C271" t="str">
            <v>CPhip</v>
          </cell>
        </row>
        <row r="272">
          <cell r="B272">
            <v>11736</v>
          </cell>
          <cell r="C272" t="str">
            <v>CPhipr</v>
          </cell>
        </row>
        <row r="273">
          <cell r="B273">
            <v>11737</v>
          </cell>
          <cell r="C273" t="str">
            <v>CPhipc</v>
          </cell>
        </row>
        <row r="274">
          <cell r="B274">
            <v>11738</v>
          </cell>
          <cell r="C274" t="str">
            <v>CPsub</v>
          </cell>
        </row>
        <row r="275">
          <cell r="B275">
            <v>11739</v>
          </cell>
          <cell r="C275" t="str">
            <v>CPsubr</v>
          </cell>
        </row>
        <row r="276">
          <cell r="B276">
            <v>11740</v>
          </cell>
          <cell r="C276" t="str">
            <v>CPsubc</v>
          </cell>
        </row>
        <row r="277">
          <cell r="B277">
            <v>13284</v>
          </cell>
          <cell r="C277" t="str">
            <v>CPpir</v>
          </cell>
        </row>
        <row r="278">
          <cell r="B278">
            <v>146034622</v>
          </cell>
          <cell r="C278" t="str">
            <v>CPiag</v>
          </cell>
        </row>
        <row r="279">
          <cell r="B279">
            <v>10522</v>
          </cell>
          <cell r="C279" t="str">
            <v>SP</v>
          </cell>
        </row>
        <row r="280">
          <cell r="B280">
            <v>10523</v>
          </cell>
          <cell r="C280" t="str">
            <v>fSP</v>
          </cell>
        </row>
        <row r="281">
          <cell r="B281">
            <v>11761</v>
          </cell>
          <cell r="C281" t="str">
            <v>fSPfp</v>
          </cell>
        </row>
        <row r="282">
          <cell r="B282">
            <v>11756</v>
          </cell>
          <cell r="C282" t="str">
            <v>fSPdm</v>
          </cell>
        </row>
        <row r="283">
          <cell r="B283">
            <v>11759</v>
          </cell>
          <cell r="C283" t="str">
            <v>fSPdl</v>
          </cell>
        </row>
        <row r="284">
          <cell r="B284">
            <v>11760</v>
          </cell>
          <cell r="C284" t="str">
            <v>fSPvl</v>
          </cell>
        </row>
        <row r="285">
          <cell r="B285">
            <v>11757</v>
          </cell>
          <cell r="C285" t="str">
            <v>fSPor</v>
          </cell>
        </row>
        <row r="286">
          <cell r="B286">
            <v>11758</v>
          </cell>
          <cell r="C286" t="str">
            <v>fSPm1</v>
          </cell>
        </row>
        <row r="287">
          <cell r="B287">
            <v>10525</v>
          </cell>
          <cell r="C287" t="str">
            <v>pSP</v>
          </cell>
        </row>
        <row r="288">
          <cell r="B288">
            <v>11766</v>
          </cell>
          <cell r="C288" t="str">
            <v>pSPs1</v>
          </cell>
        </row>
        <row r="289">
          <cell r="B289">
            <v>11769</v>
          </cell>
          <cell r="C289" t="str">
            <v>pSPdm</v>
          </cell>
        </row>
        <row r="290">
          <cell r="B290">
            <v>11767</v>
          </cell>
          <cell r="C290" t="str">
            <v>pSPpd</v>
          </cell>
        </row>
        <row r="291">
          <cell r="B291">
            <v>11768</v>
          </cell>
          <cell r="C291" t="str">
            <v>pSPpv</v>
          </cell>
        </row>
        <row r="292">
          <cell r="B292">
            <v>10526</v>
          </cell>
          <cell r="C292" t="str">
            <v>tSP</v>
          </cell>
        </row>
        <row r="293">
          <cell r="B293">
            <v>15504</v>
          </cell>
          <cell r="C293" t="str">
            <v>tSPdl</v>
          </cell>
        </row>
        <row r="294">
          <cell r="B294">
            <v>11770</v>
          </cell>
          <cell r="C294" t="str">
            <v>tSPa1</v>
          </cell>
        </row>
        <row r="295">
          <cell r="B295">
            <v>11771</v>
          </cell>
          <cell r="C295" t="str">
            <v>tSPsl</v>
          </cell>
        </row>
        <row r="296">
          <cell r="B296">
            <v>13112</v>
          </cell>
          <cell r="C296" t="str">
            <v>tSPps</v>
          </cell>
        </row>
        <row r="297">
          <cell r="B297">
            <v>13116</v>
          </cell>
          <cell r="C297" t="str">
            <v>tSPpi</v>
          </cell>
        </row>
        <row r="298">
          <cell r="B298">
            <v>15505</v>
          </cell>
          <cell r="C298" t="str">
            <v>tSPvl</v>
          </cell>
        </row>
        <row r="299">
          <cell r="B299">
            <v>13113</v>
          </cell>
          <cell r="C299" t="str">
            <v>tSPml</v>
          </cell>
        </row>
        <row r="300">
          <cell r="B300">
            <v>11772</v>
          </cell>
          <cell r="C300" t="str">
            <v>tSPil</v>
          </cell>
        </row>
        <row r="301">
          <cell r="B301">
            <v>11773</v>
          </cell>
          <cell r="C301" t="str">
            <v>tSPmi</v>
          </cell>
        </row>
        <row r="302">
          <cell r="B302">
            <v>13114</v>
          </cell>
          <cell r="C302" t="str">
            <v>tSP36</v>
          </cell>
        </row>
        <row r="303">
          <cell r="B303">
            <v>13115</v>
          </cell>
          <cell r="C303" t="str">
            <v>tSPtf</v>
          </cell>
        </row>
        <row r="304">
          <cell r="B304">
            <v>11774</v>
          </cell>
          <cell r="C304" t="str">
            <v>tSPph</v>
          </cell>
        </row>
        <row r="305">
          <cell r="B305">
            <v>11775</v>
          </cell>
          <cell r="C305" t="str">
            <v>tSPmt</v>
          </cell>
        </row>
        <row r="306">
          <cell r="B306">
            <v>11776</v>
          </cell>
          <cell r="C306" t="str">
            <v>tSPlt</v>
          </cell>
        </row>
        <row r="307">
          <cell r="B307">
            <v>11777</v>
          </cell>
          <cell r="C307" t="str">
            <v>tSPtp</v>
          </cell>
        </row>
        <row r="308">
          <cell r="B308">
            <v>10524</v>
          </cell>
          <cell r="C308" t="str">
            <v>oSP</v>
          </cell>
        </row>
        <row r="309">
          <cell r="B309">
            <v>13111</v>
          </cell>
          <cell r="C309" t="str">
            <v>oSPpro</v>
          </cell>
        </row>
        <row r="310">
          <cell r="B310">
            <v>11762</v>
          </cell>
          <cell r="C310" t="str">
            <v>oSPv1</v>
          </cell>
        </row>
        <row r="311">
          <cell r="B311">
            <v>13110</v>
          </cell>
          <cell r="C311" t="str">
            <v>oSPexs</v>
          </cell>
        </row>
        <row r="312">
          <cell r="B312">
            <v>11763</v>
          </cell>
          <cell r="C312" t="str">
            <v>oSPdm</v>
          </cell>
        </row>
        <row r="313">
          <cell r="B313">
            <v>11764</v>
          </cell>
          <cell r="C313" t="str">
            <v>oSPvm</v>
          </cell>
        </row>
        <row r="314">
          <cell r="B314">
            <v>11765</v>
          </cell>
          <cell r="C314" t="str">
            <v>oSPml</v>
          </cell>
        </row>
        <row r="315">
          <cell r="B315">
            <v>11783</v>
          </cell>
          <cell r="C315" t="str">
            <v>iSP</v>
          </cell>
        </row>
        <row r="316">
          <cell r="B316">
            <v>11784</v>
          </cell>
          <cell r="C316" t="str">
            <v>iSPdg</v>
          </cell>
        </row>
        <row r="317">
          <cell r="B317">
            <v>11785</v>
          </cell>
          <cell r="C317" t="str">
            <v>iSPgr</v>
          </cell>
        </row>
        <row r="318">
          <cell r="B318">
            <v>11778</v>
          </cell>
          <cell r="C318" t="str">
            <v>cSP</v>
          </cell>
        </row>
        <row r="319">
          <cell r="B319">
            <v>11779</v>
          </cell>
          <cell r="C319" t="str">
            <v>cSPr</v>
          </cell>
        </row>
        <row r="320">
          <cell r="B320">
            <v>11780</v>
          </cell>
          <cell r="C320" t="str">
            <v>cSPmi</v>
          </cell>
        </row>
        <row r="321">
          <cell r="B321">
            <v>11781</v>
          </cell>
          <cell r="C321" t="str">
            <v>cSPc</v>
          </cell>
        </row>
        <row r="322">
          <cell r="B322">
            <v>11782</v>
          </cell>
          <cell r="C322" t="str">
            <v>cSPsg</v>
          </cell>
        </row>
        <row r="323">
          <cell r="B323">
            <v>10528</v>
          </cell>
          <cell r="C323" t="str">
            <v>peSP</v>
          </cell>
        </row>
        <row r="324">
          <cell r="B324">
            <v>11790</v>
          </cell>
          <cell r="C324" t="str">
            <v>SPpc</v>
          </cell>
        </row>
        <row r="325">
          <cell r="B325">
            <v>13125</v>
          </cell>
          <cell r="C325" t="str">
            <v>SPpcr</v>
          </cell>
        </row>
        <row r="326">
          <cell r="B326">
            <v>13126</v>
          </cell>
          <cell r="C326" t="str">
            <v>SPpcc</v>
          </cell>
        </row>
        <row r="327">
          <cell r="B327">
            <v>13285</v>
          </cell>
          <cell r="C327" t="str">
            <v>SPpas</v>
          </cell>
        </row>
        <row r="328">
          <cell r="B328">
            <v>11789</v>
          </cell>
          <cell r="C328" t="str">
            <v>SPec</v>
          </cell>
        </row>
        <row r="329">
          <cell r="B329">
            <v>13124</v>
          </cell>
          <cell r="C329" t="str">
            <v>SPlec</v>
          </cell>
        </row>
        <row r="330">
          <cell r="B330">
            <v>13123</v>
          </cell>
          <cell r="C330" t="str">
            <v>SPmec</v>
          </cell>
        </row>
        <row r="331">
          <cell r="B331">
            <v>11788</v>
          </cell>
          <cell r="C331" t="str">
            <v>SPprs</v>
          </cell>
        </row>
        <row r="332">
          <cell r="B332">
            <v>13121</v>
          </cell>
          <cell r="C332" t="str">
            <v>SPprsr</v>
          </cell>
        </row>
        <row r="333">
          <cell r="B333">
            <v>13122</v>
          </cell>
          <cell r="C333" t="str">
            <v>SPprsc</v>
          </cell>
        </row>
        <row r="334">
          <cell r="B334">
            <v>11791</v>
          </cell>
          <cell r="C334" t="str">
            <v>SPrs</v>
          </cell>
        </row>
        <row r="335">
          <cell r="B335">
            <v>13286</v>
          </cell>
          <cell r="C335" t="str">
            <v>SPIag</v>
          </cell>
        </row>
        <row r="336">
          <cell r="B336">
            <v>10527</v>
          </cell>
          <cell r="C336" t="str">
            <v>alSP</v>
          </cell>
        </row>
        <row r="337">
          <cell r="B337">
            <v>11786</v>
          </cell>
          <cell r="C337" t="str">
            <v>SPhip</v>
          </cell>
        </row>
        <row r="338">
          <cell r="B338">
            <v>13117</v>
          </cell>
          <cell r="C338" t="str">
            <v>SPhipr</v>
          </cell>
        </row>
        <row r="339">
          <cell r="B339">
            <v>13118</v>
          </cell>
          <cell r="C339" t="str">
            <v>SPhipc</v>
          </cell>
        </row>
        <row r="340">
          <cell r="B340">
            <v>11787</v>
          </cell>
          <cell r="C340" t="str">
            <v>SPsub</v>
          </cell>
        </row>
        <row r="341">
          <cell r="B341">
            <v>13119</v>
          </cell>
          <cell r="C341" t="str">
            <v>SPsubr</v>
          </cell>
        </row>
        <row r="342">
          <cell r="B342">
            <v>13120</v>
          </cell>
          <cell r="C342" t="str">
            <v>SPsubc</v>
          </cell>
        </row>
        <row r="343">
          <cell r="B343">
            <v>13287</v>
          </cell>
          <cell r="C343" t="str">
            <v>SPpir</v>
          </cell>
        </row>
        <row r="344">
          <cell r="B344">
            <v>10529</v>
          </cell>
          <cell r="C344" t="str">
            <v>IZ</v>
          </cell>
        </row>
        <row r="345">
          <cell r="B345">
            <v>10530</v>
          </cell>
          <cell r="C345" t="str">
            <v>fIZ</v>
          </cell>
        </row>
        <row r="346">
          <cell r="B346">
            <v>11807</v>
          </cell>
          <cell r="C346" t="str">
            <v>fIZfp</v>
          </cell>
        </row>
        <row r="347">
          <cell r="B347">
            <v>11792</v>
          </cell>
          <cell r="C347" t="str">
            <v>fIZdm</v>
          </cell>
        </row>
        <row r="348">
          <cell r="B348">
            <v>11801</v>
          </cell>
          <cell r="C348" t="str">
            <v>fIZdl</v>
          </cell>
        </row>
        <row r="349">
          <cell r="B349">
            <v>11804</v>
          </cell>
          <cell r="C349" t="str">
            <v>fIZvl</v>
          </cell>
        </row>
        <row r="350">
          <cell r="B350">
            <v>11795</v>
          </cell>
          <cell r="C350" t="str">
            <v>fIZor</v>
          </cell>
        </row>
        <row r="351">
          <cell r="B351">
            <v>11798</v>
          </cell>
          <cell r="C351" t="str">
            <v>fIZm1</v>
          </cell>
        </row>
        <row r="352">
          <cell r="B352">
            <v>10532</v>
          </cell>
          <cell r="C352" t="str">
            <v>pIZ</v>
          </cell>
        </row>
        <row r="353">
          <cell r="B353">
            <v>11822</v>
          </cell>
          <cell r="C353" t="str">
            <v>pIZs1</v>
          </cell>
        </row>
        <row r="354">
          <cell r="B354">
            <v>11831</v>
          </cell>
          <cell r="C354" t="str">
            <v>pIZdm</v>
          </cell>
        </row>
        <row r="355">
          <cell r="B355">
            <v>11825</v>
          </cell>
          <cell r="C355" t="str">
            <v>pIZpd</v>
          </cell>
        </row>
        <row r="356">
          <cell r="B356">
            <v>11828</v>
          </cell>
          <cell r="C356" t="str">
            <v>pIZpv</v>
          </cell>
        </row>
        <row r="357">
          <cell r="B357">
            <v>10533</v>
          </cell>
          <cell r="C357" t="str">
            <v>tIZ</v>
          </cell>
        </row>
        <row r="358">
          <cell r="B358">
            <v>15506</v>
          </cell>
          <cell r="C358" t="str">
            <v>tIZdl</v>
          </cell>
        </row>
        <row r="359">
          <cell r="B359">
            <v>11834</v>
          </cell>
          <cell r="C359" t="str">
            <v>tIZa1</v>
          </cell>
        </row>
        <row r="360">
          <cell r="B360">
            <v>11837</v>
          </cell>
          <cell r="C360" t="str">
            <v>tIZsl</v>
          </cell>
        </row>
        <row r="361">
          <cell r="B361">
            <v>13129</v>
          </cell>
          <cell r="C361" t="str">
            <v>tIZps</v>
          </cell>
        </row>
        <row r="362">
          <cell r="B362">
            <v>13133</v>
          </cell>
          <cell r="C362" t="str">
            <v>tIZpi</v>
          </cell>
        </row>
        <row r="363">
          <cell r="B363">
            <v>15507</v>
          </cell>
          <cell r="C363" t="str">
            <v>tIZvl</v>
          </cell>
        </row>
        <row r="364">
          <cell r="B364">
            <v>13130</v>
          </cell>
          <cell r="C364" t="str">
            <v>tIZml</v>
          </cell>
        </row>
        <row r="365">
          <cell r="B365">
            <v>11840</v>
          </cell>
          <cell r="C365" t="str">
            <v>tIZil</v>
          </cell>
        </row>
        <row r="366">
          <cell r="B366">
            <v>11843</v>
          </cell>
          <cell r="C366" t="str">
            <v>tIZmi</v>
          </cell>
        </row>
        <row r="367">
          <cell r="B367">
            <v>13131</v>
          </cell>
          <cell r="C367" t="str">
            <v>tIZ36</v>
          </cell>
        </row>
        <row r="368">
          <cell r="B368">
            <v>13132</v>
          </cell>
          <cell r="C368" t="str">
            <v>tIZtf</v>
          </cell>
        </row>
        <row r="369">
          <cell r="B369">
            <v>11846</v>
          </cell>
          <cell r="C369" t="str">
            <v>tIZph</v>
          </cell>
        </row>
        <row r="370">
          <cell r="B370">
            <v>11849</v>
          </cell>
          <cell r="C370" t="str">
            <v>tIZmt</v>
          </cell>
        </row>
        <row r="371">
          <cell r="B371">
            <v>11852</v>
          </cell>
          <cell r="C371" t="str">
            <v>tIZlt</v>
          </cell>
        </row>
        <row r="372">
          <cell r="B372">
            <v>11855</v>
          </cell>
          <cell r="C372" t="str">
            <v>tIZtp</v>
          </cell>
        </row>
        <row r="373">
          <cell r="B373">
            <v>10531</v>
          </cell>
          <cell r="C373" t="str">
            <v>oIZ</v>
          </cell>
        </row>
        <row r="374">
          <cell r="B374">
            <v>13128</v>
          </cell>
          <cell r="C374" t="str">
            <v>oIZpro</v>
          </cell>
        </row>
        <row r="375">
          <cell r="B375">
            <v>11810</v>
          </cell>
          <cell r="C375" t="str">
            <v>oIZv1</v>
          </cell>
        </row>
        <row r="376">
          <cell r="B376">
            <v>13127</v>
          </cell>
          <cell r="C376" t="str">
            <v>oIZexs</v>
          </cell>
        </row>
        <row r="377">
          <cell r="B377">
            <v>11813</v>
          </cell>
          <cell r="C377" t="str">
            <v>oIZdm</v>
          </cell>
        </row>
        <row r="378">
          <cell r="B378">
            <v>11816</v>
          </cell>
          <cell r="C378" t="str">
            <v>oIZvm</v>
          </cell>
        </row>
        <row r="379">
          <cell r="B379">
            <v>11819</v>
          </cell>
          <cell r="C379" t="str">
            <v>oIZml</v>
          </cell>
        </row>
        <row r="380">
          <cell r="B380">
            <v>11871</v>
          </cell>
          <cell r="C380" t="str">
            <v>iIZ</v>
          </cell>
        </row>
        <row r="381">
          <cell r="B381">
            <v>11872</v>
          </cell>
          <cell r="C381" t="str">
            <v>iIZdg</v>
          </cell>
        </row>
        <row r="382">
          <cell r="B382">
            <v>11873</v>
          </cell>
          <cell r="C382" t="str">
            <v>iIZgr</v>
          </cell>
        </row>
        <row r="383">
          <cell r="B383">
            <v>11858</v>
          </cell>
          <cell r="C383" t="str">
            <v>cIZ</v>
          </cell>
        </row>
        <row r="384">
          <cell r="B384">
            <v>11859</v>
          </cell>
          <cell r="C384" t="str">
            <v>cIZr</v>
          </cell>
        </row>
        <row r="385">
          <cell r="B385">
            <v>11862</v>
          </cell>
          <cell r="C385" t="str">
            <v>cIZmi</v>
          </cell>
        </row>
        <row r="386">
          <cell r="B386">
            <v>11865</v>
          </cell>
          <cell r="C386" t="str">
            <v>cIZc</v>
          </cell>
        </row>
        <row r="387">
          <cell r="B387">
            <v>11868</v>
          </cell>
          <cell r="C387" t="str">
            <v>cIZsg</v>
          </cell>
        </row>
        <row r="388">
          <cell r="B388">
            <v>10535</v>
          </cell>
          <cell r="C388" t="str">
            <v>peIZ</v>
          </cell>
        </row>
        <row r="389">
          <cell r="B389">
            <v>11878</v>
          </cell>
          <cell r="C389" t="str">
            <v>IZpc</v>
          </cell>
        </row>
        <row r="390">
          <cell r="B390">
            <v>13142</v>
          </cell>
          <cell r="C390" t="str">
            <v>IZpcr</v>
          </cell>
        </row>
        <row r="391">
          <cell r="B391">
            <v>13143</v>
          </cell>
          <cell r="C391" t="str">
            <v>IZpcc</v>
          </cell>
        </row>
        <row r="392">
          <cell r="B392">
            <v>11877</v>
          </cell>
          <cell r="C392" t="str">
            <v>IZec</v>
          </cell>
        </row>
        <row r="393">
          <cell r="B393">
            <v>13141</v>
          </cell>
          <cell r="C393" t="str">
            <v>IZlec</v>
          </cell>
        </row>
        <row r="394">
          <cell r="B394">
            <v>13140</v>
          </cell>
          <cell r="C394" t="str">
            <v>IZmec</v>
          </cell>
        </row>
        <row r="395">
          <cell r="B395">
            <v>11876</v>
          </cell>
          <cell r="C395" t="str">
            <v>IZprs</v>
          </cell>
        </row>
        <row r="396">
          <cell r="B396">
            <v>13138</v>
          </cell>
          <cell r="C396" t="str">
            <v>IZprsr</v>
          </cell>
        </row>
        <row r="397">
          <cell r="B397">
            <v>13139</v>
          </cell>
          <cell r="C397" t="str">
            <v>IZprsc</v>
          </cell>
        </row>
        <row r="398">
          <cell r="B398">
            <v>11879</v>
          </cell>
          <cell r="C398" t="str">
            <v>IZrs</v>
          </cell>
        </row>
        <row r="399">
          <cell r="B399">
            <v>10534</v>
          </cell>
          <cell r="C399" t="str">
            <v>alIZ</v>
          </cell>
        </row>
        <row r="400">
          <cell r="B400">
            <v>11874</v>
          </cell>
          <cell r="C400" t="str">
            <v>IZhip</v>
          </cell>
        </row>
        <row r="401">
          <cell r="B401">
            <v>13134</v>
          </cell>
          <cell r="C401" t="str">
            <v>IZhipr</v>
          </cell>
        </row>
        <row r="402">
          <cell r="B402">
            <v>13135</v>
          </cell>
          <cell r="C402" t="str">
            <v>IZhipc</v>
          </cell>
        </row>
        <row r="403">
          <cell r="B403">
            <v>11875</v>
          </cell>
          <cell r="C403" t="str">
            <v>IZsub</v>
          </cell>
        </row>
        <row r="404">
          <cell r="B404">
            <v>13136</v>
          </cell>
          <cell r="C404" t="str">
            <v>IZsubr</v>
          </cell>
        </row>
        <row r="405">
          <cell r="B405">
            <v>13137</v>
          </cell>
          <cell r="C405" t="str">
            <v>IZsubc</v>
          </cell>
        </row>
        <row r="406">
          <cell r="B406">
            <v>10536</v>
          </cell>
          <cell r="C406" t="str">
            <v>SZ</v>
          </cell>
        </row>
        <row r="407">
          <cell r="B407">
            <v>10537</v>
          </cell>
          <cell r="C407" t="str">
            <v>fSZ</v>
          </cell>
        </row>
        <row r="408">
          <cell r="B408">
            <v>11905</v>
          </cell>
          <cell r="C408" t="str">
            <v>fSZfp</v>
          </cell>
        </row>
        <row r="409">
          <cell r="B409">
            <v>11906</v>
          </cell>
          <cell r="C409" t="str">
            <v>fSZfpo</v>
          </cell>
        </row>
        <row r="410">
          <cell r="B410">
            <v>11907</v>
          </cell>
          <cell r="C410" t="str">
            <v>fSZfpi</v>
          </cell>
        </row>
        <row r="411">
          <cell r="B411">
            <v>11880</v>
          </cell>
          <cell r="C411" t="str">
            <v>fSZdm</v>
          </cell>
        </row>
        <row r="412">
          <cell r="B412">
            <v>11881</v>
          </cell>
          <cell r="C412" t="str">
            <v>fSZdmo</v>
          </cell>
        </row>
        <row r="413">
          <cell r="B413">
            <v>11882</v>
          </cell>
          <cell r="C413" t="str">
            <v>fSZdmop</v>
          </cell>
        </row>
        <row r="414">
          <cell r="B414">
            <v>11883</v>
          </cell>
          <cell r="C414" t="str">
            <v>fSZdmi</v>
          </cell>
        </row>
        <row r="415">
          <cell r="B415">
            <v>11884</v>
          </cell>
          <cell r="C415" t="str">
            <v>fSZdmip</v>
          </cell>
        </row>
        <row r="416">
          <cell r="B416">
            <v>11895</v>
          </cell>
          <cell r="C416" t="str">
            <v>fSZdl</v>
          </cell>
        </row>
        <row r="417">
          <cell r="B417">
            <v>11896</v>
          </cell>
          <cell r="C417" t="str">
            <v>fSZdlo</v>
          </cell>
        </row>
        <row r="418">
          <cell r="B418">
            <v>11897</v>
          </cell>
          <cell r="C418" t="str">
            <v>fSZdlop</v>
          </cell>
        </row>
        <row r="419">
          <cell r="B419">
            <v>11898</v>
          </cell>
          <cell r="C419" t="str">
            <v>fSZdli</v>
          </cell>
        </row>
        <row r="420">
          <cell r="B420">
            <v>11899</v>
          </cell>
          <cell r="C420" t="str">
            <v>fSZdlip</v>
          </cell>
        </row>
        <row r="421">
          <cell r="B421">
            <v>11900</v>
          </cell>
          <cell r="C421" t="str">
            <v>fSZvl</v>
          </cell>
        </row>
        <row r="422">
          <cell r="B422">
            <v>11901</v>
          </cell>
          <cell r="C422" t="str">
            <v>fSZvlo</v>
          </cell>
        </row>
        <row r="423">
          <cell r="B423">
            <v>11902</v>
          </cell>
          <cell r="C423" t="str">
            <v>fSZvlop</v>
          </cell>
        </row>
        <row r="424">
          <cell r="B424">
            <v>11903</v>
          </cell>
          <cell r="C424" t="str">
            <v>fSZvli</v>
          </cell>
        </row>
        <row r="425">
          <cell r="B425">
            <v>11904</v>
          </cell>
          <cell r="C425" t="str">
            <v>fSZvlip</v>
          </cell>
        </row>
        <row r="426">
          <cell r="B426">
            <v>11885</v>
          </cell>
          <cell r="C426" t="str">
            <v>fSZor</v>
          </cell>
        </row>
        <row r="427">
          <cell r="B427">
            <v>11886</v>
          </cell>
          <cell r="C427" t="str">
            <v>fSZoro</v>
          </cell>
        </row>
        <row r="428">
          <cell r="B428">
            <v>11887</v>
          </cell>
          <cell r="C428" t="str">
            <v>fSZorop</v>
          </cell>
        </row>
        <row r="429">
          <cell r="B429">
            <v>11888</v>
          </cell>
          <cell r="C429" t="str">
            <v>fSZori</v>
          </cell>
        </row>
        <row r="430">
          <cell r="B430">
            <v>11889</v>
          </cell>
          <cell r="C430" t="str">
            <v>fSZorip</v>
          </cell>
        </row>
        <row r="431">
          <cell r="B431">
            <v>11890</v>
          </cell>
          <cell r="C431" t="str">
            <v>fSZm1</v>
          </cell>
        </row>
        <row r="432">
          <cell r="B432">
            <v>11891</v>
          </cell>
          <cell r="C432" t="str">
            <v>fSZm1o</v>
          </cell>
        </row>
        <row r="433">
          <cell r="B433">
            <v>11892</v>
          </cell>
          <cell r="C433" t="str">
            <v>fSZm1op</v>
          </cell>
        </row>
        <row r="434">
          <cell r="B434">
            <v>11893</v>
          </cell>
          <cell r="C434" t="str">
            <v>fSZm1i</v>
          </cell>
        </row>
        <row r="435">
          <cell r="B435">
            <v>11894</v>
          </cell>
          <cell r="C435" t="str">
            <v>fSZm1ip</v>
          </cell>
        </row>
        <row r="436">
          <cell r="B436">
            <v>10539</v>
          </cell>
          <cell r="C436" t="str">
            <v>pSZ</v>
          </cell>
        </row>
        <row r="437">
          <cell r="B437">
            <v>11928</v>
          </cell>
          <cell r="C437" t="str">
            <v>pSZs1</v>
          </cell>
        </row>
        <row r="438">
          <cell r="B438">
            <v>11929</v>
          </cell>
          <cell r="C438" t="str">
            <v>pSZs1o</v>
          </cell>
        </row>
        <row r="439">
          <cell r="B439">
            <v>11930</v>
          </cell>
          <cell r="C439" t="str">
            <v>pSZs1op</v>
          </cell>
        </row>
        <row r="440">
          <cell r="B440">
            <v>11931</v>
          </cell>
          <cell r="C440" t="str">
            <v>pSZs1i</v>
          </cell>
        </row>
        <row r="441">
          <cell r="B441">
            <v>11932</v>
          </cell>
          <cell r="C441" t="str">
            <v>pSZs1ip</v>
          </cell>
        </row>
        <row r="442">
          <cell r="B442">
            <v>11943</v>
          </cell>
          <cell r="C442" t="str">
            <v>pSZdm</v>
          </cell>
        </row>
        <row r="443">
          <cell r="B443">
            <v>11944</v>
          </cell>
          <cell r="C443" t="str">
            <v>pSZdmo</v>
          </cell>
        </row>
        <row r="444">
          <cell r="B444">
            <v>11946</v>
          </cell>
          <cell r="C444" t="str">
            <v>pSZdmi</v>
          </cell>
        </row>
        <row r="445">
          <cell r="B445">
            <v>11933</v>
          </cell>
          <cell r="C445" t="str">
            <v>pSZpd</v>
          </cell>
        </row>
        <row r="446">
          <cell r="B446">
            <v>11934</v>
          </cell>
          <cell r="C446" t="str">
            <v>pSZpdo</v>
          </cell>
        </row>
        <row r="447">
          <cell r="B447">
            <v>11935</v>
          </cell>
          <cell r="C447" t="str">
            <v>pSZpdop</v>
          </cell>
        </row>
        <row r="448">
          <cell r="B448">
            <v>11936</v>
          </cell>
          <cell r="C448" t="str">
            <v>pSZpdi</v>
          </cell>
        </row>
        <row r="449">
          <cell r="B449">
            <v>11937</v>
          </cell>
          <cell r="C449" t="str">
            <v>pSZpdip</v>
          </cell>
        </row>
        <row r="450">
          <cell r="B450">
            <v>11938</v>
          </cell>
          <cell r="C450" t="str">
            <v>pSZpv</v>
          </cell>
        </row>
        <row r="451">
          <cell r="B451">
            <v>11939</v>
          </cell>
          <cell r="C451" t="str">
            <v>pSZpvo</v>
          </cell>
        </row>
        <row r="452">
          <cell r="B452">
            <v>11940</v>
          </cell>
          <cell r="C452" t="str">
            <v>pSZpvop</v>
          </cell>
        </row>
        <row r="453">
          <cell r="B453">
            <v>11941</v>
          </cell>
          <cell r="C453" t="str">
            <v>pSZpvi</v>
          </cell>
        </row>
        <row r="454">
          <cell r="B454">
            <v>11942</v>
          </cell>
          <cell r="C454" t="str">
            <v>pSZpvip</v>
          </cell>
        </row>
        <row r="455">
          <cell r="B455">
            <v>10540</v>
          </cell>
          <cell r="C455" t="str">
            <v>tSZ</v>
          </cell>
        </row>
        <row r="456">
          <cell r="B456">
            <v>15508</v>
          </cell>
          <cell r="C456" t="str">
            <v>tSZdl</v>
          </cell>
        </row>
        <row r="457">
          <cell r="B457">
            <v>11948</v>
          </cell>
          <cell r="C457" t="str">
            <v>tSZa1</v>
          </cell>
        </row>
        <row r="458">
          <cell r="B458">
            <v>11949</v>
          </cell>
          <cell r="C458" t="str">
            <v>tSZa1o</v>
          </cell>
        </row>
        <row r="459">
          <cell r="B459">
            <v>11950</v>
          </cell>
          <cell r="C459" t="str">
            <v>tSZa1op</v>
          </cell>
        </row>
        <row r="460">
          <cell r="B460">
            <v>11951</v>
          </cell>
          <cell r="C460" t="str">
            <v>tSZa1i</v>
          </cell>
        </row>
        <row r="461">
          <cell r="B461">
            <v>11952</v>
          </cell>
          <cell r="C461" t="str">
            <v>tSZa1ip</v>
          </cell>
        </row>
        <row r="462">
          <cell r="B462">
            <v>11953</v>
          </cell>
          <cell r="C462" t="str">
            <v>tSZsl</v>
          </cell>
        </row>
        <row r="463">
          <cell r="B463">
            <v>11954</v>
          </cell>
          <cell r="C463" t="str">
            <v>tSZslo</v>
          </cell>
        </row>
        <row r="464">
          <cell r="B464">
            <v>11955</v>
          </cell>
          <cell r="C464" t="str">
            <v>tSZslop</v>
          </cell>
        </row>
        <row r="465">
          <cell r="B465">
            <v>11956</v>
          </cell>
          <cell r="C465" t="str">
            <v>tSZsli</v>
          </cell>
        </row>
        <row r="466">
          <cell r="B466">
            <v>11957</v>
          </cell>
          <cell r="C466" t="str">
            <v>tSZslip</v>
          </cell>
        </row>
        <row r="467">
          <cell r="B467">
            <v>13154</v>
          </cell>
          <cell r="C467" t="str">
            <v>tSZps</v>
          </cell>
        </row>
        <row r="468">
          <cell r="B468">
            <v>13155</v>
          </cell>
          <cell r="C468" t="str">
            <v>tSZpso</v>
          </cell>
        </row>
        <row r="469">
          <cell r="B469">
            <v>13156</v>
          </cell>
          <cell r="C469" t="str">
            <v>tSZpsop</v>
          </cell>
        </row>
        <row r="470">
          <cell r="B470">
            <v>13157</v>
          </cell>
          <cell r="C470" t="str">
            <v>tSZpsi</v>
          </cell>
        </row>
        <row r="471">
          <cell r="B471">
            <v>13158</v>
          </cell>
          <cell r="C471" t="str">
            <v>tSZpsip</v>
          </cell>
        </row>
        <row r="472">
          <cell r="B472">
            <v>13174</v>
          </cell>
          <cell r="C472" t="str">
            <v>tSZpi</v>
          </cell>
        </row>
        <row r="473">
          <cell r="B473">
            <v>13175</v>
          </cell>
          <cell r="C473" t="str">
            <v>tSZpio</v>
          </cell>
        </row>
        <row r="474">
          <cell r="B474">
            <v>13176</v>
          </cell>
          <cell r="C474" t="str">
            <v>tSZpiop</v>
          </cell>
        </row>
        <row r="475">
          <cell r="B475">
            <v>13177</v>
          </cell>
          <cell r="C475" t="str">
            <v>tSZpii</v>
          </cell>
        </row>
        <row r="476">
          <cell r="B476">
            <v>13178</v>
          </cell>
          <cell r="C476" t="str">
            <v>tSZpiip</v>
          </cell>
        </row>
        <row r="477">
          <cell r="B477">
            <v>15509</v>
          </cell>
          <cell r="C477" t="str">
            <v>tSZvl</v>
          </cell>
        </row>
        <row r="478">
          <cell r="B478">
            <v>13159</v>
          </cell>
          <cell r="C478" t="str">
            <v>tSZml</v>
          </cell>
        </row>
        <row r="479">
          <cell r="B479">
            <v>13160</v>
          </cell>
          <cell r="C479" t="str">
            <v>tSZmlo</v>
          </cell>
        </row>
        <row r="480">
          <cell r="B480">
            <v>13161</v>
          </cell>
          <cell r="C480" t="str">
            <v>tSZmlop</v>
          </cell>
        </row>
        <row r="481">
          <cell r="B481">
            <v>13162</v>
          </cell>
          <cell r="C481" t="str">
            <v>tSZmli</v>
          </cell>
        </row>
        <row r="482">
          <cell r="B482">
            <v>13163</v>
          </cell>
          <cell r="C482" t="str">
            <v>tSZmlip</v>
          </cell>
        </row>
        <row r="483">
          <cell r="B483">
            <v>11958</v>
          </cell>
          <cell r="C483" t="str">
            <v>tSZil</v>
          </cell>
        </row>
        <row r="484">
          <cell r="B484">
            <v>11959</v>
          </cell>
          <cell r="C484" t="str">
            <v>tSZilo</v>
          </cell>
        </row>
        <row r="485">
          <cell r="B485">
            <v>11960</v>
          </cell>
          <cell r="C485" t="str">
            <v>tSZilop</v>
          </cell>
        </row>
        <row r="486">
          <cell r="B486">
            <v>11961</v>
          </cell>
          <cell r="C486" t="str">
            <v>tSZili</v>
          </cell>
        </row>
        <row r="487">
          <cell r="B487">
            <v>11962</v>
          </cell>
          <cell r="C487" t="str">
            <v>tSZilip</v>
          </cell>
        </row>
        <row r="488">
          <cell r="B488">
            <v>11963</v>
          </cell>
          <cell r="C488" t="str">
            <v>tSZmi</v>
          </cell>
        </row>
        <row r="489">
          <cell r="B489">
            <v>13164</v>
          </cell>
          <cell r="C489" t="str">
            <v>tSZ36</v>
          </cell>
        </row>
        <row r="490">
          <cell r="B490">
            <v>13165</v>
          </cell>
          <cell r="C490" t="str">
            <v>tSZ36o</v>
          </cell>
        </row>
        <row r="491">
          <cell r="B491">
            <v>13166</v>
          </cell>
          <cell r="C491" t="str">
            <v>tSZ36op</v>
          </cell>
        </row>
        <row r="492">
          <cell r="B492">
            <v>13167</v>
          </cell>
          <cell r="C492" t="str">
            <v>tSZ36i</v>
          </cell>
        </row>
        <row r="493">
          <cell r="B493">
            <v>13168</v>
          </cell>
          <cell r="C493" t="str">
            <v>tSZ36ip</v>
          </cell>
        </row>
        <row r="494">
          <cell r="B494">
            <v>13169</v>
          </cell>
          <cell r="C494" t="str">
            <v>tSZtf</v>
          </cell>
        </row>
        <row r="495">
          <cell r="B495">
            <v>13170</v>
          </cell>
          <cell r="C495" t="str">
            <v>tSZtfo</v>
          </cell>
        </row>
        <row r="496">
          <cell r="B496">
            <v>13171</v>
          </cell>
          <cell r="C496" t="str">
            <v>tSZtfop</v>
          </cell>
        </row>
        <row r="497">
          <cell r="B497">
            <v>13172</v>
          </cell>
          <cell r="C497" t="str">
            <v>tSZtfi</v>
          </cell>
        </row>
        <row r="498">
          <cell r="B498">
            <v>13173</v>
          </cell>
          <cell r="C498" t="str">
            <v>tSZtfip</v>
          </cell>
        </row>
        <row r="499">
          <cell r="B499">
            <v>11968</v>
          </cell>
          <cell r="C499" t="str">
            <v>tSZph</v>
          </cell>
        </row>
        <row r="500">
          <cell r="B500">
            <v>11969</v>
          </cell>
          <cell r="C500" t="str">
            <v>tSZpho</v>
          </cell>
        </row>
        <row r="501">
          <cell r="B501">
            <v>11970</v>
          </cell>
          <cell r="C501" t="str">
            <v>tSZphop</v>
          </cell>
        </row>
        <row r="502">
          <cell r="B502">
            <v>11971</v>
          </cell>
          <cell r="C502" t="str">
            <v>tSZphi</v>
          </cell>
        </row>
        <row r="503">
          <cell r="B503">
            <v>11972</v>
          </cell>
          <cell r="C503" t="str">
            <v>tSZphip</v>
          </cell>
        </row>
        <row r="504">
          <cell r="B504">
            <v>11973</v>
          </cell>
          <cell r="C504" t="str">
            <v>tSZmt</v>
          </cell>
        </row>
        <row r="505">
          <cell r="B505">
            <v>11974</v>
          </cell>
          <cell r="C505" t="str">
            <v>tSZmto</v>
          </cell>
        </row>
        <row r="506">
          <cell r="B506">
            <v>11975</v>
          </cell>
          <cell r="C506" t="str">
            <v>tSZmtop</v>
          </cell>
        </row>
        <row r="507">
          <cell r="B507">
            <v>11976</v>
          </cell>
          <cell r="C507" t="str">
            <v>tSZmti</v>
          </cell>
        </row>
        <row r="508">
          <cell r="B508">
            <v>11977</v>
          </cell>
          <cell r="C508" t="str">
            <v>tSZmtip</v>
          </cell>
        </row>
        <row r="509">
          <cell r="B509">
            <v>11978</v>
          </cell>
          <cell r="C509" t="str">
            <v>tSZlt</v>
          </cell>
        </row>
        <row r="510">
          <cell r="B510">
            <v>11979</v>
          </cell>
          <cell r="C510" t="str">
            <v>tSZlto</v>
          </cell>
        </row>
        <row r="511">
          <cell r="B511">
            <v>11980</v>
          </cell>
          <cell r="C511" t="str">
            <v>tSZltop</v>
          </cell>
        </row>
        <row r="512">
          <cell r="B512">
            <v>11981</v>
          </cell>
          <cell r="C512" t="str">
            <v>tSZlti</v>
          </cell>
        </row>
        <row r="513">
          <cell r="B513">
            <v>11982</v>
          </cell>
          <cell r="C513" t="str">
            <v>tSZltip</v>
          </cell>
        </row>
        <row r="514">
          <cell r="B514">
            <v>11983</v>
          </cell>
          <cell r="C514" t="str">
            <v>tSZtp</v>
          </cell>
        </row>
        <row r="515">
          <cell r="B515">
            <v>10538</v>
          </cell>
          <cell r="C515" t="str">
            <v>oSZ</v>
          </cell>
        </row>
        <row r="516">
          <cell r="B516">
            <v>13149</v>
          </cell>
          <cell r="C516" t="str">
            <v>oSZpro</v>
          </cell>
        </row>
        <row r="517">
          <cell r="B517">
            <v>13150</v>
          </cell>
          <cell r="C517" t="str">
            <v>oSZproo</v>
          </cell>
        </row>
        <row r="518">
          <cell r="B518">
            <v>13151</v>
          </cell>
          <cell r="C518" t="str">
            <v>oSZproop</v>
          </cell>
        </row>
        <row r="519">
          <cell r="B519">
            <v>13152</v>
          </cell>
          <cell r="C519" t="str">
            <v>oSZproi</v>
          </cell>
        </row>
        <row r="520">
          <cell r="B520">
            <v>13153</v>
          </cell>
          <cell r="C520" t="str">
            <v>oSZproip</v>
          </cell>
        </row>
        <row r="521">
          <cell r="B521">
            <v>11908</v>
          </cell>
          <cell r="C521" t="str">
            <v>oSZv1</v>
          </cell>
        </row>
        <row r="522">
          <cell r="B522">
            <v>11909</v>
          </cell>
          <cell r="C522" t="str">
            <v>oSZv1o</v>
          </cell>
        </row>
        <row r="523">
          <cell r="B523">
            <v>11910</v>
          </cell>
          <cell r="C523" t="str">
            <v>oSZv1op</v>
          </cell>
        </row>
        <row r="524">
          <cell r="B524">
            <v>11911</v>
          </cell>
          <cell r="C524" t="str">
            <v>oSZv1i</v>
          </cell>
        </row>
        <row r="525">
          <cell r="B525">
            <v>11912</v>
          </cell>
          <cell r="C525" t="str">
            <v>oSZv1ip</v>
          </cell>
        </row>
        <row r="526">
          <cell r="B526">
            <v>13144</v>
          </cell>
          <cell r="C526" t="str">
            <v>oSZexs</v>
          </cell>
        </row>
        <row r="527">
          <cell r="B527">
            <v>11913</v>
          </cell>
          <cell r="C527" t="str">
            <v>oSZdm</v>
          </cell>
        </row>
        <row r="528">
          <cell r="B528">
            <v>11914</v>
          </cell>
          <cell r="C528" t="str">
            <v>oSZdmo</v>
          </cell>
        </row>
        <row r="529">
          <cell r="B529">
            <v>11916</v>
          </cell>
          <cell r="C529" t="str">
            <v>oSZdmi</v>
          </cell>
        </row>
        <row r="530">
          <cell r="B530">
            <v>11918</v>
          </cell>
          <cell r="C530" t="str">
            <v>oSZvm</v>
          </cell>
        </row>
        <row r="531">
          <cell r="B531">
            <v>11919</v>
          </cell>
          <cell r="C531" t="str">
            <v>oSZvmo</v>
          </cell>
        </row>
        <row r="532">
          <cell r="B532">
            <v>11921</v>
          </cell>
          <cell r="C532" t="str">
            <v>oSZvmi</v>
          </cell>
        </row>
        <row r="533">
          <cell r="B533">
            <v>11923</v>
          </cell>
          <cell r="C533" t="str">
            <v>oSZml</v>
          </cell>
        </row>
        <row r="534">
          <cell r="B534">
            <v>11924</v>
          </cell>
          <cell r="C534" t="str">
            <v>oSZmlo</v>
          </cell>
        </row>
        <row r="535">
          <cell r="B535">
            <v>11926</v>
          </cell>
          <cell r="C535" t="str">
            <v>oSZmli</v>
          </cell>
        </row>
        <row r="536">
          <cell r="B536">
            <v>13145</v>
          </cell>
          <cell r="C536" t="str">
            <v>oSZexso</v>
          </cell>
        </row>
        <row r="537">
          <cell r="B537">
            <v>13146</v>
          </cell>
          <cell r="C537" t="str">
            <v>oSZexsop</v>
          </cell>
        </row>
        <row r="538">
          <cell r="B538">
            <v>13147</v>
          </cell>
          <cell r="C538" t="str">
            <v>oSZexsi</v>
          </cell>
        </row>
        <row r="539">
          <cell r="B539">
            <v>13148</v>
          </cell>
          <cell r="C539" t="str">
            <v>oSZexsip</v>
          </cell>
        </row>
        <row r="540">
          <cell r="B540">
            <v>11984</v>
          </cell>
          <cell r="C540" t="str">
            <v>cSZ</v>
          </cell>
        </row>
        <row r="541">
          <cell r="B541">
            <v>11985</v>
          </cell>
          <cell r="C541" t="str">
            <v>cSZr</v>
          </cell>
        </row>
        <row r="542">
          <cell r="B542">
            <v>11986</v>
          </cell>
          <cell r="C542" t="str">
            <v>cSZmi</v>
          </cell>
        </row>
        <row r="543">
          <cell r="B543">
            <v>11987</v>
          </cell>
          <cell r="C543" t="str">
            <v>cSZc</v>
          </cell>
        </row>
        <row r="544">
          <cell r="B544">
            <v>13288</v>
          </cell>
          <cell r="C544" t="str">
            <v>cSZsg</v>
          </cell>
        </row>
        <row r="545">
          <cell r="B545">
            <v>10541</v>
          </cell>
          <cell r="C545" t="str">
            <v>peSZ</v>
          </cell>
        </row>
        <row r="546">
          <cell r="B546">
            <v>15510</v>
          </cell>
          <cell r="C546" t="str">
            <v>seSZ</v>
          </cell>
        </row>
        <row r="547">
          <cell r="B547">
            <v>10542</v>
          </cell>
          <cell r="C547" t="str">
            <v>VZ</v>
          </cell>
        </row>
        <row r="548">
          <cell r="B548">
            <v>10543</v>
          </cell>
          <cell r="C548" t="str">
            <v>fVZ</v>
          </cell>
        </row>
        <row r="549">
          <cell r="B549">
            <v>11993</v>
          </cell>
          <cell r="C549" t="str">
            <v>fVZfp</v>
          </cell>
        </row>
        <row r="550">
          <cell r="B550">
            <v>11988</v>
          </cell>
          <cell r="C550" t="str">
            <v>fVZdm</v>
          </cell>
        </row>
        <row r="551">
          <cell r="B551">
            <v>11991</v>
          </cell>
          <cell r="C551" t="str">
            <v>fVZdl</v>
          </cell>
        </row>
        <row r="552">
          <cell r="B552">
            <v>13289</v>
          </cell>
          <cell r="C552" t="str">
            <v>fVZdlo</v>
          </cell>
        </row>
        <row r="553">
          <cell r="B553">
            <v>13290</v>
          </cell>
          <cell r="C553" t="str">
            <v>fVZdli</v>
          </cell>
        </row>
        <row r="554">
          <cell r="B554">
            <v>11992</v>
          </cell>
          <cell r="C554" t="str">
            <v>fVZvl</v>
          </cell>
        </row>
        <row r="555">
          <cell r="B555">
            <v>11989</v>
          </cell>
          <cell r="C555" t="str">
            <v>fVZor</v>
          </cell>
        </row>
        <row r="556">
          <cell r="B556">
            <v>11990</v>
          </cell>
          <cell r="C556" t="str">
            <v>fVZm1</v>
          </cell>
        </row>
        <row r="557">
          <cell r="B557">
            <v>13291</v>
          </cell>
          <cell r="C557" t="str">
            <v>fVZm1o</v>
          </cell>
        </row>
        <row r="558">
          <cell r="B558">
            <v>13292</v>
          </cell>
          <cell r="C558" t="str">
            <v>fVZm1i</v>
          </cell>
        </row>
        <row r="559">
          <cell r="B559">
            <v>10545</v>
          </cell>
          <cell r="C559" t="str">
            <v>pVZ</v>
          </cell>
        </row>
        <row r="560">
          <cell r="B560">
            <v>11998</v>
          </cell>
          <cell r="C560" t="str">
            <v>pVZs1</v>
          </cell>
        </row>
        <row r="561">
          <cell r="B561">
            <v>13293</v>
          </cell>
          <cell r="C561" t="str">
            <v>pVZs1o</v>
          </cell>
        </row>
        <row r="562">
          <cell r="B562">
            <v>13294</v>
          </cell>
          <cell r="C562" t="str">
            <v>pVZs1i</v>
          </cell>
        </row>
        <row r="563">
          <cell r="B563">
            <v>12001</v>
          </cell>
          <cell r="C563" t="str">
            <v>pVZdm</v>
          </cell>
        </row>
        <row r="564">
          <cell r="B564">
            <v>11999</v>
          </cell>
          <cell r="C564" t="str">
            <v>pVZpd</v>
          </cell>
        </row>
        <row r="565">
          <cell r="B565">
            <v>12000</v>
          </cell>
          <cell r="C565" t="str">
            <v>pVZpv</v>
          </cell>
        </row>
        <row r="566">
          <cell r="B566">
            <v>13295</v>
          </cell>
          <cell r="C566" t="str">
            <v>pVZpvo</v>
          </cell>
        </row>
        <row r="567">
          <cell r="B567">
            <v>13296</v>
          </cell>
          <cell r="C567" t="str">
            <v>pVZpvi</v>
          </cell>
        </row>
        <row r="568">
          <cell r="B568">
            <v>10546</v>
          </cell>
          <cell r="C568" t="str">
            <v>tVZ</v>
          </cell>
        </row>
        <row r="569">
          <cell r="B569">
            <v>15511</v>
          </cell>
          <cell r="C569" t="str">
            <v>tVZdl</v>
          </cell>
        </row>
        <row r="570">
          <cell r="B570">
            <v>12002</v>
          </cell>
          <cell r="C570" t="str">
            <v>tVZa1</v>
          </cell>
        </row>
        <row r="571">
          <cell r="B571">
            <v>12003</v>
          </cell>
          <cell r="C571" t="str">
            <v>tVZsl</v>
          </cell>
        </row>
        <row r="572">
          <cell r="B572">
            <v>13181</v>
          </cell>
          <cell r="C572" t="str">
            <v>tVZps</v>
          </cell>
        </row>
        <row r="573">
          <cell r="B573">
            <v>13185</v>
          </cell>
          <cell r="C573" t="str">
            <v>tVZpi</v>
          </cell>
        </row>
        <row r="574">
          <cell r="B574">
            <v>15512</v>
          </cell>
          <cell r="C574" t="str">
            <v>tVZvl</v>
          </cell>
        </row>
        <row r="575">
          <cell r="B575">
            <v>13182</v>
          </cell>
          <cell r="C575" t="str">
            <v>tVZml</v>
          </cell>
        </row>
        <row r="576">
          <cell r="B576">
            <v>12004</v>
          </cell>
          <cell r="C576" t="str">
            <v>tVZil</v>
          </cell>
        </row>
        <row r="577">
          <cell r="B577">
            <v>13297</v>
          </cell>
          <cell r="C577" t="str">
            <v>tVZilo</v>
          </cell>
        </row>
        <row r="578">
          <cell r="B578">
            <v>13298</v>
          </cell>
          <cell r="C578" t="str">
            <v>tVZili</v>
          </cell>
        </row>
        <row r="579">
          <cell r="B579">
            <v>12005</v>
          </cell>
          <cell r="C579" t="str">
            <v>tVZmi</v>
          </cell>
        </row>
        <row r="580">
          <cell r="B580">
            <v>13183</v>
          </cell>
          <cell r="C580" t="str">
            <v>tVZ36</v>
          </cell>
        </row>
        <row r="581">
          <cell r="B581">
            <v>13184</v>
          </cell>
          <cell r="C581" t="str">
            <v>tVZtf</v>
          </cell>
        </row>
        <row r="582">
          <cell r="B582">
            <v>13299</v>
          </cell>
          <cell r="C582" t="str">
            <v>tVZtfo</v>
          </cell>
        </row>
        <row r="583">
          <cell r="B583">
            <v>13300</v>
          </cell>
          <cell r="C583" t="str">
            <v>tVZtfi</v>
          </cell>
        </row>
        <row r="584">
          <cell r="B584">
            <v>12006</v>
          </cell>
          <cell r="C584" t="str">
            <v>tVZph</v>
          </cell>
        </row>
        <row r="585">
          <cell r="B585">
            <v>13301</v>
          </cell>
          <cell r="C585" t="str">
            <v>tVZpho</v>
          </cell>
        </row>
        <row r="586">
          <cell r="B586">
            <v>13302</v>
          </cell>
          <cell r="C586" t="str">
            <v>tVZphi</v>
          </cell>
        </row>
        <row r="587">
          <cell r="B587">
            <v>12007</v>
          </cell>
          <cell r="C587" t="str">
            <v>tVZmt</v>
          </cell>
        </row>
        <row r="588">
          <cell r="B588">
            <v>12008</v>
          </cell>
          <cell r="C588" t="str">
            <v>tVZlt</v>
          </cell>
        </row>
        <row r="589">
          <cell r="B589">
            <v>12009</v>
          </cell>
          <cell r="C589" t="str">
            <v>tVZtp</v>
          </cell>
        </row>
        <row r="590">
          <cell r="B590">
            <v>10544</v>
          </cell>
          <cell r="C590" t="str">
            <v>oVZ</v>
          </cell>
        </row>
        <row r="591">
          <cell r="B591">
            <v>13180</v>
          </cell>
          <cell r="C591" t="str">
            <v>oVZpro</v>
          </cell>
        </row>
        <row r="592">
          <cell r="B592">
            <v>11994</v>
          </cell>
          <cell r="C592" t="str">
            <v>oVZv1</v>
          </cell>
        </row>
        <row r="593">
          <cell r="B593">
            <v>13303</v>
          </cell>
          <cell r="C593" t="str">
            <v>oVZv1o</v>
          </cell>
        </row>
        <row r="594">
          <cell r="B594">
            <v>13304</v>
          </cell>
          <cell r="C594" t="str">
            <v>oVZv1i</v>
          </cell>
        </row>
        <row r="595">
          <cell r="B595">
            <v>13179</v>
          </cell>
          <cell r="C595" t="str">
            <v>oVZexs</v>
          </cell>
        </row>
        <row r="596">
          <cell r="B596">
            <v>11995</v>
          </cell>
          <cell r="C596" t="str">
            <v>oVZdm</v>
          </cell>
        </row>
        <row r="597">
          <cell r="B597">
            <v>11996</v>
          </cell>
          <cell r="C597" t="str">
            <v>oVZvm</v>
          </cell>
        </row>
        <row r="598">
          <cell r="B598">
            <v>11997</v>
          </cell>
          <cell r="C598" t="str">
            <v>oVZml</v>
          </cell>
        </row>
        <row r="599">
          <cell r="B599">
            <v>12010</v>
          </cell>
          <cell r="C599" t="str">
            <v>cVZ</v>
          </cell>
        </row>
        <row r="600">
          <cell r="B600">
            <v>12011</v>
          </cell>
          <cell r="C600" t="str">
            <v>cVZr</v>
          </cell>
        </row>
        <row r="601">
          <cell r="B601">
            <v>12012</v>
          </cell>
          <cell r="C601" t="str">
            <v>cVZmi</v>
          </cell>
        </row>
        <row r="602">
          <cell r="B602">
            <v>12013</v>
          </cell>
          <cell r="C602" t="str">
            <v>cVZc</v>
          </cell>
        </row>
        <row r="603">
          <cell r="B603">
            <v>12014</v>
          </cell>
          <cell r="C603" t="str">
            <v>cVZsg</v>
          </cell>
        </row>
        <row r="604">
          <cell r="B604">
            <v>10548</v>
          </cell>
          <cell r="C604" t="str">
            <v>peVZ</v>
          </cell>
        </row>
        <row r="605">
          <cell r="B605">
            <v>12019</v>
          </cell>
          <cell r="C605" t="str">
            <v>VZpc</v>
          </cell>
        </row>
        <row r="606">
          <cell r="B606">
            <v>13196</v>
          </cell>
          <cell r="C606" t="str">
            <v>VZpcr</v>
          </cell>
        </row>
        <row r="607">
          <cell r="B607">
            <v>13197</v>
          </cell>
          <cell r="C607" t="str">
            <v>VZpcc</v>
          </cell>
        </row>
        <row r="608">
          <cell r="B608">
            <v>13192</v>
          </cell>
          <cell r="C608" t="str">
            <v>VZEC</v>
          </cell>
        </row>
        <row r="609">
          <cell r="B609">
            <v>13193</v>
          </cell>
          <cell r="C609" t="str">
            <v>VZmec</v>
          </cell>
        </row>
        <row r="610">
          <cell r="B610">
            <v>12018</v>
          </cell>
          <cell r="C610" t="str">
            <v>VZec</v>
          </cell>
        </row>
        <row r="611">
          <cell r="B611">
            <v>13194</v>
          </cell>
          <cell r="C611" t="str">
            <v>VZlec</v>
          </cell>
        </row>
        <row r="612">
          <cell r="B612">
            <v>13195</v>
          </cell>
          <cell r="C612" t="str">
            <v>VZer</v>
          </cell>
        </row>
        <row r="613">
          <cell r="B613">
            <v>12017</v>
          </cell>
          <cell r="C613" t="str">
            <v>VZprs</v>
          </cell>
        </row>
        <row r="614">
          <cell r="B614">
            <v>13190</v>
          </cell>
          <cell r="C614" t="str">
            <v>VZprsr</v>
          </cell>
        </row>
        <row r="615">
          <cell r="B615">
            <v>13191</v>
          </cell>
          <cell r="C615" t="str">
            <v>VZprsc</v>
          </cell>
        </row>
        <row r="616">
          <cell r="B616">
            <v>12020</v>
          </cell>
          <cell r="C616" t="str">
            <v>VZrs</v>
          </cell>
        </row>
        <row r="617">
          <cell r="B617">
            <v>10547</v>
          </cell>
          <cell r="C617" t="str">
            <v>alVZ</v>
          </cell>
        </row>
        <row r="618">
          <cell r="B618">
            <v>12015</v>
          </cell>
          <cell r="C618" t="str">
            <v>VZhip</v>
          </cell>
        </row>
        <row r="619">
          <cell r="B619">
            <v>13186</v>
          </cell>
          <cell r="C619" t="str">
            <v>VZhipr</v>
          </cell>
        </row>
        <row r="620">
          <cell r="B620">
            <v>13187</v>
          </cell>
          <cell r="C620" t="str">
            <v>VZhipc</v>
          </cell>
        </row>
        <row r="621">
          <cell r="B621">
            <v>12016</v>
          </cell>
          <cell r="C621" t="str">
            <v>VZsub</v>
          </cell>
        </row>
        <row r="622">
          <cell r="B622">
            <v>13188</v>
          </cell>
          <cell r="C622" t="str">
            <v>VZsubr</v>
          </cell>
        </row>
        <row r="623">
          <cell r="B623">
            <v>13189</v>
          </cell>
          <cell r="C623" t="str">
            <v>VZsubc</v>
          </cell>
        </row>
        <row r="624">
          <cell r="B624">
            <v>10549</v>
          </cell>
          <cell r="C624" t="str">
            <v>GE</v>
          </cell>
        </row>
        <row r="625">
          <cell r="B625">
            <v>13305</v>
          </cell>
          <cell r="C625" t="str">
            <v>LGEVZ</v>
          </cell>
        </row>
        <row r="626">
          <cell r="B626">
            <v>10551</v>
          </cell>
          <cell r="C626" t="str">
            <v>LGE</v>
          </cell>
        </row>
        <row r="627">
          <cell r="B627">
            <v>13306</v>
          </cell>
          <cell r="C627" t="str">
            <v>LGEo</v>
          </cell>
        </row>
        <row r="628">
          <cell r="B628">
            <v>13307</v>
          </cell>
          <cell r="C628" t="str">
            <v>LGEi</v>
          </cell>
        </row>
        <row r="629">
          <cell r="B629">
            <v>13308</v>
          </cell>
          <cell r="C629" t="str">
            <v>LMGE</v>
          </cell>
        </row>
        <row r="630">
          <cell r="B630">
            <v>10550</v>
          </cell>
          <cell r="C630" t="str">
            <v>MGE</v>
          </cell>
        </row>
        <row r="631">
          <cell r="B631">
            <v>13309</v>
          </cell>
          <cell r="C631" t="str">
            <v>MGEo</v>
          </cell>
        </row>
        <row r="632">
          <cell r="B632">
            <v>13310</v>
          </cell>
          <cell r="C632" t="str">
            <v>MGEi</v>
          </cell>
        </row>
        <row r="633">
          <cell r="B633">
            <v>10552</v>
          </cell>
          <cell r="C633" t="str">
            <v>CGE</v>
          </cell>
        </row>
        <row r="634">
          <cell r="B634">
            <v>13311</v>
          </cell>
          <cell r="C634" t="str">
            <v>CGEo</v>
          </cell>
        </row>
        <row r="635">
          <cell r="B635">
            <v>13312</v>
          </cell>
          <cell r="C635" t="str">
            <v>CGEi</v>
          </cell>
        </row>
        <row r="636">
          <cell r="B636">
            <v>13313</v>
          </cell>
          <cell r="C636" t="str">
            <v>seVZ</v>
          </cell>
        </row>
        <row r="637">
          <cell r="B637">
            <v>13314</v>
          </cell>
          <cell r="C637" t="str">
            <v>scVZ</v>
          </cell>
        </row>
        <row r="638">
          <cell r="B638">
            <v>10553</v>
          </cell>
          <cell r="C638" t="str">
            <v>paVZ</v>
          </cell>
        </row>
        <row r="639">
          <cell r="B639">
            <v>10554</v>
          </cell>
          <cell r="C639" t="str">
            <v>thVZ</v>
          </cell>
        </row>
        <row r="640">
          <cell r="B640">
            <v>10555</v>
          </cell>
          <cell r="C640" t="str">
            <v>hyVZ</v>
          </cell>
        </row>
        <row r="641">
          <cell r="B641">
            <v>10556</v>
          </cell>
          <cell r="C641" t="str">
            <v>RMS</v>
          </cell>
        </row>
        <row r="642">
          <cell r="B642">
            <v>13198</v>
          </cell>
          <cell r="C642" t="str">
            <v>RMSv</v>
          </cell>
        </row>
        <row r="643">
          <cell r="B643">
            <v>13315</v>
          </cell>
          <cell r="C643" t="str">
            <v>RMSvv</v>
          </cell>
        </row>
        <row r="644">
          <cell r="B644">
            <v>13316</v>
          </cell>
          <cell r="C644" t="str">
            <v>RMSvg</v>
          </cell>
        </row>
        <row r="645">
          <cell r="B645">
            <v>13317</v>
          </cell>
          <cell r="C645" t="str">
            <v>RMSvs</v>
          </cell>
        </row>
        <row r="646">
          <cell r="B646">
            <v>13199</v>
          </cell>
          <cell r="C646" t="str">
            <v>RMSh</v>
          </cell>
        </row>
        <row r="647">
          <cell r="B647">
            <v>13318</v>
          </cell>
          <cell r="C647" t="str">
            <v>RMShv</v>
          </cell>
        </row>
        <row r="648">
          <cell r="B648">
            <v>13319</v>
          </cell>
          <cell r="C648" t="str">
            <v>RMShg</v>
          </cell>
        </row>
        <row r="649">
          <cell r="B649">
            <v>13320</v>
          </cell>
          <cell r="C649" t="str">
            <v>RMShs</v>
          </cell>
        </row>
        <row r="650">
          <cell r="B650">
            <v>13077</v>
          </cell>
          <cell r="C650" t="str">
            <v>CalS</v>
          </cell>
        </row>
        <row r="651">
          <cell r="B651">
            <v>13075</v>
          </cell>
          <cell r="C651" t="str">
            <v>DHTC</v>
          </cell>
        </row>
        <row r="652">
          <cell r="B652">
            <v>13074</v>
          </cell>
          <cell r="C652" t="str">
            <v>IPTC</v>
          </cell>
        </row>
        <row r="653">
          <cell r="B653">
            <v>13079</v>
          </cell>
          <cell r="C653" t="str">
            <v>OlfP</v>
          </cell>
        </row>
        <row r="654">
          <cell r="B654">
            <v>13078</v>
          </cell>
          <cell r="C654" t="str">
            <v>PFG</v>
          </cell>
        </row>
        <row r="655">
          <cell r="B655">
            <v>10507</v>
          </cell>
          <cell r="C655" t="str">
            <v>PPL</v>
          </cell>
        </row>
        <row r="656">
          <cell r="B656">
            <v>13076</v>
          </cell>
          <cell r="C656" t="str">
            <v>ScG</v>
          </cell>
        </row>
        <row r="657">
          <cell r="B657">
            <v>146034626</v>
          </cell>
          <cell r="C657" t="str">
            <v>TCete</v>
          </cell>
        </row>
        <row r="658">
          <cell r="B658">
            <v>13321</v>
          </cell>
          <cell r="C658" t="str">
            <v>TCexc</v>
          </cell>
        </row>
        <row r="659">
          <cell r="B659">
            <v>10158</v>
          </cell>
          <cell r="C659" t="str">
            <v>Tel</v>
          </cell>
        </row>
        <row r="660">
          <cell r="B660">
            <v>10159</v>
          </cell>
          <cell r="C660" t="str">
            <v>Cx</v>
          </cell>
        </row>
        <row r="661">
          <cell r="B661">
            <v>10160</v>
          </cell>
          <cell r="C661" t="str">
            <v>NCx</v>
          </cell>
        </row>
        <row r="662">
          <cell r="B662">
            <v>10161</v>
          </cell>
          <cell r="C662" t="str">
            <v>FCx</v>
          </cell>
        </row>
        <row r="663">
          <cell r="B663">
            <v>10172</v>
          </cell>
          <cell r="C663" t="str">
            <v>PFC</v>
          </cell>
        </row>
        <row r="664">
          <cell r="B664">
            <v>10190</v>
          </cell>
          <cell r="C664" t="str">
            <v>A10</v>
          </cell>
        </row>
        <row r="665">
          <cell r="B665">
            <v>10191</v>
          </cell>
          <cell r="C665" t="str">
            <v>A10m</v>
          </cell>
        </row>
        <row r="666">
          <cell r="B666">
            <v>10895</v>
          </cell>
          <cell r="C666" t="str">
            <v>A10m1</v>
          </cell>
        </row>
        <row r="667">
          <cell r="B667">
            <v>10896</v>
          </cell>
          <cell r="C667" t="str">
            <v>A10m2</v>
          </cell>
        </row>
        <row r="668">
          <cell r="B668">
            <v>10897</v>
          </cell>
          <cell r="C668" t="str">
            <v>A10m3</v>
          </cell>
        </row>
        <row r="669">
          <cell r="B669">
            <v>10898</v>
          </cell>
          <cell r="C669" t="str">
            <v>A10m4</v>
          </cell>
        </row>
        <row r="670">
          <cell r="B670">
            <v>10899</v>
          </cell>
          <cell r="C670" t="str">
            <v>A10m5</v>
          </cell>
        </row>
        <row r="671">
          <cell r="B671">
            <v>10900</v>
          </cell>
          <cell r="C671" t="str">
            <v>A10m6</v>
          </cell>
        </row>
        <row r="672">
          <cell r="B672">
            <v>10192</v>
          </cell>
          <cell r="C672" t="str">
            <v>A10l</v>
          </cell>
        </row>
        <row r="673">
          <cell r="B673">
            <v>10901</v>
          </cell>
          <cell r="C673" t="str">
            <v>A10l1</v>
          </cell>
        </row>
        <row r="674">
          <cell r="B674">
            <v>10902</v>
          </cell>
          <cell r="C674" t="str">
            <v>A10l2</v>
          </cell>
        </row>
        <row r="675">
          <cell r="B675">
            <v>10903</v>
          </cell>
          <cell r="C675" t="str">
            <v>A10l3</v>
          </cell>
        </row>
        <row r="676">
          <cell r="B676">
            <v>10904</v>
          </cell>
          <cell r="C676" t="str">
            <v>A10l4</v>
          </cell>
        </row>
        <row r="677">
          <cell r="B677">
            <v>10905</v>
          </cell>
          <cell r="C677" t="str">
            <v>A10l5</v>
          </cell>
        </row>
        <row r="678">
          <cell r="B678">
            <v>10906</v>
          </cell>
          <cell r="C678" t="str">
            <v>A10l6</v>
          </cell>
        </row>
        <row r="679">
          <cell r="B679">
            <v>10193</v>
          </cell>
          <cell r="C679" t="str">
            <v>A10o</v>
          </cell>
        </row>
        <row r="680">
          <cell r="B680">
            <v>10907</v>
          </cell>
          <cell r="C680" t="str">
            <v>A10o1</v>
          </cell>
        </row>
        <row r="681">
          <cell r="B681">
            <v>10908</v>
          </cell>
          <cell r="C681" t="str">
            <v>A10o2</v>
          </cell>
        </row>
        <row r="682">
          <cell r="B682">
            <v>10909</v>
          </cell>
          <cell r="C682" t="str">
            <v>A10o3</v>
          </cell>
        </row>
        <row r="683">
          <cell r="B683">
            <v>10910</v>
          </cell>
          <cell r="C683" t="str">
            <v>A10o4</v>
          </cell>
        </row>
        <row r="684">
          <cell r="B684">
            <v>10911</v>
          </cell>
          <cell r="C684" t="str">
            <v>A10o5</v>
          </cell>
        </row>
        <row r="685">
          <cell r="B685">
            <v>10912</v>
          </cell>
          <cell r="C685" t="str">
            <v>A10o6</v>
          </cell>
        </row>
        <row r="686">
          <cell r="B686">
            <v>10173</v>
          </cell>
          <cell r="C686" t="str">
            <v>DFC</v>
          </cell>
        </row>
        <row r="687">
          <cell r="B687">
            <v>10174</v>
          </cell>
          <cell r="C687" t="str">
            <v>A8</v>
          </cell>
        </row>
        <row r="688">
          <cell r="B688">
            <v>10175</v>
          </cell>
          <cell r="C688" t="str">
            <v>A8ld</v>
          </cell>
        </row>
        <row r="689">
          <cell r="B689">
            <v>10821</v>
          </cell>
          <cell r="C689" t="str">
            <v>A8ld1</v>
          </cell>
        </row>
        <row r="690">
          <cell r="B690">
            <v>10822</v>
          </cell>
          <cell r="C690" t="str">
            <v>A8ld2</v>
          </cell>
        </row>
        <row r="691">
          <cell r="B691">
            <v>10823</v>
          </cell>
          <cell r="C691" t="str">
            <v>A8ld3</v>
          </cell>
        </row>
        <row r="692">
          <cell r="B692">
            <v>10824</v>
          </cell>
          <cell r="C692" t="str">
            <v>A8ld4</v>
          </cell>
        </row>
        <row r="693">
          <cell r="B693">
            <v>10825</v>
          </cell>
          <cell r="C693" t="str">
            <v>A8ld5</v>
          </cell>
        </row>
        <row r="694">
          <cell r="B694">
            <v>10826</v>
          </cell>
          <cell r="C694" t="str">
            <v>A8ld6</v>
          </cell>
        </row>
        <row r="695">
          <cell r="B695">
            <v>10176</v>
          </cell>
          <cell r="C695" t="str">
            <v>A8lv</v>
          </cell>
        </row>
        <row r="696">
          <cell r="B696">
            <v>10827</v>
          </cell>
          <cell r="C696" t="str">
            <v>A8lv1</v>
          </cell>
        </row>
        <row r="697">
          <cell r="B697">
            <v>10828</v>
          </cell>
          <cell r="C697" t="str">
            <v>A8lv2</v>
          </cell>
        </row>
        <row r="698">
          <cell r="B698">
            <v>10829</v>
          </cell>
          <cell r="C698" t="str">
            <v>A8lv3</v>
          </cell>
        </row>
        <row r="699">
          <cell r="B699">
            <v>10830</v>
          </cell>
          <cell r="C699" t="str">
            <v>A8lv4</v>
          </cell>
        </row>
        <row r="700">
          <cell r="B700">
            <v>10831</v>
          </cell>
          <cell r="C700" t="str">
            <v>A8lv5</v>
          </cell>
        </row>
        <row r="701">
          <cell r="B701">
            <v>10832</v>
          </cell>
          <cell r="C701" t="str">
            <v>A8lv6</v>
          </cell>
        </row>
        <row r="702">
          <cell r="B702">
            <v>10177</v>
          </cell>
          <cell r="C702" t="str">
            <v>A8m</v>
          </cell>
        </row>
        <row r="703">
          <cell r="B703">
            <v>10833</v>
          </cell>
          <cell r="C703" t="str">
            <v>A8m1</v>
          </cell>
        </row>
        <row r="704">
          <cell r="B704">
            <v>10834</v>
          </cell>
          <cell r="C704" t="str">
            <v>A8m2</v>
          </cell>
        </row>
        <row r="705">
          <cell r="B705">
            <v>10835</v>
          </cell>
          <cell r="C705" t="str">
            <v>A8m3</v>
          </cell>
        </row>
        <row r="706">
          <cell r="B706">
            <v>10836</v>
          </cell>
          <cell r="C706" t="str">
            <v>A8m4</v>
          </cell>
        </row>
        <row r="707">
          <cell r="B707">
            <v>10837</v>
          </cell>
          <cell r="C707" t="str">
            <v>A8m5</v>
          </cell>
        </row>
        <row r="708">
          <cell r="B708">
            <v>10838</v>
          </cell>
          <cell r="C708" t="str">
            <v>A8m6</v>
          </cell>
        </row>
        <row r="709">
          <cell r="B709">
            <v>10178</v>
          </cell>
          <cell r="C709" t="str">
            <v>A9</v>
          </cell>
        </row>
        <row r="710">
          <cell r="B710">
            <v>10179</v>
          </cell>
          <cell r="C710" t="str">
            <v>A9l</v>
          </cell>
        </row>
        <row r="711">
          <cell r="B711">
            <v>10839</v>
          </cell>
          <cell r="C711" t="str">
            <v>A9l1</v>
          </cell>
        </row>
        <row r="712">
          <cell r="B712">
            <v>10840</v>
          </cell>
          <cell r="C712" t="str">
            <v>A9l2</v>
          </cell>
        </row>
        <row r="713">
          <cell r="B713">
            <v>10841</v>
          </cell>
          <cell r="C713" t="str">
            <v>A9l3</v>
          </cell>
        </row>
        <row r="714">
          <cell r="B714">
            <v>10842</v>
          </cell>
          <cell r="C714" t="str">
            <v>A9l4</v>
          </cell>
        </row>
        <row r="715">
          <cell r="B715">
            <v>10843</v>
          </cell>
          <cell r="C715" t="str">
            <v>A9l5</v>
          </cell>
        </row>
        <row r="716">
          <cell r="B716">
            <v>10844</v>
          </cell>
          <cell r="C716" t="str">
            <v>A9l6</v>
          </cell>
        </row>
        <row r="717">
          <cell r="B717">
            <v>10180</v>
          </cell>
          <cell r="C717" t="str">
            <v>A9m</v>
          </cell>
        </row>
        <row r="718">
          <cell r="B718">
            <v>10845</v>
          </cell>
          <cell r="C718" t="str">
            <v>A9m1</v>
          </cell>
        </row>
        <row r="719">
          <cell r="B719">
            <v>10846</v>
          </cell>
          <cell r="C719" t="str">
            <v>A9m2</v>
          </cell>
        </row>
        <row r="720">
          <cell r="B720">
            <v>10847</v>
          </cell>
          <cell r="C720" t="str">
            <v>A9m3</v>
          </cell>
        </row>
        <row r="721">
          <cell r="B721">
            <v>10848</v>
          </cell>
          <cell r="C721" t="str">
            <v>A9m4</v>
          </cell>
        </row>
        <row r="722">
          <cell r="B722">
            <v>10849</v>
          </cell>
          <cell r="C722" t="str">
            <v>A9m5</v>
          </cell>
        </row>
        <row r="723">
          <cell r="B723">
            <v>10850</v>
          </cell>
          <cell r="C723" t="str">
            <v>A9m6</v>
          </cell>
        </row>
        <row r="724">
          <cell r="B724">
            <v>10181</v>
          </cell>
          <cell r="C724" t="str">
            <v>A9/46</v>
          </cell>
        </row>
        <row r="725">
          <cell r="B725">
            <v>10182</v>
          </cell>
          <cell r="C725" t="str">
            <v>A9/46d</v>
          </cell>
        </row>
        <row r="726">
          <cell r="B726">
            <v>10851</v>
          </cell>
          <cell r="C726" t="str">
            <v>A9/46d1</v>
          </cell>
        </row>
        <row r="727">
          <cell r="B727">
            <v>10852</v>
          </cell>
          <cell r="C727" t="str">
            <v>A9/46d2</v>
          </cell>
        </row>
        <row r="728">
          <cell r="B728">
            <v>10853</v>
          </cell>
          <cell r="C728" t="str">
            <v>A9/46d3</v>
          </cell>
        </row>
        <row r="729">
          <cell r="B729">
            <v>10854</v>
          </cell>
          <cell r="C729" t="str">
            <v>A9/46d4</v>
          </cell>
        </row>
        <row r="730">
          <cell r="B730">
            <v>10855</v>
          </cell>
          <cell r="C730" t="str">
            <v>A9/46d5</v>
          </cell>
        </row>
        <row r="731">
          <cell r="B731">
            <v>10856</v>
          </cell>
          <cell r="C731" t="str">
            <v>A9/46d6</v>
          </cell>
        </row>
        <row r="732">
          <cell r="B732">
            <v>10183</v>
          </cell>
          <cell r="C732" t="str">
            <v>A9/46v</v>
          </cell>
        </row>
        <row r="733">
          <cell r="B733">
            <v>10857</v>
          </cell>
          <cell r="C733" t="str">
            <v>A9/46v1</v>
          </cell>
        </row>
        <row r="734">
          <cell r="B734">
            <v>10858</v>
          </cell>
          <cell r="C734" t="str">
            <v>A9/46v2</v>
          </cell>
        </row>
        <row r="735">
          <cell r="B735">
            <v>10859</v>
          </cell>
          <cell r="C735" t="str">
            <v>A9/46v3</v>
          </cell>
        </row>
        <row r="736">
          <cell r="B736">
            <v>10860</v>
          </cell>
          <cell r="C736" t="str">
            <v>A9/46v4</v>
          </cell>
        </row>
        <row r="737">
          <cell r="B737">
            <v>10861</v>
          </cell>
          <cell r="C737" t="str">
            <v>A9/46v5</v>
          </cell>
        </row>
        <row r="738">
          <cell r="B738">
            <v>10862</v>
          </cell>
          <cell r="C738" t="str">
            <v>A9/46v6</v>
          </cell>
        </row>
        <row r="739">
          <cell r="B739">
            <v>10184</v>
          </cell>
          <cell r="C739" t="str">
            <v>A46</v>
          </cell>
        </row>
        <row r="740">
          <cell r="B740">
            <v>10863</v>
          </cell>
          <cell r="C740" t="str">
            <v>A46d</v>
          </cell>
        </row>
        <row r="741">
          <cell r="B741">
            <v>10864</v>
          </cell>
          <cell r="C741" t="str">
            <v>A46d1</v>
          </cell>
        </row>
        <row r="742">
          <cell r="B742">
            <v>10865</v>
          </cell>
          <cell r="C742" t="str">
            <v>A46d2</v>
          </cell>
        </row>
        <row r="743">
          <cell r="B743">
            <v>10866</v>
          </cell>
          <cell r="C743" t="str">
            <v>A46d3</v>
          </cell>
        </row>
        <row r="744">
          <cell r="B744">
            <v>10867</v>
          </cell>
          <cell r="C744" t="str">
            <v>A46d4</v>
          </cell>
        </row>
        <row r="745">
          <cell r="B745">
            <v>10868</v>
          </cell>
          <cell r="C745" t="str">
            <v>A46d5</v>
          </cell>
        </row>
        <row r="746">
          <cell r="B746">
            <v>10869</v>
          </cell>
          <cell r="C746" t="str">
            <v>A46d6</v>
          </cell>
        </row>
        <row r="747">
          <cell r="B747">
            <v>10870</v>
          </cell>
          <cell r="C747" t="str">
            <v>A46v</v>
          </cell>
        </row>
        <row r="748">
          <cell r="B748">
            <v>10871</v>
          </cell>
          <cell r="C748" t="str">
            <v>A46v1</v>
          </cell>
        </row>
        <row r="749">
          <cell r="B749">
            <v>10872</v>
          </cell>
          <cell r="C749" t="str">
            <v>A46v2</v>
          </cell>
        </row>
        <row r="750">
          <cell r="B750">
            <v>10873</v>
          </cell>
          <cell r="C750" t="str">
            <v>A46v3</v>
          </cell>
        </row>
        <row r="751">
          <cell r="B751">
            <v>10874</v>
          </cell>
          <cell r="C751" t="str">
            <v>A46v4</v>
          </cell>
        </row>
        <row r="752">
          <cell r="B752">
            <v>10875</v>
          </cell>
          <cell r="C752" t="str">
            <v>A46v5</v>
          </cell>
        </row>
        <row r="753">
          <cell r="B753">
            <v>10876</v>
          </cell>
          <cell r="C753" t="str">
            <v>A46v6</v>
          </cell>
        </row>
        <row r="754">
          <cell r="B754">
            <v>10185</v>
          </cell>
          <cell r="C754" t="str">
            <v>VFC</v>
          </cell>
        </row>
        <row r="755">
          <cell r="B755">
            <v>10186</v>
          </cell>
          <cell r="C755" t="str">
            <v>A44</v>
          </cell>
        </row>
        <row r="756">
          <cell r="B756">
            <v>266441105</v>
          </cell>
          <cell r="C756" t="str">
            <v>A44d</v>
          </cell>
        </row>
        <row r="757">
          <cell r="B757">
            <v>266441109</v>
          </cell>
          <cell r="C757" t="str">
            <v>A44d1</v>
          </cell>
        </row>
        <row r="758">
          <cell r="B758">
            <v>266441113</v>
          </cell>
          <cell r="C758" t="str">
            <v>A44d2</v>
          </cell>
        </row>
        <row r="759">
          <cell r="B759">
            <v>266441117</v>
          </cell>
          <cell r="C759" t="str">
            <v>A44d3</v>
          </cell>
        </row>
        <row r="760">
          <cell r="B760">
            <v>266441121</v>
          </cell>
          <cell r="C760" t="str">
            <v>A44d4</v>
          </cell>
        </row>
        <row r="761">
          <cell r="B761">
            <v>266441125</v>
          </cell>
          <cell r="C761" t="str">
            <v>A44d5</v>
          </cell>
        </row>
        <row r="762">
          <cell r="B762">
            <v>266441129</v>
          </cell>
          <cell r="C762" t="str">
            <v>A44d6</v>
          </cell>
        </row>
        <row r="763">
          <cell r="B763">
            <v>266441133</v>
          </cell>
          <cell r="C763" t="str">
            <v>A44v</v>
          </cell>
        </row>
        <row r="764">
          <cell r="B764">
            <v>266441137</v>
          </cell>
          <cell r="C764" t="str">
            <v>A44v1</v>
          </cell>
        </row>
        <row r="765">
          <cell r="B765">
            <v>266441141</v>
          </cell>
          <cell r="C765" t="str">
            <v>A44v2</v>
          </cell>
        </row>
        <row r="766">
          <cell r="B766">
            <v>266441145</v>
          </cell>
          <cell r="C766" t="str">
            <v>A44v3</v>
          </cell>
        </row>
        <row r="767">
          <cell r="B767">
            <v>266441149</v>
          </cell>
          <cell r="C767" t="str">
            <v>A44v4</v>
          </cell>
        </row>
        <row r="768">
          <cell r="B768">
            <v>266441153</v>
          </cell>
          <cell r="C768" t="str">
            <v>A44v5</v>
          </cell>
        </row>
        <row r="769">
          <cell r="B769">
            <v>266441157</v>
          </cell>
          <cell r="C769" t="str">
            <v>A44v6</v>
          </cell>
        </row>
        <row r="770">
          <cell r="B770">
            <v>266441161</v>
          </cell>
          <cell r="C770" t="str">
            <v>A44op</v>
          </cell>
        </row>
        <row r="771">
          <cell r="B771">
            <v>266441165</v>
          </cell>
          <cell r="C771" t="str">
            <v>A44op1</v>
          </cell>
        </row>
        <row r="772">
          <cell r="B772">
            <v>266441169</v>
          </cell>
          <cell r="C772" t="str">
            <v>A44op2</v>
          </cell>
        </row>
        <row r="773">
          <cell r="B773">
            <v>266441173</v>
          </cell>
          <cell r="C773" t="str">
            <v>A44op3</v>
          </cell>
        </row>
        <row r="774">
          <cell r="B774">
            <v>266441177</v>
          </cell>
          <cell r="C774" t="str">
            <v>A44op4</v>
          </cell>
        </row>
        <row r="775">
          <cell r="B775">
            <v>266441181</v>
          </cell>
          <cell r="C775" t="str">
            <v>A44op5</v>
          </cell>
        </row>
        <row r="776">
          <cell r="B776">
            <v>266441185</v>
          </cell>
          <cell r="C776" t="str">
            <v>A44op6</v>
          </cell>
        </row>
        <row r="777">
          <cell r="B777">
            <v>10187</v>
          </cell>
          <cell r="C777" t="str">
            <v>A45</v>
          </cell>
        </row>
        <row r="778">
          <cell r="B778">
            <v>10188</v>
          </cell>
          <cell r="C778" t="str">
            <v>A45r</v>
          </cell>
        </row>
        <row r="779">
          <cell r="B779">
            <v>10883</v>
          </cell>
          <cell r="C779" t="str">
            <v>A45r1</v>
          </cell>
        </row>
        <row r="780">
          <cell r="B780">
            <v>10884</v>
          </cell>
          <cell r="C780" t="str">
            <v>A45r2</v>
          </cell>
        </row>
        <row r="781">
          <cell r="B781">
            <v>10885</v>
          </cell>
          <cell r="C781" t="str">
            <v>A45r3</v>
          </cell>
        </row>
        <row r="782">
          <cell r="B782">
            <v>10886</v>
          </cell>
          <cell r="C782" t="str">
            <v>A45r4</v>
          </cell>
        </row>
        <row r="783">
          <cell r="B783">
            <v>10887</v>
          </cell>
          <cell r="C783" t="str">
            <v>A45r5</v>
          </cell>
        </row>
        <row r="784">
          <cell r="B784">
            <v>10888</v>
          </cell>
          <cell r="C784" t="str">
            <v>A45r6</v>
          </cell>
        </row>
        <row r="785">
          <cell r="B785">
            <v>10189</v>
          </cell>
          <cell r="C785" t="str">
            <v>A45c</v>
          </cell>
        </row>
        <row r="786">
          <cell r="B786">
            <v>10889</v>
          </cell>
          <cell r="C786" t="str">
            <v>A45c1</v>
          </cell>
        </row>
        <row r="787">
          <cell r="B787">
            <v>10890</v>
          </cell>
          <cell r="C787" t="str">
            <v>A45c2</v>
          </cell>
        </row>
        <row r="788">
          <cell r="B788">
            <v>10891</v>
          </cell>
          <cell r="C788" t="str">
            <v>A45c3</v>
          </cell>
        </row>
        <row r="789">
          <cell r="B789">
            <v>10892</v>
          </cell>
          <cell r="C789" t="str">
            <v>A45c4</v>
          </cell>
        </row>
        <row r="790">
          <cell r="B790">
            <v>10893</v>
          </cell>
          <cell r="C790" t="str">
            <v>A45c5</v>
          </cell>
        </row>
        <row r="791">
          <cell r="B791">
            <v>10894</v>
          </cell>
          <cell r="C791" t="str">
            <v>A45c6</v>
          </cell>
        </row>
        <row r="792">
          <cell r="B792">
            <v>266441189</v>
          </cell>
          <cell r="C792" t="str">
            <v>A45op</v>
          </cell>
        </row>
        <row r="793">
          <cell r="B793">
            <v>266441193</v>
          </cell>
          <cell r="C793" t="str">
            <v>A45op1</v>
          </cell>
        </row>
        <row r="794">
          <cell r="B794">
            <v>266441197</v>
          </cell>
          <cell r="C794" t="str">
            <v>A45op2</v>
          </cell>
        </row>
        <row r="795">
          <cell r="B795">
            <v>266441201</v>
          </cell>
          <cell r="C795" t="str">
            <v>A45op3</v>
          </cell>
        </row>
        <row r="796">
          <cell r="B796">
            <v>266441205</v>
          </cell>
          <cell r="C796" t="str">
            <v>A45op4</v>
          </cell>
        </row>
        <row r="797">
          <cell r="B797">
            <v>266441209</v>
          </cell>
          <cell r="C797" t="str">
            <v>A45op5</v>
          </cell>
        </row>
        <row r="798">
          <cell r="B798">
            <v>266441213</v>
          </cell>
          <cell r="C798" t="str">
            <v>A45op6</v>
          </cell>
        </row>
        <row r="799">
          <cell r="B799">
            <v>10194</v>
          </cell>
          <cell r="C799" t="str">
            <v>OFC</v>
          </cell>
        </row>
        <row r="800">
          <cell r="B800">
            <v>10195</v>
          </cell>
          <cell r="C800" t="str">
            <v>OFCm</v>
          </cell>
        </row>
        <row r="801">
          <cell r="B801">
            <v>10196</v>
          </cell>
          <cell r="C801" t="str">
            <v>A14r</v>
          </cell>
        </row>
        <row r="802">
          <cell r="B802">
            <v>10738</v>
          </cell>
          <cell r="C802" t="str">
            <v>A14r1</v>
          </cell>
        </row>
        <row r="803">
          <cell r="B803">
            <v>10739</v>
          </cell>
          <cell r="C803" t="str">
            <v>A14r2</v>
          </cell>
        </row>
        <row r="804">
          <cell r="B804">
            <v>10740</v>
          </cell>
          <cell r="C804" t="str">
            <v>A14r3</v>
          </cell>
        </row>
        <row r="805">
          <cell r="B805">
            <v>10741</v>
          </cell>
          <cell r="C805" t="str">
            <v>A14r4</v>
          </cell>
        </row>
        <row r="806">
          <cell r="B806">
            <v>10742</v>
          </cell>
          <cell r="C806" t="str">
            <v>A14r5</v>
          </cell>
        </row>
        <row r="807">
          <cell r="B807">
            <v>10743</v>
          </cell>
          <cell r="C807" t="str">
            <v>A14r6</v>
          </cell>
        </row>
        <row r="808">
          <cell r="B808">
            <v>10197</v>
          </cell>
          <cell r="C808" t="str">
            <v>A14c</v>
          </cell>
        </row>
        <row r="809">
          <cell r="B809">
            <v>10744</v>
          </cell>
          <cell r="C809" t="str">
            <v>A14c1</v>
          </cell>
        </row>
        <row r="810">
          <cell r="B810">
            <v>10745</v>
          </cell>
          <cell r="C810" t="str">
            <v>A14c2</v>
          </cell>
        </row>
        <row r="811">
          <cell r="B811">
            <v>10746</v>
          </cell>
          <cell r="C811" t="str">
            <v>A14c3</v>
          </cell>
        </row>
        <row r="812">
          <cell r="B812">
            <v>10747</v>
          </cell>
          <cell r="C812" t="str">
            <v>A14c4</v>
          </cell>
        </row>
        <row r="813">
          <cell r="B813">
            <v>10748</v>
          </cell>
          <cell r="C813" t="str">
            <v>A14c5</v>
          </cell>
        </row>
        <row r="814">
          <cell r="B814">
            <v>10749</v>
          </cell>
          <cell r="C814" t="str">
            <v>A14c6</v>
          </cell>
        </row>
        <row r="815">
          <cell r="B815">
            <v>10198</v>
          </cell>
          <cell r="C815" t="str">
            <v>OFCi</v>
          </cell>
        </row>
        <row r="816">
          <cell r="B816">
            <v>10199</v>
          </cell>
          <cell r="C816" t="str">
            <v>A11</v>
          </cell>
        </row>
        <row r="817">
          <cell r="B817">
            <v>10200</v>
          </cell>
          <cell r="C817" t="str">
            <v>A11m</v>
          </cell>
        </row>
        <row r="818">
          <cell r="B818">
            <v>10750</v>
          </cell>
          <cell r="C818" t="str">
            <v>A11m1</v>
          </cell>
        </row>
        <row r="819">
          <cell r="B819">
            <v>10751</v>
          </cell>
          <cell r="C819" t="str">
            <v>A11m2</v>
          </cell>
        </row>
        <row r="820">
          <cell r="B820">
            <v>10752</v>
          </cell>
          <cell r="C820" t="str">
            <v>A11m3</v>
          </cell>
        </row>
        <row r="821">
          <cell r="B821">
            <v>10753</v>
          </cell>
          <cell r="C821" t="str">
            <v>A11m4</v>
          </cell>
        </row>
        <row r="822">
          <cell r="B822">
            <v>10754</v>
          </cell>
          <cell r="C822" t="str">
            <v>A11m5</v>
          </cell>
        </row>
        <row r="823">
          <cell r="B823">
            <v>10755</v>
          </cell>
          <cell r="C823" t="str">
            <v>A11m6</v>
          </cell>
        </row>
        <row r="824">
          <cell r="B824">
            <v>10201</v>
          </cell>
          <cell r="C824" t="str">
            <v>A11l</v>
          </cell>
        </row>
        <row r="825">
          <cell r="B825">
            <v>10756</v>
          </cell>
          <cell r="C825" t="str">
            <v>A11l1</v>
          </cell>
        </row>
        <row r="826">
          <cell r="B826">
            <v>10757</v>
          </cell>
          <cell r="C826" t="str">
            <v>A11l2</v>
          </cell>
        </row>
        <row r="827">
          <cell r="B827">
            <v>10758</v>
          </cell>
          <cell r="C827" t="str">
            <v>A11l3</v>
          </cell>
        </row>
        <row r="828">
          <cell r="B828">
            <v>10759</v>
          </cell>
          <cell r="C828" t="str">
            <v>A11l4</v>
          </cell>
        </row>
        <row r="829">
          <cell r="B829">
            <v>10760</v>
          </cell>
          <cell r="C829" t="str">
            <v>A11l5</v>
          </cell>
        </row>
        <row r="830">
          <cell r="B830">
            <v>10761</v>
          </cell>
          <cell r="C830" t="str">
            <v>A11l6</v>
          </cell>
        </row>
        <row r="831">
          <cell r="B831">
            <v>10202</v>
          </cell>
          <cell r="C831" t="str">
            <v>A13</v>
          </cell>
        </row>
        <row r="832">
          <cell r="B832">
            <v>10203</v>
          </cell>
          <cell r="C832" t="str">
            <v>A13m</v>
          </cell>
        </row>
        <row r="833">
          <cell r="B833">
            <v>10762</v>
          </cell>
          <cell r="C833" t="str">
            <v>A13m1</v>
          </cell>
        </row>
        <row r="834">
          <cell r="B834">
            <v>10763</v>
          </cell>
          <cell r="C834" t="str">
            <v>A13m2</v>
          </cell>
        </row>
        <row r="835">
          <cell r="B835">
            <v>10764</v>
          </cell>
          <cell r="C835" t="str">
            <v>A13m3</v>
          </cell>
        </row>
        <row r="836">
          <cell r="B836">
            <v>10765</v>
          </cell>
          <cell r="C836" t="str">
            <v>A13m4</v>
          </cell>
        </row>
        <row r="837">
          <cell r="B837">
            <v>10766</v>
          </cell>
          <cell r="C837" t="str">
            <v>A13m5</v>
          </cell>
        </row>
        <row r="838">
          <cell r="B838">
            <v>10767</v>
          </cell>
          <cell r="C838" t="str">
            <v>A13m6</v>
          </cell>
        </row>
        <row r="839">
          <cell r="B839">
            <v>10204</v>
          </cell>
          <cell r="C839" t="str">
            <v>A13l</v>
          </cell>
        </row>
        <row r="840">
          <cell r="B840">
            <v>10768</v>
          </cell>
          <cell r="C840" t="str">
            <v>A13l1</v>
          </cell>
        </row>
        <row r="841">
          <cell r="B841">
            <v>10769</v>
          </cell>
          <cell r="C841" t="str">
            <v>A13l2</v>
          </cell>
        </row>
        <row r="842">
          <cell r="B842">
            <v>10770</v>
          </cell>
          <cell r="C842" t="str">
            <v>A13l3</v>
          </cell>
        </row>
        <row r="843">
          <cell r="B843">
            <v>10771</v>
          </cell>
          <cell r="C843" t="str">
            <v>A13l4</v>
          </cell>
        </row>
        <row r="844">
          <cell r="B844">
            <v>10772</v>
          </cell>
          <cell r="C844" t="str">
            <v>A13l5</v>
          </cell>
        </row>
        <row r="845">
          <cell r="B845">
            <v>10773</v>
          </cell>
          <cell r="C845" t="str">
            <v>A13l6</v>
          </cell>
        </row>
        <row r="846">
          <cell r="B846">
            <v>10205</v>
          </cell>
          <cell r="C846" t="str">
            <v>OFCl</v>
          </cell>
        </row>
        <row r="847">
          <cell r="B847">
            <v>10206</v>
          </cell>
          <cell r="C847" t="str">
            <v>A12/47m</v>
          </cell>
        </row>
        <row r="848">
          <cell r="B848">
            <v>10774</v>
          </cell>
          <cell r="C848" t="str">
            <v>A12/47m1</v>
          </cell>
        </row>
        <row r="849">
          <cell r="B849">
            <v>10775</v>
          </cell>
          <cell r="C849" t="str">
            <v>A12/47m2</v>
          </cell>
        </row>
        <row r="850">
          <cell r="B850">
            <v>10776</v>
          </cell>
          <cell r="C850" t="str">
            <v>A12/47m3</v>
          </cell>
        </row>
        <row r="851">
          <cell r="B851">
            <v>10777</v>
          </cell>
          <cell r="C851" t="str">
            <v>A12/47m4</v>
          </cell>
        </row>
        <row r="852">
          <cell r="B852">
            <v>10778</v>
          </cell>
          <cell r="C852" t="str">
            <v>A12/47m5</v>
          </cell>
        </row>
        <row r="853">
          <cell r="B853">
            <v>10779</v>
          </cell>
          <cell r="C853" t="str">
            <v>A12/47m6</v>
          </cell>
        </row>
        <row r="854">
          <cell r="B854">
            <v>10207</v>
          </cell>
          <cell r="C854" t="str">
            <v>A12/47l</v>
          </cell>
        </row>
        <row r="855">
          <cell r="B855">
            <v>10780</v>
          </cell>
          <cell r="C855" t="str">
            <v>A12/47l1</v>
          </cell>
        </row>
        <row r="856">
          <cell r="B856">
            <v>10781</v>
          </cell>
          <cell r="C856" t="str">
            <v>A12/47l2</v>
          </cell>
        </row>
        <row r="857">
          <cell r="B857">
            <v>10782</v>
          </cell>
          <cell r="C857" t="str">
            <v>A12/47l3</v>
          </cell>
        </row>
        <row r="858">
          <cell r="B858">
            <v>10783</v>
          </cell>
          <cell r="C858" t="str">
            <v>A12/47l4</v>
          </cell>
        </row>
        <row r="859">
          <cell r="B859">
            <v>10784</v>
          </cell>
          <cell r="C859" t="str">
            <v>A12/47l5</v>
          </cell>
        </row>
        <row r="860">
          <cell r="B860">
            <v>10785</v>
          </cell>
          <cell r="C860" t="str">
            <v>A12/47l6</v>
          </cell>
        </row>
        <row r="861">
          <cell r="B861">
            <v>10162</v>
          </cell>
          <cell r="C861" t="str">
            <v>PoFC</v>
          </cell>
        </row>
        <row r="862">
          <cell r="B862">
            <v>10163</v>
          </cell>
          <cell r="C862" t="str">
            <v>M1C</v>
          </cell>
        </row>
        <row r="863">
          <cell r="B863">
            <v>10164</v>
          </cell>
          <cell r="C863" t="str">
            <v>M1hf</v>
          </cell>
        </row>
        <row r="864">
          <cell r="B864">
            <v>10786</v>
          </cell>
          <cell r="C864" t="str">
            <v>M1hf1</v>
          </cell>
        </row>
        <row r="865">
          <cell r="B865">
            <v>10787</v>
          </cell>
          <cell r="C865" t="str">
            <v>M1hf2</v>
          </cell>
        </row>
        <row r="866">
          <cell r="B866">
            <v>10788</v>
          </cell>
          <cell r="C866" t="str">
            <v>M1hf3</v>
          </cell>
        </row>
        <row r="867">
          <cell r="B867">
            <v>10789</v>
          </cell>
          <cell r="C867" t="str">
            <v>M1hf5</v>
          </cell>
        </row>
        <row r="868">
          <cell r="B868">
            <v>10790</v>
          </cell>
          <cell r="C868" t="str">
            <v>M1hf6</v>
          </cell>
        </row>
        <row r="869">
          <cell r="B869">
            <v>10165</v>
          </cell>
          <cell r="C869" t="str">
            <v>M1ul</v>
          </cell>
        </row>
        <row r="870">
          <cell r="B870">
            <v>10791</v>
          </cell>
          <cell r="C870" t="str">
            <v>M1ul1</v>
          </cell>
        </row>
        <row r="871">
          <cell r="B871">
            <v>10792</v>
          </cell>
          <cell r="C871" t="str">
            <v>M1ul2</v>
          </cell>
        </row>
        <row r="872">
          <cell r="B872">
            <v>10793</v>
          </cell>
          <cell r="C872" t="str">
            <v>M1ul3</v>
          </cell>
        </row>
        <row r="873">
          <cell r="B873">
            <v>10794</v>
          </cell>
          <cell r="C873" t="str">
            <v>M1ul5</v>
          </cell>
        </row>
        <row r="874">
          <cell r="B874">
            <v>10795</v>
          </cell>
          <cell r="C874" t="str">
            <v>M1ul6</v>
          </cell>
        </row>
        <row r="875">
          <cell r="B875">
            <v>10166</v>
          </cell>
          <cell r="C875" t="str">
            <v>M1tr</v>
          </cell>
        </row>
        <row r="876">
          <cell r="B876">
            <v>10796</v>
          </cell>
          <cell r="C876" t="str">
            <v>M1tr1</v>
          </cell>
        </row>
        <row r="877">
          <cell r="B877">
            <v>10797</v>
          </cell>
          <cell r="C877" t="str">
            <v>M1tr2</v>
          </cell>
        </row>
        <row r="878">
          <cell r="B878">
            <v>10798</v>
          </cell>
          <cell r="C878" t="str">
            <v>M1tr3</v>
          </cell>
        </row>
        <row r="879">
          <cell r="B879">
            <v>10799</v>
          </cell>
          <cell r="C879" t="str">
            <v>M1tr5</v>
          </cell>
        </row>
        <row r="880">
          <cell r="B880">
            <v>10800</v>
          </cell>
          <cell r="C880" t="str">
            <v>M1tr6</v>
          </cell>
        </row>
        <row r="881">
          <cell r="B881">
            <v>10167</v>
          </cell>
          <cell r="C881" t="str">
            <v>M1lm</v>
          </cell>
        </row>
        <row r="882">
          <cell r="B882">
            <v>10801</v>
          </cell>
          <cell r="C882" t="str">
            <v>M1lm1</v>
          </cell>
        </row>
        <row r="883">
          <cell r="B883">
            <v>10802</v>
          </cell>
          <cell r="C883" t="str">
            <v>M1lm2</v>
          </cell>
        </row>
        <row r="884">
          <cell r="B884">
            <v>10803</v>
          </cell>
          <cell r="C884" t="str">
            <v>M1lm3</v>
          </cell>
        </row>
        <row r="885">
          <cell r="B885">
            <v>10804</v>
          </cell>
          <cell r="C885" t="str">
            <v>M1lm5</v>
          </cell>
        </row>
        <row r="886">
          <cell r="B886">
            <v>10805</v>
          </cell>
          <cell r="C886" t="str">
            <v>M1lm6</v>
          </cell>
        </row>
        <row r="887">
          <cell r="B887">
            <v>10168</v>
          </cell>
          <cell r="C887" t="str">
            <v>PMC</v>
          </cell>
        </row>
        <row r="888">
          <cell r="B888">
            <v>10169</v>
          </cell>
          <cell r="C888" t="str">
            <v>A6ld</v>
          </cell>
        </row>
        <row r="889">
          <cell r="B889">
            <v>10806</v>
          </cell>
          <cell r="C889" t="str">
            <v>A6ld1</v>
          </cell>
        </row>
        <row r="890">
          <cell r="B890">
            <v>10807</v>
          </cell>
          <cell r="C890" t="str">
            <v>A6ld2</v>
          </cell>
        </row>
        <row r="891">
          <cell r="B891">
            <v>10808</v>
          </cell>
          <cell r="C891" t="str">
            <v>A6ld3</v>
          </cell>
        </row>
        <row r="892">
          <cell r="B892">
            <v>10809</v>
          </cell>
          <cell r="C892" t="str">
            <v>A6ld5</v>
          </cell>
        </row>
        <row r="893">
          <cell r="B893">
            <v>10810</v>
          </cell>
          <cell r="C893" t="str">
            <v>A6ld6</v>
          </cell>
        </row>
        <row r="894">
          <cell r="B894">
            <v>10170</v>
          </cell>
          <cell r="C894" t="str">
            <v>A6lv</v>
          </cell>
        </row>
        <row r="895">
          <cell r="B895">
            <v>10811</v>
          </cell>
          <cell r="C895" t="str">
            <v>A6lv1</v>
          </cell>
        </row>
        <row r="896">
          <cell r="B896">
            <v>10812</v>
          </cell>
          <cell r="C896" t="str">
            <v>A6lv2</v>
          </cell>
        </row>
        <row r="897">
          <cell r="B897">
            <v>10813</v>
          </cell>
          <cell r="C897" t="str">
            <v>A6lv3</v>
          </cell>
        </row>
        <row r="898">
          <cell r="B898">
            <v>10814</v>
          </cell>
          <cell r="C898" t="str">
            <v>A6lv5</v>
          </cell>
        </row>
        <row r="899">
          <cell r="B899">
            <v>10815</v>
          </cell>
          <cell r="C899" t="str">
            <v>A6lv6</v>
          </cell>
        </row>
        <row r="900">
          <cell r="B900">
            <v>10171</v>
          </cell>
          <cell r="C900" t="str">
            <v>A6m</v>
          </cell>
        </row>
        <row r="901">
          <cell r="B901">
            <v>10816</v>
          </cell>
          <cell r="C901" t="str">
            <v>A6m1</v>
          </cell>
        </row>
        <row r="902">
          <cell r="B902">
            <v>10817</v>
          </cell>
          <cell r="C902" t="str">
            <v>A6m2</v>
          </cell>
        </row>
        <row r="903">
          <cell r="B903">
            <v>10818</v>
          </cell>
          <cell r="C903" t="str">
            <v>A6m3</v>
          </cell>
        </row>
        <row r="904">
          <cell r="B904">
            <v>10819</v>
          </cell>
          <cell r="C904" t="str">
            <v>A6m5</v>
          </cell>
        </row>
        <row r="905">
          <cell r="B905">
            <v>10820</v>
          </cell>
          <cell r="C905" t="str">
            <v>A6m6</v>
          </cell>
        </row>
        <row r="906">
          <cell r="B906">
            <v>266441217</v>
          </cell>
          <cell r="C906" t="str">
            <v>A6/32</v>
          </cell>
        </row>
        <row r="907">
          <cell r="B907">
            <v>266441221</v>
          </cell>
          <cell r="C907" t="str">
            <v>A6/32-1</v>
          </cell>
        </row>
        <row r="908">
          <cell r="B908">
            <v>266441225</v>
          </cell>
          <cell r="C908" t="str">
            <v>A6/32-2</v>
          </cell>
        </row>
        <row r="909">
          <cell r="B909">
            <v>266441229</v>
          </cell>
          <cell r="C909" t="str">
            <v>A6/32-3</v>
          </cell>
        </row>
        <row r="910">
          <cell r="B910">
            <v>266441233</v>
          </cell>
          <cell r="C910" t="str">
            <v>A6/32-4</v>
          </cell>
        </row>
        <row r="911">
          <cell r="B911">
            <v>266441237</v>
          </cell>
          <cell r="C911" t="str">
            <v>A6/32-5</v>
          </cell>
        </row>
        <row r="912">
          <cell r="B912">
            <v>266441241</v>
          </cell>
          <cell r="C912" t="str">
            <v>A6/32-6</v>
          </cell>
        </row>
        <row r="913">
          <cell r="B913">
            <v>10291</v>
          </cell>
          <cell r="C913" t="str">
            <v>M1C-S1C</v>
          </cell>
        </row>
        <row r="914">
          <cell r="B914">
            <v>10208</v>
          </cell>
          <cell r="C914" t="str">
            <v>PCx</v>
          </cell>
        </row>
        <row r="915">
          <cell r="B915">
            <v>10209</v>
          </cell>
          <cell r="C915" t="str">
            <v>S1C</v>
          </cell>
        </row>
        <row r="916">
          <cell r="B916">
            <v>10210</v>
          </cell>
          <cell r="C916" t="str">
            <v>S1hf</v>
          </cell>
        </row>
        <row r="917">
          <cell r="B917">
            <v>10913</v>
          </cell>
          <cell r="C917" t="str">
            <v>S1hf1</v>
          </cell>
        </row>
        <row r="918">
          <cell r="B918">
            <v>10914</v>
          </cell>
          <cell r="C918" t="str">
            <v>S1hf2</v>
          </cell>
        </row>
        <row r="919">
          <cell r="B919">
            <v>10915</v>
          </cell>
          <cell r="C919" t="str">
            <v>S1hf3</v>
          </cell>
        </row>
        <row r="920">
          <cell r="B920">
            <v>10916</v>
          </cell>
          <cell r="C920" t="str">
            <v>S1hf4</v>
          </cell>
        </row>
        <row r="921">
          <cell r="B921">
            <v>10917</v>
          </cell>
          <cell r="C921" t="str">
            <v>S1hf5</v>
          </cell>
        </row>
        <row r="922">
          <cell r="B922">
            <v>10918</v>
          </cell>
          <cell r="C922" t="str">
            <v>S1hf6</v>
          </cell>
        </row>
        <row r="923">
          <cell r="B923">
            <v>10211</v>
          </cell>
          <cell r="C923" t="str">
            <v>S1ul</v>
          </cell>
        </row>
        <row r="924">
          <cell r="B924">
            <v>10919</v>
          </cell>
          <cell r="C924" t="str">
            <v>S1ul1</v>
          </cell>
        </row>
        <row r="925">
          <cell r="B925">
            <v>10920</v>
          </cell>
          <cell r="C925" t="str">
            <v>S1ul2</v>
          </cell>
        </row>
        <row r="926">
          <cell r="B926">
            <v>10921</v>
          </cell>
          <cell r="C926" t="str">
            <v>S1ul3</v>
          </cell>
        </row>
        <row r="927">
          <cell r="B927">
            <v>10922</v>
          </cell>
          <cell r="C927" t="str">
            <v>S1ul4</v>
          </cell>
        </row>
        <row r="928">
          <cell r="B928">
            <v>10923</v>
          </cell>
          <cell r="C928" t="str">
            <v>S1ul5</v>
          </cell>
        </row>
        <row r="929">
          <cell r="B929">
            <v>10924</v>
          </cell>
          <cell r="C929" t="str">
            <v>S1ul6</v>
          </cell>
        </row>
        <row r="930">
          <cell r="B930">
            <v>10212</v>
          </cell>
          <cell r="C930" t="str">
            <v>S1tr</v>
          </cell>
        </row>
        <row r="931">
          <cell r="B931">
            <v>10925</v>
          </cell>
          <cell r="C931" t="str">
            <v>S1tr1</v>
          </cell>
        </row>
        <row r="932">
          <cell r="B932">
            <v>10926</v>
          </cell>
          <cell r="C932" t="str">
            <v>S1tr2</v>
          </cell>
        </row>
        <row r="933">
          <cell r="B933">
            <v>10927</v>
          </cell>
          <cell r="C933" t="str">
            <v>S1tr3</v>
          </cell>
        </row>
        <row r="934">
          <cell r="B934">
            <v>10928</v>
          </cell>
          <cell r="C934" t="str">
            <v>S1tr4</v>
          </cell>
        </row>
        <row r="935">
          <cell r="B935">
            <v>10929</v>
          </cell>
          <cell r="C935" t="str">
            <v>S1tr5</v>
          </cell>
        </row>
        <row r="936">
          <cell r="B936">
            <v>10930</v>
          </cell>
          <cell r="C936" t="str">
            <v>S1tr6</v>
          </cell>
        </row>
        <row r="937">
          <cell r="B937">
            <v>10213</v>
          </cell>
          <cell r="C937" t="str">
            <v>S1lm</v>
          </cell>
        </row>
        <row r="938">
          <cell r="B938">
            <v>10931</v>
          </cell>
          <cell r="C938" t="str">
            <v>S1lm1</v>
          </cell>
        </row>
        <row r="939">
          <cell r="B939">
            <v>10932</v>
          </cell>
          <cell r="C939" t="str">
            <v>S1lm2</v>
          </cell>
        </row>
        <row r="940">
          <cell r="B940">
            <v>10933</v>
          </cell>
          <cell r="C940" t="str">
            <v>S1lm3</v>
          </cell>
        </row>
        <row r="941">
          <cell r="B941">
            <v>10934</v>
          </cell>
          <cell r="C941" t="str">
            <v>S1lm4</v>
          </cell>
        </row>
        <row r="942">
          <cell r="B942">
            <v>10935</v>
          </cell>
          <cell r="C942" t="str">
            <v>S1lm5</v>
          </cell>
        </row>
        <row r="943">
          <cell r="B943">
            <v>10936</v>
          </cell>
          <cell r="C943" t="str">
            <v>S1lm6</v>
          </cell>
        </row>
        <row r="944">
          <cell r="B944">
            <v>13010</v>
          </cell>
          <cell r="C944" t="str">
            <v>ScC</v>
          </cell>
        </row>
        <row r="945">
          <cell r="B945">
            <v>10214</v>
          </cell>
          <cell r="C945" t="str">
            <v>PoPC</v>
          </cell>
        </row>
        <row r="946">
          <cell r="B946">
            <v>10215</v>
          </cell>
          <cell r="C946" t="str">
            <v>SPC</v>
          </cell>
        </row>
        <row r="947">
          <cell r="B947">
            <v>10216</v>
          </cell>
          <cell r="C947" t="str">
            <v>A5</v>
          </cell>
        </row>
        <row r="948">
          <cell r="B948">
            <v>10217</v>
          </cell>
          <cell r="C948" t="str">
            <v>A5ci</v>
          </cell>
        </row>
        <row r="949">
          <cell r="B949">
            <v>10979</v>
          </cell>
          <cell r="C949" t="str">
            <v>A5ci1</v>
          </cell>
        </row>
        <row r="950">
          <cell r="B950">
            <v>10980</v>
          </cell>
          <cell r="C950" t="str">
            <v>A5ci2</v>
          </cell>
        </row>
        <row r="951">
          <cell r="B951">
            <v>10981</v>
          </cell>
          <cell r="C951" t="str">
            <v>A5ci3</v>
          </cell>
        </row>
        <row r="952">
          <cell r="B952">
            <v>10982</v>
          </cell>
          <cell r="C952" t="str">
            <v>A5ci4</v>
          </cell>
        </row>
        <row r="953">
          <cell r="B953">
            <v>10983</v>
          </cell>
          <cell r="C953" t="str">
            <v>A5ci5</v>
          </cell>
        </row>
        <row r="954">
          <cell r="B954">
            <v>10984</v>
          </cell>
          <cell r="C954" t="str">
            <v>A5ci6</v>
          </cell>
        </row>
        <row r="955">
          <cell r="B955">
            <v>10218</v>
          </cell>
          <cell r="C955" t="str">
            <v>A5l</v>
          </cell>
        </row>
        <row r="956">
          <cell r="B956">
            <v>10985</v>
          </cell>
          <cell r="C956" t="str">
            <v>A5l1</v>
          </cell>
        </row>
        <row r="957">
          <cell r="B957">
            <v>10986</v>
          </cell>
          <cell r="C957" t="str">
            <v>A5l2</v>
          </cell>
        </row>
        <row r="958">
          <cell r="B958">
            <v>10987</v>
          </cell>
          <cell r="C958" t="str">
            <v>A5l3</v>
          </cell>
        </row>
        <row r="959">
          <cell r="B959">
            <v>10988</v>
          </cell>
          <cell r="C959" t="str">
            <v>A5l4</v>
          </cell>
        </row>
        <row r="960">
          <cell r="B960">
            <v>10989</v>
          </cell>
          <cell r="C960" t="str">
            <v>A5l5</v>
          </cell>
        </row>
        <row r="961">
          <cell r="B961">
            <v>10990</v>
          </cell>
          <cell r="C961" t="str">
            <v>A5l6</v>
          </cell>
        </row>
        <row r="962">
          <cell r="B962">
            <v>10219</v>
          </cell>
          <cell r="C962" t="str">
            <v>A5m</v>
          </cell>
        </row>
        <row r="963">
          <cell r="B963">
            <v>10991</v>
          </cell>
          <cell r="C963" t="str">
            <v>A5m1</v>
          </cell>
        </row>
        <row r="964">
          <cell r="B964">
            <v>10992</v>
          </cell>
          <cell r="C964" t="str">
            <v>A5m2</v>
          </cell>
        </row>
        <row r="965">
          <cell r="B965">
            <v>10993</v>
          </cell>
          <cell r="C965" t="str">
            <v>A5m3</v>
          </cell>
        </row>
        <row r="966">
          <cell r="B966">
            <v>10994</v>
          </cell>
          <cell r="C966" t="str">
            <v>A5m4</v>
          </cell>
        </row>
        <row r="967">
          <cell r="B967">
            <v>10995</v>
          </cell>
          <cell r="C967" t="str">
            <v>A5m5</v>
          </cell>
        </row>
        <row r="968">
          <cell r="B968">
            <v>10996</v>
          </cell>
          <cell r="C968" t="str">
            <v>A5m6</v>
          </cell>
        </row>
        <row r="969">
          <cell r="B969">
            <v>10220</v>
          </cell>
          <cell r="C969" t="str">
            <v>A7</v>
          </cell>
        </row>
        <row r="970">
          <cell r="B970">
            <v>10221</v>
          </cell>
          <cell r="C970" t="str">
            <v>A7r</v>
          </cell>
        </row>
        <row r="971">
          <cell r="B971">
            <v>10997</v>
          </cell>
          <cell r="C971" t="str">
            <v>A7r1</v>
          </cell>
        </row>
        <row r="972">
          <cell r="B972">
            <v>10998</v>
          </cell>
          <cell r="C972" t="str">
            <v>A7r2</v>
          </cell>
        </row>
        <row r="973">
          <cell r="B973">
            <v>10999</v>
          </cell>
          <cell r="C973" t="str">
            <v>A7r3</v>
          </cell>
        </row>
        <row r="974">
          <cell r="B974">
            <v>11000</v>
          </cell>
          <cell r="C974" t="str">
            <v>A7r4</v>
          </cell>
        </row>
        <row r="975">
          <cell r="B975">
            <v>11001</v>
          </cell>
          <cell r="C975" t="str">
            <v>A7r5</v>
          </cell>
        </row>
        <row r="976">
          <cell r="B976">
            <v>11002</v>
          </cell>
          <cell r="C976" t="str">
            <v>A7r6</v>
          </cell>
        </row>
        <row r="977">
          <cell r="B977">
            <v>10222</v>
          </cell>
          <cell r="C977" t="str">
            <v>A7m</v>
          </cell>
        </row>
        <row r="978">
          <cell r="B978">
            <v>11003</v>
          </cell>
          <cell r="C978" t="str">
            <v>A7m1</v>
          </cell>
        </row>
        <row r="979">
          <cell r="B979">
            <v>11004</v>
          </cell>
          <cell r="C979" t="str">
            <v>A7m2</v>
          </cell>
        </row>
        <row r="980">
          <cell r="B980">
            <v>11005</v>
          </cell>
          <cell r="C980" t="str">
            <v>A7m3</v>
          </cell>
        </row>
        <row r="981">
          <cell r="B981">
            <v>11006</v>
          </cell>
          <cell r="C981" t="str">
            <v>A7m4</v>
          </cell>
        </row>
        <row r="982">
          <cell r="B982">
            <v>11007</v>
          </cell>
          <cell r="C982" t="str">
            <v>A7m5</v>
          </cell>
        </row>
        <row r="983">
          <cell r="B983">
            <v>11008</v>
          </cell>
          <cell r="C983" t="str">
            <v>A7m6</v>
          </cell>
        </row>
        <row r="984">
          <cell r="B984">
            <v>10223</v>
          </cell>
          <cell r="C984" t="str">
            <v>A7c</v>
          </cell>
        </row>
        <row r="985">
          <cell r="B985">
            <v>11009</v>
          </cell>
          <cell r="C985" t="str">
            <v>A7c1</v>
          </cell>
        </row>
        <row r="986">
          <cell r="B986">
            <v>11010</v>
          </cell>
          <cell r="C986" t="str">
            <v>A7c2</v>
          </cell>
        </row>
        <row r="987">
          <cell r="B987">
            <v>11011</v>
          </cell>
          <cell r="C987" t="str">
            <v>A7c3</v>
          </cell>
        </row>
        <row r="988">
          <cell r="B988">
            <v>11012</v>
          </cell>
          <cell r="C988" t="str">
            <v>A7c4</v>
          </cell>
        </row>
        <row r="989">
          <cell r="B989">
            <v>11013</v>
          </cell>
          <cell r="C989" t="str">
            <v>A7c5</v>
          </cell>
        </row>
        <row r="990">
          <cell r="B990">
            <v>11014</v>
          </cell>
          <cell r="C990" t="str">
            <v>A7c6</v>
          </cell>
        </row>
        <row r="991">
          <cell r="B991">
            <v>10224</v>
          </cell>
          <cell r="C991" t="str">
            <v>A7pc</v>
          </cell>
        </row>
        <row r="992">
          <cell r="B992">
            <v>11015</v>
          </cell>
          <cell r="C992" t="str">
            <v>A7pc1</v>
          </cell>
        </row>
        <row r="993">
          <cell r="B993">
            <v>11016</v>
          </cell>
          <cell r="C993" t="str">
            <v>A7pc2</v>
          </cell>
        </row>
        <row r="994">
          <cell r="B994">
            <v>11017</v>
          </cell>
          <cell r="C994" t="str">
            <v>A7pc3</v>
          </cell>
        </row>
        <row r="995">
          <cell r="B995">
            <v>11018</v>
          </cell>
          <cell r="C995" t="str">
            <v>A7pc4</v>
          </cell>
        </row>
        <row r="996">
          <cell r="B996">
            <v>11019</v>
          </cell>
          <cell r="C996" t="str">
            <v>A7pc5</v>
          </cell>
        </row>
        <row r="997">
          <cell r="B997">
            <v>11020</v>
          </cell>
          <cell r="C997" t="str">
            <v>A7pc6</v>
          </cell>
        </row>
        <row r="998">
          <cell r="B998">
            <v>267498979</v>
          </cell>
          <cell r="C998" t="str">
            <v>A7ip</v>
          </cell>
        </row>
        <row r="999">
          <cell r="B999">
            <v>267498983</v>
          </cell>
          <cell r="C999" t="str">
            <v>A7ipr</v>
          </cell>
        </row>
        <row r="1000">
          <cell r="B1000">
            <v>267498987</v>
          </cell>
          <cell r="C1000" t="str">
            <v>A7ipr1</v>
          </cell>
        </row>
        <row r="1001">
          <cell r="B1001">
            <v>267498991</v>
          </cell>
          <cell r="C1001" t="str">
            <v>A7ipr2</v>
          </cell>
        </row>
        <row r="1002">
          <cell r="B1002">
            <v>267498995</v>
          </cell>
          <cell r="C1002" t="str">
            <v>A7ipr3</v>
          </cell>
        </row>
        <row r="1003">
          <cell r="B1003">
            <v>267498999</v>
          </cell>
          <cell r="C1003" t="str">
            <v>A7ipr4</v>
          </cell>
        </row>
        <row r="1004">
          <cell r="B1004">
            <v>267499003</v>
          </cell>
          <cell r="C1004" t="str">
            <v>A7ipr5</v>
          </cell>
        </row>
        <row r="1005">
          <cell r="B1005">
            <v>267499007</v>
          </cell>
          <cell r="C1005" t="str">
            <v>A7ipr6</v>
          </cell>
        </row>
        <row r="1006">
          <cell r="B1006">
            <v>267499011</v>
          </cell>
          <cell r="C1006" t="str">
            <v>A7ipc</v>
          </cell>
        </row>
        <row r="1007">
          <cell r="B1007">
            <v>267499015</v>
          </cell>
          <cell r="C1007" t="str">
            <v>A7ipc1</v>
          </cell>
        </row>
        <row r="1008">
          <cell r="B1008">
            <v>267499019</v>
          </cell>
          <cell r="C1008" t="str">
            <v>A7ipc2</v>
          </cell>
        </row>
        <row r="1009">
          <cell r="B1009">
            <v>267499023</v>
          </cell>
          <cell r="C1009" t="str">
            <v>A7ipc3</v>
          </cell>
        </row>
        <row r="1010">
          <cell r="B1010">
            <v>267499027</v>
          </cell>
          <cell r="C1010" t="str">
            <v>A7ipc4</v>
          </cell>
        </row>
        <row r="1011">
          <cell r="B1011">
            <v>267499031</v>
          </cell>
          <cell r="C1011" t="str">
            <v>A7ipc5</v>
          </cell>
        </row>
        <row r="1012">
          <cell r="B1012">
            <v>267499035</v>
          </cell>
          <cell r="C1012" t="str">
            <v>A7ipc6</v>
          </cell>
        </row>
        <row r="1013">
          <cell r="B1013">
            <v>10225</v>
          </cell>
          <cell r="C1013" t="str">
            <v>IPC</v>
          </cell>
        </row>
        <row r="1014">
          <cell r="B1014">
            <v>10226</v>
          </cell>
          <cell r="C1014" t="str">
            <v>A40</v>
          </cell>
        </row>
        <row r="1015">
          <cell r="B1015">
            <v>10227</v>
          </cell>
          <cell r="C1015" t="str">
            <v>A40rd</v>
          </cell>
        </row>
        <row r="1016">
          <cell r="B1016">
            <v>10937</v>
          </cell>
          <cell r="C1016" t="str">
            <v>A40rd1</v>
          </cell>
        </row>
        <row r="1017">
          <cell r="B1017">
            <v>10938</v>
          </cell>
          <cell r="C1017" t="str">
            <v>A40rd2</v>
          </cell>
        </row>
        <row r="1018">
          <cell r="B1018">
            <v>10939</v>
          </cell>
          <cell r="C1018" t="str">
            <v>A40rd3</v>
          </cell>
        </row>
        <row r="1019">
          <cell r="B1019">
            <v>10940</v>
          </cell>
          <cell r="C1019" t="str">
            <v>A40rd4</v>
          </cell>
        </row>
        <row r="1020">
          <cell r="B1020">
            <v>10941</v>
          </cell>
          <cell r="C1020" t="str">
            <v>A40rd5</v>
          </cell>
        </row>
        <row r="1021">
          <cell r="B1021">
            <v>10942</v>
          </cell>
          <cell r="C1021" t="str">
            <v>A40rd6</v>
          </cell>
        </row>
        <row r="1022">
          <cell r="B1022">
            <v>10228</v>
          </cell>
          <cell r="C1022" t="str">
            <v>A40rv</v>
          </cell>
        </row>
        <row r="1023">
          <cell r="B1023">
            <v>10943</v>
          </cell>
          <cell r="C1023" t="str">
            <v>A40rv1</v>
          </cell>
        </row>
        <row r="1024">
          <cell r="B1024">
            <v>10944</v>
          </cell>
          <cell r="C1024" t="str">
            <v>A40rv2</v>
          </cell>
        </row>
        <row r="1025">
          <cell r="B1025">
            <v>10945</v>
          </cell>
          <cell r="C1025" t="str">
            <v>A40rv3</v>
          </cell>
        </row>
        <row r="1026">
          <cell r="B1026">
            <v>10946</v>
          </cell>
          <cell r="C1026" t="str">
            <v>A40rv4</v>
          </cell>
        </row>
        <row r="1027">
          <cell r="B1027">
            <v>10947</v>
          </cell>
          <cell r="C1027" t="str">
            <v>A40rv5</v>
          </cell>
        </row>
        <row r="1028">
          <cell r="B1028">
            <v>10948</v>
          </cell>
          <cell r="C1028" t="str">
            <v>A40rv6</v>
          </cell>
        </row>
        <row r="1029">
          <cell r="B1029">
            <v>10231</v>
          </cell>
          <cell r="C1029" t="str">
            <v>A40in</v>
          </cell>
        </row>
        <row r="1030">
          <cell r="B1030">
            <v>10961</v>
          </cell>
          <cell r="C1030" t="str">
            <v>A40in1</v>
          </cell>
        </row>
        <row r="1031">
          <cell r="B1031">
            <v>10962</v>
          </cell>
          <cell r="C1031" t="str">
            <v>A40in2</v>
          </cell>
        </row>
        <row r="1032">
          <cell r="B1032">
            <v>10963</v>
          </cell>
          <cell r="C1032" t="str">
            <v>A40in3</v>
          </cell>
        </row>
        <row r="1033">
          <cell r="B1033">
            <v>10964</v>
          </cell>
          <cell r="C1033" t="str">
            <v>A40in4</v>
          </cell>
        </row>
        <row r="1034">
          <cell r="B1034">
            <v>10965</v>
          </cell>
          <cell r="C1034" t="str">
            <v>A40in5</v>
          </cell>
        </row>
        <row r="1035">
          <cell r="B1035">
            <v>10966</v>
          </cell>
          <cell r="C1035" t="str">
            <v>A40in6</v>
          </cell>
        </row>
        <row r="1036">
          <cell r="B1036">
            <v>146034630</v>
          </cell>
          <cell r="C1036" t="str">
            <v>A40/39</v>
          </cell>
        </row>
        <row r="1037">
          <cell r="B1037">
            <v>146034634</v>
          </cell>
          <cell r="C1037" t="str">
            <v>A40/39r</v>
          </cell>
        </row>
        <row r="1038">
          <cell r="B1038">
            <v>146034638</v>
          </cell>
          <cell r="C1038" t="str">
            <v>A40/39r1</v>
          </cell>
        </row>
        <row r="1039">
          <cell r="B1039">
            <v>146034642</v>
          </cell>
          <cell r="C1039" t="str">
            <v>A40/39r2</v>
          </cell>
        </row>
        <row r="1040">
          <cell r="B1040">
            <v>146034646</v>
          </cell>
          <cell r="C1040" t="str">
            <v>A40/39r3</v>
          </cell>
        </row>
        <row r="1041">
          <cell r="B1041">
            <v>146034650</v>
          </cell>
          <cell r="C1041" t="str">
            <v>A40/39r4</v>
          </cell>
        </row>
        <row r="1042">
          <cell r="B1042">
            <v>146034654</v>
          </cell>
          <cell r="C1042" t="str">
            <v>A40/39r5</v>
          </cell>
        </row>
        <row r="1043">
          <cell r="B1043">
            <v>146034658</v>
          </cell>
          <cell r="C1043" t="str">
            <v>A40/39r6</v>
          </cell>
        </row>
        <row r="1044">
          <cell r="B1044">
            <v>146034662</v>
          </cell>
          <cell r="C1044" t="str">
            <v>A40/39c</v>
          </cell>
        </row>
        <row r="1045">
          <cell r="B1045">
            <v>146034666</v>
          </cell>
          <cell r="C1045" t="str">
            <v>A40/39c1</v>
          </cell>
        </row>
        <row r="1046">
          <cell r="B1046">
            <v>146034670</v>
          </cell>
          <cell r="C1046" t="str">
            <v>A40/39c2</v>
          </cell>
        </row>
        <row r="1047">
          <cell r="B1047">
            <v>146034674</v>
          </cell>
          <cell r="C1047" t="str">
            <v>A40/39c3</v>
          </cell>
        </row>
        <row r="1048">
          <cell r="B1048">
            <v>146034678</v>
          </cell>
          <cell r="C1048" t="str">
            <v>A40/39c4</v>
          </cell>
        </row>
        <row r="1049">
          <cell r="B1049">
            <v>146034682</v>
          </cell>
          <cell r="C1049" t="str">
            <v>A40/39c5</v>
          </cell>
        </row>
        <row r="1050">
          <cell r="B1050">
            <v>146034686</v>
          </cell>
          <cell r="C1050" t="str">
            <v>A40/39c6</v>
          </cell>
        </row>
        <row r="1051">
          <cell r="B1051">
            <v>10232</v>
          </cell>
          <cell r="C1051" t="str">
            <v>A39</v>
          </cell>
        </row>
        <row r="1052">
          <cell r="B1052">
            <v>10233</v>
          </cell>
          <cell r="C1052" t="str">
            <v>A39r</v>
          </cell>
        </row>
        <row r="1053">
          <cell r="B1053">
            <v>10967</v>
          </cell>
          <cell r="C1053" t="str">
            <v>A39r1</v>
          </cell>
        </row>
        <row r="1054">
          <cell r="B1054">
            <v>10968</v>
          </cell>
          <cell r="C1054" t="str">
            <v>A39r2</v>
          </cell>
        </row>
        <row r="1055">
          <cell r="B1055">
            <v>10969</v>
          </cell>
          <cell r="C1055" t="str">
            <v>A39r3</v>
          </cell>
        </row>
        <row r="1056">
          <cell r="B1056">
            <v>10970</v>
          </cell>
          <cell r="C1056" t="str">
            <v>A39r4</v>
          </cell>
        </row>
        <row r="1057">
          <cell r="B1057">
            <v>10971</v>
          </cell>
          <cell r="C1057" t="str">
            <v>A39r5</v>
          </cell>
        </row>
        <row r="1058">
          <cell r="B1058">
            <v>10972</v>
          </cell>
          <cell r="C1058" t="str">
            <v>A39r6</v>
          </cell>
        </row>
        <row r="1059">
          <cell r="B1059">
            <v>10234</v>
          </cell>
          <cell r="C1059" t="str">
            <v>A39c</v>
          </cell>
        </row>
        <row r="1060">
          <cell r="B1060">
            <v>10973</v>
          </cell>
          <cell r="C1060" t="str">
            <v>A39c1</v>
          </cell>
        </row>
        <row r="1061">
          <cell r="B1061">
            <v>10974</v>
          </cell>
          <cell r="C1061" t="str">
            <v>A39c2</v>
          </cell>
        </row>
        <row r="1062">
          <cell r="B1062">
            <v>10975</v>
          </cell>
          <cell r="C1062" t="str">
            <v>A39c3</v>
          </cell>
        </row>
        <row r="1063">
          <cell r="B1063">
            <v>10976</v>
          </cell>
          <cell r="C1063" t="str">
            <v>A39c4</v>
          </cell>
        </row>
        <row r="1064">
          <cell r="B1064">
            <v>10977</v>
          </cell>
          <cell r="C1064" t="str">
            <v>A39c5</v>
          </cell>
        </row>
        <row r="1065">
          <cell r="B1065">
            <v>10978</v>
          </cell>
          <cell r="C1065" t="str">
            <v>A39c6</v>
          </cell>
        </row>
        <row r="1066">
          <cell r="B1066">
            <v>13323</v>
          </cell>
          <cell r="C1066" t="str">
            <v>RI</v>
          </cell>
        </row>
        <row r="1067">
          <cell r="B1067">
            <v>10235</v>
          </cell>
          <cell r="C1067" t="str">
            <v>TCx</v>
          </cell>
        </row>
        <row r="1068">
          <cell r="B1068">
            <v>13322</v>
          </cell>
          <cell r="C1068" t="str">
            <v>DLTC</v>
          </cell>
        </row>
        <row r="1069">
          <cell r="B1069">
            <v>10236</v>
          </cell>
          <cell r="C1069" t="str">
            <v>A1C</v>
          </cell>
        </row>
        <row r="1070">
          <cell r="B1070">
            <v>10237</v>
          </cell>
          <cell r="C1070" t="str">
            <v>A41</v>
          </cell>
        </row>
        <row r="1071">
          <cell r="B1071">
            <v>11021</v>
          </cell>
          <cell r="C1071" t="str">
            <v>A41-1</v>
          </cell>
        </row>
        <row r="1072">
          <cell r="B1072">
            <v>11022</v>
          </cell>
          <cell r="C1072" t="str">
            <v>A41-2</v>
          </cell>
        </row>
        <row r="1073">
          <cell r="B1073">
            <v>11023</v>
          </cell>
          <cell r="C1073" t="str">
            <v>A41-3</v>
          </cell>
        </row>
        <row r="1074">
          <cell r="B1074">
            <v>11024</v>
          </cell>
          <cell r="C1074" t="str">
            <v>A41-4</v>
          </cell>
        </row>
        <row r="1075">
          <cell r="B1075">
            <v>11025</v>
          </cell>
          <cell r="C1075" t="str">
            <v>A41-5</v>
          </cell>
        </row>
        <row r="1076">
          <cell r="B1076">
            <v>11026</v>
          </cell>
          <cell r="C1076" t="str">
            <v>A41-6</v>
          </cell>
        </row>
        <row r="1077">
          <cell r="B1077">
            <v>10238</v>
          </cell>
          <cell r="C1077" t="str">
            <v>A1Cr</v>
          </cell>
        </row>
        <row r="1078">
          <cell r="B1078">
            <v>11027</v>
          </cell>
          <cell r="C1078" t="str">
            <v>A1Cr1</v>
          </cell>
        </row>
        <row r="1079">
          <cell r="B1079">
            <v>11028</v>
          </cell>
          <cell r="C1079" t="str">
            <v>A1Cr2</v>
          </cell>
        </row>
        <row r="1080">
          <cell r="B1080">
            <v>11029</v>
          </cell>
          <cell r="C1080" t="str">
            <v>A1Cr3</v>
          </cell>
        </row>
        <row r="1081">
          <cell r="B1081">
            <v>11030</v>
          </cell>
          <cell r="C1081" t="str">
            <v>A1Cr4</v>
          </cell>
        </row>
        <row r="1082">
          <cell r="B1082">
            <v>11031</v>
          </cell>
          <cell r="C1082" t="str">
            <v>A1Cr5</v>
          </cell>
        </row>
        <row r="1083">
          <cell r="B1083">
            <v>11032</v>
          </cell>
          <cell r="C1083" t="str">
            <v>A1Cr6</v>
          </cell>
        </row>
        <row r="1084">
          <cell r="B1084">
            <v>10239</v>
          </cell>
          <cell r="C1084" t="str">
            <v>A42</v>
          </cell>
        </row>
        <row r="1085">
          <cell r="B1085">
            <v>11051</v>
          </cell>
          <cell r="C1085" t="str">
            <v>A42-1</v>
          </cell>
        </row>
        <row r="1086">
          <cell r="B1086">
            <v>11052</v>
          </cell>
          <cell r="C1086" t="str">
            <v>A42-2</v>
          </cell>
        </row>
        <row r="1087">
          <cell r="B1087">
            <v>11053</v>
          </cell>
          <cell r="C1087" t="str">
            <v>A42-3</v>
          </cell>
        </row>
        <row r="1088">
          <cell r="B1088">
            <v>11054</v>
          </cell>
          <cell r="C1088" t="str">
            <v>A42-4</v>
          </cell>
        </row>
        <row r="1089">
          <cell r="B1089">
            <v>11055</v>
          </cell>
          <cell r="C1089" t="str">
            <v>A42-5</v>
          </cell>
        </row>
        <row r="1090">
          <cell r="B1090">
            <v>11056</v>
          </cell>
          <cell r="C1090" t="str">
            <v>A42-6</v>
          </cell>
        </row>
        <row r="1091">
          <cell r="B1091">
            <v>10240</v>
          </cell>
          <cell r="C1091" t="str">
            <v>SLTC</v>
          </cell>
        </row>
        <row r="1092">
          <cell r="B1092">
            <v>10241</v>
          </cell>
          <cell r="C1092" t="str">
            <v>ASTC</v>
          </cell>
        </row>
        <row r="1093">
          <cell r="B1093">
            <v>11063</v>
          </cell>
          <cell r="C1093" t="str">
            <v>A22r1</v>
          </cell>
        </row>
        <row r="1094">
          <cell r="B1094">
            <v>11064</v>
          </cell>
          <cell r="C1094" t="str">
            <v>A22r2</v>
          </cell>
        </row>
        <row r="1095">
          <cell r="B1095">
            <v>11065</v>
          </cell>
          <cell r="C1095" t="str">
            <v>A22r3</v>
          </cell>
        </row>
        <row r="1096">
          <cell r="B1096">
            <v>11066</v>
          </cell>
          <cell r="C1096" t="str">
            <v>A22r4</v>
          </cell>
        </row>
        <row r="1097">
          <cell r="B1097">
            <v>11067</v>
          </cell>
          <cell r="C1097" t="str">
            <v>A22r5</v>
          </cell>
        </row>
        <row r="1098">
          <cell r="B1098">
            <v>11068</v>
          </cell>
          <cell r="C1098" t="str">
            <v>A22r6</v>
          </cell>
        </row>
        <row r="1099">
          <cell r="B1099">
            <v>10242</v>
          </cell>
          <cell r="C1099" t="str">
            <v>ISTC</v>
          </cell>
        </row>
        <row r="1100">
          <cell r="B1100">
            <v>11069</v>
          </cell>
          <cell r="C1100" t="str">
            <v>A22i1</v>
          </cell>
        </row>
        <row r="1101">
          <cell r="B1101">
            <v>11070</v>
          </cell>
          <cell r="C1101" t="str">
            <v>A22i2</v>
          </cell>
        </row>
        <row r="1102">
          <cell r="B1102">
            <v>11071</v>
          </cell>
          <cell r="C1102" t="str">
            <v>A22i3</v>
          </cell>
        </row>
        <row r="1103">
          <cell r="B1103">
            <v>11072</v>
          </cell>
          <cell r="C1103" t="str">
            <v>A22i4</v>
          </cell>
        </row>
        <row r="1104">
          <cell r="B1104">
            <v>11073</v>
          </cell>
          <cell r="C1104" t="str">
            <v>A22i5</v>
          </cell>
        </row>
        <row r="1105">
          <cell r="B1105">
            <v>11074</v>
          </cell>
          <cell r="C1105" t="str">
            <v>A22i6</v>
          </cell>
        </row>
        <row r="1106">
          <cell r="B1106">
            <v>10243</v>
          </cell>
          <cell r="C1106" t="str">
            <v>STC</v>
          </cell>
        </row>
        <row r="1107">
          <cell r="B1107">
            <v>11057</v>
          </cell>
          <cell r="C1107" t="str">
            <v>A22c1</v>
          </cell>
        </row>
        <row r="1108">
          <cell r="B1108">
            <v>11058</v>
          </cell>
          <cell r="C1108" t="str">
            <v>A22c2</v>
          </cell>
        </row>
        <row r="1109">
          <cell r="B1109">
            <v>11059</v>
          </cell>
          <cell r="C1109" t="str">
            <v>A22c3</v>
          </cell>
        </row>
        <row r="1110">
          <cell r="B1110">
            <v>11060</v>
          </cell>
          <cell r="C1110" t="str">
            <v>A22c4</v>
          </cell>
        </row>
        <row r="1111">
          <cell r="B1111">
            <v>11061</v>
          </cell>
          <cell r="C1111" t="str">
            <v>A22c5</v>
          </cell>
        </row>
        <row r="1112">
          <cell r="B1112">
            <v>11062</v>
          </cell>
          <cell r="C1112" t="str">
            <v>A22c6</v>
          </cell>
        </row>
        <row r="1113">
          <cell r="B1113">
            <v>10244</v>
          </cell>
          <cell r="C1113" t="str">
            <v>PSTC</v>
          </cell>
        </row>
        <row r="1114">
          <cell r="B1114">
            <v>10245</v>
          </cell>
          <cell r="C1114" t="str">
            <v>A22pr</v>
          </cell>
        </row>
        <row r="1115">
          <cell r="B1115">
            <v>11075</v>
          </cell>
          <cell r="C1115" t="str">
            <v>A22pr1</v>
          </cell>
        </row>
        <row r="1116">
          <cell r="B1116">
            <v>11076</v>
          </cell>
          <cell r="C1116" t="str">
            <v>A22pr2</v>
          </cell>
        </row>
        <row r="1117">
          <cell r="B1117">
            <v>11077</v>
          </cell>
          <cell r="C1117" t="str">
            <v>A22pr3</v>
          </cell>
        </row>
        <row r="1118">
          <cell r="B1118">
            <v>11078</v>
          </cell>
          <cell r="C1118" t="str">
            <v>A22pr4</v>
          </cell>
        </row>
        <row r="1119">
          <cell r="B1119">
            <v>11079</v>
          </cell>
          <cell r="C1119" t="str">
            <v>A22pr5</v>
          </cell>
        </row>
        <row r="1120">
          <cell r="B1120">
            <v>11080</v>
          </cell>
          <cell r="C1120" t="str">
            <v>A22pr6</v>
          </cell>
        </row>
        <row r="1121">
          <cell r="B1121">
            <v>10246</v>
          </cell>
          <cell r="C1121" t="str">
            <v>A22pi</v>
          </cell>
        </row>
        <row r="1122">
          <cell r="B1122">
            <v>11081</v>
          </cell>
          <cell r="C1122" t="str">
            <v>A22pi1</v>
          </cell>
        </row>
        <row r="1123">
          <cell r="B1123">
            <v>11082</v>
          </cell>
          <cell r="C1123" t="str">
            <v>A22pi2</v>
          </cell>
        </row>
        <row r="1124">
          <cell r="B1124">
            <v>11083</v>
          </cell>
          <cell r="C1124" t="str">
            <v>A22pi3</v>
          </cell>
        </row>
        <row r="1125">
          <cell r="B1125">
            <v>11084</v>
          </cell>
          <cell r="C1125" t="str">
            <v>A22pi4</v>
          </cell>
        </row>
        <row r="1126">
          <cell r="B1126">
            <v>11085</v>
          </cell>
          <cell r="C1126" t="str">
            <v>A22pi5</v>
          </cell>
        </row>
        <row r="1127">
          <cell r="B1127">
            <v>11086</v>
          </cell>
          <cell r="C1127" t="str">
            <v>A22pi6</v>
          </cell>
        </row>
        <row r="1128">
          <cell r="B1128">
            <v>10247</v>
          </cell>
          <cell r="C1128" t="str">
            <v>A22pc</v>
          </cell>
        </row>
        <row r="1129">
          <cell r="B1129">
            <v>11087</v>
          </cell>
          <cell r="C1129" t="str">
            <v>A22pc1</v>
          </cell>
        </row>
        <row r="1130">
          <cell r="B1130">
            <v>11088</v>
          </cell>
          <cell r="C1130" t="str">
            <v>A22pc2</v>
          </cell>
        </row>
        <row r="1131">
          <cell r="B1131">
            <v>11089</v>
          </cell>
          <cell r="C1131" t="str">
            <v>A22pc3</v>
          </cell>
        </row>
        <row r="1132">
          <cell r="B1132">
            <v>11090</v>
          </cell>
          <cell r="C1132" t="str">
            <v>A22pc4</v>
          </cell>
        </row>
        <row r="1133">
          <cell r="B1133">
            <v>11091</v>
          </cell>
          <cell r="C1133" t="str">
            <v>A22pc5</v>
          </cell>
        </row>
        <row r="1134">
          <cell r="B1134">
            <v>11092</v>
          </cell>
          <cell r="C1134" t="str">
            <v>A22pc6</v>
          </cell>
        </row>
        <row r="1135">
          <cell r="B1135">
            <v>10267</v>
          </cell>
          <cell r="C1135" t="str">
            <v>PI</v>
          </cell>
        </row>
        <row r="1136">
          <cell r="B1136">
            <v>11158</v>
          </cell>
          <cell r="C1136" t="str">
            <v>PI1</v>
          </cell>
        </row>
        <row r="1137">
          <cell r="B1137">
            <v>11159</v>
          </cell>
          <cell r="C1137" t="str">
            <v>PI2</v>
          </cell>
        </row>
        <row r="1138">
          <cell r="B1138">
            <v>11160</v>
          </cell>
          <cell r="C1138" t="str">
            <v>PI3</v>
          </cell>
        </row>
        <row r="1139">
          <cell r="B1139">
            <v>11161</v>
          </cell>
          <cell r="C1139" t="str">
            <v>PI4</v>
          </cell>
        </row>
        <row r="1140">
          <cell r="B1140">
            <v>11162</v>
          </cell>
          <cell r="C1140" t="str">
            <v>PI5</v>
          </cell>
        </row>
        <row r="1141">
          <cell r="B1141">
            <v>11163</v>
          </cell>
          <cell r="C1141" t="str">
            <v>PI6</v>
          </cell>
        </row>
        <row r="1142">
          <cell r="B1142">
            <v>13324</v>
          </cell>
          <cell r="C1142" t="str">
            <v>VLTC</v>
          </cell>
        </row>
        <row r="1143">
          <cell r="B1143">
            <v>10248</v>
          </cell>
          <cell r="C1143" t="str">
            <v>MTC</v>
          </cell>
        </row>
        <row r="1144">
          <cell r="B1144">
            <v>10249</v>
          </cell>
          <cell r="C1144" t="str">
            <v>A21r</v>
          </cell>
        </row>
        <row r="1145">
          <cell r="B1145">
            <v>11093</v>
          </cell>
          <cell r="C1145" t="str">
            <v>A21r1</v>
          </cell>
        </row>
        <row r="1146">
          <cell r="B1146">
            <v>11094</v>
          </cell>
          <cell r="C1146" t="str">
            <v>A21r2</v>
          </cell>
        </row>
        <row r="1147">
          <cell r="B1147">
            <v>11095</v>
          </cell>
          <cell r="C1147" t="str">
            <v>A21r3</v>
          </cell>
        </row>
        <row r="1148">
          <cell r="B1148">
            <v>11096</v>
          </cell>
          <cell r="C1148" t="str">
            <v>A21r4</v>
          </cell>
        </row>
        <row r="1149">
          <cell r="B1149">
            <v>11097</v>
          </cell>
          <cell r="C1149" t="str">
            <v>A21r5</v>
          </cell>
        </row>
        <row r="1150">
          <cell r="B1150">
            <v>11098</v>
          </cell>
          <cell r="C1150" t="str">
            <v>A21r6</v>
          </cell>
        </row>
        <row r="1151">
          <cell r="B1151">
            <v>10250</v>
          </cell>
          <cell r="C1151" t="str">
            <v>A21i</v>
          </cell>
        </row>
        <row r="1152">
          <cell r="B1152">
            <v>11099</v>
          </cell>
          <cell r="C1152" t="str">
            <v>A21i1</v>
          </cell>
        </row>
        <row r="1153">
          <cell r="B1153">
            <v>11100</v>
          </cell>
          <cell r="C1153" t="str">
            <v>A21i2</v>
          </cell>
        </row>
        <row r="1154">
          <cell r="B1154">
            <v>11101</v>
          </cell>
          <cell r="C1154" t="str">
            <v>A21i3</v>
          </cell>
        </row>
        <row r="1155">
          <cell r="B1155">
            <v>11102</v>
          </cell>
          <cell r="C1155" t="str">
            <v>A21i4</v>
          </cell>
        </row>
        <row r="1156">
          <cell r="B1156">
            <v>11103</v>
          </cell>
          <cell r="C1156" t="str">
            <v>A21i5</v>
          </cell>
        </row>
        <row r="1157">
          <cell r="B1157">
            <v>11104</v>
          </cell>
          <cell r="C1157" t="str">
            <v>A21i6</v>
          </cell>
        </row>
        <row r="1158">
          <cell r="B1158">
            <v>10251</v>
          </cell>
          <cell r="C1158" t="str">
            <v>A21c</v>
          </cell>
        </row>
        <row r="1159">
          <cell r="B1159">
            <v>11105</v>
          </cell>
          <cell r="C1159" t="str">
            <v>A21c1</v>
          </cell>
        </row>
        <row r="1160">
          <cell r="B1160">
            <v>11106</v>
          </cell>
          <cell r="C1160" t="str">
            <v>A21c2</v>
          </cell>
        </row>
        <row r="1161">
          <cell r="B1161">
            <v>11107</v>
          </cell>
          <cell r="C1161" t="str">
            <v>A21c3</v>
          </cell>
        </row>
        <row r="1162">
          <cell r="B1162">
            <v>11108</v>
          </cell>
          <cell r="C1162" t="str">
            <v>A21c4</v>
          </cell>
        </row>
        <row r="1163">
          <cell r="B1163">
            <v>11109</v>
          </cell>
          <cell r="C1163" t="str">
            <v>A21c5</v>
          </cell>
        </row>
        <row r="1164">
          <cell r="B1164">
            <v>11110</v>
          </cell>
          <cell r="C1164" t="str">
            <v>A21c6</v>
          </cell>
        </row>
        <row r="1165">
          <cell r="B1165">
            <v>10252</v>
          </cell>
          <cell r="C1165" t="str">
            <v>ITC</v>
          </cell>
        </row>
        <row r="1166">
          <cell r="B1166">
            <v>10253</v>
          </cell>
          <cell r="C1166" t="str">
            <v>A20r</v>
          </cell>
        </row>
        <row r="1167">
          <cell r="B1167">
            <v>11033</v>
          </cell>
          <cell r="C1167" t="str">
            <v>A20r1</v>
          </cell>
        </row>
        <row r="1168">
          <cell r="B1168">
            <v>11034</v>
          </cell>
          <cell r="C1168" t="str">
            <v>A20r2</v>
          </cell>
        </row>
        <row r="1169">
          <cell r="B1169">
            <v>11035</v>
          </cell>
          <cell r="C1169" t="str">
            <v>A20r3</v>
          </cell>
        </row>
        <row r="1170">
          <cell r="B1170">
            <v>11036</v>
          </cell>
          <cell r="C1170" t="str">
            <v>A20r4</v>
          </cell>
        </row>
        <row r="1171">
          <cell r="B1171">
            <v>11037</v>
          </cell>
          <cell r="C1171" t="str">
            <v>A20r5</v>
          </cell>
        </row>
        <row r="1172">
          <cell r="B1172">
            <v>11038</v>
          </cell>
          <cell r="C1172" t="str">
            <v>A20r6</v>
          </cell>
        </row>
        <row r="1173">
          <cell r="B1173">
            <v>10254</v>
          </cell>
          <cell r="C1173" t="str">
            <v>A20i</v>
          </cell>
        </row>
        <row r="1174">
          <cell r="B1174">
            <v>11039</v>
          </cell>
          <cell r="C1174" t="str">
            <v>A20i1</v>
          </cell>
        </row>
        <row r="1175">
          <cell r="B1175">
            <v>11040</v>
          </cell>
          <cell r="C1175" t="str">
            <v>A20i2</v>
          </cell>
        </row>
        <row r="1176">
          <cell r="B1176">
            <v>11041</v>
          </cell>
          <cell r="C1176" t="str">
            <v>A20i3</v>
          </cell>
        </row>
        <row r="1177">
          <cell r="B1177">
            <v>11042</v>
          </cell>
          <cell r="C1177" t="str">
            <v>A20i4</v>
          </cell>
        </row>
        <row r="1178">
          <cell r="B1178">
            <v>11043</v>
          </cell>
          <cell r="C1178" t="str">
            <v>A20i5</v>
          </cell>
        </row>
        <row r="1179">
          <cell r="B1179">
            <v>11044</v>
          </cell>
          <cell r="C1179" t="str">
            <v>A20i6</v>
          </cell>
        </row>
        <row r="1180">
          <cell r="B1180">
            <v>10255</v>
          </cell>
          <cell r="C1180" t="str">
            <v>A20c</v>
          </cell>
        </row>
        <row r="1181">
          <cell r="B1181">
            <v>11045</v>
          </cell>
          <cell r="C1181" t="str">
            <v>A20c1</v>
          </cell>
        </row>
        <row r="1182">
          <cell r="B1182">
            <v>11046</v>
          </cell>
          <cell r="C1182" t="str">
            <v>A20c2</v>
          </cell>
        </row>
        <row r="1183">
          <cell r="B1183">
            <v>11047</v>
          </cell>
          <cell r="C1183" t="str">
            <v>A20c3</v>
          </cell>
        </row>
        <row r="1184">
          <cell r="B1184">
            <v>11048</v>
          </cell>
          <cell r="C1184" t="str">
            <v>A20c4</v>
          </cell>
        </row>
        <row r="1185">
          <cell r="B1185">
            <v>11049</v>
          </cell>
          <cell r="C1185" t="str">
            <v>A20c5</v>
          </cell>
        </row>
        <row r="1186">
          <cell r="B1186">
            <v>11050</v>
          </cell>
          <cell r="C1186" t="str">
            <v>A20c6</v>
          </cell>
        </row>
        <row r="1187">
          <cell r="B1187">
            <v>10256</v>
          </cell>
          <cell r="C1187" t="str">
            <v>MITC</v>
          </cell>
        </row>
        <row r="1188">
          <cell r="B1188">
            <v>10257</v>
          </cell>
          <cell r="C1188" t="str">
            <v>A36</v>
          </cell>
        </row>
        <row r="1189">
          <cell r="B1189">
            <v>10258</v>
          </cell>
          <cell r="C1189" t="str">
            <v>A36r</v>
          </cell>
        </row>
        <row r="1190">
          <cell r="B1190">
            <v>11111</v>
          </cell>
          <cell r="C1190" t="str">
            <v>A36r1</v>
          </cell>
        </row>
        <row r="1191">
          <cell r="B1191">
            <v>11112</v>
          </cell>
          <cell r="C1191" t="str">
            <v>A36r2</v>
          </cell>
        </row>
        <row r="1192">
          <cell r="B1192">
            <v>11113</v>
          </cell>
          <cell r="C1192" t="str">
            <v>A36r3</v>
          </cell>
        </row>
        <row r="1193">
          <cell r="B1193">
            <v>11114</v>
          </cell>
          <cell r="C1193" t="str">
            <v>A36r4</v>
          </cell>
        </row>
        <row r="1194">
          <cell r="B1194">
            <v>11115</v>
          </cell>
          <cell r="C1194" t="str">
            <v>A36r5</v>
          </cell>
        </row>
        <row r="1195">
          <cell r="B1195">
            <v>11116</v>
          </cell>
          <cell r="C1195" t="str">
            <v>A36r6</v>
          </cell>
        </row>
        <row r="1196">
          <cell r="B1196">
            <v>10259</v>
          </cell>
          <cell r="C1196" t="str">
            <v>A36c</v>
          </cell>
        </row>
        <row r="1197">
          <cell r="B1197">
            <v>11117</v>
          </cell>
          <cell r="C1197" t="str">
            <v>A36c1</v>
          </cell>
        </row>
        <row r="1198">
          <cell r="B1198">
            <v>11118</v>
          </cell>
          <cell r="C1198" t="str">
            <v>A36c2</v>
          </cell>
        </row>
        <row r="1199">
          <cell r="B1199">
            <v>11119</v>
          </cell>
          <cell r="C1199" t="str">
            <v>A36c3</v>
          </cell>
        </row>
        <row r="1200">
          <cell r="B1200">
            <v>11120</v>
          </cell>
          <cell r="C1200" t="str">
            <v>A36c4</v>
          </cell>
        </row>
        <row r="1201">
          <cell r="B1201">
            <v>11121</v>
          </cell>
          <cell r="C1201" t="str">
            <v>A36c5</v>
          </cell>
        </row>
        <row r="1202">
          <cell r="B1202">
            <v>11122</v>
          </cell>
          <cell r="C1202" t="str">
            <v>A36c6</v>
          </cell>
        </row>
        <row r="1203">
          <cell r="B1203">
            <v>10260</v>
          </cell>
          <cell r="C1203" t="str">
            <v>TF</v>
          </cell>
        </row>
        <row r="1204">
          <cell r="B1204">
            <v>11123</v>
          </cell>
          <cell r="C1204" t="str">
            <v>TF1</v>
          </cell>
        </row>
        <row r="1205">
          <cell r="B1205">
            <v>11124</v>
          </cell>
          <cell r="C1205" t="str">
            <v>TF2</v>
          </cell>
        </row>
        <row r="1206">
          <cell r="B1206">
            <v>11125</v>
          </cell>
          <cell r="C1206" t="str">
            <v>TF3</v>
          </cell>
        </row>
        <row r="1207">
          <cell r="B1207">
            <v>11126</v>
          </cell>
          <cell r="C1207" t="str">
            <v>TF4</v>
          </cell>
        </row>
        <row r="1208">
          <cell r="B1208">
            <v>11127</v>
          </cell>
          <cell r="C1208" t="str">
            <v>TF5</v>
          </cell>
        </row>
        <row r="1209">
          <cell r="B1209">
            <v>11128</v>
          </cell>
          <cell r="C1209" t="str">
            <v>TF6</v>
          </cell>
        </row>
        <row r="1210">
          <cell r="B1210">
            <v>10263</v>
          </cell>
          <cell r="C1210" t="str">
            <v>PPHC</v>
          </cell>
        </row>
        <row r="1211">
          <cell r="B1211">
            <v>10264</v>
          </cell>
          <cell r="C1211" t="str">
            <v>TH</v>
          </cell>
        </row>
        <row r="1212">
          <cell r="B1212">
            <v>11141</v>
          </cell>
          <cell r="C1212" t="str">
            <v>TH1</v>
          </cell>
        </row>
        <row r="1213">
          <cell r="B1213">
            <v>11142</v>
          </cell>
          <cell r="C1213" t="str">
            <v>TH2</v>
          </cell>
        </row>
        <row r="1214">
          <cell r="B1214">
            <v>11143</v>
          </cell>
          <cell r="C1214" t="str">
            <v>TH3</v>
          </cell>
        </row>
        <row r="1215">
          <cell r="B1215">
            <v>11144</v>
          </cell>
          <cell r="C1215" t="str">
            <v>TH5</v>
          </cell>
        </row>
        <row r="1216">
          <cell r="B1216">
            <v>11145</v>
          </cell>
          <cell r="C1216" t="str">
            <v>TH6</v>
          </cell>
        </row>
        <row r="1217">
          <cell r="B1217">
            <v>10265</v>
          </cell>
          <cell r="C1217" t="str">
            <v>TL</v>
          </cell>
        </row>
        <row r="1218">
          <cell r="B1218">
            <v>11146</v>
          </cell>
          <cell r="C1218" t="str">
            <v>TL1</v>
          </cell>
        </row>
        <row r="1219">
          <cell r="B1219">
            <v>11147</v>
          </cell>
          <cell r="C1219" t="str">
            <v>TL2</v>
          </cell>
        </row>
        <row r="1220">
          <cell r="B1220">
            <v>11148</v>
          </cell>
          <cell r="C1220" t="str">
            <v>TL3</v>
          </cell>
        </row>
        <row r="1221">
          <cell r="B1221">
            <v>11149</v>
          </cell>
          <cell r="C1221" t="str">
            <v>TL4</v>
          </cell>
        </row>
        <row r="1222">
          <cell r="B1222">
            <v>11150</v>
          </cell>
          <cell r="C1222" t="str">
            <v>TL5</v>
          </cell>
        </row>
        <row r="1223">
          <cell r="B1223">
            <v>11151</v>
          </cell>
          <cell r="C1223" t="str">
            <v>TL6</v>
          </cell>
        </row>
        <row r="1224">
          <cell r="B1224">
            <v>10261</v>
          </cell>
          <cell r="C1224" t="str">
            <v>TFO</v>
          </cell>
        </row>
        <row r="1225">
          <cell r="B1225">
            <v>11129</v>
          </cell>
          <cell r="C1225" t="str">
            <v>TFO1</v>
          </cell>
        </row>
        <row r="1226">
          <cell r="B1226">
            <v>11130</v>
          </cell>
          <cell r="C1226" t="str">
            <v>TFO2</v>
          </cell>
        </row>
        <row r="1227">
          <cell r="B1227">
            <v>11131</v>
          </cell>
          <cell r="C1227" t="str">
            <v>TFO3</v>
          </cell>
        </row>
        <row r="1228">
          <cell r="B1228">
            <v>11132</v>
          </cell>
          <cell r="C1228" t="str">
            <v>TFO4</v>
          </cell>
        </row>
        <row r="1229">
          <cell r="B1229">
            <v>11133</v>
          </cell>
          <cell r="C1229" t="str">
            <v>TFO5</v>
          </cell>
        </row>
        <row r="1230">
          <cell r="B1230">
            <v>11134</v>
          </cell>
          <cell r="C1230" t="str">
            <v>TFO6</v>
          </cell>
        </row>
        <row r="1231">
          <cell r="B1231">
            <v>10262</v>
          </cell>
          <cell r="C1231" t="str">
            <v>A37</v>
          </cell>
        </row>
        <row r="1232">
          <cell r="B1232">
            <v>11135</v>
          </cell>
          <cell r="C1232" t="str">
            <v>A37-1</v>
          </cell>
        </row>
        <row r="1233">
          <cell r="B1233">
            <v>11136</v>
          </cell>
          <cell r="C1233" t="str">
            <v>A37-2</v>
          </cell>
        </row>
        <row r="1234">
          <cell r="B1234">
            <v>11137</v>
          </cell>
          <cell r="C1234" t="str">
            <v>A37-3</v>
          </cell>
        </row>
        <row r="1235">
          <cell r="B1235">
            <v>11138</v>
          </cell>
          <cell r="C1235" t="str">
            <v>A37-4</v>
          </cell>
        </row>
        <row r="1236">
          <cell r="B1236">
            <v>11139</v>
          </cell>
          <cell r="C1236" t="str">
            <v>A37-5</v>
          </cell>
        </row>
        <row r="1237">
          <cell r="B1237">
            <v>11140</v>
          </cell>
          <cell r="C1237" t="str">
            <v>A37-6</v>
          </cell>
        </row>
        <row r="1238">
          <cell r="B1238">
            <v>10266</v>
          </cell>
          <cell r="C1238" t="str">
            <v>A38</v>
          </cell>
        </row>
        <row r="1239">
          <cell r="B1239">
            <v>11152</v>
          </cell>
          <cell r="C1239" t="str">
            <v>A38-1</v>
          </cell>
        </row>
        <row r="1240">
          <cell r="B1240">
            <v>11153</v>
          </cell>
          <cell r="C1240" t="str">
            <v>A38-2</v>
          </cell>
        </row>
        <row r="1241">
          <cell r="B1241">
            <v>11154</v>
          </cell>
          <cell r="C1241" t="str">
            <v>A38-3</v>
          </cell>
        </row>
        <row r="1242">
          <cell r="B1242">
            <v>11155</v>
          </cell>
          <cell r="C1242" t="str">
            <v>A38-4</v>
          </cell>
        </row>
        <row r="1243">
          <cell r="B1243">
            <v>11156</v>
          </cell>
          <cell r="C1243" t="str">
            <v>A38-5</v>
          </cell>
        </row>
        <row r="1244">
          <cell r="B1244">
            <v>11157</v>
          </cell>
          <cell r="C1244" t="str">
            <v>A38-6</v>
          </cell>
        </row>
        <row r="1245">
          <cell r="B1245">
            <v>267499039</v>
          </cell>
          <cell r="C1245" t="str">
            <v>V5/MT</v>
          </cell>
        </row>
        <row r="1246">
          <cell r="B1246">
            <v>267499043</v>
          </cell>
          <cell r="C1246" t="str">
            <v>V5/MT1</v>
          </cell>
        </row>
        <row r="1247">
          <cell r="B1247">
            <v>267499047</v>
          </cell>
          <cell r="C1247" t="str">
            <v>V5/MT2</v>
          </cell>
        </row>
        <row r="1248">
          <cell r="B1248">
            <v>267499051</v>
          </cell>
          <cell r="C1248" t="str">
            <v>V5/MT3</v>
          </cell>
        </row>
        <row r="1249">
          <cell r="B1249">
            <v>267499055</v>
          </cell>
          <cell r="C1249" t="str">
            <v>V5/MT4</v>
          </cell>
        </row>
        <row r="1250">
          <cell r="B1250">
            <v>267499059</v>
          </cell>
          <cell r="C1250" t="str">
            <v>V5/MT5</v>
          </cell>
        </row>
        <row r="1251">
          <cell r="B1251">
            <v>267499063</v>
          </cell>
          <cell r="C1251" t="str">
            <v>V5/MT6</v>
          </cell>
        </row>
        <row r="1252">
          <cell r="B1252">
            <v>267499067</v>
          </cell>
          <cell r="C1252" t="str">
            <v>LO</v>
          </cell>
        </row>
        <row r="1253">
          <cell r="B1253">
            <v>267499071</v>
          </cell>
          <cell r="C1253" t="str">
            <v>LO1</v>
          </cell>
        </row>
        <row r="1254">
          <cell r="B1254">
            <v>267499075</v>
          </cell>
          <cell r="C1254" t="str">
            <v>LO2</v>
          </cell>
        </row>
        <row r="1255">
          <cell r="B1255">
            <v>267499079</v>
          </cell>
          <cell r="C1255" t="str">
            <v>LO3</v>
          </cell>
        </row>
        <row r="1256">
          <cell r="B1256">
            <v>267499083</v>
          </cell>
          <cell r="C1256" t="str">
            <v>LO4</v>
          </cell>
        </row>
        <row r="1257">
          <cell r="B1257">
            <v>267499087</v>
          </cell>
          <cell r="C1257" t="str">
            <v>LO5</v>
          </cell>
        </row>
        <row r="1258">
          <cell r="B1258">
            <v>267499091</v>
          </cell>
          <cell r="C1258" t="str">
            <v>LO6</v>
          </cell>
        </row>
        <row r="1259">
          <cell r="B1259">
            <v>10268</v>
          </cell>
          <cell r="C1259" t="str">
            <v>Ocx</v>
          </cell>
        </row>
        <row r="1260">
          <cell r="B1260">
            <v>13011</v>
          </cell>
          <cell r="C1260" t="str">
            <v>Pro</v>
          </cell>
        </row>
        <row r="1261">
          <cell r="B1261">
            <v>13012</v>
          </cell>
          <cell r="C1261" t="str">
            <v>Pro1</v>
          </cell>
        </row>
        <row r="1262">
          <cell r="B1262">
            <v>13013</v>
          </cell>
          <cell r="C1262" t="str">
            <v>Pro2</v>
          </cell>
        </row>
        <row r="1263">
          <cell r="B1263">
            <v>13014</v>
          </cell>
          <cell r="C1263" t="str">
            <v>Pro3</v>
          </cell>
        </row>
        <row r="1264">
          <cell r="B1264">
            <v>13015</v>
          </cell>
          <cell r="C1264" t="str">
            <v>Pro4</v>
          </cell>
        </row>
        <row r="1265">
          <cell r="B1265">
            <v>13016</v>
          </cell>
          <cell r="C1265" t="str">
            <v>Pro5</v>
          </cell>
        </row>
        <row r="1266">
          <cell r="B1266">
            <v>13017</v>
          </cell>
          <cell r="C1266" t="str">
            <v>Pro6</v>
          </cell>
        </row>
        <row r="1267">
          <cell r="B1267">
            <v>10269</v>
          </cell>
          <cell r="C1267" t="str">
            <v>V1C</v>
          </cell>
        </row>
        <row r="1268">
          <cell r="B1268">
            <v>11164</v>
          </cell>
          <cell r="C1268" t="str">
            <v>V1-1</v>
          </cell>
        </row>
        <row r="1269">
          <cell r="B1269">
            <v>11165</v>
          </cell>
          <cell r="C1269" t="str">
            <v>V1-2</v>
          </cell>
        </row>
        <row r="1270">
          <cell r="B1270">
            <v>11166</v>
          </cell>
          <cell r="C1270" t="str">
            <v>V1-3</v>
          </cell>
        </row>
        <row r="1271">
          <cell r="B1271">
            <v>11167</v>
          </cell>
          <cell r="C1271" t="str">
            <v>V1-4</v>
          </cell>
        </row>
        <row r="1272">
          <cell r="B1272">
            <v>11168</v>
          </cell>
          <cell r="C1272" t="str">
            <v>V1-4A</v>
          </cell>
        </row>
        <row r="1273">
          <cell r="B1273">
            <v>11169</v>
          </cell>
          <cell r="C1273" t="str">
            <v>V1-4B</v>
          </cell>
        </row>
        <row r="1274">
          <cell r="B1274">
            <v>11170</v>
          </cell>
          <cell r="C1274" t="str">
            <v>V1-4C</v>
          </cell>
        </row>
        <row r="1275">
          <cell r="B1275">
            <v>11171</v>
          </cell>
          <cell r="C1275" t="str">
            <v>V1-4Ca</v>
          </cell>
        </row>
        <row r="1276">
          <cell r="B1276">
            <v>11172</v>
          </cell>
          <cell r="C1276" t="str">
            <v>V1-4Cb</v>
          </cell>
        </row>
        <row r="1277">
          <cell r="B1277">
            <v>11173</v>
          </cell>
          <cell r="C1277" t="str">
            <v>V1-5</v>
          </cell>
        </row>
        <row r="1278">
          <cell r="B1278">
            <v>11174</v>
          </cell>
          <cell r="C1278" t="str">
            <v>V1-6</v>
          </cell>
        </row>
        <row r="1279">
          <cell r="B1279">
            <v>10270</v>
          </cell>
          <cell r="C1279" t="str">
            <v>ESOC</v>
          </cell>
        </row>
        <row r="1280">
          <cell r="B1280">
            <v>146034690</v>
          </cell>
          <cell r="C1280" t="str">
            <v>Vx</v>
          </cell>
        </row>
        <row r="1281">
          <cell r="B1281">
            <v>10271</v>
          </cell>
          <cell r="C1281" t="str">
            <v>V2</v>
          </cell>
        </row>
        <row r="1282">
          <cell r="B1282">
            <v>11175</v>
          </cell>
          <cell r="C1282" t="str">
            <v>V2-1</v>
          </cell>
        </row>
        <row r="1283">
          <cell r="B1283">
            <v>11176</v>
          </cell>
          <cell r="C1283" t="str">
            <v>V2-2</v>
          </cell>
        </row>
        <row r="1284">
          <cell r="B1284">
            <v>11177</v>
          </cell>
          <cell r="C1284" t="str">
            <v>V2-3</v>
          </cell>
        </row>
        <row r="1285">
          <cell r="B1285">
            <v>11178</v>
          </cell>
          <cell r="C1285" t="str">
            <v>V2-4</v>
          </cell>
        </row>
        <row r="1286">
          <cell r="B1286">
            <v>11179</v>
          </cell>
          <cell r="C1286" t="str">
            <v>V2-5</v>
          </cell>
        </row>
        <row r="1287">
          <cell r="B1287">
            <v>11180</v>
          </cell>
          <cell r="C1287" t="str">
            <v>V2-6</v>
          </cell>
        </row>
        <row r="1288">
          <cell r="B1288">
            <v>10272</v>
          </cell>
          <cell r="C1288" t="str">
            <v>PSC</v>
          </cell>
        </row>
        <row r="1289">
          <cell r="B1289">
            <v>10273</v>
          </cell>
          <cell r="C1289" t="str">
            <v>V3</v>
          </cell>
        </row>
        <row r="1290">
          <cell r="B1290">
            <v>11181</v>
          </cell>
          <cell r="C1290" t="str">
            <v>V3-1</v>
          </cell>
        </row>
        <row r="1291">
          <cell r="B1291">
            <v>11182</v>
          </cell>
          <cell r="C1291" t="str">
            <v>V3-2</v>
          </cell>
        </row>
        <row r="1292">
          <cell r="B1292">
            <v>11183</v>
          </cell>
          <cell r="C1292" t="str">
            <v>V3-3</v>
          </cell>
        </row>
        <row r="1293">
          <cell r="B1293">
            <v>11184</v>
          </cell>
          <cell r="C1293" t="str">
            <v>V3-4</v>
          </cell>
        </row>
        <row r="1294">
          <cell r="B1294">
            <v>11185</v>
          </cell>
          <cell r="C1294" t="str">
            <v>V3-5</v>
          </cell>
        </row>
        <row r="1295">
          <cell r="B1295">
            <v>11186</v>
          </cell>
          <cell r="C1295" t="str">
            <v>V3-6</v>
          </cell>
        </row>
        <row r="1296">
          <cell r="B1296">
            <v>10274</v>
          </cell>
          <cell r="C1296" t="str">
            <v>VP</v>
          </cell>
        </row>
        <row r="1297">
          <cell r="B1297">
            <v>11187</v>
          </cell>
          <cell r="C1297" t="str">
            <v>VP1</v>
          </cell>
        </row>
        <row r="1298">
          <cell r="B1298">
            <v>11188</v>
          </cell>
          <cell r="C1298" t="str">
            <v>VP2</v>
          </cell>
        </row>
        <row r="1299">
          <cell r="B1299">
            <v>11189</v>
          </cell>
          <cell r="C1299" t="str">
            <v>VP3</v>
          </cell>
        </row>
        <row r="1300">
          <cell r="B1300">
            <v>11190</v>
          </cell>
          <cell r="C1300" t="str">
            <v>VP4</v>
          </cell>
        </row>
        <row r="1301">
          <cell r="B1301">
            <v>11191</v>
          </cell>
          <cell r="C1301" t="str">
            <v>VP5</v>
          </cell>
        </row>
        <row r="1302">
          <cell r="B1302">
            <v>11192</v>
          </cell>
          <cell r="C1302" t="str">
            <v>VP6</v>
          </cell>
        </row>
        <row r="1303">
          <cell r="B1303">
            <v>10275</v>
          </cell>
          <cell r="C1303" t="str">
            <v>V3A</v>
          </cell>
        </row>
        <row r="1304">
          <cell r="B1304">
            <v>11193</v>
          </cell>
          <cell r="C1304" t="str">
            <v>V3A-1</v>
          </cell>
        </row>
        <row r="1305">
          <cell r="B1305">
            <v>11194</v>
          </cell>
          <cell r="C1305" t="str">
            <v>V3A-2</v>
          </cell>
        </row>
        <row r="1306">
          <cell r="B1306">
            <v>11195</v>
          </cell>
          <cell r="C1306" t="str">
            <v>V3A-3</v>
          </cell>
        </row>
        <row r="1307">
          <cell r="B1307">
            <v>11196</v>
          </cell>
          <cell r="C1307" t="str">
            <v>V3A-4</v>
          </cell>
        </row>
        <row r="1308">
          <cell r="B1308">
            <v>11197</v>
          </cell>
          <cell r="C1308" t="str">
            <v>V3A-5</v>
          </cell>
        </row>
        <row r="1309">
          <cell r="B1309">
            <v>11198</v>
          </cell>
          <cell r="C1309" t="str">
            <v>V3A-6</v>
          </cell>
        </row>
        <row r="1310">
          <cell r="B1310">
            <v>10276</v>
          </cell>
          <cell r="C1310" t="str">
            <v>V4</v>
          </cell>
        </row>
        <row r="1311">
          <cell r="B1311">
            <v>11199</v>
          </cell>
          <cell r="C1311" t="str">
            <v>V4-1</v>
          </cell>
        </row>
        <row r="1312">
          <cell r="B1312">
            <v>11200</v>
          </cell>
          <cell r="C1312" t="str">
            <v>V4-2</v>
          </cell>
        </row>
        <row r="1313">
          <cell r="B1313">
            <v>11201</v>
          </cell>
          <cell r="C1313" t="str">
            <v>V4-3</v>
          </cell>
        </row>
        <row r="1314">
          <cell r="B1314">
            <v>11202</v>
          </cell>
          <cell r="C1314" t="str">
            <v>V4-4</v>
          </cell>
        </row>
        <row r="1315">
          <cell r="B1315">
            <v>11203</v>
          </cell>
          <cell r="C1315" t="str">
            <v>V4-5</v>
          </cell>
        </row>
        <row r="1316">
          <cell r="B1316">
            <v>11204</v>
          </cell>
          <cell r="C1316" t="str">
            <v>V4-6</v>
          </cell>
        </row>
        <row r="1317">
          <cell r="B1317">
            <v>267499095</v>
          </cell>
          <cell r="C1317" t="str">
            <v>V3B</v>
          </cell>
        </row>
        <row r="1318">
          <cell r="B1318">
            <v>267499099</v>
          </cell>
          <cell r="C1318" t="str">
            <v>V3B1</v>
          </cell>
        </row>
        <row r="1319">
          <cell r="B1319">
            <v>267499103</v>
          </cell>
          <cell r="C1319" t="str">
            <v>V3B2</v>
          </cell>
        </row>
        <row r="1320">
          <cell r="B1320">
            <v>267499107</v>
          </cell>
          <cell r="C1320" t="str">
            <v>V3B3</v>
          </cell>
        </row>
        <row r="1321">
          <cell r="B1321">
            <v>267499111</v>
          </cell>
          <cell r="C1321" t="str">
            <v>V3B4</v>
          </cell>
        </row>
        <row r="1322">
          <cell r="B1322">
            <v>267499115</v>
          </cell>
          <cell r="C1322" t="str">
            <v>V3B5</v>
          </cell>
        </row>
        <row r="1323">
          <cell r="B1323">
            <v>267499119</v>
          </cell>
          <cell r="C1323" t="str">
            <v>V3B6</v>
          </cell>
        </row>
        <row r="1324">
          <cell r="B1324">
            <v>267499123</v>
          </cell>
          <cell r="C1324" t="str">
            <v>V6</v>
          </cell>
        </row>
        <row r="1325">
          <cell r="B1325">
            <v>267499127</v>
          </cell>
          <cell r="C1325" t="str">
            <v>V6-1</v>
          </cell>
        </row>
        <row r="1326">
          <cell r="B1326">
            <v>267499131</v>
          </cell>
          <cell r="C1326" t="str">
            <v>V6-2</v>
          </cell>
        </row>
        <row r="1327">
          <cell r="B1327">
            <v>267499135</v>
          </cell>
          <cell r="C1327" t="str">
            <v>V6-3</v>
          </cell>
        </row>
        <row r="1328">
          <cell r="B1328">
            <v>267499139</v>
          </cell>
          <cell r="C1328" t="str">
            <v>V6-4</v>
          </cell>
        </row>
        <row r="1329">
          <cell r="B1329">
            <v>267499143</v>
          </cell>
          <cell r="C1329" t="str">
            <v>V6-5</v>
          </cell>
        </row>
        <row r="1330">
          <cell r="B1330">
            <v>267499147</v>
          </cell>
          <cell r="C1330" t="str">
            <v>V6-6</v>
          </cell>
        </row>
        <row r="1331">
          <cell r="B1331">
            <v>267499151</v>
          </cell>
          <cell r="C1331" t="str">
            <v>V6A/PO</v>
          </cell>
        </row>
        <row r="1332">
          <cell r="B1332">
            <v>267499155</v>
          </cell>
          <cell r="C1332" t="str">
            <v>V6A-1</v>
          </cell>
        </row>
        <row r="1333">
          <cell r="B1333">
            <v>267499159</v>
          </cell>
          <cell r="C1333" t="str">
            <v>V6A-2</v>
          </cell>
        </row>
        <row r="1334">
          <cell r="B1334">
            <v>267499163</v>
          </cell>
          <cell r="C1334" t="str">
            <v>V6A-3</v>
          </cell>
        </row>
        <row r="1335">
          <cell r="B1335">
            <v>267499167</v>
          </cell>
          <cell r="C1335" t="str">
            <v>V6A-4</v>
          </cell>
        </row>
        <row r="1336">
          <cell r="B1336">
            <v>267499171</v>
          </cell>
          <cell r="C1336" t="str">
            <v>V6A-5</v>
          </cell>
        </row>
        <row r="1337">
          <cell r="B1337">
            <v>267499175</v>
          </cell>
          <cell r="C1337" t="str">
            <v>V6A-6</v>
          </cell>
        </row>
        <row r="1338">
          <cell r="B1338">
            <v>267499179</v>
          </cell>
          <cell r="C1338" t="str">
            <v>V7</v>
          </cell>
        </row>
        <row r="1339">
          <cell r="B1339">
            <v>267499183</v>
          </cell>
          <cell r="C1339" t="str">
            <v>V7-1</v>
          </cell>
        </row>
        <row r="1340">
          <cell r="B1340">
            <v>267499187</v>
          </cell>
          <cell r="C1340" t="str">
            <v>V7-2</v>
          </cell>
        </row>
        <row r="1341">
          <cell r="B1341">
            <v>267499191</v>
          </cell>
          <cell r="C1341" t="str">
            <v>V7-3</v>
          </cell>
        </row>
        <row r="1342">
          <cell r="B1342">
            <v>267499195</v>
          </cell>
          <cell r="C1342" t="str">
            <v>V7-4</v>
          </cell>
        </row>
        <row r="1343">
          <cell r="B1343">
            <v>267499199</v>
          </cell>
          <cell r="C1343" t="str">
            <v>V7-5</v>
          </cell>
        </row>
        <row r="1344">
          <cell r="B1344">
            <v>267499203</v>
          </cell>
          <cell r="C1344" t="str">
            <v>V7-6</v>
          </cell>
        </row>
        <row r="1345">
          <cell r="B1345">
            <v>10288</v>
          </cell>
          <cell r="C1345" t="str">
            <v>ICx</v>
          </cell>
        </row>
        <row r="1346">
          <cell r="B1346">
            <v>10289</v>
          </cell>
          <cell r="C1346" t="str">
            <v>Idg</v>
          </cell>
        </row>
        <row r="1347">
          <cell r="B1347">
            <v>15513</v>
          </cell>
          <cell r="C1347" t="str">
            <v>RIdg</v>
          </cell>
        </row>
        <row r="1348">
          <cell r="B1348">
            <v>11253</v>
          </cell>
          <cell r="C1348" t="str">
            <v>RIdg1</v>
          </cell>
        </row>
        <row r="1349">
          <cell r="B1349">
            <v>11254</v>
          </cell>
          <cell r="C1349" t="str">
            <v>RIdg2</v>
          </cell>
        </row>
        <row r="1350">
          <cell r="B1350">
            <v>11255</v>
          </cell>
          <cell r="C1350" t="str">
            <v>RIdg3</v>
          </cell>
        </row>
        <row r="1351">
          <cell r="B1351">
            <v>11256</v>
          </cell>
          <cell r="C1351" t="str">
            <v>RIdg4</v>
          </cell>
        </row>
        <row r="1352">
          <cell r="B1352">
            <v>11257</v>
          </cell>
          <cell r="C1352" t="str">
            <v>RIdg5</v>
          </cell>
        </row>
        <row r="1353">
          <cell r="B1353">
            <v>11258</v>
          </cell>
          <cell r="C1353" t="str">
            <v>RIdg6</v>
          </cell>
        </row>
        <row r="1354">
          <cell r="B1354">
            <v>15514</v>
          </cell>
          <cell r="C1354" t="str">
            <v>CIdg</v>
          </cell>
        </row>
        <row r="1355">
          <cell r="B1355">
            <v>15515</v>
          </cell>
          <cell r="C1355" t="str">
            <v>CIdg1</v>
          </cell>
        </row>
        <row r="1356">
          <cell r="B1356">
            <v>15516</v>
          </cell>
          <cell r="C1356" t="str">
            <v>CIdg2</v>
          </cell>
        </row>
        <row r="1357">
          <cell r="B1357">
            <v>15517</v>
          </cell>
          <cell r="C1357" t="str">
            <v>CIdg3</v>
          </cell>
        </row>
        <row r="1358">
          <cell r="B1358">
            <v>15518</v>
          </cell>
          <cell r="C1358" t="str">
            <v>CIdg4</v>
          </cell>
        </row>
        <row r="1359">
          <cell r="B1359">
            <v>15519</v>
          </cell>
          <cell r="C1359" t="str">
            <v>CIdg5</v>
          </cell>
        </row>
        <row r="1360">
          <cell r="B1360">
            <v>15520</v>
          </cell>
          <cell r="C1360" t="str">
            <v>CIdg6</v>
          </cell>
        </row>
        <row r="1361">
          <cell r="B1361">
            <v>10290</v>
          </cell>
          <cell r="C1361" t="str">
            <v>Ig</v>
          </cell>
        </row>
        <row r="1362">
          <cell r="B1362">
            <v>15521</v>
          </cell>
          <cell r="C1362" t="str">
            <v>RIg</v>
          </cell>
        </row>
        <row r="1363">
          <cell r="B1363">
            <v>11259</v>
          </cell>
          <cell r="C1363" t="str">
            <v>RIg1</v>
          </cell>
        </row>
        <row r="1364">
          <cell r="B1364">
            <v>11260</v>
          </cell>
          <cell r="C1364" t="str">
            <v>RIg2</v>
          </cell>
        </row>
        <row r="1365">
          <cell r="B1365">
            <v>11261</v>
          </cell>
          <cell r="C1365" t="str">
            <v>RIg3</v>
          </cell>
        </row>
        <row r="1366">
          <cell r="B1366">
            <v>11262</v>
          </cell>
          <cell r="C1366" t="str">
            <v>RIg4</v>
          </cell>
        </row>
        <row r="1367">
          <cell r="B1367">
            <v>11263</v>
          </cell>
          <cell r="C1367" t="str">
            <v>RIg5</v>
          </cell>
        </row>
        <row r="1368">
          <cell r="B1368">
            <v>11264</v>
          </cell>
          <cell r="C1368" t="str">
            <v>RIg6</v>
          </cell>
        </row>
        <row r="1369">
          <cell r="B1369">
            <v>15522</v>
          </cell>
          <cell r="C1369" t="str">
            <v>CIg</v>
          </cell>
        </row>
        <row r="1370">
          <cell r="B1370">
            <v>15523</v>
          </cell>
          <cell r="C1370" t="str">
            <v>CIg1</v>
          </cell>
        </row>
        <row r="1371">
          <cell r="B1371">
            <v>15524</v>
          </cell>
          <cell r="C1371" t="str">
            <v>CIg2</v>
          </cell>
        </row>
        <row r="1372">
          <cell r="B1372">
            <v>15525</v>
          </cell>
          <cell r="C1372" t="str">
            <v>CIg3</v>
          </cell>
        </row>
        <row r="1373">
          <cell r="B1373">
            <v>15526</v>
          </cell>
          <cell r="C1373" t="str">
            <v>CIg4</v>
          </cell>
        </row>
        <row r="1374">
          <cell r="B1374">
            <v>15527</v>
          </cell>
          <cell r="C1374" t="str">
            <v>CIg5</v>
          </cell>
        </row>
        <row r="1375">
          <cell r="B1375">
            <v>15528</v>
          </cell>
          <cell r="C1375" t="str">
            <v>CIg6</v>
          </cell>
        </row>
        <row r="1376">
          <cell r="B1376">
            <v>10277</v>
          </cell>
          <cell r="C1376" t="str">
            <v>CCx</v>
          </cell>
        </row>
        <row r="1377">
          <cell r="B1377">
            <v>10278</v>
          </cell>
          <cell r="C1377" t="str">
            <v>MFC</v>
          </cell>
        </row>
        <row r="1378">
          <cell r="B1378">
            <v>10279</v>
          </cell>
          <cell r="C1378" t="str">
            <v>A24</v>
          </cell>
        </row>
        <row r="1379">
          <cell r="B1379">
            <v>11212</v>
          </cell>
          <cell r="C1379" t="str">
            <v>A24-1</v>
          </cell>
        </row>
        <row r="1380">
          <cell r="B1380">
            <v>11213</v>
          </cell>
          <cell r="C1380" t="str">
            <v>A24-2</v>
          </cell>
        </row>
        <row r="1381">
          <cell r="B1381">
            <v>11214</v>
          </cell>
          <cell r="C1381" t="str">
            <v>A24-3</v>
          </cell>
        </row>
        <row r="1382">
          <cell r="B1382">
            <v>11215</v>
          </cell>
          <cell r="C1382" t="str">
            <v>A24-5a</v>
          </cell>
        </row>
        <row r="1383">
          <cell r="B1383">
            <v>11216</v>
          </cell>
          <cell r="C1383" t="str">
            <v>A24-5b</v>
          </cell>
        </row>
        <row r="1384">
          <cell r="B1384">
            <v>11217</v>
          </cell>
          <cell r="C1384" t="str">
            <v>A24-6</v>
          </cell>
        </row>
        <row r="1385">
          <cell r="B1385">
            <v>10280</v>
          </cell>
          <cell r="C1385" t="str">
            <v>A32</v>
          </cell>
        </row>
        <row r="1386">
          <cell r="B1386">
            <v>11218</v>
          </cell>
          <cell r="C1386" t="str">
            <v>A32-1</v>
          </cell>
        </row>
        <row r="1387">
          <cell r="B1387">
            <v>11219</v>
          </cell>
          <cell r="C1387" t="str">
            <v>A32-2</v>
          </cell>
        </row>
        <row r="1388">
          <cell r="B1388">
            <v>11220</v>
          </cell>
          <cell r="C1388" t="str">
            <v>A32-3</v>
          </cell>
        </row>
        <row r="1389">
          <cell r="B1389">
            <v>11221</v>
          </cell>
          <cell r="C1389" t="str">
            <v>A32-4</v>
          </cell>
        </row>
        <row r="1390">
          <cell r="B1390">
            <v>11222</v>
          </cell>
          <cell r="C1390" t="str">
            <v>A32-5</v>
          </cell>
        </row>
        <row r="1391">
          <cell r="B1391">
            <v>11223</v>
          </cell>
          <cell r="C1391" t="str">
            <v>A32-6</v>
          </cell>
        </row>
        <row r="1392">
          <cell r="B1392">
            <v>10281</v>
          </cell>
          <cell r="C1392" t="str">
            <v>A25</v>
          </cell>
        </row>
        <row r="1393">
          <cell r="B1393">
            <v>11224</v>
          </cell>
          <cell r="C1393" t="str">
            <v>A25-1</v>
          </cell>
        </row>
        <row r="1394">
          <cell r="B1394">
            <v>11225</v>
          </cell>
          <cell r="C1394" t="str">
            <v>A25-2</v>
          </cell>
        </row>
        <row r="1395">
          <cell r="B1395">
            <v>11226</v>
          </cell>
          <cell r="C1395" t="str">
            <v>A25-3</v>
          </cell>
        </row>
        <row r="1396">
          <cell r="B1396">
            <v>11227</v>
          </cell>
          <cell r="C1396" t="str">
            <v>A25-5</v>
          </cell>
        </row>
        <row r="1397">
          <cell r="B1397">
            <v>11228</v>
          </cell>
          <cell r="C1397" t="str">
            <v>A25-6</v>
          </cell>
        </row>
        <row r="1398">
          <cell r="B1398">
            <v>10282</v>
          </cell>
          <cell r="C1398" t="str">
            <v>MCC</v>
          </cell>
        </row>
        <row r="1399">
          <cell r="B1399">
            <v>10283</v>
          </cell>
          <cell r="C1399" t="str">
            <v>A24mc</v>
          </cell>
        </row>
        <row r="1400">
          <cell r="B1400">
            <v>11229</v>
          </cell>
          <cell r="C1400" t="str">
            <v>A24mc-1</v>
          </cell>
        </row>
        <row r="1401">
          <cell r="B1401">
            <v>11230</v>
          </cell>
          <cell r="C1401" t="str">
            <v>A24mc-2</v>
          </cell>
        </row>
        <row r="1402">
          <cell r="B1402">
            <v>11231</v>
          </cell>
          <cell r="C1402" t="str">
            <v>A24mc-3</v>
          </cell>
        </row>
        <row r="1403">
          <cell r="B1403">
            <v>11232</v>
          </cell>
          <cell r="C1403" t="str">
            <v>A24mc-5a</v>
          </cell>
        </row>
        <row r="1404">
          <cell r="B1404">
            <v>11233</v>
          </cell>
          <cell r="C1404" t="str">
            <v>A24mc-5b</v>
          </cell>
        </row>
        <row r="1405">
          <cell r="B1405">
            <v>11234</v>
          </cell>
          <cell r="C1405" t="str">
            <v>A24mc-6</v>
          </cell>
        </row>
        <row r="1406">
          <cell r="B1406">
            <v>10284</v>
          </cell>
          <cell r="C1406" t="str">
            <v>A32mc</v>
          </cell>
        </row>
        <row r="1407">
          <cell r="B1407">
            <v>11235</v>
          </cell>
          <cell r="C1407" t="str">
            <v>A32mc-1</v>
          </cell>
        </row>
        <row r="1408">
          <cell r="B1408">
            <v>11236</v>
          </cell>
          <cell r="C1408" t="str">
            <v>A32mc-2</v>
          </cell>
        </row>
        <row r="1409">
          <cell r="B1409">
            <v>11237</v>
          </cell>
          <cell r="C1409" t="str">
            <v>A32mc-3</v>
          </cell>
        </row>
        <row r="1410">
          <cell r="B1410">
            <v>11238</v>
          </cell>
          <cell r="C1410" t="str">
            <v>A32mc-4</v>
          </cell>
        </row>
        <row r="1411">
          <cell r="B1411">
            <v>11239</v>
          </cell>
          <cell r="C1411" t="str">
            <v>A32mc-5</v>
          </cell>
        </row>
        <row r="1412">
          <cell r="B1412">
            <v>11240</v>
          </cell>
          <cell r="C1412" t="str">
            <v>A32mc-6</v>
          </cell>
        </row>
        <row r="1413">
          <cell r="B1413">
            <v>10285</v>
          </cell>
          <cell r="C1413" t="str">
            <v>PCC</v>
          </cell>
        </row>
        <row r="1414">
          <cell r="B1414">
            <v>10286</v>
          </cell>
          <cell r="C1414" t="str">
            <v>A23</v>
          </cell>
        </row>
        <row r="1415">
          <cell r="B1415">
            <v>11241</v>
          </cell>
          <cell r="C1415" t="str">
            <v>A23-1</v>
          </cell>
        </row>
        <row r="1416">
          <cell r="B1416">
            <v>11242</v>
          </cell>
          <cell r="C1416" t="str">
            <v>A23-2</v>
          </cell>
        </row>
        <row r="1417">
          <cell r="B1417">
            <v>11243</v>
          </cell>
          <cell r="C1417" t="str">
            <v>A23-3</v>
          </cell>
        </row>
        <row r="1418">
          <cell r="B1418">
            <v>11244</v>
          </cell>
          <cell r="C1418" t="str">
            <v>A23-4</v>
          </cell>
        </row>
        <row r="1419">
          <cell r="B1419">
            <v>11245</v>
          </cell>
          <cell r="C1419" t="str">
            <v>A23-5</v>
          </cell>
        </row>
        <row r="1420">
          <cell r="B1420">
            <v>11246</v>
          </cell>
          <cell r="C1420" t="str">
            <v>A23-6</v>
          </cell>
        </row>
        <row r="1421">
          <cell r="B1421">
            <v>10287</v>
          </cell>
          <cell r="C1421" t="str">
            <v>A31</v>
          </cell>
        </row>
        <row r="1422">
          <cell r="B1422">
            <v>11247</v>
          </cell>
          <cell r="C1422" t="str">
            <v>A31-1</v>
          </cell>
        </row>
        <row r="1423">
          <cell r="B1423">
            <v>11248</v>
          </cell>
          <cell r="C1423" t="str">
            <v>A31-2</v>
          </cell>
        </row>
        <row r="1424">
          <cell r="B1424">
            <v>11249</v>
          </cell>
          <cell r="C1424" t="str">
            <v>A31-3</v>
          </cell>
        </row>
        <row r="1425">
          <cell r="B1425">
            <v>11250</v>
          </cell>
          <cell r="C1425" t="str">
            <v>A31-4</v>
          </cell>
        </row>
        <row r="1426">
          <cell r="B1426">
            <v>11251</v>
          </cell>
          <cell r="C1426" t="str">
            <v>A31-5</v>
          </cell>
        </row>
        <row r="1427">
          <cell r="B1427">
            <v>11252</v>
          </cell>
          <cell r="C1427" t="str">
            <v>A31-6</v>
          </cell>
        </row>
        <row r="1428">
          <cell r="B1428">
            <v>10313</v>
          </cell>
          <cell r="C1428" t="str">
            <v>PACx</v>
          </cell>
        </row>
        <row r="1429">
          <cell r="B1429">
            <v>10314</v>
          </cell>
          <cell r="C1429" t="str">
            <v>PArCx</v>
          </cell>
        </row>
        <row r="1430">
          <cell r="B1430">
            <v>10320</v>
          </cell>
          <cell r="C1430" t="str">
            <v>A35</v>
          </cell>
        </row>
        <row r="1431">
          <cell r="B1431">
            <v>10321</v>
          </cell>
          <cell r="C1431" t="str">
            <v>A35r</v>
          </cell>
        </row>
        <row r="1432">
          <cell r="B1432">
            <v>11455</v>
          </cell>
          <cell r="C1432" t="str">
            <v>A35r1</v>
          </cell>
        </row>
        <row r="1433">
          <cell r="B1433">
            <v>11456</v>
          </cell>
          <cell r="C1433" t="str">
            <v>A35r2</v>
          </cell>
        </row>
        <row r="1434">
          <cell r="B1434">
            <v>11457</v>
          </cell>
          <cell r="C1434" t="str">
            <v>A35r3</v>
          </cell>
        </row>
        <row r="1435">
          <cell r="B1435">
            <v>11458</v>
          </cell>
          <cell r="C1435" t="str">
            <v>A35r3a</v>
          </cell>
        </row>
        <row r="1436">
          <cell r="B1436">
            <v>11459</v>
          </cell>
          <cell r="C1436" t="str">
            <v>A35r3b</v>
          </cell>
        </row>
        <row r="1437">
          <cell r="B1437">
            <v>11460</v>
          </cell>
          <cell r="C1437" t="str">
            <v>A35r3u</v>
          </cell>
        </row>
        <row r="1438">
          <cell r="B1438">
            <v>11461</v>
          </cell>
          <cell r="C1438" t="str">
            <v>A35r5</v>
          </cell>
        </row>
        <row r="1439">
          <cell r="B1439">
            <v>11462</v>
          </cell>
          <cell r="C1439" t="str">
            <v>A35r6</v>
          </cell>
        </row>
        <row r="1440">
          <cell r="B1440">
            <v>10322</v>
          </cell>
          <cell r="C1440" t="str">
            <v>A35c</v>
          </cell>
        </row>
        <row r="1441">
          <cell r="B1441">
            <v>11463</v>
          </cell>
          <cell r="C1441" t="str">
            <v>A35c1</v>
          </cell>
        </row>
        <row r="1442">
          <cell r="B1442">
            <v>11464</v>
          </cell>
          <cell r="C1442" t="str">
            <v>A35c2</v>
          </cell>
        </row>
        <row r="1443">
          <cell r="B1443">
            <v>11465</v>
          </cell>
          <cell r="C1443" t="str">
            <v>A35c3</v>
          </cell>
        </row>
        <row r="1444">
          <cell r="B1444">
            <v>11466</v>
          </cell>
          <cell r="C1444" t="str">
            <v>A35c3a</v>
          </cell>
        </row>
        <row r="1445">
          <cell r="B1445">
            <v>11467</v>
          </cell>
          <cell r="C1445" t="str">
            <v>A35c3b</v>
          </cell>
        </row>
        <row r="1446">
          <cell r="B1446">
            <v>11468</v>
          </cell>
          <cell r="C1446" t="str">
            <v>A35c3u</v>
          </cell>
        </row>
        <row r="1447">
          <cell r="B1447">
            <v>11469</v>
          </cell>
          <cell r="C1447" t="str">
            <v>A35c5</v>
          </cell>
        </row>
        <row r="1448">
          <cell r="B1448">
            <v>11470</v>
          </cell>
          <cell r="C1448" t="str">
            <v>A35c6</v>
          </cell>
        </row>
        <row r="1449">
          <cell r="B1449">
            <v>10317</v>
          </cell>
          <cell r="C1449" t="str">
            <v>EC</v>
          </cell>
        </row>
        <row r="1450">
          <cell r="B1450">
            <v>10318</v>
          </cell>
          <cell r="C1450" t="str">
            <v>LEC</v>
          </cell>
        </row>
        <row r="1451">
          <cell r="B1451">
            <v>11371</v>
          </cell>
          <cell r="C1451" t="str">
            <v>EO</v>
          </cell>
        </row>
        <row r="1452">
          <cell r="B1452">
            <v>11373</v>
          </cell>
          <cell r="C1452" t="str">
            <v>EO1</v>
          </cell>
        </row>
        <row r="1453">
          <cell r="B1453">
            <v>11372</v>
          </cell>
          <cell r="C1453" t="str">
            <v>EOs</v>
          </cell>
        </row>
        <row r="1454">
          <cell r="B1454">
            <v>11374</v>
          </cell>
          <cell r="C1454" t="str">
            <v>EO2</v>
          </cell>
        </row>
        <row r="1455">
          <cell r="B1455">
            <v>11375</v>
          </cell>
          <cell r="C1455" t="str">
            <v>EO3</v>
          </cell>
        </row>
        <row r="1456">
          <cell r="B1456">
            <v>11376</v>
          </cell>
          <cell r="C1456" t="str">
            <v>EO3a</v>
          </cell>
        </row>
        <row r="1457">
          <cell r="B1457">
            <v>11377</v>
          </cell>
          <cell r="C1457" t="str">
            <v>EO3b</v>
          </cell>
        </row>
        <row r="1458">
          <cell r="B1458">
            <v>13020</v>
          </cell>
          <cell r="C1458" t="str">
            <v>EOld</v>
          </cell>
        </row>
        <row r="1459">
          <cell r="B1459">
            <v>11378</v>
          </cell>
          <cell r="C1459" t="str">
            <v>EOd</v>
          </cell>
        </row>
        <row r="1460">
          <cell r="B1460">
            <v>11379</v>
          </cell>
          <cell r="C1460" t="str">
            <v>EO5</v>
          </cell>
        </row>
        <row r="1461">
          <cell r="B1461">
            <v>11380</v>
          </cell>
          <cell r="C1461" t="str">
            <v>EO6</v>
          </cell>
        </row>
        <row r="1462">
          <cell r="B1462">
            <v>11381</v>
          </cell>
          <cell r="C1462" t="str">
            <v>ER</v>
          </cell>
        </row>
        <row r="1463">
          <cell r="B1463">
            <v>11383</v>
          </cell>
          <cell r="C1463" t="str">
            <v>ER1</v>
          </cell>
        </row>
        <row r="1464">
          <cell r="B1464">
            <v>11382</v>
          </cell>
          <cell r="C1464" t="str">
            <v>ERs</v>
          </cell>
        </row>
        <row r="1465">
          <cell r="B1465">
            <v>11384</v>
          </cell>
          <cell r="C1465" t="str">
            <v>ER2</v>
          </cell>
        </row>
        <row r="1466">
          <cell r="B1466">
            <v>11385</v>
          </cell>
          <cell r="C1466" t="str">
            <v>ER3</v>
          </cell>
        </row>
        <row r="1467">
          <cell r="B1467">
            <v>11386</v>
          </cell>
          <cell r="C1467" t="str">
            <v>ER3a</v>
          </cell>
        </row>
        <row r="1468">
          <cell r="B1468">
            <v>11387</v>
          </cell>
          <cell r="C1468" t="str">
            <v>ER3b</v>
          </cell>
        </row>
        <row r="1469">
          <cell r="B1469">
            <v>13021</v>
          </cell>
          <cell r="C1469" t="str">
            <v>ERld</v>
          </cell>
        </row>
        <row r="1470">
          <cell r="B1470">
            <v>11388</v>
          </cell>
          <cell r="C1470" t="str">
            <v>ERd</v>
          </cell>
        </row>
        <row r="1471">
          <cell r="B1471">
            <v>11389</v>
          </cell>
          <cell r="C1471" t="str">
            <v>ER5</v>
          </cell>
        </row>
        <row r="1472">
          <cell r="B1472">
            <v>11390</v>
          </cell>
          <cell r="C1472" t="str">
            <v>ER6</v>
          </cell>
        </row>
        <row r="1473">
          <cell r="B1473">
            <v>11391</v>
          </cell>
          <cell r="C1473" t="str">
            <v>ELR</v>
          </cell>
        </row>
        <row r="1474">
          <cell r="B1474">
            <v>11393</v>
          </cell>
          <cell r="C1474" t="str">
            <v>ELR1</v>
          </cell>
        </row>
        <row r="1475">
          <cell r="B1475">
            <v>11392</v>
          </cell>
          <cell r="C1475" t="str">
            <v>ELRs</v>
          </cell>
        </row>
        <row r="1476">
          <cell r="B1476">
            <v>11394</v>
          </cell>
          <cell r="C1476" t="str">
            <v>ELR2</v>
          </cell>
        </row>
        <row r="1477">
          <cell r="B1477">
            <v>11395</v>
          </cell>
          <cell r="C1477" t="str">
            <v>ELR3</v>
          </cell>
        </row>
        <row r="1478">
          <cell r="B1478">
            <v>11396</v>
          </cell>
          <cell r="C1478" t="str">
            <v>ELR3a</v>
          </cell>
        </row>
        <row r="1479">
          <cell r="B1479">
            <v>11397</v>
          </cell>
          <cell r="C1479" t="str">
            <v>ELR3b</v>
          </cell>
        </row>
        <row r="1480">
          <cell r="B1480">
            <v>13022</v>
          </cell>
          <cell r="C1480" t="str">
            <v>ELRld</v>
          </cell>
        </row>
        <row r="1481">
          <cell r="B1481">
            <v>11398</v>
          </cell>
          <cell r="C1481" t="str">
            <v>ELRd</v>
          </cell>
        </row>
        <row r="1482">
          <cell r="B1482">
            <v>11399</v>
          </cell>
          <cell r="C1482" t="str">
            <v>ELR5</v>
          </cell>
        </row>
        <row r="1483">
          <cell r="B1483">
            <v>11400</v>
          </cell>
          <cell r="C1483" t="str">
            <v>ELR6</v>
          </cell>
        </row>
        <row r="1484">
          <cell r="B1484">
            <v>11401</v>
          </cell>
          <cell r="C1484" t="str">
            <v>EMI</v>
          </cell>
        </row>
        <row r="1485">
          <cell r="B1485">
            <v>11403</v>
          </cell>
          <cell r="C1485" t="str">
            <v>EMI1</v>
          </cell>
        </row>
        <row r="1486">
          <cell r="B1486">
            <v>11402</v>
          </cell>
          <cell r="C1486" t="str">
            <v>EMIs</v>
          </cell>
        </row>
        <row r="1487">
          <cell r="B1487">
            <v>11404</v>
          </cell>
          <cell r="C1487" t="str">
            <v>EMI2</v>
          </cell>
        </row>
        <row r="1488">
          <cell r="B1488">
            <v>11405</v>
          </cell>
          <cell r="C1488" t="str">
            <v>EMI3</v>
          </cell>
        </row>
        <row r="1489">
          <cell r="B1489">
            <v>11406</v>
          </cell>
          <cell r="C1489" t="str">
            <v>EMI3a</v>
          </cell>
        </row>
        <row r="1490">
          <cell r="B1490">
            <v>11407</v>
          </cell>
          <cell r="C1490" t="str">
            <v>EMI3b</v>
          </cell>
        </row>
        <row r="1491">
          <cell r="B1491">
            <v>11408</v>
          </cell>
          <cell r="C1491" t="str">
            <v>EMIld</v>
          </cell>
        </row>
        <row r="1492">
          <cell r="B1492">
            <v>11409</v>
          </cell>
          <cell r="C1492" t="str">
            <v>EMId</v>
          </cell>
        </row>
        <row r="1493">
          <cell r="B1493">
            <v>11410</v>
          </cell>
          <cell r="C1493" t="str">
            <v>EMI5</v>
          </cell>
        </row>
        <row r="1494">
          <cell r="B1494">
            <v>11411</v>
          </cell>
          <cell r="C1494" t="str">
            <v>EMI6</v>
          </cell>
        </row>
        <row r="1495">
          <cell r="B1495">
            <v>10319</v>
          </cell>
          <cell r="C1495" t="str">
            <v>MEC</v>
          </cell>
        </row>
        <row r="1496">
          <cell r="B1496">
            <v>11412</v>
          </cell>
          <cell r="C1496" t="str">
            <v>ELI</v>
          </cell>
        </row>
        <row r="1497">
          <cell r="B1497">
            <v>11414</v>
          </cell>
          <cell r="C1497" t="str">
            <v>ELI1</v>
          </cell>
        </row>
        <row r="1498">
          <cell r="B1498">
            <v>11413</v>
          </cell>
          <cell r="C1498" t="str">
            <v>ELIs</v>
          </cell>
        </row>
        <row r="1499">
          <cell r="B1499">
            <v>11415</v>
          </cell>
          <cell r="C1499" t="str">
            <v>ELI2</v>
          </cell>
        </row>
        <row r="1500">
          <cell r="B1500">
            <v>11416</v>
          </cell>
          <cell r="C1500" t="str">
            <v>ELI3</v>
          </cell>
        </row>
        <row r="1501">
          <cell r="B1501">
            <v>11417</v>
          </cell>
          <cell r="C1501" t="str">
            <v>ELI3a</v>
          </cell>
        </row>
        <row r="1502">
          <cell r="B1502">
            <v>11418</v>
          </cell>
          <cell r="C1502" t="str">
            <v>ELI3b</v>
          </cell>
        </row>
        <row r="1503">
          <cell r="B1503">
            <v>11419</v>
          </cell>
          <cell r="C1503" t="str">
            <v>ELIld</v>
          </cell>
        </row>
        <row r="1504">
          <cell r="B1504">
            <v>11420</v>
          </cell>
          <cell r="C1504" t="str">
            <v>ELId</v>
          </cell>
        </row>
        <row r="1505">
          <cell r="B1505">
            <v>11421</v>
          </cell>
          <cell r="C1505" t="str">
            <v>ELI5</v>
          </cell>
        </row>
        <row r="1506">
          <cell r="B1506">
            <v>11422</v>
          </cell>
          <cell r="C1506" t="str">
            <v>ELI6</v>
          </cell>
        </row>
        <row r="1507">
          <cell r="B1507">
            <v>11423</v>
          </cell>
          <cell r="C1507" t="str">
            <v>Ec</v>
          </cell>
        </row>
        <row r="1508">
          <cell r="B1508">
            <v>11425</v>
          </cell>
          <cell r="C1508" t="str">
            <v>Ec1</v>
          </cell>
        </row>
        <row r="1509">
          <cell r="B1509">
            <v>11424</v>
          </cell>
          <cell r="C1509" t="str">
            <v>Ecs</v>
          </cell>
        </row>
        <row r="1510">
          <cell r="B1510">
            <v>11426</v>
          </cell>
          <cell r="C1510" t="str">
            <v>Ec2</v>
          </cell>
        </row>
        <row r="1511">
          <cell r="B1511">
            <v>11427</v>
          </cell>
          <cell r="C1511" t="str">
            <v>Ec3</v>
          </cell>
        </row>
        <row r="1512">
          <cell r="B1512">
            <v>11428</v>
          </cell>
          <cell r="C1512" t="str">
            <v>Ec3a</v>
          </cell>
        </row>
        <row r="1513">
          <cell r="B1513">
            <v>11429</v>
          </cell>
          <cell r="C1513" t="str">
            <v>Ec3b</v>
          </cell>
        </row>
        <row r="1514">
          <cell r="B1514">
            <v>11430</v>
          </cell>
          <cell r="C1514" t="str">
            <v>Ecld</v>
          </cell>
        </row>
        <row r="1515">
          <cell r="B1515">
            <v>11431</v>
          </cell>
          <cell r="C1515" t="str">
            <v>Ecd</v>
          </cell>
        </row>
        <row r="1516">
          <cell r="B1516">
            <v>11432</v>
          </cell>
          <cell r="C1516" t="str">
            <v>Ec5</v>
          </cell>
        </row>
        <row r="1517">
          <cell r="B1517">
            <v>11433</v>
          </cell>
          <cell r="C1517" t="str">
            <v>Ec6</v>
          </cell>
        </row>
        <row r="1518">
          <cell r="B1518">
            <v>11434</v>
          </cell>
          <cell r="C1518" t="str">
            <v>ECL</v>
          </cell>
        </row>
        <row r="1519">
          <cell r="B1519">
            <v>11436</v>
          </cell>
          <cell r="C1519" t="str">
            <v>ECL1</v>
          </cell>
        </row>
        <row r="1520">
          <cell r="B1520">
            <v>11435</v>
          </cell>
          <cell r="C1520" t="str">
            <v>ECLs</v>
          </cell>
        </row>
        <row r="1521">
          <cell r="B1521">
            <v>11437</v>
          </cell>
          <cell r="C1521" t="str">
            <v>ECL2</v>
          </cell>
        </row>
        <row r="1522">
          <cell r="B1522">
            <v>11438</v>
          </cell>
          <cell r="C1522" t="str">
            <v>ECL3</v>
          </cell>
        </row>
        <row r="1523">
          <cell r="B1523">
            <v>11439</v>
          </cell>
          <cell r="C1523" t="str">
            <v>ECL3a</v>
          </cell>
        </row>
        <row r="1524">
          <cell r="B1524">
            <v>11440</v>
          </cell>
          <cell r="C1524" t="str">
            <v>ECL3b</v>
          </cell>
        </row>
        <row r="1525">
          <cell r="B1525">
            <v>11441</v>
          </cell>
          <cell r="C1525" t="str">
            <v>ECLld</v>
          </cell>
        </row>
        <row r="1526">
          <cell r="B1526">
            <v>11442</v>
          </cell>
          <cell r="C1526" t="str">
            <v>ECLd</v>
          </cell>
        </row>
        <row r="1527">
          <cell r="B1527">
            <v>11443</v>
          </cell>
          <cell r="C1527" t="str">
            <v>ECL5</v>
          </cell>
        </row>
        <row r="1528">
          <cell r="B1528">
            <v>11444</v>
          </cell>
          <cell r="C1528" t="str">
            <v>ECL6</v>
          </cell>
        </row>
        <row r="1529">
          <cell r="B1529">
            <v>11445</v>
          </cell>
          <cell r="C1529" t="str">
            <v>ELC</v>
          </cell>
        </row>
        <row r="1530">
          <cell r="B1530">
            <v>11447</v>
          </cell>
          <cell r="C1530" t="str">
            <v>ELC1</v>
          </cell>
        </row>
        <row r="1531">
          <cell r="B1531">
            <v>11446</v>
          </cell>
          <cell r="C1531" t="str">
            <v>ELCs</v>
          </cell>
        </row>
        <row r="1532">
          <cell r="B1532">
            <v>11448</v>
          </cell>
          <cell r="C1532" t="str">
            <v>ELC2</v>
          </cell>
        </row>
        <row r="1533">
          <cell r="B1533">
            <v>11449</v>
          </cell>
          <cell r="C1533" t="str">
            <v>ELC3</v>
          </cell>
        </row>
        <row r="1534">
          <cell r="B1534">
            <v>11450</v>
          </cell>
          <cell r="C1534" t="str">
            <v>ELC3a</v>
          </cell>
        </row>
        <row r="1535">
          <cell r="B1535">
            <v>11451</v>
          </cell>
          <cell r="C1535" t="str">
            <v>ELC3b</v>
          </cell>
        </row>
        <row r="1536">
          <cell r="B1536">
            <v>13023</v>
          </cell>
          <cell r="C1536" t="str">
            <v>ELCld</v>
          </cell>
        </row>
        <row r="1537">
          <cell r="B1537">
            <v>11452</v>
          </cell>
          <cell r="C1537" t="str">
            <v>ELCd</v>
          </cell>
        </row>
        <row r="1538">
          <cell r="B1538">
            <v>11453</v>
          </cell>
          <cell r="C1538" t="str">
            <v>ELC5</v>
          </cell>
        </row>
        <row r="1539">
          <cell r="B1539">
            <v>11454</v>
          </cell>
          <cell r="C1539" t="str">
            <v>ELC6</v>
          </cell>
        </row>
        <row r="1540">
          <cell r="B1540">
            <v>10316</v>
          </cell>
          <cell r="C1540" t="str">
            <v>PaS</v>
          </cell>
        </row>
        <row r="1541">
          <cell r="B1541">
            <v>11359</v>
          </cell>
          <cell r="C1541" t="str">
            <v>PaSb</v>
          </cell>
        </row>
        <row r="1542">
          <cell r="B1542">
            <v>11360</v>
          </cell>
          <cell r="C1542" t="str">
            <v>PaSb1</v>
          </cell>
        </row>
        <row r="1543">
          <cell r="B1543">
            <v>11361</v>
          </cell>
          <cell r="C1543" t="str">
            <v>PaSb2-3</v>
          </cell>
        </row>
        <row r="1544">
          <cell r="B1544">
            <v>11362</v>
          </cell>
          <cell r="C1544" t="str">
            <v>PaSbld</v>
          </cell>
        </row>
        <row r="1545">
          <cell r="B1545">
            <v>13018</v>
          </cell>
          <cell r="C1545" t="str">
            <v>PaSb5-6</v>
          </cell>
        </row>
        <row r="1546">
          <cell r="B1546">
            <v>11365</v>
          </cell>
          <cell r="C1546" t="str">
            <v>PaSa</v>
          </cell>
        </row>
        <row r="1547">
          <cell r="B1547">
            <v>11366</v>
          </cell>
          <cell r="C1547" t="str">
            <v>PaSa1</v>
          </cell>
        </row>
        <row r="1548">
          <cell r="B1548">
            <v>11367</v>
          </cell>
          <cell r="C1548" t="str">
            <v>PaSa2-3</v>
          </cell>
        </row>
        <row r="1549">
          <cell r="B1549">
            <v>11368</v>
          </cell>
          <cell r="C1549" t="str">
            <v>PaSald</v>
          </cell>
        </row>
        <row r="1550">
          <cell r="B1550">
            <v>13019</v>
          </cell>
          <cell r="C1550" t="str">
            <v>PaSa5-6</v>
          </cell>
        </row>
        <row r="1551">
          <cell r="B1551">
            <v>10315</v>
          </cell>
          <cell r="C1551" t="str">
            <v>PrS</v>
          </cell>
        </row>
        <row r="1552">
          <cell r="B1552">
            <v>11341</v>
          </cell>
          <cell r="C1552" t="str">
            <v>PrSr</v>
          </cell>
        </row>
        <row r="1553">
          <cell r="B1553">
            <v>11343</v>
          </cell>
          <cell r="C1553" t="str">
            <v>PrSr1</v>
          </cell>
        </row>
        <row r="1554">
          <cell r="B1554">
            <v>11342</v>
          </cell>
          <cell r="C1554" t="str">
            <v>PrSrs</v>
          </cell>
        </row>
        <row r="1555">
          <cell r="B1555">
            <v>11344</v>
          </cell>
          <cell r="C1555" t="str">
            <v>PrSr2</v>
          </cell>
        </row>
        <row r="1556">
          <cell r="B1556">
            <v>11345</v>
          </cell>
          <cell r="C1556" t="str">
            <v>PrSr3</v>
          </cell>
        </row>
        <row r="1557">
          <cell r="B1557">
            <v>11346</v>
          </cell>
          <cell r="C1557" t="str">
            <v>PrSrld</v>
          </cell>
        </row>
        <row r="1558">
          <cell r="B1558">
            <v>11347</v>
          </cell>
          <cell r="C1558" t="str">
            <v>PrSrd</v>
          </cell>
        </row>
        <row r="1559">
          <cell r="B1559">
            <v>11348</v>
          </cell>
          <cell r="C1559" t="str">
            <v>PrSr5</v>
          </cell>
        </row>
        <row r="1560">
          <cell r="B1560">
            <v>11349</v>
          </cell>
          <cell r="C1560" t="str">
            <v>PrSr6</v>
          </cell>
        </row>
        <row r="1561">
          <cell r="B1561">
            <v>11350</v>
          </cell>
          <cell r="C1561" t="str">
            <v>PrSc</v>
          </cell>
        </row>
        <row r="1562">
          <cell r="B1562">
            <v>11352</v>
          </cell>
          <cell r="C1562" t="str">
            <v>PrSc1</v>
          </cell>
        </row>
        <row r="1563">
          <cell r="B1563">
            <v>11351</v>
          </cell>
          <cell r="C1563" t="str">
            <v>PrScs</v>
          </cell>
        </row>
        <row r="1564">
          <cell r="B1564">
            <v>11353</v>
          </cell>
          <cell r="C1564" t="str">
            <v>PrSc2</v>
          </cell>
        </row>
        <row r="1565">
          <cell r="B1565">
            <v>11354</v>
          </cell>
          <cell r="C1565" t="str">
            <v>PrSc3</v>
          </cell>
        </row>
        <row r="1566">
          <cell r="B1566">
            <v>11355</v>
          </cell>
          <cell r="C1566" t="str">
            <v>PrScld</v>
          </cell>
        </row>
        <row r="1567">
          <cell r="B1567">
            <v>11356</v>
          </cell>
          <cell r="C1567" t="str">
            <v>PrScd</v>
          </cell>
        </row>
        <row r="1568">
          <cell r="B1568">
            <v>11357</v>
          </cell>
          <cell r="C1568" t="str">
            <v>PrSc5</v>
          </cell>
        </row>
        <row r="1569">
          <cell r="B1569">
            <v>11358</v>
          </cell>
          <cell r="C1569" t="str">
            <v>PrSc6</v>
          </cell>
        </row>
        <row r="1570">
          <cell r="B1570">
            <v>10324</v>
          </cell>
          <cell r="C1570" t="str">
            <v>RSC</v>
          </cell>
        </row>
        <row r="1571">
          <cell r="B1571">
            <v>10325</v>
          </cell>
          <cell r="C1571" t="str">
            <v>A29</v>
          </cell>
        </row>
        <row r="1572">
          <cell r="B1572">
            <v>11476</v>
          </cell>
          <cell r="C1572" t="str">
            <v>A29-1</v>
          </cell>
        </row>
        <row r="1573">
          <cell r="B1573">
            <v>11477</v>
          </cell>
          <cell r="C1573" t="str">
            <v>A29-2</v>
          </cell>
        </row>
        <row r="1574">
          <cell r="B1574">
            <v>11478</v>
          </cell>
          <cell r="C1574" t="str">
            <v>A29-3</v>
          </cell>
        </row>
        <row r="1575">
          <cell r="B1575">
            <v>13024</v>
          </cell>
          <cell r="C1575" t="str">
            <v>A29-5-6</v>
          </cell>
        </row>
        <row r="1576">
          <cell r="B1576">
            <v>10326</v>
          </cell>
          <cell r="C1576" t="str">
            <v>A30</v>
          </cell>
        </row>
        <row r="1577">
          <cell r="B1577">
            <v>11481</v>
          </cell>
          <cell r="C1577" t="str">
            <v>A30-1</v>
          </cell>
        </row>
        <row r="1578">
          <cell r="B1578">
            <v>11482</v>
          </cell>
          <cell r="C1578" t="str">
            <v>A30-2</v>
          </cell>
        </row>
        <row r="1579">
          <cell r="B1579">
            <v>11483</v>
          </cell>
          <cell r="C1579" t="str">
            <v>A30-3</v>
          </cell>
        </row>
        <row r="1580">
          <cell r="B1580">
            <v>11484</v>
          </cell>
          <cell r="C1580" t="str">
            <v>A30-5</v>
          </cell>
        </row>
        <row r="1581">
          <cell r="B1581">
            <v>11485</v>
          </cell>
          <cell r="C1581" t="str">
            <v>A30-6</v>
          </cell>
        </row>
        <row r="1582">
          <cell r="B1582">
            <v>10327</v>
          </cell>
          <cell r="C1582" t="str">
            <v>PPCx</v>
          </cell>
        </row>
        <row r="1583">
          <cell r="B1583">
            <v>10328</v>
          </cell>
          <cell r="C1583" t="str">
            <v>Iag</v>
          </cell>
        </row>
        <row r="1584">
          <cell r="B1584">
            <v>11486</v>
          </cell>
          <cell r="C1584" t="str">
            <v>Iag1</v>
          </cell>
        </row>
        <row r="1585">
          <cell r="B1585">
            <v>11487</v>
          </cell>
          <cell r="C1585" t="str">
            <v>Iag2</v>
          </cell>
        </row>
        <row r="1586">
          <cell r="B1586">
            <v>11488</v>
          </cell>
          <cell r="C1586" t="str">
            <v>Iag3</v>
          </cell>
        </row>
        <row r="1587">
          <cell r="B1587">
            <v>11489</v>
          </cell>
          <cell r="C1587" t="str">
            <v>Iag5</v>
          </cell>
        </row>
        <row r="1588">
          <cell r="B1588">
            <v>11490</v>
          </cell>
          <cell r="C1588" t="str">
            <v>Iag6</v>
          </cell>
        </row>
        <row r="1589">
          <cell r="B1589">
            <v>10329</v>
          </cell>
          <cell r="C1589" t="str">
            <v>FI</v>
          </cell>
        </row>
        <row r="1590">
          <cell r="B1590">
            <v>11491</v>
          </cell>
          <cell r="C1590" t="str">
            <v>FI1</v>
          </cell>
        </row>
        <row r="1591">
          <cell r="B1591">
            <v>11492</v>
          </cell>
          <cell r="C1591" t="str">
            <v>FI2</v>
          </cell>
        </row>
        <row r="1592">
          <cell r="B1592">
            <v>11493</v>
          </cell>
          <cell r="C1592" t="str">
            <v>FI3</v>
          </cell>
        </row>
        <row r="1593">
          <cell r="B1593">
            <v>11494</v>
          </cell>
          <cell r="C1593" t="str">
            <v>FI5</v>
          </cell>
        </row>
        <row r="1594">
          <cell r="B1594">
            <v>11495</v>
          </cell>
          <cell r="C1594" t="str">
            <v>FI6</v>
          </cell>
        </row>
        <row r="1595">
          <cell r="B1595">
            <v>10330</v>
          </cell>
          <cell r="C1595" t="str">
            <v>TI</v>
          </cell>
        </row>
        <row r="1596">
          <cell r="B1596">
            <v>11496</v>
          </cell>
          <cell r="C1596" t="str">
            <v>TI1</v>
          </cell>
        </row>
        <row r="1597">
          <cell r="B1597">
            <v>11497</v>
          </cell>
          <cell r="C1597" t="str">
            <v>TI2</v>
          </cell>
        </row>
        <row r="1598">
          <cell r="B1598">
            <v>11498</v>
          </cell>
          <cell r="C1598" t="str">
            <v>TI3</v>
          </cell>
        </row>
        <row r="1599">
          <cell r="B1599">
            <v>11499</v>
          </cell>
          <cell r="C1599" t="str">
            <v>TI5</v>
          </cell>
        </row>
        <row r="1600">
          <cell r="B1600">
            <v>11500</v>
          </cell>
          <cell r="C1600" t="str">
            <v>TI6</v>
          </cell>
        </row>
        <row r="1601">
          <cell r="B1601">
            <v>10292</v>
          </cell>
          <cell r="C1601" t="str">
            <v>ACx</v>
          </cell>
        </row>
        <row r="1602">
          <cell r="B1602">
            <v>10293</v>
          </cell>
          <cell r="C1602" t="str">
            <v>ArCx</v>
          </cell>
        </row>
        <row r="1603">
          <cell r="B1603">
            <v>10294</v>
          </cell>
          <cell r="C1603" t="str">
            <v>HIP</v>
          </cell>
        </row>
        <row r="1604">
          <cell r="B1604">
            <v>10295</v>
          </cell>
          <cell r="C1604" t="str">
            <v>DG</v>
          </cell>
        </row>
        <row r="1605">
          <cell r="B1605">
            <v>266441247</v>
          </cell>
          <cell r="C1605" t="str">
            <v>DGU</v>
          </cell>
        </row>
        <row r="1606">
          <cell r="B1606">
            <v>266441251</v>
          </cell>
          <cell r="C1606" t="str">
            <v>DGUmo</v>
          </cell>
        </row>
        <row r="1607">
          <cell r="B1607">
            <v>266441255</v>
          </cell>
          <cell r="C1607" t="str">
            <v>DGUgr</v>
          </cell>
        </row>
        <row r="1608">
          <cell r="B1608">
            <v>266441259</v>
          </cell>
          <cell r="C1608" t="str">
            <v>DGUsg</v>
          </cell>
        </row>
        <row r="1609">
          <cell r="B1609">
            <v>266441263</v>
          </cell>
          <cell r="C1609" t="str">
            <v>DGUpf</v>
          </cell>
        </row>
        <row r="1610">
          <cell r="B1610">
            <v>11265</v>
          </cell>
          <cell r="C1610" t="str">
            <v>DGR</v>
          </cell>
        </row>
        <row r="1611">
          <cell r="B1611">
            <v>11266</v>
          </cell>
          <cell r="C1611" t="str">
            <v>DGRmo</v>
          </cell>
        </row>
        <row r="1612">
          <cell r="B1612">
            <v>11267</v>
          </cell>
          <cell r="C1612" t="str">
            <v>DGRgr</v>
          </cell>
        </row>
        <row r="1613">
          <cell r="B1613">
            <v>11268</v>
          </cell>
          <cell r="C1613" t="str">
            <v>DGRsg</v>
          </cell>
        </row>
        <row r="1614">
          <cell r="B1614">
            <v>11269</v>
          </cell>
          <cell r="C1614" t="str">
            <v>DGRpf</v>
          </cell>
        </row>
        <row r="1615">
          <cell r="B1615">
            <v>11270</v>
          </cell>
          <cell r="C1615" t="str">
            <v>DGC</v>
          </cell>
        </row>
        <row r="1616">
          <cell r="B1616">
            <v>11271</v>
          </cell>
          <cell r="C1616" t="str">
            <v>DGCmo</v>
          </cell>
        </row>
        <row r="1617">
          <cell r="B1617">
            <v>11272</v>
          </cell>
          <cell r="C1617" t="str">
            <v>DGCgr</v>
          </cell>
        </row>
        <row r="1618">
          <cell r="B1618">
            <v>11273</v>
          </cell>
          <cell r="C1618" t="str">
            <v>DGCsg</v>
          </cell>
        </row>
        <row r="1619">
          <cell r="B1619">
            <v>11274</v>
          </cell>
          <cell r="C1619" t="str">
            <v>DGCpf</v>
          </cell>
        </row>
        <row r="1620">
          <cell r="B1620">
            <v>10296</v>
          </cell>
          <cell r="C1620" t="str">
            <v>Hipp</v>
          </cell>
        </row>
        <row r="1621">
          <cell r="B1621">
            <v>10297</v>
          </cell>
          <cell r="C1621" t="str">
            <v>CA1</v>
          </cell>
        </row>
        <row r="1622">
          <cell r="B1622">
            <v>266441267</v>
          </cell>
          <cell r="C1622" t="str">
            <v>CA1U</v>
          </cell>
        </row>
        <row r="1623">
          <cell r="B1623">
            <v>266441271</v>
          </cell>
          <cell r="C1623" t="str">
            <v>CA1Uslm</v>
          </cell>
        </row>
        <row r="1624">
          <cell r="B1624">
            <v>266441275</v>
          </cell>
          <cell r="C1624" t="str">
            <v>CA1Usmo</v>
          </cell>
        </row>
        <row r="1625">
          <cell r="B1625">
            <v>266441279</v>
          </cell>
          <cell r="C1625" t="str">
            <v>CA1Usla</v>
          </cell>
        </row>
        <row r="1626">
          <cell r="B1626">
            <v>266441283</v>
          </cell>
          <cell r="C1626" t="str">
            <v>CA1Usr</v>
          </cell>
        </row>
        <row r="1627">
          <cell r="B1627">
            <v>266441287</v>
          </cell>
          <cell r="C1627" t="str">
            <v>CA1Usp</v>
          </cell>
        </row>
        <row r="1628">
          <cell r="B1628">
            <v>266441291</v>
          </cell>
          <cell r="C1628" t="str">
            <v>CA1Uso</v>
          </cell>
        </row>
        <row r="1629">
          <cell r="B1629">
            <v>11275</v>
          </cell>
          <cell r="C1629" t="str">
            <v>CA1R</v>
          </cell>
        </row>
        <row r="1630">
          <cell r="B1630">
            <v>11276</v>
          </cell>
          <cell r="C1630" t="str">
            <v>CA1Rslm</v>
          </cell>
        </row>
        <row r="1631">
          <cell r="B1631">
            <v>266441295</v>
          </cell>
          <cell r="C1631" t="str">
            <v>CA1Rsmo</v>
          </cell>
        </row>
        <row r="1632">
          <cell r="B1632">
            <v>266441299</v>
          </cell>
          <cell r="C1632" t="str">
            <v>CA1Rsla</v>
          </cell>
        </row>
        <row r="1633">
          <cell r="B1633">
            <v>11277</v>
          </cell>
          <cell r="C1633" t="str">
            <v>CA1Rsr</v>
          </cell>
        </row>
        <row r="1634">
          <cell r="B1634">
            <v>11278</v>
          </cell>
          <cell r="C1634" t="str">
            <v>CA1Rsp</v>
          </cell>
        </row>
        <row r="1635">
          <cell r="B1635">
            <v>11279</v>
          </cell>
          <cell r="C1635" t="str">
            <v>CA1Rso</v>
          </cell>
        </row>
        <row r="1636">
          <cell r="B1636">
            <v>11280</v>
          </cell>
          <cell r="C1636" t="str">
            <v>CA1C</v>
          </cell>
        </row>
        <row r="1637">
          <cell r="B1637">
            <v>11281</v>
          </cell>
          <cell r="C1637" t="str">
            <v>CA1Cslm</v>
          </cell>
        </row>
        <row r="1638">
          <cell r="B1638">
            <v>266441303</v>
          </cell>
          <cell r="C1638" t="str">
            <v>CA1Csmo</v>
          </cell>
        </row>
        <row r="1639">
          <cell r="B1639">
            <v>266441307</v>
          </cell>
          <cell r="C1639" t="str">
            <v>CA1Csla</v>
          </cell>
        </row>
        <row r="1640">
          <cell r="B1640">
            <v>11282</v>
          </cell>
          <cell r="C1640" t="str">
            <v>CA1Csr</v>
          </cell>
        </row>
        <row r="1641">
          <cell r="B1641">
            <v>11283</v>
          </cell>
          <cell r="C1641" t="str">
            <v>CA1Csp</v>
          </cell>
        </row>
        <row r="1642">
          <cell r="B1642">
            <v>11284</v>
          </cell>
          <cell r="C1642" t="str">
            <v>CA1Cso</v>
          </cell>
        </row>
        <row r="1643">
          <cell r="B1643">
            <v>10298</v>
          </cell>
          <cell r="C1643" t="str">
            <v>CA2</v>
          </cell>
        </row>
        <row r="1644">
          <cell r="B1644">
            <v>266441311</v>
          </cell>
          <cell r="C1644" t="str">
            <v>CA2U</v>
          </cell>
        </row>
        <row r="1645">
          <cell r="B1645">
            <v>266441315</v>
          </cell>
          <cell r="C1645" t="str">
            <v>CA2Uslm</v>
          </cell>
        </row>
        <row r="1646">
          <cell r="B1646">
            <v>266441319</v>
          </cell>
          <cell r="C1646" t="str">
            <v>CA2Usmo</v>
          </cell>
        </row>
        <row r="1647">
          <cell r="B1647">
            <v>266441323</v>
          </cell>
          <cell r="C1647" t="str">
            <v>CA2Usla</v>
          </cell>
        </row>
        <row r="1648">
          <cell r="B1648">
            <v>266441327</v>
          </cell>
          <cell r="C1648" t="str">
            <v>CA2Usr</v>
          </cell>
        </row>
        <row r="1649">
          <cell r="B1649">
            <v>266441331</v>
          </cell>
          <cell r="C1649" t="str">
            <v>CA2Usp</v>
          </cell>
        </row>
        <row r="1650">
          <cell r="B1650">
            <v>266441335</v>
          </cell>
          <cell r="C1650" t="str">
            <v>CA2Uso</v>
          </cell>
        </row>
        <row r="1651">
          <cell r="B1651">
            <v>11285</v>
          </cell>
          <cell r="C1651" t="str">
            <v>CA2R</v>
          </cell>
        </row>
        <row r="1652">
          <cell r="B1652">
            <v>11286</v>
          </cell>
          <cell r="C1652" t="str">
            <v>CA2Rslm</v>
          </cell>
        </row>
        <row r="1653">
          <cell r="B1653">
            <v>266441339</v>
          </cell>
          <cell r="C1653" t="str">
            <v>CA2Rsmo</v>
          </cell>
        </row>
        <row r="1654">
          <cell r="B1654">
            <v>266441343</v>
          </cell>
          <cell r="C1654" t="str">
            <v>CA2Rsla</v>
          </cell>
        </row>
        <row r="1655">
          <cell r="B1655">
            <v>11287</v>
          </cell>
          <cell r="C1655" t="str">
            <v>CA2Rsr</v>
          </cell>
        </row>
        <row r="1656">
          <cell r="B1656">
            <v>11288</v>
          </cell>
          <cell r="C1656" t="str">
            <v>CA2Rsp</v>
          </cell>
        </row>
        <row r="1657">
          <cell r="B1657">
            <v>11289</v>
          </cell>
          <cell r="C1657" t="str">
            <v>CA2Rso</v>
          </cell>
        </row>
        <row r="1658">
          <cell r="B1658">
            <v>11290</v>
          </cell>
          <cell r="C1658" t="str">
            <v>CA2C</v>
          </cell>
        </row>
        <row r="1659">
          <cell r="B1659">
            <v>11291</v>
          </cell>
          <cell r="C1659" t="str">
            <v>CA2Cslm</v>
          </cell>
        </row>
        <row r="1660">
          <cell r="B1660">
            <v>266441347</v>
          </cell>
          <cell r="C1660" t="str">
            <v>CA2Csmo</v>
          </cell>
        </row>
        <row r="1661">
          <cell r="B1661">
            <v>266441351</v>
          </cell>
          <cell r="C1661" t="str">
            <v>CA2Csla</v>
          </cell>
        </row>
        <row r="1662">
          <cell r="B1662">
            <v>11292</v>
          </cell>
          <cell r="C1662" t="str">
            <v>CA2Csr</v>
          </cell>
        </row>
        <row r="1663">
          <cell r="B1663">
            <v>11293</v>
          </cell>
          <cell r="C1663" t="str">
            <v>CA2Csp</v>
          </cell>
        </row>
        <row r="1664">
          <cell r="B1664">
            <v>11294</v>
          </cell>
          <cell r="C1664" t="str">
            <v>CA2Cso</v>
          </cell>
        </row>
        <row r="1665">
          <cell r="B1665">
            <v>10299</v>
          </cell>
          <cell r="C1665" t="str">
            <v>CA3</v>
          </cell>
        </row>
        <row r="1666">
          <cell r="B1666">
            <v>266441355</v>
          </cell>
          <cell r="C1666" t="str">
            <v>CA3U</v>
          </cell>
        </row>
        <row r="1667">
          <cell r="B1667">
            <v>266441359</v>
          </cell>
          <cell r="C1667" t="str">
            <v>CA3Uslm</v>
          </cell>
        </row>
        <row r="1668">
          <cell r="B1668">
            <v>266441363</v>
          </cell>
          <cell r="C1668" t="str">
            <v>CA3Usmo</v>
          </cell>
        </row>
        <row r="1669">
          <cell r="B1669">
            <v>266441367</v>
          </cell>
          <cell r="C1669" t="str">
            <v>CA3Usla</v>
          </cell>
        </row>
        <row r="1670">
          <cell r="B1670">
            <v>266441371</v>
          </cell>
          <cell r="C1670" t="str">
            <v>CA3Usr</v>
          </cell>
        </row>
        <row r="1671">
          <cell r="B1671">
            <v>266441375</v>
          </cell>
          <cell r="C1671" t="str">
            <v>CA3Usl</v>
          </cell>
        </row>
        <row r="1672">
          <cell r="B1672">
            <v>266441379</v>
          </cell>
          <cell r="C1672" t="str">
            <v>CA3Usp</v>
          </cell>
        </row>
        <row r="1673">
          <cell r="B1673">
            <v>266441383</v>
          </cell>
          <cell r="C1673" t="str">
            <v>CA3Uso</v>
          </cell>
        </row>
        <row r="1674">
          <cell r="B1674">
            <v>11295</v>
          </cell>
          <cell r="C1674" t="str">
            <v>CA3R</v>
          </cell>
        </row>
        <row r="1675">
          <cell r="B1675">
            <v>11296</v>
          </cell>
          <cell r="C1675" t="str">
            <v>CA3Rslm</v>
          </cell>
        </row>
        <row r="1676">
          <cell r="B1676">
            <v>266441387</v>
          </cell>
          <cell r="C1676" t="str">
            <v>CA3Rsmo</v>
          </cell>
        </row>
        <row r="1677">
          <cell r="B1677">
            <v>266441391</v>
          </cell>
          <cell r="C1677" t="str">
            <v>CA3Rsla</v>
          </cell>
        </row>
        <row r="1678">
          <cell r="B1678">
            <v>11297</v>
          </cell>
          <cell r="C1678" t="str">
            <v>CA3Rsr</v>
          </cell>
        </row>
        <row r="1679">
          <cell r="B1679">
            <v>11298</v>
          </cell>
          <cell r="C1679" t="str">
            <v>CA3Rsl</v>
          </cell>
        </row>
        <row r="1680">
          <cell r="B1680">
            <v>11299</v>
          </cell>
          <cell r="C1680" t="str">
            <v>CA3Rsp</v>
          </cell>
        </row>
        <row r="1681">
          <cell r="B1681">
            <v>11300</v>
          </cell>
          <cell r="C1681" t="str">
            <v>CA3Rso</v>
          </cell>
        </row>
        <row r="1682">
          <cell r="B1682">
            <v>11301</v>
          </cell>
          <cell r="C1682" t="str">
            <v>CA3C</v>
          </cell>
        </row>
        <row r="1683">
          <cell r="B1683">
            <v>11302</v>
          </cell>
          <cell r="C1683" t="str">
            <v>CA3Cslm</v>
          </cell>
        </row>
        <row r="1684">
          <cell r="B1684">
            <v>266441395</v>
          </cell>
          <cell r="C1684" t="str">
            <v>CA3Csmo</v>
          </cell>
        </row>
        <row r="1685">
          <cell r="B1685">
            <v>266441399</v>
          </cell>
          <cell r="C1685" t="str">
            <v>CA3Csla</v>
          </cell>
        </row>
        <row r="1686">
          <cell r="B1686">
            <v>11303</v>
          </cell>
          <cell r="C1686" t="str">
            <v>CA3Csr</v>
          </cell>
        </row>
        <row r="1687">
          <cell r="B1687">
            <v>11304</v>
          </cell>
          <cell r="C1687" t="str">
            <v>CA3Csl</v>
          </cell>
        </row>
        <row r="1688">
          <cell r="B1688">
            <v>11305</v>
          </cell>
          <cell r="C1688" t="str">
            <v>CA3Csp</v>
          </cell>
        </row>
        <row r="1689">
          <cell r="B1689">
            <v>11306</v>
          </cell>
          <cell r="C1689" t="str">
            <v>CA3Cso</v>
          </cell>
        </row>
        <row r="1690">
          <cell r="B1690">
            <v>10300</v>
          </cell>
          <cell r="C1690" t="str">
            <v>CA4</v>
          </cell>
        </row>
        <row r="1691">
          <cell r="B1691">
            <v>266441403</v>
          </cell>
          <cell r="C1691" t="str">
            <v>CA4Upy</v>
          </cell>
        </row>
        <row r="1692">
          <cell r="B1692">
            <v>11307</v>
          </cell>
          <cell r="C1692" t="str">
            <v>CA4Rpy</v>
          </cell>
        </row>
        <row r="1693">
          <cell r="B1693">
            <v>11308</v>
          </cell>
          <cell r="C1693" t="str">
            <v>CA4Cpy</v>
          </cell>
        </row>
        <row r="1694">
          <cell r="B1694">
            <v>10301</v>
          </cell>
          <cell r="C1694" t="str">
            <v>Sub</v>
          </cell>
        </row>
        <row r="1695">
          <cell r="B1695">
            <v>10302</v>
          </cell>
          <cell r="C1695" t="str">
            <v>S</v>
          </cell>
        </row>
        <row r="1696">
          <cell r="B1696">
            <v>266441407</v>
          </cell>
          <cell r="C1696" t="str">
            <v>S-U</v>
          </cell>
        </row>
        <row r="1697">
          <cell r="B1697">
            <v>266441411</v>
          </cell>
          <cell r="C1697" t="str">
            <v>SUmo</v>
          </cell>
        </row>
        <row r="1698">
          <cell r="B1698">
            <v>266441415</v>
          </cell>
          <cell r="C1698" t="str">
            <v>SUpy</v>
          </cell>
        </row>
        <row r="1699">
          <cell r="B1699">
            <v>266441419</v>
          </cell>
          <cell r="C1699" t="str">
            <v>SUpm</v>
          </cell>
        </row>
        <row r="1700">
          <cell r="B1700">
            <v>11309</v>
          </cell>
          <cell r="C1700" t="str">
            <v>S-R</v>
          </cell>
        </row>
        <row r="1701">
          <cell r="B1701">
            <v>11310</v>
          </cell>
          <cell r="C1701" t="str">
            <v>SRmo</v>
          </cell>
        </row>
        <row r="1702">
          <cell r="B1702">
            <v>11311</v>
          </cell>
          <cell r="C1702" t="str">
            <v>SRpy</v>
          </cell>
        </row>
        <row r="1703">
          <cell r="B1703">
            <v>11312</v>
          </cell>
          <cell r="C1703" t="str">
            <v>SRpf</v>
          </cell>
        </row>
        <row r="1704">
          <cell r="B1704">
            <v>11313</v>
          </cell>
          <cell r="C1704" t="str">
            <v>S-C</v>
          </cell>
        </row>
        <row r="1705">
          <cell r="B1705">
            <v>11314</v>
          </cell>
          <cell r="C1705" t="str">
            <v>SCmo</v>
          </cell>
        </row>
        <row r="1706">
          <cell r="B1706">
            <v>11315</v>
          </cell>
          <cell r="C1706" t="str">
            <v>SCpy</v>
          </cell>
        </row>
        <row r="1707">
          <cell r="B1707">
            <v>11316</v>
          </cell>
          <cell r="C1707" t="str">
            <v>SCpf</v>
          </cell>
        </row>
        <row r="1708">
          <cell r="B1708">
            <v>10303</v>
          </cell>
          <cell r="C1708" t="str">
            <v>ProS</v>
          </cell>
        </row>
        <row r="1709">
          <cell r="B1709">
            <v>266441423</v>
          </cell>
          <cell r="C1709" t="str">
            <v>ProU</v>
          </cell>
        </row>
        <row r="1710">
          <cell r="B1710">
            <v>266441427</v>
          </cell>
          <cell r="C1710" t="str">
            <v>ProUmo</v>
          </cell>
        </row>
        <row r="1711">
          <cell r="B1711">
            <v>266441431</v>
          </cell>
          <cell r="C1711" t="str">
            <v>ProUsp</v>
          </cell>
        </row>
        <row r="1712">
          <cell r="B1712">
            <v>266441435</v>
          </cell>
          <cell r="C1712" t="str">
            <v>ProUso</v>
          </cell>
        </row>
        <row r="1713">
          <cell r="B1713">
            <v>11317</v>
          </cell>
          <cell r="C1713" t="str">
            <v>ProR</v>
          </cell>
        </row>
        <row r="1714">
          <cell r="B1714">
            <v>11318</v>
          </cell>
          <cell r="C1714" t="str">
            <v>ProRmo</v>
          </cell>
        </row>
        <row r="1715">
          <cell r="B1715">
            <v>11319</v>
          </cell>
          <cell r="C1715" t="str">
            <v>ProRsp</v>
          </cell>
        </row>
        <row r="1716">
          <cell r="B1716">
            <v>11320</v>
          </cell>
          <cell r="C1716" t="str">
            <v>ProRso</v>
          </cell>
        </row>
        <row r="1717">
          <cell r="B1717">
            <v>11321</v>
          </cell>
          <cell r="C1717" t="str">
            <v>ProC</v>
          </cell>
        </row>
        <row r="1718">
          <cell r="B1718">
            <v>11322</v>
          </cell>
          <cell r="C1718" t="str">
            <v>ProCmo</v>
          </cell>
        </row>
        <row r="1719">
          <cell r="B1719">
            <v>11323</v>
          </cell>
          <cell r="C1719" t="str">
            <v>ProCsp</v>
          </cell>
        </row>
        <row r="1720">
          <cell r="B1720">
            <v>11324</v>
          </cell>
          <cell r="C1720" t="str">
            <v>ProCso</v>
          </cell>
        </row>
        <row r="1721">
          <cell r="B1721">
            <v>11325</v>
          </cell>
          <cell r="C1721" t="str">
            <v>SuS</v>
          </cell>
        </row>
        <row r="1722">
          <cell r="B1722">
            <v>13326</v>
          </cell>
          <cell r="C1722" t="str">
            <v>SuSm</v>
          </cell>
        </row>
        <row r="1723">
          <cell r="B1723">
            <v>13327</v>
          </cell>
          <cell r="C1723" t="str">
            <v>SuSp</v>
          </cell>
        </row>
        <row r="1724">
          <cell r="B1724">
            <v>15529</v>
          </cell>
          <cell r="C1724" t="str">
            <v>SuSd</v>
          </cell>
        </row>
        <row r="1725">
          <cell r="B1725">
            <v>10304</v>
          </cell>
          <cell r="C1725" t="str">
            <v>IG</v>
          </cell>
        </row>
        <row r="1726">
          <cell r="B1726">
            <v>13328</v>
          </cell>
          <cell r="C1726" t="str">
            <v>IGm</v>
          </cell>
        </row>
        <row r="1727">
          <cell r="B1727">
            <v>13329</v>
          </cell>
          <cell r="C1727" t="str">
            <v>IGp</v>
          </cell>
        </row>
        <row r="1728">
          <cell r="B1728">
            <v>15530</v>
          </cell>
          <cell r="C1728" t="str">
            <v>IGd</v>
          </cell>
        </row>
        <row r="1729">
          <cell r="B1729">
            <v>10305</v>
          </cell>
          <cell r="C1729" t="str">
            <v>TT</v>
          </cell>
        </row>
        <row r="1730">
          <cell r="B1730">
            <v>15531</v>
          </cell>
          <cell r="C1730" t="str">
            <v>TTm</v>
          </cell>
        </row>
        <row r="1731">
          <cell r="B1731">
            <v>15532</v>
          </cell>
          <cell r="C1731" t="str">
            <v>TTp</v>
          </cell>
        </row>
        <row r="1732">
          <cell r="B1732">
            <v>15533</v>
          </cell>
          <cell r="C1732" t="str">
            <v>TTd</v>
          </cell>
        </row>
        <row r="1733">
          <cell r="B1733">
            <v>10306</v>
          </cell>
          <cell r="C1733" t="str">
            <v>PalCx</v>
          </cell>
        </row>
        <row r="1734">
          <cell r="B1734">
            <v>10307</v>
          </cell>
          <cell r="C1734" t="str">
            <v>OB</v>
          </cell>
        </row>
        <row r="1735">
          <cell r="B1735">
            <v>11326</v>
          </cell>
          <cell r="C1735" t="str">
            <v>OBonl</v>
          </cell>
        </row>
        <row r="1736">
          <cell r="B1736">
            <v>11327</v>
          </cell>
          <cell r="C1736" t="str">
            <v>OBglo</v>
          </cell>
        </row>
        <row r="1737">
          <cell r="B1737">
            <v>11328</v>
          </cell>
          <cell r="C1737" t="str">
            <v>OBopl</v>
          </cell>
        </row>
        <row r="1738">
          <cell r="B1738">
            <v>11329</v>
          </cell>
          <cell r="C1738" t="str">
            <v>OBmcl</v>
          </cell>
        </row>
        <row r="1739">
          <cell r="B1739">
            <v>11330</v>
          </cell>
          <cell r="C1739" t="str">
            <v>OBipl</v>
          </cell>
        </row>
        <row r="1740">
          <cell r="B1740">
            <v>11331</v>
          </cell>
          <cell r="C1740" t="str">
            <v>OBgcl</v>
          </cell>
        </row>
        <row r="1741">
          <cell r="B1741">
            <v>10308</v>
          </cell>
          <cell r="C1741" t="str">
            <v>AON</v>
          </cell>
        </row>
        <row r="1742">
          <cell r="B1742">
            <v>10309</v>
          </cell>
          <cell r="C1742" t="str">
            <v>NLOT</v>
          </cell>
        </row>
        <row r="1743">
          <cell r="B1743">
            <v>10310</v>
          </cell>
          <cell r="C1743" t="str">
            <v>OT</v>
          </cell>
        </row>
        <row r="1744">
          <cell r="B1744">
            <v>11332</v>
          </cell>
          <cell r="C1744" t="str">
            <v>OT1</v>
          </cell>
        </row>
        <row r="1745">
          <cell r="B1745">
            <v>11333</v>
          </cell>
          <cell r="C1745" t="str">
            <v>OT2</v>
          </cell>
        </row>
        <row r="1746">
          <cell r="B1746">
            <v>11334</v>
          </cell>
          <cell r="C1746" t="str">
            <v>OT3</v>
          </cell>
        </row>
        <row r="1747">
          <cell r="B1747">
            <v>146034694</v>
          </cell>
          <cell r="C1747" t="str">
            <v>LOA</v>
          </cell>
        </row>
        <row r="1748">
          <cell r="B1748">
            <v>146034698</v>
          </cell>
          <cell r="C1748" t="str">
            <v>LOA1</v>
          </cell>
        </row>
        <row r="1749">
          <cell r="B1749">
            <v>146034702</v>
          </cell>
          <cell r="C1749" t="str">
            <v>LOA2</v>
          </cell>
        </row>
        <row r="1750">
          <cell r="B1750">
            <v>146034706</v>
          </cell>
          <cell r="C1750" t="str">
            <v>LOA3</v>
          </cell>
        </row>
        <row r="1751">
          <cell r="B1751">
            <v>266441439</v>
          </cell>
          <cell r="C1751" t="str">
            <v>LOAlc</v>
          </cell>
        </row>
        <row r="1752">
          <cell r="B1752">
            <v>266441443</v>
          </cell>
          <cell r="C1752" t="str">
            <v>LOAdc</v>
          </cell>
        </row>
        <row r="1753">
          <cell r="B1753">
            <v>10311</v>
          </cell>
          <cell r="C1753" t="str">
            <v>Pir</v>
          </cell>
        </row>
        <row r="1754">
          <cell r="B1754">
            <v>11335</v>
          </cell>
          <cell r="C1754" t="str">
            <v>Pir1</v>
          </cell>
        </row>
        <row r="1755">
          <cell r="B1755">
            <v>11336</v>
          </cell>
          <cell r="C1755" t="str">
            <v>Pir2</v>
          </cell>
        </row>
        <row r="1756">
          <cell r="B1756">
            <v>11337</v>
          </cell>
          <cell r="C1756" t="str">
            <v>Pir3</v>
          </cell>
        </row>
        <row r="1757">
          <cell r="B1757">
            <v>10312</v>
          </cell>
          <cell r="C1757" t="str">
            <v>PEA</v>
          </cell>
        </row>
        <row r="1758">
          <cell r="B1758">
            <v>11338</v>
          </cell>
          <cell r="C1758" t="str">
            <v>PEA1</v>
          </cell>
        </row>
        <row r="1759">
          <cell r="B1759">
            <v>11339</v>
          </cell>
          <cell r="C1759" t="str">
            <v>PEA2</v>
          </cell>
        </row>
        <row r="1760">
          <cell r="B1760">
            <v>11340</v>
          </cell>
          <cell r="C1760" t="str">
            <v>PEA3</v>
          </cell>
        </row>
        <row r="1761">
          <cell r="B1761">
            <v>10331</v>
          </cell>
          <cell r="C1761" t="str">
            <v>CN</v>
          </cell>
        </row>
        <row r="1762">
          <cell r="B1762">
            <v>10361</v>
          </cell>
          <cell r="C1762" t="str">
            <v>AMY</v>
          </cell>
        </row>
        <row r="1763">
          <cell r="B1763">
            <v>10362</v>
          </cell>
          <cell r="C1763" t="str">
            <v>AAA</v>
          </cell>
        </row>
        <row r="1764">
          <cell r="B1764">
            <v>146034710</v>
          </cell>
          <cell r="C1764" t="str">
            <v>AAAd</v>
          </cell>
        </row>
        <row r="1765">
          <cell r="B1765">
            <v>146034714</v>
          </cell>
          <cell r="C1765" t="str">
            <v>AAAv</v>
          </cell>
        </row>
        <row r="1766">
          <cell r="B1766">
            <v>10363</v>
          </cell>
          <cell r="C1766" t="str">
            <v>CEN</v>
          </cell>
        </row>
        <row r="1767">
          <cell r="B1767">
            <v>10364</v>
          </cell>
          <cell r="C1767" t="str">
            <v>CEm</v>
          </cell>
        </row>
        <row r="1768">
          <cell r="B1768">
            <v>11501</v>
          </cell>
          <cell r="C1768" t="str">
            <v>CEmd</v>
          </cell>
        </row>
        <row r="1769">
          <cell r="B1769">
            <v>11502</v>
          </cell>
          <cell r="C1769" t="str">
            <v>CEmv</v>
          </cell>
        </row>
        <row r="1770">
          <cell r="B1770">
            <v>10365</v>
          </cell>
          <cell r="C1770" t="str">
            <v>CEl</v>
          </cell>
        </row>
        <row r="1771">
          <cell r="B1771">
            <v>11503</v>
          </cell>
          <cell r="C1771" t="str">
            <v>CElap</v>
          </cell>
        </row>
        <row r="1772">
          <cell r="B1772">
            <v>11504</v>
          </cell>
          <cell r="C1772" t="str">
            <v>CElca</v>
          </cell>
        </row>
        <row r="1773">
          <cell r="B1773">
            <v>11505</v>
          </cell>
          <cell r="C1773" t="str">
            <v>CElpc</v>
          </cell>
        </row>
        <row r="1774">
          <cell r="B1774">
            <v>11506</v>
          </cell>
          <cell r="C1774" t="str">
            <v>CElcn</v>
          </cell>
        </row>
        <row r="1775">
          <cell r="B1775">
            <v>10372</v>
          </cell>
          <cell r="C1775" t="str">
            <v>CMN</v>
          </cell>
        </row>
        <row r="1776">
          <cell r="B1776">
            <v>10373</v>
          </cell>
          <cell r="C1776" t="str">
            <v>Co</v>
          </cell>
        </row>
        <row r="1777">
          <cell r="B1777">
            <v>10374</v>
          </cell>
          <cell r="C1777" t="str">
            <v>CoA</v>
          </cell>
        </row>
        <row r="1778">
          <cell r="B1778">
            <v>11528</v>
          </cell>
          <cell r="C1778" t="str">
            <v>CoAd</v>
          </cell>
        </row>
        <row r="1779">
          <cell r="B1779">
            <v>11529</v>
          </cell>
          <cell r="C1779" t="str">
            <v>CoAv</v>
          </cell>
        </row>
        <row r="1780">
          <cell r="B1780">
            <v>13025</v>
          </cell>
          <cell r="C1780" t="str">
            <v>CoA-m</v>
          </cell>
        </row>
        <row r="1781">
          <cell r="B1781">
            <v>10375</v>
          </cell>
          <cell r="C1781" t="str">
            <v>CoP</v>
          </cell>
        </row>
        <row r="1782">
          <cell r="B1782">
            <v>146034718</v>
          </cell>
          <cell r="C1782" t="str">
            <v>CoPd</v>
          </cell>
        </row>
        <row r="1783">
          <cell r="B1783">
            <v>146034722</v>
          </cell>
          <cell r="C1783" t="str">
            <v>CoPv</v>
          </cell>
        </row>
        <row r="1784">
          <cell r="B1784">
            <v>13026</v>
          </cell>
          <cell r="C1784" t="str">
            <v>CoP-m</v>
          </cell>
        </row>
        <row r="1785">
          <cell r="B1785">
            <v>10376</v>
          </cell>
          <cell r="C1785" t="str">
            <v>Me</v>
          </cell>
        </row>
        <row r="1786">
          <cell r="B1786">
            <v>11530</v>
          </cell>
          <cell r="C1786" t="str">
            <v>MeR</v>
          </cell>
        </row>
        <row r="1787">
          <cell r="B1787">
            <v>11531</v>
          </cell>
          <cell r="C1787" t="str">
            <v>MeC</v>
          </cell>
        </row>
        <row r="1788">
          <cell r="B1788">
            <v>11532</v>
          </cell>
          <cell r="C1788" t="str">
            <v>MeCd</v>
          </cell>
        </row>
        <row r="1789">
          <cell r="B1789">
            <v>11533</v>
          </cell>
          <cell r="C1789" t="str">
            <v>MeCv</v>
          </cell>
        </row>
        <row r="1790">
          <cell r="B1790">
            <v>13027</v>
          </cell>
          <cell r="C1790" t="str">
            <v>Me-m</v>
          </cell>
        </row>
        <row r="1791">
          <cell r="B1791">
            <v>10377</v>
          </cell>
          <cell r="C1791" t="str">
            <v>AHA</v>
          </cell>
        </row>
        <row r="1792">
          <cell r="B1792">
            <v>146034726</v>
          </cell>
          <cell r="C1792" t="str">
            <v>AHAmc</v>
          </cell>
        </row>
        <row r="1793">
          <cell r="B1793">
            <v>146034730</v>
          </cell>
          <cell r="C1793" t="str">
            <v>AHApc</v>
          </cell>
        </row>
        <row r="1794">
          <cell r="B1794">
            <v>13028</v>
          </cell>
          <cell r="C1794" t="str">
            <v>AHA-m</v>
          </cell>
        </row>
        <row r="1795">
          <cell r="B1795">
            <v>10366</v>
          </cell>
          <cell r="C1795" t="str">
            <v>BLN</v>
          </cell>
        </row>
        <row r="1796">
          <cell r="B1796">
            <v>10367</v>
          </cell>
          <cell r="C1796" t="str">
            <v>La</v>
          </cell>
        </row>
        <row r="1797">
          <cell r="B1797">
            <v>11507</v>
          </cell>
          <cell r="C1797" t="str">
            <v>LaD</v>
          </cell>
        </row>
        <row r="1798">
          <cell r="B1798">
            <v>11508</v>
          </cell>
          <cell r="C1798" t="str">
            <v>LaDr</v>
          </cell>
        </row>
        <row r="1799">
          <cell r="B1799">
            <v>11509</v>
          </cell>
          <cell r="C1799" t="str">
            <v>LaDl</v>
          </cell>
        </row>
        <row r="1800">
          <cell r="B1800">
            <v>11510</v>
          </cell>
          <cell r="C1800" t="str">
            <v>LaCom</v>
          </cell>
        </row>
        <row r="1801">
          <cell r="B1801">
            <v>11511</v>
          </cell>
          <cell r="C1801" t="str">
            <v>LaDm</v>
          </cell>
        </row>
        <row r="1802">
          <cell r="B1802">
            <v>11512</v>
          </cell>
          <cell r="C1802" t="str">
            <v>LaI</v>
          </cell>
        </row>
        <row r="1803">
          <cell r="B1803">
            <v>11513</v>
          </cell>
          <cell r="C1803" t="str">
            <v>LaV</v>
          </cell>
        </row>
        <row r="1804">
          <cell r="B1804">
            <v>11514</v>
          </cell>
          <cell r="C1804" t="str">
            <v>LaVl</v>
          </cell>
        </row>
        <row r="1805">
          <cell r="B1805">
            <v>11515</v>
          </cell>
          <cell r="C1805" t="str">
            <v>LaVm</v>
          </cell>
        </row>
        <row r="1806">
          <cell r="B1806">
            <v>146034734</v>
          </cell>
          <cell r="C1806" t="str">
            <v>LaVglo</v>
          </cell>
        </row>
        <row r="1807">
          <cell r="B1807">
            <v>10368</v>
          </cell>
          <cell r="C1807" t="str">
            <v>BL</v>
          </cell>
        </row>
        <row r="1808">
          <cell r="B1808">
            <v>11516</v>
          </cell>
          <cell r="C1808" t="str">
            <v>BLD</v>
          </cell>
        </row>
        <row r="1809">
          <cell r="B1809">
            <v>11517</v>
          </cell>
          <cell r="C1809" t="str">
            <v>BLDl</v>
          </cell>
        </row>
        <row r="1810">
          <cell r="B1810">
            <v>11518</v>
          </cell>
          <cell r="C1810" t="str">
            <v>BLI</v>
          </cell>
        </row>
        <row r="1811">
          <cell r="B1811">
            <v>11519</v>
          </cell>
          <cell r="C1811" t="str">
            <v>BLV</v>
          </cell>
        </row>
        <row r="1812">
          <cell r="B1812">
            <v>11520</v>
          </cell>
          <cell r="C1812" t="str">
            <v>BLVl</v>
          </cell>
        </row>
        <row r="1813">
          <cell r="B1813">
            <v>11521</v>
          </cell>
          <cell r="C1813" t="str">
            <v>BLVm</v>
          </cell>
        </row>
        <row r="1814">
          <cell r="B1814">
            <v>10369</v>
          </cell>
          <cell r="C1814" t="str">
            <v>BM</v>
          </cell>
        </row>
        <row r="1815">
          <cell r="B1815">
            <v>11522</v>
          </cell>
          <cell r="C1815" t="str">
            <v>BMD</v>
          </cell>
        </row>
        <row r="1816">
          <cell r="B1816">
            <v>11523</v>
          </cell>
          <cell r="C1816" t="str">
            <v>BMDl</v>
          </cell>
        </row>
        <row r="1817">
          <cell r="B1817">
            <v>11524</v>
          </cell>
          <cell r="C1817" t="str">
            <v>BMDm</v>
          </cell>
        </row>
        <row r="1818">
          <cell r="B1818">
            <v>11525</v>
          </cell>
          <cell r="C1818" t="str">
            <v>BMV</v>
          </cell>
        </row>
        <row r="1819">
          <cell r="B1819">
            <v>11526</v>
          </cell>
          <cell r="C1819" t="str">
            <v>BMVl</v>
          </cell>
        </row>
        <row r="1820">
          <cell r="B1820">
            <v>11527</v>
          </cell>
          <cell r="C1820" t="str">
            <v>BMVm</v>
          </cell>
        </row>
        <row r="1821">
          <cell r="B1821">
            <v>266441447</v>
          </cell>
          <cell r="C1821" t="str">
            <v>BMm</v>
          </cell>
        </row>
        <row r="1822">
          <cell r="B1822">
            <v>266441451</v>
          </cell>
          <cell r="C1822" t="str">
            <v>BV</v>
          </cell>
        </row>
        <row r="1823">
          <cell r="B1823">
            <v>10370</v>
          </cell>
          <cell r="C1823" t="str">
            <v>PL</v>
          </cell>
        </row>
        <row r="1824">
          <cell r="B1824">
            <v>146034738</v>
          </cell>
          <cell r="C1824" t="str">
            <v>PLglo</v>
          </cell>
        </row>
        <row r="1825">
          <cell r="B1825">
            <v>10371</v>
          </cell>
          <cell r="C1825" t="str">
            <v>En</v>
          </cell>
        </row>
        <row r="1826">
          <cell r="B1826">
            <v>10378</v>
          </cell>
          <cell r="C1826" t="str">
            <v>INA</v>
          </cell>
        </row>
        <row r="1827">
          <cell r="B1827">
            <v>266441457</v>
          </cell>
          <cell r="C1827" t="str">
            <v>IMG</v>
          </cell>
        </row>
        <row r="1828">
          <cell r="B1828">
            <v>10379</v>
          </cell>
          <cell r="C1828" t="str">
            <v>ATA</v>
          </cell>
        </row>
        <row r="1829">
          <cell r="B1829">
            <v>10380</v>
          </cell>
          <cell r="C1829" t="str">
            <v>AHTA</v>
          </cell>
        </row>
        <row r="1830">
          <cell r="B1830">
            <v>13035</v>
          </cell>
          <cell r="C1830" t="str">
            <v>AHTA-m</v>
          </cell>
        </row>
        <row r="1831">
          <cell r="B1831">
            <v>10381</v>
          </cell>
          <cell r="C1831" t="str">
            <v>ASTA</v>
          </cell>
        </row>
        <row r="1832">
          <cell r="B1832">
            <v>10382</v>
          </cell>
          <cell r="C1832" t="str">
            <v>ACTA</v>
          </cell>
        </row>
        <row r="1833">
          <cell r="B1833">
            <v>13036</v>
          </cell>
          <cell r="C1833" t="str">
            <v>ACTA-m</v>
          </cell>
        </row>
        <row r="1834">
          <cell r="B1834">
            <v>13330</v>
          </cell>
          <cell r="C1834" t="str">
            <v>SA</v>
          </cell>
        </row>
        <row r="1835">
          <cell r="B1835">
            <v>10383</v>
          </cell>
          <cell r="C1835" t="str">
            <v>EXA</v>
          </cell>
        </row>
        <row r="1836">
          <cell r="B1836">
            <v>10384</v>
          </cell>
          <cell r="C1836" t="str">
            <v>BNST</v>
          </cell>
        </row>
        <row r="1837">
          <cell r="B1837">
            <v>10385</v>
          </cell>
          <cell r="C1837" t="str">
            <v>BNSTm</v>
          </cell>
        </row>
        <row r="1838">
          <cell r="B1838">
            <v>11555</v>
          </cell>
          <cell r="C1838" t="str">
            <v>BSTmr</v>
          </cell>
        </row>
        <row r="1839">
          <cell r="B1839">
            <v>11556</v>
          </cell>
          <cell r="C1839" t="str">
            <v>BSTmc</v>
          </cell>
        </row>
        <row r="1840">
          <cell r="B1840">
            <v>11557</v>
          </cell>
          <cell r="C1840" t="str">
            <v>BSTmcl</v>
          </cell>
        </row>
        <row r="1841">
          <cell r="B1841">
            <v>11559</v>
          </cell>
          <cell r="C1841" t="str">
            <v>BSTmm</v>
          </cell>
        </row>
        <row r="1842">
          <cell r="B1842">
            <v>266441461</v>
          </cell>
          <cell r="C1842" t="str">
            <v>BSTmv</v>
          </cell>
        </row>
        <row r="1843">
          <cell r="B1843">
            <v>10386</v>
          </cell>
          <cell r="C1843" t="str">
            <v>BNSTl</v>
          </cell>
        </row>
        <row r="1844">
          <cell r="B1844">
            <v>11561</v>
          </cell>
          <cell r="C1844" t="str">
            <v>BSTlj</v>
          </cell>
        </row>
        <row r="1845">
          <cell r="B1845">
            <v>11562</v>
          </cell>
          <cell r="C1845" t="str">
            <v>BSTld</v>
          </cell>
        </row>
        <row r="1846">
          <cell r="B1846">
            <v>11563</v>
          </cell>
          <cell r="C1846" t="str">
            <v>BSTlv</v>
          </cell>
        </row>
        <row r="1847">
          <cell r="B1847">
            <v>266441465</v>
          </cell>
          <cell r="C1847" t="str">
            <v>BSTlcn</v>
          </cell>
        </row>
        <row r="1848">
          <cell r="B1848">
            <v>266441469</v>
          </cell>
          <cell r="C1848" t="str">
            <v>BSTlcn-s</v>
          </cell>
        </row>
        <row r="1849">
          <cell r="B1849">
            <v>11564</v>
          </cell>
          <cell r="C1849" t="str">
            <v>BSTlc</v>
          </cell>
        </row>
        <row r="1850">
          <cell r="B1850">
            <v>266441473</v>
          </cell>
          <cell r="C1850" t="str">
            <v>BSTlcm</v>
          </cell>
        </row>
        <row r="1851">
          <cell r="B1851">
            <v>266441477</v>
          </cell>
          <cell r="C1851" t="str">
            <v>BSTlcd</v>
          </cell>
        </row>
        <row r="1852">
          <cell r="B1852">
            <v>266441481</v>
          </cell>
          <cell r="C1852" t="str">
            <v>BSTlcv</v>
          </cell>
        </row>
        <row r="1853">
          <cell r="B1853">
            <v>11565</v>
          </cell>
          <cell r="C1853" t="str">
            <v>BNSTsc</v>
          </cell>
        </row>
        <row r="1854">
          <cell r="B1854">
            <v>11566</v>
          </cell>
          <cell r="C1854" t="str">
            <v>BSTscl</v>
          </cell>
        </row>
        <row r="1855">
          <cell r="B1855">
            <v>11567</v>
          </cell>
          <cell r="C1855" t="str">
            <v>BSTscm</v>
          </cell>
        </row>
        <row r="1856">
          <cell r="B1856">
            <v>11568</v>
          </cell>
          <cell r="C1856" t="str">
            <v>BNSTin</v>
          </cell>
        </row>
        <row r="1857">
          <cell r="B1857">
            <v>10387</v>
          </cell>
          <cell r="C1857" t="str">
            <v>SLEA</v>
          </cell>
        </row>
        <row r="1858">
          <cell r="B1858">
            <v>11569</v>
          </cell>
          <cell r="C1858" t="str">
            <v>SLEAm</v>
          </cell>
        </row>
        <row r="1859">
          <cell r="B1859">
            <v>11570</v>
          </cell>
          <cell r="C1859" t="str">
            <v>SLEAc</v>
          </cell>
        </row>
        <row r="1860">
          <cell r="B1860">
            <v>10388</v>
          </cell>
          <cell r="C1860" t="str">
            <v>IPAC</v>
          </cell>
        </row>
        <row r="1861">
          <cell r="B1861">
            <v>10332</v>
          </cell>
          <cell r="C1861" t="str">
            <v>BN</v>
          </cell>
        </row>
        <row r="1862">
          <cell r="B1862">
            <v>10333</v>
          </cell>
          <cell r="C1862" t="str">
            <v>STR</v>
          </cell>
        </row>
        <row r="1863">
          <cell r="B1863">
            <v>10334</v>
          </cell>
          <cell r="C1863" t="str">
            <v>Ca</v>
          </cell>
        </row>
        <row r="1864">
          <cell r="B1864">
            <v>10335</v>
          </cell>
          <cell r="C1864" t="str">
            <v>CaH</v>
          </cell>
        </row>
        <row r="1865">
          <cell r="B1865">
            <v>11534</v>
          </cell>
          <cell r="C1865" t="str">
            <v>CaHrp</v>
          </cell>
        </row>
        <row r="1866">
          <cell r="B1866">
            <v>11535</v>
          </cell>
          <cell r="C1866" t="str">
            <v>CaHdl</v>
          </cell>
        </row>
        <row r="1867">
          <cell r="B1867">
            <v>11536</v>
          </cell>
          <cell r="C1867" t="str">
            <v>CaHvm</v>
          </cell>
        </row>
        <row r="1868">
          <cell r="B1868">
            <v>10336</v>
          </cell>
          <cell r="C1868" t="str">
            <v>CaB</v>
          </cell>
        </row>
        <row r="1869">
          <cell r="B1869">
            <v>10337</v>
          </cell>
          <cell r="C1869" t="str">
            <v>CaT</v>
          </cell>
        </row>
        <row r="1870">
          <cell r="B1870">
            <v>146034742</v>
          </cell>
          <cell r="C1870" t="str">
            <v>Eca</v>
          </cell>
        </row>
        <row r="1871">
          <cell r="B1871">
            <v>146034746</v>
          </cell>
          <cell r="C1871" t="str">
            <v>CaPu</v>
          </cell>
        </row>
        <row r="1872">
          <cell r="B1872">
            <v>10338</v>
          </cell>
          <cell r="C1872" t="str">
            <v>Pu</v>
          </cell>
        </row>
        <row r="1873">
          <cell r="B1873">
            <v>11537</v>
          </cell>
          <cell r="C1873" t="str">
            <v>PuR</v>
          </cell>
        </row>
        <row r="1874">
          <cell r="B1874">
            <v>146034750</v>
          </cell>
          <cell r="C1874" t="str">
            <v>PuRv</v>
          </cell>
        </row>
        <row r="1875">
          <cell r="B1875">
            <v>11538</v>
          </cell>
          <cell r="C1875" t="str">
            <v>PuC</v>
          </cell>
        </row>
        <row r="1876">
          <cell r="B1876">
            <v>11539</v>
          </cell>
          <cell r="C1876" t="str">
            <v>Pld</v>
          </cell>
        </row>
        <row r="1877">
          <cell r="B1877">
            <v>11540</v>
          </cell>
          <cell r="C1877" t="str">
            <v>Pint</v>
          </cell>
        </row>
        <row r="1878">
          <cell r="B1878">
            <v>11541</v>
          </cell>
          <cell r="C1878" t="str">
            <v>Pmv</v>
          </cell>
        </row>
        <row r="1879">
          <cell r="B1879">
            <v>146034754</v>
          </cell>
          <cell r="C1879" t="str">
            <v>PuPV</v>
          </cell>
        </row>
        <row r="1880">
          <cell r="B1880">
            <v>11542</v>
          </cell>
          <cell r="C1880" t="str">
            <v>PuMG</v>
          </cell>
        </row>
        <row r="1881">
          <cell r="B1881">
            <v>10339</v>
          </cell>
          <cell r="C1881" t="str">
            <v>NAC</v>
          </cell>
        </row>
        <row r="1882">
          <cell r="B1882">
            <v>10340</v>
          </cell>
          <cell r="C1882" t="str">
            <v>NACc</v>
          </cell>
        </row>
        <row r="1883">
          <cell r="B1883">
            <v>11543</v>
          </cell>
          <cell r="C1883" t="str">
            <v>NACcl</v>
          </cell>
        </row>
        <row r="1884">
          <cell r="B1884">
            <v>11544</v>
          </cell>
          <cell r="C1884" t="str">
            <v>NACcm</v>
          </cell>
        </row>
        <row r="1885">
          <cell r="B1885">
            <v>10341</v>
          </cell>
          <cell r="C1885" t="str">
            <v>NACs</v>
          </cell>
        </row>
        <row r="1886">
          <cell r="B1886">
            <v>11545</v>
          </cell>
          <cell r="C1886" t="str">
            <v>NACsl</v>
          </cell>
        </row>
        <row r="1887">
          <cell r="B1887">
            <v>11546</v>
          </cell>
          <cell r="C1887" t="str">
            <v>NACsi</v>
          </cell>
        </row>
        <row r="1888">
          <cell r="B1888">
            <v>11547</v>
          </cell>
          <cell r="C1888" t="str">
            <v>NACsm</v>
          </cell>
        </row>
        <row r="1889">
          <cell r="B1889">
            <v>10342</v>
          </cell>
          <cell r="C1889" t="str">
            <v>GP</v>
          </cell>
        </row>
        <row r="1890">
          <cell r="B1890">
            <v>10343</v>
          </cell>
          <cell r="C1890" t="str">
            <v>GPe</v>
          </cell>
        </row>
        <row r="1891">
          <cell r="B1891">
            <v>10344</v>
          </cell>
          <cell r="C1891" t="str">
            <v>GPi</v>
          </cell>
        </row>
        <row r="1892">
          <cell r="B1892">
            <v>11548</v>
          </cell>
          <cell r="C1892" t="str">
            <v>GPic</v>
          </cell>
        </row>
        <row r="1893">
          <cell r="B1893">
            <v>11549</v>
          </cell>
          <cell r="C1893" t="str">
            <v>GPip</v>
          </cell>
        </row>
        <row r="1894">
          <cell r="B1894">
            <v>146034758</v>
          </cell>
          <cell r="C1894" t="str">
            <v>EnPN</v>
          </cell>
        </row>
        <row r="1895">
          <cell r="B1895">
            <v>10345</v>
          </cell>
          <cell r="C1895" t="str">
            <v>VeP</v>
          </cell>
        </row>
        <row r="1896">
          <cell r="B1896">
            <v>10346</v>
          </cell>
          <cell r="C1896" t="str">
            <v>Cla</v>
          </cell>
        </row>
        <row r="1897">
          <cell r="B1897">
            <v>10347</v>
          </cell>
          <cell r="C1897" t="str">
            <v>CLd</v>
          </cell>
        </row>
        <row r="1898">
          <cell r="B1898">
            <v>10348</v>
          </cell>
          <cell r="C1898" t="str">
            <v>CLv</v>
          </cell>
        </row>
        <row r="1899">
          <cell r="B1899">
            <v>146034762</v>
          </cell>
          <cell r="C1899" t="str">
            <v>CLt</v>
          </cell>
        </row>
        <row r="1900">
          <cell r="B1900">
            <v>10349</v>
          </cell>
          <cell r="C1900" t="str">
            <v>BF</v>
          </cell>
        </row>
        <row r="1901">
          <cell r="B1901">
            <v>10350</v>
          </cell>
          <cell r="C1901" t="str">
            <v>SEP</v>
          </cell>
        </row>
        <row r="1902">
          <cell r="B1902">
            <v>10351</v>
          </cell>
          <cell r="C1902" t="str">
            <v>MSN</v>
          </cell>
        </row>
        <row r="1903">
          <cell r="B1903">
            <v>10352</v>
          </cell>
          <cell r="C1903" t="str">
            <v>LSN</v>
          </cell>
        </row>
        <row r="1904">
          <cell r="B1904">
            <v>11550</v>
          </cell>
          <cell r="C1904" t="str">
            <v>LSNd</v>
          </cell>
        </row>
        <row r="1905">
          <cell r="B1905">
            <v>11551</v>
          </cell>
          <cell r="C1905" t="str">
            <v>LSNi</v>
          </cell>
        </row>
        <row r="1906">
          <cell r="B1906">
            <v>11552</v>
          </cell>
          <cell r="C1906" t="str">
            <v>LSNv</v>
          </cell>
        </row>
        <row r="1907">
          <cell r="B1907">
            <v>266441485</v>
          </cell>
          <cell r="C1907" t="str">
            <v>CSN</v>
          </cell>
        </row>
        <row r="1908">
          <cell r="B1908">
            <v>13032</v>
          </cell>
          <cell r="C1908" t="str">
            <v>SFi</v>
          </cell>
        </row>
        <row r="1909">
          <cell r="B1909">
            <v>266441491</v>
          </cell>
          <cell r="C1909" t="str">
            <v>TSN</v>
          </cell>
        </row>
        <row r="1910">
          <cell r="B1910">
            <v>13029</v>
          </cell>
          <cell r="C1910" t="str">
            <v>SHi</v>
          </cell>
        </row>
        <row r="1911">
          <cell r="B1911">
            <v>13030</v>
          </cell>
          <cell r="C1911" t="str">
            <v>Ld</v>
          </cell>
        </row>
        <row r="1912">
          <cell r="B1912">
            <v>13031</v>
          </cell>
          <cell r="C1912" t="str">
            <v>PLd</v>
          </cell>
        </row>
        <row r="1913">
          <cell r="B1913">
            <v>13033</v>
          </cell>
          <cell r="C1913" t="str">
            <v>SHy</v>
          </cell>
        </row>
        <row r="1914">
          <cell r="B1914">
            <v>10353</v>
          </cell>
          <cell r="C1914" t="str">
            <v>BNM</v>
          </cell>
        </row>
        <row r="1915">
          <cell r="B1915">
            <v>11553</v>
          </cell>
          <cell r="C1915" t="str">
            <v>BNMl</v>
          </cell>
        </row>
        <row r="1916">
          <cell r="B1916">
            <v>11554</v>
          </cell>
          <cell r="C1916" t="str">
            <v>BNMm</v>
          </cell>
        </row>
        <row r="1917">
          <cell r="B1917">
            <v>10354</v>
          </cell>
          <cell r="C1917" t="str">
            <v>NDB</v>
          </cell>
        </row>
        <row r="1918">
          <cell r="B1918">
            <v>10355</v>
          </cell>
          <cell r="C1918" t="str">
            <v>NDBv</v>
          </cell>
        </row>
        <row r="1919">
          <cell r="B1919">
            <v>10356</v>
          </cell>
          <cell r="C1919" t="str">
            <v>NDBh</v>
          </cell>
        </row>
        <row r="1920">
          <cell r="B1920">
            <v>10357</v>
          </cell>
          <cell r="C1920" t="str">
            <v>NSP</v>
          </cell>
        </row>
        <row r="1921">
          <cell r="B1921">
            <v>10358</v>
          </cell>
          <cell r="C1921" t="str">
            <v>IsCj</v>
          </cell>
        </row>
        <row r="1922">
          <cell r="B1922">
            <v>10359</v>
          </cell>
          <cell r="C1922" t="str">
            <v>IsCjm</v>
          </cell>
        </row>
        <row r="1923">
          <cell r="B1923">
            <v>10360</v>
          </cell>
          <cell r="C1923" t="str">
            <v>IsCjs</v>
          </cell>
        </row>
        <row r="1924">
          <cell r="B1924">
            <v>13034</v>
          </cell>
          <cell r="C1924" t="str">
            <v>SI</v>
          </cell>
        </row>
        <row r="1925">
          <cell r="B1925">
            <v>266441495</v>
          </cell>
          <cell r="C1925" t="str">
            <v>SI-pc</v>
          </cell>
        </row>
        <row r="1926">
          <cell r="B1926">
            <v>266441499</v>
          </cell>
          <cell r="C1926" t="str">
            <v>SI-nc</v>
          </cell>
        </row>
        <row r="1927">
          <cell r="B1927">
            <v>10389</v>
          </cell>
          <cell r="C1927" t="str">
            <v>Die</v>
          </cell>
        </row>
        <row r="1928">
          <cell r="B1928">
            <v>10390</v>
          </cell>
          <cell r="C1928" t="str">
            <v>THM</v>
          </cell>
        </row>
        <row r="1929">
          <cell r="B1929">
            <v>10391</v>
          </cell>
          <cell r="C1929" t="str">
            <v>DTH</v>
          </cell>
        </row>
        <row r="1930">
          <cell r="B1930">
            <v>10392</v>
          </cell>
          <cell r="C1930" t="str">
            <v>ANC</v>
          </cell>
        </row>
        <row r="1931">
          <cell r="B1931">
            <v>10393</v>
          </cell>
          <cell r="C1931" t="str">
            <v>AD</v>
          </cell>
        </row>
        <row r="1932">
          <cell r="B1932">
            <v>10394</v>
          </cell>
          <cell r="C1932" t="str">
            <v>AM</v>
          </cell>
        </row>
        <row r="1933">
          <cell r="B1933">
            <v>10395</v>
          </cell>
          <cell r="C1933" t="str">
            <v>AV</v>
          </cell>
        </row>
        <row r="1934">
          <cell r="B1934">
            <v>10396</v>
          </cell>
          <cell r="C1934" t="str">
            <v>LD</v>
          </cell>
        </row>
        <row r="1935">
          <cell r="B1935">
            <v>10397</v>
          </cell>
          <cell r="C1935" t="str">
            <v>MNC</v>
          </cell>
        </row>
        <row r="1936">
          <cell r="B1936">
            <v>10398</v>
          </cell>
          <cell r="C1936" t="str">
            <v>MD</v>
          </cell>
        </row>
        <row r="1937">
          <cell r="B1937">
            <v>10399</v>
          </cell>
          <cell r="C1937" t="str">
            <v>MDd</v>
          </cell>
        </row>
        <row r="1938">
          <cell r="B1938">
            <v>10400</v>
          </cell>
          <cell r="C1938" t="str">
            <v>MDm</v>
          </cell>
        </row>
        <row r="1939">
          <cell r="B1939">
            <v>266441503</v>
          </cell>
          <cell r="C1939" t="str">
            <v>MDmc</v>
          </cell>
        </row>
        <row r="1940">
          <cell r="B1940">
            <v>266441507</v>
          </cell>
          <cell r="C1940" t="str">
            <v>MDam</v>
          </cell>
        </row>
        <row r="1941">
          <cell r="B1941">
            <v>10401</v>
          </cell>
          <cell r="C1941" t="str">
            <v>MDl</v>
          </cell>
        </row>
        <row r="1942">
          <cell r="B1942">
            <v>10402</v>
          </cell>
          <cell r="C1942" t="str">
            <v>MDc</v>
          </cell>
        </row>
        <row r="1943">
          <cell r="B1943">
            <v>10403</v>
          </cell>
          <cell r="C1943" t="str">
            <v>Re</v>
          </cell>
        </row>
        <row r="1944">
          <cell r="B1944">
            <v>10404</v>
          </cell>
          <cell r="C1944" t="str">
            <v>Pt</v>
          </cell>
        </row>
        <row r="1945">
          <cell r="B1945">
            <v>10406</v>
          </cell>
          <cell r="C1945" t="str">
            <v>LNC</v>
          </cell>
        </row>
        <row r="1946">
          <cell r="B1946">
            <v>10407</v>
          </cell>
          <cell r="C1946" t="str">
            <v>DLN</v>
          </cell>
        </row>
        <row r="1947">
          <cell r="B1947">
            <v>10408</v>
          </cell>
          <cell r="C1947" t="str">
            <v>LP</v>
          </cell>
        </row>
        <row r="1948">
          <cell r="B1948">
            <v>10409</v>
          </cell>
          <cell r="C1948" t="str">
            <v>Pul</v>
          </cell>
        </row>
        <row r="1949">
          <cell r="B1949">
            <v>10410</v>
          </cell>
          <cell r="C1949" t="str">
            <v>Pulr</v>
          </cell>
        </row>
        <row r="1950">
          <cell r="B1950">
            <v>10411</v>
          </cell>
          <cell r="C1950" t="str">
            <v>Pulm</v>
          </cell>
        </row>
        <row r="1951">
          <cell r="B1951">
            <v>10412</v>
          </cell>
          <cell r="C1951" t="str">
            <v>Pull</v>
          </cell>
        </row>
        <row r="1952">
          <cell r="B1952">
            <v>10413</v>
          </cell>
          <cell r="C1952" t="str">
            <v>Puli</v>
          </cell>
        </row>
        <row r="1953">
          <cell r="B1953">
            <v>10414</v>
          </cell>
          <cell r="C1953" t="str">
            <v>Pulil</v>
          </cell>
        </row>
        <row r="1954">
          <cell r="B1954">
            <v>10415</v>
          </cell>
          <cell r="C1954" t="str">
            <v>Pulim</v>
          </cell>
        </row>
        <row r="1955">
          <cell r="B1955">
            <v>10416</v>
          </cell>
          <cell r="C1955" t="str">
            <v>VLN</v>
          </cell>
        </row>
        <row r="1956">
          <cell r="B1956">
            <v>10417</v>
          </cell>
          <cell r="C1956" t="str">
            <v>VA</v>
          </cell>
        </row>
        <row r="1957">
          <cell r="B1957">
            <v>10418</v>
          </cell>
          <cell r="C1957" t="str">
            <v>VApr</v>
          </cell>
        </row>
        <row r="1958">
          <cell r="B1958">
            <v>10419</v>
          </cell>
          <cell r="C1958" t="str">
            <v>VAmc</v>
          </cell>
        </row>
        <row r="1959">
          <cell r="B1959">
            <v>10420</v>
          </cell>
          <cell r="C1959" t="str">
            <v>VL</v>
          </cell>
        </row>
        <row r="1960">
          <cell r="B1960">
            <v>10421</v>
          </cell>
          <cell r="C1960" t="str">
            <v>VLR</v>
          </cell>
        </row>
        <row r="1961">
          <cell r="B1961">
            <v>10422</v>
          </cell>
          <cell r="C1961" t="str">
            <v>VLC</v>
          </cell>
        </row>
        <row r="1962">
          <cell r="B1962">
            <v>13037</v>
          </cell>
          <cell r="C1962" t="str">
            <v>VLCd</v>
          </cell>
        </row>
        <row r="1963">
          <cell r="B1963">
            <v>13038</v>
          </cell>
          <cell r="C1963" t="str">
            <v>VLCv</v>
          </cell>
        </row>
        <row r="1964">
          <cell r="B1964">
            <v>13039</v>
          </cell>
          <cell r="C1964" t="str">
            <v>VLCx</v>
          </cell>
        </row>
        <row r="1965">
          <cell r="B1965">
            <v>10423</v>
          </cell>
          <cell r="C1965" t="str">
            <v>VPT</v>
          </cell>
        </row>
        <row r="1966">
          <cell r="B1966">
            <v>10424</v>
          </cell>
          <cell r="C1966" t="str">
            <v>VPL</v>
          </cell>
        </row>
        <row r="1967">
          <cell r="B1967">
            <v>266441511</v>
          </cell>
          <cell r="C1967" t="str">
            <v>VPLr</v>
          </cell>
        </row>
        <row r="1968">
          <cell r="B1968">
            <v>266441515</v>
          </cell>
          <cell r="C1968" t="str">
            <v>VPLc</v>
          </cell>
        </row>
        <row r="1969">
          <cell r="B1969">
            <v>10425</v>
          </cell>
          <cell r="C1969" t="str">
            <v>VPM</v>
          </cell>
        </row>
        <row r="1970">
          <cell r="B1970">
            <v>146034766</v>
          </cell>
          <cell r="C1970" t="str">
            <v>VPMpc</v>
          </cell>
        </row>
        <row r="1971">
          <cell r="B1971">
            <v>10426</v>
          </cell>
          <cell r="C1971" t="str">
            <v>VPI</v>
          </cell>
        </row>
        <row r="1972">
          <cell r="B1972">
            <v>13040</v>
          </cell>
          <cell r="C1972" t="str">
            <v>VMb</v>
          </cell>
        </row>
        <row r="1973">
          <cell r="B1973">
            <v>10427</v>
          </cell>
          <cell r="C1973" t="str">
            <v>VM</v>
          </cell>
        </row>
        <row r="1974">
          <cell r="B1974">
            <v>10428</v>
          </cell>
          <cell r="C1974" t="str">
            <v>PoN</v>
          </cell>
        </row>
        <row r="1975">
          <cell r="B1975">
            <v>10429</v>
          </cell>
          <cell r="C1975" t="str">
            <v>LG</v>
          </cell>
        </row>
        <row r="1976">
          <cell r="B1976">
            <v>10430</v>
          </cell>
          <cell r="C1976" t="str">
            <v>DLG</v>
          </cell>
        </row>
        <row r="1977">
          <cell r="B1977">
            <v>10431</v>
          </cell>
          <cell r="C1977" t="str">
            <v>DLGmc</v>
          </cell>
        </row>
        <row r="1978">
          <cell r="B1978">
            <v>11571</v>
          </cell>
          <cell r="C1978" t="str">
            <v>DLG1</v>
          </cell>
        </row>
        <row r="1979">
          <cell r="B1979">
            <v>11572</v>
          </cell>
          <cell r="C1979" t="str">
            <v>DLG2</v>
          </cell>
        </row>
        <row r="1980">
          <cell r="B1980">
            <v>10432</v>
          </cell>
          <cell r="C1980" t="str">
            <v>DLGpc</v>
          </cell>
        </row>
        <row r="1981">
          <cell r="B1981">
            <v>11573</v>
          </cell>
          <cell r="C1981" t="str">
            <v>DLG3</v>
          </cell>
        </row>
        <row r="1982">
          <cell r="B1982">
            <v>11574</v>
          </cell>
          <cell r="C1982" t="str">
            <v>DLG4</v>
          </cell>
        </row>
        <row r="1983">
          <cell r="B1983">
            <v>11575</v>
          </cell>
          <cell r="C1983" t="str">
            <v>DLG5</v>
          </cell>
        </row>
        <row r="1984">
          <cell r="B1984">
            <v>11576</v>
          </cell>
          <cell r="C1984" t="str">
            <v>DLG6</v>
          </cell>
        </row>
        <row r="1985">
          <cell r="B1985">
            <v>13041</v>
          </cell>
          <cell r="C1985" t="str">
            <v>DLGs</v>
          </cell>
        </row>
        <row r="1986">
          <cell r="B1986">
            <v>266441519</v>
          </cell>
          <cell r="C1986" t="str">
            <v>DLGk</v>
          </cell>
        </row>
        <row r="1987">
          <cell r="B1987">
            <v>13042</v>
          </cell>
          <cell r="C1987" t="str">
            <v>PG</v>
          </cell>
        </row>
        <row r="1988">
          <cell r="B1988">
            <v>10434</v>
          </cell>
          <cell r="C1988" t="str">
            <v>MG</v>
          </cell>
        </row>
        <row r="1989">
          <cell r="B1989">
            <v>10435</v>
          </cell>
          <cell r="C1989" t="str">
            <v>DMG</v>
          </cell>
        </row>
        <row r="1990">
          <cell r="B1990">
            <v>10436</v>
          </cell>
          <cell r="C1990" t="str">
            <v>DMGad</v>
          </cell>
        </row>
        <row r="1991">
          <cell r="B1991">
            <v>10437</v>
          </cell>
          <cell r="C1991" t="str">
            <v>DMGpd</v>
          </cell>
        </row>
        <row r="1992">
          <cell r="B1992">
            <v>10438</v>
          </cell>
          <cell r="C1992" t="str">
            <v>VMG</v>
          </cell>
        </row>
        <row r="1993">
          <cell r="B1993">
            <v>10439</v>
          </cell>
          <cell r="C1993" t="str">
            <v>MMG</v>
          </cell>
        </row>
        <row r="1994">
          <cell r="B1994">
            <v>266441523</v>
          </cell>
          <cell r="C1994" t="str">
            <v>LiMG</v>
          </cell>
        </row>
        <row r="1995">
          <cell r="B1995">
            <v>10440</v>
          </cell>
          <cell r="C1995" t="str">
            <v>Po</v>
          </cell>
        </row>
        <row r="1996">
          <cell r="B1996">
            <v>10441</v>
          </cell>
          <cell r="C1996" t="str">
            <v>LSG</v>
          </cell>
        </row>
        <row r="1997">
          <cell r="B1997">
            <v>13043</v>
          </cell>
          <cell r="C1997" t="str">
            <v>Lim</v>
          </cell>
        </row>
        <row r="1998">
          <cell r="B1998">
            <v>13044</v>
          </cell>
          <cell r="C1998" t="str">
            <v>SGN</v>
          </cell>
        </row>
        <row r="1999">
          <cell r="B1999">
            <v>10442</v>
          </cell>
          <cell r="C1999" t="str">
            <v>ILN</v>
          </cell>
        </row>
        <row r="2000">
          <cell r="B2000">
            <v>10443</v>
          </cell>
          <cell r="C2000" t="str">
            <v>AILN</v>
          </cell>
        </row>
        <row r="2001">
          <cell r="B2001">
            <v>10444</v>
          </cell>
          <cell r="C2001" t="str">
            <v>CL</v>
          </cell>
        </row>
        <row r="2002">
          <cell r="B2002">
            <v>266441527</v>
          </cell>
          <cell r="C2002" t="str">
            <v>CLm</v>
          </cell>
        </row>
        <row r="2003">
          <cell r="B2003">
            <v>266441531</v>
          </cell>
          <cell r="C2003" t="str">
            <v>CLl</v>
          </cell>
        </row>
        <row r="2004">
          <cell r="B2004">
            <v>266441535</v>
          </cell>
          <cell r="C2004" t="str">
            <v>CLs</v>
          </cell>
        </row>
        <row r="2005">
          <cell r="B2005">
            <v>266441539</v>
          </cell>
          <cell r="C2005" t="str">
            <v>CLc</v>
          </cell>
        </row>
        <row r="2006">
          <cell r="B2006">
            <v>10445</v>
          </cell>
          <cell r="C2006" t="str">
            <v>CeM</v>
          </cell>
        </row>
        <row r="2007">
          <cell r="B2007">
            <v>10446</v>
          </cell>
          <cell r="C2007" t="str">
            <v>PC</v>
          </cell>
        </row>
        <row r="2008">
          <cell r="B2008">
            <v>13331</v>
          </cell>
          <cell r="C2008" t="str">
            <v>CD</v>
          </cell>
        </row>
        <row r="2009">
          <cell r="B2009">
            <v>10448</v>
          </cell>
          <cell r="C2009" t="str">
            <v>PILN</v>
          </cell>
        </row>
        <row r="2010">
          <cell r="B2010">
            <v>10449</v>
          </cell>
          <cell r="C2010" t="str">
            <v>CM</v>
          </cell>
        </row>
        <row r="2011">
          <cell r="B2011">
            <v>13050</v>
          </cell>
          <cell r="C2011" t="str">
            <v>CMl</v>
          </cell>
        </row>
        <row r="2012">
          <cell r="B2012">
            <v>13051</v>
          </cell>
          <cell r="C2012" t="str">
            <v>CMm</v>
          </cell>
        </row>
        <row r="2013">
          <cell r="B2013">
            <v>10450</v>
          </cell>
          <cell r="C2013" t="str">
            <v>Pf</v>
          </cell>
        </row>
        <row r="2014">
          <cell r="B2014">
            <v>13052</v>
          </cell>
          <cell r="C2014" t="str">
            <v>Pfl</v>
          </cell>
        </row>
        <row r="2015">
          <cell r="B2015">
            <v>13053</v>
          </cell>
          <cell r="C2015" t="str">
            <v>Pfm</v>
          </cell>
        </row>
        <row r="2016">
          <cell r="B2016">
            <v>13054</v>
          </cell>
          <cell r="C2016" t="str">
            <v>SPf</v>
          </cell>
        </row>
        <row r="2017">
          <cell r="B2017">
            <v>15534</v>
          </cell>
          <cell r="C2017" t="str">
            <v>RPf</v>
          </cell>
        </row>
        <row r="2018">
          <cell r="B2018">
            <v>13047</v>
          </cell>
          <cell r="C2018" t="str">
            <v>Fa</v>
          </cell>
        </row>
        <row r="2019">
          <cell r="B2019">
            <v>13045</v>
          </cell>
          <cell r="C2019" t="str">
            <v>MiN</v>
          </cell>
        </row>
        <row r="2020">
          <cell r="B2020">
            <v>10447</v>
          </cell>
          <cell r="C2020" t="str">
            <v>Rh</v>
          </cell>
        </row>
        <row r="2021">
          <cell r="B2021">
            <v>13046</v>
          </cell>
          <cell r="C2021" t="str">
            <v>PeVA</v>
          </cell>
        </row>
        <row r="2022">
          <cell r="B2022">
            <v>13048</v>
          </cell>
          <cell r="C2022" t="str">
            <v>IAM</v>
          </cell>
        </row>
        <row r="2023">
          <cell r="B2023">
            <v>13049</v>
          </cell>
          <cell r="C2023" t="str">
            <v>IMD</v>
          </cell>
        </row>
        <row r="2024">
          <cell r="B2024">
            <v>10451</v>
          </cell>
          <cell r="C2024" t="str">
            <v>ETH</v>
          </cell>
        </row>
        <row r="2025">
          <cell r="B2025">
            <v>10452</v>
          </cell>
          <cell r="C2025" t="str">
            <v>HN</v>
          </cell>
        </row>
        <row r="2026">
          <cell r="B2026">
            <v>10453</v>
          </cell>
          <cell r="C2026" t="str">
            <v>LHN</v>
          </cell>
        </row>
        <row r="2027">
          <cell r="B2027">
            <v>10454</v>
          </cell>
          <cell r="C2027" t="str">
            <v>LHNmc</v>
          </cell>
        </row>
        <row r="2028">
          <cell r="B2028">
            <v>10455</v>
          </cell>
          <cell r="C2028" t="str">
            <v>LHNpc</v>
          </cell>
        </row>
        <row r="2029">
          <cell r="B2029">
            <v>10456</v>
          </cell>
          <cell r="C2029" t="str">
            <v>MHN</v>
          </cell>
        </row>
        <row r="2030">
          <cell r="B2030">
            <v>10457</v>
          </cell>
          <cell r="C2030" t="str">
            <v>PaV</v>
          </cell>
        </row>
        <row r="2031">
          <cell r="B2031">
            <v>10458</v>
          </cell>
          <cell r="C2031" t="str">
            <v>PaVr</v>
          </cell>
        </row>
        <row r="2032">
          <cell r="B2032">
            <v>10459</v>
          </cell>
          <cell r="C2032" t="str">
            <v>PaVc</v>
          </cell>
        </row>
        <row r="2033">
          <cell r="B2033">
            <v>10460</v>
          </cell>
          <cell r="C2033" t="str">
            <v>Pin</v>
          </cell>
        </row>
        <row r="2034">
          <cell r="B2034">
            <v>10461</v>
          </cell>
          <cell r="C2034" t="str">
            <v>VTH</v>
          </cell>
        </row>
        <row r="2035">
          <cell r="B2035">
            <v>10462</v>
          </cell>
          <cell r="C2035" t="str">
            <v>FF</v>
          </cell>
        </row>
        <row r="2036">
          <cell r="B2036">
            <v>10463</v>
          </cell>
          <cell r="C2036" t="str">
            <v>ZI</v>
          </cell>
        </row>
        <row r="2037">
          <cell r="B2037">
            <v>13055</v>
          </cell>
          <cell r="C2037" t="str">
            <v>ZId</v>
          </cell>
        </row>
        <row r="2038">
          <cell r="B2038">
            <v>13056</v>
          </cell>
          <cell r="C2038" t="str">
            <v>ZIv</v>
          </cell>
        </row>
        <row r="2039">
          <cell r="B2039">
            <v>13057</v>
          </cell>
          <cell r="C2039" t="str">
            <v>EnP</v>
          </cell>
        </row>
        <row r="2040">
          <cell r="B2040">
            <v>13058</v>
          </cell>
          <cell r="C2040" t="str">
            <v>PSTh</v>
          </cell>
        </row>
        <row r="2041">
          <cell r="B2041">
            <v>10464</v>
          </cell>
          <cell r="C2041" t="str">
            <v>R</v>
          </cell>
        </row>
        <row r="2042">
          <cell r="B2042">
            <v>13059</v>
          </cell>
          <cell r="C2042" t="str">
            <v>Rmc</v>
          </cell>
        </row>
        <row r="2043">
          <cell r="B2043">
            <v>13060</v>
          </cell>
          <cell r="C2043" t="str">
            <v>Rpc</v>
          </cell>
        </row>
        <row r="2044">
          <cell r="B2044">
            <v>10465</v>
          </cell>
          <cell r="C2044" t="str">
            <v>SubTH</v>
          </cell>
        </row>
        <row r="2045">
          <cell r="B2045">
            <v>10466</v>
          </cell>
          <cell r="C2045" t="str">
            <v>STH</v>
          </cell>
        </row>
        <row r="2046">
          <cell r="B2046">
            <v>13332</v>
          </cell>
          <cell r="C2046" t="str">
            <v>STHm</v>
          </cell>
        </row>
        <row r="2047">
          <cell r="B2047">
            <v>13333</v>
          </cell>
          <cell r="C2047" t="str">
            <v>STHld</v>
          </cell>
        </row>
        <row r="2048">
          <cell r="B2048">
            <v>13334</v>
          </cell>
          <cell r="C2048" t="str">
            <v>STHlv</v>
          </cell>
        </row>
        <row r="2049">
          <cell r="B2049">
            <v>10467</v>
          </cell>
          <cell r="C2049" t="str">
            <v>HTH</v>
          </cell>
        </row>
        <row r="2050">
          <cell r="B2050">
            <v>10468</v>
          </cell>
          <cell r="C2050" t="str">
            <v>HTHpo</v>
          </cell>
        </row>
        <row r="2051">
          <cell r="B2051">
            <v>10469</v>
          </cell>
          <cell r="C2051" t="str">
            <v>PeVpo</v>
          </cell>
        </row>
        <row r="2052">
          <cell r="B2052">
            <v>266441543</v>
          </cell>
          <cell r="C2052" t="str">
            <v>DPe</v>
          </cell>
        </row>
        <row r="2053">
          <cell r="B2053">
            <v>13061</v>
          </cell>
          <cell r="C2053" t="str">
            <v>AVPe</v>
          </cell>
        </row>
        <row r="2054">
          <cell r="B2054">
            <v>13062</v>
          </cell>
          <cell r="C2054" t="str">
            <v>AMPO</v>
          </cell>
        </row>
        <row r="2055">
          <cell r="B2055">
            <v>266441547</v>
          </cell>
          <cell r="C2055" t="str">
            <v>MPA</v>
          </cell>
        </row>
        <row r="2056">
          <cell r="B2056">
            <v>10470</v>
          </cell>
          <cell r="C2056" t="str">
            <v>MPN</v>
          </cell>
        </row>
        <row r="2057">
          <cell r="B2057">
            <v>10471</v>
          </cell>
          <cell r="C2057" t="str">
            <v>LPA</v>
          </cell>
        </row>
        <row r="2058">
          <cell r="B2058">
            <v>10472</v>
          </cell>
          <cell r="C2058" t="str">
            <v>IMH</v>
          </cell>
        </row>
        <row r="2059">
          <cell r="B2059">
            <v>13063</v>
          </cell>
          <cell r="C2059" t="str">
            <v>MnPO</v>
          </cell>
        </row>
        <row r="2060">
          <cell r="B2060">
            <v>10473</v>
          </cell>
          <cell r="C2060" t="str">
            <v>HTHso</v>
          </cell>
        </row>
        <row r="2061">
          <cell r="B2061">
            <v>10474</v>
          </cell>
          <cell r="C2061" t="str">
            <v>PeVso</v>
          </cell>
        </row>
        <row r="2062">
          <cell r="B2062">
            <v>10475</v>
          </cell>
          <cell r="C2062" t="str">
            <v>AHN</v>
          </cell>
        </row>
        <row r="2063">
          <cell r="B2063">
            <v>266441551</v>
          </cell>
          <cell r="C2063" t="str">
            <v>AnHA</v>
          </cell>
        </row>
        <row r="2064">
          <cell r="B2064">
            <v>10476</v>
          </cell>
          <cell r="C2064" t="str">
            <v>PV</v>
          </cell>
        </row>
        <row r="2065">
          <cell r="B2065">
            <v>10477</v>
          </cell>
          <cell r="C2065" t="str">
            <v>PVd</v>
          </cell>
        </row>
        <row r="2066">
          <cell r="B2066">
            <v>10478</v>
          </cell>
          <cell r="C2066" t="str">
            <v>PVmc</v>
          </cell>
        </row>
        <row r="2067">
          <cell r="B2067">
            <v>10479</v>
          </cell>
          <cell r="C2067" t="str">
            <v>PVpc</v>
          </cell>
        </row>
        <row r="2068">
          <cell r="B2068">
            <v>13064</v>
          </cell>
          <cell r="C2068" t="str">
            <v>PVpo</v>
          </cell>
        </row>
        <row r="2069">
          <cell r="B2069">
            <v>15535</v>
          </cell>
          <cell r="C2069" t="str">
            <v>UnN</v>
          </cell>
        </row>
        <row r="2070">
          <cell r="B2070">
            <v>10480</v>
          </cell>
          <cell r="C2070" t="str">
            <v>SCN</v>
          </cell>
        </row>
        <row r="2071">
          <cell r="B2071">
            <v>13065</v>
          </cell>
          <cell r="C2071" t="str">
            <v>SCNd</v>
          </cell>
        </row>
        <row r="2072">
          <cell r="B2072">
            <v>13066</v>
          </cell>
          <cell r="C2072" t="str">
            <v>SCNc</v>
          </cell>
        </row>
        <row r="2073">
          <cell r="B2073">
            <v>15536</v>
          </cell>
          <cell r="C2073" t="str">
            <v>RCN</v>
          </cell>
        </row>
        <row r="2074">
          <cell r="B2074">
            <v>10481</v>
          </cell>
          <cell r="C2074" t="str">
            <v>SO</v>
          </cell>
        </row>
        <row r="2075">
          <cell r="B2075">
            <v>13067</v>
          </cell>
          <cell r="C2075" t="str">
            <v>SOm</v>
          </cell>
        </row>
        <row r="2076">
          <cell r="B2076">
            <v>13068</v>
          </cell>
          <cell r="C2076" t="str">
            <v>SOl</v>
          </cell>
        </row>
        <row r="2077">
          <cell r="B2077">
            <v>10482</v>
          </cell>
          <cell r="C2077" t="str">
            <v>LHAa</v>
          </cell>
        </row>
        <row r="2078">
          <cell r="B2078">
            <v>13069</v>
          </cell>
          <cell r="C2078" t="str">
            <v>SuV</v>
          </cell>
        </row>
        <row r="2079">
          <cell r="B2079">
            <v>266441555</v>
          </cell>
          <cell r="C2079" t="str">
            <v>SPZ</v>
          </cell>
        </row>
        <row r="2080">
          <cell r="B2080">
            <v>10483</v>
          </cell>
          <cell r="C2080" t="str">
            <v>HTHtub</v>
          </cell>
        </row>
        <row r="2081">
          <cell r="B2081">
            <v>10484</v>
          </cell>
          <cell r="C2081" t="str">
            <v>PeVtub</v>
          </cell>
        </row>
        <row r="2082">
          <cell r="B2082">
            <v>266441559</v>
          </cell>
          <cell r="C2082" t="str">
            <v>JPLH</v>
          </cell>
        </row>
        <row r="2083">
          <cell r="B2083">
            <v>13335</v>
          </cell>
          <cell r="C2083" t="str">
            <v>DHA</v>
          </cell>
        </row>
        <row r="2084">
          <cell r="B2084">
            <v>10485</v>
          </cell>
          <cell r="C2084" t="str">
            <v>DMH</v>
          </cell>
        </row>
        <row r="2085">
          <cell r="B2085">
            <v>10486</v>
          </cell>
          <cell r="C2085" t="str">
            <v>DMHc</v>
          </cell>
        </row>
        <row r="2086">
          <cell r="B2086">
            <v>10487</v>
          </cell>
          <cell r="C2086" t="str">
            <v>DMHd</v>
          </cell>
        </row>
        <row r="2087">
          <cell r="B2087">
            <v>10488</v>
          </cell>
          <cell r="C2087" t="str">
            <v>VMH</v>
          </cell>
        </row>
        <row r="2088">
          <cell r="B2088">
            <v>10489</v>
          </cell>
          <cell r="C2088" t="str">
            <v>VMHd</v>
          </cell>
        </row>
        <row r="2089">
          <cell r="B2089">
            <v>10490</v>
          </cell>
          <cell r="C2089" t="str">
            <v>VMHv</v>
          </cell>
        </row>
        <row r="2090">
          <cell r="B2090">
            <v>10491</v>
          </cell>
          <cell r="C2090" t="str">
            <v>VMHc</v>
          </cell>
        </row>
        <row r="2091">
          <cell r="B2091">
            <v>15537</v>
          </cell>
          <cell r="C2091" t="str">
            <v>PMH</v>
          </cell>
        </row>
        <row r="2092">
          <cell r="B2092">
            <v>10492</v>
          </cell>
          <cell r="C2092" t="str">
            <v>Arc</v>
          </cell>
        </row>
        <row r="2093">
          <cell r="B2093">
            <v>10493</v>
          </cell>
          <cell r="C2093" t="str">
            <v>LT</v>
          </cell>
        </row>
        <row r="2094">
          <cell r="B2094">
            <v>10494</v>
          </cell>
          <cell r="C2094" t="str">
            <v>LHAtub</v>
          </cell>
        </row>
        <row r="2095">
          <cell r="B2095">
            <v>13070</v>
          </cell>
          <cell r="C2095" t="str">
            <v>LHmc</v>
          </cell>
        </row>
        <row r="2096">
          <cell r="B2096">
            <v>13337</v>
          </cell>
          <cell r="C2096" t="str">
            <v>LHsc</v>
          </cell>
        </row>
        <row r="2097">
          <cell r="B2097">
            <v>266441563</v>
          </cell>
          <cell r="C2097" t="str">
            <v>PalHy</v>
          </cell>
        </row>
        <row r="2098">
          <cell r="B2098">
            <v>13071</v>
          </cell>
          <cell r="C2098" t="str">
            <v>NCN</v>
          </cell>
        </row>
        <row r="2099">
          <cell r="B2099">
            <v>13338</v>
          </cell>
          <cell r="C2099" t="str">
            <v>ME</v>
          </cell>
        </row>
        <row r="2100">
          <cell r="B2100">
            <v>13339</v>
          </cell>
          <cell r="C2100" t="str">
            <v>MEE</v>
          </cell>
        </row>
        <row r="2101">
          <cell r="B2101">
            <v>13340</v>
          </cell>
          <cell r="C2101" t="str">
            <v>MEI</v>
          </cell>
        </row>
        <row r="2102">
          <cell r="B2102">
            <v>10495</v>
          </cell>
          <cell r="C2102" t="str">
            <v>HTHma</v>
          </cell>
        </row>
        <row r="2103">
          <cell r="B2103">
            <v>10496</v>
          </cell>
          <cell r="C2103" t="str">
            <v>TM</v>
          </cell>
        </row>
        <row r="2104">
          <cell r="B2104">
            <v>10497</v>
          </cell>
          <cell r="C2104" t="str">
            <v>SUM</v>
          </cell>
        </row>
        <row r="2105">
          <cell r="B2105">
            <v>10498</v>
          </cell>
          <cell r="C2105" t="str">
            <v>MN</v>
          </cell>
        </row>
        <row r="2106">
          <cell r="B2106">
            <v>10499</v>
          </cell>
          <cell r="C2106" t="str">
            <v>MM</v>
          </cell>
        </row>
        <row r="2107">
          <cell r="B2107">
            <v>10500</v>
          </cell>
          <cell r="C2107" t="str">
            <v>MMl</v>
          </cell>
        </row>
        <row r="2108">
          <cell r="B2108">
            <v>10501</v>
          </cell>
          <cell r="C2108" t="str">
            <v>MMm</v>
          </cell>
        </row>
        <row r="2109">
          <cell r="B2109">
            <v>11577</v>
          </cell>
          <cell r="C2109" t="str">
            <v>MMb</v>
          </cell>
        </row>
        <row r="2110">
          <cell r="B2110">
            <v>10502</v>
          </cell>
          <cell r="C2110" t="str">
            <v>LM</v>
          </cell>
        </row>
        <row r="2111">
          <cell r="B2111">
            <v>10503</v>
          </cell>
          <cell r="C2111" t="str">
            <v>PHN</v>
          </cell>
        </row>
        <row r="2112">
          <cell r="B2112">
            <v>10504</v>
          </cell>
          <cell r="C2112" t="str">
            <v>LHAp</v>
          </cell>
        </row>
        <row r="2113">
          <cell r="B2113">
            <v>11578</v>
          </cell>
          <cell r="C2113" t="str">
            <v>PeF</v>
          </cell>
        </row>
        <row r="2114">
          <cell r="B2114">
            <v>13072</v>
          </cell>
          <cell r="C2114" t="str">
            <v>PMN</v>
          </cell>
        </row>
        <row r="2115">
          <cell r="B2115">
            <v>13073</v>
          </cell>
          <cell r="C2115" t="str">
            <v>RMA</v>
          </cell>
        </row>
        <row r="2116">
          <cell r="B2116">
            <v>10505</v>
          </cell>
          <cell r="C2116" t="str">
            <v>Pit</v>
          </cell>
        </row>
        <row r="2117">
          <cell r="B2117">
            <v>11579</v>
          </cell>
          <cell r="C2117" t="str">
            <v>Ret</v>
          </cell>
        </row>
        <row r="2118">
          <cell r="B2118">
            <v>10557</v>
          </cell>
          <cell r="C2118" t="str">
            <v>FWM</v>
          </cell>
        </row>
        <row r="2119">
          <cell r="B2119">
            <v>10558</v>
          </cell>
          <cell r="C2119" t="str">
            <v>FCFT</v>
          </cell>
        </row>
        <row r="2120">
          <cell r="B2120">
            <v>10559</v>
          </cell>
          <cell r="C2120" t="str">
            <v>ac</v>
          </cell>
        </row>
        <row r="2121">
          <cell r="B2121">
            <v>10561</v>
          </cell>
          <cell r="C2121" t="str">
            <v>cc</v>
          </cell>
        </row>
        <row r="2122">
          <cell r="B2122">
            <v>10562</v>
          </cell>
          <cell r="C2122" t="str">
            <v>ccr</v>
          </cell>
        </row>
        <row r="2123">
          <cell r="B2123">
            <v>10563</v>
          </cell>
          <cell r="C2123" t="str">
            <v>ccg</v>
          </cell>
        </row>
        <row r="2124">
          <cell r="B2124">
            <v>12024</v>
          </cell>
          <cell r="C2124" t="str">
            <v>ccg-mi</v>
          </cell>
        </row>
        <row r="2125">
          <cell r="B2125">
            <v>10564</v>
          </cell>
          <cell r="C2125" t="str">
            <v>ccb</v>
          </cell>
        </row>
        <row r="2126">
          <cell r="B2126">
            <v>266441567</v>
          </cell>
          <cell r="C2126" t="str">
            <v>ccbr</v>
          </cell>
        </row>
        <row r="2127">
          <cell r="B2127">
            <v>266441571</v>
          </cell>
          <cell r="C2127" t="str">
            <v>ccbi</v>
          </cell>
        </row>
        <row r="2128">
          <cell r="B2128">
            <v>266441575</v>
          </cell>
          <cell r="C2128" t="str">
            <v>ccbc</v>
          </cell>
        </row>
        <row r="2129">
          <cell r="B2129">
            <v>10565</v>
          </cell>
          <cell r="C2129" t="str">
            <v>ccs</v>
          </cell>
        </row>
        <row r="2130">
          <cell r="B2130">
            <v>12025</v>
          </cell>
          <cell r="C2130" t="str">
            <v>ccs-ma</v>
          </cell>
        </row>
        <row r="2131">
          <cell r="B2131">
            <v>266441579</v>
          </cell>
          <cell r="C2131" t="str">
            <v>ccs-in</v>
          </cell>
        </row>
        <row r="2132">
          <cell r="B2132">
            <v>12026</v>
          </cell>
          <cell r="C2132" t="str">
            <v>ccrd</v>
          </cell>
        </row>
        <row r="2133">
          <cell r="B2133">
            <v>12027</v>
          </cell>
          <cell r="C2133" t="str">
            <v>tap</v>
          </cell>
        </row>
        <row r="2134">
          <cell r="B2134">
            <v>10566</v>
          </cell>
          <cell r="C2134" t="str">
            <v>hac</v>
          </cell>
        </row>
        <row r="2135">
          <cell r="B2135">
            <v>10560</v>
          </cell>
          <cell r="C2135" t="str">
            <v>hic</v>
          </cell>
        </row>
        <row r="2136">
          <cell r="B2136">
            <v>12022</v>
          </cell>
          <cell r="C2136" t="str">
            <v>dhic</v>
          </cell>
        </row>
        <row r="2137">
          <cell r="B2137">
            <v>12023</v>
          </cell>
          <cell r="C2137" t="str">
            <v>vhic</v>
          </cell>
        </row>
        <row r="2138">
          <cell r="B2138">
            <v>12028</v>
          </cell>
          <cell r="C2138" t="str">
            <v>smc</v>
          </cell>
        </row>
        <row r="2139">
          <cell r="B2139">
            <v>10568</v>
          </cell>
          <cell r="C2139" t="str">
            <v>FIFT</v>
          </cell>
        </row>
        <row r="2140">
          <cell r="B2140">
            <v>10570</v>
          </cell>
          <cell r="C2140" t="str">
            <v>alv</v>
          </cell>
        </row>
        <row r="2141">
          <cell r="B2141">
            <v>12029</v>
          </cell>
          <cell r="C2141" t="str">
            <v>amtg</v>
          </cell>
        </row>
        <row r="2142">
          <cell r="B2142">
            <v>266441583</v>
          </cell>
          <cell r="C2142" t="str">
            <v>ar</v>
          </cell>
        </row>
        <row r="2143">
          <cell r="B2143">
            <v>266441587</v>
          </cell>
          <cell r="C2143" t="str">
            <v>agb</v>
          </cell>
        </row>
        <row r="2144">
          <cell r="B2144">
            <v>10571</v>
          </cell>
          <cell r="C2144" t="str">
            <v>al</v>
          </cell>
        </row>
        <row r="2145">
          <cell r="B2145">
            <v>266441591</v>
          </cell>
          <cell r="C2145" t="str">
            <v>ap</v>
          </cell>
        </row>
        <row r="2146">
          <cell r="B2146">
            <v>10569</v>
          </cell>
          <cell r="C2146" t="str">
            <v>af</v>
          </cell>
        </row>
        <row r="2147">
          <cell r="B2147">
            <v>15538</v>
          </cell>
          <cell r="C2147" t="str">
            <v>bx</v>
          </cell>
        </row>
        <row r="2148">
          <cell r="B2148">
            <v>10572</v>
          </cell>
          <cell r="C2148" t="str">
            <v>cb</v>
          </cell>
        </row>
        <row r="2149">
          <cell r="B2149">
            <v>15539</v>
          </cell>
          <cell r="C2149" t="str">
            <v>cb-cx</v>
          </cell>
        </row>
        <row r="2150">
          <cell r="B2150">
            <v>15540</v>
          </cell>
          <cell r="C2150" t="str">
            <v>cb-tx</v>
          </cell>
        </row>
        <row r="2151">
          <cell r="B2151">
            <v>13215</v>
          </cell>
          <cell r="C2151" t="str">
            <v>comb</v>
          </cell>
        </row>
        <row r="2152">
          <cell r="B2152">
            <v>12030</v>
          </cell>
          <cell r="C2152" t="str">
            <v>cor</v>
          </cell>
        </row>
        <row r="2153">
          <cell r="B2153">
            <v>15541</v>
          </cell>
          <cell r="C2153" t="str">
            <v>cor-a</v>
          </cell>
        </row>
        <row r="2154">
          <cell r="B2154">
            <v>15542</v>
          </cell>
          <cell r="C2154" t="str">
            <v>cor-s</v>
          </cell>
        </row>
        <row r="2155">
          <cell r="B2155">
            <v>15543</v>
          </cell>
          <cell r="C2155" t="str">
            <v>cor-p</v>
          </cell>
        </row>
        <row r="2156">
          <cell r="B2156">
            <v>266441595</v>
          </cell>
          <cell r="C2156" t="str">
            <v>cbu-sc</v>
          </cell>
        </row>
        <row r="2157">
          <cell r="B2157">
            <v>12031</v>
          </cell>
          <cell r="C2157" t="str">
            <v>cpa</v>
          </cell>
        </row>
        <row r="2158">
          <cell r="B2158">
            <v>12032</v>
          </cell>
          <cell r="C2158" t="str">
            <v>cst</v>
          </cell>
        </row>
        <row r="2159">
          <cell r="B2159">
            <v>12033</v>
          </cell>
          <cell r="C2159" t="str">
            <v>dpa</v>
          </cell>
        </row>
        <row r="2160">
          <cell r="B2160">
            <v>12034</v>
          </cell>
          <cell r="C2160" t="str">
            <v>dib</v>
          </cell>
        </row>
        <row r="2161">
          <cell r="B2161">
            <v>12035</v>
          </cell>
          <cell r="C2161" t="str">
            <v>dlf</v>
          </cell>
        </row>
        <row r="2162">
          <cell r="B2162">
            <v>12036</v>
          </cell>
          <cell r="C2162" t="str">
            <v>dob</v>
          </cell>
        </row>
        <row r="2163">
          <cell r="B2163">
            <v>10573</v>
          </cell>
          <cell r="C2163" t="str">
            <v>extC</v>
          </cell>
        </row>
        <row r="2164">
          <cell r="B2164">
            <v>12037</v>
          </cell>
          <cell r="C2164" t="str">
            <v>emlgp</v>
          </cell>
        </row>
        <row r="2165">
          <cell r="B2165">
            <v>12038</v>
          </cell>
          <cell r="C2165" t="str">
            <v>emlth</v>
          </cell>
        </row>
        <row r="2166">
          <cell r="B2166">
            <v>10574</v>
          </cell>
          <cell r="C2166" t="str">
            <v>extrC</v>
          </cell>
        </row>
        <row r="2167">
          <cell r="B2167">
            <v>10575</v>
          </cell>
          <cell r="C2167" t="str">
            <v>fim</v>
          </cell>
        </row>
        <row r="2168">
          <cell r="B2168">
            <v>10576</v>
          </cell>
          <cell r="C2168" t="str">
            <v>fx</v>
          </cell>
        </row>
        <row r="2169">
          <cell r="B2169">
            <v>10577</v>
          </cell>
          <cell r="C2169" t="str">
            <v>fx-co</v>
          </cell>
        </row>
        <row r="2170">
          <cell r="B2170">
            <v>266441599</v>
          </cell>
          <cell r="C2170" t="str">
            <v>fxc-r</v>
          </cell>
        </row>
        <row r="2171">
          <cell r="B2171">
            <v>266441603</v>
          </cell>
          <cell r="C2171" t="str">
            <v>fxc-c</v>
          </cell>
        </row>
        <row r="2172">
          <cell r="B2172">
            <v>10578</v>
          </cell>
          <cell r="C2172" t="str">
            <v>fx-b</v>
          </cell>
        </row>
        <row r="2173">
          <cell r="B2173">
            <v>10579</v>
          </cell>
          <cell r="C2173" t="str">
            <v>fx-cr</v>
          </cell>
        </row>
        <row r="2174">
          <cell r="B2174">
            <v>12041</v>
          </cell>
          <cell r="C2174" t="str">
            <v>hyhp</v>
          </cell>
        </row>
        <row r="2175">
          <cell r="B2175">
            <v>10580</v>
          </cell>
          <cell r="C2175" t="str">
            <v>ilf</v>
          </cell>
        </row>
        <row r="2176">
          <cell r="B2176">
            <v>12059</v>
          </cell>
          <cell r="C2176" t="str">
            <v>ithp</v>
          </cell>
        </row>
        <row r="2177">
          <cell r="B2177">
            <v>10581</v>
          </cell>
          <cell r="C2177" t="str">
            <v>ic</v>
          </cell>
        </row>
        <row r="2178">
          <cell r="B2178">
            <v>10582</v>
          </cell>
          <cell r="C2178" t="str">
            <v>aic</v>
          </cell>
        </row>
        <row r="2179">
          <cell r="B2179">
            <v>12042</v>
          </cell>
          <cell r="C2179" t="str">
            <v>pfpf</v>
          </cell>
        </row>
        <row r="2180">
          <cell r="B2180">
            <v>12043</v>
          </cell>
          <cell r="C2180" t="str">
            <v>athf</v>
          </cell>
        </row>
        <row r="2181">
          <cell r="B2181">
            <v>10583</v>
          </cell>
          <cell r="C2181" t="str">
            <v>gic</v>
          </cell>
        </row>
        <row r="2182">
          <cell r="B2182">
            <v>12044</v>
          </cell>
          <cell r="C2182" t="str">
            <v>cbu-ic</v>
          </cell>
        </row>
        <row r="2183">
          <cell r="B2183">
            <v>12045</v>
          </cell>
          <cell r="C2183" t="str">
            <v>cre</v>
          </cell>
        </row>
        <row r="2184">
          <cell r="B2184">
            <v>10584</v>
          </cell>
          <cell r="C2184" t="str">
            <v>pic</v>
          </cell>
        </row>
        <row r="2185">
          <cell r="B2185">
            <v>12046</v>
          </cell>
          <cell r="C2185" t="str">
            <v>lthp</v>
          </cell>
        </row>
        <row r="2186">
          <cell r="B2186">
            <v>12047</v>
          </cell>
          <cell r="C2186" t="str">
            <v>csp</v>
          </cell>
        </row>
        <row r="2187">
          <cell r="B2187">
            <v>12048</v>
          </cell>
          <cell r="C2187" t="str">
            <v>fpn</v>
          </cell>
        </row>
        <row r="2188">
          <cell r="B2188">
            <v>12049</v>
          </cell>
          <cell r="C2188" t="str">
            <v>sthr</v>
          </cell>
        </row>
        <row r="2189">
          <cell r="B2189">
            <v>12050</v>
          </cell>
          <cell r="C2189" t="str">
            <v>cte</v>
          </cell>
        </row>
        <row r="2190">
          <cell r="B2190">
            <v>12051</v>
          </cell>
          <cell r="C2190" t="str">
            <v>cru</v>
          </cell>
        </row>
        <row r="2191">
          <cell r="B2191">
            <v>12052</v>
          </cell>
          <cell r="C2191" t="str">
            <v>relp</v>
          </cell>
        </row>
        <row r="2192">
          <cell r="B2192">
            <v>12053</v>
          </cell>
          <cell r="C2192" t="str">
            <v>pthr</v>
          </cell>
        </row>
        <row r="2193">
          <cell r="B2193">
            <v>12054</v>
          </cell>
          <cell r="C2193" t="str">
            <v>or-rl</v>
          </cell>
        </row>
        <row r="2194">
          <cell r="B2194">
            <v>12055</v>
          </cell>
          <cell r="C2194" t="str">
            <v>ppn</v>
          </cell>
        </row>
        <row r="2195">
          <cell r="B2195">
            <v>12056</v>
          </cell>
          <cell r="C2195" t="str">
            <v>opn</v>
          </cell>
        </row>
        <row r="2196">
          <cell r="B2196">
            <v>12057</v>
          </cell>
          <cell r="C2196" t="str">
            <v>oco</v>
          </cell>
        </row>
        <row r="2197">
          <cell r="B2197">
            <v>12058</v>
          </cell>
          <cell r="C2197" t="str">
            <v>sulp</v>
          </cell>
        </row>
        <row r="2198">
          <cell r="B2198">
            <v>12060</v>
          </cell>
          <cell r="C2198" t="str">
            <v>ar-sl</v>
          </cell>
        </row>
        <row r="2199">
          <cell r="B2199">
            <v>12061</v>
          </cell>
          <cell r="C2199" t="str">
            <v>tepn</v>
          </cell>
        </row>
        <row r="2200">
          <cell r="B2200">
            <v>12062</v>
          </cell>
          <cell r="C2200" t="str">
            <v>imlgp</v>
          </cell>
        </row>
        <row r="2201">
          <cell r="B2201">
            <v>12063</v>
          </cell>
          <cell r="C2201" t="str">
            <v>imlth</v>
          </cell>
        </row>
        <row r="2202">
          <cell r="B2202">
            <v>12064</v>
          </cell>
          <cell r="C2202" t="str">
            <v>lls</v>
          </cell>
        </row>
        <row r="2203">
          <cell r="B2203">
            <v>10585</v>
          </cell>
          <cell r="C2203" t="str">
            <v>lf</v>
          </cell>
        </row>
        <row r="2204">
          <cell r="B2204">
            <v>266441609</v>
          </cell>
          <cell r="C2204" t="str">
            <v>mp</v>
          </cell>
        </row>
        <row r="2205">
          <cell r="B2205">
            <v>12065</v>
          </cell>
          <cell r="C2205" t="str">
            <v>mtg</v>
          </cell>
        </row>
        <row r="2206">
          <cell r="B2206">
            <v>10586</v>
          </cell>
          <cell r="C2206" t="str">
            <v>mtt</v>
          </cell>
        </row>
        <row r="2207">
          <cell r="B2207">
            <v>266441613</v>
          </cell>
          <cell r="C2207" t="str">
            <v>mcht</v>
          </cell>
        </row>
        <row r="2208">
          <cell r="B2208">
            <v>10587</v>
          </cell>
          <cell r="C2208" t="str">
            <v>mfb</v>
          </cell>
        </row>
        <row r="2209">
          <cell r="B2209">
            <v>12066</v>
          </cell>
          <cell r="C2209" t="str">
            <v>mls</v>
          </cell>
        </row>
        <row r="2210">
          <cell r="B2210">
            <v>266441617</v>
          </cell>
          <cell r="C2210" t="str">
            <v>or-lp</v>
          </cell>
        </row>
        <row r="2211">
          <cell r="B2211">
            <v>12067</v>
          </cell>
          <cell r="C2211" t="str">
            <v>milf</v>
          </cell>
        </row>
        <row r="2212">
          <cell r="B2212">
            <v>12068</v>
          </cell>
          <cell r="C2212" t="str">
            <v>npa</v>
          </cell>
        </row>
        <row r="2213">
          <cell r="B2213">
            <v>12069</v>
          </cell>
          <cell r="C2213" t="str">
            <v>nst</v>
          </cell>
        </row>
        <row r="2214">
          <cell r="B2214">
            <v>10588</v>
          </cell>
          <cell r="C2214" t="str">
            <v>off</v>
          </cell>
        </row>
        <row r="2215">
          <cell r="B2215">
            <v>12070</v>
          </cell>
          <cell r="C2215" t="str">
            <v>offi</v>
          </cell>
        </row>
        <row r="2216">
          <cell r="B2216">
            <v>12071</v>
          </cell>
          <cell r="C2216" t="str">
            <v>offs</v>
          </cell>
        </row>
        <row r="2217">
          <cell r="B2217">
            <v>12073</v>
          </cell>
          <cell r="C2217" t="str">
            <v>olt</v>
          </cell>
        </row>
        <row r="2218">
          <cell r="B2218">
            <v>12074</v>
          </cell>
          <cell r="C2218" t="str">
            <v>ost</v>
          </cell>
        </row>
        <row r="2219">
          <cell r="B2219">
            <v>12075</v>
          </cell>
          <cell r="C2219" t="str">
            <v>lost</v>
          </cell>
        </row>
        <row r="2220">
          <cell r="B2220">
            <v>12076</v>
          </cell>
          <cell r="C2220" t="str">
            <v>most</v>
          </cell>
        </row>
        <row r="2221">
          <cell r="B2221">
            <v>10644</v>
          </cell>
          <cell r="C2221" t="str">
            <v>ox</v>
          </cell>
        </row>
        <row r="2222">
          <cell r="B2222">
            <v>15544</v>
          </cell>
          <cell r="C2222" t="str">
            <v>on</v>
          </cell>
        </row>
        <row r="2223">
          <cell r="B2223">
            <v>266441621</v>
          </cell>
          <cell r="C2223" t="str">
            <v>or</v>
          </cell>
        </row>
        <row r="2224">
          <cell r="B2224">
            <v>10589</v>
          </cell>
          <cell r="C2224" t="str">
            <v>ot</v>
          </cell>
        </row>
        <row r="2225">
          <cell r="B2225">
            <v>266441625</v>
          </cell>
          <cell r="C2225" t="str">
            <v>opt</v>
          </cell>
        </row>
        <row r="2226">
          <cell r="B2226">
            <v>12077</v>
          </cell>
          <cell r="C2226" t="str">
            <v>pni</v>
          </cell>
        </row>
        <row r="2227">
          <cell r="B2227">
            <v>12078</v>
          </cell>
          <cell r="C2227" t="str">
            <v>ptg</v>
          </cell>
        </row>
        <row r="2228">
          <cell r="B2228">
            <v>12079</v>
          </cell>
          <cell r="C2228" t="str">
            <v>pth</v>
          </cell>
        </row>
        <row r="2229">
          <cell r="B2229">
            <v>12080</v>
          </cell>
          <cell r="C2229" t="str">
            <v>perf</v>
          </cell>
        </row>
        <row r="2230">
          <cell r="B2230">
            <v>266441629</v>
          </cell>
          <cell r="C2230" t="str">
            <v>perp</v>
          </cell>
        </row>
        <row r="2231">
          <cell r="B2231">
            <v>12081</v>
          </cell>
          <cell r="C2231" t="str">
            <v>ponb</v>
          </cell>
        </row>
        <row r="2232">
          <cell r="B2232">
            <v>266441633</v>
          </cell>
          <cell r="C2232" t="str">
            <v>rthp</v>
          </cell>
        </row>
        <row r="2233">
          <cell r="B2233">
            <v>12082</v>
          </cell>
          <cell r="C2233" t="str">
            <v>sst</v>
          </cell>
        </row>
        <row r="2234">
          <cell r="B2234">
            <v>12083</v>
          </cell>
          <cell r="C2234" t="str">
            <v>sste</v>
          </cell>
        </row>
        <row r="2235">
          <cell r="B2235">
            <v>12084</v>
          </cell>
          <cell r="C2235" t="str">
            <v>ssti</v>
          </cell>
        </row>
        <row r="2236">
          <cell r="B2236">
            <v>15545</v>
          </cell>
          <cell r="C2236" t="str">
            <v>saf</v>
          </cell>
        </row>
        <row r="2237">
          <cell r="B2237">
            <v>12085</v>
          </cell>
          <cell r="C2237" t="str">
            <v>szt</v>
          </cell>
        </row>
        <row r="2238">
          <cell r="B2238">
            <v>10590</v>
          </cell>
          <cell r="C2238" t="str">
            <v>smt</v>
          </cell>
        </row>
        <row r="2239">
          <cell r="B2239">
            <v>10591</v>
          </cell>
          <cell r="C2239" t="str">
            <v>st</v>
          </cell>
        </row>
        <row r="2240">
          <cell r="B2240">
            <v>12086</v>
          </cell>
          <cell r="C2240" t="str">
            <v>spa</v>
          </cell>
        </row>
        <row r="2241">
          <cell r="B2241">
            <v>12087</v>
          </cell>
          <cell r="C2241" t="str">
            <v>sni</v>
          </cell>
        </row>
        <row r="2242">
          <cell r="B2242">
            <v>12088</v>
          </cell>
          <cell r="C2242" t="str">
            <v>sth</v>
          </cell>
        </row>
        <row r="2243">
          <cell r="B2243">
            <v>12072</v>
          </cell>
          <cell r="C2243" t="str">
            <v>scf</v>
          </cell>
        </row>
        <row r="2244">
          <cell r="B2244">
            <v>12089</v>
          </cell>
          <cell r="C2244" t="str">
            <v>sthf</v>
          </cell>
        </row>
        <row r="2245">
          <cell r="B2245">
            <v>266441637</v>
          </cell>
          <cell r="C2245" t="str">
            <v>sprs</v>
          </cell>
        </row>
        <row r="2246">
          <cell r="B2246">
            <v>10592</v>
          </cell>
          <cell r="C2246" t="str">
            <v>slf</v>
          </cell>
        </row>
        <row r="2247">
          <cell r="B2247">
            <v>266441641</v>
          </cell>
          <cell r="C2247" t="str">
            <v>slf-m</v>
          </cell>
        </row>
        <row r="2248">
          <cell r="B2248">
            <v>266441645</v>
          </cell>
          <cell r="C2248" t="str">
            <v>slf-i</v>
          </cell>
        </row>
        <row r="2249">
          <cell r="B2249">
            <v>266441649</v>
          </cell>
          <cell r="C2249" t="str">
            <v>slf-l</v>
          </cell>
        </row>
        <row r="2250">
          <cell r="B2250">
            <v>13216</v>
          </cell>
          <cell r="C2250" t="str">
            <v>sox</v>
          </cell>
        </row>
        <row r="2251">
          <cell r="B2251">
            <v>266441653</v>
          </cell>
          <cell r="C2251" t="str">
            <v>tpul</v>
          </cell>
        </row>
        <row r="2252">
          <cell r="B2252">
            <v>10593</v>
          </cell>
          <cell r="C2252" t="str">
            <v>thf</v>
          </cell>
        </row>
        <row r="2253">
          <cell r="B2253">
            <v>12090</v>
          </cell>
          <cell r="C2253" t="str">
            <v>thpa</v>
          </cell>
        </row>
        <row r="2254">
          <cell r="B2254">
            <v>12091</v>
          </cell>
          <cell r="C2254" t="str">
            <v>thst</v>
          </cell>
        </row>
        <row r="2255">
          <cell r="B2255">
            <v>12092</v>
          </cell>
          <cell r="C2255" t="str">
            <v>tuin</v>
          </cell>
        </row>
        <row r="2256">
          <cell r="B2256">
            <v>10594</v>
          </cell>
          <cell r="C2256" t="str">
            <v>unf</v>
          </cell>
        </row>
        <row r="2257">
          <cell r="B2257">
            <v>12093</v>
          </cell>
          <cell r="C2257" t="str">
            <v>vamy</v>
          </cell>
        </row>
        <row r="2258">
          <cell r="B2258">
            <v>10595</v>
          </cell>
          <cell r="C2258" t="str">
            <v>FV</v>
          </cell>
        </row>
        <row r="2259">
          <cell r="B2259">
            <v>10596</v>
          </cell>
          <cell r="C2259" t="str">
            <v>LV</v>
          </cell>
        </row>
        <row r="2260">
          <cell r="B2260">
            <v>10597</v>
          </cell>
          <cell r="C2260" t="str">
            <v>aLV</v>
          </cell>
        </row>
        <row r="2261">
          <cell r="B2261">
            <v>10598</v>
          </cell>
          <cell r="C2261" t="str">
            <v>bLV</v>
          </cell>
        </row>
        <row r="2262">
          <cell r="B2262">
            <v>266441657</v>
          </cell>
          <cell r="C2262" t="str">
            <v>xLV</v>
          </cell>
        </row>
        <row r="2263">
          <cell r="B2263">
            <v>10599</v>
          </cell>
          <cell r="C2263" t="str">
            <v>pLV</v>
          </cell>
        </row>
        <row r="2264">
          <cell r="B2264">
            <v>10600</v>
          </cell>
          <cell r="C2264" t="str">
            <v>iLV</v>
          </cell>
        </row>
        <row r="2265">
          <cell r="B2265">
            <v>12021</v>
          </cell>
          <cell r="C2265" t="str">
            <v>olr</v>
          </cell>
        </row>
        <row r="2266">
          <cell r="B2266">
            <v>10602</v>
          </cell>
          <cell r="C2266" t="str">
            <v>3V</v>
          </cell>
        </row>
        <row r="2267">
          <cell r="B2267">
            <v>10603</v>
          </cell>
          <cell r="C2267" t="str">
            <v>ifr3V</v>
          </cell>
        </row>
        <row r="2268">
          <cell r="B2268">
            <v>10604</v>
          </cell>
          <cell r="C2268" t="str">
            <v>por3V</v>
          </cell>
        </row>
        <row r="2269">
          <cell r="B2269">
            <v>266441661</v>
          </cell>
          <cell r="C2269" t="str">
            <v>pir3V</v>
          </cell>
        </row>
        <row r="2270">
          <cell r="B2270">
            <v>10605</v>
          </cell>
          <cell r="C2270" t="str">
            <v>spr3V</v>
          </cell>
        </row>
        <row r="2271">
          <cell r="B2271">
            <v>12100</v>
          </cell>
          <cell r="C2271" t="str">
            <v>mmr3V</v>
          </cell>
        </row>
        <row r="2272">
          <cell r="B2272">
            <v>10608</v>
          </cell>
          <cell r="C2272" t="str">
            <v>IVF</v>
          </cell>
        </row>
        <row r="2273">
          <cell r="B2273">
            <v>10609</v>
          </cell>
          <cell r="C2273" t="str">
            <v>FSS</v>
          </cell>
        </row>
        <row r="2274">
          <cell r="B2274">
            <v>10610</v>
          </cell>
          <cell r="C2274" t="str">
            <v>CeS</v>
          </cell>
        </row>
        <row r="2275">
          <cell r="B2275">
            <v>10611</v>
          </cell>
          <cell r="C2275" t="str">
            <v>PriS</v>
          </cell>
        </row>
        <row r="2276">
          <cell r="B2276">
            <v>10612</v>
          </cell>
          <cell r="C2276" t="str">
            <v>cas</v>
          </cell>
        </row>
        <row r="2277">
          <cell r="B2277">
            <v>13217</v>
          </cell>
          <cell r="C2277" t="str">
            <v>cas-r</v>
          </cell>
        </row>
        <row r="2278">
          <cell r="B2278">
            <v>13218</v>
          </cell>
          <cell r="C2278" t="str">
            <v>cas-c</v>
          </cell>
        </row>
        <row r="2279">
          <cell r="B2279">
            <v>13219</v>
          </cell>
          <cell r="C2279" t="str">
            <v>cas-cs</v>
          </cell>
        </row>
        <row r="2280">
          <cell r="B2280">
            <v>13220</v>
          </cell>
          <cell r="C2280" t="str">
            <v>cas-ci</v>
          </cell>
        </row>
        <row r="2281">
          <cell r="B2281">
            <v>10613</v>
          </cell>
          <cell r="C2281" t="str">
            <v>cals</v>
          </cell>
        </row>
        <row r="2282">
          <cell r="B2282">
            <v>10614</v>
          </cell>
          <cell r="C2282" t="str">
            <v>cs</v>
          </cell>
        </row>
        <row r="2283">
          <cell r="B2283">
            <v>10615</v>
          </cell>
          <cell r="C2283" t="str">
            <v>cis</v>
          </cell>
        </row>
        <row r="2284">
          <cell r="B2284">
            <v>10616</v>
          </cell>
          <cell r="C2284" t="str">
            <v>mr</v>
          </cell>
        </row>
        <row r="2285">
          <cell r="B2285">
            <v>10617</v>
          </cell>
          <cell r="C2285" t="str">
            <v>csr</v>
          </cell>
        </row>
        <row r="2286">
          <cell r="B2286">
            <v>13341</v>
          </cell>
          <cell r="C2286" t="str">
            <v>csr-u</v>
          </cell>
        </row>
        <row r="2287">
          <cell r="B2287">
            <v>13342</v>
          </cell>
          <cell r="C2287" t="str">
            <v>csr-l</v>
          </cell>
        </row>
        <row r="2288">
          <cell r="B2288">
            <v>10618</v>
          </cell>
          <cell r="C2288" t="str">
            <v>cols</v>
          </cell>
        </row>
        <row r="2289">
          <cell r="B2289">
            <v>146034772</v>
          </cell>
          <cell r="C2289" t="str">
            <v>cols-r</v>
          </cell>
        </row>
        <row r="2290">
          <cell r="B2290">
            <v>146034776</v>
          </cell>
          <cell r="C2290" t="str">
            <v>cols-c</v>
          </cell>
        </row>
        <row r="2291">
          <cell r="B2291">
            <v>10619</v>
          </cell>
          <cell r="C2291" t="str">
            <v>hf</v>
          </cell>
        </row>
        <row r="2292">
          <cell r="B2292">
            <v>10620</v>
          </cell>
          <cell r="C2292" t="str">
            <v>ips</v>
          </cell>
        </row>
        <row r="2293">
          <cell r="B2293">
            <v>10621</v>
          </cell>
          <cell r="C2293" t="str">
            <v>las</v>
          </cell>
        </row>
        <row r="2294">
          <cell r="B2294">
            <v>12107</v>
          </cell>
          <cell r="C2294" t="str">
            <v>las-r</v>
          </cell>
        </row>
        <row r="2295">
          <cell r="B2295">
            <v>12108</v>
          </cell>
          <cell r="C2295" t="str">
            <v>las-m</v>
          </cell>
        </row>
        <row r="2296">
          <cell r="B2296">
            <v>12109</v>
          </cell>
          <cell r="C2296" t="str">
            <v>las-c</v>
          </cell>
        </row>
        <row r="2297">
          <cell r="B2297">
            <v>10622</v>
          </cell>
          <cell r="C2297" t="str">
            <v>los</v>
          </cell>
        </row>
        <row r="2298">
          <cell r="B2298">
            <v>10623</v>
          </cell>
          <cell r="C2298" t="str">
            <v>ots</v>
          </cell>
        </row>
        <row r="2299">
          <cell r="B2299">
            <v>10624</v>
          </cell>
          <cell r="C2299" t="str">
            <v>ols</v>
          </cell>
        </row>
        <row r="2300">
          <cell r="B2300">
            <v>10625</v>
          </cell>
          <cell r="C2300" t="str">
            <v>ors</v>
          </cell>
        </row>
        <row r="2301">
          <cell r="B2301">
            <v>13221</v>
          </cell>
          <cell r="C2301" t="str">
            <v>ors-m</v>
          </cell>
        </row>
        <row r="2302">
          <cell r="B2302">
            <v>13222</v>
          </cell>
          <cell r="C2302" t="str">
            <v>ors-l</v>
          </cell>
        </row>
        <row r="2303">
          <cell r="B2303">
            <v>13223</v>
          </cell>
          <cell r="C2303" t="str">
            <v>ors-t</v>
          </cell>
        </row>
        <row r="2304">
          <cell r="B2304">
            <v>10626</v>
          </cell>
          <cell r="C2304" t="str">
            <v>pos</v>
          </cell>
        </row>
        <row r="2305">
          <cell r="B2305">
            <v>146034780</v>
          </cell>
          <cell r="C2305" t="str">
            <v>pos-le</v>
          </cell>
        </row>
        <row r="2306">
          <cell r="B2306">
            <v>10627</v>
          </cell>
          <cell r="C2306" t="str">
            <v>pocs</v>
          </cell>
        </row>
        <row r="2307">
          <cell r="B2307">
            <v>10628</v>
          </cell>
          <cell r="C2307" t="str">
            <v>prcs</v>
          </cell>
        </row>
        <row r="2308">
          <cell r="B2308">
            <v>10629</v>
          </cell>
          <cell r="C2308" t="str">
            <v>sts</v>
          </cell>
        </row>
        <row r="2309">
          <cell r="B2309">
            <v>12110</v>
          </cell>
          <cell r="C2309" t="str">
            <v>tranf</v>
          </cell>
        </row>
        <row r="2310">
          <cell r="B2310">
            <v>10630</v>
          </cell>
          <cell r="C2310" t="str">
            <v>SecS</v>
          </cell>
        </row>
        <row r="2311">
          <cell r="B2311">
            <v>146034784</v>
          </cell>
          <cell r="C2311" t="str">
            <v>aos</v>
          </cell>
        </row>
        <row r="2312">
          <cell r="B2312">
            <v>146034788</v>
          </cell>
          <cell r="C2312" t="str">
            <v>ascs</v>
          </cell>
        </row>
        <row r="2313">
          <cell r="B2313">
            <v>13227</v>
          </cell>
          <cell r="C2313" t="str">
            <v>csin</v>
          </cell>
        </row>
        <row r="2314">
          <cell r="B2314">
            <v>13226</v>
          </cell>
          <cell r="C2314" t="str">
            <v>ers</v>
          </cell>
        </row>
        <row r="2315">
          <cell r="B2315">
            <v>12111</v>
          </cell>
          <cell r="C2315" t="str">
            <v>fimd</v>
          </cell>
        </row>
        <row r="2316">
          <cell r="B2316">
            <v>146034792</v>
          </cell>
          <cell r="C2316" t="str">
            <v>fms</v>
          </cell>
        </row>
        <row r="2317">
          <cell r="B2317">
            <v>10631</v>
          </cell>
          <cell r="C2317" t="str">
            <v>ifs</v>
          </cell>
        </row>
        <row r="2318">
          <cell r="B2318">
            <v>10632</v>
          </cell>
          <cell r="C2318" t="str">
            <v>its</v>
          </cell>
        </row>
        <row r="2319">
          <cell r="B2319">
            <v>146034796</v>
          </cell>
          <cell r="C2319" t="str">
            <v>imfs</v>
          </cell>
        </row>
        <row r="2320">
          <cell r="B2320">
            <v>146034800</v>
          </cell>
          <cell r="C2320" t="str">
            <v>ios</v>
          </cell>
        </row>
        <row r="2321">
          <cell r="B2321">
            <v>266441665</v>
          </cell>
          <cell r="C2321" t="str">
            <v>mffs</v>
          </cell>
        </row>
        <row r="2322">
          <cell r="B2322">
            <v>146034804</v>
          </cell>
          <cell r="C2322" t="str">
            <v>mos</v>
          </cell>
        </row>
        <row r="2323">
          <cell r="B2323">
            <v>146034808</v>
          </cell>
          <cell r="C2323" t="str">
            <v>mligs</v>
          </cell>
        </row>
        <row r="2324">
          <cell r="B2324">
            <v>146034812</v>
          </cell>
          <cell r="C2324" t="str">
            <v>lus</v>
          </cell>
        </row>
        <row r="2325">
          <cell r="B2325">
            <v>146034816</v>
          </cell>
          <cell r="C2325" t="str">
            <v>mfs</v>
          </cell>
        </row>
        <row r="2326">
          <cell r="B2326">
            <v>10633</v>
          </cell>
          <cell r="C2326" t="str">
            <v>pacs</v>
          </cell>
        </row>
        <row r="2327">
          <cell r="B2327">
            <v>10634</v>
          </cell>
          <cell r="C2327" t="str">
            <v>pacis</v>
          </cell>
        </row>
        <row r="2328">
          <cell r="B2328">
            <v>146034820</v>
          </cell>
          <cell r="C2328" t="str">
            <v>phligs</v>
          </cell>
        </row>
        <row r="2329">
          <cell r="B2329">
            <v>10635</v>
          </cell>
          <cell r="C2329" t="str">
            <v>pols</v>
          </cell>
        </row>
        <row r="2330">
          <cell r="B2330">
            <v>146034824</v>
          </cell>
          <cell r="C2330" t="str">
            <v>pols-r</v>
          </cell>
        </row>
        <row r="2331">
          <cell r="B2331">
            <v>146034828</v>
          </cell>
          <cell r="C2331" t="str">
            <v>pols-c</v>
          </cell>
        </row>
        <row r="2332">
          <cell r="B2332">
            <v>13343</v>
          </cell>
          <cell r="C2332" t="str">
            <v>prin</v>
          </cell>
        </row>
        <row r="2333">
          <cell r="B2333">
            <v>13344</v>
          </cell>
          <cell r="C2333" t="str">
            <v>poin</v>
          </cell>
        </row>
        <row r="2334">
          <cell r="B2334">
            <v>146034832</v>
          </cell>
          <cell r="C2334" t="str">
            <v>poscs</v>
          </cell>
        </row>
        <row r="2335">
          <cell r="B2335">
            <v>10636</v>
          </cell>
          <cell r="C2335" t="str">
            <v>rs</v>
          </cell>
        </row>
        <row r="2336">
          <cell r="B2336">
            <v>146034836</v>
          </cell>
          <cell r="C2336" t="str">
            <v>ros</v>
          </cell>
        </row>
        <row r="2337">
          <cell r="B2337">
            <v>146034840</v>
          </cell>
          <cell r="C2337" t="str">
            <v>ros-s</v>
          </cell>
        </row>
        <row r="2338">
          <cell r="B2338">
            <v>146034844</v>
          </cell>
          <cell r="C2338" t="str">
            <v>ros-i</v>
          </cell>
        </row>
        <row r="2339">
          <cell r="B2339">
            <v>10637</v>
          </cell>
          <cell r="C2339" t="str">
            <v>ss</v>
          </cell>
        </row>
        <row r="2340">
          <cell r="B2340">
            <v>10638</v>
          </cell>
          <cell r="C2340" t="str">
            <v>sps</v>
          </cell>
        </row>
        <row r="2341">
          <cell r="B2341">
            <v>10639</v>
          </cell>
          <cell r="C2341" t="str">
            <v>sfs</v>
          </cell>
        </row>
        <row r="2342">
          <cell r="B2342">
            <v>146034848</v>
          </cell>
          <cell r="C2342" t="str">
            <v>spas</v>
          </cell>
        </row>
        <row r="2343">
          <cell r="B2343">
            <v>10640</v>
          </cell>
          <cell r="C2343" t="str">
            <v>tps</v>
          </cell>
        </row>
        <row r="2344">
          <cell r="B2344">
            <v>13224</v>
          </cell>
          <cell r="C2344" t="str">
            <v>tps-m</v>
          </cell>
        </row>
        <row r="2345">
          <cell r="B2345">
            <v>13225</v>
          </cell>
          <cell r="C2345" t="str">
            <v>tps-l</v>
          </cell>
        </row>
        <row r="2346">
          <cell r="B2346">
            <v>146034852</v>
          </cell>
          <cell r="C2346" t="str">
            <v>tts</v>
          </cell>
        </row>
        <row r="2347">
          <cell r="B2347">
            <v>146034856</v>
          </cell>
          <cell r="C2347" t="str">
            <v>atts</v>
          </cell>
        </row>
        <row r="2348">
          <cell r="B2348">
            <v>146034860</v>
          </cell>
          <cell r="C2348" t="str">
            <v>ptts</v>
          </cell>
        </row>
        <row r="2349">
          <cell r="B2349">
            <v>146034864</v>
          </cell>
          <cell r="C2349" t="str">
            <v>ims</v>
          </cell>
        </row>
        <row r="2350">
          <cell r="B2350">
            <v>146034868</v>
          </cell>
          <cell r="C2350" t="str">
            <v>tts-le</v>
          </cell>
        </row>
        <row r="2351">
          <cell r="B2351">
            <v>13228</v>
          </cell>
          <cell r="C2351" t="str">
            <v>tros</v>
          </cell>
        </row>
        <row r="2352">
          <cell r="B2352">
            <v>10641</v>
          </cell>
          <cell r="C2352" t="str">
            <v>us</v>
          </cell>
        </row>
        <row r="2353">
          <cell r="B2353">
            <v>12112</v>
          </cell>
          <cell r="C2353" t="str">
            <v>CeG</v>
          </cell>
        </row>
        <row r="2354">
          <cell r="B2354">
            <v>12113</v>
          </cell>
          <cell r="C2354" t="str">
            <v>FroL</v>
          </cell>
        </row>
        <row r="2355">
          <cell r="B2355">
            <v>12114</v>
          </cell>
          <cell r="C2355" t="str">
            <v>PrCG</v>
          </cell>
        </row>
        <row r="2356">
          <cell r="B2356">
            <v>12115</v>
          </cell>
          <cell r="C2356" t="str">
            <v>SFG</v>
          </cell>
        </row>
        <row r="2357">
          <cell r="B2357">
            <v>12116</v>
          </cell>
          <cell r="C2357" t="str">
            <v>MFG</v>
          </cell>
        </row>
        <row r="2358">
          <cell r="B2358">
            <v>12117</v>
          </cell>
          <cell r="C2358" t="str">
            <v>IFG</v>
          </cell>
        </row>
        <row r="2359">
          <cell r="B2359">
            <v>12118</v>
          </cell>
          <cell r="C2359" t="str">
            <v>IFGtr</v>
          </cell>
        </row>
        <row r="2360">
          <cell r="B2360">
            <v>12119</v>
          </cell>
          <cell r="C2360" t="str">
            <v>IFGop</v>
          </cell>
        </row>
        <row r="2361">
          <cell r="B2361">
            <v>12120</v>
          </cell>
          <cell r="C2361" t="str">
            <v>IFGor</v>
          </cell>
        </row>
        <row r="2362">
          <cell r="B2362">
            <v>12121</v>
          </cell>
          <cell r="C2362" t="str">
            <v>ReG</v>
          </cell>
        </row>
        <row r="2363">
          <cell r="B2363">
            <v>12122</v>
          </cell>
          <cell r="C2363" t="str">
            <v>MOrG</v>
          </cell>
        </row>
        <row r="2364">
          <cell r="B2364">
            <v>12123</v>
          </cell>
          <cell r="C2364" t="str">
            <v>AOrG</v>
          </cell>
        </row>
        <row r="2365">
          <cell r="B2365">
            <v>12124</v>
          </cell>
          <cell r="C2365" t="str">
            <v>POrG</v>
          </cell>
        </row>
        <row r="2366">
          <cell r="B2366">
            <v>12125</v>
          </cell>
          <cell r="C2366" t="str">
            <v>LOrG</v>
          </cell>
        </row>
        <row r="2367">
          <cell r="B2367">
            <v>12126</v>
          </cell>
          <cell r="C2367" t="str">
            <v>PCLr</v>
          </cell>
        </row>
        <row r="2368">
          <cell r="B2368">
            <v>146034872</v>
          </cell>
          <cell r="C2368" t="str">
            <v>PaCG</v>
          </cell>
        </row>
        <row r="2369">
          <cell r="B2369">
            <v>12127</v>
          </cell>
          <cell r="C2369" t="str">
            <v>FrO</v>
          </cell>
        </row>
        <row r="2370">
          <cell r="B2370">
            <v>12128</v>
          </cell>
          <cell r="C2370" t="str">
            <v>OrO</v>
          </cell>
        </row>
        <row r="2371">
          <cell r="B2371">
            <v>146034876</v>
          </cell>
          <cell r="C2371" t="str">
            <v>RoG</v>
          </cell>
        </row>
        <row r="2372">
          <cell r="B2372">
            <v>12129</v>
          </cell>
          <cell r="C2372" t="str">
            <v>SRoG</v>
          </cell>
        </row>
        <row r="2373">
          <cell r="B2373">
            <v>12130</v>
          </cell>
          <cell r="C2373" t="str">
            <v>IRoG</v>
          </cell>
        </row>
        <row r="2374">
          <cell r="B2374">
            <v>13229</v>
          </cell>
          <cell r="C2374" t="str">
            <v>LOG</v>
          </cell>
        </row>
        <row r="2375">
          <cell r="B2375">
            <v>146034884</v>
          </cell>
          <cell r="C2375" t="str">
            <v>FMG</v>
          </cell>
        </row>
        <row r="2376">
          <cell r="B2376">
            <v>146034888</v>
          </cell>
          <cell r="C2376" t="str">
            <v>FP</v>
          </cell>
        </row>
        <row r="2377">
          <cell r="B2377">
            <v>12131</v>
          </cell>
          <cell r="C2377" t="str">
            <v>ParL</v>
          </cell>
        </row>
        <row r="2378">
          <cell r="B2378">
            <v>12132</v>
          </cell>
          <cell r="C2378" t="str">
            <v>PoCG</v>
          </cell>
        </row>
        <row r="2379">
          <cell r="B2379">
            <v>12133</v>
          </cell>
          <cell r="C2379" t="str">
            <v>SPL</v>
          </cell>
        </row>
        <row r="2380">
          <cell r="B2380">
            <v>12134</v>
          </cell>
          <cell r="C2380" t="str">
            <v>IPL</v>
          </cell>
        </row>
        <row r="2381">
          <cell r="B2381">
            <v>12135</v>
          </cell>
          <cell r="C2381" t="str">
            <v>SMG</v>
          </cell>
        </row>
        <row r="2382">
          <cell r="B2382">
            <v>12136</v>
          </cell>
          <cell r="C2382" t="str">
            <v>AnG</v>
          </cell>
        </row>
        <row r="2383">
          <cell r="B2383">
            <v>12137</v>
          </cell>
          <cell r="C2383" t="str">
            <v>PrCun</v>
          </cell>
        </row>
        <row r="2384">
          <cell r="B2384">
            <v>12138</v>
          </cell>
          <cell r="C2384" t="str">
            <v>PCLc</v>
          </cell>
        </row>
        <row r="2385">
          <cell r="B2385">
            <v>13230</v>
          </cell>
          <cell r="C2385" t="str">
            <v>PaO</v>
          </cell>
        </row>
        <row r="2386">
          <cell r="B2386">
            <v>12139</v>
          </cell>
          <cell r="C2386" t="str">
            <v>TemL</v>
          </cell>
        </row>
        <row r="2387">
          <cell r="B2387">
            <v>12140</v>
          </cell>
          <cell r="C2387" t="str">
            <v>STG</v>
          </cell>
        </row>
        <row r="2388">
          <cell r="B2388">
            <v>12141</v>
          </cell>
          <cell r="C2388" t="str">
            <v>MTG</v>
          </cell>
        </row>
        <row r="2389">
          <cell r="B2389">
            <v>12142</v>
          </cell>
          <cell r="C2389" t="str">
            <v>ITG</v>
          </cell>
        </row>
        <row r="2390">
          <cell r="B2390">
            <v>12143</v>
          </cell>
          <cell r="C2390" t="str">
            <v>FuGt</v>
          </cell>
        </row>
        <row r="2391">
          <cell r="B2391">
            <v>146034892</v>
          </cell>
          <cell r="C2391" t="str">
            <v>PRG</v>
          </cell>
        </row>
        <row r="2392">
          <cell r="B2392">
            <v>12144</v>
          </cell>
          <cell r="C2392" t="str">
            <v>TTG</v>
          </cell>
        </row>
        <row r="2393">
          <cell r="B2393">
            <v>13231</v>
          </cell>
          <cell r="C2393" t="str">
            <v>TTGr</v>
          </cell>
        </row>
        <row r="2394">
          <cell r="B2394">
            <v>13232</v>
          </cell>
          <cell r="C2394" t="str">
            <v>TTGc</v>
          </cell>
        </row>
        <row r="2395">
          <cell r="B2395">
            <v>12145</v>
          </cell>
          <cell r="C2395" t="str">
            <v>PLT</v>
          </cell>
        </row>
        <row r="2396">
          <cell r="B2396">
            <v>12146</v>
          </cell>
          <cell r="C2396" t="str">
            <v>TP</v>
          </cell>
        </row>
        <row r="2397">
          <cell r="B2397">
            <v>146034896</v>
          </cell>
          <cell r="C2397" t="str">
            <v>PRL</v>
          </cell>
        </row>
        <row r="2398">
          <cell r="B2398">
            <v>12147</v>
          </cell>
          <cell r="C2398" t="str">
            <v>PLP</v>
          </cell>
        </row>
        <row r="2399">
          <cell r="B2399">
            <v>12148</v>
          </cell>
          <cell r="C2399" t="str">
            <v>OccL</v>
          </cell>
        </row>
        <row r="2400">
          <cell r="B2400">
            <v>12149</v>
          </cell>
          <cell r="C2400" t="str">
            <v>OP</v>
          </cell>
        </row>
        <row r="2401">
          <cell r="B2401">
            <v>146034900</v>
          </cell>
          <cell r="C2401" t="str">
            <v>OPR</v>
          </cell>
        </row>
        <row r="2402">
          <cell r="B2402">
            <v>146034904</v>
          </cell>
          <cell r="C2402" t="str">
            <v>OTR</v>
          </cell>
        </row>
        <row r="2403">
          <cell r="B2403">
            <v>12150</v>
          </cell>
          <cell r="C2403" t="str">
            <v>Cun</v>
          </cell>
        </row>
        <row r="2404">
          <cell r="B2404">
            <v>12151</v>
          </cell>
          <cell r="C2404" t="str">
            <v>LiG</v>
          </cell>
        </row>
        <row r="2405">
          <cell r="B2405">
            <v>12152</v>
          </cell>
          <cell r="C2405" t="str">
            <v>FuGo</v>
          </cell>
        </row>
        <row r="2406">
          <cell r="B2406">
            <v>12153</v>
          </cell>
          <cell r="C2406" t="str">
            <v>IOG</v>
          </cell>
        </row>
        <row r="2407">
          <cell r="B2407">
            <v>12154</v>
          </cell>
          <cell r="C2407" t="str">
            <v>SOG</v>
          </cell>
        </row>
        <row r="2408">
          <cell r="B2408">
            <v>12176</v>
          </cell>
          <cell r="C2408" t="str">
            <v>InL</v>
          </cell>
        </row>
        <row r="2409">
          <cell r="B2409">
            <v>12177</v>
          </cell>
          <cell r="C2409" t="str">
            <v>LIG</v>
          </cell>
        </row>
        <row r="2410">
          <cell r="B2410">
            <v>12178</v>
          </cell>
          <cell r="C2410" t="str">
            <v>SIG</v>
          </cell>
        </row>
        <row r="2411">
          <cell r="B2411">
            <v>12155</v>
          </cell>
          <cell r="C2411" t="str">
            <v>LimL</v>
          </cell>
        </row>
        <row r="2412">
          <cell r="B2412">
            <v>12156</v>
          </cell>
          <cell r="C2412" t="str">
            <v>CgG</v>
          </cell>
        </row>
        <row r="2413">
          <cell r="B2413">
            <v>12157</v>
          </cell>
          <cell r="C2413" t="str">
            <v>CgGr</v>
          </cell>
        </row>
        <row r="2414">
          <cell r="B2414">
            <v>12158</v>
          </cell>
          <cell r="C2414" t="str">
            <v>CgGc</v>
          </cell>
        </row>
        <row r="2415">
          <cell r="B2415">
            <v>266441669</v>
          </cell>
          <cell r="C2415" t="str">
            <v>CgGrs</v>
          </cell>
        </row>
        <row r="2416">
          <cell r="B2416">
            <v>12159</v>
          </cell>
          <cell r="C2416" t="str">
            <v>IsCPH</v>
          </cell>
        </row>
        <row r="2417">
          <cell r="B2417">
            <v>12160</v>
          </cell>
          <cell r="C2417" t="str">
            <v>SCG</v>
          </cell>
        </row>
        <row r="2418">
          <cell r="B2418">
            <v>12161</v>
          </cell>
          <cell r="C2418" t="str">
            <v>PTG</v>
          </cell>
        </row>
        <row r="2419">
          <cell r="B2419">
            <v>12162</v>
          </cell>
          <cell r="C2419" t="str">
            <v>PHG</v>
          </cell>
        </row>
        <row r="2420">
          <cell r="B2420">
            <v>12163</v>
          </cell>
          <cell r="C2420" t="str">
            <v>APH</v>
          </cell>
        </row>
        <row r="2421">
          <cell r="B2421">
            <v>12164</v>
          </cell>
          <cell r="C2421" t="str">
            <v>PPH</v>
          </cell>
        </row>
        <row r="2422">
          <cell r="B2422">
            <v>12165</v>
          </cell>
          <cell r="C2422" t="str">
            <v>UN</v>
          </cell>
        </row>
        <row r="2423">
          <cell r="B2423">
            <v>12166</v>
          </cell>
          <cell r="C2423" t="str">
            <v>AG</v>
          </cell>
        </row>
        <row r="2424">
          <cell r="B2424">
            <v>12167</v>
          </cell>
          <cell r="C2424" t="str">
            <v>BG</v>
          </cell>
        </row>
        <row r="2425">
          <cell r="B2425">
            <v>12168</v>
          </cell>
          <cell r="C2425" t="str">
            <v>ILG</v>
          </cell>
        </row>
        <row r="2426">
          <cell r="B2426">
            <v>12169</v>
          </cell>
          <cell r="C2426" t="str">
            <v>SLG</v>
          </cell>
        </row>
        <row r="2427">
          <cell r="B2427">
            <v>12170</v>
          </cell>
          <cell r="C2427" t="str">
            <v>HiF</v>
          </cell>
        </row>
        <row r="2428">
          <cell r="B2428">
            <v>12171</v>
          </cell>
          <cell r="C2428" t="str">
            <v>HiH</v>
          </cell>
        </row>
        <row r="2429">
          <cell r="B2429">
            <v>12172</v>
          </cell>
          <cell r="C2429" t="str">
            <v>HiD</v>
          </cell>
        </row>
        <row r="2430">
          <cell r="B2430">
            <v>12173</v>
          </cell>
          <cell r="C2430" t="str">
            <v>HiB</v>
          </cell>
        </row>
        <row r="2431">
          <cell r="B2431">
            <v>12174</v>
          </cell>
          <cell r="C2431" t="str">
            <v>HiT</v>
          </cell>
        </row>
        <row r="2432">
          <cell r="B2432">
            <v>12175</v>
          </cell>
          <cell r="C2432" t="str">
            <v>FaG</v>
          </cell>
        </row>
        <row r="2433">
          <cell r="B2433">
            <v>13233</v>
          </cell>
          <cell r="C2433" t="str">
            <v>Retz</v>
          </cell>
        </row>
        <row r="2434">
          <cell r="B2434">
            <v>266441673</v>
          </cell>
          <cell r="C2434" t="str">
            <v>Subx</v>
          </cell>
        </row>
        <row r="2435">
          <cell r="B2435">
            <v>266441677</v>
          </cell>
          <cell r="C2435" t="str">
            <v>PrPir</v>
          </cell>
        </row>
        <row r="2436">
          <cell r="B2436">
            <v>10642</v>
          </cell>
          <cell r="C2436" t="str">
            <v>APS</v>
          </cell>
        </row>
        <row r="2437">
          <cell r="B2437">
            <v>13234</v>
          </cell>
          <cell r="C2437" t="str">
            <v>HaTr</v>
          </cell>
        </row>
        <row r="2438">
          <cell r="B2438">
            <v>10643</v>
          </cell>
          <cell r="C2438" t="str">
            <v>InF</v>
          </cell>
        </row>
        <row r="2439">
          <cell r="B2439">
            <v>12179</v>
          </cell>
          <cell r="C2439" t="str">
            <v>LI</v>
          </cell>
        </row>
        <row r="2440">
          <cell r="B2440">
            <v>15546</v>
          </cell>
          <cell r="C2440" t="str">
            <v>MB</v>
          </cell>
        </row>
        <row r="2441">
          <cell r="B2441">
            <v>10645</v>
          </cell>
          <cell r="C2441" t="str">
            <v>PrN</v>
          </cell>
        </row>
        <row r="2442">
          <cell r="B2442">
            <v>10646</v>
          </cell>
          <cell r="C2442" t="str">
            <v>TPUJ</v>
          </cell>
        </row>
        <row r="2443">
          <cell r="B2443">
            <v>12180</v>
          </cell>
          <cell r="C2443" t="str">
            <v>TN</v>
          </cell>
        </row>
        <row r="2444">
          <cell r="B2444">
            <v>10647</v>
          </cell>
          <cell r="C2444" t="str">
            <v>TC</v>
          </cell>
        </row>
        <row r="2445">
          <cell r="B2445">
            <v>146034908</v>
          </cell>
          <cell r="C2445" t="str">
            <v>ASFV</v>
          </cell>
        </row>
        <row r="2446">
          <cell r="B2446">
            <v>12095</v>
          </cell>
          <cell r="C2446" t="str">
            <v>CalA</v>
          </cell>
        </row>
        <row r="2447">
          <cell r="B2447">
            <v>10601</v>
          </cell>
          <cell r="C2447" t="str">
            <v>ChoLV</v>
          </cell>
        </row>
        <row r="2448">
          <cell r="B2448">
            <v>10606</v>
          </cell>
          <cell r="C2448" t="str">
            <v>Cho3V</v>
          </cell>
        </row>
        <row r="2449">
          <cell r="B2449">
            <v>12094</v>
          </cell>
          <cell r="C2449" t="str">
            <v>ChoF</v>
          </cell>
        </row>
        <row r="2450">
          <cell r="B2450">
            <v>12096</v>
          </cell>
          <cell r="C2450" t="str">
            <v>ColE</v>
          </cell>
        </row>
        <row r="2451">
          <cell r="B2451">
            <v>12097</v>
          </cell>
          <cell r="C2451" t="str">
            <v>ColT</v>
          </cell>
        </row>
        <row r="2452">
          <cell r="B2452">
            <v>10607</v>
          </cell>
          <cell r="C2452" t="str">
            <v>hyths</v>
          </cell>
        </row>
        <row r="2453">
          <cell r="B2453">
            <v>12102</v>
          </cell>
          <cell r="C2453" t="str">
            <v>InTh</v>
          </cell>
        </row>
        <row r="2454">
          <cell r="B2454">
            <v>12105</v>
          </cell>
          <cell r="C2454" t="str">
            <v>LaT</v>
          </cell>
        </row>
        <row r="2455">
          <cell r="B2455">
            <v>12106</v>
          </cell>
          <cell r="C2455" t="str">
            <v>OVLT</v>
          </cell>
        </row>
        <row r="2456">
          <cell r="B2456">
            <v>12104</v>
          </cell>
          <cell r="C2456" t="str">
            <v>SFO</v>
          </cell>
        </row>
        <row r="2457">
          <cell r="B2457">
            <v>12098</v>
          </cell>
          <cell r="C2457" t="str">
            <v>Pell</v>
          </cell>
        </row>
        <row r="2458">
          <cell r="B2458">
            <v>12099</v>
          </cell>
          <cell r="C2458" t="str">
            <v>cpell</v>
          </cell>
        </row>
        <row r="2459">
          <cell r="B2459">
            <v>266441681</v>
          </cell>
          <cell r="C2459" t="str">
            <v>vip</v>
          </cell>
        </row>
        <row r="2460">
          <cell r="B2460">
            <v>266441685</v>
          </cell>
          <cell r="C2460" t="str">
            <v>fbv</v>
          </cell>
        </row>
        <row r="2461">
          <cell r="B2461">
            <v>10648</v>
          </cell>
          <cell r="C2461" t="str">
            <v>M</v>
          </cell>
        </row>
        <row r="2462">
          <cell r="B2462">
            <v>10649</v>
          </cell>
          <cell r="C2462" t="str">
            <v>MGM</v>
          </cell>
        </row>
        <row r="2463">
          <cell r="B2463">
            <v>12181</v>
          </cell>
          <cell r="C2463" t="str">
            <v>PTR</v>
          </cell>
        </row>
        <row r="2464">
          <cell r="B2464">
            <v>12182</v>
          </cell>
          <cell r="C2464" t="str">
            <v>PTN</v>
          </cell>
        </row>
        <row r="2465">
          <cell r="B2465">
            <v>12183</v>
          </cell>
          <cell r="C2465" t="str">
            <v>DPT</v>
          </cell>
        </row>
        <row r="2466">
          <cell r="B2466">
            <v>12184</v>
          </cell>
          <cell r="C2466" t="str">
            <v>MPT</v>
          </cell>
        </row>
        <row r="2467">
          <cell r="B2467">
            <v>12185</v>
          </cell>
          <cell r="C2467" t="str">
            <v>NOP</v>
          </cell>
        </row>
        <row r="2468">
          <cell r="B2468">
            <v>12186</v>
          </cell>
          <cell r="C2468" t="str">
            <v>OPT</v>
          </cell>
        </row>
        <row r="2469">
          <cell r="B2469">
            <v>12187</v>
          </cell>
          <cell r="C2469" t="str">
            <v>APT</v>
          </cell>
        </row>
        <row r="2470">
          <cell r="B2470">
            <v>12188</v>
          </cell>
          <cell r="C2470" t="str">
            <v>APTc</v>
          </cell>
        </row>
        <row r="2471">
          <cell r="B2471">
            <v>12189</v>
          </cell>
          <cell r="C2471" t="str">
            <v>APTr</v>
          </cell>
        </row>
        <row r="2472">
          <cell r="B2472">
            <v>12190</v>
          </cell>
          <cell r="C2472" t="str">
            <v>AOP</v>
          </cell>
        </row>
        <row r="2473">
          <cell r="B2473">
            <v>12191</v>
          </cell>
          <cell r="C2473" t="str">
            <v>AOPd</v>
          </cell>
        </row>
        <row r="2474">
          <cell r="B2474">
            <v>12192</v>
          </cell>
          <cell r="C2474" t="str">
            <v>AOPl</v>
          </cell>
        </row>
        <row r="2475">
          <cell r="B2475">
            <v>12193</v>
          </cell>
          <cell r="C2475" t="str">
            <v>AOPm</v>
          </cell>
        </row>
        <row r="2476">
          <cell r="B2476">
            <v>12195</v>
          </cell>
          <cell r="C2476" t="str">
            <v>MTg</v>
          </cell>
        </row>
        <row r="2477">
          <cell r="B2477">
            <v>12196</v>
          </cell>
          <cell r="C2477" t="str">
            <v>MEN</v>
          </cell>
        </row>
        <row r="2478">
          <cell r="B2478">
            <v>12197</v>
          </cell>
          <cell r="C2478" t="str">
            <v>EW</v>
          </cell>
        </row>
        <row r="2479">
          <cell r="B2479">
            <v>12198</v>
          </cell>
          <cell r="C2479" t="str">
            <v>3N</v>
          </cell>
        </row>
        <row r="2480">
          <cell r="B2480">
            <v>12199</v>
          </cell>
          <cell r="C2480" t="str">
            <v>3AM</v>
          </cell>
        </row>
        <row r="2481">
          <cell r="B2481">
            <v>12200</v>
          </cell>
          <cell r="C2481" t="str">
            <v>3CC</v>
          </cell>
        </row>
        <row r="2482">
          <cell r="B2482">
            <v>12201</v>
          </cell>
          <cell r="C2482" t="str">
            <v>3C</v>
          </cell>
        </row>
        <row r="2483">
          <cell r="B2483">
            <v>12202</v>
          </cell>
          <cell r="C2483" t="str">
            <v>3D</v>
          </cell>
        </row>
        <row r="2484">
          <cell r="B2484">
            <v>12204</v>
          </cell>
          <cell r="C2484" t="str">
            <v>3M</v>
          </cell>
        </row>
        <row r="2485">
          <cell r="B2485">
            <v>12205</v>
          </cell>
          <cell r="C2485" t="str">
            <v>3Vn</v>
          </cell>
        </row>
        <row r="2486">
          <cell r="B2486">
            <v>12206</v>
          </cell>
          <cell r="C2486" t="str">
            <v>4N</v>
          </cell>
        </row>
        <row r="2487">
          <cell r="B2487">
            <v>13235</v>
          </cell>
          <cell r="C2487" t="str">
            <v>S4N</v>
          </cell>
        </row>
        <row r="2488">
          <cell r="B2488">
            <v>12207</v>
          </cell>
          <cell r="C2488" t="str">
            <v>MAN</v>
          </cell>
        </row>
        <row r="2489">
          <cell r="B2489">
            <v>12208</v>
          </cell>
          <cell r="C2489" t="str">
            <v>Me5</v>
          </cell>
        </row>
        <row r="2490">
          <cell r="B2490">
            <v>12209</v>
          </cell>
          <cell r="C2490" t="str">
            <v>PAG</v>
          </cell>
        </row>
        <row r="2491">
          <cell r="B2491">
            <v>12210</v>
          </cell>
          <cell r="C2491" t="str">
            <v>PAGD</v>
          </cell>
        </row>
        <row r="2492">
          <cell r="B2492">
            <v>12211</v>
          </cell>
          <cell r="C2492" t="str">
            <v>PAGdm</v>
          </cell>
        </row>
        <row r="2493">
          <cell r="B2493">
            <v>12212</v>
          </cell>
          <cell r="C2493" t="str">
            <v>PAGdl</v>
          </cell>
        </row>
        <row r="2494">
          <cell r="B2494">
            <v>12213</v>
          </cell>
          <cell r="C2494" t="str">
            <v>PAGl</v>
          </cell>
        </row>
        <row r="2495">
          <cell r="B2495">
            <v>12214</v>
          </cell>
          <cell r="C2495" t="str">
            <v>PAGvl</v>
          </cell>
        </row>
        <row r="2496">
          <cell r="B2496">
            <v>12215</v>
          </cell>
          <cell r="C2496" t="str">
            <v>PAGpl</v>
          </cell>
        </row>
        <row r="2497">
          <cell r="B2497">
            <v>12216</v>
          </cell>
          <cell r="C2497" t="str">
            <v>PAGV</v>
          </cell>
        </row>
        <row r="2498">
          <cell r="B2498">
            <v>12217</v>
          </cell>
          <cell r="C2498" t="str">
            <v>DRc</v>
          </cell>
        </row>
        <row r="2499">
          <cell r="B2499">
            <v>12218</v>
          </cell>
          <cell r="C2499" t="str">
            <v>Dk</v>
          </cell>
        </row>
        <row r="2500">
          <cell r="B2500">
            <v>12219</v>
          </cell>
          <cell r="C2500" t="str">
            <v>PC3</v>
          </cell>
        </row>
        <row r="2501">
          <cell r="B2501">
            <v>12220</v>
          </cell>
          <cell r="C2501" t="str">
            <v>Su3C</v>
          </cell>
        </row>
        <row r="2502">
          <cell r="B2502">
            <v>12221</v>
          </cell>
          <cell r="C2502" t="str">
            <v>Su3</v>
          </cell>
        </row>
        <row r="2503">
          <cell r="B2503">
            <v>12222</v>
          </cell>
          <cell r="C2503" t="str">
            <v>MRa</v>
          </cell>
        </row>
        <row r="2504">
          <cell r="B2504">
            <v>12223</v>
          </cell>
          <cell r="C2504" t="str">
            <v>DR</v>
          </cell>
        </row>
        <row r="2505">
          <cell r="B2505">
            <v>12224</v>
          </cell>
          <cell r="C2505" t="str">
            <v>DRC</v>
          </cell>
        </row>
        <row r="2506">
          <cell r="B2506">
            <v>12225</v>
          </cell>
          <cell r="C2506" t="str">
            <v>DRD</v>
          </cell>
        </row>
        <row r="2507">
          <cell r="B2507">
            <v>12226</v>
          </cell>
          <cell r="C2507" t="str">
            <v>DRI</v>
          </cell>
        </row>
        <row r="2508">
          <cell r="B2508">
            <v>12227</v>
          </cell>
          <cell r="C2508" t="str">
            <v>DRL</v>
          </cell>
        </row>
        <row r="2509">
          <cell r="B2509">
            <v>12228</v>
          </cell>
          <cell r="C2509" t="str">
            <v>DRV</v>
          </cell>
        </row>
        <row r="2510">
          <cell r="B2510">
            <v>12229</v>
          </cell>
          <cell r="C2510" t="str">
            <v>DRVL</v>
          </cell>
        </row>
        <row r="2511">
          <cell r="B2511">
            <v>12230</v>
          </cell>
          <cell r="C2511" t="str">
            <v>Lin</v>
          </cell>
        </row>
        <row r="2512">
          <cell r="B2512">
            <v>12231</v>
          </cell>
          <cell r="C2512" t="str">
            <v>CLiZ</v>
          </cell>
        </row>
        <row r="2513">
          <cell r="B2513">
            <v>12232</v>
          </cell>
          <cell r="C2513" t="str">
            <v>CLinAz</v>
          </cell>
        </row>
        <row r="2514">
          <cell r="B2514">
            <v>12233</v>
          </cell>
          <cell r="C2514" t="str">
            <v>CLinZ</v>
          </cell>
        </row>
        <row r="2515">
          <cell r="B2515">
            <v>12234</v>
          </cell>
          <cell r="C2515" t="str">
            <v>RLin</v>
          </cell>
        </row>
        <row r="2516">
          <cell r="B2516">
            <v>12235</v>
          </cell>
          <cell r="C2516" t="str">
            <v>MnR</v>
          </cell>
        </row>
        <row r="2517">
          <cell r="B2517">
            <v>12236</v>
          </cell>
          <cell r="C2517" t="str">
            <v>PMnR</v>
          </cell>
        </row>
        <row r="2518">
          <cell r="B2518">
            <v>12237</v>
          </cell>
          <cell r="C2518" t="str">
            <v>PDR</v>
          </cell>
        </row>
        <row r="2519">
          <cell r="B2519">
            <v>12238</v>
          </cell>
          <cell r="C2519" t="str">
            <v>Rbd</v>
          </cell>
        </row>
        <row r="2520">
          <cell r="B2520">
            <v>15547</v>
          </cell>
          <cell r="C2520" t="str">
            <v>isRt</v>
          </cell>
        </row>
        <row r="2521">
          <cell r="B2521">
            <v>12239</v>
          </cell>
          <cell r="C2521" t="str">
            <v>MRF</v>
          </cell>
        </row>
        <row r="2522">
          <cell r="B2522">
            <v>12240</v>
          </cell>
          <cell r="C2522" t="str">
            <v>CnF</v>
          </cell>
        </row>
        <row r="2523">
          <cell r="B2523">
            <v>12241</v>
          </cell>
          <cell r="C2523" t="str">
            <v>PrCnF</v>
          </cell>
        </row>
        <row r="2524">
          <cell r="B2524">
            <v>12242</v>
          </cell>
          <cell r="C2524" t="str">
            <v>U</v>
          </cell>
        </row>
        <row r="2525">
          <cell r="B2525">
            <v>12243</v>
          </cell>
          <cell r="C2525" t="str">
            <v>PTg</v>
          </cell>
        </row>
        <row r="2526">
          <cell r="B2526">
            <v>12244</v>
          </cell>
          <cell r="C2526" t="str">
            <v>PTgC</v>
          </cell>
        </row>
        <row r="2527">
          <cell r="B2527">
            <v>12245</v>
          </cell>
          <cell r="C2527" t="str">
            <v>PTgD</v>
          </cell>
        </row>
        <row r="2528">
          <cell r="B2528">
            <v>12246</v>
          </cell>
          <cell r="C2528" t="str">
            <v>SubCn</v>
          </cell>
        </row>
        <row r="2529">
          <cell r="B2529">
            <v>15548</v>
          </cell>
          <cell r="C2529" t="str">
            <v>Lth</v>
          </cell>
        </row>
        <row r="2530">
          <cell r="B2530">
            <v>12247</v>
          </cell>
          <cell r="C2530" t="str">
            <v>RN</v>
          </cell>
        </row>
        <row r="2531">
          <cell r="B2531">
            <v>12248</v>
          </cell>
          <cell r="C2531" t="str">
            <v>RNdm</v>
          </cell>
        </row>
        <row r="2532">
          <cell r="B2532">
            <v>12249</v>
          </cell>
          <cell r="C2532" t="str">
            <v>RNmc</v>
          </cell>
        </row>
        <row r="2533">
          <cell r="B2533">
            <v>12250</v>
          </cell>
          <cell r="C2533" t="str">
            <v>RNpc</v>
          </cell>
        </row>
        <row r="2534">
          <cell r="B2534">
            <v>12251</v>
          </cell>
          <cell r="C2534" t="str">
            <v>SN</v>
          </cell>
        </row>
        <row r="2535">
          <cell r="B2535">
            <v>12252</v>
          </cell>
          <cell r="C2535" t="str">
            <v>SNC</v>
          </cell>
        </row>
        <row r="2536">
          <cell r="B2536">
            <v>12253</v>
          </cell>
          <cell r="C2536" t="str">
            <v>SNCd</v>
          </cell>
        </row>
        <row r="2537">
          <cell r="B2537">
            <v>12254</v>
          </cell>
          <cell r="C2537" t="str">
            <v>SNCm</v>
          </cell>
        </row>
        <row r="2538">
          <cell r="B2538">
            <v>12255</v>
          </cell>
          <cell r="C2538" t="str">
            <v>SNCv</v>
          </cell>
        </row>
        <row r="2539">
          <cell r="B2539">
            <v>12257</v>
          </cell>
          <cell r="C2539" t="str">
            <v>SNL</v>
          </cell>
        </row>
        <row r="2540">
          <cell r="B2540">
            <v>12259</v>
          </cell>
          <cell r="C2540" t="str">
            <v>SNR</v>
          </cell>
        </row>
        <row r="2541">
          <cell r="B2541">
            <v>146034938</v>
          </cell>
          <cell r="C2541" t="str">
            <v>VTR</v>
          </cell>
        </row>
        <row r="2542">
          <cell r="B2542">
            <v>12261</v>
          </cell>
          <cell r="C2542" t="str">
            <v>VTA</v>
          </cell>
        </row>
        <row r="2543">
          <cell r="B2543">
            <v>12262</v>
          </cell>
          <cell r="C2543" t="str">
            <v>IF</v>
          </cell>
        </row>
        <row r="2544">
          <cell r="B2544">
            <v>12263</v>
          </cell>
          <cell r="C2544" t="str">
            <v>PBP</v>
          </cell>
        </row>
        <row r="2545">
          <cell r="B2545">
            <v>12264</v>
          </cell>
          <cell r="C2545" t="str">
            <v>PIF</v>
          </cell>
        </row>
        <row r="2546">
          <cell r="B2546">
            <v>12265</v>
          </cell>
          <cell r="C2546" t="str">
            <v>PaN</v>
          </cell>
        </row>
        <row r="2547">
          <cell r="B2547">
            <v>12270</v>
          </cell>
          <cell r="C2547" t="str">
            <v>IP</v>
          </cell>
        </row>
        <row r="2548">
          <cell r="B2548">
            <v>12271</v>
          </cell>
          <cell r="C2548" t="str">
            <v>IPa</v>
          </cell>
        </row>
        <row r="2549">
          <cell r="B2549">
            <v>12272</v>
          </cell>
          <cell r="C2549" t="str">
            <v>IPc</v>
          </cell>
        </row>
        <row r="2550">
          <cell r="B2550">
            <v>12273</v>
          </cell>
          <cell r="C2550" t="str">
            <v>IPdm</v>
          </cell>
        </row>
        <row r="2551">
          <cell r="B2551">
            <v>12274</v>
          </cell>
          <cell r="C2551" t="str">
            <v>IPi</v>
          </cell>
        </row>
        <row r="2552">
          <cell r="B2552">
            <v>12275</v>
          </cell>
          <cell r="C2552" t="str">
            <v>IPl</v>
          </cell>
        </row>
        <row r="2553">
          <cell r="B2553">
            <v>12276</v>
          </cell>
          <cell r="C2553" t="str">
            <v>IPr</v>
          </cell>
        </row>
        <row r="2554">
          <cell r="B2554">
            <v>12277</v>
          </cell>
          <cell r="C2554" t="str">
            <v>XMTg</v>
          </cell>
        </row>
        <row r="2555">
          <cell r="B2555">
            <v>15549</v>
          </cell>
          <cell r="C2555" t="str">
            <v>CeMe</v>
          </cell>
        </row>
        <row r="2556">
          <cell r="B2556">
            <v>15550</v>
          </cell>
          <cell r="C2556" t="str">
            <v>CTF</v>
          </cell>
        </row>
        <row r="2557">
          <cell r="B2557">
            <v>15551</v>
          </cell>
          <cell r="C2557" t="str">
            <v>DA8</v>
          </cell>
        </row>
        <row r="2558">
          <cell r="B2558">
            <v>12203</v>
          </cell>
          <cell r="C2558" t="str">
            <v>I3</v>
          </cell>
        </row>
        <row r="2559">
          <cell r="B2559">
            <v>12278</v>
          </cell>
          <cell r="C2559" t="str">
            <v>InC</v>
          </cell>
        </row>
        <row r="2560">
          <cell r="B2560">
            <v>13236</v>
          </cell>
          <cell r="C2560" t="str">
            <v>Lt</v>
          </cell>
        </row>
        <row r="2561">
          <cell r="B2561">
            <v>12279</v>
          </cell>
          <cell r="C2561" t="str">
            <v>MCPC</v>
          </cell>
        </row>
        <row r="2562">
          <cell r="B2562">
            <v>12280</v>
          </cell>
          <cell r="C2562" t="str">
            <v>MA3</v>
          </cell>
        </row>
        <row r="2563">
          <cell r="B2563">
            <v>12281</v>
          </cell>
          <cell r="C2563" t="str">
            <v>MiTg</v>
          </cell>
        </row>
        <row r="2564">
          <cell r="B2564">
            <v>15552</v>
          </cell>
          <cell r="C2564" t="str">
            <v>p1Rt</v>
          </cell>
        </row>
        <row r="2565">
          <cell r="B2565">
            <v>12282</v>
          </cell>
          <cell r="C2565" t="str">
            <v>PaC</v>
          </cell>
        </row>
        <row r="2566">
          <cell r="B2566">
            <v>12283</v>
          </cell>
          <cell r="C2566" t="str">
            <v>PaP</v>
          </cell>
        </row>
        <row r="2567">
          <cell r="B2567">
            <v>12284</v>
          </cell>
          <cell r="C2567" t="str">
            <v>Pa4</v>
          </cell>
        </row>
        <row r="2568">
          <cell r="B2568">
            <v>12285</v>
          </cell>
          <cell r="C2568" t="str">
            <v>PP</v>
          </cell>
        </row>
        <row r="2569">
          <cell r="B2569">
            <v>12286</v>
          </cell>
          <cell r="C2569" t="str">
            <v>PDTg</v>
          </cell>
        </row>
        <row r="2570">
          <cell r="B2570">
            <v>12287</v>
          </cell>
          <cell r="C2570" t="str">
            <v>PrC</v>
          </cell>
        </row>
        <row r="2571">
          <cell r="B2571">
            <v>12288</v>
          </cell>
          <cell r="C2571" t="str">
            <v>PrEW</v>
          </cell>
        </row>
        <row r="2572">
          <cell r="B2572">
            <v>15553</v>
          </cell>
          <cell r="C2572" t="str">
            <v>RIs</v>
          </cell>
        </row>
        <row r="2573">
          <cell r="B2573">
            <v>12289</v>
          </cell>
          <cell r="C2573" t="str">
            <v>RRF</v>
          </cell>
        </row>
        <row r="2574">
          <cell r="B2574">
            <v>12290</v>
          </cell>
          <cell r="C2574" t="str">
            <v>SubB</v>
          </cell>
        </row>
        <row r="2575">
          <cell r="B2575">
            <v>12291</v>
          </cell>
          <cell r="C2575" t="str">
            <v>MTc</v>
          </cell>
        </row>
        <row r="2576">
          <cell r="B2576">
            <v>12292</v>
          </cell>
          <cell r="C2576" t="str">
            <v>SC</v>
          </cell>
        </row>
        <row r="2577">
          <cell r="B2577">
            <v>12293</v>
          </cell>
          <cell r="C2577" t="str">
            <v>SCS</v>
          </cell>
        </row>
        <row r="2578">
          <cell r="B2578">
            <v>12294</v>
          </cell>
          <cell r="C2578" t="str">
            <v>SCSon</v>
          </cell>
        </row>
        <row r="2579">
          <cell r="B2579">
            <v>12295</v>
          </cell>
          <cell r="C2579" t="str">
            <v>SCSg</v>
          </cell>
        </row>
        <row r="2580">
          <cell r="B2580">
            <v>12296</v>
          </cell>
          <cell r="C2580" t="str">
            <v>SCSw</v>
          </cell>
        </row>
        <row r="2581">
          <cell r="B2581">
            <v>12297</v>
          </cell>
          <cell r="C2581" t="str">
            <v>SCSz</v>
          </cell>
        </row>
        <row r="2582">
          <cell r="B2582">
            <v>12298</v>
          </cell>
          <cell r="C2582" t="str">
            <v>SCI</v>
          </cell>
        </row>
        <row r="2583">
          <cell r="B2583">
            <v>12299</v>
          </cell>
          <cell r="C2583" t="str">
            <v>SCIg</v>
          </cell>
        </row>
        <row r="2584">
          <cell r="B2584">
            <v>12300</v>
          </cell>
          <cell r="C2584" t="str">
            <v>SCIw</v>
          </cell>
        </row>
        <row r="2585">
          <cell r="B2585">
            <v>12301</v>
          </cell>
          <cell r="C2585" t="str">
            <v>SCD</v>
          </cell>
        </row>
        <row r="2586">
          <cell r="B2586">
            <v>12302</v>
          </cell>
          <cell r="C2586" t="str">
            <v>SCDg</v>
          </cell>
        </row>
        <row r="2587">
          <cell r="B2587">
            <v>12303</v>
          </cell>
          <cell r="C2587" t="str">
            <v>SCDw</v>
          </cell>
        </row>
        <row r="2588">
          <cell r="B2588">
            <v>12304</v>
          </cell>
          <cell r="C2588" t="str">
            <v>BrSC</v>
          </cell>
        </row>
        <row r="2589">
          <cell r="B2589">
            <v>12305</v>
          </cell>
          <cell r="C2589" t="str">
            <v>IC</v>
          </cell>
        </row>
        <row r="2590">
          <cell r="B2590">
            <v>12306</v>
          </cell>
          <cell r="C2590" t="str">
            <v>CxIC</v>
          </cell>
        </row>
        <row r="2591">
          <cell r="B2591">
            <v>12307</v>
          </cell>
          <cell r="C2591" t="str">
            <v>CICd</v>
          </cell>
        </row>
        <row r="2592">
          <cell r="B2592">
            <v>12308</v>
          </cell>
          <cell r="C2592" t="str">
            <v>CICe</v>
          </cell>
        </row>
        <row r="2593">
          <cell r="B2593">
            <v>12309</v>
          </cell>
          <cell r="C2593" t="str">
            <v>CIC</v>
          </cell>
        </row>
        <row r="2594">
          <cell r="B2594">
            <v>266441689</v>
          </cell>
          <cell r="C2594" t="str">
            <v>ICN</v>
          </cell>
        </row>
        <row r="2595">
          <cell r="B2595">
            <v>12194</v>
          </cell>
          <cell r="C2595" t="str">
            <v>INPC</v>
          </cell>
        </row>
        <row r="2596">
          <cell r="B2596">
            <v>12310</v>
          </cell>
          <cell r="C2596" t="str">
            <v>MxTZ</v>
          </cell>
        </row>
        <row r="2597">
          <cell r="B2597">
            <v>12311</v>
          </cell>
          <cell r="C2597" t="str">
            <v>BrIC</v>
          </cell>
        </row>
        <row r="2598">
          <cell r="B2598">
            <v>12312</v>
          </cell>
          <cell r="C2598" t="str">
            <v>PBG</v>
          </cell>
        </row>
        <row r="2599">
          <cell r="B2599">
            <v>12313</v>
          </cell>
          <cell r="C2599" t="str">
            <v>Sag</v>
          </cell>
        </row>
        <row r="2600">
          <cell r="B2600">
            <v>12101</v>
          </cell>
          <cell r="C2600" t="str">
            <v>SCO</v>
          </cell>
        </row>
        <row r="2601">
          <cell r="B2601">
            <v>12314</v>
          </cell>
          <cell r="C2601" t="str">
            <v>MTS</v>
          </cell>
        </row>
        <row r="2602">
          <cell r="B2602">
            <v>12315</v>
          </cell>
          <cell r="C2602" t="str">
            <v>MNM</v>
          </cell>
        </row>
        <row r="2603">
          <cell r="B2603">
            <v>12316</v>
          </cell>
          <cell r="C2603" t="str">
            <v>M-1</v>
          </cell>
        </row>
        <row r="2604">
          <cell r="B2604">
            <v>12317</v>
          </cell>
          <cell r="C2604" t="str">
            <v>M-2</v>
          </cell>
        </row>
        <row r="2605">
          <cell r="B2605">
            <v>12326</v>
          </cell>
          <cell r="C2605" t="str">
            <v>MZM</v>
          </cell>
        </row>
        <row r="2606">
          <cell r="B2606">
            <v>12319</v>
          </cell>
          <cell r="C2606" t="str">
            <v>IZM</v>
          </cell>
        </row>
        <row r="2607">
          <cell r="B2607">
            <v>12320</v>
          </cell>
          <cell r="C2607" t="str">
            <v>IZMro</v>
          </cell>
        </row>
        <row r="2608">
          <cell r="B2608">
            <v>12321</v>
          </cell>
          <cell r="C2608" t="str">
            <v>IZMal</v>
          </cell>
        </row>
        <row r="2609">
          <cell r="B2609">
            <v>12322</v>
          </cell>
          <cell r="C2609" t="str">
            <v>IZMba</v>
          </cell>
        </row>
        <row r="2610">
          <cell r="B2610">
            <v>12323</v>
          </cell>
          <cell r="C2610" t="str">
            <v>IZMbam</v>
          </cell>
        </row>
        <row r="2611">
          <cell r="B2611">
            <v>12324</v>
          </cell>
          <cell r="C2611" t="str">
            <v>IZMbal</v>
          </cell>
        </row>
        <row r="2612">
          <cell r="B2612">
            <v>12325</v>
          </cell>
          <cell r="C2612" t="str">
            <v>IZMfl</v>
          </cell>
        </row>
        <row r="2613">
          <cell r="B2613">
            <v>12318</v>
          </cell>
          <cell r="C2613" t="str">
            <v>VZM</v>
          </cell>
        </row>
        <row r="2614">
          <cell r="B2614">
            <v>10650</v>
          </cell>
          <cell r="C2614" t="str">
            <v>MWM</v>
          </cell>
        </row>
        <row r="2615">
          <cell r="B2615">
            <v>12327</v>
          </cell>
          <cell r="C2615" t="str">
            <v>bic</v>
          </cell>
        </row>
        <row r="2616">
          <cell r="B2616">
            <v>12328</v>
          </cell>
          <cell r="C2616" t="str">
            <v>bsc</v>
          </cell>
        </row>
        <row r="2617">
          <cell r="B2617">
            <v>12329</v>
          </cell>
          <cell r="C2617" t="str">
            <v>ctg-m</v>
          </cell>
        </row>
        <row r="2618">
          <cell r="B2618">
            <v>12330</v>
          </cell>
          <cell r="C2618" t="str">
            <v>cpd</v>
          </cell>
        </row>
        <row r="2619">
          <cell r="B2619">
            <v>12331</v>
          </cell>
          <cell r="C2619" t="str">
            <v>cpn-m</v>
          </cell>
        </row>
        <row r="2620">
          <cell r="B2620">
            <v>266441693</v>
          </cell>
          <cell r="C2620" t="str">
            <v>fpn-m</v>
          </cell>
        </row>
        <row r="2621">
          <cell r="B2621">
            <v>266441697</v>
          </cell>
          <cell r="C2621" t="str">
            <v>potpn-m</v>
          </cell>
        </row>
        <row r="2622">
          <cell r="B2622">
            <v>12332</v>
          </cell>
          <cell r="C2622" t="str">
            <v>py-m</v>
          </cell>
        </row>
        <row r="2623">
          <cell r="B2623">
            <v>266441701</v>
          </cell>
          <cell r="C2623" t="str">
            <v>cbu-m</v>
          </cell>
        </row>
        <row r="2624">
          <cell r="B2624">
            <v>12333</v>
          </cell>
          <cell r="C2624" t="str">
            <v>cmic</v>
          </cell>
        </row>
        <row r="2625">
          <cell r="B2625">
            <v>12335</v>
          </cell>
          <cell r="C2625" t="str">
            <v>cme</v>
          </cell>
        </row>
        <row r="2626">
          <cell r="B2626">
            <v>12336</v>
          </cell>
          <cell r="C2626" t="str">
            <v>xrsp</v>
          </cell>
        </row>
        <row r="2627">
          <cell r="B2627">
            <v>12337</v>
          </cell>
          <cell r="C2627" t="str">
            <v>xscp</v>
          </cell>
        </row>
        <row r="2628">
          <cell r="B2628">
            <v>12338</v>
          </cell>
          <cell r="C2628" t="str">
            <v>x4</v>
          </cell>
        </row>
        <row r="2629">
          <cell r="B2629">
            <v>12339</v>
          </cell>
          <cell r="C2629" t="str">
            <v>dlf-m</v>
          </cell>
        </row>
        <row r="2630">
          <cell r="B2630">
            <v>12340</v>
          </cell>
          <cell r="C2630" t="str">
            <v>xdtg</v>
          </cell>
        </row>
        <row r="2631">
          <cell r="B2631">
            <v>12341</v>
          </cell>
          <cell r="C2631" t="str">
            <v>dtth-m</v>
          </cell>
        </row>
        <row r="2632">
          <cell r="B2632">
            <v>12342</v>
          </cell>
          <cell r="C2632" t="str">
            <v>fr</v>
          </cell>
        </row>
        <row r="2633">
          <cell r="B2633">
            <v>12343</v>
          </cell>
          <cell r="C2633" t="str">
            <v>hysp-m</v>
          </cell>
        </row>
        <row r="2634">
          <cell r="B2634">
            <v>12344</v>
          </cell>
          <cell r="C2634" t="str">
            <v>iptg</v>
          </cell>
        </row>
        <row r="2635">
          <cell r="B2635">
            <v>12345</v>
          </cell>
          <cell r="C2635" t="str">
            <v>issp-m</v>
          </cell>
        </row>
        <row r="2636">
          <cell r="B2636">
            <v>12346</v>
          </cell>
          <cell r="C2636" t="str">
            <v>ll-m</v>
          </cell>
        </row>
        <row r="2637">
          <cell r="B2637">
            <v>12347</v>
          </cell>
          <cell r="C2637" t="str">
            <v>ml-m</v>
          </cell>
        </row>
        <row r="2638">
          <cell r="B2638">
            <v>12348</v>
          </cell>
          <cell r="C2638" t="str">
            <v>mlf-m</v>
          </cell>
        </row>
        <row r="2639">
          <cell r="B2639">
            <v>12349</v>
          </cell>
          <cell r="C2639" t="str">
            <v>mtg-m</v>
          </cell>
        </row>
        <row r="2640">
          <cell r="B2640">
            <v>12350</v>
          </cell>
          <cell r="C2640" t="str">
            <v>me5-m</v>
          </cell>
        </row>
        <row r="2641">
          <cell r="B2641">
            <v>10567</v>
          </cell>
          <cell r="C2641" t="str">
            <v>poc</v>
          </cell>
        </row>
        <row r="2642">
          <cell r="B2642">
            <v>12351</v>
          </cell>
          <cell r="C2642" t="str">
            <v>rubu-m</v>
          </cell>
        </row>
        <row r="2643">
          <cell r="B2643">
            <v>12334</v>
          </cell>
          <cell r="C2643" t="str">
            <v>rol-m</v>
          </cell>
        </row>
        <row r="2644">
          <cell r="B2644">
            <v>12352</v>
          </cell>
          <cell r="C2644" t="str">
            <v>rsp-m</v>
          </cell>
        </row>
        <row r="2645">
          <cell r="B2645">
            <v>12353</v>
          </cell>
          <cell r="C2645" t="str">
            <v>sl-m</v>
          </cell>
        </row>
        <row r="2646">
          <cell r="B2646">
            <v>12354</v>
          </cell>
          <cell r="C2646" t="str">
            <v>scp</v>
          </cell>
        </row>
        <row r="2647">
          <cell r="B2647">
            <v>12355</v>
          </cell>
          <cell r="C2647" t="str">
            <v>cbru</v>
          </cell>
        </row>
        <row r="2648">
          <cell r="B2648">
            <v>12356</v>
          </cell>
          <cell r="C2648" t="str">
            <v>cbth</v>
          </cell>
        </row>
        <row r="2649">
          <cell r="B2649">
            <v>12357</v>
          </cell>
          <cell r="C2649" t="str">
            <v>dtth</v>
          </cell>
        </row>
        <row r="2650">
          <cell r="B2650">
            <v>12358</v>
          </cell>
          <cell r="C2650" t="str">
            <v>geru</v>
          </cell>
        </row>
        <row r="2651">
          <cell r="B2651">
            <v>12359</v>
          </cell>
          <cell r="C2651" t="str">
            <v>rucb</v>
          </cell>
        </row>
        <row r="2652">
          <cell r="B2652">
            <v>12360</v>
          </cell>
          <cell r="C2652" t="str">
            <v>tcb</v>
          </cell>
        </row>
        <row r="2653">
          <cell r="B2653">
            <v>12361</v>
          </cell>
          <cell r="C2653" t="str">
            <v>vscb-m</v>
          </cell>
        </row>
        <row r="2654">
          <cell r="B2654">
            <v>12362</v>
          </cell>
          <cell r="C2654" t="str">
            <v>tbu-m</v>
          </cell>
        </row>
        <row r="2655">
          <cell r="B2655">
            <v>12363</v>
          </cell>
          <cell r="C2655" t="str">
            <v>tol</v>
          </cell>
        </row>
        <row r="2656">
          <cell r="B2656">
            <v>12364</v>
          </cell>
          <cell r="C2656" t="str">
            <v>tpn</v>
          </cell>
        </row>
        <row r="2657">
          <cell r="B2657">
            <v>12365</v>
          </cell>
          <cell r="C2657" t="str">
            <v>tsp-m</v>
          </cell>
        </row>
        <row r="2658">
          <cell r="B2658">
            <v>12366</v>
          </cell>
          <cell r="C2658" t="str">
            <v>xvtg</v>
          </cell>
        </row>
        <row r="2659">
          <cell r="B2659">
            <v>12367</v>
          </cell>
          <cell r="C2659" t="str">
            <v>vtth-m</v>
          </cell>
        </row>
        <row r="2660">
          <cell r="B2660">
            <v>12368</v>
          </cell>
          <cell r="C2660" t="str">
            <v>wmtg</v>
          </cell>
        </row>
        <row r="2661">
          <cell r="B2661">
            <v>10651</v>
          </cell>
          <cell r="C2661" t="str">
            <v>MV</v>
          </cell>
        </row>
        <row r="2662">
          <cell r="B2662">
            <v>12369</v>
          </cell>
          <cell r="C2662" t="str">
            <v>Aq</v>
          </cell>
        </row>
        <row r="2663">
          <cell r="B2663">
            <v>10652</v>
          </cell>
          <cell r="C2663" t="str">
            <v>MSS</v>
          </cell>
        </row>
        <row r="2664">
          <cell r="B2664">
            <v>12370</v>
          </cell>
          <cell r="C2664" t="str">
            <v>fsmv</v>
          </cell>
        </row>
        <row r="2665">
          <cell r="B2665">
            <v>12371</v>
          </cell>
          <cell r="C2665" t="str">
            <v>ipf</v>
          </cell>
        </row>
        <row r="2666">
          <cell r="B2666">
            <v>12372</v>
          </cell>
          <cell r="C2666" t="str">
            <v>pops</v>
          </cell>
        </row>
        <row r="2667">
          <cell r="B2667">
            <v>12373</v>
          </cell>
          <cell r="C2667" t="str">
            <v>icr</v>
          </cell>
        </row>
        <row r="2668">
          <cell r="B2668">
            <v>12374</v>
          </cell>
          <cell r="C2668" t="str">
            <v>ocs</v>
          </cell>
        </row>
        <row r="2669">
          <cell r="B2669">
            <v>12375</v>
          </cell>
          <cell r="C2669" t="str">
            <v>qgb</v>
          </cell>
        </row>
        <row r="2670">
          <cell r="B2670">
            <v>12376</v>
          </cell>
          <cell r="C2670" t="str">
            <v>r3</v>
          </cell>
        </row>
        <row r="2671">
          <cell r="B2671">
            <v>12377</v>
          </cell>
          <cell r="C2671" t="str">
            <v>r4</v>
          </cell>
        </row>
        <row r="2672">
          <cell r="B2672">
            <v>12378</v>
          </cell>
          <cell r="C2672" t="str">
            <v>trill</v>
          </cell>
        </row>
        <row r="2673">
          <cell r="B2673">
            <v>266441705</v>
          </cell>
          <cell r="C2673" t="str">
            <v>mbv</v>
          </cell>
        </row>
        <row r="2674">
          <cell r="B2674">
            <v>10653</v>
          </cell>
          <cell r="C2674" t="str">
            <v>H</v>
          </cell>
        </row>
        <row r="2675">
          <cell r="B2675">
            <v>10654</v>
          </cell>
          <cell r="C2675" t="str">
            <v>HGM</v>
          </cell>
        </row>
        <row r="2676">
          <cell r="B2676">
            <v>10655</v>
          </cell>
          <cell r="C2676" t="str">
            <v>Met</v>
          </cell>
        </row>
        <row r="2677">
          <cell r="B2677">
            <v>10656</v>
          </cell>
          <cell r="C2677" t="str">
            <v>CB</v>
          </cell>
        </row>
        <row r="2678">
          <cell r="B2678">
            <v>10657</v>
          </cell>
          <cell r="C2678" t="str">
            <v>CBC</v>
          </cell>
        </row>
        <row r="2679">
          <cell r="B2679">
            <v>10658</v>
          </cell>
          <cell r="C2679" t="str">
            <v>CBV</v>
          </cell>
        </row>
        <row r="2680">
          <cell r="B2680">
            <v>12379</v>
          </cell>
          <cell r="C2680" t="str">
            <v>VeA</v>
          </cell>
        </row>
        <row r="2681">
          <cell r="B2681">
            <v>13237</v>
          </cell>
          <cell r="C2681" t="str">
            <v>VeAm</v>
          </cell>
        </row>
        <row r="2682">
          <cell r="B2682">
            <v>13238</v>
          </cell>
          <cell r="C2682" t="str">
            <v>VeAp</v>
          </cell>
        </row>
        <row r="2683">
          <cell r="B2683">
            <v>13239</v>
          </cell>
          <cell r="C2683" t="str">
            <v>VeAg</v>
          </cell>
        </row>
        <row r="2684">
          <cell r="B2684">
            <v>12380</v>
          </cell>
          <cell r="C2684" t="str">
            <v>VePo</v>
          </cell>
        </row>
        <row r="2685">
          <cell r="B2685">
            <v>12381</v>
          </cell>
          <cell r="C2685" t="str">
            <v>VePs</v>
          </cell>
        </row>
        <row r="2686">
          <cell r="B2686">
            <v>13240</v>
          </cell>
          <cell r="C2686" t="str">
            <v>VePsm</v>
          </cell>
        </row>
        <row r="2687">
          <cell r="B2687">
            <v>13241</v>
          </cell>
          <cell r="C2687" t="str">
            <v>VePsp</v>
          </cell>
        </row>
        <row r="2688">
          <cell r="B2688">
            <v>13242</v>
          </cell>
          <cell r="C2688" t="str">
            <v>VePsg</v>
          </cell>
        </row>
        <row r="2689">
          <cell r="B2689">
            <v>12382</v>
          </cell>
          <cell r="C2689" t="str">
            <v>VePi</v>
          </cell>
        </row>
        <row r="2690">
          <cell r="B2690">
            <v>13243</v>
          </cell>
          <cell r="C2690" t="str">
            <v>VePim</v>
          </cell>
        </row>
        <row r="2691">
          <cell r="B2691">
            <v>13244</v>
          </cell>
          <cell r="C2691" t="str">
            <v>VePip</v>
          </cell>
        </row>
        <row r="2692">
          <cell r="B2692">
            <v>13245</v>
          </cell>
          <cell r="C2692" t="str">
            <v>VePig</v>
          </cell>
        </row>
        <row r="2693">
          <cell r="B2693">
            <v>12383</v>
          </cell>
          <cell r="C2693" t="str">
            <v>VeF</v>
          </cell>
        </row>
        <row r="2694">
          <cell r="B2694">
            <v>13246</v>
          </cell>
          <cell r="C2694" t="str">
            <v>VeFm</v>
          </cell>
        </row>
        <row r="2695">
          <cell r="B2695">
            <v>13247</v>
          </cell>
          <cell r="C2695" t="str">
            <v>VeFp</v>
          </cell>
        </row>
        <row r="2696">
          <cell r="B2696">
            <v>13248</v>
          </cell>
          <cell r="C2696" t="str">
            <v>VeFg</v>
          </cell>
        </row>
        <row r="2697">
          <cell r="B2697">
            <v>10659</v>
          </cell>
          <cell r="C2697" t="str">
            <v>CBH</v>
          </cell>
        </row>
        <row r="2698">
          <cell r="B2698">
            <v>12384</v>
          </cell>
          <cell r="C2698" t="str">
            <v>CBPV</v>
          </cell>
        </row>
        <row r="2699">
          <cell r="B2699">
            <v>12385</v>
          </cell>
          <cell r="C2699" t="str">
            <v>PVA</v>
          </cell>
        </row>
        <row r="2700">
          <cell r="B2700">
            <v>13249</v>
          </cell>
          <cell r="C2700" t="str">
            <v>PVAm</v>
          </cell>
        </row>
        <row r="2701">
          <cell r="B2701">
            <v>13250</v>
          </cell>
          <cell r="C2701" t="str">
            <v>PVAp</v>
          </cell>
        </row>
        <row r="2702">
          <cell r="B2702">
            <v>13251</v>
          </cell>
          <cell r="C2702" t="str">
            <v>PVAg</v>
          </cell>
        </row>
        <row r="2703">
          <cell r="B2703">
            <v>12386</v>
          </cell>
          <cell r="C2703" t="str">
            <v>PVP</v>
          </cell>
        </row>
        <row r="2704">
          <cell r="B2704">
            <v>12387</v>
          </cell>
          <cell r="C2704" t="str">
            <v>PVPs</v>
          </cell>
        </row>
        <row r="2705">
          <cell r="B2705">
            <v>13252</v>
          </cell>
          <cell r="C2705" t="str">
            <v>PVPsm</v>
          </cell>
        </row>
        <row r="2706">
          <cell r="B2706">
            <v>13253</v>
          </cell>
          <cell r="C2706" t="str">
            <v>PVPsp</v>
          </cell>
        </row>
        <row r="2707">
          <cell r="B2707">
            <v>13254</v>
          </cell>
          <cell r="C2707" t="str">
            <v>PVPsg</v>
          </cell>
        </row>
        <row r="2708">
          <cell r="B2708">
            <v>12388</v>
          </cell>
          <cell r="C2708" t="str">
            <v>PVPi</v>
          </cell>
        </row>
        <row r="2709">
          <cell r="B2709">
            <v>13255</v>
          </cell>
          <cell r="C2709" t="str">
            <v>PVPim</v>
          </cell>
        </row>
        <row r="2710">
          <cell r="B2710">
            <v>13256</v>
          </cell>
          <cell r="C2710" t="str">
            <v>PVPip</v>
          </cell>
        </row>
        <row r="2711">
          <cell r="B2711">
            <v>13257</v>
          </cell>
          <cell r="C2711" t="str">
            <v>PVPig</v>
          </cell>
        </row>
        <row r="2712">
          <cell r="B2712">
            <v>12389</v>
          </cell>
          <cell r="C2712" t="str">
            <v>PVF</v>
          </cell>
        </row>
        <row r="2713">
          <cell r="B2713">
            <v>13258</v>
          </cell>
          <cell r="C2713" t="str">
            <v>PVFm</v>
          </cell>
        </row>
        <row r="2714">
          <cell r="B2714">
            <v>13259</v>
          </cell>
          <cell r="C2714" t="str">
            <v>PVFp</v>
          </cell>
        </row>
        <row r="2715">
          <cell r="B2715">
            <v>13260</v>
          </cell>
          <cell r="C2715" t="str">
            <v>PVFg</v>
          </cell>
        </row>
        <row r="2716">
          <cell r="B2716">
            <v>12390</v>
          </cell>
          <cell r="C2716" t="str">
            <v>CBL</v>
          </cell>
        </row>
        <row r="2717">
          <cell r="B2717">
            <v>12391</v>
          </cell>
          <cell r="C2717" t="str">
            <v>CBLA</v>
          </cell>
        </row>
        <row r="2718">
          <cell r="B2718">
            <v>13261</v>
          </cell>
          <cell r="C2718" t="str">
            <v>CBLAm</v>
          </cell>
        </row>
        <row r="2719">
          <cell r="B2719">
            <v>13262</v>
          </cell>
          <cell r="C2719" t="str">
            <v>CBLAp</v>
          </cell>
        </row>
        <row r="2720">
          <cell r="B2720">
            <v>13263</v>
          </cell>
          <cell r="C2720" t="str">
            <v>CBLAg</v>
          </cell>
        </row>
        <row r="2721">
          <cell r="B2721">
            <v>12392</v>
          </cell>
          <cell r="C2721" t="str">
            <v>CBLP</v>
          </cell>
        </row>
        <row r="2722">
          <cell r="B2722">
            <v>12393</v>
          </cell>
          <cell r="C2722" t="str">
            <v>CBLPs</v>
          </cell>
        </row>
        <row r="2723">
          <cell r="B2723">
            <v>13264</v>
          </cell>
          <cell r="C2723" t="str">
            <v>CBLPsm</v>
          </cell>
        </row>
        <row r="2724">
          <cell r="B2724">
            <v>13265</v>
          </cell>
          <cell r="C2724" t="str">
            <v>CBLPsp</v>
          </cell>
        </row>
        <row r="2725">
          <cell r="B2725">
            <v>13266</v>
          </cell>
          <cell r="C2725" t="str">
            <v>CBLPsg</v>
          </cell>
        </row>
        <row r="2726">
          <cell r="B2726">
            <v>12394</v>
          </cell>
          <cell r="C2726" t="str">
            <v>CBLPi</v>
          </cell>
        </row>
        <row r="2727">
          <cell r="B2727">
            <v>13267</v>
          </cell>
          <cell r="C2727" t="str">
            <v>CBLPim</v>
          </cell>
        </row>
        <row r="2728">
          <cell r="B2728">
            <v>13268</v>
          </cell>
          <cell r="C2728" t="str">
            <v>CBLPip</v>
          </cell>
        </row>
        <row r="2729">
          <cell r="B2729">
            <v>13269</v>
          </cell>
          <cell r="C2729" t="str">
            <v>CBLPig</v>
          </cell>
        </row>
        <row r="2730">
          <cell r="B2730">
            <v>12395</v>
          </cell>
          <cell r="C2730" t="str">
            <v>CBLF</v>
          </cell>
        </row>
        <row r="2731">
          <cell r="B2731">
            <v>13270</v>
          </cell>
          <cell r="C2731" t="str">
            <v>CBLFm</v>
          </cell>
        </row>
        <row r="2732">
          <cell r="B2732">
            <v>13271</v>
          </cell>
          <cell r="C2732" t="str">
            <v>CBLFp</v>
          </cell>
        </row>
        <row r="2733">
          <cell r="B2733">
            <v>13272</v>
          </cell>
          <cell r="C2733" t="str">
            <v>CBLFg</v>
          </cell>
        </row>
        <row r="2734">
          <cell r="B2734">
            <v>10660</v>
          </cell>
          <cell r="C2734" t="str">
            <v>CbDN</v>
          </cell>
        </row>
        <row r="2735">
          <cell r="B2735">
            <v>12396</v>
          </cell>
          <cell r="C2735" t="str">
            <v>DT</v>
          </cell>
        </row>
        <row r="2736">
          <cell r="B2736">
            <v>12397</v>
          </cell>
          <cell r="C2736" t="str">
            <v>DTlv</v>
          </cell>
        </row>
        <row r="2737">
          <cell r="B2737">
            <v>12398</v>
          </cell>
          <cell r="C2737" t="str">
            <v>DTmd</v>
          </cell>
        </row>
        <row r="2738">
          <cell r="B2738">
            <v>12399</v>
          </cell>
          <cell r="C2738" t="str">
            <v>InP</v>
          </cell>
        </row>
        <row r="2739">
          <cell r="B2739">
            <v>12400</v>
          </cell>
          <cell r="C2739" t="str">
            <v>InPM</v>
          </cell>
        </row>
        <row r="2740">
          <cell r="B2740">
            <v>12401</v>
          </cell>
          <cell r="C2740" t="str">
            <v>InPL</v>
          </cell>
        </row>
        <row r="2741">
          <cell r="B2741">
            <v>12402</v>
          </cell>
          <cell r="C2741" t="str">
            <v>Fas</v>
          </cell>
        </row>
        <row r="2742">
          <cell r="B2742">
            <v>12403</v>
          </cell>
          <cell r="C2742" t="str">
            <v>FasL</v>
          </cell>
        </row>
        <row r="2743">
          <cell r="B2743">
            <v>12404</v>
          </cell>
          <cell r="C2743" t="str">
            <v>FasM</v>
          </cell>
        </row>
        <row r="2744">
          <cell r="B2744">
            <v>267499207</v>
          </cell>
          <cell r="C2744" t="str">
            <v>BIcb</v>
          </cell>
        </row>
        <row r="2745">
          <cell r="B2745">
            <v>10661</v>
          </cell>
          <cell r="C2745" t="str">
            <v>Pn</v>
          </cell>
        </row>
        <row r="2746">
          <cell r="B2746">
            <v>12405</v>
          </cell>
          <cell r="C2746" t="str">
            <v>PnBa</v>
          </cell>
        </row>
        <row r="2747">
          <cell r="B2747">
            <v>12406</v>
          </cell>
          <cell r="C2747" t="str">
            <v>PN</v>
          </cell>
        </row>
        <row r="2748">
          <cell r="B2748">
            <v>12407</v>
          </cell>
          <cell r="C2748" t="str">
            <v>PNd</v>
          </cell>
        </row>
        <row r="2749">
          <cell r="B2749">
            <v>12408</v>
          </cell>
          <cell r="C2749" t="str">
            <v>PNdl</v>
          </cell>
        </row>
        <row r="2750">
          <cell r="B2750">
            <v>12409</v>
          </cell>
          <cell r="C2750" t="str">
            <v>PNdm</v>
          </cell>
        </row>
        <row r="2751">
          <cell r="B2751">
            <v>12410</v>
          </cell>
          <cell r="C2751" t="str">
            <v>PNl</v>
          </cell>
        </row>
        <row r="2752">
          <cell r="B2752">
            <v>12411</v>
          </cell>
          <cell r="C2752" t="str">
            <v>PNm</v>
          </cell>
        </row>
        <row r="2753">
          <cell r="B2753">
            <v>12412</v>
          </cell>
          <cell r="C2753" t="str">
            <v>PNpar</v>
          </cell>
        </row>
        <row r="2754">
          <cell r="B2754">
            <v>12413</v>
          </cell>
          <cell r="C2754" t="str">
            <v>PNped</v>
          </cell>
        </row>
        <row r="2755">
          <cell r="B2755">
            <v>12414</v>
          </cell>
          <cell r="C2755" t="str">
            <v>RTg</v>
          </cell>
        </row>
        <row r="2756">
          <cell r="B2756">
            <v>12416</v>
          </cell>
          <cell r="C2756" t="str">
            <v>PnTg</v>
          </cell>
        </row>
        <row r="2757">
          <cell r="B2757">
            <v>12417</v>
          </cell>
          <cell r="C2757" t="str">
            <v>PnEN</v>
          </cell>
        </row>
        <row r="2758">
          <cell r="B2758">
            <v>12418</v>
          </cell>
          <cell r="C2758" t="str">
            <v>6N</v>
          </cell>
        </row>
        <row r="2759">
          <cell r="B2759">
            <v>12419</v>
          </cell>
          <cell r="C2759" t="str">
            <v>Acs7</v>
          </cell>
        </row>
        <row r="2760">
          <cell r="B2760">
            <v>12420</v>
          </cell>
          <cell r="C2760" t="str">
            <v>7N</v>
          </cell>
        </row>
        <row r="2761">
          <cell r="B2761">
            <v>12421</v>
          </cell>
          <cell r="C2761" t="str">
            <v>7D</v>
          </cell>
        </row>
        <row r="2762">
          <cell r="B2762">
            <v>12422</v>
          </cell>
          <cell r="C2762" t="str">
            <v>7VI</v>
          </cell>
        </row>
        <row r="2763">
          <cell r="B2763">
            <v>12424</v>
          </cell>
          <cell r="C2763" t="str">
            <v>7VM</v>
          </cell>
        </row>
        <row r="2764">
          <cell r="B2764">
            <v>15554</v>
          </cell>
          <cell r="C2764" t="str">
            <v>7SH</v>
          </cell>
        </row>
        <row r="2765">
          <cell r="B2765">
            <v>12427</v>
          </cell>
          <cell r="C2765" t="str">
            <v>7VL</v>
          </cell>
        </row>
        <row r="2766">
          <cell r="B2766">
            <v>12428</v>
          </cell>
          <cell r="C2766" t="str">
            <v>Lac</v>
          </cell>
        </row>
        <row r="2767">
          <cell r="B2767">
            <v>12429</v>
          </cell>
          <cell r="C2767" t="str">
            <v>Mo5</v>
          </cell>
        </row>
        <row r="2768">
          <cell r="B2768">
            <v>12430</v>
          </cell>
          <cell r="C2768" t="str">
            <v>Mo5lpt</v>
          </cell>
        </row>
        <row r="2769">
          <cell r="B2769">
            <v>12431</v>
          </cell>
          <cell r="C2769" t="str">
            <v>Mo5ma</v>
          </cell>
        </row>
        <row r="2770">
          <cell r="B2770">
            <v>12432</v>
          </cell>
          <cell r="C2770" t="str">
            <v>Mo5mpt</v>
          </cell>
        </row>
        <row r="2771">
          <cell r="B2771">
            <v>12433</v>
          </cell>
          <cell r="C2771" t="str">
            <v>Mo5my</v>
          </cell>
        </row>
        <row r="2772">
          <cell r="B2772">
            <v>12434</v>
          </cell>
          <cell r="C2772" t="str">
            <v>Mo5te</v>
          </cell>
        </row>
        <row r="2773">
          <cell r="B2773">
            <v>12435</v>
          </cell>
          <cell r="C2773" t="str">
            <v>SuSV</v>
          </cell>
        </row>
        <row r="2774">
          <cell r="B2774">
            <v>12436</v>
          </cell>
          <cell r="C2774" t="str">
            <v>PnAN</v>
          </cell>
        </row>
        <row r="2775">
          <cell r="B2775">
            <v>12437</v>
          </cell>
          <cell r="C2775" t="str">
            <v>8Co</v>
          </cell>
        </row>
        <row r="2776">
          <cell r="B2776">
            <v>12438</v>
          </cell>
          <cell r="C2776" t="str">
            <v>DCo</v>
          </cell>
        </row>
        <row r="2777">
          <cell r="B2777">
            <v>12442</v>
          </cell>
          <cell r="C2777" t="str">
            <v>GrCo</v>
          </cell>
        </row>
        <row r="2778">
          <cell r="B2778">
            <v>12439</v>
          </cell>
          <cell r="C2778" t="str">
            <v>VCo</v>
          </cell>
        </row>
        <row r="2779">
          <cell r="B2779">
            <v>12440</v>
          </cell>
          <cell r="C2779" t="str">
            <v>VCoR</v>
          </cell>
        </row>
        <row r="2780">
          <cell r="B2780">
            <v>12441</v>
          </cell>
          <cell r="C2780" t="str">
            <v>VCoC</v>
          </cell>
        </row>
        <row r="2781">
          <cell r="B2781">
            <v>12443</v>
          </cell>
          <cell r="C2781" t="str">
            <v>Me5-p</v>
          </cell>
        </row>
        <row r="2782">
          <cell r="B2782">
            <v>12444</v>
          </cell>
          <cell r="C2782" t="str">
            <v>Pr5</v>
          </cell>
        </row>
        <row r="2783">
          <cell r="B2783">
            <v>12445</v>
          </cell>
          <cell r="C2783" t="str">
            <v>Pr5dm</v>
          </cell>
        </row>
        <row r="2784">
          <cell r="B2784">
            <v>12446</v>
          </cell>
          <cell r="C2784" t="str">
            <v>Pr5vl</v>
          </cell>
        </row>
        <row r="2785">
          <cell r="B2785">
            <v>12447</v>
          </cell>
          <cell r="C2785" t="str">
            <v>Sp5o</v>
          </cell>
        </row>
        <row r="2786">
          <cell r="B2786">
            <v>12448</v>
          </cell>
          <cell r="C2786" t="str">
            <v>8Ve-p</v>
          </cell>
        </row>
        <row r="2787">
          <cell r="B2787">
            <v>12449</v>
          </cell>
          <cell r="C2787" t="str">
            <v>LVe</v>
          </cell>
        </row>
        <row r="2788">
          <cell r="B2788">
            <v>12450</v>
          </cell>
          <cell r="C2788" t="str">
            <v>LVeMC</v>
          </cell>
        </row>
        <row r="2789">
          <cell r="B2789">
            <v>12451</v>
          </cell>
          <cell r="C2789" t="str">
            <v>LVePC</v>
          </cell>
        </row>
        <row r="2790">
          <cell r="B2790">
            <v>12452</v>
          </cell>
          <cell r="C2790" t="str">
            <v>SuVe</v>
          </cell>
        </row>
        <row r="2791">
          <cell r="B2791">
            <v>12266</v>
          </cell>
          <cell r="C2791" t="str">
            <v>VTg</v>
          </cell>
        </row>
        <row r="2792">
          <cell r="B2792">
            <v>146034960</v>
          </cell>
          <cell r="C2792" t="str">
            <v>VTgR</v>
          </cell>
        </row>
        <row r="2793">
          <cell r="B2793">
            <v>12267</v>
          </cell>
          <cell r="C2793" t="str">
            <v>VTgI</v>
          </cell>
        </row>
        <row r="2794">
          <cell r="B2794">
            <v>12268</v>
          </cell>
          <cell r="C2794" t="str">
            <v>VTgP</v>
          </cell>
        </row>
        <row r="2795">
          <cell r="B2795">
            <v>12269</v>
          </cell>
          <cell r="C2795" t="str">
            <v>VTgS</v>
          </cell>
        </row>
        <row r="2796">
          <cell r="B2796">
            <v>12453</v>
          </cell>
          <cell r="C2796" t="str">
            <v>PnAR</v>
          </cell>
        </row>
        <row r="2797">
          <cell r="B2797">
            <v>12454</v>
          </cell>
          <cell r="C2797" t="str">
            <v>LLN</v>
          </cell>
        </row>
        <row r="2798">
          <cell r="B2798">
            <v>12455</v>
          </cell>
          <cell r="C2798" t="str">
            <v>DLL</v>
          </cell>
        </row>
        <row r="2799">
          <cell r="B2799">
            <v>12456</v>
          </cell>
          <cell r="C2799" t="str">
            <v>ILL</v>
          </cell>
        </row>
        <row r="2800">
          <cell r="B2800">
            <v>12457</v>
          </cell>
          <cell r="C2800" t="str">
            <v>VLL</v>
          </cell>
        </row>
        <row r="2801">
          <cell r="B2801">
            <v>12458</v>
          </cell>
          <cell r="C2801" t="str">
            <v>TrZ</v>
          </cell>
        </row>
        <row r="2802">
          <cell r="B2802">
            <v>12459</v>
          </cell>
          <cell r="C2802" t="str">
            <v>TrZl</v>
          </cell>
        </row>
        <row r="2803">
          <cell r="B2803">
            <v>12460</v>
          </cell>
          <cell r="C2803" t="str">
            <v>TrZm</v>
          </cell>
        </row>
        <row r="2804">
          <cell r="B2804">
            <v>12461</v>
          </cell>
          <cell r="C2804" t="str">
            <v>TrZv</v>
          </cell>
        </row>
        <row r="2805">
          <cell r="B2805">
            <v>12462</v>
          </cell>
          <cell r="C2805" t="str">
            <v>SOC</v>
          </cell>
        </row>
        <row r="2806">
          <cell r="B2806">
            <v>12464</v>
          </cell>
          <cell r="C2806" t="str">
            <v>POI</v>
          </cell>
        </row>
        <row r="2807">
          <cell r="B2807">
            <v>12465</v>
          </cell>
          <cell r="C2807" t="str">
            <v>LPOI</v>
          </cell>
        </row>
        <row r="2808">
          <cell r="B2808">
            <v>12466</v>
          </cell>
          <cell r="C2808" t="str">
            <v>MPOI</v>
          </cell>
        </row>
        <row r="2809">
          <cell r="B2809">
            <v>12467</v>
          </cell>
          <cell r="C2809" t="str">
            <v>RO</v>
          </cell>
        </row>
        <row r="2810">
          <cell r="B2810">
            <v>12468</v>
          </cell>
          <cell r="C2810" t="str">
            <v>SOI</v>
          </cell>
        </row>
        <row r="2811">
          <cell r="B2811">
            <v>12469</v>
          </cell>
          <cell r="C2811" t="str">
            <v>LSO</v>
          </cell>
        </row>
        <row r="2812">
          <cell r="B2812">
            <v>12470</v>
          </cell>
          <cell r="C2812" t="str">
            <v>MSO</v>
          </cell>
        </row>
        <row r="2813">
          <cell r="B2813">
            <v>12463</v>
          </cell>
          <cell r="C2813" t="str">
            <v>SPO</v>
          </cell>
        </row>
        <row r="2814">
          <cell r="B2814">
            <v>266441709</v>
          </cell>
          <cell r="C2814" t="str">
            <v>PrO</v>
          </cell>
        </row>
        <row r="2815">
          <cell r="B2815">
            <v>12471</v>
          </cell>
          <cell r="C2815" t="str">
            <v>PnRa</v>
          </cell>
        </row>
        <row r="2816">
          <cell r="B2816">
            <v>12472</v>
          </cell>
          <cell r="C2816" t="str">
            <v>DR-p</v>
          </cell>
        </row>
        <row r="2817">
          <cell r="B2817">
            <v>12473</v>
          </cell>
          <cell r="C2817" t="str">
            <v>MnR-p</v>
          </cell>
        </row>
        <row r="2818">
          <cell r="B2818">
            <v>12474</v>
          </cell>
          <cell r="C2818" t="str">
            <v>PMnRt</v>
          </cell>
        </row>
        <row r="2819">
          <cell r="B2819">
            <v>12475</v>
          </cell>
          <cell r="C2819" t="str">
            <v>PRn</v>
          </cell>
        </row>
        <row r="2820">
          <cell r="B2820">
            <v>12476</v>
          </cell>
          <cell r="C2820" t="str">
            <v>RIP</v>
          </cell>
        </row>
        <row r="2821">
          <cell r="B2821">
            <v>12480</v>
          </cell>
          <cell r="C2821" t="str">
            <v>PnRF</v>
          </cell>
        </row>
        <row r="2822">
          <cell r="B2822">
            <v>12481</v>
          </cell>
          <cell r="C2822" t="str">
            <v>PB</v>
          </cell>
        </row>
        <row r="2823">
          <cell r="B2823">
            <v>12482</v>
          </cell>
          <cell r="C2823" t="str">
            <v>LPB</v>
          </cell>
        </row>
        <row r="2824">
          <cell r="B2824">
            <v>12483</v>
          </cell>
          <cell r="C2824" t="str">
            <v>LPBc</v>
          </cell>
        </row>
        <row r="2825">
          <cell r="B2825">
            <v>12484</v>
          </cell>
          <cell r="C2825" t="str">
            <v>LPBd</v>
          </cell>
        </row>
        <row r="2826">
          <cell r="B2826">
            <v>12485</v>
          </cell>
          <cell r="C2826" t="str">
            <v>LPBe</v>
          </cell>
        </row>
        <row r="2827">
          <cell r="B2827">
            <v>12486</v>
          </cell>
          <cell r="C2827" t="str">
            <v>LPBs</v>
          </cell>
        </row>
        <row r="2828">
          <cell r="B2828">
            <v>12487</v>
          </cell>
          <cell r="C2828" t="str">
            <v>MPB</v>
          </cell>
        </row>
        <row r="2829">
          <cell r="B2829">
            <v>12488</v>
          </cell>
          <cell r="C2829" t="str">
            <v>MPBe</v>
          </cell>
        </row>
        <row r="2830">
          <cell r="B2830">
            <v>12489</v>
          </cell>
          <cell r="C2830" t="str">
            <v>MPBm</v>
          </cell>
        </row>
        <row r="2831">
          <cell r="B2831">
            <v>12490</v>
          </cell>
          <cell r="C2831" t="str">
            <v>SPP</v>
          </cell>
        </row>
        <row r="2832">
          <cell r="B2832">
            <v>12491</v>
          </cell>
          <cell r="C2832" t="str">
            <v>SPB</v>
          </cell>
        </row>
        <row r="2833">
          <cell r="B2833">
            <v>12492</v>
          </cell>
          <cell r="C2833" t="str">
            <v>PnRt</v>
          </cell>
        </row>
        <row r="2834">
          <cell r="B2834">
            <v>12493</v>
          </cell>
          <cell r="C2834" t="str">
            <v>PnC</v>
          </cell>
        </row>
        <row r="2835">
          <cell r="B2835">
            <v>12494</v>
          </cell>
          <cell r="C2835" t="str">
            <v>PnO</v>
          </cell>
        </row>
        <row r="2836">
          <cell r="B2836">
            <v>12495</v>
          </cell>
          <cell r="C2836" t="str">
            <v>PLN</v>
          </cell>
        </row>
        <row r="2837">
          <cell r="B2837">
            <v>12496</v>
          </cell>
          <cell r="C2837" t="str">
            <v>PMn</v>
          </cell>
        </row>
        <row r="2838">
          <cell r="B2838">
            <v>12497</v>
          </cell>
          <cell r="C2838" t="str">
            <v>RtTg</v>
          </cell>
        </row>
        <row r="2839">
          <cell r="B2839">
            <v>15555</v>
          </cell>
          <cell r="C2839" t="str">
            <v>RtTgD</v>
          </cell>
        </row>
        <row r="2840">
          <cell r="B2840">
            <v>12498</v>
          </cell>
          <cell r="C2840" t="str">
            <v>PnNA</v>
          </cell>
        </row>
        <row r="2841">
          <cell r="B2841">
            <v>12499</v>
          </cell>
          <cell r="C2841" t="str">
            <v>NC</v>
          </cell>
        </row>
        <row r="2842">
          <cell r="B2842">
            <v>12500</v>
          </cell>
          <cell r="C2842" t="str">
            <v>SubC</v>
          </cell>
        </row>
        <row r="2843">
          <cell r="B2843">
            <v>12501</v>
          </cell>
          <cell r="C2843" t="str">
            <v>SubCd</v>
          </cell>
        </row>
        <row r="2844">
          <cell r="B2844">
            <v>12502</v>
          </cell>
          <cell r="C2844" t="str">
            <v>SubCv</v>
          </cell>
        </row>
        <row r="2845">
          <cell r="B2845">
            <v>12503</v>
          </cell>
          <cell r="C2845" t="str">
            <v>XPnTg</v>
          </cell>
        </row>
        <row r="2846">
          <cell r="B2846">
            <v>12504</v>
          </cell>
          <cell r="C2846" t="str">
            <v>Acs5</v>
          </cell>
        </row>
        <row r="2847">
          <cell r="B2847">
            <v>12505</v>
          </cell>
          <cell r="C2847" t="str">
            <v>AInS</v>
          </cell>
        </row>
        <row r="2848">
          <cell r="B2848">
            <v>15556</v>
          </cell>
          <cell r="C2848" t="str">
            <v>B9</v>
          </cell>
        </row>
        <row r="2849">
          <cell r="B2849">
            <v>12506</v>
          </cell>
          <cell r="C2849" t="str">
            <v>Bar</v>
          </cell>
        </row>
        <row r="2850">
          <cell r="B2850">
            <v>146034964</v>
          </cell>
          <cell r="C2850" t="str">
            <v>PnCG</v>
          </cell>
        </row>
        <row r="2851">
          <cell r="B2851">
            <v>12507</v>
          </cell>
          <cell r="C2851" t="str">
            <v>CAT</v>
          </cell>
        </row>
        <row r="2852">
          <cell r="B2852">
            <v>12508</v>
          </cell>
          <cell r="C2852" t="str">
            <v>DTg</v>
          </cell>
        </row>
        <row r="2853">
          <cell r="B2853">
            <v>12509</v>
          </cell>
          <cell r="C2853" t="str">
            <v>DTgC</v>
          </cell>
        </row>
        <row r="2854">
          <cell r="B2854">
            <v>12510</v>
          </cell>
          <cell r="C2854" t="str">
            <v>DTgP</v>
          </cell>
        </row>
        <row r="2855">
          <cell r="B2855">
            <v>15557</v>
          </cell>
          <cell r="C2855" t="str">
            <v>DMTg</v>
          </cell>
        </row>
        <row r="2856">
          <cell r="B2856">
            <v>146034968</v>
          </cell>
          <cell r="C2856" t="str">
            <v>PnE</v>
          </cell>
        </row>
        <row r="2857">
          <cell r="B2857">
            <v>12512</v>
          </cell>
          <cell r="C2857" t="str">
            <v>EpC</v>
          </cell>
        </row>
        <row r="2858">
          <cell r="B2858">
            <v>12513</v>
          </cell>
          <cell r="C2858" t="str">
            <v>PnG</v>
          </cell>
        </row>
        <row r="2859">
          <cell r="B2859">
            <v>12514</v>
          </cell>
          <cell r="C2859" t="str">
            <v>IIMLF</v>
          </cell>
        </row>
        <row r="2860">
          <cell r="B2860">
            <v>12515</v>
          </cell>
          <cell r="C2860" t="str">
            <v>IMLF</v>
          </cell>
        </row>
        <row r="2861">
          <cell r="B2861">
            <v>12516</v>
          </cell>
          <cell r="C2861" t="str">
            <v>I5</v>
          </cell>
        </row>
        <row r="2862">
          <cell r="B2862">
            <v>12517</v>
          </cell>
          <cell r="C2862" t="str">
            <v>JxO</v>
          </cell>
        </row>
        <row r="2863">
          <cell r="B2863">
            <v>12518</v>
          </cell>
          <cell r="C2863" t="str">
            <v>KF</v>
          </cell>
        </row>
        <row r="2864">
          <cell r="B2864">
            <v>12519</v>
          </cell>
          <cell r="C2864" t="str">
            <v>LDTg</v>
          </cell>
        </row>
        <row r="2865">
          <cell r="B2865">
            <v>12520</v>
          </cell>
          <cell r="C2865" t="str">
            <v>LDTgD</v>
          </cell>
        </row>
        <row r="2866">
          <cell r="B2866">
            <v>12521</v>
          </cell>
          <cell r="C2866" t="str">
            <v>LDTgV</v>
          </cell>
        </row>
        <row r="2867">
          <cell r="B2867">
            <v>146034972</v>
          </cell>
          <cell r="C2867" t="str">
            <v>NI</v>
          </cell>
        </row>
        <row r="2868">
          <cell r="B2868">
            <v>12522</v>
          </cell>
          <cell r="C2868" t="str">
            <v>K</v>
          </cell>
        </row>
        <row r="2869">
          <cell r="B2869">
            <v>12523</v>
          </cell>
          <cell r="C2869" t="str">
            <v>L</v>
          </cell>
        </row>
        <row r="2870">
          <cell r="B2870">
            <v>12524</v>
          </cell>
          <cell r="C2870" t="str">
            <v>Pa6</v>
          </cell>
        </row>
        <row r="2871">
          <cell r="B2871">
            <v>12525</v>
          </cell>
          <cell r="C2871" t="str">
            <v>PCuN</v>
          </cell>
        </row>
        <row r="2872">
          <cell r="B2872">
            <v>12526</v>
          </cell>
          <cell r="C2872" t="str">
            <v>LPCu</v>
          </cell>
        </row>
        <row r="2873">
          <cell r="B2873">
            <v>12527</v>
          </cell>
          <cell r="C2873" t="str">
            <v>MPCu</v>
          </cell>
        </row>
        <row r="2874">
          <cell r="B2874">
            <v>12425</v>
          </cell>
          <cell r="C2874" t="str">
            <v>PF7</v>
          </cell>
        </row>
        <row r="2875">
          <cell r="B2875">
            <v>12528</v>
          </cell>
          <cell r="C2875" t="str">
            <v>PnBi</v>
          </cell>
        </row>
        <row r="2876">
          <cell r="B2876">
            <v>12529</v>
          </cell>
          <cell r="C2876" t="str">
            <v>P5</v>
          </cell>
        </row>
        <row r="2877">
          <cell r="B2877">
            <v>12530</v>
          </cell>
          <cell r="C2877" t="str">
            <v>R7</v>
          </cell>
        </row>
        <row r="2878">
          <cell r="B2878">
            <v>12531</v>
          </cell>
          <cell r="C2878" t="str">
            <v>RTz</v>
          </cell>
        </row>
        <row r="2879">
          <cell r="B2879">
            <v>266441713</v>
          </cell>
          <cell r="C2879" t="str">
            <v>5N</v>
          </cell>
        </row>
        <row r="2880">
          <cell r="B2880">
            <v>12534</v>
          </cell>
          <cell r="C2880" t="str">
            <v>VLTg</v>
          </cell>
        </row>
        <row r="2881">
          <cell r="B2881">
            <v>12662</v>
          </cell>
          <cell r="C2881" t="str">
            <v>SGe</v>
          </cell>
        </row>
        <row r="2882">
          <cell r="B2882">
            <v>10662</v>
          </cell>
          <cell r="C2882" t="str">
            <v>Mo</v>
          </cell>
        </row>
        <row r="2883">
          <cell r="B2883">
            <v>12535</v>
          </cell>
          <cell r="C2883" t="str">
            <v>MoPy</v>
          </cell>
        </row>
        <row r="2884">
          <cell r="B2884">
            <v>12536</v>
          </cell>
          <cell r="C2884" t="str">
            <v>Ar</v>
          </cell>
        </row>
        <row r="2885">
          <cell r="B2885">
            <v>12537</v>
          </cell>
          <cell r="C2885" t="str">
            <v>Ct</v>
          </cell>
        </row>
        <row r="2886">
          <cell r="B2886">
            <v>12538</v>
          </cell>
          <cell r="C2886" t="str">
            <v>MoTg</v>
          </cell>
        </row>
        <row r="2887">
          <cell r="B2887">
            <v>12539</v>
          </cell>
          <cell r="C2887" t="str">
            <v>MoEN</v>
          </cell>
        </row>
        <row r="2888">
          <cell r="B2888">
            <v>12540</v>
          </cell>
          <cell r="C2888" t="str">
            <v>Amb</v>
          </cell>
        </row>
        <row r="2889">
          <cell r="B2889">
            <v>12541</v>
          </cell>
          <cell r="C2889" t="str">
            <v>AmbC</v>
          </cell>
        </row>
        <row r="2890">
          <cell r="B2890">
            <v>12542</v>
          </cell>
          <cell r="C2890" t="str">
            <v>AmbL</v>
          </cell>
        </row>
        <row r="2891">
          <cell r="B2891">
            <v>12543</v>
          </cell>
          <cell r="C2891" t="str">
            <v>AmbSC</v>
          </cell>
        </row>
        <row r="2892">
          <cell r="B2892">
            <v>12545</v>
          </cell>
          <cell r="C2892" t="str">
            <v>12N</v>
          </cell>
        </row>
        <row r="2893">
          <cell r="B2893">
            <v>12546</v>
          </cell>
          <cell r="C2893" t="str">
            <v>12GH</v>
          </cell>
        </row>
        <row r="2894">
          <cell r="B2894">
            <v>12547</v>
          </cell>
          <cell r="C2894" t="str">
            <v>12L</v>
          </cell>
        </row>
        <row r="2895">
          <cell r="B2895">
            <v>12548</v>
          </cell>
          <cell r="C2895" t="str">
            <v>12M</v>
          </cell>
        </row>
        <row r="2896">
          <cell r="B2896">
            <v>12549</v>
          </cell>
          <cell r="C2896" t="str">
            <v>12V</v>
          </cell>
        </row>
        <row r="2897">
          <cell r="B2897">
            <v>12544</v>
          </cell>
          <cell r="C2897" t="str">
            <v>InSV</v>
          </cell>
        </row>
        <row r="2898">
          <cell r="B2898">
            <v>12550</v>
          </cell>
          <cell r="C2898" t="str">
            <v>10N</v>
          </cell>
        </row>
        <row r="2899">
          <cell r="B2899">
            <v>12551</v>
          </cell>
          <cell r="C2899" t="str">
            <v>10CaI</v>
          </cell>
        </row>
        <row r="2900">
          <cell r="B2900">
            <v>12552</v>
          </cell>
          <cell r="C2900" t="str">
            <v>10CeI</v>
          </cell>
        </row>
        <row r="2901">
          <cell r="B2901">
            <v>12553</v>
          </cell>
          <cell r="C2901" t="str">
            <v>10DI</v>
          </cell>
        </row>
        <row r="2902">
          <cell r="B2902">
            <v>12554</v>
          </cell>
          <cell r="C2902" t="str">
            <v>10DR</v>
          </cell>
        </row>
        <row r="2903">
          <cell r="B2903">
            <v>12555</v>
          </cell>
          <cell r="C2903" t="str">
            <v>10F</v>
          </cell>
        </row>
        <row r="2904">
          <cell r="B2904">
            <v>15558</v>
          </cell>
          <cell r="C2904" t="str">
            <v>10VI</v>
          </cell>
        </row>
        <row r="2905">
          <cell r="B2905">
            <v>15559</v>
          </cell>
          <cell r="C2905" t="str">
            <v>10VR</v>
          </cell>
        </row>
        <row r="2906">
          <cell r="B2906">
            <v>12556</v>
          </cell>
          <cell r="C2906" t="str">
            <v>MoAN</v>
          </cell>
        </row>
        <row r="2907">
          <cell r="B2907">
            <v>12557</v>
          </cell>
          <cell r="C2907" t="str">
            <v>Sol</v>
          </cell>
        </row>
        <row r="2908">
          <cell r="B2908">
            <v>12558</v>
          </cell>
          <cell r="C2908" t="str">
            <v>SolC</v>
          </cell>
        </row>
        <row r="2909">
          <cell r="B2909">
            <v>12559</v>
          </cell>
          <cell r="C2909" t="str">
            <v>SolD</v>
          </cell>
        </row>
        <row r="2910">
          <cell r="B2910">
            <v>12560</v>
          </cell>
          <cell r="C2910" t="str">
            <v>SolDL</v>
          </cell>
        </row>
        <row r="2911">
          <cell r="B2911">
            <v>12561</v>
          </cell>
          <cell r="C2911" t="str">
            <v>SolG</v>
          </cell>
        </row>
        <row r="2912">
          <cell r="B2912">
            <v>12562</v>
          </cell>
          <cell r="C2912" t="str">
            <v>SolIM</v>
          </cell>
        </row>
        <row r="2913">
          <cell r="B2913">
            <v>12563</v>
          </cell>
          <cell r="C2913" t="str">
            <v>SolI</v>
          </cell>
        </row>
        <row r="2914">
          <cell r="B2914">
            <v>12564</v>
          </cell>
          <cell r="C2914" t="str">
            <v>SolIc</v>
          </cell>
        </row>
        <row r="2915">
          <cell r="B2915">
            <v>12565</v>
          </cell>
          <cell r="C2915" t="str">
            <v>SolIr</v>
          </cell>
        </row>
        <row r="2916">
          <cell r="B2916">
            <v>12566</v>
          </cell>
          <cell r="C2916" t="str">
            <v>SolM</v>
          </cell>
        </row>
        <row r="2917">
          <cell r="B2917">
            <v>12567</v>
          </cell>
          <cell r="C2917" t="str">
            <v>SolPaC</v>
          </cell>
        </row>
        <row r="2918">
          <cell r="B2918">
            <v>12568</v>
          </cell>
          <cell r="C2918" t="str">
            <v>SolV</v>
          </cell>
        </row>
        <row r="2919">
          <cell r="B2919">
            <v>12569</v>
          </cell>
          <cell r="C2919" t="str">
            <v>SolVL</v>
          </cell>
        </row>
        <row r="2920">
          <cell r="B2920">
            <v>12570</v>
          </cell>
          <cell r="C2920" t="str">
            <v>SSol</v>
          </cell>
        </row>
        <row r="2921">
          <cell r="B2921">
            <v>12571</v>
          </cell>
          <cell r="C2921" t="str">
            <v>PSol</v>
          </cell>
        </row>
        <row r="2922">
          <cell r="B2922">
            <v>12572</v>
          </cell>
          <cell r="C2922" t="str">
            <v>Sp5</v>
          </cell>
        </row>
        <row r="2923">
          <cell r="B2923">
            <v>12573</v>
          </cell>
          <cell r="C2923" t="str">
            <v>Sp5C</v>
          </cell>
        </row>
        <row r="2924">
          <cell r="B2924">
            <v>12574</v>
          </cell>
          <cell r="C2924" t="str">
            <v>Sp5C1</v>
          </cell>
        </row>
        <row r="2925">
          <cell r="B2925">
            <v>12575</v>
          </cell>
          <cell r="C2925" t="str">
            <v>Sp5C2</v>
          </cell>
        </row>
        <row r="2926">
          <cell r="B2926">
            <v>12576</v>
          </cell>
          <cell r="C2926" t="str">
            <v>SP5C3/4</v>
          </cell>
        </row>
        <row r="2927">
          <cell r="B2927">
            <v>12577</v>
          </cell>
          <cell r="C2927" t="str">
            <v>DM5</v>
          </cell>
        </row>
        <row r="2928">
          <cell r="B2928">
            <v>12578</v>
          </cell>
          <cell r="C2928" t="str">
            <v>Sp5ip</v>
          </cell>
        </row>
        <row r="2929">
          <cell r="B2929">
            <v>12579</v>
          </cell>
          <cell r="C2929" t="str">
            <v>8Ve</v>
          </cell>
        </row>
        <row r="2930">
          <cell r="B2930">
            <v>12580</v>
          </cell>
          <cell r="C2930" t="str">
            <v>I8</v>
          </cell>
        </row>
        <row r="2931">
          <cell r="B2931">
            <v>12581</v>
          </cell>
          <cell r="C2931" t="str">
            <v>MVe</v>
          </cell>
        </row>
        <row r="2932">
          <cell r="B2932">
            <v>12582</v>
          </cell>
          <cell r="C2932" t="str">
            <v>MVeMC</v>
          </cell>
        </row>
        <row r="2933">
          <cell r="B2933">
            <v>12583</v>
          </cell>
          <cell r="C2933" t="str">
            <v>MVePC</v>
          </cell>
        </row>
        <row r="2934">
          <cell r="B2934">
            <v>12584</v>
          </cell>
          <cell r="C2934" t="str">
            <v>EVe</v>
          </cell>
        </row>
        <row r="2935">
          <cell r="B2935">
            <v>12585</v>
          </cell>
          <cell r="C2935" t="str">
            <v>SpVe</v>
          </cell>
        </row>
        <row r="2936">
          <cell r="B2936">
            <v>12586</v>
          </cell>
          <cell r="C2936" t="str">
            <v>PaVe</v>
          </cell>
        </row>
        <row r="2937">
          <cell r="B2937">
            <v>12587</v>
          </cell>
          <cell r="C2937" t="str">
            <v>MoSR</v>
          </cell>
        </row>
        <row r="2938">
          <cell r="B2938">
            <v>12588</v>
          </cell>
          <cell r="C2938" t="str">
            <v>ECu</v>
          </cell>
        </row>
        <row r="2939">
          <cell r="B2939">
            <v>12589</v>
          </cell>
          <cell r="C2939" t="str">
            <v>Cu</v>
          </cell>
        </row>
        <row r="2940">
          <cell r="B2940">
            <v>12590</v>
          </cell>
          <cell r="C2940" t="str">
            <v>CuR</v>
          </cell>
        </row>
        <row r="2941">
          <cell r="B2941">
            <v>12591</v>
          </cell>
          <cell r="C2941" t="str">
            <v>CuT</v>
          </cell>
        </row>
        <row r="2942">
          <cell r="B2942">
            <v>12592</v>
          </cell>
          <cell r="C2942" t="str">
            <v>Gr</v>
          </cell>
        </row>
        <row r="2943">
          <cell r="B2943">
            <v>12593</v>
          </cell>
          <cell r="C2943" t="str">
            <v>GrC</v>
          </cell>
        </row>
        <row r="2944">
          <cell r="B2944">
            <v>12594</v>
          </cell>
          <cell r="C2944" t="str">
            <v>GrR</v>
          </cell>
        </row>
        <row r="2945">
          <cell r="B2945">
            <v>12595</v>
          </cell>
          <cell r="C2945" t="str">
            <v>PrCbN</v>
          </cell>
        </row>
        <row r="2946">
          <cell r="B2946">
            <v>12596</v>
          </cell>
          <cell r="C2946" t="str">
            <v>Crb</v>
          </cell>
        </row>
        <row r="2947">
          <cell r="B2947">
            <v>12597</v>
          </cell>
          <cell r="C2947" t="str">
            <v>DPMn</v>
          </cell>
        </row>
        <row r="2948">
          <cell r="B2948">
            <v>12598</v>
          </cell>
          <cell r="C2948" t="str">
            <v>CDPMn</v>
          </cell>
        </row>
        <row r="2949">
          <cell r="B2949">
            <v>12599</v>
          </cell>
          <cell r="C2949" t="str">
            <v>ODPMn</v>
          </cell>
        </row>
        <row r="2950">
          <cell r="B2950">
            <v>12600</v>
          </cell>
          <cell r="C2950" t="str">
            <v>IO</v>
          </cell>
        </row>
        <row r="2951">
          <cell r="B2951">
            <v>12601</v>
          </cell>
          <cell r="C2951" t="str">
            <v>IODM</v>
          </cell>
        </row>
        <row r="2952">
          <cell r="B2952">
            <v>12602</v>
          </cell>
          <cell r="C2952" t="str">
            <v>IOBe</v>
          </cell>
        </row>
        <row r="2953">
          <cell r="B2953">
            <v>12603</v>
          </cell>
          <cell r="C2953" t="str">
            <v>IOD</v>
          </cell>
        </row>
        <row r="2954">
          <cell r="B2954">
            <v>12604</v>
          </cell>
          <cell r="C2954" t="str">
            <v>IODC</v>
          </cell>
        </row>
        <row r="2955">
          <cell r="B2955">
            <v>12605</v>
          </cell>
          <cell r="C2955" t="str">
            <v>IOM</v>
          </cell>
        </row>
        <row r="2956">
          <cell r="B2956">
            <v>12606</v>
          </cell>
          <cell r="C2956" t="str">
            <v>IOK</v>
          </cell>
        </row>
        <row r="2957">
          <cell r="B2957">
            <v>12607</v>
          </cell>
          <cell r="C2957" t="str">
            <v>IOA</v>
          </cell>
        </row>
        <row r="2958">
          <cell r="B2958">
            <v>12608</v>
          </cell>
          <cell r="C2958" t="str">
            <v>IOB</v>
          </cell>
        </row>
        <row r="2959">
          <cell r="B2959">
            <v>12609</v>
          </cell>
          <cell r="C2959" t="str">
            <v>IOC</v>
          </cell>
        </row>
        <row r="2960">
          <cell r="B2960">
            <v>12610</v>
          </cell>
          <cell r="C2960" t="str">
            <v>IOPr</v>
          </cell>
        </row>
        <row r="2961">
          <cell r="B2961">
            <v>12611</v>
          </cell>
          <cell r="C2961" t="str">
            <v>IOVL</v>
          </cell>
        </row>
        <row r="2962">
          <cell r="B2962">
            <v>12612</v>
          </cell>
          <cell r="C2962" t="str">
            <v>InM</v>
          </cell>
        </row>
        <row r="2963">
          <cell r="B2963">
            <v>12613</v>
          </cell>
          <cell r="C2963" t="str">
            <v>IPo</v>
          </cell>
        </row>
        <row r="2964">
          <cell r="B2964">
            <v>12614</v>
          </cell>
          <cell r="C2964" t="str">
            <v>PnbN</v>
          </cell>
        </row>
        <row r="2965">
          <cell r="B2965">
            <v>12615</v>
          </cell>
          <cell r="C2965" t="str">
            <v>PrH</v>
          </cell>
        </row>
        <row r="2966">
          <cell r="B2966">
            <v>12616</v>
          </cell>
          <cell r="C2966" t="str">
            <v>MoRF</v>
          </cell>
        </row>
        <row r="2967">
          <cell r="B2967">
            <v>12617</v>
          </cell>
          <cell r="C2967" t="str">
            <v>DRt</v>
          </cell>
        </row>
        <row r="2968">
          <cell r="B2968">
            <v>12620</v>
          </cell>
          <cell r="C2968" t="str">
            <v>IRt</v>
          </cell>
        </row>
        <row r="2969">
          <cell r="B2969">
            <v>12621</v>
          </cell>
          <cell r="C2969" t="str">
            <v>CVL</v>
          </cell>
        </row>
        <row r="2970">
          <cell r="B2970">
            <v>12622</v>
          </cell>
          <cell r="C2970" t="str">
            <v>NA/A</v>
          </cell>
        </row>
        <row r="2971">
          <cell r="B2971">
            <v>12623</v>
          </cell>
          <cell r="C2971" t="str">
            <v>RVRG</v>
          </cell>
        </row>
        <row r="2972">
          <cell r="B2972">
            <v>12624</v>
          </cell>
          <cell r="C2972" t="str">
            <v>RVL</v>
          </cell>
        </row>
        <row r="2973">
          <cell r="B2973">
            <v>12625</v>
          </cell>
          <cell r="C2973" t="str">
            <v>GiRt</v>
          </cell>
        </row>
        <row r="2974">
          <cell r="B2974">
            <v>12631</v>
          </cell>
          <cell r="C2974" t="str">
            <v>GiRtA</v>
          </cell>
        </row>
        <row r="2975">
          <cell r="B2975">
            <v>12629</v>
          </cell>
          <cell r="C2975" t="str">
            <v>LPGi</v>
          </cell>
        </row>
        <row r="2976">
          <cell r="B2976">
            <v>12626</v>
          </cell>
          <cell r="C2976" t="str">
            <v>PGi</v>
          </cell>
        </row>
        <row r="2977">
          <cell r="B2977">
            <v>12627</v>
          </cell>
          <cell r="C2977" t="str">
            <v>APGi</v>
          </cell>
        </row>
        <row r="2978">
          <cell r="B2978">
            <v>12628</v>
          </cell>
          <cell r="C2978" t="str">
            <v>DPGi</v>
          </cell>
        </row>
        <row r="2979">
          <cell r="B2979">
            <v>12630</v>
          </cell>
          <cell r="C2979" t="str">
            <v>GiRtV</v>
          </cell>
        </row>
        <row r="2980">
          <cell r="B2980">
            <v>12632</v>
          </cell>
          <cell r="C2980" t="str">
            <v>LMRt</v>
          </cell>
        </row>
        <row r="2981">
          <cell r="B2981">
            <v>12634</v>
          </cell>
          <cell r="C2981" t="str">
            <v>LRt</v>
          </cell>
        </row>
        <row r="2982">
          <cell r="B2982">
            <v>12635</v>
          </cell>
          <cell r="C2982" t="str">
            <v>LRtMC</v>
          </cell>
        </row>
        <row r="2983">
          <cell r="B2983">
            <v>12636</v>
          </cell>
          <cell r="C2983" t="str">
            <v>LRtPC</v>
          </cell>
        </row>
        <row r="2984">
          <cell r="B2984">
            <v>12637</v>
          </cell>
          <cell r="C2984" t="str">
            <v>LRtS5</v>
          </cell>
        </row>
        <row r="2985">
          <cell r="B2985">
            <v>266441717</v>
          </cell>
          <cell r="C2985" t="str">
            <v>Li</v>
          </cell>
        </row>
        <row r="2986">
          <cell r="B2986">
            <v>12639</v>
          </cell>
          <cell r="C2986" t="str">
            <v>MdD</v>
          </cell>
        </row>
        <row r="2987">
          <cell r="B2987">
            <v>12640</v>
          </cell>
          <cell r="C2987" t="str">
            <v>MdV</v>
          </cell>
        </row>
        <row r="2988">
          <cell r="B2988">
            <v>12618</v>
          </cell>
          <cell r="C2988" t="str">
            <v>PCRt</v>
          </cell>
        </row>
        <row r="2989">
          <cell r="B2989">
            <v>12619</v>
          </cell>
          <cell r="C2989" t="str">
            <v>PCRtA</v>
          </cell>
        </row>
        <row r="2990">
          <cell r="B2990">
            <v>12641</v>
          </cell>
          <cell r="C2990" t="str">
            <v>MoRa</v>
          </cell>
        </row>
        <row r="2991">
          <cell r="B2991">
            <v>12642</v>
          </cell>
          <cell r="C2991" t="str">
            <v>RMg</v>
          </cell>
        </row>
        <row r="2992">
          <cell r="B2992">
            <v>12643</v>
          </cell>
          <cell r="C2992" t="str">
            <v>ROb</v>
          </cell>
        </row>
        <row r="2993">
          <cell r="B2993">
            <v>12644</v>
          </cell>
          <cell r="C2993" t="str">
            <v>RPa</v>
          </cell>
        </row>
        <row r="2994">
          <cell r="B2994">
            <v>146034978</v>
          </cell>
          <cell r="C2994" t="str">
            <v>NPRa</v>
          </cell>
        </row>
        <row r="2995">
          <cell r="B2995">
            <v>12645</v>
          </cell>
          <cell r="C2995" t="str">
            <v>XMoTg</v>
          </cell>
        </row>
        <row r="2996">
          <cell r="B2996">
            <v>15560</v>
          </cell>
          <cell r="C2996" t="str">
            <v>Au</v>
          </cell>
        </row>
        <row r="2997">
          <cell r="B2997">
            <v>146034982</v>
          </cell>
          <cell r="C2997" t="str">
            <v>BI</v>
          </cell>
        </row>
        <row r="2998">
          <cell r="B2998">
            <v>12646</v>
          </cell>
          <cell r="C2998" t="str">
            <v>Bo</v>
          </cell>
        </row>
        <row r="2999">
          <cell r="B2999">
            <v>12647</v>
          </cell>
          <cell r="C2999" t="str">
            <v>CGL</v>
          </cell>
        </row>
        <row r="3000">
          <cell r="B3000">
            <v>146034986</v>
          </cell>
          <cell r="C3000" t="str">
            <v>MoCG</v>
          </cell>
        </row>
        <row r="3001">
          <cell r="B3001">
            <v>15561</v>
          </cell>
          <cell r="C3001" t="str">
            <v>DPO</v>
          </cell>
        </row>
        <row r="3002">
          <cell r="B3002">
            <v>146034990</v>
          </cell>
          <cell r="C3002" t="str">
            <v>MoE</v>
          </cell>
        </row>
        <row r="3003">
          <cell r="B3003">
            <v>12648</v>
          </cell>
          <cell r="C3003" t="str">
            <v>EL</v>
          </cell>
        </row>
        <row r="3004">
          <cell r="B3004">
            <v>12649</v>
          </cell>
          <cell r="C3004" t="str">
            <v>EF</v>
          </cell>
        </row>
        <row r="3005">
          <cell r="B3005">
            <v>12650</v>
          </cell>
          <cell r="C3005" t="str">
            <v>IF12</v>
          </cell>
        </row>
        <row r="3006">
          <cell r="B3006">
            <v>146034994</v>
          </cell>
          <cell r="C3006" t="str">
            <v>IB</v>
          </cell>
        </row>
        <row r="3007">
          <cell r="B3007">
            <v>146034998</v>
          </cell>
          <cell r="C3007" t="str">
            <v>Nt</v>
          </cell>
        </row>
        <row r="3008">
          <cell r="B3008">
            <v>12651</v>
          </cell>
          <cell r="C3008" t="str">
            <v>Z</v>
          </cell>
        </row>
        <row r="3009">
          <cell r="B3009">
            <v>12652</v>
          </cell>
          <cell r="C3009" t="str">
            <v>Y</v>
          </cell>
        </row>
        <row r="3010">
          <cell r="B3010">
            <v>12653</v>
          </cell>
          <cell r="C3010" t="str">
            <v>X</v>
          </cell>
        </row>
        <row r="3011">
          <cell r="B3011">
            <v>12654</v>
          </cell>
          <cell r="C3011" t="str">
            <v>Ro</v>
          </cell>
        </row>
        <row r="3012">
          <cell r="B3012">
            <v>12655</v>
          </cell>
          <cell r="C3012" t="str">
            <v>PaRa</v>
          </cell>
        </row>
        <row r="3013">
          <cell r="B3013">
            <v>12656</v>
          </cell>
          <cell r="C3013" t="str">
            <v>Pa5</v>
          </cell>
        </row>
        <row r="3014">
          <cell r="B3014">
            <v>12657</v>
          </cell>
          <cell r="C3014" t="str">
            <v>PeCu</v>
          </cell>
        </row>
        <row r="3015">
          <cell r="B3015">
            <v>12658</v>
          </cell>
          <cell r="C3015" t="str">
            <v>Pe5</v>
          </cell>
        </row>
        <row r="3016">
          <cell r="B3016">
            <v>12659</v>
          </cell>
          <cell r="C3016" t="str">
            <v>PrBo</v>
          </cell>
        </row>
        <row r="3017">
          <cell r="B3017">
            <v>12660</v>
          </cell>
          <cell r="C3017" t="str">
            <v>RAmb</v>
          </cell>
        </row>
        <row r="3018">
          <cell r="B3018">
            <v>12661</v>
          </cell>
          <cell r="C3018" t="str">
            <v>SSp</v>
          </cell>
        </row>
        <row r="3019">
          <cell r="B3019">
            <v>12663</v>
          </cell>
          <cell r="C3019" t="str">
            <v>SuL</v>
          </cell>
        </row>
        <row r="3020">
          <cell r="B3020">
            <v>10663</v>
          </cell>
          <cell r="C3020" t="str">
            <v>HTS</v>
          </cell>
        </row>
        <row r="3021">
          <cell r="B3021">
            <v>13345</v>
          </cell>
          <cell r="C3021" t="str">
            <v>CBT</v>
          </cell>
        </row>
        <row r="3022">
          <cell r="B3022">
            <v>13346</v>
          </cell>
          <cell r="C3022" t="str">
            <v>VeT</v>
          </cell>
        </row>
        <row r="3023">
          <cell r="B3023">
            <v>13347</v>
          </cell>
          <cell r="C3023" t="str">
            <v>VeTe</v>
          </cell>
        </row>
        <row r="3024">
          <cell r="B3024">
            <v>13348</v>
          </cell>
          <cell r="C3024" t="str">
            <v>VeTm</v>
          </cell>
        </row>
        <row r="3025">
          <cell r="B3025">
            <v>13349</v>
          </cell>
          <cell r="C3025" t="str">
            <v>VeTp</v>
          </cell>
        </row>
        <row r="3026">
          <cell r="B3026">
            <v>13350</v>
          </cell>
          <cell r="C3026" t="str">
            <v>VeTi</v>
          </cell>
        </row>
        <row r="3027">
          <cell r="B3027">
            <v>13351</v>
          </cell>
          <cell r="C3027" t="str">
            <v>VeTis</v>
          </cell>
        </row>
        <row r="3028">
          <cell r="B3028">
            <v>13352</v>
          </cell>
          <cell r="C3028" t="str">
            <v>VeTid</v>
          </cell>
        </row>
        <row r="3029">
          <cell r="B3029">
            <v>13353</v>
          </cell>
          <cell r="C3029" t="str">
            <v>VeTv</v>
          </cell>
        </row>
        <row r="3030">
          <cell r="B3030">
            <v>13354</v>
          </cell>
          <cell r="C3030" t="str">
            <v>PRVT</v>
          </cell>
        </row>
        <row r="3031">
          <cell r="B3031">
            <v>13355</v>
          </cell>
          <cell r="C3031" t="str">
            <v>PRVTe</v>
          </cell>
        </row>
        <row r="3032">
          <cell r="B3032">
            <v>13356</v>
          </cell>
          <cell r="C3032" t="str">
            <v>PRVTm</v>
          </cell>
        </row>
        <row r="3033">
          <cell r="B3033">
            <v>13357</v>
          </cell>
          <cell r="C3033" t="str">
            <v>PRVTp</v>
          </cell>
        </row>
        <row r="3034">
          <cell r="B3034">
            <v>13358</v>
          </cell>
          <cell r="C3034" t="str">
            <v>PRVTi</v>
          </cell>
        </row>
        <row r="3035">
          <cell r="B3035">
            <v>13359</v>
          </cell>
          <cell r="C3035" t="str">
            <v>PRVTis</v>
          </cell>
        </row>
        <row r="3036">
          <cell r="B3036">
            <v>13360</v>
          </cell>
          <cell r="C3036" t="str">
            <v>PRVTid</v>
          </cell>
        </row>
        <row r="3037">
          <cell r="B3037">
            <v>13361</v>
          </cell>
          <cell r="C3037" t="str">
            <v>PRVTv</v>
          </cell>
        </row>
        <row r="3038">
          <cell r="B3038">
            <v>13362</v>
          </cell>
          <cell r="C3038" t="str">
            <v>CbLT</v>
          </cell>
        </row>
        <row r="3039">
          <cell r="B3039">
            <v>13363</v>
          </cell>
          <cell r="C3039" t="str">
            <v>CbLTe</v>
          </cell>
        </row>
        <row r="3040">
          <cell r="B3040">
            <v>13364</v>
          </cell>
          <cell r="C3040" t="str">
            <v>CbLTm</v>
          </cell>
        </row>
        <row r="3041">
          <cell r="B3041">
            <v>13365</v>
          </cell>
          <cell r="C3041" t="str">
            <v>CbLTp</v>
          </cell>
        </row>
        <row r="3042">
          <cell r="B3042">
            <v>13366</v>
          </cell>
          <cell r="C3042" t="str">
            <v>CbLTi</v>
          </cell>
        </row>
        <row r="3043">
          <cell r="B3043">
            <v>13367</v>
          </cell>
          <cell r="C3043" t="str">
            <v>CbLTis</v>
          </cell>
        </row>
        <row r="3044">
          <cell r="B3044">
            <v>13368</v>
          </cell>
          <cell r="C3044" t="str">
            <v>CbLTid</v>
          </cell>
        </row>
        <row r="3045">
          <cell r="B3045">
            <v>13369</v>
          </cell>
          <cell r="C3045" t="str">
            <v>CbLTv</v>
          </cell>
        </row>
        <row r="3046">
          <cell r="B3046">
            <v>13370</v>
          </cell>
          <cell r="C3046" t="str">
            <v>CbFT</v>
          </cell>
        </row>
        <row r="3047">
          <cell r="B3047">
            <v>13371</v>
          </cell>
          <cell r="C3047" t="str">
            <v>CbFTe</v>
          </cell>
        </row>
        <row r="3048">
          <cell r="B3048">
            <v>13372</v>
          </cell>
          <cell r="C3048" t="str">
            <v>CbFTm</v>
          </cell>
        </row>
        <row r="3049">
          <cell r="B3049">
            <v>13373</v>
          </cell>
          <cell r="C3049" t="str">
            <v>CbFTp</v>
          </cell>
        </row>
        <row r="3050">
          <cell r="B3050">
            <v>13374</v>
          </cell>
          <cell r="C3050" t="str">
            <v>CbFTi</v>
          </cell>
        </row>
        <row r="3051">
          <cell r="B3051">
            <v>13375</v>
          </cell>
          <cell r="C3051" t="str">
            <v>CbFTis</v>
          </cell>
        </row>
        <row r="3052">
          <cell r="B3052">
            <v>13376</v>
          </cell>
          <cell r="C3052" t="str">
            <v>CbFTid</v>
          </cell>
        </row>
        <row r="3053">
          <cell r="B3053">
            <v>13377</v>
          </cell>
          <cell r="C3053" t="str">
            <v>CbFTv</v>
          </cell>
        </row>
        <row r="3054">
          <cell r="B3054">
            <v>13378</v>
          </cell>
          <cell r="C3054" t="str">
            <v>TGCbN</v>
          </cell>
        </row>
        <row r="3055">
          <cell r="B3055">
            <v>12698</v>
          </cell>
          <cell r="C3055" t="str">
            <v>CbP</v>
          </cell>
        </row>
        <row r="3056">
          <cell r="B3056">
            <v>12701</v>
          </cell>
          <cell r="C3056" t="str">
            <v>MZCbP</v>
          </cell>
        </row>
        <row r="3057">
          <cell r="B3057">
            <v>12700</v>
          </cell>
          <cell r="C3057" t="str">
            <v>IZCbP</v>
          </cell>
        </row>
        <row r="3058">
          <cell r="B3058">
            <v>12981</v>
          </cell>
          <cell r="C3058" t="str">
            <v>NTZ</v>
          </cell>
        </row>
        <row r="3059">
          <cell r="B3059">
            <v>12982</v>
          </cell>
          <cell r="C3059" t="str">
            <v>CTZ</v>
          </cell>
        </row>
        <row r="3060">
          <cell r="B3060">
            <v>12699</v>
          </cell>
          <cell r="C3060" t="str">
            <v>VZCbP</v>
          </cell>
        </row>
        <row r="3061">
          <cell r="B3061">
            <v>12716</v>
          </cell>
          <cell r="C3061" t="str">
            <v>CbS</v>
          </cell>
        </row>
        <row r="3062">
          <cell r="B3062">
            <v>12717</v>
          </cell>
          <cell r="C3062" t="str">
            <v>CbSi</v>
          </cell>
        </row>
        <row r="3063">
          <cell r="B3063">
            <v>12718</v>
          </cell>
          <cell r="C3063" t="str">
            <v>CbSe</v>
          </cell>
        </row>
        <row r="3064">
          <cell r="B3064">
            <v>12664</v>
          </cell>
          <cell r="C3064" t="str">
            <v>HNM</v>
          </cell>
        </row>
        <row r="3065">
          <cell r="B3065">
            <v>12665</v>
          </cell>
          <cell r="C3065" t="str">
            <v>RhIS</v>
          </cell>
        </row>
        <row r="3066">
          <cell r="B3066">
            <v>12666</v>
          </cell>
          <cell r="C3066" t="str">
            <v>RhA</v>
          </cell>
        </row>
        <row r="3067">
          <cell r="B3067">
            <v>12667</v>
          </cell>
          <cell r="C3067" t="str">
            <v>Rh1</v>
          </cell>
        </row>
        <row r="3068">
          <cell r="B3068">
            <v>12668</v>
          </cell>
          <cell r="C3068" t="str">
            <v>Rh2</v>
          </cell>
        </row>
        <row r="3069">
          <cell r="B3069">
            <v>12669</v>
          </cell>
          <cell r="C3069" t="str">
            <v>Rh3</v>
          </cell>
        </row>
        <row r="3070">
          <cell r="B3070">
            <v>12670</v>
          </cell>
          <cell r="C3070" t="str">
            <v>RhB</v>
          </cell>
        </row>
        <row r="3071">
          <cell r="B3071">
            <v>12671</v>
          </cell>
          <cell r="C3071" t="str">
            <v>Rh4</v>
          </cell>
        </row>
        <row r="3072">
          <cell r="B3072">
            <v>12672</v>
          </cell>
          <cell r="C3072" t="str">
            <v>RhC</v>
          </cell>
        </row>
        <row r="3073">
          <cell r="B3073">
            <v>12673</v>
          </cell>
          <cell r="C3073" t="str">
            <v>Rh5</v>
          </cell>
        </row>
        <row r="3074">
          <cell r="B3074">
            <v>12674</v>
          </cell>
          <cell r="C3074" t="str">
            <v>Rh6</v>
          </cell>
        </row>
        <row r="3075">
          <cell r="B3075">
            <v>12675</v>
          </cell>
          <cell r="C3075" t="str">
            <v>Rh7</v>
          </cell>
        </row>
        <row r="3076">
          <cell r="B3076">
            <v>12676</v>
          </cell>
          <cell r="C3076" t="str">
            <v>RhD</v>
          </cell>
        </row>
        <row r="3077">
          <cell r="B3077">
            <v>12677</v>
          </cell>
          <cell r="C3077" t="str">
            <v>Rh8</v>
          </cell>
        </row>
        <row r="3078">
          <cell r="B3078">
            <v>10664</v>
          </cell>
          <cell r="C3078" t="str">
            <v>RhL</v>
          </cell>
        </row>
        <row r="3079">
          <cell r="B3079">
            <v>10665</v>
          </cell>
          <cell r="C3079" t="str">
            <v>URL</v>
          </cell>
        </row>
        <row r="3080">
          <cell r="B3080">
            <v>12702</v>
          </cell>
          <cell r="C3080" t="str">
            <v>EGLU</v>
          </cell>
        </row>
        <row r="3081">
          <cell r="B3081">
            <v>10666</v>
          </cell>
          <cell r="C3081" t="str">
            <v>LRL</v>
          </cell>
        </row>
        <row r="3082">
          <cell r="B3082">
            <v>12703</v>
          </cell>
          <cell r="C3082" t="str">
            <v>EGLL</v>
          </cell>
        </row>
        <row r="3083">
          <cell r="B3083">
            <v>10667</v>
          </cell>
          <cell r="C3083" t="str">
            <v>TCC</v>
          </cell>
        </row>
        <row r="3084">
          <cell r="B3084">
            <v>12704</v>
          </cell>
          <cell r="C3084" t="str">
            <v>MCCP</v>
          </cell>
        </row>
        <row r="3085">
          <cell r="B3085">
            <v>12705</v>
          </cell>
          <cell r="C3085" t="str">
            <v>ICCP</v>
          </cell>
        </row>
        <row r="3086">
          <cell r="B3086">
            <v>12706</v>
          </cell>
          <cell r="C3086" t="str">
            <v>LCCP</v>
          </cell>
        </row>
        <row r="3087">
          <cell r="B3087">
            <v>12707</v>
          </cell>
          <cell r="C3087" t="str">
            <v>TPk</v>
          </cell>
        </row>
        <row r="3088">
          <cell r="B3088">
            <v>12708</v>
          </cell>
          <cell r="C3088" t="str">
            <v>PkA</v>
          </cell>
        </row>
        <row r="3089">
          <cell r="B3089">
            <v>12709</v>
          </cell>
          <cell r="C3089" t="str">
            <v>PkB</v>
          </cell>
        </row>
        <row r="3090">
          <cell r="B3090">
            <v>12710</v>
          </cell>
          <cell r="C3090" t="str">
            <v>PkC</v>
          </cell>
        </row>
        <row r="3091">
          <cell r="B3091">
            <v>12711</v>
          </cell>
          <cell r="C3091" t="str">
            <v>PkD</v>
          </cell>
        </row>
        <row r="3092">
          <cell r="B3092">
            <v>12712</v>
          </cell>
          <cell r="C3092" t="str">
            <v>PkE</v>
          </cell>
        </row>
        <row r="3093">
          <cell r="B3093">
            <v>12713</v>
          </cell>
          <cell r="C3093" t="str">
            <v>PkF</v>
          </cell>
        </row>
        <row r="3094">
          <cell r="B3094">
            <v>12714</v>
          </cell>
          <cell r="C3094" t="str">
            <v>PkG</v>
          </cell>
        </row>
        <row r="3095">
          <cell r="B3095">
            <v>12715</v>
          </cell>
          <cell r="C3095" t="str">
            <v>PkH</v>
          </cell>
        </row>
        <row r="3096">
          <cell r="B3096">
            <v>12722</v>
          </cell>
          <cell r="C3096" t="str">
            <v>MSH</v>
          </cell>
        </row>
        <row r="3097">
          <cell r="B3097">
            <v>12723</v>
          </cell>
          <cell r="C3097" t="str">
            <v>REMS</v>
          </cell>
        </row>
        <row r="3098">
          <cell r="B3098">
            <v>12724</v>
          </cell>
          <cell r="C3098" t="str">
            <v>CEMS</v>
          </cell>
        </row>
        <row r="3099">
          <cell r="B3099">
            <v>12725</v>
          </cell>
          <cell r="C3099" t="str">
            <v>ImMS</v>
          </cell>
        </row>
        <row r="3100">
          <cell r="B3100">
            <v>12694</v>
          </cell>
          <cell r="C3100" t="str">
            <v>MZH</v>
          </cell>
        </row>
        <row r="3101">
          <cell r="B3101">
            <v>12695</v>
          </cell>
          <cell r="C3101" t="str">
            <v>MZCB</v>
          </cell>
        </row>
        <row r="3102">
          <cell r="B3102">
            <v>12696</v>
          </cell>
          <cell r="C3102" t="str">
            <v>MZPN</v>
          </cell>
        </row>
        <row r="3103">
          <cell r="B3103">
            <v>12697</v>
          </cell>
          <cell r="C3103" t="str">
            <v>MZMO</v>
          </cell>
        </row>
        <row r="3104">
          <cell r="B3104">
            <v>12682</v>
          </cell>
          <cell r="C3104" t="str">
            <v>IZH</v>
          </cell>
        </row>
        <row r="3105">
          <cell r="B3105">
            <v>12684</v>
          </cell>
          <cell r="C3105" t="str">
            <v>IZHal</v>
          </cell>
        </row>
        <row r="3106">
          <cell r="B3106">
            <v>12685</v>
          </cell>
          <cell r="C3106" t="str">
            <v>SSA</v>
          </cell>
        </row>
        <row r="3107">
          <cell r="B3107">
            <v>12686</v>
          </cell>
          <cell r="C3107" t="str">
            <v>GSA</v>
          </cell>
        </row>
        <row r="3108">
          <cell r="B3108">
            <v>12687</v>
          </cell>
          <cell r="C3108" t="str">
            <v>GVA</v>
          </cell>
        </row>
        <row r="3109">
          <cell r="B3109">
            <v>12688</v>
          </cell>
          <cell r="C3109" t="str">
            <v>SVA</v>
          </cell>
        </row>
        <row r="3110">
          <cell r="B3110">
            <v>12689</v>
          </cell>
          <cell r="C3110" t="str">
            <v>IZHba</v>
          </cell>
        </row>
        <row r="3111">
          <cell r="B3111">
            <v>12690</v>
          </cell>
          <cell r="C3111" t="str">
            <v>GVE</v>
          </cell>
        </row>
        <row r="3112">
          <cell r="B3112">
            <v>12691</v>
          </cell>
          <cell r="C3112" t="str">
            <v>SVE</v>
          </cell>
        </row>
        <row r="3113">
          <cell r="B3113">
            <v>12692</v>
          </cell>
          <cell r="C3113" t="str">
            <v>GSE</v>
          </cell>
        </row>
        <row r="3114">
          <cell r="B3114">
            <v>12693</v>
          </cell>
          <cell r="C3114" t="str">
            <v>IZHfl</v>
          </cell>
        </row>
        <row r="3115">
          <cell r="B3115">
            <v>12683</v>
          </cell>
          <cell r="C3115" t="str">
            <v>IZHro</v>
          </cell>
        </row>
        <row r="3116">
          <cell r="B3116">
            <v>12678</v>
          </cell>
          <cell r="C3116" t="str">
            <v>VZH</v>
          </cell>
        </row>
        <row r="3117">
          <cell r="B3117">
            <v>12679</v>
          </cell>
          <cell r="C3117" t="str">
            <v>VZCB</v>
          </cell>
        </row>
        <row r="3118">
          <cell r="B3118">
            <v>12680</v>
          </cell>
          <cell r="C3118" t="str">
            <v>VZPN</v>
          </cell>
        </row>
        <row r="3119">
          <cell r="B3119">
            <v>12681</v>
          </cell>
          <cell r="C3119" t="str">
            <v>VZMO</v>
          </cell>
        </row>
        <row r="3120">
          <cell r="B3120">
            <v>12719</v>
          </cell>
          <cell r="C3120" t="str">
            <v>PnFlx</v>
          </cell>
        </row>
        <row r="3121">
          <cell r="B3121">
            <v>12720</v>
          </cell>
          <cell r="C3121" t="str">
            <v>CrSlp</v>
          </cell>
        </row>
        <row r="3122">
          <cell r="B3122">
            <v>12721</v>
          </cell>
          <cell r="C3122" t="str">
            <v>CaSlp</v>
          </cell>
        </row>
        <row r="3123">
          <cell r="B3123">
            <v>12726</v>
          </cell>
          <cell r="C3123" t="str">
            <v>PnbB</v>
          </cell>
        </row>
        <row r="3124">
          <cell r="B3124">
            <v>12727</v>
          </cell>
          <cell r="C3124" t="str">
            <v>RhGv</v>
          </cell>
        </row>
        <row r="3125">
          <cell r="B3125">
            <v>10668</v>
          </cell>
          <cell r="C3125" t="str">
            <v>HWM</v>
          </cell>
        </row>
        <row r="3126">
          <cell r="B3126">
            <v>12728</v>
          </cell>
          <cell r="C3126" t="str">
            <v>ami</v>
          </cell>
        </row>
        <row r="3127">
          <cell r="B3127">
            <v>12729</v>
          </cell>
          <cell r="C3127" t="str">
            <v>af7</v>
          </cell>
        </row>
        <row r="3128">
          <cell r="B3128">
            <v>12730</v>
          </cell>
          <cell r="C3128" t="str">
            <v>ctg</v>
          </cell>
        </row>
        <row r="3129">
          <cell r="B3129">
            <v>266441721</v>
          </cell>
          <cell r="C3129" t="str">
            <v>cpn</v>
          </cell>
        </row>
        <row r="3130">
          <cell r="B3130">
            <v>12731</v>
          </cell>
          <cell r="C3130" t="str">
            <v>cuf</v>
          </cell>
        </row>
        <row r="3131">
          <cell r="B3131">
            <v>12732</v>
          </cell>
          <cell r="C3131" t="str">
            <v>xml</v>
          </cell>
        </row>
        <row r="3132">
          <cell r="B3132">
            <v>12733</v>
          </cell>
          <cell r="C3132" t="str">
            <v>das</v>
          </cell>
        </row>
        <row r="3133">
          <cell r="B3133">
            <v>12734</v>
          </cell>
          <cell r="C3133" t="str">
            <v>def</v>
          </cell>
        </row>
        <row r="3134">
          <cell r="B3134">
            <v>12735</v>
          </cell>
          <cell r="C3134" t="str">
            <v>dlf-h</v>
          </cell>
        </row>
        <row r="3135">
          <cell r="B3135">
            <v>12736</v>
          </cell>
          <cell r="C3135" t="str">
            <v>dtgth</v>
          </cell>
        </row>
        <row r="3136">
          <cell r="B3136">
            <v>12737</v>
          </cell>
          <cell r="C3136" t="str">
            <v>eaf</v>
          </cell>
        </row>
        <row r="3137">
          <cell r="B3137">
            <v>12738</v>
          </cell>
          <cell r="C3137" t="str">
            <v>g7</v>
          </cell>
        </row>
        <row r="3138">
          <cell r="B3138">
            <v>12739</v>
          </cell>
          <cell r="C3138" t="str">
            <v>gr</v>
          </cell>
        </row>
        <row r="3139">
          <cell r="B3139">
            <v>15562</v>
          </cell>
          <cell r="C3139" t="str">
            <v>hio</v>
          </cell>
        </row>
        <row r="3140">
          <cell r="B3140">
            <v>12740</v>
          </cell>
          <cell r="C3140" t="str">
            <v>hysp</v>
          </cell>
        </row>
        <row r="3141">
          <cell r="B3141">
            <v>12741</v>
          </cell>
          <cell r="C3141" t="str">
            <v>icp</v>
          </cell>
        </row>
        <row r="3142">
          <cell r="B3142">
            <v>12742</v>
          </cell>
          <cell r="C3142" t="str">
            <v>rsf</v>
          </cell>
        </row>
        <row r="3143">
          <cell r="B3143">
            <v>12743</v>
          </cell>
          <cell r="C3143" t="str">
            <v>cbrf</v>
          </cell>
        </row>
        <row r="3144">
          <cell r="B3144">
            <v>12744</v>
          </cell>
          <cell r="C3144" t="str">
            <v>cbvf</v>
          </cell>
        </row>
        <row r="3145">
          <cell r="B3145">
            <v>12745</v>
          </cell>
          <cell r="C3145" t="str">
            <v>cucb</v>
          </cell>
        </row>
        <row r="3146">
          <cell r="B3146">
            <v>12746</v>
          </cell>
          <cell r="C3146" t="str">
            <v>dsc</v>
          </cell>
        </row>
        <row r="3147">
          <cell r="B3147">
            <v>12747</v>
          </cell>
          <cell r="C3147" t="str">
            <v>ocb</v>
          </cell>
        </row>
        <row r="3148">
          <cell r="B3148">
            <v>12748</v>
          </cell>
          <cell r="C3148" t="str">
            <v>rcbtm</v>
          </cell>
        </row>
        <row r="3149">
          <cell r="B3149">
            <v>12749</v>
          </cell>
          <cell r="C3149" t="str">
            <v>sct</v>
          </cell>
        </row>
        <row r="3150">
          <cell r="B3150">
            <v>12750</v>
          </cell>
          <cell r="C3150" t="str">
            <v>jx</v>
          </cell>
        </row>
        <row r="3151">
          <cell r="B3151">
            <v>12751</v>
          </cell>
          <cell r="C3151" t="str">
            <v>fasr</v>
          </cell>
        </row>
        <row r="3152">
          <cell r="B3152">
            <v>12752</v>
          </cell>
          <cell r="C3152" t="str">
            <v>fasv</v>
          </cell>
        </row>
        <row r="3153">
          <cell r="B3153">
            <v>12753</v>
          </cell>
          <cell r="C3153" t="str">
            <v>tgcb</v>
          </cell>
        </row>
        <row r="3154">
          <cell r="B3154">
            <v>12754</v>
          </cell>
          <cell r="C3154" t="str">
            <v>vecb</v>
          </cell>
        </row>
        <row r="3155">
          <cell r="B3155">
            <v>12755</v>
          </cell>
          <cell r="C3155" t="str">
            <v>ias</v>
          </cell>
        </row>
        <row r="3156">
          <cell r="B3156">
            <v>12756</v>
          </cell>
          <cell r="C3156" t="str">
            <v>iaf</v>
          </cell>
        </row>
        <row r="3157">
          <cell r="B3157">
            <v>12757</v>
          </cell>
          <cell r="C3157" t="str">
            <v>issp</v>
          </cell>
        </row>
        <row r="3158">
          <cell r="B3158">
            <v>12758</v>
          </cell>
          <cell r="C3158" t="str">
            <v>lbrs</v>
          </cell>
        </row>
        <row r="3159">
          <cell r="B3159">
            <v>12759</v>
          </cell>
          <cell r="C3159" t="str">
            <v>lcs</v>
          </cell>
        </row>
        <row r="3160">
          <cell r="B3160">
            <v>12760</v>
          </cell>
          <cell r="C3160" t="str">
            <v>ll</v>
          </cell>
        </row>
        <row r="3161">
          <cell r="B3161">
            <v>12761</v>
          </cell>
          <cell r="C3161" t="str">
            <v>lvs</v>
          </cell>
        </row>
        <row r="3162">
          <cell r="B3162">
            <v>12762</v>
          </cell>
          <cell r="C3162" t="str">
            <v>lfpn</v>
          </cell>
        </row>
        <row r="3163">
          <cell r="B3163">
            <v>12763</v>
          </cell>
          <cell r="C3163" t="str">
            <v>ml</v>
          </cell>
        </row>
        <row r="3164">
          <cell r="B3164">
            <v>12764</v>
          </cell>
          <cell r="C3164" t="str">
            <v>mlf</v>
          </cell>
        </row>
        <row r="3165">
          <cell r="B3165">
            <v>12765</v>
          </cell>
          <cell r="C3165" t="str">
            <v>metg</v>
          </cell>
        </row>
        <row r="3166">
          <cell r="B3166">
            <v>12766</v>
          </cell>
          <cell r="C3166" t="str">
            <v>mvet</v>
          </cell>
        </row>
        <row r="3167">
          <cell r="B3167">
            <v>12767</v>
          </cell>
          <cell r="C3167" t="str">
            <v>me5</v>
          </cell>
        </row>
        <row r="3168">
          <cell r="B3168">
            <v>12768</v>
          </cell>
          <cell r="C3168" t="str">
            <v>mcp</v>
          </cell>
        </row>
        <row r="3169">
          <cell r="B3169">
            <v>12769</v>
          </cell>
          <cell r="C3169" t="str">
            <v>pncb</v>
          </cell>
        </row>
        <row r="3170">
          <cell r="B3170">
            <v>12770</v>
          </cell>
          <cell r="C3170" t="str">
            <v>rctp</v>
          </cell>
        </row>
        <row r="3171">
          <cell r="B3171">
            <v>12771</v>
          </cell>
          <cell r="C3171" t="str">
            <v>olcob</v>
          </cell>
        </row>
        <row r="3172">
          <cell r="B3172">
            <v>12772</v>
          </cell>
          <cell r="C3172" t="str">
            <v>xpy</v>
          </cell>
        </row>
        <row r="3173">
          <cell r="B3173">
            <v>12773</v>
          </cell>
          <cell r="C3173" t="str">
            <v>py</v>
          </cell>
        </row>
        <row r="3174">
          <cell r="B3174">
            <v>12774</v>
          </cell>
          <cell r="C3174" t="str">
            <v>cbu-h</v>
          </cell>
        </row>
        <row r="3175">
          <cell r="B3175">
            <v>12775</v>
          </cell>
          <cell r="C3175" t="str">
            <v>cre-h</v>
          </cell>
        </row>
        <row r="3176">
          <cell r="B3176">
            <v>12776</v>
          </cell>
          <cell r="C3176" t="str">
            <v>csp-h</v>
          </cell>
        </row>
        <row r="3177">
          <cell r="B3177">
            <v>12777</v>
          </cell>
          <cell r="C3177" t="str">
            <v>rsp</v>
          </cell>
        </row>
        <row r="3178">
          <cell r="B3178">
            <v>12778</v>
          </cell>
          <cell r="C3178" t="str">
            <v>lrsp</v>
          </cell>
        </row>
        <row r="3179">
          <cell r="B3179">
            <v>12779</v>
          </cell>
          <cell r="C3179" t="str">
            <v>vrsp</v>
          </cell>
        </row>
        <row r="3180">
          <cell r="B3180">
            <v>12780</v>
          </cell>
          <cell r="C3180" t="str">
            <v>rbb</v>
          </cell>
        </row>
        <row r="3181">
          <cell r="B3181">
            <v>12781</v>
          </cell>
          <cell r="C3181" t="str">
            <v>rol</v>
          </cell>
        </row>
        <row r="3182">
          <cell r="B3182">
            <v>12782</v>
          </cell>
          <cell r="C3182" t="str">
            <v>rusp</v>
          </cell>
        </row>
        <row r="3183">
          <cell r="B3183">
            <v>12783</v>
          </cell>
          <cell r="C3183" t="str">
            <v>sol</v>
          </cell>
        </row>
        <row r="3184">
          <cell r="B3184">
            <v>12784</v>
          </cell>
          <cell r="C3184" t="str">
            <v>slh</v>
          </cell>
        </row>
        <row r="3185">
          <cell r="B3185">
            <v>12785</v>
          </cell>
          <cell r="C3185" t="str">
            <v>spb</v>
          </cell>
        </row>
        <row r="3186">
          <cell r="B3186">
            <v>12786</v>
          </cell>
          <cell r="C3186" t="str">
            <v>sphy</v>
          </cell>
        </row>
        <row r="3187">
          <cell r="B3187">
            <v>12787</v>
          </cell>
          <cell r="C3187" t="str">
            <v>spme</v>
          </cell>
        </row>
        <row r="3188">
          <cell r="B3188">
            <v>12788</v>
          </cell>
          <cell r="C3188" t="str">
            <v>spre</v>
          </cell>
        </row>
        <row r="3189">
          <cell r="B3189">
            <v>12789</v>
          </cell>
          <cell r="C3189" t="str">
            <v>spth</v>
          </cell>
        </row>
        <row r="3190">
          <cell r="B3190">
            <v>12790</v>
          </cell>
          <cell r="C3190" t="str">
            <v>spve</v>
          </cell>
        </row>
        <row r="3191">
          <cell r="B3191">
            <v>12791</v>
          </cell>
          <cell r="C3191" t="str">
            <v>tbu</v>
          </cell>
        </row>
        <row r="3192">
          <cell r="B3192">
            <v>12792</v>
          </cell>
          <cell r="C3192" t="str">
            <v>sp5</v>
          </cell>
        </row>
        <row r="3193">
          <cell r="B3193">
            <v>12793</v>
          </cell>
          <cell r="C3193" t="str">
            <v>spol</v>
          </cell>
        </row>
        <row r="3194">
          <cell r="B3194">
            <v>12822</v>
          </cell>
          <cell r="C3194" t="str">
            <v>sm4V</v>
          </cell>
        </row>
        <row r="3195">
          <cell r="B3195">
            <v>12794</v>
          </cell>
          <cell r="C3195" t="str">
            <v>tsp</v>
          </cell>
        </row>
        <row r="3196">
          <cell r="B3196">
            <v>12795</v>
          </cell>
          <cell r="C3196" t="str">
            <v>tfp</v>
          </cell>
        </row>
        <row r="3197">
          <cell r="B3197">
            <v>12796</v>
          </cell>
          <cell r="C3197" t="str">
            <v>tz</v>
          </cell>
        </row>
        <row r="3198">
          <cell r="B3198">
            <v>12797</v>
          </cell>
          <cell r="C3198" t="str">
            <v>tri5</v>
          </cell>
        </row>
        <row r="3199">
          <cell r="B3199">
            <v>266441725</v>
          </cell>
          <cell r="C3199" t="str">
            <v>ubcb</v>
          </cell>
        </row>
        <row r="3200">
          <cell r="B3200">
            <v>12798</v>
          </cell>
          <cell r="C3200" t="str">
            <v>vcsp</v>
          </cell>
        </row>
        <row r="3201">
          <cell r="B3201">
            <v>12799</v>
          </cell>
          <cell r="C3201" t="str">
            <v>vexf</v>
          </cell>
        </row>
        <row r="3202">
          <cell r="B3202">
            <v>12800</v>
          </cell>
          <cell r="C3202" t="str">
            <v>vresp</v>
          </cell>
        </row>
        <row r="3203">
          <cell r="B3203">
            <v>12801</v>
          </cell>
          <cell r="C3203" t="str">
            <v>vscb</v>
          </cell>
        </row>
        <row r="3204">
          <cell r="B3204">
            <v>12802</v>
          </cell>
          <cell r="C3204" t="str">
            <v>vtg</v>
          </cell>
        </row>
        <row r="3205">
          <cell r="B3205">
            <v>12803</v>
          </cell>
          <cell r="C3205" t="str">
            <v>vtth</v>
          </cell>
        </row>
        <row r="3206">
          <cell r="B3206">
            <v>12804</v>
          </cell>
          <cell r="C3206" t="str">
            <v>veme</v>
          </cell>
        </row>
        <row r="3207">
          <cell r="B3207">
            <v>10669</v>
          </cell>
          <cell r="C3207" t="str">
            <v>HV</v>
          </cell>
        </row>
        <row r="3208">
          <cell r="B3208">
            <v>12805</v>
          </cell>
          <cell r="C3208" t="str">
            <v>4V</v>
          </cell>
        </row>
        <row r="3209">
          <cell r="B3209">
            <v>12806</v>
          </cell>
          <cell r="C3209" t="str">
            <v>4Vro</v>
          </cell>
        </row>
        <row r="3210">
          <cell r="B3210">
            <v>12810</v>
          </cell>
          <cell r="C3210" t="str">
            <v>lr4V</v>
          </cell>
        </row>
        <row r="3211">
          <cell r="B3211">
            <v>12813</v>
          </cell>
          <cell r="C3211" t="str">
            <v>4Vfl</v>
          </cell>
        </row>
        <row r="3212">
          <cell r="B3212">
            <v>12826</v>
          </cell>
          <cell r="C3212" t="str">
            <v>cec</v>
          </cell>
        </row>
        <row r="3213">
          <cell r="B3213">
            <v>10670</v>
          </cell>
          <cell r="C3213" t="str">
            <v>HSS</v>
          </cell>
        </row>
        <row r="3214">
          <cell r="B3214">
            <v>12827</v>
          </cell>
          <cell r="C3214" t="str">
            <v>CbSS</v>
          </cell>
        </row>
        <row r="3215">
          <cell r="B3215">
            <v>12828</v>
          </cell>
          <cell r="C3215" t="str">
            <v>cbf</v>
          </cell>
        </row>
        <row r="3216">
          <cell r="B3216">
            <v>12829</v>
          </cell>
          <cell r="C3216" t="str">
            <v>prcf</v>
          </cell>
        </row>
        <row r="3217">
          <cell r="B3217">
            <v>12830</v>
          </cell>
          <cell r="C3217" t="str">
            <v>pocf</v>
          </cell>
        </row>
        <row r="3218">
          <cell r="B3218">
            <v>266441729</v>
          </cell>
          <cell r="C3218" t="str">
            <v>icf</v>
          </cell>
        </row>
        <row r="3219">
          <cell r="B3219">
            <v>12831</v>
          </cell>
          <cell r="C3219" t="str">
            <v>prif</v>
          </cell>
        </row>
        <row r="3220">
          <cell r="B3220">
            <v>12832</v>
          </cell>
          <cell r="C3220" t="str">
            <v>psf</v>
          </cell>
        </row>
        <row r="3221">
          <cell r="B3221">
            <v>12833</v>
          </cell>
          <cell r="C3221" t="str">
            <v>hof</v>
          </cell>
        </row>
        <row r="3222">
          <cell r="B3222">
            <v>266441733</v>
          </cell>
          <cell r="C3222" t="str">
            <v>apf</v>
          </cell>
        </row>
        <row r="3223">
          <cell r="B3223">
            <v>12834</v>
          </cell>
          <cell r="C3223" t="str">
            <v>prpy</v>
          </cell>
        </row>
        <row r="3224">
          <cell r="B3224">
            <v>146035004</v>
          </cell>
          <cell r="C3224" t="str">
            <v>ibif</v>
          </cell>
        </row>
        <row r="3225">
          <cell r="B3225">
            <v>12835</v>
          </cell>
          <cell r="C3225" t="str">
            <v>popy</v>
          </cell>
        </row>
        <row r="3226">
          <cell r="B3226">
            <v>12836</v>
          </cell>
          <cell r="C3226" t="str">
            <v>polf</v>
          </cell>
        </row>
        <row r="3227">
          <cell r="B3227">
            <v>12837</v>
          </cell>
          <cell r="C3227" t="str">
            <v>CBLL</v>
          </cell>
        </row>
        <row r="3228">
          <cell r="B3228">
            <v>12838</v>
          </cell>
          <cell r="C3228" t="str">
            <v>ACb</v>
          </cell>
        </row>
        <row r="3229">
          <cell r="B3229">
            <v>12839</v>
          </cell>
          <cell r="C3229" t="str">
            <v>CbI</v>
          </cell>
        </row>
        <row r="3230">
          <cell r="B3230">
            <v>12840</v>
          </cell>
          <cell r="C3230" t="str">
            <v>CbII</v>
          </cell>
        </row>
        <row r="3231">
          <cell r="B3231">
            <v>12841</v>
          </cell>
          <cell r="C3231" t="str">
            <v>CbIII</v>
          </cell>
        </row>
        <row r="3232">
          <cell r="B3232">
            <v>12842</v>
          </cell>
          <cell r="C3232" t="str">
            <v>CbIV</v>
          </cell>
        </row>
        <row r="3233">
          <cell r="B3233">
            <v>12843</v>
          </cell>
          <cell r="C3233" t="str">
            <v>CbV</v>
          </cell>
        </row>
        <row r="3234">
          <cell r="B3234">
            <v>12844</v>
          </cell>
          <cell r="C3234" t="str">
            <v>PCb</v>
          </cell>
        </row>
        <row r="3235">
          <cell r="B3235">
            <v>12845</v>
          </cell>
          <cell r="C3235" t="str">
            <v>CbVI</v>
          </cell>
        </row>
        <row r="3236">
          <cell r="B3236">
            <v>12846</v>
          </cell>
          <cell r="C3236" t="str">
            <v>CbVIIa1</v>
          </cell>
        </row>
        <row r="3237">
          <cell r="B3237">
            <v>12847</v>
          </cell>
          <cell r="C3237" t="str">
            <v>CbVIIa2</v>
          </cell>
        </row>
        <row r="3238">
          <cell r="B3238">
            <v>12848</v>
          </cell>
          <cell r="C3238" t="str">
            <v>CbVIIb</v>
          </cell>
        </row>
        <row r="3239">
          <cell r="B3239">
            <v>12849</v>
          </cell>
          <cell r="C3239" t="str">
            <v>CbVIIIa</v>
          </cell>
        </row>
        <row r="3240">
          <cell r="B3240">
            <v>12850</v>
          </cell>
          <cell r="C3240" t="str">
            <v>CbVIIIb</v>
          </cell>
        </row>
        <row r="3241">
          <cell r="B3241">
            <v>12851</v>
          </cell>
          <cell r="C3241" t="str">
            <v>CbIX</v>
          </cell>
        </row>
        <row r="3242">
          <cell r="B3242">
            <v>12852</v>
          </cell>
          <cell r="C3242" t="str">
            <v>FNCb</v>
          </cell>
        </row>
        <row r="3243">
          <cell r="B3243">
            <v>12853</v>
          </cell>
          <cell r="C3243" t="str">
            <v>CbX</v>
          </cell>
        </row>
        <row r="3244">
          <cell r="B3244">
            <v>12856</v>
          </cell>
          <cell r="C3244" t="str">
            <v>PnSS</v>
          </cell>
        </row>
        <row r="3245">
          <cell r="B3245">
            <v>12857</v>
          </cell>
          <cell r="C3245" t="str">
            <v>bas</v>
          </cell>
        </row>
        <row r="3246">
          <cell r="B3246">
            <v>146035008</v>
          </cell>
          <cell r="C3246" t="str">
            <v>IsRh</v>
          </cell>
        </row>
        <row r="3247">
          <cell r="B3247">
            <v>12858</v>
          </cell>
          <cell r="C3247" t="str">
            <v>pbr</v>
          </cell>
        </row>
        <row r="3248">
          <cell r="B3248">
            <v>12859</v>
          </cell>
          <cell r="C3248" t="str">
            <v>pmed</v>
          </cell>
        </row>
        <row r="3249">
          <cell r="B3249">
            <v>12860</v>
          </cell>
          <cell r="C3249" t="str">
            <v>pmes</v>
          </cell>
        </row>
        <row r="3250">
          <cell r="B3250">
            <v>12861</v>
          </cell>
          <cell r="C3250" t="str">
            <v>r6</v>
          </cell>
        </row>
        <row r="3251">
          <cell r="B3251">
            <v>12862</v>
          </cell>
          <cell r="C3251" t="str">
            <v>r7</v>
          </cell>
        </row>
        <row r="3252">
          <cell r="B3252">
            <v>12863</v>
          </cell>
          <cell r="C3252" t="str">
            <v>r7m</v>
          </cell>
        </row>
        <row r="3253">
          <cell r="B3253">
            <v>12864</v>
          </cell>
          <cell r="C3253" t="str">
            <v>r7in</v>
          </cell>
        </row>
        <row r="3254">
          <cell r="B3254">
            <v>12865</v>
          </cell>
          <cell r="C3254" t="str">
            <v>r5</v>
          </cell>
        </row>
        <row r="3255">
          <cell r="B3255">
            <v>12866</v>
          </cell>
          <cell r="C3255" t="str">
            <v>r5m</v>
          </cell>
        </row>
        <row r="3256">
          <cell r="B3256">
            <v>12867</v>
          </cell>
          <cell r="C3256" t="str">
            <v>r5s</v>
          </cell>
        </row>
        <row r="3257">
          <cell r="B3257">
            <v>12868</v>
          </cell>
          <cell r="C3257" t="str">
            <v>r8</v>
          </cell>
        </row>
        <row r="3258">
          <cell r="B3258">
            <v>12870</v>
          </cell>
          <cell r="C3258" t="str">
            <v>r8co</v>
          </cell>
        </row>
        <row r="3259">
          <cell r="B3259">
            <v>12869</v>
          </cell>
          <cell r="C3259" t="str">
            <v>r8ve</v>
          </cell>
        </row>
        <row r="3260">
          <cell r="B3260">
            <v>12871</v>
          </cell>
          <cell r="C3260" t="str">
            <v>rmv</v>
          </cell>
        </row>
        <row r="3261">
          <cell r="B3261">
            <v>146035012</v>
          </cell>
          <cell r="C3261" t="str">
            <v>AS4V</v>
          </cell>
        </row>
        <row r="3262">
          <cell r="B3262">
            <v>12807</v>
          </cell>
          <cell r="C3262" t="str">
            <v>AP</v>
          </cell>
        </row>
        <row r="3263">
          <cell r="B3263">
            <v>12808</v>
          </cell>
          <cell r="C3263" t="str">
            <v>Cho4V</v>
          </cell>
        </row>
        <row r="3264">
          <cell r="B3264">
            <v>12814</v>
          </cell>
          <cell r="C3264" t="str">
            <v>FaC</v>
          </cell>
        </row>
        <row r="3265">
          <cell r="B3265">
            <v>12815</v>
          </cell>
          <cell r="C3265" t="str">
            <v>FovI</v>
          </cell>
        </row>
        <row r="3266">
          <cell r="B3266">
            <v>12816</v>
          </cell>
          <cell r="C3266" t="str">
            <v>FovS</v>
          </cell>
        </row>
        <row r="3267">
          <cell r="B3267">
            <v>12817</v>
          </cell>
          <cell r="C3267" t="str">
            <v>FnS</v>
          </cell>
        </row>
        <row r="3268">
          <cell r="B3268">
            <v>12818</v>
          </cell>
          <cell r="C3268" t="str">
            <v>12Tr</v>
          </cell>
        </row>
        <row r="3269">
          <cell r="B3269">
            <v>12809</v>
          </cell>
          <cell r="C3269" t="str">
            <v>la4V</v>
          </cell>
        </row>
        <row r="3270">
          <cell r="B3270">
            <v>12819</v>
          </cell>
          <cell r="C3270" t="str">
            <v>LC</v>
          </cell>
        </row>
        <row r="3271">
          <cell r="B3271">
            <v>12820</v>
          </cell>
          <cell r="C3271" t="str">
            <v>MEm</v>
          </cell>
        </row>
        <row r="3272">
          <cell r="B3272">
            <v>12811</v>
          </cell>
          <cell r="C3272" t="str">
            <v>ma4V</v>
          </cell>
        </row>
        <row r="3273">
          <cell r="B3273">
            <v>12821</v>
          </cell>
          <cell r="C3273" t="str">
            <v>MSul</v>
          </cell>
        </row>
        <row r="3274">
          <cell r="B3274">
            <v>12812</v>
          </cell>
          <cell r="C3274" t="str">
            <v>Obx</v>
          </cell>
        </row>
        <row r="3275">
          <cell r="B3275">
            <v>12823</v>
          </cell>
          <cell r="C3275" t="str">
            <v>SulL</v>
          </cell>
        </row>
        <row r="3276">
          <cell r="B3276">
            <v>12824</v>
          </cell>
          <cell r="C3276" t="str">
            <v>Tae</v>
          </cell>
        </row>
        <row r="3277">
          <cell r="B3277">
            <v>12825</v>
          </cell>
          <cell r="C3277" t="str">
            <v>10Tr</v>
          </cell>
        </row>
        <row r="3278">
          <cell r="B3278">
            <v>12872</v>
          </cell>
          <cell r="C3278" t="str">
            <v>MOSS</v>
          </cell>
        </row>
        <row r="3279">
          <cell r="B3279">
            <v>12873</v>
          </cell>
          <cell r="C3279" t="str">
            <v>alms</v>
          </cell>
        </row>
        <row r="3280">
          <cell r="B3280">
            <v>12874</v>
          </cell>
          <cell r="C3280" t="str">
            <v>pros</v>
          </cell>
        </row>
        <row r="3281">
          <cell r="B3281">
            <v>12875</v>
          </cell>
          <cell r="C3281" t="str">
            <v>cutu</v>
          </cell>
        </row>
        <row r="3282">
          <cell r="B3282">
            <v>12876</v>
          </cell>
          <cell r="C3282" t="str">
            <v>dmms</v>
          </cell>
        </row>
        <row r="3283">
          <cell r="B3283">
            <v>12877</v>
          </cell>
          <cell r="C3283" t="str">
            <v>fce</v>
          </cell>
        </row>
        <row r="3284">
          <cell r="B3284">
            <v>12878</v>
          </cell>
          <cell r="C3284" t="str">
            <v>grtu</v>
          </cell>
        </row>
        <row r="3285">
          <cell r="B3285">
            <v>12879</v>
          </cell>
          <cell r="C3285" t="str">
            <v>imv</v>
          </cell>
        </row>
        <row r="3286">
          <cell r="B3286">
            <v>12880</v>
          </cell>
          <cell r="C3286" t="str">
            <v>dims</v>
          </cell>
        </row>
        <row r="3287">
          <cell r="B3287">
            <v>12881</v>
          </cell>
          <cell r="C3287" t="str">
            <v>dlms</v>
          </cell>
        </row>
        <row r="3288">
          <cell r="B3288">
            <v>12882</v>
          </cell>
          <cell r="C3288" t="str">
            <v>posos</v>
          </cell>
        </row>
        <row r="3289">
          <cell r="B3289">
            <v>12883</v>
          </cell>
          <cell r="C3289" t="str">
            <v>r11</v>
          </cell>
        </row>
        <row r="3290">
          <cell r="B3290">
            <v>12884</v>
          </cell>
          <cell r="C3290" t="str">
            <v>r11cr</v>
          </cell>
        </row>
        <row r="3291">
          <cell r="B3291">
            <v>12885</v>
          </cell>
          <cell r="C3291" t="str">
            <v>r11sp</v>
          </cell>
        </row>
        <row r="3292">
          <cell r="B3292">
            <v>12886</v>
          </cell>
          <cell r="C3292" t="str">
            <v>r12</v>
          </cell>
        </row>
        <row r="3293">
          <cell r="B3293">
            <v>12887</v>
          </cell>
          <cell r="C3293" t="str">
            <v>r9</v>
          </cell>
        </row>
        <row r="3294">
          <cell r="B3294">
            <v>12888</v>
          </cell>
          <cell r="C3294" t="str">
            <v>r10</v>
          </cell>
        </row>
        <row r="3295">
          <cell r="B3295">
            <v>12889</v>
          </cell>
          <cell r="C3295" t="str">
            <v>vmms</v>
          </cell>
        </row>
        <row r="3296">
          <cell r="B3296">
            <v>266441737</v>
          </cell>
          <cell r="C3296" t="str">
            <v>hbv</v>
          </cell>
        </row>
        <row r="3297">
          <cell r="B3297">
            <v>12890</v>
          </cell>
          <cell r="C3297" t="str">
            <v>SpC</v>
          </cell>
        </row>
        <row r="3298">
          <cell r="B3298">
            <v>146035048</v>
          </cell>
          <cell r="C3298" t="str">
            <v>SGM</v>
          </cell>
        </row>
        <row r="3299">
          <cell r="B3299">
            <v>146035052</v>
          </cell>
          <cell r="C3299" t="str">
            <v>SpI</v>
          </cell>
        </row>
        <row r="3300">
          <cell r="B3300">
            <v>146035056</v>
          </cell>
          <cell r="C3300" t="str">
            <v>SpII</v>
          </cell>
        </row>
        <row r="3301">
          <cell r="B3301">
            <v>146035060</v>
          </cell>
          <cell r="C3301" t="str">
            <v>SpIII-IV</v>
          </cell>
        </row>
        <row r="3302">
          <cell r="B3302">
            <v>146035064</v>
          </cell>
          <cell r="C3302" t="str">
            <v>SpV-VI</v>
          </cell>
        </row>
        <row r="3303">
          <cell r="B3303">
            <v>146035068</v>
          </cell>
          <cell r="C3303" t="str">
            <v>SpVII</v>
          </cell>
        </row>
        <row r="3304">
          <cell r="B3304">
            <v>146035072</v>
          </cell>
          <cell r="C3304" t="str">
            <v>CeCv</v>
          </cell>
        </row>
        <row r="3305">
          <cell r="B3305">
            <v>146035076</v>
          </cell>
          <cell r="C3305" t="str">
            <v>SpVIII</v>
          </cell>
        </row>
        <row r="3306">
          <cell r="B3306">
            <v>146035080</v>
          </cell>
          <cell r="C3306" t="str">
            <v>SpIX</v>
          </cell>
        </row>
        <row r="3307">
          <cell r="B3307">
            <v>146035084</v>
          </cell>
          <cell r="C3307" t="str">
            <v>SpX</v>
          </cell>
        </row>
        <row r="3308">
          <cell r="B3308">
            <v>146035088</v>
          </cell>
          <cell r="C3308" t="str">
            <v>SWM</v>
          </cell>
        </row>
        <row r="3309">
          <cell r="B3309">
            <v>146035092</v>
          </cell>
          <cell r="C3309" t="str">
            <v>dfs</v>
          </cell>
        </row>
        <row r="3310">
          <cell r="B3310">
            <v>146035096</v>
          </cell>
          <cell r="C3310" t="str">
            <v>lfs</v>
          </cell>
        </row>
        <row r="3311">
          <cell r="B3311">
            <v>146035100</v>
          </cell>
          <cell r="C3311" t="str">
            <v>polt</v>
          </cell>
        </row>
        <row r="3312">
          <cell r="B3312">
            <v>146035104</v>
          </cell>
          <cell r="C3312" t="str">
            <v>vfs</v>
          </cell>
        </row>
        <row r="3313">
          <cell r="B3313">
            <v>146035108</v>
          </cell>
          <cell r="C3313" t="str">
            <v>SV</v>
          </cell>
        </row>
        <row r="3314">
          <cell r="B3314">
            <v>146035112</v>
          </cell>
          <cell r="C3314" t="str">
            <v>cces</v>
          </cell>
        </row>
        <row r="3315">
          <cell r="B3315">
            <v>146035116</v>
          </cell>
          <cell r="C3315" t="str">
            <v>SSS</v>
          </cell>
        </row>
        <row r="3316">
          <cell r="B3316">
            <v>146035120</v>
          </cell>
          <cell r="C3316" t="str">
            <v>rsn</v>
          </cell>
        </row>
        <row r="3317">
          <cell r="B3317">
            <v>146035124</v>
          </cell>
          <cell r="C3317" t="str">
            <v>vmss</v>
          </cell>
        </row>
        <row r="3318">
          <cell r="B3318">
            <v>266441741</v>
          </cell>
          <cell r="C3318" t="str">
            <v>spbv</v>
          </cell>
        </row>
      </sheetData>
      <sheetData sheetId="6">
        <row r="2">
          <cell r="B2">
            <v>4005</v>
          </cell>
          <cell r="C2" t="str">
            <v>Br</v>
          </cell>
        </row>
        <row r="3">
          <cell r="B3">
            <v>4006</v>
          </cell>
          <cell r="C3" t="str">
            <v>GM</v>
          </cell>
        </row>
        <row r="4">
          <cell r="B4">
            <v>4007</v>
          </cell>
          <cell r="C4" t="str">
            <v>Tel</v>
          </cell>
        </row>
        <row r="5">
          <cell r="B5">
            <v>4008</v>
          </cell>
          <cell r="C5" t="str">
            <v>Cx</v>
          </cell>
        </row>
        <row r="6">
          <cell r="B6">
            <v>4009</v>
          </cell>
          <cell r="C6" t="str">
            <v>FL</v>
          </cell>
        </row>
        <row r="7">
          <cell r="B7">
            <v>4053</v>
          </cell>
          <cell r="C7" t="str">
            <v>AOrG</v>
          </cell>
        </row>
        <row r="8">
          <cell r="B8">
            <v>4054</v>
          </cell>
          <cell r="C8" t="str">
            <v>AOrG</v>
          </cell>
        </row>
        <row r="9">
          <cell r="B9">
            <v>4055</v>
          </cell>
          <cell r="C9" t="str">
            <v>AOrG</v>
          </cell>
        </row>
        <row r="10">
          <cell r="B10">
            <v>4078</v>
          </cell>
          <cell r="C10" t="str">
            <v>fro</v>
          </cell>
        </row>
        <row r="11">
          <cell r="B11">
            <v>4079</v>
          </cell>
          <cell r="C11" t="str">
            <v>fro</v>
          </cell>
        </row>
        <row r="12">
          <cell r="B12">
            <v>4080</v>
          </cell>
          <cell r="C12" t="str">
            <v>fro</v>
          </cell>
        </row>
        <row r="13">
          <cell r="B13">
            <v>4888</v>
          </cell>
          <cell r="C13" t="str">
            <v>FP</v>
          </cell>
        </row>
        <row r="14">
          <cell r="B14">
            <v>4889</v>
          </cell>
          <cell r="C14" t="str">
            <v>FP</v>
          </cell>
        </row>
        <row r="15">
          <cell r="B15">
            <v>4890</v>
          </cell>
          <cell r="C15" t="str">
            <v>FP-s</v>
          </cell>
        </row>
        <row r="16">
          <cell r="B16">
            <v>4891</v>
          </cell>
          <cell r="C16" t="str">
            <v>FPi</v>
          </cell>
        </row>
        <row r="17">
          <cell r="B17">
            <v>4892</v>
          </cell>
          <cell r="C17" t="str">
            <v>FPm</v>
          </cell>
        </row>
        <row r="18">
          <cell r="B18">
            <v>4893</v>
          </cell>
          <cell r="C18" t="str">
            <v>FP</v>
          </cell>
        </row>
        <row r="19">
          <cell r="B19">
            <v>4894</v>
          </cell>
          <cell r="C19" t="str">
            <v>FP-s</v>
          </cell>
        </row>
        <row r="20">
          <cell r="B20">
            <v>4895</v>
          </cell>
          <cell r="C20" t="str">
            <v>FPi</v>
          </cell>
        </row>
        <row r="21">
          <cell r="B21">
            <v>4896</v>
          </cell>
          <cell r="C21" t="str">
            <v>FPm</v>
          </cell>
        </row>
        <row r="22">
          <cell r="B22">
            <v>4047</v>
          </cell>
          <cell r="C22" t="str">
            <v>GRe</v>
          </cell>
        </row>
        <row r="23">
          <cell r="B23">
            <v>4048</v>
          </cell>
          <cell r="C23" t="str">
            <v>GRe</v>
          </cell>
        </row>
        <row r="24">
          <cell r="B24">
            <v>4049</v>
          </cell>
          <cell r="C24" t="str">
            <v>GRe</v>
          </cell>
        </row>
        <row r="25">
          <cell r="B25">
            <v>4035</v>
          </cell>
          <cell r="C25" t="str">
            <v>IFG</v>
          </cell>
        </row>
        <row r="26">
          <cell r="B26">
            <v>4036</v>
          </cell>
          <cell r="C26" t="str">
            <v>IFG</v>
          </cell>
        </row>
        <row r="27">
          <cell r="B27">
            <v>4037</v>
          </cell>
          <cell r="C27" t="str">
            <v>IFG</v>
          </cell>
        </row>
        <row r="28">
          <cell r="B28">
            <v>4041</v>
          </cell>
          <cell r="C28" t="str">
            <v>opIFG</v>
          </cell>
        </row>
        <row r="29">
          <cell r="B29">
            <v>4042</v>
          </cell>
          <cell r="C29" t="str">
            <v>opIFG</v>
          </cell>
        </row>
        <row r="30">
          <cell r="B30">
            <v>4043</v>
          </cell>
          <cell r="C30" t="str">
            <v>opIFG</v>
          </cell>
        </row>
        <row r="31">
          <cell r="B31">
            <v>4044</v>
          </cell>
          <cell r="C31" t="str">
            <v>orIFG</v>
          </cell>
        </row>
        <row r="32">
          <cell r="B32">
            <v>4045</v>
          </cell>
          <cell r="C32" t="str">
            <v>orIFG</v>
          </cell>
        </row>
        <row r="33">
          <cell r="B33">
            <v>4046</v>
          </cell>
          <cell r="C33" t="str">
            <v>orIFG</v>
          </cell>
        </row>
        <row r="34">
          <cell r="B34">
            <v>4038</v>
          </cell>
          <cell r="C34" t="str">
            <v>trIFG</v>
          </cell>
        </row>
        <row r="35">
          <cell r="B35">
            <v>4039</v>
          </cell>
          <cell r="C35" t="str">
            <v>trIFG</v>
          </cell>
        </row>
        <row r="36">
          <cell r="B36">
            <v>4040</v>
          </cell>
          <cell r="C36" t="str">
            <v>trIFG</v>
          </cell>
        </row>
        <row r="37">
          <cell r="B37">
            <v>4900</v>
          </cell>
          <cell r="C37" t="str">
            <v>IRoG</v>
          </cell>
        </row>
        <row r="38">
          <cell r="B38">
            <v>4901</v>
          </cell>
          <cell r="C38" t="str">
            <v>IRoG</v>
          </cell>
        </row>
        <row r="39">
          <cell r="B39">
            <v>4902</v>
          </cell>
          <cell r="C39" t="str">
            <v>IRoG</v>
          </cell>
        </row>
        <row r="40">
          <cell r="B40">
            <v>4059</v>
          </cell>
          <cell r="C40" t="str">
            <v>LOrG</v>
          </cell>
        </row>
        <row r="41">
          <cell r="B41">
            <v>4060</v>
          </cell>
          <cell r="C41" t="str">
            <v>LOrG</v>
          </cell>
        </row>
        <row r="42">
          <cell r="B42">
            <v>4061</v>
          </cell>
          <cell r="C42" t="str">
            <v>LOrG</v>
          </cell>
        </row>
        <row r="43">
          <cell r="B43">
            <v>4050</v>
          </cell>
          <cell r="C43" t="str">
            <v>MOrG</v>
          </cell>
        </row>
        <row r="44">
          <cell r="B44">
            <v>4051</v>
          </cell>
          <cell r="C44" t="str">
            <v>MOrG</v>
          </cell>
        </row>
        <row r="45">
          <cell r="B45">
            <v>4052</v>
          </cell>
          <cell r="C45" t="str">
            <v>MOrG</v>
          </cell>
        </row>
        <row r="46">
          <cell r="B46">
            <v>4028</v>
          </cell>
          <cell r="C46" t="str">
            <v>MFG</v>
          </cell>
        </row>
        <row r="47">
          <cell r="B47">
            <v>4029</v>
          </cell>
          <cell r="C47" t="str">
            <v>MFG</v>
          </cell>
        </row>
        <row r="48">
          <cell r="B48">
            <v>4030</v>
          </cell>
          <cell r="C48" t="str">
            <v>MFG-s</v>
          </cell>
        </row>
        <row r="49">
          <cell r="B49">
            <v>4031</v>
          </cell>
          <cell r="C49" t="str">
            <v>MFG-i</v>
          </cell>
        </row>
        <row r="50">
          <cell r="B50">
            <v>4032</v>
          </cell>
          <cell r="C50" t="str">
            <v>MFG</v>
          </cell>
        </row>
        <row r="51">
          <cell r="B51">
            <v>4033</v>
          </cell>
          <cell r="C51" t="str">
            <v>MFG-s</v>
          </cell>
        </row>
        <row r="52">
          <cell r="B52">
            <v>4034</v>
          </cell>
          <cell r="C52" t="str">
            <v>MFG-i</v>
          </cell>
        </row>
        <row r="53">
          <cell r="B53">
            <v>265504406</v>
          </cell>
          <cell r="C53" t="str">
            <v>OlfA</v>
          </cell>
        </row>
        <row r="54">
          <cell r="B54">
            <v>265504410</v>
          </cell>
          <cell r="C54" t="str">
            <v>OlfA</v>
          </cell>
        </row>
        <row r="55">
          <cell r="B55">
            <v>265504414</v>
          </cell>
          <cell r="C55" t="str">
            <v>OlfA</v>
          </cell>
        </row>
        <row r="56">
          <cell r="B56">
            <v>4071</v>
          </cell>
          <cell r="C56" t="str">
            <v>PCLa</v>
          </cell>
        </row>
        <row r="57">
          <cell r="B57">
            <v>4072</v>
          </cell>
          <cell r="C57" t="str">
            <v>PCLa</v>
          </cell>
        </row>
        <row r="58">
          <cell r="B58">
            <v>4073</v>
          </cell>
          <cell r="C58" t="str">
            <v>PCLa-s</v>
          </cell>
        </row>
        <row r="59">
          <cell r="B59">
            <v>4074</v>
          </cell>
          <cell r="C59" t="str">
            <v>PCLa-i</v>
          </cell>
        </row>
        <row r="60">
          <cell r="B60">
            <v>4075</v>
          </cell>
          <cell r="C60" t="str">
            <v>PCLa</v>
          </cell>
        </row>
        <row r="61">
          <cell r="B61">
            <v>4076</v>
          </cell>
          <cell r="C61" t="str">
            <v>PCLa-s</v>
          </cell>
        </row>
        <row r="62">
          <cell r="B62">
            <v>4077</v>
          </cell>
          <cell r="C62" t="str">
            <v>PCLa-i</v>
          </cell>
        </row>
        <row r="63">
          <cell r="B63">
            <v>4065</v>
          </cell>
          <cell r="C63" t="str">
            <v>PTG</v>
          </cell>
        </row>
        <row r="64">
          <cell r="B64">
            <v>4066</v>
          </cell>
          <cell r="C64" t="str">
            <v>PTG</v>
          </cell>
        </row>
        <row r="65">
          <cell r="B65">
            <v>4067</v>
          </cell>
          <cell r="C65" t="str">
            <v>PTG</v>
          </cell>
        </row>
        <row r="66">
          <cell r="B66">
            <v>4068</v>
          </cell>
          <cell r="C66" t="str">
            <v>PaOG</v>
          </cell>
        </row>
        <row r="67">
          <cell r="B67">
            <v>4069</v>
          </cell>
          <cell r="C67" t="str">
            <v>PaOG</v>
          </cell>
        </row>
        <row r="68">
          <cell r="B68">
            <v>4070</v>
          </cell>
          <cell r="C68" t="str">
            <v>PaOG</v>
          </cell>
        </row>
        <row r="69">
          <cell r="B69">
            <v>4056</v>
          </cell>
          <cell r="C69" t="str">
            <v>POrG</v>
          </cell>
        </row>
        <row r="70">
          <cell r="B70">
            <v>4057</v>
          </cell>
          <cell r="C70" t="str">
            <v>POrG</v>
          </cell>
        </row>
        <row r="71">
          <cell r="B71">
            <v>4058</v>
          </cell>
          <cell r="C71" t="str">
            <v>POrG</v>
          </cell>
        </row>
        <row r="72">
          <cell r="B72">
            <v>4010</v>
          </cell>
          <cell r="C72" t="str">
            <v>PrG</v>
          </cell>
        </row>
        <row r="73">
          <cell r="B73">
            <v>4011</v>
          </cell>
          <cell r="C73" t="str">
            <v>PrG</v>
          </cell>
        </row>
        <row r="74">
          <cell r="B74">
            <v>4012</v>
          </cell>
          <cell r="C74" t="str">
            <v>PrG-prc</v>
          </cell>
        </row>
        <row r="75">
          <cell r="B75">
            <v>4013</v>
          </cell>
          <cell r="C75" t="str">
            <v>PrG-sl</v>
          </cell>
        </row>
        <row r="76">
          <cell r="B76">
            <v>4014</v>
          </cell>
          <cell r="C76" t="str">
            <v>PrG-il</v>
          </cell>
        </row>
        <row r="77">
          <cell r="B77">
            <v>4015</v>
          </cell>
          <cell r="C77" t="str">
            <v>PrG-cs</v>
          </cell>
        </row>
        <row r="78">
          <cell r="B78">
            <v>4016</v>
          </cell>
          <cell r="C78" t="str">
            <v>PrG</v>
          </cell>
        </row>
        <row r="79">
          <cell r="B79">
            <v>4017</v>
          </cell>
          <cell r="C79" t="str">
            <v>PrG-prc</v>
          </cell>
        </row>
        <row r="80">
          <cell r="B80">
            <v>4018</v>
          </cell>
          <cell r="C80" t="str">
            <v>PrG-sl</v>
          </cell>
        </row>
        <row r="81">
          <cell r="B81">
            <v>4019</v>
          </cell>
          <cell r="C81" t="str">
            <v>PrG-il</v>
          </cell>
        </row>
        <row r="82">
          <cell r="B82">
            <v>4020</v>
          </cell>
          <cell r="C82" t="str">
            <v>PrG-cs</v>
          </cell>
        </row>
        <row r="83">
          <cell r="B83">
            <v>4021</v>
          </cell>
          <cell r="C83" t="str">
            <v>SFG</v>
          </cell>
        </row>
        <row r="84">
          <cell r="B84">
            <v>4022</v>
          </cell>
          <cell r="C84" t="str">
            <v>SFG</v>
          </cell>
        </row>
        <row r="85">
          <cell r="B85">
            <v>4023</v>
          </cell>
          <cell r="C85" t="str">
            <v>SFG-m</v>
          </cell>
        </row>
        <row r="86">
          <cell r="B86">
            <v>4024</v>
          </cell>
          <cell r="C86" t="str">
            <v>SFG-l</v>
          </cell>
        </row>
        <row r="87">
          <cell r="B87">
            <v>4025</v>
          </cell>
          <cell r="C87" t="str">
            <v>SFG</v>
          </cell>
        </row>
        <row r="88">
          <cell r="B88">
            <v>4026</v>
          </cell>
          <cell r="C88" t="str">
            <v>SFG-m</v>
          </cell>
        </row>
        <row r="89">
          <cell r="B89">
            <v>4027</v>
          </cell>
          <cell r="C89" t="str">
            <v>SFG-l</v>
          </cell>
        </row>
        <row r="90">
          <cell r="B90">
            <v>4897</v>
          </cell>
          <cell r="C90" t="str">
            <v>SRoG</v>
          </cell>
        </row>
        <row r="91">
          <cell r="B91">
            <v>4898</v>
          </cell>
          <cell r="C91" t="str">
            <v>SRoG</v>
          </cell>
        </row>
        <row r="92">
          <cell r="B92">
            <v>4899</v>
          </cell>
          <cell r="C92" t="str">
            <v>SRoG</v>
          </cell>
        </row>
        <row r="93">
          <cell r="B93">
            <v>4268</v>
          </cell>
          <cell r="C93" t="str">
            <v>Ins</v>
          </cell>
        </row>
        <row r="94">
          <cell r="B94">
            <v>4269</v>
          </cell>
          <cell r="C94" t="str">
            <v>LIG</v>
          </cell>
        </row>
        <row r="95">
          <cell r="B95">
            <v>4270</v>
          </cell>
          <cell r="C95" t="str">
            <v>LIG</v>
          </cell>
        </row>
        <row r="96">
          <cell r="B96">
            <v>4271</v>
          </cell>
          <cell r="C96" t="str">
            <v>LIG</v>
          </cell>
        </row>
        <row r="97">
          <cell r="B97">
            <v>4272</v>
          </cell>
          <cell r="C97" t="str">
            <v>SIG</v>
          </cell>
        </row>
        <row r="98">
          <cell r="B98">
            <v>4273</v>
          </cell>
          <cell r="C98" t="str">
            <v>SIG</v>
          </cell>
        </row>
        <row r="99">
          <cell r="B99">
            <v>4274</v>
          </cell>
          <cell r="C99" t="str">
            <v>SIG</v>
          </cell>
        </row>
        <row r="100">
          <cell r="B100">
            <v>4219</v>
          </cell>
          <cell r="C100" t="str">
            <v>LL</v>
          </cell>
        </row>
        <row r="101">
          <cell r="B101">
            <v>4220</v>
          </cell>
          <cell r="C101" t="str">
            <v>CgG</v>
          </cell>
        </row>
        <row r="102">
          <cell r="B102">
            <v>4221</v>
          </cell>
          <cell r="C102" t="str">
            <v>CgGf</v>
          </cell>
        </row>
        <row r="103">
          <cell r="B103">
            <v>4222</v>
          </cell>
          <cell r="C103" t="str">
            <v>CgGf</v>
          </cell>
        </row>
        <row r="104">
          <cell r="B104">
            <v>4223</v>
          </cell>
          <cell r="C104" t="str">
            <v>CgGf-s</v>
          </cell>
        </row>
        <row r="105">
          <cell r="B105">
            <v>4224</v>
          </cell>
          <cell r="C105" t="str">
            <v>CgGf-i</v>
          </cell>
        </row>
        <row r="106">
          <cell r="B106">
            <v>4225</v>
          </cell>
          <cell r="C106" t="str">
            <v>CgGf</v>
          </cell>
        </row>
        <row r="107">
          <cell r="B107">
            <v>4226</v>
          </cell>
          <cell r="C107" t="str">
            <v>CgGf-s</v>
          </cell>
        </row>
        <row r="108">
          <cell r="B108">
            <v>4227</v>
          </cell>
          <cell r="C108" t="str">
            <v>CgGf-i</v>
          </cell>
        </row>
        <row r="109">
          <cell r="B109">
            <v>4228</v>
          </cell>
          <cell r="C109" t="str">
            <v>CgGp</v>
          </cell>
        </row>
        <row r="110">
          <cell r="B110">
            <v>4229</v>
          </cell>
          <cell r="C110" t="str">
            <v>CgGp</v>
          </cell>
        </row>
        <row r="111">
          <cell r="B111">
            <v>4230</v>
          </cell>
          <cell r="C111" t="str">
            <v>CgGp-s</v>
          </cell>
        </row>
        <row r="112">
          <cell r="B112">
            <v>4231</v>
          </cell>
          <cell r="C112" t="str">
            <v>CgGp-i</v>
          </cell>
        </row>
        <row r="113">
          <cell r="B113">
            <v>4232</v>
          </cell>
          <cell r="C113" t="str">
            <v>CgGp</v>
          </cell>
        </row>
        <row r="114">
          <cell r="B114">
            <v>4233</v>
          </cell>
          <cell r="C114" t="str">
            <v>CgGp-s</v>
          </cell>
        </row>
        <row r="115">
          <cell r="B115">
            <v>4234</v>
          </cell>
          <cell r="C115" t="str">
            <v>CgGp-i</v>
          </cell>
        </row>
        <row r="116">
          <cell r="B116">
            <v>4235</v>
          </cell>
          <cell r="C116" t="str">
            <v>CgGr</v>
          </cell>
        </row>
        <row r="117">
          <cell r="B117">
            <v>4236</v>
          </cell>
          <cell r="C117" t="str">
            <v>CgGr</v>
          </cell>
        </row>
        <row r="118">
          <cell r="B118">
            <v>4237</v>
          </cell>
          <cell r="C118" t="str">
            <v>CgGr-s</v>
          </cell>
        </row>
        <row r="119">
          <cell r="B119">
            <v>4238</v>
          </cell>
          <cell r="C119" t="str">
            <v>CgGr-i</v>
          </cell>
        </row>
        <row r="120">
          <cell r="B120">
            <v>4239</v>
          </cell>
          <cell r="C120" t="str">
            <v>CgGr</v>
          </cell>
        </row>
        <row r="121">
          <cell r="B121">
            <v>4240</v>
          </cell>
          <cell r="C121" t="str">
            <v>CgGr-s</v>
          </cell>
        </row>
        <row r="122">
          <cell r="B122">
            <v>4241</v>
          </cell>
          <cell r="C122" t="str">
            <v>CgGr-i</v>
          </cell>
        </row>
        <row r="123">
          <cell r="B123">
            <v>4062</v>
          </cell>
          <cell r="C123" t="str">
            <v>SCG</v>
          </cell>
        </row>
        <row r="124">
          <cell r="B124">
            <v>4063</v>
          </cell>
          <cell r="C124" t="str">
            <v>SCG</v>
          </cell>
        </row>
        <row r="125">
          <cell r="B125">
            <v>4064</v>
          </cell>
          <cell r="C125" t="str">
            <v>SCG</v>
          </cell>
        </row>
        <row r="126">
          <cell r="B126">
            <v>4249</v>
          </cell>
          <cell r="C126" t="str">
            <v>HiF</v>
          </cell>
        </row>
        <row r="127">
          <cell r="B127">
            <v>12891</v>
          </cell>
          <cell r="C127" t="str">
            <v>DG</v>
          </cell>
        </row>
        <row r="128">
          <cell r="B128">
            <v>4258</v>
          </cell>
          <cell r="C128" t="str">
            <v>DG</v>
          </cell>
        </row>
        <row r="129">
          <cell r="B129">
            <v>4267</v>
          </cell>
          <cell r="C129" t="str">
            <v>DG</v>
          </cell>
        </row>
        <row r="130">
          <cell r="B130">
            <v>12892</v>
          </cell>
          <cell r="C130" t="str">
            <v>CA1</v>
          </cell>
        </row>
        <row r="131">
          <cell r="B131">
            <v>4254</v>
          </cell>
          <cell r="C131" t="str">
            <v>CA1</v>
          </cell>
        </row>
        <row r="132">
          <cell r="B132">
            <v>4263</v>
          </cell>
          <cell r="C132" t="str">
            <v>CA1</v>
          </cell>
        </row>
        <row r="133">
          <cell r="B133">
            <v>12893</v>
          </cell>
          <cell r="C133" t="str">
            <v>CA2</v>
          </cell>
        </row>
        <row r="134">
          <cell r="B134">
            <v>4255</v>
          </cell>
          <cell r="C134" t="str">
            <v>CA2</v>
          </cell>
        </row>
        <row r="135">
          <cell r="B135">
            <v>4264</v>
          </cell>
          <cell r="C135" t="str">
            <v>CA2</v>
          </cell>
        </row>
        <row r="136">
          <cell r="B136">
            <v>12894</v>
          </cell>
          <cell r="C136" t="str">
            <v>CA3</v>
          </cell>
        </row>
        <row r="137">
          <cell r="B137">
            <v>4256</v>
          </cell>
          <cell r="C137" t="str">
            <v>CA3</v>
          </cell>
        </row>
        <row r="138">
          <cell r="B138">
            <v>4265</v>
          </cell>
          <cell r="C138" t="str">
            <v>CA3</v>
          </cell>
        </row>
        <row r="139">
          <cell r="B139">
            <v>12895</v>
          </cell>
          <cell r="C139" t="str">
            <v>CA4</v>
          </cell>
        </row>
        <row r="140">
          <cell r="B140">
            <v>4257</v>
          </cell>
          <cell r="C140" t="str">
            <v>CA4</v>
          </cell>
        </row>
        <row r="141">
          <cell r="B141">
            <v>4266</v>
          </cell>
          <cell r="C141" t="str">
            <v>CA4</v>
          </cell>
        </row>
        <row r="142">
          <cell r="B142">
            <v>265504424</v>
          </cell>
          <cell r="C142" t="str">
            <v>IG</v>
          </cell>
        </row>
        <row r="143">
          <cell r="B143">
            <v>265504428</v>
          </cell>
          <cell r="C143" t="str">
            <v>IG</v>
          </cell>
        </row>
        <row r="144">
          <cell r="B144">
            <v>265504432</v>
          </cell>
          <cell r="C144" t="str">
            <v>IG</v>
          </cell>
        </row>
        <row r="145">
          <cell r="B145">
            <v>12896</v>
          </cell>
          <cell r="C145" t="str">
            <v>S</v>
          </cell>
        </row>
        <row r="146">
          <cell r="B146">
            <v>4251</v>
          </cell>
          <cell r="C146" t="str">
            <v>S</v>
          </cell>
        </row>
        <row r="147">
          <cell r="B147">
            <v>4252</v>
          </cell>
          <cell r="C147" t="str">
            <v>PrS</v>
          </cell>
        </row>
        <row r="148">
          <cell r="B148">
            <v>4253</v>
          </cell>
          <cell r="C148" t="str">
            <v>PaS</v>
          </cell>
        </row>
        <row r="149">
          <cell r="B149">
            <v>265504436</v>
          </cell>
          <cell r="C149" t="str">
            <v>ProS</v>
          </cell>
        </row>
        <row r="150">
          <cell r="B150">
            <v>265504440</v>
          </cell>
          <cell r="C150" t="str">
            <v>Sub</v>
          </cell>
        </row>
        <row r="151">
          <cell r="B151">
            <v>4260</v>
          </cell>
          <cell r="C151" t="str">
            <v>S</v>
          </cell>
        </row>
        <row r="152">
          <cell r="B152">
            <v>4261</v>
          </cell>
          <cell r="C152" t="str">
            <v>PrS</v>
          </cell>
        </row>
        <row r="153">
          <cell r="B153">
            <v>4262</v>
          </cell>
          <cell r="C153" t="str">
            <v>PaS</v>
          </cell>
        </row>
        <row r="154">
          <cell r="B154">
            <v>265504444</v>
          </cell>
          <cell r="C154" t="str">
            <v>ProS</v>
          </cell>
        </row>
        <row r="155">
          <cell r="B155">
            <v>265504448</v>
          </cell>
          <cell r="C155" t="str">
            <v>Sub</v>
          </cell>
        </row>
        <row r="156">
          <cell r="B156">
            <v>4242</v>
          </cell>
          <cell r="C156" t="str">
            <v>PHG</v>
          </cell>
        </row>
        <row r="157">
          <cell r="B157">
            <v>4243</v>
          </cell>
          <cell r="C157" t="str">
            <v>PHG</v>
          </cell>
        </row>
        <row r="158">
          <cell r="B158">
            <v>4244</v>
          </cell>
          <cell r="C158" t="str">
            <v>PHG-l</v>
          </cell>
        </row>
        <row r="159">
          <cell r="B159">
            <v>4245</v>
          </cell>
          <cell r="C159" t="str">
            <v>PHG-cos</v>
          </cell>
        </row>
        <row r="160">
          <cell r="B160">
            <v>4246</v>
          </cell>
          <cell r="C160" t="str">
            <v>PHG</v>
          </cell>
        </row>
        <row r="161">
          <cell r="B161">
            <v>4247</v>
          </cell>
          <cell r="C161" t="str">
            <v>PHG-l</v>
          </cell>
        </row>
        <row r="162">
          <cell r="B162">
            <v>4248</v>
          </cell>
          <cell r="C162" t="str">
            <v>PHG-cos</v>
          </cell>
        </row>
        <row r="163">
          <cell r="B163">
            <v>10142</v>
          </cell>
          <cell r="C163" t="str">
            <v>Pir</v>
          </cell>
        </row>
        <row r="164">
          <cell r="B164">
            <v>10143</v>
          </cell>
          <cell r="C164" t="str">
            <v>Pir</v>
          </cell>
        </row>
        <row r="165">
          <cell r="B165">
            <v>10144</v>
          </cell>
          <cell r="C165" t="str">
            <v>Pir</v>
          </cell>
        </row>
        <row r="166">
          <cell r="B166">
            <v>4180</v>
          </cell>
          <cell r="C166" t="str">
            <v>OL</v>
          </cell>
        </row>
        <row r="167">
          <cell r="B167">
            <v>4184</v>
          </cell>
          <cell r="C167" t="str">
            <v>Cun</v>
          </cell>
        </row>
        <row r="168">
          <cell r="B168">
            <v>4185</v>
          </cell>
          <cell r="C168" t="str">
            <v>Cun</v>
          </cell>
        </row>
        <row r="169">
          <cell r="B169">
            <v>4186</v>
          </cell>
          <cell r="C169" t="str">
            <v>Cun-pest</v>
          </cell>
        </row>
        <row r="170">
          <cell r="B170">
            <v>4187</v>
          </cell>
          <cell r="C170" t="str">
            <v>Cun-str</v>
          </cell>
        </row>
        <row r="171">
          <cell r="B171">
            <v>4188</v>
          </cell>
          <cell r="C171" t="str">
            <v>Cun</v>
          </cell>
        </row>
        <row r="172">
          <cell r="B172">
            <v>4189</v>
          </cell>
          <cell r="C172" t="str">
            <v>Cun-pest</v>
          </cell>
        </row>
        <row r="173">
          <cell r="B173">
            <v>4190</v>
          </cell>
          <cell r="C173" t="str">
            <v>Cun-str</v>
          </cell>
        </row>
        <row r="174">
          <cell r="B174">
            <v>4205</v>
          </cell>
          <cell r="C174" t="str">
            <v>IOG</v>
          </cell>
        </row>
        <row r="175">
          <cell r="B175">
            <v>4206</v>
          </cell>
          <cell r="C175" t="str">
            <v>IOG</v>
          </cell>
        </row>
        <row r="176">
          <cell r="B176">
            <v>4207</v>
          </cell>
          <cell r="C176" t="str">
            <v>IOG-s</v>
          </cell>
        </row>
        <row r="177">
          <cell r="B177">
            <v>4208</v>
          </cell>
          <cell r="C177" t="str">
            <v>IOG-i</v>
          </cell>
        </row>
        <row r="178">
          <cell r="B178">
            <v>4209</v>
          </cell>
          <cell r="C178" t="str">
            <v>IOG</v>
          </cell>
        </row>
        <row r="179">
          <cell r="B179">
            <v>4210</v>
          </cell>
          <cell r="C179" t="str">
            <v>IOG-s</v>
          </cell>
        </row>
        <row r="180">
          <cell r="B180">
            <v>4211</v>
          </cell>
          <cell r="C180" t="str">
            <v>IOG-i</v>
          </cell>
        </row>
        <row r="181">
          <cell r="B181">
            <v>4191</v>
          </cell>
          <cell r="C181" t="str">
            <v>LiG</v>
          </cell>
        </row>
        <row r="182">
          <cell r="B182">
            <v>4192</v>
          </cell>
          <cell r="C182" t="str">
            <v>LiG</v>
          </cell>
        </row>
        <row r="183">
          <cell r="B183">
            <v>4193</v>
          </cell>
          <cell r="C183" t="str">
            <v>LiG-pest</v>
          </cell>
        </row>
        <row r="184">
          <cell r="B184">
            <v>4194</v>
          </cell>
          <cell r="C184" t="str">
            <v>LiG-str</v>
          </cell>
        </row>
        <row r="185">
          <cell r="B185">
            <v>4195</v>
          </cell>
          <cell r="C185" t="str">
            <v>LiG</v>
          </cell>
        </row>
        <row r="186">
          <cell r="B186">
            <v>4196</v>
          </cell>
          <cell r="C186" t="str">
            <v>LiG-pest</v>
          </cell>
        </row>
        <row r="187">
          <cell r="B187">
            <v>4197</v>
          </cell>
          <cell r="C187" t="str">
            <v>LiG-str</v>
          </cell>
        </row>
        <row r="188">
          <cell r="B188">
            <v>4181</v>
          </cell>
          <cell r="C188" t="str">
            <v>OP</v>
          </cell>
        </row>
        <row r="189">
          <cell r="B189">
            <v>4182</v>
          </cell>
          <cell r="C189" t="str">
            <v>OP</v>
          </cell>
        </row>
        <row r="190">
          <cell r="B190">
            <v>4909</v>
          </cell>
          <cell r="C190" t="str">
            <v>OPs</v>
          </cell>
        </row>
        <row r="191">
          <cell r="B191">
            <v>4910</v>
          </cell>
          <cell r="C191" t="str">
            <v>OPi</v>
          </cell>
        </row>
        <row r="192">
          <cell r="B192">
            <v>4911</v>
          </cell>
          <cell r="C192" t="str">
            <v>OPl</v>
          </cell>
        </row>
        <row r="193">
          <cell r="B193">
            <v>4183</v>
          </cell>
          <cell r="C193" t="str">
            <v>OP</v>
          </cell>
        </row>
        <row r="194">
          <cell r="B194">
            <v>4912</v>
          </cell>
          <cell r="C194" t="str">
            <v>OPs</v>
          </cell>
        </row>
        <row r="195">
          <cell r="B195">
            <v>4913</v>
          </cell>
          <cell r="C195" t="str">
            <v>OPi</v>
          </cell>
        </row>
        <row r="196">
          <cell r="B196">
            <v>4914</v>
          </cell>
          <cell r="C196" t="str">
            <v>OPl</v>
          </cell>
        </row>
        <row r="197">
          <cell r="B197">
            <v>4198</v>
          </cell>
          <cell r="C197" t="str">
            <v>OTG</v>
          </cell>
        </row>
        <row r="198">
          <cell r="B198">
            <v>4199</v>
          </cell>
          <cell r="C198" t="str">
            <v>OTG</v>
          </cell>
        </row>
        <row r="199">
          <cell r="B199">
            <v>4200</v>
          </cell>
          <cell r="C199" t="str">
            <v>OTG-s</v>
          </cell>
        </row>
        <row r="200">
          <cell r="B200">
            <v>4201</v>
          </cell>
          <cell r="C200" t="str">
            <v>OTG-i</v>
          </cell>
        </row>
        <row r="201">
          <cell r="B201">
            <v>4202</v>
          </cell>
          <cell r="C201" t="str">
            <v>OTG</v>
          </cell>
        </row>
        <row r="202">
          <cell r="B202">
            <v>4203</v>
          </cell>
          <cell r="C202" t="str">
            <v>OTG-s</v>
          </cell>
        </row>
        <row r="203">
          <cell r="B203">
            <v>4204</v>
          </cell>
          <cell r="C203" t="str">
            <v>OTG-i</v>
          </cell>
        </row>
        <row r="204">
          <cell r="B204">
            <v>4212</v>
          </cell>
          <cell r="C204" t="str">
            <v>SOG</v>
          </cell>
        </row>
        <row r="205">
          <cell r="B205">
            <v>4213</v>
          </cell>
          <cell r="C205" t="str">
            <v>SOG</v>
          </cell>
        </row>
        <row r="206">
          <cell r="B206">
            <v>4214</v>
          </cell>
          <cell r="C206" t="str">
            <v>SOG-s</v>
          </cell>
        </row>
        <row r="207">
          <cell r="B207">
            <v>4215</v>
          </cell>
          <cell r="C207" t="str">
            <v>SOG-i</v>
          </cell>
        </row>
        <row r="208">
          <cell r="B208">
            <v>4216</v>
          </cell>
          <cell r="C208" t="str">
            <v>SOG</v>
          </cell>
        </row>
        <row r="209">
          <cell r="B209">
            <v>4217</v>
          </cell>
          <cell r="C209" t="str">
            <v>SOG-s</v>
          </cell>
        </row>
        <row r="210">
          <cell r="B210">
            <v>4218</v>
          </cell>
          <cell r="C210" t="str">
            <v>SOG-i</v>
          </cell>
        </row>
        <row r="211">
          <cell r="B211">
            <v>4084</v>
          </cell>
          <cell r="C211" t="str">
            <v>PL</v>
          </cell>
        </row>
        <row r="212">
          <cell r="B212">
            <v>4103</v>
          </cell>
          <cell r="C212" t="str">
            <v>IPL</v>
          </cell>
        </row>
        <row r="213">
          <cell r="B213">
            <v>4111</v>
          </cell>
          <cell r="C213" t="str">
            <v>AnG</v>
          </cell>
        </row>
        <row r="214">
          <cell r="B214">
            <v>4112</v>
          </cell>
          <cell r="C214" t="str">
            <v>AnG</v>
          </cell>
        </row>
        <row r="215">
          <cell r="B215">
            <v>4113</v>
          </cell>
          <cell r="C215" t="str">
            <v>AnG-s</v>
          </cell>
        </row>
        <row r="216">
          <cell r="B216">
            <v>4114</v>
          </cell>
          <cell r="C216" t="str">
            <v>AnG-i</v>
          </cell>
        </row>
        <row r="217">
          <cell r="B217">
            <v>4115</v>
          </cell>
          <cell r="C217" t="str">
            <v>AnG</v>
          </cell>
        </row>
        <row r="218">
          <cell r="B218">
            <v>4116</v>
          </cell>
          <cell r="C218" t="str">
            <v>AnG-s</v>
          </cell>
        </row>
        <row r="219">
          <cell r="B219">
            <v>4117</v>
          </cell>
          <cell r="C219" t="str">
            <v>AnG-i</v>
          </cell>
        </row>
        <row r="220">
          <cell r="B220">
            <v>4104</v>
          </cell>
          <cell r="C220" t="str">
            <v>SMG</v>
          </cell>
        </row>
        <row r="221">
          <cell r="B221">
            <v>4105</v>
          </cell>
          <cell r="C221" t="str">
            <v>SMG</v>
          </cell>
        </row>
        <row r="222">
          <cell r="B222">
            <v>4106</v>
          </cell>
          <cell r="C222" t="str">
            <v>SMG-s</v>
          </cell>
        </row>
        <row r="223">
          <cell r="B223">
            <v>4107</v>
          </cell>
          <cell r="C223" t="str">
            <v>SMG-i</v>
          </cell>
        </row>
        <row r="224">
          <cell r="B224">
            <v>4108</v>
          </cell>
          <cell r="C224" t="str">
            <v>SMG</v>
          </cell>
        </row>
        <row r="225">
          <cell r="B225">
            <v>4109</v>
          </cell>
          <cell r="C225" t="str">
            <v>SMG-s</v>
          </cell>
        </row>
        <row r="226">
          <cell r="B226">
            <v>4110</v>
          </cell>
          <cell r="C226" t="str">
            <v>SMG-i</v>
          </cell>
        </row>
        <row r="227">
          <cell r="B227">
            <v>4125</v>
          </cell>
          <cell r="C227" t="str">
            <v>PCLp</v>
          </cell>
        </row>
        <row r="228">
          <cell r="B228">
            <v>4126</v>
          </cell>
          <cell r="C228" t="str">
            <v>PCLp</v>
          </cell>
        </row>
        <row r="229">
          <cell r="B229">
            <v>4127</v>
          </cell>
          <cell r="C229" t="str">
            <v>PCLp-l</v>
          </cell>
        </row>
        <row r="230">
          <cell r="B230">
            <v>4128</v>
          </cell>
          <cell r="C230" t="str">
            <v>PCLp-cs</v>
          </cell>
        </row>
        <row r="231">
          <cell r="B231">
            <v>4129</v>
          </cell>
          <cell r="C231" t="str">
            <v>PCLp</v>
          </cell>
        </row>
        <row r="232">
          <cell r="B232">
            <v>4130</v>
          </cell>
          <cell r="C232" t="str">
            <v>PCLp-l</v>
          </cell>
        </row>
        <row r="233">
          <cell r="B233">
            <v>4131</v>
          </cell>
          <cell r="C233" t="str">
            <v>PCLp-cs</v>
          </cell>
        </row>
        <row r="234">
          <cell r="B234">
            <v>4085</v>
          </cell>
          <cell r="C234" t="str">
            <v>PoG</v>
          </cell>
        </row>
        <row r="235">
          <cell r="B235">
            <v>4086</v>
          </cell>
          <cell r="C235" t="str">
            <v>PoG</v>
          </cell>
        </row>
        <row r="236">
          <cell r="B236">
            <v>4087</v>
          </cell>
          <cell r="C236" t="str">
            <v>PoG-cs</v>
          </cell>
        </row>
        <row r="237">
          <cell r="B237">
            <v>4088</v>
          </cell>
          <cell r="C237" t="str">
            <v>PoG-sl</v>
          </cell>
        </row>
        <row r="238">
          <cell r="B238">
            <v>4089</v>
          </cell>
          <cell r="C238" t="str">
            <v>PoG-il</v>
          </cell>
        </row>
        <row r="239">
          <cell r="B239">
            <v>4090</v>
          </cell>
          <cell r="C239" t="str">
            <v>PoG-pcs</v>
          </cell>
        </row>
        <row r="240">
          <cell r="B240">
            <v>4091</v>
          </cell>
          <cell r="C240" t="str">
            <v>PoG</v>
          </cell>
        </row>
        <row r="241">
          <cell r="B241">
            <v>4092</v>
          </cell>
          <cell r="C241" t="str">
            <v>PoG-cs</v>
          </cell>
        </row>
        <row r="242">
          <cell r="B242">
            <v>4093</v>
          </cell>
          <cell r="C242" t="str">
            <v>PoG-sl</v>
          </cell>
        </row>
        <row r="243">
          <cell r="B243">
            <v>4094</v>
          </cell>
          <cell r="C243" t="str">
            <v>PoG-il</v>
          </cell>
        </row>
        <row r="244">
          <cell r="B244">
            <v>4095</v>
          </cell>
          <cell r="C244" t="str">
            <v>PoG-pcs</v>
          </cell>
        </row>
        <row r="245">
          <cell r="B245">
            <v>4118</v>
          </cell>
          <cell r="C245" t="str">
            <v>PCu</v>
          </cell>
        </row>
        <row r="246">
          <cell r="B246">
            <v>4119</v>
          </cell>
          <cell r="C246" t="str">
            <v>PCu</v>
          </cell>
        </row>
        <row r="247">
          <cell r="B247">
            <v>4120</v>
          </cell>
          <cell r="C247" t="str">
            <v>Pcu-s</v>
          </cell>
        </row>
        <row r="248">
          <cell r="B248">
            <v>4121</v>
          </cell>
          <cell r="C248" t="str">
            <v>Pcu-i</v>
          </cell>
        </row>
        <row r="249">
          <cell r="B249">
            <v>4122</v>
          </cell>
          <cell r="C249" t="str">
            <v>PCu</v>
          </cell>
        </row>
        <row r="250">
          <cell r="B250">
            <v>4123</v>
          </cell>
          <cell r="C250" t="str">
            <v>Pcu-s</v>
          </cell>
        </row>
        <row r="251">
          <cell r="B251">
            <v>4124</v>
          </cell>
          <cell r="C251" t="str">
            <v>Pcu-i</v>
          </cell>
        </row>
        <row r="252">
          <cell r="B252">
            <v>4096</v>
          </cell>
          <cell r="C252" t="str">
            <v>SPL</v>
          </cell>
        </row>
        <row r="253">
          <cell r="B253">
            <v>4097</v>
          </cell>
          <cell r="C253" t="str">
            <v>SPL</v>
          </cell>
        </row>
        <row r="254">
          <cell r="B254">
            <v>4098</v>
          </cell>
          <cell r="C254" t="str">
            <v>SPL-s</v>
          </cell>
        </row>
        <row r="255">
          <cell r="B255">
            <v>4099</v>
          </cell>
          <cell r="C255" t="str">
            <v>SPL-i</v>
          </cell>
        </row>
        <row r="256">
          <cell r="B256">
            <v>4100</v>
          </cell>
          <cell r="C256" t="str">
            <v>SPL</v>
          </cell>
        </row>
        <row r="257">
          <cell r="B257">
            <v>4101</v>
          </cell>
          <cell r="C257" t="str">
            <v>SPL-s</v>
          </cell>
        </row>
        <row r="258">
          <cell r="B258">
            <v>4102</v>
          </cell>
          <cell r="C258" t="str">
            <v>SPL-i</v>
          </cell>
        </row>
        <row r="259">
          <cell r="B259">
            <v>4132</v>
          </cell>
          <cell r="C259" t="str">
            <v>TL</v>
          </cell>
        </row>
        <row r="260">
          <cell r="B260">
            <v>4156</v>
          </cell>
          <cell r="C260" t="str">
            <v>FuG</v>
          </cell>
        </row>
        <row r="261">
          <cell r="B261">
            <v>4157</v>
          </cell>
          <cell r="C261" t="str">
            <v>FuG</v>
          </cell>
        </row>
        <row r="262">
          <cell r="B262">
            <v>4158</v>
          </cell>
          <cell r="C262" t="str">
            <v>FuG-its</v>
          </cell>
        </row>
        <row r="263">
          <cell r="B263">
            <v>4159</v>
          </cell>
          <cell r="C263" t="str">
            <v>FuG-l</v>
          </cell>
        </row>
        <row r="264">
          <cell r="B264">
            <v>4160</v>
          </cell>
          <cell r="C264" t="str">
            <v>FuG-cos</v>
          </cell>
        </row>
        <row r="265">
          <cell r="B265">
            <v>4161</v>
          </cell>
          <cell r="C265" t="str">
            <v>FuG</v>
          </cell>
        </row>
        <row r="266">
          <cell r="B266">
            <v>4162</v>
          </cell>
          <cell r="C266" t="str">
            <v>FuG-its</v>
          </cell>
        </row>
        <row r="267">
          <cell r="B267">
            <v>4163</v>
          </cell>
          <cell r="C267" t="str">
            <v>FuG-l</v>
          </cell>
        </row>
        <row r="268">
          <cell r="B268">
            <v>4164</v>
          </cell>
          <cell r="C268" t="str">
            <v>FuG-cos</v>
          </cell>
        </row>
        <row r="269">
          <cell r="B269">
            <v>4165</v>
          </cell>
          <cell r="C269" t="str">
            <v>HG</v>
          </cell>
        </row>
        <row r="270">
          <cell r="B270">
            <v>4166</v>
          </cell>
          <cell r="C270" t="str">
            <v>HG</v>
          </cell>
        </row>
        <row r="271">
          <cell r="B271">
            <v>4167</v>
          </cell>
          <cell r="C271" t="str">
            <v>HG</v>
          </cell>
        </row>
        <row r="272">
          <cell r="B272">
            <v>4147</v>
          </cell>
          <cell r="C272" t="str">
            <v>ITG</v>
          </cell>
        </row>
        <row r="273">
          <cell r="B273">
            <v>4148</v>
          </cell>
          <cell r="C273" t="str">
            <v>ITG</v>
          </cell>
        </row>
        <row r="274">
          <cell r="B274">
            <v>4149</v>
          </cell>
          <cell r="C274" t="str">
            <v>ITG-its</v>
          </cell>
        </row>
        <row r="275">
          <cell r="B275">
            <v>4150</v>
          </cell>
          <cell r="C275" t="str">
            <v>ITG-l</v>
          </cell>
        </row>
        <row r="276">
          <cell r="B276">
            <v>4151</v>
          </cell>
          <cell r="C276" t="str">
            <v>ITG-mts</v>
          </cell>
        </row>
        <row r="277">
          <cell r="B277">
            <v>4152</v>
          </cell>
          <cell r="C277" t="str">
            <v>ITG</v>
          </cell>
        </row>
        <row r="278">
          <cell r="B278">
            <v>4153</v>
          </cell>
          <cell r="C278" t="str">
            <v>ITG-its</v>
          </cell>
        </row>
        <row r="279">
          <cell r="B279">
            <v>4154</v>
          </cell>
          <cell r="C279" t="str">
            <v>ITG-l</v>
          </cell>
        </row>
        <row r="280">
          <cell r="B280">
            <v>4155</v>
          </cell>
          <cell r="C280" t="str">
            <v>ITG-mts</v>
          </cell>
        </row>
        <row r="281">
          <cell r="B281">
            <v>4140</v>
          </cell>
          <cell r="C281" t="str">
            <v>MTG</v>
          </cell>
        </row>
        <row r="282">
          <cell r="B282">
            <v>4141</v>
          </cell>
          <cell r="C282" t="str">
            <v>MTG</v>
          </cell>
        </row>
        <row r="283">
          <cell r="B283">
            <v>4142</v>
          </cell>
          <cell r="C283" t="str">
            <v>MTG-s</v>
          </cell>
        </row>
        <row r="284">
          <cell r="B284">
            <v>4143</v>
          </cell>
          <cell r="C284" t="str">
            <v>MTG-i</v>
          </cell>
        </row>
        <row r="285">
          <cell r="B285">
            <v>4144</v>
          </cell>
          <cell r="C285" t="str">
            <v>MTG</v>
          </cell>
        </row>
        <row r="286">
          <cell r="B286">
            <v>4145</v>
          </cell>
          <cell r="C286" t="str">
            <v>MTG-s</v>
          </cell>
        </row>
        <row r="287">
          <cell r="B287">
            <v>4146</v>
          </cell>
          <cell r="C287" t="str">
            <v>MTG-i</v>
          </cell>
        </row>
        <row r="288">
          <cell r="B288">
            <v>4177</v>
          </cell>
          <cell r="C288" t="str">
            <v>PLP</v>
          </cell>
        </row>
        <row r="289">
          <cell r="B289">
            <v>4178</v>
          </cell>
          <cell r="C289" t="str">
            <v>PLP</v>
          </cell>
        </row>
        <row r="290">
          <cell r="B290">
            <v>4179</v>
          </cell>
          <cell r="C290" t="str">
            <v>PLP</v>
          </cell>
        </row>
        <row r="291">
          <cell r="B291">
            <v>4171</v>
          </cell>
          <cell r="C291" t="str">
            <v>PLT</v>
          </cell>
        </row>
        <row r="292">
          <cell r="B292">
            <v>4172</v>
          </cell>
          <cell r="C292" t="str">
            <v>PLT</v>
          </cell>
        </row>
        <row r="293">
          <cell r="B293">
            <v>4173</v>
          </cell>
          <cell r="C293" t="str">
            <v>PLT</v>
          </cell>
        </row>
        <row r="294">
          <cell r="B294">
            <v>4133</v>
          </cell>
          <cell r="C294" t="str">
            <v>STG</v>
          </cell>
        </row>
        <row r="295">
          <cell r="B295">
            <v>4134</v>
          </cell>
          <cell r="C295" t="str">
            <v>STG</v>
          </cell>
        </row>
        <row r="296">
          <cell r="B296">
            <v>4135</v>
          </cell>
          <cell r="C296" t="str">
            <v>STG-l</v>
          </cell>
        </row>
        <row r="297">
          <cell r="B297">
            <v>4136</v>
          </cell>
          <cell r="C297" t="str">
            <v>STG-i</v>
          </cell>
        </row>
        <row r="298">
          <cell r="B298">
            <v>4137</v>
          </cell>
          <cell r="C298" t="str">
            <v>STG</v>
          </cell>
        </row>
        <row r="299">
          <cell r="B299">
            <v>4138</v>
          </cell>
          <cell r="C299" t="str">
            <v>STG-l</v>
          </cell>
        </row>
        <row r="300">
          <cell r="B300">
            <v>4139</v>
          </cell>
          <cell r="C300" t="str">
            <v>STG-i</v>
          </cell>
        </row>
        <row r="301">
          <cell r="B301">
            <v>4174</v>
          </cell>
          <cell r="C301" t="str">
            <v>TP</v>
          </cell>
        </row>
        <row r="302">
          <cell r="B302">
            <v>4175</v>
          </cell>
          <cell r="C302" t="str">
            <v>TP</v>
          </cell>
        </row>
        <row r="303">
          <cell r="B303">
            <v>4903</v>
          </cell>
          <cell r="C303" t="str">
            <v>TP-s</v>
          </cell>
        </row>
        <row r="304">
          <cell r="B304">
            <v>4904</v>
          </cell>
          <cell r="C304" t="str">
            <v>TP-i</v>
          </cell>
        </row>
        <row r="305">
          <cell r="B305">
            <v>4905</v>
          </cell>
          <cell r="C305" t="str">
            <v>TP-m</v>
          </cell>
        </row>
        <row r="306">
          <cell r="B306">
            <v>4176</v>
          </cell>
          <cell r="C306" t="str">
            <v>TP</v>
          </cell>
        </row>
        <row r="307">
          <cell r="B307">
            <v>4906</v>
          </cell>
          <cell r="C307" t="str">
            <v>TP-s</v>
          </cell>
        </row>
        <row r="308">
          <cell r="B308">
            <v>4907</v>
          </cell>
          <cell r="C308" t="str">
            <v>TP-i</v>
          </cell>
        </row>
        <row r="309">
          <cell r="B309">
            <v>4908</v>
          </cell>
          <cell r="C309" t="str">
            <v>TP-m</v>
          </cell>
        </row>
        <row r="310">
          <cell r="B310">
            <v>4168</v>
          </cell>
          <cell r="C310" t="str">
            <v>TG</v>
          </cell>
        </row>
        <row r="311">
          <cell r="B311">
            <v>4169</v>
          </cell>
          <cell r="C311" t="str">
            <v>TG</v>
          </cell>
        </row>
        <row r="312">
          <cell r="B312">
            <v>4170</v>
          </cell>
          <cell r="C312" t="str">
            <v>TG</v>
          </cell>
        </row>
        <row r="313">
          <cell r="B313">
            <v>4275</v>
          </cell>
          <cell r="C313" t="str">
            <v>CxN</v>
          </cell>
        </row>
        <row r="314">
          <cell r="B314">
            <v>4327</v>
          </cell>
          <cell r="C314" t="str">
            <v>Amg</v>
          </cell>
        </row>
        <row r="315">
          <cell r="B315">
            <v>4328</v>
          </cell>
          <cell r="C315" t="str">
            <v>ATZ</v>
          </cell>
        </row>
        <row r="316">
          <cell r="B316">
            <v>4329</v>
          </cell>
          <cell r="C316" t="str">
            <v>ATZ</v>
          </cell>
        </row>
        <row r="317">
          <cell r="B317">
            <v>4330</v>
          </cell>
          <cell r="C317" t="str">
            <v>AHiA</v>
          </cell>
        </row>
        <row r="318">
          <cell r="B318">
            <v>265504452</v>
          </cell>
          <cell r="C318" t="str">
            <v>AHiAm</v>
          </cell>
        </row>
        <row r="319">
          <cell r="B319">
            <v>265504456</v>
          </cell>
          <cell r="C319" t="str">
            <v>AHiAp</v>
          </cell>
        </row>
        <row r="320">
          <cell r="B320">
            <v>265504460</v>
          </cell>
          <cell r="C320" t="str">
            <v>AHiAml</v>
          </cell>
        </row>
        <row r="321">
          <cell r="B321">
            <v>4335</v>
          </cell>
          <cell r="C321" t="str">
            <v>ATZ</v>
          </cell>
        </row>
        <row r="322">
          <cell r="B322">
            <v>4336</v>
          </cell>
          <cell r="C322" t="str">
            <v>AHiA</v>
          </cell>
        </row>
        <row r="323">
          <cell r="B323">
            <v>265504464</v>
          </cell>
          <cell r="C323" t="str">
            <v>AHiAm</v>
          </cell>
        </row>
        <row r="324">
          <cell r="B324">
            <v>265504468</v>
          </cell>
          <cell r="C324" t="str">
            <v>AHiAp</v>
          </cell>
        </row>
        <row r="325">
          <cell r="B325">
            <v>265504472</v>
          </cell>
          <cell r="C325" t="str">
            <v>AHiAml</v>
          </cell>
        </row>
        <row r="326">
          <cell r="B326">
            <v>265504476</v>
          </cell>
          <cell r="C326" t="str">
            <v>AAA</v>
          </cell>
        </row>
        <row r="327">
          <cell r="B327">
            <v>265504480</v>
          </cell>
          <cell r="C327" t="str">
            <v>AAA</v>
          </cell>
        </row>
        <row r="328">
          <cell r="B328">
            <v>265504484</v>
          </cell>
          <cell r="C328" t="str">
            <v>AAAd</v>
          </cell>
        </row>
        <row r="329">
          <cell r="B329">
            <v>265504488</v>
          </cell>
          <cell r="C329" t="str">
            <v>AAAv</v>
          </cell>
        </row>
        <row r="330">
          <cell r="B330">
            <v>265504492</v>
          </cell>
          <cell r="C330" t="str">
            <v>AAA</v>
          </cell>
        </row>
        <row r="331">
          <cell r="B331">
            <v>265504496</v>
          </cell>
          <cell r="C331" t="str">
            <v>AAAd</v>
          </cell>
        </row>
        <row r="332">
          <cell r="B332">
            <v>265504500</v>
          </cell>
          <cell r="C332" t="str">
            <v>AAAv</v>
          </cell>
        </row>
        <row r="333">
          <cell r="B333">
            <v>4341</v>
          </cell>
          <cell r="C333" t="str">
            <v>BLA</v>
          </cell>
        </row>
        <row r="334">
          <cell r="B334">
            <v>4342</v>
          </cell>
          <cell r="C334" t="str">
            <v>BLA</v>
          </cell>
        </row>
        <row r="335">
          <cell r="B335">
            <v>4343</v>
          </cell>
          <cell r="C335" t="str">
            <v>BLAm</v>
          </cell>
        </row>
        <row r="336">
          <cell r="B336">
            <v>265504504</v>
          </cell>
          <cell r="C336" t="str">
            <v>BLAdl</v>
          </cell>
        </row>
        <row r="337">
          <cell r="B337">
            <v>4344</v>
          </cell>
          <cell r="C337" t="str">
            <v>BLAi</v>
          </cell>
        </row>
        <row r="338">
          <cell r="B338">
            <v>4345</v>
          </cell>
          <cell r="C338" t="str">
            <v>BLAp</v>
          </cell>
        </row>
        <row r="339">
          <cell r="B339">
            <v>265504508</v>
          </cell>
          <cell r="C339" t="str">
            <v>BLAvl</v>
          </cell>
        </row>
        <row r="340">
          <cell r="B340">
            <v>265504512</v>
          </cell>
          <cell r="C340" t="str">
            <v>BLAvm</v>
          </cell>
        </row>
        <row r="341">
          <cell r="B341">
            <v>4346</v>
          </cell>
          <cell r="C341" t="str">
            <v>BLA</v>
          </cell>
        </row>
        <row r="342">
          <cell r="B342">
            <v>4347</v>
          </cell>
          <cell r="C342" t="str">
            <v>BLAm</v>
          </cell>
        </row>
        <row r="343">
          <cell r="B343">
            <v>265504516</v>
          </cell>
          <cell r="C343" t="str">
            <v>BLAdl</v>
          </cell>
        </row>
        <row r="344">
          <cell r="B344">
            <v>4348</v>
          </cell>
          <cell r="C344" t="str">
            <v>BLAi</v>
          </cell>
        </row>
        <row r="345">
          <cell r="B345">
            <v>4349</v>
          </cell>
          <cell r="C345" t="str">
            <v>BLAp</v>
          </cell>
        </row>
        <row r="346">
          <cell r="B346">
            <v>265504520</v>
          </cell>
          <cell r="C346" t="str">
            <v>BLAvl</v>
          </cell>
        </row>
        <row r="347">
          <cell r="B347">
            <v>265504524</v>
          </cell>
          <cell r="C347" t="str">
            <v>BLAvm</v>
          </cell>
        </row>
        <row r="348">
          <cell r="B348">
            <v>4350</v>
          </cell>
          <cell r="C348" t="str">
            <v>BMA</v>
          </cell>
        </row>
        <row r="349">
          <cell r="B349">
            <v>4351</v>
          </cell>
          <cell r="C349" t="str">
            <v>BMA</v>
          </cell>
        </row>
        <row r="350">
          <cell r="B350">
            <v>265504528</v>
          </cell>
          <cell r="C350" t="str">
            <v>BMAd</v>
          </cell>
        </row>
        <row r="351">
          <cell r="B351">
            <v>4352</v>
          </cell>
          <cell r="C351" t="str">
            <v>BMAmc</v>
          </cell>
        </row>
        <row r="352">
          <cell r="B352">
            <v>265504534</v>
          </cell>
          <cell r="C352" t="str">
            <v>BMAdl</v>
          </cell>
        </row>
        <row r="353">
          <cell r="B353">
            <v>265504538</v>
          </cell>
          <cell r="C353" t="str">
            <v>BMAm</v>
          </cell>
        </row>
        <row r="354">
          <cell r="B354">
            <v>265504542</v>
          </cell>
          <cell r="C354" t="str">
            <v>BMAv</v>
          </cell>
        </row>
        <row r="355">
          <cell r="B355">
            <v>4353</v>
          </cell>
          <cell r="C355" t="str">
            <v>BMApc</v>
          </cell>
        </row>
        <row r="356">
          <cell r="B356">
            <v>4354</v>
          </cell>
          <cell r="C356" t="str">
            <v>BMAvm</v>
          </cell>
        </row>
        <row r="357">
          <cell r="B357">
            <v>4355</v>
          </cell>
          <cell r="C357" t="str">
            <v>BMA</v>
          </cell>
        </row>
        <row r="358">
          <cell r="B358">
            <v>265504550</v>
          </cell>
          <cell r="C358" t="str">
            <v>BMAd</v>
          </cell>
        </row>
        <row r="359">
          <cell r="B359">
            <v>4356</v>
          </cell>
          <cell r="C359" t="str">
            <v>BMAmc</v>
          </cell>
        </row>
        <row r="360">
          <cell r="B360">
            <v>265504556</v>
          </cell>
          <cell r="C360" t="str">
            <v>BMAdl</v>
          </cell>
        </row>
        <row r="361">
          <cell r="B361">
            <v>265504561</v>
          </cell>
          <cell r="C361" t="str">
            <v>BMAm</v>
          </cell>
        </row>
        <row r="362">
          <cell r="B362">
            <v>265504565</v>
          </cell>
          <cell r="C362" t="str">
            <v>BMAv</v>
          </cell>
        </row>
        <row r="363">
          <cell r="B363">
            <v>4357</v>
          </cell>
          <cell r="C363" t="str">
            <v>BMApc</v>
          </cell>
        </row>
        <row r="364">
          <cell r="B364">
            <v>4358</v>
          </cell>
          <cell r="C364" t="str">
            <v>BMAvm</v>
          </cell>
        </row>
        <row r="365">
          <cell r="B365">
            <v>4359</v>
          </cell>
          <cell r="C365" t="str">
            <v>CeA</v>
          </cell>
        </row>
        <row r="366">
          <cell r="B366">
            <v>4360</v>
          </cell>
          <cell r="C366" t="str">
            <v>CeA</v>
          </cell>
        </row>
        <row r="367">
          <cell r="B367">
            <v>4361</v>
          </cell>
          <cell r="C367" t="str">
            <v>CeAm</v>
          </cell>
        </row>
        <row r="368">
          <cell r="B368">
            <v>265504574</v>
          </cell>
          <cell r="C368" t="str">
            <v>CeAmd</v>
          </cell>
        </row>
        <row r="369">
          <cell r="B369">
            <v>265504578</v>
          </cell>
          <cell r="C369" t="str">
            <v>CeAmv</v>
          </cell>
        </row>
        <row r="370">
          <cell r="B370">
            <v>4362</v>
          </cell>
          <cell r="C370" t="str">
            <v>CeAl</v>
          </cell>
        </row>
        <row r="371">
          <cell r="B371">
            <v>265504583</v>
          </cell>
          <cell r="C371" t="str">
            <v>CeAla</v>
          </cell>
        </row>
        <row r="372">
          <cell r="B372">
            <v>265504587</v>
          </cell>
          <cell r="C372" t="str">
            <v>CeAlca</v>
          </cell>
        </row>
        <row r="373">
          <cell r="B373">
            <v>265504591</v>
          </cell>
          <cell r="C373" t="str">
            <v>CeAlp</v>
          </cell>
        </row>
        <row r="374">
          <cell r="B374">
            <v>265504596</v>
          </cell>
          <cell r="C374" t="str">
            <v>CeAlc</v>
          </cell>
        </row>
        <row r="375">
          <cell r="B375">
            <v>4363</v>
          </cell>
          <cell r="C375" t="str">
            <v>CeA</v>
          </cell>
        </row>
        <row r="376">
          <cell r="B376">
            <v>4364</v>
          </cell>
          <cell r="C376" t="str">
            <v>CeAm</v>
          </cell>
        </row>
        <row r="377">
          <cell r="B377">
            <v>265504600</v>
          </cell>
          <cell r="C377" t="str">
            <v>CeAmd</v>
          </cell>
        </row>
        <row r="378">
          <cell r="B378">
            <v>265504604</v>
          </cell>
          <cell r="C378" t="str">
            <v>CeAmv</v>
          </cell>
        </row>
        <row r="379">
          <cell r="B379">
            <v>4365</v>
          </cell>
          <cell r="C379" t="str">
            <v>CeAl</v>
          </cell>
        </row>
        <row r="380">
          <cell r="B380">
            <v>265504608</v>
          </cell>
          <cell r="C380" t="str">
            <v>CeAla</v>
          </cell>
        </row>
        <row r="381">
          <cell r="B381">
            <v>265504612</v>
          </cell>
          <cell r="C381" t="str">
            <v>CeAlca</v>
          </cell>
        </row>
        <row r="382">
          <cell r="B382">
            <v>265504616</v>
          </cell>
          <cell r="C382" t="str">
            <v>CeAlp</v>
          </cell>
        </row>
        <row r="383">
          <cell r="B383">
            <v>265504620</v>
          </cell>
          <cell r="C383" t="str">
            <v>CeAlc</v>
          </cell>
        </row>
        <row r="384">
          <cell r="B384">
            <v>4366</v>
          </cell>
          <cell r="C384" t="str">
            <v>COMA</v>
          </cell>
        </row>
        <row r="385">
          <cell r="B385">
            <v>4367</v>
          </cell>
          <cell r="C385" t="str">
            <v>COMA</v>
          </cell>
        </row>
        <row r="386">
          <cell r="B386">
            <v>4368</v>
          </cell>
          <cell r="C386" t="str">
            <v>COAa</v>
          </cell>
        </row>
        <row r="387">
          <cell r="B387">
            <v>265504624</v>
          </cell>
          <cell r="C387" t="str">
            <v>COAad</v>
          </cell>
        </row>
        <row r="388">
          <cell r="B388">
            <v>265504628</v>
          </cell>
          <cell r="C388" t="str">
            <v>COAav</v>
          </cell>
        </row>
        <row r="389">
          <cell r="B389">
            <v>265504632</v>
          </cell>
          <cell r="C389" t="str">
            <v>COAam</v>
          </cell>
        </row>
        <row r="390">
          <cell r="B390">
            <v>4370</v>
          </cell>
          <cell r="C390" t="str">
            <v>MA</v>
          </cell>
        </row>
        <row r="391">
          <cell r="B391">
            <v>265504636</v>
          </cell>
          <cell r="C391" t="str">
            <v>MAa</v>
          </cell>
        </row>
        <row r="392">
          <cell r="B392">
            <v>265504640</v>
          </cell>
          <cell r="C392" t="str">
            <v>MAp</v>
          </cell>
        </row>
        <row r="393">
          <cell r="B393">
            <v>265504644</v>
          </cell>
          <cell r="C393" t="str">
            <v>MApd</v>
          </cell>
        </row>
        <row r="394">
          <cell r="B394">
            <v>265504648</v>
          </cell>
          <cell r="C394" t="str">
            <v>MApv</v>
          </cell>
        </row>
        <row r="395">
          <cell r="B395">
            <v>265504652</v>
          </cell>
          <cell r="C395" t="str">
            <v>MAm</v>
          </cell>
        </row>
        <row r="396">
          <cell r="B396">
            <v>4369</v>
          </cell>
          <cell r="C396" t="str">
            <v>COAp</v>
          </cell>
        </row>
        <row r="397">
          <cell r="B397">
            <v>265504656</v>
          </cell>
          <cell r="C397" t="str">
            <v>COApd</v>
          </cell>
        </row>
        <row r="398">
          <cell r="B398">
            <v>265504660</v>
          </cell>
          <cell r="C398" t="str">
            <v>COApv</v>
          </cell>
        </row>
        <row r="399">
          <cell r="B399">
            <v>265504664</v>
          </cell>
          <cell r="C399" t="str">
            <v>COApm</v>
          </cell>
        </row>
        <row r="400">
          <cell r="B400">
            <v>4371</v>
          </cell>
          <cell r="C400" t="str">
            <v>COMA</v>
          </cell>
        </row>
        <row r="401">
          <cell r="B401">
            <v>4372</v>
          </cell>
          <cell r="C401" t="str">
            <v>COAa</v>
          </cell>
        </row>
        <row r="402">
          <cell r="B402">
            <v>265504668</v>
          </cell>
          <cell r="C402" t="str">
            <v>COAad</v>
          </cell>
        </row>
        <row r="403">
          <cell r="B403">
            <v>265504672</v>
          </cell>
          <cell r="C403" t="str">
            <v>COAav</v>
          </cell>
        </row>
        <row r="404">
          <cell r="B404">
            <v>265504676</v>
          </cell>
          <cell r="C404" t="str">
            <v>COAam</v>
          </cell>
        </row>
        <row r="405">
          <cell r="B405">
            <v>4374</v>
          </cell>
          <cell r="C405" t="str">
            <v>MA</v>
          </cell>
        </row>
        <row r="406">
          <cell r="B406">
            <v>265504680</v>
          </cell>
          <cell r="C406" t="str">
            <v>MAa</v>
          </cell>
        </row>
        <row r="407">
          <cell r="B407">
            <v>265504684</v>
          </cell>
          <cell r="C407" t="str">
            <v>MAp</v>
          </cell>
        </row>
        <row r="408">
          <cell r="B408">
            <v>265504688</v>
          </cell>
          <cell r="C408" t="str">
            <v>MApd</v>
          </cell>
        </row>
        <row r="409">
          <cell r="B409">
            <v>265504692</v>
          </cell>
          <cell r="C409" t="str">
            <v>MApv</v>
          </cell>
        </row>
        <row r="410">
          <cell r="B410">
            <v>265504696</v>
          </cell>
          <cell r="C410" t="str">
            <v>MAm</v>
          </cell>
        </row>
        <row r="411">
          <cell r="B411">
            <v>4373</v>
          </cell>
          <cell r="C411" t="str">
            <v>COAp</v>
          </cell>
        </row>
        <row r="412">
          <cell r="B412">
            <v>265504700</v>
          </cell>
          <cell r="C412" t="str">
            <v>COApd</v>
          </cell>
        </row>
        <row r="413">
          <cell r="B413">
            <v>265504704</v>
          </cell>
          <cell r="C413" t="str">
            <v>COApv</v>
          </cell>
        </row>
        <row r="414">
          <cell r="B414">
            <v>265504708</v>
          </cell>
          <cell r="C414" t="str">
            <v>COApm</v>
          </cell>
        </row>
        <row r="415">
          <cell r="B415">
            <v>4375</v>
          </cell>
          <cell r="C415" t="str">
            <v>IA</v>
          </cell>
        </row>
        <row r="416">
          <cell r="B416">
            <v>4376</v>
          </cell>
          <cell r="C416" t="str">
            <v>IA</v>
          </cell>
        </row>
        <row r="417">
          <cell r="B417">
            <v>4377</v>
          </cell>
          <cell r="C417" t="str">
            <v>IA</v>
          </cell>
        </row>
        <row r="418">
          <cell r="B418">
            <v>4378</v>
          </cell>
          <cell r="C418" t="str">
            <v>LA</v>
          </cell>
        </row>
        <row r="419">
          <cell r="B419">
            <v>4379</v>
          </cell>
          <cell r="C419" t="str">
            <v>LA</v>
          </cell>
        </row>
        <row r="420">
          <cell r="B420">
            <v>265504712</v>
          </cell>
          <cell r="C420" t="str">
            <v>LAd</v>
          </cell>
        </row>
        <row r="421">
          <cell r="B421">
            <v>265504716</v>
          </cell>
          <cell r="C421" t="str">
            <v>LAda</v>
          </cell>
        </row>
        <row r="422">
          <cell r="B422">
            <v>4380</v>
          </cell>
          <cell r="C422" t="str">
            <v>LAdm</v>
          </cell>
        </row>
        <row r="423">
          <cell r="B423">
            <v>265504722</v>
          </cell>
          <cell r="C423" t="str">
            <v>LAdl</v>
          </cell>
        </row>
        <row r="424">
          <cell r="B424">
            <v>265504726</v>
          </cell>
          <cell r="C424" t="str">
            <v>LAdl-com</v>
          </cell>
        </row>
        <row r="425">
          <cell r="B425">
            <v>265504730</v>
          </cell>
          <cell r="C425" t="str">
            <v>LAi</v>
          </cell>
        </row>
        <row r="426">
          <cell r="B426">
            <v>265504734</v>
          </cell>
          <cell r="C426" t="str">
            <v>LAv</v>
          </cell>
        </row>
        <row r="427">
          <cell r="B427">
            <v>4381</v>
          </cell>
          <cell r="C427" t="str">
            <v>LAvl</v>
          </cell>
        </row>
        <row r="428">
          <cell r="B428">
            <v>265504740</v>
          </cell>
          <cell r="C428" t="str">
            <v>LAvm</v>
          </cell>
        </row>
        <row r="429">
          <cell r="B429">
            <v>265504744</v>
          </cell>
          <cell r="C429" t="str">
            <v>LAvglo</v>
          </cell>
        </row>
        <row r="430">
          <cell r="B430">
            <v>4382</v>
          </cell>
          <cell r="C430" t="str">
            <v>LA</v>
          </cell>
        </row>
        <row r="431">
          <cell r="B431">
            <v>265504748</v>
          </cell>
          <cell r="C431" t="str">
            <v>LAd</v>
          </cell>
        </row>
        <row r="432">
          <cell r="B432">
            <v>265504752</v>
          </cell>
          <cell r="C432" t="str">
            <v>LAda</v>
          </cell>
        </row>
        <row r="433">
          <cell r="B433">
            <v>4383</v>
          </cell>
          <cell r="C433" t="str">
            <v>LAdm</v>
          </cell>
        </row>
        <row r="434">
          <cell r="B434">
            <v>265504758</v>
          </cell>
          <cell r="C434" t="str">
            <v>LAdl</v>
          </cell>
        </row>
        <row r="435">
          <cell r="B435">
            <v>265504762</v>
          </cell>
          <cell r="C435" t="str">
            <v>LAdl-com</v>
          </cell>
        </row>
        <row r="436">
          <cell r="B436">
            <v>265504766</v>
          </cell>
          <cell r="C436" t="str">
            <v>LAi</v>
          </cell>
        </row>
        <row r="437">
          <cell r="B437">
            <v>265504770</v>
          </cell>
          <cell r="C437" t="str">
            <v>LAv</v>
          </cell>
        </row>
        <row r="438">
          <cell r="B438">
            <v>4384</v>
          </cell>
          <cell r="C438" t="str">
            <v>LAvl</v>
          </cell>
        </row>
        <row r="439">
          <cell r="B439">
            <v>265504776</v>
          </cell>
          <cell r="C439" t="str">
            <v>LAvm</v>
          </cell>
        </row>
        <row r="440">
          <cell r="B440">
            <v>265504780</v>
          </cell>
          <cell r="C440" t="str">
            <v>LAvglo</v>
          </cell>
        </row>
        <row r="441">
          <cell r="B441">
            <v>4385</v>
          </cell>
          <cell r="C441" t="str">
            <v>NLOT</v>
          </cell>
        </row>
        <row r="442">
          <cell r="B442">
            <v>4386</v>
          </cell>
          <cell r="C442" t="str">
            <v>NLOT</v>
          </cell>
        </row>
        <row r="443">
          <cell r="B443">
            <v>4387</v>
          </cell>
          <cell r="C443" t="str">
            <v>NLOT</v>
          </cell>
        </row>
        <row r="444">
          <cell r="B444">
            <v>4388</v>
          </cell>
          <cell r="C444" t="str">
            <v>PLA</v>
          </cell>
        </row>
        <row r="445">
          <cell r="B445">
            <v>4389</v>
          </cell>
          <cell r="C445" t="str">
            <v>PLA</v>
          </cell>
        </row>
        <row r="446">
          <cell r="B446">
            <v>265504784</v>
          </cell>
          <cell r="C446" t="str">
            <v>PLAglo</v>
          </cell>
        </row>
        <row r="447">
          <cell r="B447">
            <v>4390</v>
          </cell>
          <cell r="C447" t="str">
            <v>PLA</v>
          </cell>
        </row>
        <row r="448">
          <cell r="B448">
            <v>265504788</v>
          </cell>
          <cell r="C448" t="str">
            <v>PLAglo</v>
          </cell>
        </row>
        <row r="449">
          <cell r="B449">
            <v>4324</v>
          </cell>
          <cell r="C449" t="str">
            <v>AO</v>
          </cell>
        </row>
        <row r="450">
          <cell r="B450">
            <v>4325</v>
          </cell>
          <cell r="C450" t="str">
            <v>AO</v>
          </cell>
        </row>
        <row r="451">
          <cell r="B451">
            <v>4326</v>
          </cell>
          <cell r="C451" t="str">
            <v>AO</v>
          </cell>
        </row>
        <row r="452">
          <cell r="B452">
            <v>4300</v>
          </cell>
          <cell r="C452" t="str">
            <v>BF</v>
          </cell>
        </row>
        <row r="453">
          <cell r="B453">
            <v>13002</v>
          </cell>
          <cell r="C453" t="str">
            <v>SptN</v>
          </cell>
        </row>
        <row r="454">
          <cell r="B454">
            <v>4301</v>
          </cell>
          <cell r="C454" t="str">
            <v>SptN</v>
          </cell>
        </row>
        <row r="455">
          <cell r="B455">
            <v>4302</v>
          </cell>
          <cell r="C455" t="str">
            <v>MS</v>
          </cell>
        </row>
        <row r="456">
          <cell r="B456">
            <v>4303</v>
          </cell>
          <cell r="C456" t="str">
            <v>LS</v>
          </cell>
        </row>
        <row r="457">
          <cell r="B457">
            <v>4304</v>
          </cell>
          <cell r="C457" t="str">
            <v>SptN</v>
          </cell>
        </row>
        <row r="458">
          <cell r="B458">
            <v>4305</v>
          </cell>
          <cell r="C458" t="str">
            <v>MS</v>
          </cell>
        </row>
        <row r="459">
          <cell r="B459">
            <v>4306</v>
          </cell>
          <cell r="C459" t="str">
            <v>LS</v>
          </cell>
        </row>
        <row r="460">
          <cell r="B460">
            <v>13003</v>
          </cell>
          <cell r="C460" t="str">
            <v>SI</v>
          </cell>
        </row>
        <row r="461">
          <cell r="B461">
            <v>4307</v>
          </cell>
          <cell r="C461" t="str">
            <v>SI</v>
          </cell>
        </row>
        <row r="462">
          <cell r="B462">
            <v>4308</v>
          </cell>
          <cell r="C462" t="str">
            <v>nbM</v>
          </cell>
        </row>
        <row r="463">
          <cell r="B463">
            <v>4309</v>
          </cell>
          <cell r="C463" t="str">
            <v>DB</v>
          </cell>
        </row>
        <row r="464">
          <cell r="B464">
            <v>4310</v>
          </cell>
          <cell r="C464" t="str">
            <v>DBv</v>
          </cell>
        </row>
        <row r="465">
          <cell r="B465">
            <v>4311</v>
          </cell>
          <cell r="C465" t="str">
            <v>DBh</v>
          </cell>
        </row>
        <row r="466">
          <cell r="B466">
            <v>4312</v>
          </cell>
          <cell r="C466" t="str">
            <v>Nac</v>
          </cell>
        </row>
        <row r="467">
          <cell r="B467">
            <v>4313</v>
          </cell>
          <cell r="C467" t="str">
            <v>BST</v>
          </cell>
        </row>
        <row r="468">
          <cell r="B468">
            <v>10145</v>
          </cell>
          <cell r="C468" t="str">
            <v>OlfT</v>
          </cell>
        </row>
        <row r="469">
          <cell r="B469">
            <v>265504792</v>
          </cell>
          <cell r="C469" t="str">
            <v>IslC</v>
          </cell>
        </row>
        <row r="470">
          <cell r="B470">
            <v>4314</v>
          </cell>
          <cell r="C470" t="str">
            <v>SI</v>
          </cell>
        </row>
        <row r="471">
          <cell r="B471">
            <v>4315</v>
          </cell>
          <cell r="C471" t="str">
            <v>nbM</v>
          </cell>
        </row>
        <row r="472">
          <cell r="B472">
            <v>4316</v>
          </cell>
          <cell r="C472" t="str">
            <v>DB</v>
          </cell>
        </row>
        <row r="473">
          <cell r="B473">
            <v>4317</v>
          </cell>
          <cell r="C473" t="str">
            <v>DBv</v>
          </cell>
        </row>
        <row r="474">
          <cell r="B474">
            <v>4318</v>
          </cell>
          <cell r="C474" t="str">
            <v>DBh</v>
          </cell>
        </row>
        <row r="475">
          <cell r="B475">
            <v>4319</v>
          </cell>
          <cell r="C475" t="str">
            <v>Nac</v>
          </cell>
        </row>
        <row r="476">
          <cell r="B476">
            <v>4320</v>
          </cell>
          <cell r="C476" t="str">
            <v>BST</v>
          </cell>
        </row>
        <row r="477">
          <cell r="B477">
            <v>10146</v>
          </cell>
          <cell r="C477" t="str">
            <v>OlfT</v>
          </cell>
        </row>
        <row r="478">
          <cell r="B478">
            <v>265504796</v>
          </cell>
          <cell r="C478" t="str">
            <v>IslC</v>
          </cell>
        </row>
        <row r="479">
          <cell r="B479">
            <v>4276</v>
          </cell>
          <cell r="C479" t="str">
            <v>BG</v>
          </cell>
        </row>
        <row r="480">
          <cell r="B480">
            <v>4293</v>
          </cell>
          <cell r="C480" t="str">
            <v>GP</v>
          </cell>
        </row>
        <row r="481">
          <cell r="B481">
            <v>12897</v>
          </cell>
          <cell r="C481" t="str">
            <v>GPe</v>
          </cell>
        </row>
        <row r="482">
          <cell r="B482">
            <v>4295</v>
          </cell>
          <cell r="C482" t="str">
            <v>GPe</v>
          </cell>
        </row>
        <row r="483">
          <cell r="B483">
            <v>4298</v>
          </cell>
          <cell r="C483" t="str">
            <v>GPe</v>
          </cell>
        </row>
        <row r="484">
          <cell r="B484">
            <v>12898</v>
          </cell>
          <cell r="C484" t="str">
            <v>GPi</v>
          </cell>
        </row>
        <row r="485">
          <cell r="B485">
            <v>4296</v>
          </cell>
          <cell r="C485" t="str">
            <v>GPi</v>
          </cell>
        </row>
        <row r="486">
          <cell r="B486">
            <v>4299</v>
          </cell>
          <cell r="C486" t="str">
            <v>GPi</v>
          </cell>
        </row>
        <row r="487">
          <cell r="B487">
            <v>4277</v>
          </cell>
          <cell r="C487" t="str">
            <v>Str</v>
          </cell>
        </row>
        <row r="488">
          <cell r="B488">
            <v>4278</v>
          </cell>
          <cell r="C488" t="str">
            <v>Cd</v>
          </cell>
        </row>
        <row r="489">
          <cell r="B489">
            <v>12899</v>
          </cell>
          <cell r="C489" t="str">
            <v>BCd</v>
          </cell>
        </row>
        <row r="490">
          <cell r="B490">
            <v>4282</v>
          </cell>
          <cell r="C490" t="str">
            <v>BCd</v>
          </cell>
        </row>
        <row r="491">
          <cell r="B491">
            <v>4286</v>
          </cell>
          <cell r="C491" t="str">
            <v>BCd</v>
          </cell>
        </row>
        <row r="492">
          <cell r="B492">
            <v>12900</v>
          </cell>
          <cell r="C492" t="str">
            <v>HCd</v>
          </cell>
        </row>
        <row r="493">
          <cell r="B493">
            <v>4280</v>
          </cell>
          <cell r="C493" t="str">
            <v>HCd</v>
          </cell>
        </row>
        <row r="494">
          <cell r="B494">
            <v>4284</v>
          </cell>
          <cell r="C494" t="str">
            <v>HCd</v>
          </cell>
        </row>
        <row r="495">
          <cell r="B495">
            <v>12901</v>
          </cell>
          <cell r="C495" t="str">
            <v>TCd</v>
          </cell>
        </row>
        <row r="496">
          <cell r="B496">
            <v>4281</v>
          </cell>
          <cell r="C496" t="str">
            <v>TCd</v>
          </cell>
        </row>
        <row r="497">
          <cell r="B497">
            <v>4285</v>
          </cell>
          <cell r="C497" t="str">
            <v>TCd</v>
          </cell>
        </row>
        <row r="498">
          <cell r="B498">
            <v>4290</v>
          </cell>
          <cell r="C498" t="str">
            <v>Acb</v>
          </cell>
        </row>
        <row r="499">
          <cell r="B499">
            <v>4291</v>
          </cell>
          <cell r="C499" t="str">
            <v>Acb</v>
          </cell>
        </row>
        <row r="500">
          <cell r="B500">
            <v>4292</v>
          </cell>
          <cell r="C500" t="str">
            <v>Acb</v>
          </cell>
        </row>
        <row r="501">
          <cell r="B501">
            <v>4287</v>
          </cell>
          <cell r="C501" t="str">
            <v>Pu</v>
          </cell>
        </row>
        <row r="502">
          <cell r="B502">
            <v>4288</v>
          </cell>
          <cell r="C502" t="str">
            <v>Pu</v>
          </cell>
        </row>
        <row r="503">
          <cell r="B503">
            <v>4289</v>
          </cell>
          <cell r="C503" t="str">
            <v>Pu</v>
          </cell>
        </row>
        <row r="504">
          <cell r="B504">
            <v>4321</v>
          </cell>
          <cell r="C504" t="str">
            <v>Cl</v>
          </cell>
        </row>
        <row r="505">
          <cell r="B505">
            <v>4322</v>
          </cell>
          <cell r="C505" t="str">
            <v>Cl</v>
          </cell>
        </row>
        <row r="506">
          <cell r="B506">
            <v>4323</v>
          </cell>
          <cell r="C506" t="str">
            <v>Cl</v>
          </cell>
        </row>
        <row r="507">
          <cell r="B507">
            <v>4391</v>
          </cell>
          <cell r="C507" t="str">
            <v>DiE</v>
          </cell>
        </row>
        <row r="508">
          <cell r="B508">
            <v>4520</v>
          </cell>
          <cell r="C508" t="str">
            <v>ET</v>
          </cell>
        </row>
        <row r="509">
          <cell r="B509">
            <v>4521</v>
          </cell>
          <cell r="C509" t="str">
            <v>Hb</v>
          </cell>
        </row>
        <row r="510">
          <cell r="B510">
            <v>4522</v>
          </cell>
          <cell r="C510" t="str">
            <v>Hb</v>
          </cell>
        </row>
        <row r="511">
          <cell r="B511">
            <v>4524</v>
          </cell>
          <cell r="C511" t="str">
            <v>Hl</v>
          </cell>
        </row>
        <row r="512">
          <cell r="B512">
            <v>4525</v>
          </cell>
          <cell r="C512" t="str">
            <v>Hlm</v>
          </cell>
        </row>
        <row r="513">
          <cell r="B513">
            <v>4526</v>
          </cell>
          <cell r="C513" t="str">
            <v>Hlp</v>
          </cell>
        </row>
        <row r="514">
          <cell r="B514">
            <v>4523</v>
          </cell>
          <cell r="C514" t="str">
            <v>Hm</v>
          </cell>
        </row>
        <row r="515">
          <cell r="B515">
            <v>4527</v>
          </cell>
          <cell r="C515" t="str">
            <v>Hb</v>
          </cell>
        </row>
        <row r="516">
          <cell r="B516">
            <v>4529</v>
          </cell>
          <cell r="C516" t="str">
            <v>Hl</v>
          </cell>
        </row>
        <row r="517">
          <cell r="B517">
            <v>4530</v>
          </cell>
          <cell r="C517" t="str">
            <v>Hlm</v>
          </cell>
        </row>
        <row r="518">
          <cell r="B518">
            <v>4531</v>
          </cell>
          <cell r="C518" t="str">
            <v>Hlp</v>
          </cell>
        </row>
        <row r="519">
          <cell r="B519">
            <v>4528</v>
          </cell>
          <cell r="C519" t="str">
            <v>Hm</v>
          </cell>
        </row>
        <row r="520">
          <cell r="B520">
            <v>4533</v>
          </cell>
          <cell r="C520" t="str">
            <v>Pa</v>
          </cell>
        </row>
        <row r="521">
          <cell r="B521">
            <v>4534</v>
          </cell>
          <cell r="C521" t="str">
            <v>Pa</v>
          </cell>
        </row>
        <row r="522">
          <cell r="B522">
            <v>4535</v>
          </cell>
          <cell r="C522" t="str">
            <v>PARA</v>
          </cell>
        </row>
        <row r="523">
          <cell r="B523">
            <v>4536</v>
          </cell>
          <cell r="C523" t="str">
            <v>PARP</v>
          </cell>
        </row>
        <row r="524">
          <cell r="B524">
            <v>4537</v>
          </cell>
          <cell r="C524" t="str">
            <v>Pa</v>
          </cell>
        </row>
        <row r="525">
          <cell r="B525">
            <v>4538</v>
          </cell>
          <cell r="C525" t="str">
            <v>PARA</v>
          </cell>
        </row>
        <row r="526">
          <cell r="B526">
            <v>4539</v>
          </cell>
          <cell r="C526" t="str">
            <v>PARP</v>
          </cell>
        </row>
        <row r="527">
          <cell r="B527">
            <v>4532</v>
          </cell>
          <cell r="C527" t="str">
            <v>PIN</v>
          </cell>
        </row>
        <row r="528">
          <cell r="B528">
            <v>4540</v>
          </cell>
          <cell r="C528" t="str">
            <v>Hy</v>
          </cell>
        </row>
        <row r="529">
          <cell r="B529">
            <v>4570</v>
          </cell>
          <cell r="C529" t="str">
            <v>AHR</v>
          </cell>
        </row>
        <row r="530">
          <cell r="B530">
            <v>12902</v>
          </cell>
          <cell r="C530" t="str">
            <v>AHA</v>
          </cell>
        </row>
        <row r="531">
          <cell r="B531">
            <v>4598</v>
          </cell>
          <cell r="C531" t="str">
            <v>AHA</v>
          </cell>
        </row>
        <row r="532">
          <cell r="B532">
            <v>4599</v>
          </cell>
          <cell r="C532" t="str">
            <v>AHAA</v>
          </cell>
        </row>
        <row r="533">
          <cell r="B533">
            <v>4600</v>
          </cell>
          <cell r="C533" t="str">
            <v>AHC</v>
          </cell>
        </row>
        <row r="534">
          <cell r="B534">
            <v>4629</v>
          </cell>
          <cell r="C534" t="str">
            <v>AHA</v>
          </cell>
        </row>
        <row r="535">
          <cell r="B535">
            <v>4630</v>
          </cell>
          <cell r="C535" t="str">
            <v>AHAA</v>
          </cell>
        </row>
        <row r="536">
          <cell r="B536">
            <v>4631</v>
          </cell>
          <cell r="C536" t="str">
            <v>AHC</v>
          </cell>
        </row>
        <row r="537">
          <cell r="B537">
            <v>12903</v>
          </cell>
          <cell r="C537" t="str">
            <v>AHN</v>
          </cell>
        </row>
        <row r="538">
          <cell r="B538">
            <v>4601</v>
          </cell>
          <cell r="C538" t="str">
            <v>AHN</v>
          </cell>
        </row>
        <row r="539">
          <cell r="B539">
            <v>4632</v>
          </cell>
          <cell r="C539" t="str">
            <v>AHN</v>
          </cell>
        </row>
        <row r="540">
          <cell r="B540">
            <v>12904</v>
          </cell>
          <cell r="C540" t="str">
            <v>LHA</v>
          </cell>
        </row>
        <row r="541">
          <cell r="B541">
            <v>4596</v>
          </cell>
          <cell r="C541" t="str">
            <v>LHA</v>
          </cell>
        </row>
        <row r="542">
          <cell r="B542">
            <v>4627</v>
          </cell>
          <cell r="C542" t="str">
            <v>LHA</v>
          </cell>
        </row>
        <row r="543">
          <cell r="B543">
            <v>12905</v>
          </cell>
          <cell r="C543" t="str">
            <v>PVH</v>
          </cell>
        </row>
        <row r="544">
          <cell r="B544">
            <v>4573</v>
          </cell>
          <cell r="C544" t="str">
            <v>PVH</v>
          </cell>
        </row>
        <row r="545">
          <cell r="B545">
            <v>4574</v>
          </cell>
          <cell r="C545" t="str">
            <v>SPZ</v>
          </cell>
        </row>
        <row r="546">
          <cell r="B546">
            <v>4575</v>
          </cell>
          <cell r="C546" t="str">
            <v>PVHd</v>
          </cell>
        </row>
        <row r="547">
          <cell r="B547">
            <v>4577</v>
          </cell>
          <cell r="C547" t="str">
            <v>PVHdp</v>
          </cell>
        </row>
        <row r="548">
          <cell r="B548">
            <v>4579</v>
          </cell>
          <cell r="C548" t="str">
            <v>PVHf</v>
          </cell>
        </row>
        <row r="549">
          <cell r="B549">
            <v>4578</v>
          </cell>
          <cell r="C549" t="str">
            <v>PVHlp</v>
          </cell>
        </row>
        <row r="550">
          <cell r="B550">
            <v>4576</v>
          </cell>
          <cell r="C550" t="str">
            <v>PVHmpv</v>
          </cell>
        </row>
        <row r="551">
          <cell r="B551">
            <v>4580</v>
          </cell>
          <cell r="C551" t="str">
            <v>PVHm</v>
          </cell>
        </row>
        <row r="552">
          <cell r="B552">
            <v>4581</v>
          </cell>
          <cell r="C552" t="str">
            <v>PVHam</v>
          </cell>
        </row>
        <row r="553">
          <cell r="B553">
            <v>4582</v>
          </cell>
          <cell r="C553" t="str">
            <v>PVHmm</v>
          </cell>
        </row>
        <row r="554">
          <cell r="B554">
            <v>4583</v>
          </cell>
          <cell r="C554" t="str">
            <v>PVHpm</v>
          </cell>
        </row>
        <row r="555">
          <cell r="B555">
            <v>4585</v>
          </cell>
          <cell r="C555" t="str">
            <v>PVHpml</v>
          </cell>
        </row>
        <row r="556">
          <cell r="B556">
            <v>4584</v>
          </cell>
          <cell r="C556" t="str">
            <v>PVHpmm</v>
          </cell>
        </row>
        <row r="557">
          <cell r="B557">
            <v>4586</v>
          </cell>
          <cell r="C557" t="str">
            <v>PVHp</v>
          </cell>
        </row>
        <row r="558">
          <cell r="B558">
            <v>4587</v>
          </cell>
          <cell r="C558" t="str">
            <v>PVHap</v>
          </cell>
        </row>
        <row r="559">
          <cell r="B559">
            <v>4588</v>
          </cell>
          <cell r="C559" t="str">
            <v>PVHmpd</v>
          </cell>
        </row>
        <row r="560">
          <cell r="B560">
            <v>4589</v>
          </cell>
          <cell r="C560" t="str">
            <v>PVHpv</v>
          </cell>
        </row>
        <row r="561">
          <cell r="B561">
            <v>4604</v>
          </cell>
          <cell r="C561" t="str">
            <v>PVH</v>
          </cell>
        </row>
        <row r="562">
          <cell r="B562">
            <v>4605</v>
          </cell>
          <cell r="C562" t="str">
            <v>SPZ</v>
          </cell>
        </row>
        <row r="563">
          <cell r="B563">
            <v>4606</v>
          </cell>
          <cell r="C563" t="str">
            <v>PVHd</v>
          </cell>
        </row>
        <row r="564">
          <cell r="B564">
            <v>4608</v>
          </cell>
          <cell r="C564" t="str">
            <v>PVHdp</v>
          </cell>
        </row>
        <row r="565">
          <cell r="B565">
            <v>4610</v>
          </cell>
          <cell r="C565" t="str">
            <v>PVHf</v>
          </cell>
        </row>
        <row r="566">
          <cell r="B566">
            <v>4609</v>
          </cell>
          <cell r="C566" t="str">
            <v>PVHlp</v>
          </cell>
        </row>
        <row r="567">
          <cell r="B567">
            <v>4607</v>
          </cell>
          <cell r="C567" t="str">
            <v>PVHmpv</v>
          </cell>
        </row>
        <row r="568">
          <cell r="B568">
            <v>4611</v>
          </cell>
          <cell r="C568" t="str">
            <v>PVHm</v>
          </cell>
        </row>
        <row r="569">
          <cell r="B569">
            <v>4612</v>
          </cell>
          <cell r="C569" t="str">
            <v>PVHam</v>
          </cell>
        </row>
        <row r="570">
          <cell r="B570">
            <v>4613</v>
          </cell>
          <cell r="C570" t="str">
            <v>PVHmm</v>
          </cell>
        </row>
        <row r="571">
          <cell r="B571">
            <v>4614</v>
          </cell>
          <cell r="C571" t="str">
            <v>PVHpm</v>
          </cell>
        </row>
        <row r="572">
          <cell r="B572">
            <v>4616</v>
          </cell>
          <cell r="C572" t="str">
            <v>PVHpml</v>
          </cell>
        </row>
        <row r="573">
          <cell r="B573">
            <v>4615</v>
          </cell>
          <cell r="C573" t="str">
            <v>PVHpmm</v>
          </cell>
        </row>
        <row r="574">
          <cell r="B574">
            <v>4617</v>
          </cell>
          <cell r="C574" t="str">
            <v>PVHp</v>
          </cell>
        </row>
        <row r="575">
          <cell r="B575">
            <v>4618</v>
          </cell>
          <cell r="C575" t="str">
            <v>PVHap</v>
          </cell>
        </row>
        <row r="576">
          <cell r="B576">
            <v>4619</v>
          </cell>
          <cell r="C576" t="str">
            <v>PVHmpd</v>
          </cell>
        </row>
        <row r="577">
          <cell r="B577">
            <v>4620</v>
          </cell>
          <cell r="C577" t="str">
            <v>PVHpv</v>
          </cell>
        </row>
        <row r="578">
          <cell r="B578">
            <v>12906</v>
          </cell>
          <cell r="C578" t="str">
            <v>PVa</v>
          </cell>
        </row>
        <row r="579">
          <cell r="B579">
            <v>4572</v>
          </cell>
          <cell r="C579" t="str">
            <v>PVa</v>
          </cell>
        </row>
        <row r="580">
          <cell r="B580">
            <v>4603</v>
          </cell>
          <cell r="C580" t="str">
            <v>PVa</v>
          </cell>
        </row>
        <row r="581">
          <cell r="B581">
            <v>12907</v>
          </cell>
          <cell r="C581" t="str">
            <v>SO</v>
          </cell>
        </row>
        <row r="582">
          <cell r="B582">
            <v>4593</v>
          </cell>
          <cell r="C582" t="str">
            <v>SO</v>
          </cell>
        </row>
        <row r="583">
          <cell r="B583">
            <v>4594</v>
          </cell>
          <cell r="C583" t="str">
            <v>SODL</v>
          </cell>
        </row>
        <row r="584">
          <cell r="B584">
            <v>4595</v>
          </cell>
          <cell r="C584" t="str">
            <v>SOVM</v>
          </cell>
        </row>
        <row r="585">
          <cell r="B585">
            <v>4624</v>
          </cell>
          <cell r="C585" t="str">
            <v>SO</v>
          </cell>
        </row>
        <row r="586">
          <cell r="B586">
            <v>4625</v>
          </cell>
          <cell r="C586" t="str">
            <v>SODL</v>
          </cell>
        </row>
        <row r="587">
          <cell r="B587">
            <v>4626</v>
          </cell>
          <cell r="C587" t="str">
            <v>SOVM</v>
          </cell>
        </row>
        <row r="588">
          <cell r="B588">
            <v>12908</v>
          </cell>
          <cell r="C588" t="str">
            <v>SCN</v>
          </cell>
        </row>
        <row r="589">
          <cell r="B589">
            <v>4590</v>
          </cell>
          <cell r="C589" t="str">
            <v>SCN</v>
          </cell>
        </row>
        <row r="590">
          <cell r="B590">
            <v>4591</v>
          </cell>
          <cell r="C590" t="str">
            <v>SCNd</v>
          </cell>
        </row>
        <row r="591">
          <cell r="B591">
            <v>4592</v>
          </cell>
          <cell r="C591" t="str">
            <v>SCNv</v>
          </cell>
        </row>
        <row r="592">
          <cell r="B592">
            <v>4621</v>
          </cell>
          <cell r="C592" t="str">
            <v>SCN</v>
          </cell>
        </row>
        <row r="593">
          <cell r="B593">
            <v>4622</v>
          </cell>
          <cell r="C593" t="str">
            <v>SCNd</v>
          </cell>
        </row>
        <row r="594">
          <cell r="B594">
            <v>4623</v>
          </cell>
          <cell r="C594" t="str">
            <v>SCNv</v>
          </cell>
        </row>
        <row r="595">
          <cell r="B595">
            <v>4665</v>
          </cell>
          <cell r="C595" t="str">
            <v>MamR</v>
          </cell>
        </row>
        <row r="596">
          <cell r="B596">
            <v>13004</v>
          </cell>
          <cell r="C596" t="str">
            <v>LHM</v>
          </cell>
        </row>
        <row r="597">
          <cell r="B597">
            <v>13005</v>
          </cell>
          <cell r="C597" t="str">
            <v>LHM</v>
          </cell>
        </row>
        <row r="598">
          <cell r="B598">
            <v>4597</v>
          </cell>
          <cell r="C598" t="str">
            <v>PalHy</v>
          </cell>
        </row>
        <row r="599">
          <cell r="B599">
            <v>13006</v>
          </cell>
          <cell r="C599" t="str">
            <v>LHM</v>
          </cell>
        </row>
        <row r="600">
          <cell r="B600">
            <v>4628</v>
          </cell>
          <cell r="C600" t="str">
            <v>PalHy</v>
          </cell>
        </row>
        <row r="601">
          <cell r="B601">
            <v>12909</v>
          </cell>
          <cell r="C601" t="str">
            <v>MB</v>
          </cell>
        </row>
        <row r="602">
          <cell r="B602">
            <v>4671</v>
          </cell>
          <cell r="C602" t="str">
            <v>MB</v>
          </cell>
        </row>
        <row r="603">
          <cell r="B603">
            <v>4675</v>
          </cell>
          <cell r="C603" t="str">
            <v>LM</v>
          </cell>
        </row>
        <row r="604">
          <cell r="B604">
            <v>4672</v>
          </cell>
          <cell r="C604" t="str">
            <v>MM</v>
          </cell>
        </row>
        <row r="605">
          <cell r="B605">
            <v>4673</v>
          </cell>
          <cell r="C605" t="str">
            <v>MMl</v>
          </cell>
        </row>
        <row r="606">
          <cell r="B606">
            <v>4674</v>
          </cell>
          <cell r="C606" t="str">
            <v>MMm</v>
          </cell>
        </row>
        <row r="607">
          <cell r="B607">
            <v>265504804</v>
          </cell>
          <cell r="C607" t="str">
            <v>MMb</v>
          </cell>
        </row>
        <row r="608">
          <cell r="B608">
            <v>4676</v>
          </cell>
          <cell r="C608" t="str">
            <v>PMm</v>
          </cell>
        </row>
        <row r="609">
          <cell r="B609">
            <v>4677</v>
          </cell>
          <cell r="C609" t="str">
            <v>PMD</v>
          </cell>
        </row>
        <row r="610">
          <cell r="B610">
            <v>4678</v>
          </cell>
          <cell r="C610" t="str">
            <v>PMV</v>
          </cell>
        </row>
        <row r="611">
          <cell r="B611">
            <v>4685</v>
          </cell>
          <cell r="C611" t="str">
            <v>MB</v>
          </cell>
        </row>
        <row r="612">
          <cell r="B612">
            <v>4689</v>
          </cell>
          <cell r="C612" t="str">
            <v>LM</v>
          </cell>
        </row>
        <row r="613">
          <cell r="B613">
            <v>4686</v>
          </cell>
          <cell r="C613" t="str">
            <v>MM</v>
          </cell>
        </row>
        <row r="614">
          <cell r="B614">
            <v>4687</v>
          </cell>
          <cell r="C614" t="str">
            <v>MMl</v>
          </cell>
        </row>
        <row r="615">
          <cell r="B615">
            <v>4688</v>
          </cell>
          <cell r="C615" t="str">
            <v>MMm</v>
          </cell>
        </row>
        <row r="616">
          <cell r="B616">
            <v>265504808</v>
          </cell>
          <cell r="C616" t="str">
            <v>MMb</v>
          </cell>
        </row>
        <row r="617">
          <cell r="B617">
            <v>4690</v>
          </cell>
          <cell r="C617" t="str">
            <v>PMm</v>
          </cell>
        </row>
        <row r="618">
          <cell r="B618">
            <v>4691</v>
          </cell>
          <cell r="C618" t="str">
            <v>PMD</v>
          </cell>
        </row>
        <row r="619">
          <cell r="B619">
            <v>4692</v>
          </cell>
          <cell r="C619" t="str">
            <v>PMV</v>
          </cell>
        </row>
        <row r="620">
          <cell r="B620">
            <v>12910</v>
          </cell>
          <cell r="C620" t="str">
            <v>PHA</v>
          </cell>
        </row>
        <row r="621">
          <cell r="B621">
            <v>4679</v>
          </cell>
          <cell r="C621" t="str">
            <v>PHA</v>
          </cell>
        </row>
        <row r="622">
          <cell r="B622">
            <v>4693</v>
          </cell>
          <cell r="C622" t="str">
            <v>PHA</v>
          </cell>
        </row>
        <row r="623">
          <cell r="B623">
            <v>12911</v>
          </cell>
          <cell r="C623" t="str">
            <v>SuM</v>
          </cell>
        </row>
        <row r="624">
          <cell r="B624">
            <v>4669</v>
          </cell>
          <cell r="C624" t="str">
            <v>SuM</v>
          </cell>
        </row>
        <row r="625">
          <cell r="B625">
            <v>4670</v>
          </cell>
          <cell r="C625" t="str">
            <v>SuMM</v>
          </cell>
        </row>
        <row r="626">
          <cell r="B626">
            <v>4683</v>
          </cell>
          <cell r="C626" t="str">
            <v>SuM</v>
          </cell>
        </row>
        <row r="627">
          <cell r="B627">
            <v>4684</v>
          </cell>
          <cell r="C627" t="str">
            <v>SuMM</v>
          </cell>
        </row>
        <row r="628">
          <cell r="B628">
            <v>12912</v>
          </cell>
          <cell r="C628" t="str">
            <v>TM</v>
          </cell>
        </row>
        <row r="629">
          <cell r="B629">
            <v>4667</v>
          </cell>
          <cell r="C629" t="str">
            <v>TM</v>
          </cell>
        </row>
        <row r="630">
          <cell r="B630">
            <v>4668</v>
          </cell>
          <cell r="C630" t="str">
            <v>TMp</v>
          </cell>
        </row>
        <row r="631">
          <cell r="B631">
            <v>4681</v>
          </cell>
          <cell r="C631" t="str">
            <v>TM</v>
          </cell>
        </row>
        <row r="632">
          <cell r="B632">
            <v>4682</v>
          </cell>
          <cell r="C632" t="str">
            <v>TMp</v>
          </cell>
        </row>
        <row r="633">
          <cell r="B633">
            <v>4541</v>
          </cell>
          <cell r="C633" t="str">
            <v>PrOR</v>
          </cell>
        </row>
        <row r="634">
          <cell r="B634">
            <v>4542</v>
          </cell>
          <cell r="C634" t="str">
            <v>PrOR</v>
          </cell>
        </row>
        <row r="635">
          <cell r="B635">
            <v>4553</v>
          </cell>
          <cell r="C635" t="str">
            <v>IMH</v>
          </cell>
        </row>
        <row r="636">
          <cell r="B636">
            <v>4554</v>
          </cell>
          <cell r="C636" t="str">
            <v>IN</v>
          </cell>
        </row>
        <row r="637">
          <cell r="B637">
            <v>4555</v>
          </cell>
          <cell r="C637" t="str">
            <v>UN</v>
          </cell>
        </row>
        <row r="638">
          <cell r="B638">
            <v>4552</v>
          </cell>
          <cell r="C638" t="str">
            <v>LPO</v>
          </cell>
        </row>
        <row r="639">
          <cell r="B639">
            <v>4543</v>
          </cell>
          <cell r="C639" t="str">
            <v>MPA</v>
          </cell>
        </row>
        <row r="640">
          <cell r="B640">
            <v>4544</v>
          </cell>
          <cell r="C640" t="str">
            <v>MPO</v>
          </cell>
        </row>
        <row r="641">
          <cell r="B641">
            <v>4547</v>
          </cell>
          <cell r="C641" t="str">
            <v>MPOC</v>
          </cell>
        </row>
        <row r="642">
          <cell r="B642">
            <v>4545</v>
          </cell>
          <cell r="C642" t="str">
            <v>MPOL</v>
          </cell>
        </row>
        <row r="643">
          <cell r="B643">
            <v>4546</v>
          </cell>
          <cell r="C643" t="str">
            <v>MPOM</v>
          </cell>
        </row>
        <row r="644">
          <cell r="B644">
            <v>4548</v>
          </cell>
          <cell r="C644" t="str">
            <v>MnPO</v>
          </cell>
        </row>
        <row r="645">
          <cell r="B645">
            <v>4549</v>
          </cell>
          <cell r="C645" t="str">
            <v>PVpo</v>
          </cell>
        </row>
        <row r="646">
          <cell r="B646">
            <v>4550</v>
          </cell>
          <cell r="C646" t="str">
            <v>AVPV</v>
          </cell>
        </row>
        <row r="647">
          <cell r="B647">
            <v>4551</v>
          </cell>
          <cell r="C647" t="str">
            <v>DPV</v>
          </cell>
        </row>
        <row r="648">
          <cell r="B648">
            <v>4556</v>
          </cell>
          <cell r="C648" t="str">
            <v>PrOR</v>
          </cell>
        </row>
        <row r="649">
          <cell r="B649">
            <v>4567</v>
          </cell>
          <cell r="C649" t="str">
            <v>IMH</v>
          </cell>
        </row>
        <row r="650">
          <cell r="B650">
            <v>4568</v>
          </cell>
          <cell r="C650" t="str">
            <v>IN</v>
          </cell>
        </row>
        <row r="651">
          <cell r="B651">
            <v>4569</v>
          </cell>
          <cell r="C651" t="str">
            <v>UN</v>
          </cell>
        </row>
        <row r="652">
          <cell r="B652">
            <v>4566</v>
          </cell>
          <cell r="C652" t="str">
            <v>LPO</v>
          </cell>
        </row>
        <row r="653">
          <cell r="B653">
            <v>4557</v>
          </cell>
          <cell r="C653" t="str">
            <v>MPA</v>
          </cell>
        </row>
        <row r="654">
          <cell r="B654">
            <v>4558</v>
          </cell>
          <cell r="C654" t="str">
            <v>MPO</v>
          </cell>
        </row>
        <row r="655">
          <cell r="B655">
            <v>4561</v>
          </cell>
          <cell r="C655" t="str">
            <v>MPOC</v>
          </cell>
        </row>
        <row r="656">
          <cell r="B656">
            <v>4559</v>
          </cell>
          <cell r="C656" t="str">
            <v>MPOL</v>
          </cell>
        </row>
        <row r="657">
          <cell r="B657">
            <v>4560</v>
          </cell>
          <cell r="C657" t="str">
            <v>MPOM</v>
          </cell>
        </row>
        <row r="658">
          <cell r="B658">
            <v>4562</v>
          </cell>
          <cell r="C658" t="str">
            <v>MnPO</v>
          </cell>
        </row>
        <row r="659">
          <cell r="B659">
            <v>4563</v>
          </cell>
          <cell r="C659" t="str">
            <v>PVpo</v>
          </cell>
        </row>
        <row r="660">
          <cell r="B660">
            <v>4564</v>
          </cell>
          <cell r="C660" t="str">
            <v>AVPV</v>
          </cell>
        </row>
        <row r="661">
          <cell r="B661">
            <v>4565</v>
          </cell>
          <cell r="C661" t="str">
            <v>DPV</v>
          </cell>
        </row>
        <row r="662">
          <cell r="B662">
            <v>4633</v>
          </cell>
          <cell r="C662" t="str">
            <v>TubR</v>
          </cell>
        </row>
        <row r="663">
          <cell r="B663">
            <v>4634</v>
          </cell>
          <cell r="C663" t="str">
            <v>Pit</v>
          </cell>
        </row>
        <row r="664">
          <cell r="B664">
            <v>12913</v>
          </cell>
          <cell r="C664" t="str">
            <v>ARH</v>
          </cell>
        </row>
        <row r="665">
          <cell r="B665">
            <v>4644</v>
          </cell>
          <cell r="C665" t="str">
            <v>ARH</v>
          </cell>
        </row>
        <row r="666">
          <cell r="B666">
            <v>4645</v>
          </cell>
          <cell r="C666" t="str">
            <v>ArcD</v>
          </cell>
        </row>
        <row r="667">
          <cell r="B667">
            <v>4646</v>
          </cell>
          <cell r="C667" t="str">
            <v>ArcL</v>
          </cell>
        </row>
        <row r="668">
          <cell r="B668">
            <v>4647</v>
          </cell>
          <cell r="C668" t="str">
            <v>ArcM</v>
          </cell>
        </row>
        <row r="669">
          <cell r="B669">
            <v>4659</v>
          </cell>
          <cell r="C669" t="str">
            <v>ARH</v>
          </cell>
        </row>
        <row r="670">
          <cell r="B670">
            <v>4660</v>
          </cell>
          <cell r="C670" t="str">
            <v>ArcD</v>
          </cell>
        </row>
        <row r="671">
          <cell r="B671">
            <v>4661</v>
          </cell>
          <cell r="C671" t="str">
            <v>ArcL</v>
          </cell>
        </row>
        <row r="672">
          <cell r="B672">
            <v>4662</v>
          </cell>
          <cell r="C672" t="str">
            <v>ArcM</v>
          </cell>
        </row>
        <row r="673">
          <cell r="B673">
            <v>12914</v>
          </cell>
          <cell r="C673" t="str">
            <v>DMH</v>
          </cell>
        </row>
        <row r="674">
          <cell r="B674">
            <v>4641</v>
          </cell>
          <cell r="C674" t="str">
            <v>DMH</v>
          </cell>
        </row>
        <row r="675">
          <cell r="B675">
            <v>4642</v>
          </cell>
          <cell r="C675" t="str">
            <v>DMC</v>
          </cell>
        </row>
        <row r="676">
          <cell r="B676">
            <v>4643</v>
          </cell>
          <cell r="C676" t="str">
            <v>DMD</v>
          </cell>
        </row>
        <row r="677">
          <cell r="B677">
            <v>4656</v>
          </cell>
          <cell r="C677" t="str">
            <v>DMH</v>
          </cell>
        </row>
        <row r="678">
          <cell r="B678">
            <v>4657</v>
          </cell>
          <cell r="C678" t="str">
            <v>DMC</v>
          </cell>
        </row>
        <row r="679">
          <cell r="B679">
            <v>4658</v>
          </cell>
          <cell r="C679" t="str">
            <v>DMD</v>
          </cell>
        </row>
        <row r="680">
          <cell r="B680">
            <v>13007</v>
          </cell>
          <cell r="C680" t="str">
            <v>LHT</v>
          </cell>
        </row>
        <row r="681">
          <cell r="B681">
            <v>13008</v>
          </cell>
          <cell r="C681" t="str">
            <v>LHT</v>
          </cell>
        </row>
        <row r="682">
          <cell r="B682">
            <v>13009</v>
          </cell>
          <cell r="C682" t="str">
            <v>LHT</v>
          </cell>
        </row>
        <row r="683">
          <cell r="B683">
            <v>12915</v>
          </cell>
          <cell r="C683" t="str">
            <v>LTu</v>
          </cell>
        </row>
        <row r="684">
          <cell r="B684">
            <v>10151</v>
          </cell>
          <cell r="C684" t="str">
            <v>LTu</v>
          </cell>
        </row>
        <row r="685">
          <cell r="B685">
            <v>10152</v>
          </cell>
          <cell r="C685" t="str">
            <v>LTu</v>
          </cell>
        </row>
        <row r="686">
          <cell r="B686">
            <v>12916</v>
          </cell>
          <cell r="C686" t="str">
            <v>ME</v>
          </cell>
        </row>
        <row r="687">
          <cell r="B687">
            <v>4649</v>
          </cell>
          <cell r="C687" t="str">
            <v>ME</v>
          </cell>
        </row>
        <row r="688">
          <cell r="B688">
            <v>4664</v>
          </cell>
          <cell r="C688" t="str">
            <v>ME</v>
          </cell>
        </row>
        <row r="689">
          <cell r="B689">
            <v>12917</v>
          </cell>
          <cell r="C689" t="str">
            <v>PeF</v>
          </cell>
        </row>
        <row r="690">
          <cell r="B690">
            <v>4648</v>
          </cell>
          <cell r="C690" t="str">
            <v>PeF</v>
          </cell>
        </row>
        <row r="691">
          <cell r="B691">
            <v>4663</v>
          </cell>
          <cell r="C691" t="str">
            <v>PeF</v>
          </cell>
        </row>
        <row r="692">
          <cell r="B692">
            <v>12918</v>
          </cell>
          <cell r="C692" t="str">
            <v>PVt</v>
          </cell>
        </row>
        <row r="693">
          <cell r="B693">
            <v>4636</v>
          </cell>
          <cell r="C693" t="str">
            <v>PVt</v>
          </cell>
        </row>
        <row r="694">
          <cell r="B694">
            <v>4651</v>
          </cell>
          <cell r="C694" t="str">
            <v>PVt</v>
          </cell>
        </row>
        <row r="695">
          <cell r="B695">
            <v>12919</v>
          </cell>
          <cell r="C695" t="str">
            <v>VMH</v>
          </cell>
        </row>
        <row r="696">
          <cell r="B696">
            <v>4637</v>
          </cell>
          <cell r="C696" t="str">
            <v>VMH</v>
          </cell>
        </row>
        <row r="697">
          <cell r="B697">
            <v>4639</v>
          </cell>
          <cell r="C697" t="str">
            <v>VMHd</v>
          </cell>
        </row>
        <row r="698">
          <cell r="B698">
            <v>4640</v>
          </cell>
          <cell r="C698" t="str">
            <v>VMHc</v>
          </cell>
        </row>
        <row r="699">
          <cell r="B699">
            <v>4638</v>
          </cell>
          <cell r="C699" t="str">
            <v>VMHv</v>
          </cell>
        </row>
        <row r="700">
          <cell r="B700">
            <v>4652</v>
          </cell>
          <cell r="C700" t="str">
            <v>VMH</v>
          </cell>
        </row>
        <row r="701">
          <cell r="B701">
            <v>4654</v>
          </cell>
          <cell r="C701" t="str">
            <v>VMHd</v>
          </cell>
        </row>
        <row r="702">
          <cell r="B702">
            <v>4655</v>
          </cell>
          <cell r="C702" t="str">
            <v>VMHc</v>
          </cell>
        </row>
        <row r="703">
          <cell r="B703">
            <v>4653</v>
          </cell>
          <cell r="C703" t="str">
            <v>VMHv</v>
          </cell>
        </row>
        <row r="704">
          <cell r="B704">
            <v>4517</v>
          </cell>
          <cell r="C704" t="str">
            <v>SbT</v>
          </cell>
        </row>
        <row r="705">
          <cell r="B705">
            <v>4518</v>
          </cell>
          <cell r="C705" t="str">
            <v>Sb</v>
          </cell>
        </row>
        <row r="706">
          <cell r="B706">
            <v>4519</v>
          </cell>
          <cell r="C706" t="str">
            <v>Sb</v>
          </cell>
        </row>
        <row r="707">
          <cell r="B707">
            <v>4392</v>
          </cell>
          <cell r="C707" t="str">
            <v>TH</v>
          </cell>
        </row>
        <row r="708">
          <cell r="B708">
            <v>4393</v>
          </cell>
          <cell r="C708" t="str">
            <v>DT</v>
          </cell>
        </row>
        <row r="709">
          <cell r="B709">
            <v>12920</v>
          </cell>
          <cell r="C709" t="str">
            <v>DTA</v>
          </cell>
        </row>
        <row r="710">
          <cell r="B710">
            <v>4395</v>
          </cell>
          <cell r="C710" t="str">
            <v>DTA</v>
          </cell>
        </row>
        <row r="711">
          <cell r="B711">
            <v>4398</v>
          </cell>
          <cell r="C711" t="str">
            <v>AD</v>
          </cell>
        </row>
        <row r="712">
          <cell r="B712">
            <v>4396</v>
          </cell>
          <cell r="C712" t="str">
            <v>AM</v>
          </cell>
        </row>
        <row r="713">
          <cell r="B713">
            <v>4397</v>
          </cell>
          <cell r="C713" t="str">
            <v>AV</v>
          </cell>
        </row>
        <row r="714">
          <cell r="B714">
            <v>4399</v>
          </cell>
          <cell r="C714" t="str">
            <v>LD</v>
          </cell>
        </row>
        <row r="715">
          <cell r="B715">
            <v>4450</v>
          </cell>
          <cell r="C715" t="str">
            <v>DTA</v>
          </cell>
        </row>
        <row r="716">
          <cell r="B716">
            <v>4453</v>
          </cell>
          <cell r="C716" t="str">
            <v>AD</v>
          </cell>
        </row>
        <row r="717">
          <cell r="B717">
            <v>4451</v>
          </cell>
          <cell r="C717" t="str">
            <v>AM</v>
          </cell>
        </row>
        <row r="718">
          <cell r="B718">
            <v>4452</v>
          </cell>
          <cell r="C718" t="str">
            <v>AV</v>
          </cell>
        </row>
        <row r="719">
          <cell r="B719">
            <v>4454</v>
          </cell>
          <cell r="C719" t="str">
            <v>LD</v>
          </cell>
        </row>
        <row r="720">
          <cell r="B720">
            <v>12921</v>
          </cell>
          <cell r="C720" t="str">
            <v>ILc</v>
          </cell>
        </row>
        <row r="721">
          <cell r="B721">
            <v>4437</v>
          </cell>
          <cell r="C721" t="str">
            <v>ILc</v>
          </cell>
        </row>
        <row r="722">
          <cell r="B722">
            <v>4438</v>
          </cell>
          <cell r="C722" t="str">
            <v>CM</v>
          </cell>
        </row>
        <row r="723">
          <cell r="B723">
            <v>4439</v>
          </cell>
          <cell r="C723" t="str">
            <v>pf</v>
          </cell>
        </row>
        <row r="724">
          <cell r="B724">
            <v>4492</v>
          </cell>
          <cell r="C724" t="str">
            <v>ILc</v>
          </cell>
        </row>
        <row r="725">
          <cell r="B725">
            <v>4493</v>
          </cell>
          <cell r="C725" t="str">
            <v>CM</v>
          </cell>
        </row>
        <row r="726">
          <cell r="B726">
            <v>4494</v>
          </cell>
          <cell r="C726" t="str">
            <v>pf</v>
          </cell>
        </row>
        <row r="727">
          <cell r="B727">
            <v>12922</v>
          </cell>
          <cell r="C727" t="str">
            <v>LGd</v>
          </cell>
        </row>
        <row r="728">
          <cell r="B728">
            <v>4440</v>
          </cell>
          <cell r="C728" t="str">
            <v>LGd</v>
          </cell>
        </row>
        <row r="729">
          <cell r="B729">
            <v>4441</v>
          </cell>
          <cell r="C729" t="str">
            <v>LGdm</v>
          </cell>
        </row>
        <row r="730">
          <cell r="B730">
            <v>4442</v>
          </cell>
          <cell r="C730" t="str">
            <v>LGdp</v>
          </cell>
        </row>
        <row r="731">
          <cell r="B731">
            <v>4443</v>
          </cell>
          <cell r="C731" t="str">
            <v>LGds</v>
          </cell>
        </row>
        <row r="732">
          <cell r="B732">
            <v>4495</v>
          </cell>
          <cell r="C732" t="str">
            <v>LGd</v>
          </cell>
        </row>
        <row r="733">
          <cell r="B733">
            <v>4496</v>
          </cell>
          <cell r="C733" t="str">
            <v>LGdm</v>
          </cell>
        </row>
        <row r="734">
          <cell r="B734">
            <v>4497</v>
          </cell>
          <cell r="C734" t="str">
            <v>LGdp</v>
          </cell>
        </row>
        <row r="735">
          <cell r="B735">
            <v>4498</v>
          </cell>
          <cell r="C735" t="str">
            <v>LGds</v>
          </cell>
        </row>
        <row r="736">
          <cell r="B736">
            <v>12923</v>
          </cell>
          <cell r="C736" t="str">
            <v>DTL</v>
          </cell>
        </row>
        <row r="737">
          <cell r="B737">
            <v>12924</v>
          </cell>
          <cell r="C737" t="str">
            <v>DTLd</v>
          </cell>
        </row>
        <row r="738">
          <cell r="B738">
            <v>4409</v>
          </cell>
          <cell r="C738" t="str">
            <v>DTLd</v>
          </cell>
        </row>
        <row r="739">
          <cell r="B739">
            <v>4410</v>
          </cell>
          <cell r="C739" t="str">
            <v>LP</v>
          </cell>
        </row>
        <row r="740">
          <cell r="B740">
            <v>4411</v>
          </cell>
          <cell r="C740" t="str">
            <v>Pla</v>
          </cell>
        </row>
        <row r="741">
          <cell r="B741">
            <v>4414</v>
          </cell>
          <cell r="C741" t="str">
            <v>Pli</v>
          </cell>
        </row>
        <row r="742">
          <cell r="B742">
            <v>4415</v>
          </cell>
          <cell r="C742" t="str">
            <v>Plil</v>
          </cell>
        </row>
        <row r="743">
          <cell r="B743">
            <v>4416</v>
          </cell>
          <cell r="C743" t="str">
            <v>Plim</v>
          </cell>
        </row>
        <row r="744">
          <cell r="B744">
            <v>4413</v>
          </cell>
          <cell r="C744" t="str">
            <v>Pll</v>
          </cell>
        </row>
        <row r="745">
          <cell r="B745">
            <v>4412</v>
          </cell>
          <cell r="C745" t="str">
            <v>Plm</v>
          </cell>
        </row>
        <row r="746">
          <cell r="B746">
            <v>4464</v>
          </cell>
          <cell r="C746" t="str">
            <v>DTLd</v>
          </cell>
        </row>
        <row r="747">
          <cell r="B747">
            <v>4465</v>
          </cell>
          <cell r="C747" t="str">
            <v>LP</v>
          </cell>
        </row>
        <row r="748">
          <cell r="B748">
            <v>4466</v>
          </cell>
          <cell r="C748" t="str">
            <v>Pla</v>
          </cell>
        </row>
        <row r="749">
          <cell r="B749">
            <v>4469</v>
          </cell>
          <cell r="C749" t="str">
            <v>Pli</v>
          </cell>
        </row>
        <row r="750">
          <cell r="B750">
            <v>4470</v>
          </cell>
          <cell r="C750" t="str">
            <v>Plil</v>
          </cell>
        </row>
        <row r="751">
          <cell r="B751">
            <v>4471</v>
          </cell>
          <cell r="C751" t="str">
            <v>Plim</v>
          </cell>
        </row>
        <row r="752">
          <cell r="B752">
            <v>4468</v>
          </cell>
          <cell r="C752" t="str">
            <v>Pll</v>
          </cell>
        </row>
        <row r="753">
          <cell r="B753">
            <v>4467</v>
          </cell>
          <cell r="C753" t="str">
            <v>Plm</v>
          </cell>
        </row>
        <row r="754">
          <cell r="B754">
            <v>12925</v>
          </cell>
          <cell r="C754" t="str">
            <v>DTLv</v>
          </cell>
        </row>
        <row r="755">
          <cell r="B755">
            <v>4417</v>
          </cell>
          <cell r="C755" t="str">
            <v>DTLv</v>
          </cell>
        </row>
        <row r="756">
          <cell r="B756">
            <v>4427</v>
          </cell>
          <cell r="C756" t="str">
            <v>VMb</v>
          </cell>
        </row>
        <row r="757">
          <cell r="B757">
            <v>4418</v>
          </cell>
          <cell r="C757" t="str">
            <v>VA</v>
          </cell>
        </row>
        <row r="758">
          <cell r="B758">
            <v>4420</v>
          </cell>
          <cell r="C758" t="str">
            <v>VAmc</v>
          </cell>
        </row>
        <row r="759">
          <cell r="B759">
            <v>4419</v>
          </cell>
          <cell r="C759" t="str">
            <v>VAp</v>
          </cell>
        </row>
        <row r="760">
          <cell r="B760">
            <v>4422</v>
          </cell>
          <cell r="C760" t="str">
            <v>VLa</v>
          </cell>
        </row>
        <row r="761">
          <cell r="B761">
            <v>4423</v>
          </cell>
          <cell r="C761" t="str">
            <v>VLp</v>
          </cell>
        </row>
        <row r="762">
          <cell r="B762">
            <v>4421</v>
          </cell>
          <cell r="C762" t="str">
            <v>VM</v>
          </cell>
        </row>
        <row r="763">
          <cell r="B763">
            <v>4426</v>
          </cell>
          <cell r="C763" t="str">
            <v>VPI</v>
          </cell>
        </row>
        <row r="764">
          <cell r="B764">
            <v>4425</v>
          </cell>
          <cell r="C764" t="str">
            <v>VPL</v>
          </cell>
        </row>
        <row r="765">
          <cell r="B765">
            <v>265504812</v>
          </cell>
          <cell r="C765" t="str">
            <v>VPLa</v>
          </cell>
        </row>
        <row r="766">
          <cell r="B766">
            <v>265504816</v>
          </cell>
          <cell r="C766" t="str">
            <v>VPLp</v>
          </cell>
        </row>
        <row r="767">
          <cell r="B767">
            <v>4424</v>
          </cell>
          <cell r="C767" t="str">
            <v>VPM</v>
          </cell>
        </row>
        <row r="768">
          <cell r="B768">
            <v>4472</v>
          </cell>
          <cell r="C768" t="str">
            <v>DTLv</v>
          </cell>
        </row>
        <row r="769">
          <cell r="B769">
            <v>4482</v>
          </cell>
          <cell r="C769" t="str">
            <v>VMb</v>
          </cell>
        </row>
        <row r="770">
          <cell r="B770">
            <v>4473</v>
          </cell>
          <cell r="C770" t="str">
            <v>VA</v>
          </cell>
        </row>
        <row r="771">
          <cell r="B771">
            <v>4475</v>
          </cell>
          <cell r="C771" t="str">
            <v>VAmc</v>
          </cell>
        </row>
        <row r="772">
          <cell r="B772">
            <v>4474</v>
          </cell>
          <cell r="C772" t="str">
            <v>VAp</v>
          </cell>
        </row>
        <row r="773">
          <cell r="B773">
            <v>4477</v>
          </cell>
          <cell r="C773" t="str">
            <v>VLa</v>
          </cell>
        </row>
        <row r="774">
          <cell r="B774">
            <v>4478</v>
          </cell>
          <cell r="C774" t="str">
            <v>VLp</v>
          </cell>
        </row>
        <row r="775">
          <cell r="B775">
            <v>4476</v>
          </cell>
          <cell r="C775" t="str">
            <v>VM</v>
          </cell>
        </row>
        <row r="776">
          <cell r="B776">
            <v>4481</v>
          </cell>
          <cell r="C776" t="str">
            <v>VPI</v>
          </cell>
        </row>
        <row r="777">
          <cell r="B777">
            <v>4480</v>
          </cell>
          <cell r="C777" t="str">
            <v>VPL</v>
          </cell>
        </row>
        <row r="778">
          <cell r="B778">
            <v>265504820</v>
          </cell>
          <cell r="C778" t="str">
            <v>VPLa</v>
          </cell>
        </row>
        <row r="779">
          <cell r="B779">
            <v>265504824</v>
          </cell>
          <cell r="C779" t="str">
            <v>VPLp</v>
          </cell>
        </row>
        <row r="780">
          <cell r="B780">
            <v>4479</v>
          </cell>
          <cell r="C780" t="str">
            <v>VPM</v>
          </cell>
        </row>
        <row r="781">
          <cell r="B781">
            <v>12926</v>
          </cell>
          <cell r="C781" t="str">
            <v>MG</v>
          </cell>
        </row>
        <row r="782">
          <cell r="B782">
            <v>4444</v>
          </cell>
          <cell r="C782" t="str">
            <v>MG</v>
          </cell>
        </row>
        <row r="783">
          <cell r="B783">
            <v>265504828</v>
          </cell>
          <cell r="C783" t="str">
            <v>MGd</v>
          </cell>
        </row>
        <row r="784">
          <cell r="B784">
            <v>4446</v>
          </cell>
          <cell r="C784" t="str">
            <v>MGad</v>
          </cell>
        </row>
        <row r="785">
          <cell r="B785">
            <v>4447</v>
          </cell>
          <cell r="C785" t="str">
            <v>MGpd</v>
          </cell>
        </row>
        <row r="786">
          <cell r="B786">
            <v>4448</v>
          </cell>
          <cell r="C786" t="str">
            <v>MGmc</v>
          </cell>
        </row>
        <row r="787">
          <cell r="B787">
            <v>4445</v>
          </cell>
          <cell r="C787" t="str">
            <v>MGv</v>
          </cell>
        </row>
        <row r="788">
          <cell r="B788">
            <v>4499</v>
          </cell>
          <cell r="C788" t="str">
            <v>MG</v>
          </cell>
        </row>
        <row r="789">
          <cell r="B789">
            <v>265504836</v>
          </cell>
          <cell r="C789" t="str">
            <v>MGd</v>
          </cell>
        </row>
        <row r="790">
          <cell r="B790">
            <v>4501</v>
          </cell>
          <cell r="C790" t="str">
            <v>MGad</v>
          </cell>
        </row>
        <row r="791">
          <cell r="B791">
            <v>4502</v>
          </cell>
          <cell r="C791" t="str">
            <v>MGpd</v>
          </cell>
        </row>
        <row r="792">
          <cell r="B792">
            <v>4503</v>
          </cell>
          <cell r="C792" t="str">
            <v>MGmc</v>
          </cell>
        </row>
        <row r="793">
          <cell r="B793">
            <v>4500</v>
          </cell>
          <cell r="C793" t="str">
            <v>MGv</v>
          </cell>
        </row>
        <row r="794">
          <cell r="B794">
            <v>12927</v>
          </cell>
          <cell r="C794" t="str">
            <v>DTM</v>
          </cell>
        </row>
        <row r="795">
          <cell r="B795">
            <v>4400</v>
          </cell>
          <cell r="C795" t="str">
            <v>DTM</v>
          </cell>
        </row>
        <row r="796">
          <cell r="B796">
            <v>4401</v>
          </cell>
          <cell r="C796" t="str">
            <v>MD</v>
          </cell>
        </row>
        <row r="797">
          <cell r="B797">
            <v>4402</v>
          </cell>
          <cell r="C797" t="str">
            <v>MDp</v>
          </cell>
        </row>
        <row r="798">
          <cell r="B798">
            <v>4403</v>
          </cell>
          <cell r="C798" t="str">
            <v>MDm</v>
          </cell>
        </row>
        <row r="799">
          <cell r="B799">
            <v>4404</v>
          </cell>
          <cell r="C799" t="str">
            <v>MDd</v>
          </cell>
        </row>
        <row r="800">
          <cell r="B800">
            <v>265504844</v>
          </cell>
          <cell r="C800" t="str">
            <v>MDl</v>
          </cell>
        </row>
        <row r="801">
          <cell r="B801">
            <v>4407</v>
          </cell>
          <cell r="C801" t="str">
            <v>MV</v>
          </cell>
        </row>
        <row r="802">
          <cell r="B802">
            <v>4405</v>
          </cell>
          <cell r="C802" t="str">
            <v>Pt</v>
          </cell>
        </row>
        <row r="803">
          <cell r="B803">
            <v>4406</v>
          </cell>
          <cell r="C803" t="str">
            <v>Sm</v>
          </cell>
        </row>
        <row r="804">
          <cell r="B804">
            <v>4455</v>
          </cell>
          <cell r="C804" t="str">
            <v>DTM</v>
          </cell>
        </row>
        <row r="805">
          <cell r="B805">
            <v>4456</v>
          </cell>
          <cell r="C805" t="str">
            <v>MD</v>
          </cell>
        </row>
        <row r="806">
          <cell r="B806">
            <v>4457</v>
          </cell>
          <cell r="C806" t="str">
            <v>MDp</v>
          </cell>
        </row>
        <row r="807">
          <cell r="B807">
            <v>4458</v>
          </cell>
          <cell r="C807" t="str">
            <v>MDm</v>
          </cell>
        </row>
        <row r="808">
          <cell r="B808">
            <v>4459</v>
          </cell>
          <cell r="C808" t="str">
            <v>MDd</v>
          </cell>
        </row>
        <row r="809">
          <cell r="B809">
            <v>265504848</v>
          </cell>
          <cell r="C809" t="str">
            <v>MDl</v>
          </cell>
        </row>
        <row r="810">
          <cell r="B810">
            <v>4462</v>
          </cell>
          <cell r="C810" t="str">
            <v>MV</v>
          </cell>
        </row>
        <row r="811">
          <cell r="B811">
            <v>4460</v>
          </cell>
          <cell r="C811" t="str">
            <v>Pt</v>
          </cell>
        </row>
        <row r="812">
          <cell r="B812">
            <v>4461</v>
          </cell>
          <cell r="C812" t="str">
            <v>Sm</v>
          </cell>
        </row>
        <row r="813">
          <cell r="B813">
            <v>12928</v>
          </cell>
          <cell r="C813" t="str">
            <v>DTP</v>
          </cell>
        </row>
        <row r="814">
          <cell r="B814">
            <v>4428</v>
          </cell>
          <cell r="C814" t="str">
            <v>DTP</v>
          </cell>
        </row>
        <row r="815">
          <cell r="B815">
            <v>4429</v>
          </cell>
          <cell r="C815" t="str">
            <v>L</v>
          </cell>
        </row>
        <row r="816">
          <cell r="B816">
            <v>4431</v>
          </cell>
          <cell r="C816" t="str">
            <v>Po</v>
          </cell>
        </row>
        <row r="817">
          <cell r="B817">
            <v>4430</v>
          </cell>
          <cell r="C817" t="str">
            <v>SG</v>
          </cell>
        </row>
        <row r="818">
          <cell r="B818">
            <v>4483</v>
          </cell>
          <cell r="C818" t="str">
            <v>DTP</v>
          </cell>
        </row>
        <row r="819">
          <cell r="B819">
            <v>4484</v>
          </cell>
          <cell r="C819" t="str">
            <v>L</v>
          </cell>
        </row>
        <row r="820">
          <cell r="B820">
            <v>4486</v>
          </cell>
          <cell r="C820" t="str">
            <v>Po</v>
          </cell>
        </row>
        <row r="821">
          <cell r="B821">
            <v>4485</v>
          </cell>
          <cell r="C821" t="str">
            <v>SG</v>
          </cell>
        </row>
        <row r="822">
          <cell r="B822">
            <v>12929</v>
          </cell>
          <cell r="C822" t="str">
            <v>ILr</v>
          </cell>
        </row>
        <row r="823">
          <cell r="B823">
            <v>4432</v>
          </cell>
          <cell r="C823" t="str">
            <v>ILr</v>
          </cell>
        </row>
        <row r="824">
          <cell r="B824">
            <v>4434</v>
          </cell>
          <cell r="C824" t="str">
            <v>CL</v>
          </cell>
        </row>
        <row r="825">
          <cell r="B825">
            <v>4436</v>
          </cell>
          <cell r="C825" t="str">
            <v>CeM</v>
          </cell>
        </row>
        <row r="826">
          <cell r="B826">
            <v>4435</v>
          </cell>
          <cell r="C826" t="str">
            <v>Pc</v>
          </cell>
        </row>
        <row r="827">
          <cell r="B827">
            <v>4433</v>
          </cell>
          <cell r="C827" t="str">
            <v>Rh</v>
          </cell>
        </row>
        <row r="828">
          <cell r="B828">
            <v>4487</v>
          </cell>
          <cell r="C828" t="str">
            <v>ILr</v>
          </cell>
        </row>
        <row r="829">
          <cell r="B829">
            <v>4489</v>
          </cell>
          <cell r="C829" t="str">
            <v>CL</v>
          </cell>
        </row>
        <row r="830">
          <cell r="B830">
            <v>4491</v>
          </cell>
          <cell r="C830" t="str">
            <v>CeM</v>
          </cell>
        </row>
        <row r="831">
          <cell r="B831">
            <v>4490</v>
          </cell>
          <cell r="C831" t="str">
            <v>Pc</v>
          </cell>
        </row>
        <row r="832">
          <cell r="B832">
            <v>4488</v>
          </cell>
          <cell r="C832" t="str">
            <v>Rh</v>
          </cell>
        </row>
        <row r="833">
          <cell r="B833">
            <v>4504</v>
          </cell>
          <cell r="C833" t="str">
            <v>VT</v>
          </cell>
        </row>
        <row r="834">
          <cell r="B834">
            <v>4505</v>
          </cell>
          <cell r="C834" t="str">
            <v>VT</v>
          </cell>
        </row>
        <row r="835">
          <cell r="B835">
            <v>4508</v>
          </cell>
          <cell r="C835" t="str">
            <v>FF</v>
          </cell>
        </row>
        <row r="836">
          <cell r="B836">
            <v>4506</v>
          </cell>
          <cell r="C836" t="str">
            <v>R</v>
          </cell>
        </row>
        <row r="837">
          <cell r="B837">
            <v>4507</v>
          </cell>
          <cell r="C837" t="str">
            <v>ZI</v>
          </cell>
        </row>
        <row r="838">
          <cell r="B838">
            <v>4511</v>
          </cell>
          <cell r="C838" t="str">
            <v>VT</v>
          </cell>
        </row>
        <row r="839">
          <cell r="B839">
            <v>4514</v>
          </cell>
          <cell r="C839" t="str">
            <v>FF</v>
          </cell>
        </row>
        <row r="840">
          <cell r="B840">
            <v>4512</v>
          </cell>
          <cell r="C840" t="str">
            <v>R</v>
          </cell>
        </row>
        <row r="841">
          <cell r="B841">
            <v>4513</v>
          </cell>
          <cell r="C841" t="str">
            <v>ZI</v>
          </cell>
        </row>
        <row r="842">
          <cell r="B842">
            <v>9001</v>
          </cell>
          <cell r="C842" t="str">
            <v>MES</v>
          </cell>
        </row>
        <row r="843">
          <cell r="B843">
            <v>9101</v>
          </cell>
          <cell r="C843" t="str">
            <v>Tec</v>
          </cell>
        </row>
        <row r="844">
          <cell r="B844">
            <v>9102</v>
          </cell>
          <cell r="C844" t="str">
            <v>IC</v>
          </cell>
        </row>
        <row r="845">
          <cell r="B845">
            <v>9103</v>
          </cell>
          <cell r="C845" t="str">
            <v>IC</v>
          </cell>
        </row>
        <row r="846">
          <cell r="B846">
            <v>9104</v>
          </cell>
          <cell r="C846" t="str">
            <v>CIC</v>
          </cell>
        </row>
        <row r="847">
          <cell r="B847">
            <v>9105</v>
          </cell>
          <cell r="C847" t="str">
            <v>EIC</v>
          </cell>
        </row>
        <row r="848">
          <cell r="B848">
            <v>9106</v>
          </cell>
          <cell r="C848" t="str">
            <v>PCIC</v>
          </cell>
        </row>
        <row r="849">
          <cell r="B849">
            <v>9107</v>
          </cell>
          <cell r="C849" t="str">
            <v>IC</v>
          </cell>
        </row>
        <row r="850">
          <cell r="B850">
            <v>9108</v>
          </cell>
          <cell r="C850" t="str">
            <v>CIC</v>
          </cell>
        </row>
        <row r="851">
          <cell r="B851">
            <v>9109</v>
          </cell>
          <cell r="C851" t="str">
            <v>EIC</v>
          </cell>
        </row>
        <row r="852">
          <cell r="B852">
            <v>9110</v>
          </cell>
          <cell r="C852" t="str">
            <v>PCIC</v>
          </cell>
        </row>
        <row r="853">
          <cell r="B853">
            <v>9480</v>
          </cell>
          <cell r="C853" t="str">
            <v>ICN</v>
          </cell>
        </row>
        <row r="854">
          <cell r="B854">
            <v>9481</v>
          </cell>
          <cell r="C854" t="str">
            <v>ICN</v>
          </cell>
        </row>
        <row r="855">
          <cell r="B855">
            <v>9482</v>
          </cell>
          <cell r="C855" t="str">
            <v>ICN</v>
          </cell>
        </row>
        <row r="856">
          <cell r="B856">
            <v>9483</v>
          </cell>
          <cell r="C856" t="str">
            <v>BrC</v>
          </cell>
        </row>
        <row r="857">
          <cell r="B857">
            <v>9484</v>
          </cell>
          <cell r="C857" t="str">
            <v>BrC</v>
          </cell>
        </row>
        <row r="858">
          <cell r="B858">
            <v>9485</v>
          </cell>
          <cell r="C858" t="str">
            <v>BrC</v>
          </cell>
        </row>
        <row r="859">
          <cell r="B859">
            <v>9111</v>
          </cell>
          <cell r="C859" t="str">
            <v>PBG</v>
          </cell>
        </row>
        <row r="860">
          <cell r="B860">
            <v>9112</v>
          </cell>
          <cell r="C860" t="str">
            <v>PBG</v>
          </cell>
        </row>
        <row r="861">
          <cell r="B861">
            <v>9113</v>
          </cell>
          <cell r="C861" t="str">
            <v>PBG</v>
          </cell>
        </row>
        <row r="862">
          <cell r="B862">
            <v>9114</v>
          </cell>
          <cell r="C862" t="str">
            <v>SC</v>
          </cell>
        </row>
        <row r="863">
          <cell r="B863">
            <v>9115</v>
          </cell>
          <cell r="C863" t="str">
            <v>SC</v>
          </cell>
        </row>
        <row r="864">
          <cell r="B864">
            <v>9116</v>
          </cell>
          <cell r="C864" t="str">
            <v>StL</v>
          </cell>
        </row>
        <row r="865">
          <cell r="B865">
            <v>9117</v>
          </cell>
          <cell r="C865" t="str">
            <v>DpG</v>
          </cell>
        </row>
        <row r="866">
          <cell r="B866">
            <v>9118</v>
          </cell>
          <cell r="C866" t="str">
            <v>DpWh</v>
          </cell>
        </row>
        <row r="867">
          <cell r="B867">
            <v>9119</v>
          </cell>
          <cell r="C867" t="str">
            <v>MGr</v>
          </cell>
        </row>
        <row r="868">
          <cell r="B868">
            <v>9120</v>
          </cell>
          <cell r="C868" t="str">
            <v>MWh</v>
          </cell>
        </row>
        <row r="869">
          <cell r="B869">
            <v>9121</v>
          </cell>
          <cell r="C869" t="str">
            <v>SuG</v>
          </cell>
        </row>
        <row r="870">
          <cell r="B870">
            <v>9122</v>
          </cell>
          <cell r="C870" t="str">
            <v>SuWh</v>
          </cell>
        </row>
        <row r="871">
          <cell r="B871">
            <v>9123</v>
          </cell>
          <cell r="C871" t="str">
            <v>SC</v>
          </cell>
        </row>
        <row r="872">
          <cell r="B872">
            <v>9124</v>
          </cell>
          <cell r="C872" t="str">
            <v>StL</v>
          </cell>
        </row>
        <row r="873">
          <cell r="B873">
            <v>9125</v>
          </cell>
          <cell r="C873" t="str">
            <v>DpG</v>
          </cell>
        </row>
        <row r="874">
          <cell r="B874">
            <v>9126</v>
          </cell>
          <cell r="C874" t="str">
            <v>DpWh</v>
          </cell>
        </row>
        <row r="875">
          <cell r="B875">
            <v>9127</v>
          </cell>
          <cell r="C875" t="str">
            <v>MGr</v>
          </cell>
        </row>
        <row r="876">
          <cell r="B876">
            <v>9128</v>
          </cell>
          <cell r="C876" t="str">
            <v>MWh</v>
          </cell>
        </row>
        <row r="877">
          <cell r="B877">
            <v>9129</v>
          </cell>
          <cell r="C877" t="str">
            <v>SuG</v>
          </cell>
        </row>
        <row r="878">
          <cell r="B878">
            <v>9130</v>
          </cell>
          <cell r="C878" t="str">
            <v>SuWh</v>
          </cell>
        </row>
        <row r="879">
          <cell r="B879">
            <v>9486</v>
          </cell>
          <cell r="C879" t="str">
            <v>Sag</v>
          </cell>
        </row>
        <row r="880">
          <cell r="B880">
            <v>9487</v>
          </cell>
          <cell r="C880" t="str">
            <v>Sag</v>
          </cell>
        </row>
        <row r="881">
          <cell r="B881">
            <v>9488</v>
          </cell>
          <cell r="C881" t="str">
            <v>Sag</v>
          </cell>
        </row>
        <row r="882">
          <cell r="B882">
            <v>9489</v>
          </cell>
          <cell r="C882" t="str">
            <v>SCO</v>
          </cell>
        </row>
        <row r="883">
          <cell r="B883">
            <v>9490</v>
          </cell>
          <cell r="C883" t="str">
            <v>SCO</v>
          </cell>
        </row>
        <row r="884">
          <cell r="B884">
            <v>9491</v>
          </cell>
          <cell r="C884" t="str">
            <v>SCO</v>
          </cell>
        </row>
        <row r="885">
          <cell r="B885">
            <v>9002</v>
          </cell>
          <cell r="C885" t="str">
            <v>MTg</v>
          </cell>
        </row>
        <row r="886">
          <cell r="B886">
            <v>9003</v>
          </cell>
          <cell r="C886" t="str">
            <v>CGMB</v>
          </cell>
        </row>
        <row r="887">
          <cell r="B887">
            <v>9004</v>
          </cell>
          <cell r="C887" t="str">
            <v>CGMB</v>
          </cell>
        </row>
        <row r="888">
          <cell r="B888">
            <v>9440</v>
          </cell>
          <cell r="C888" t="str">
            <v>CGMBdl</v>
          </cell>
        </row>
        <row r="889">
          <cell r="B889">
            <v>9439</v>
          </cell>
          <cell r="C889" t="str">
            <v>CGMBdm</v>
          </cell>
        </row>
        <row r="890">
          <cell r="B890">
            <v>9441</v>
          </cell>
          <cell r="C890" t="str">
            <v>CGMBl</v>
          </cell>
        </row>
        <row r="891">
          <cell r="B891">
            <v>9443</v>
          </cell>
          <cell r="C891" t="str">
            <v>CGMBpl</v>
          </cell>
        </row>
        <row r="892">
          <cell r="B892">
            <v>9442</v>
          </cell>
          <cell r="C892" t="str">
            <v>CGMBvl</v>
          </cell>
        </row>
        <row r="893">
          <cell r="B893">
            <v>9005</v>
          </cell>
          <cell r="C893" t="str">
            <v>CGMB</v>
          </cell>
        </row>
        <row r="894">
          <cell r="B894">
            <v>9445</v>
          </cell>
          <cell r="C894" t="str">
            <v>CGMBdl</v>
          </cell>
        </row>
        <row r="895">
          <cell r="B895">
            <v>9444</v>
          </cell>
          <cell r="C895" t="str">
            <v>CGMBdm</v>
          </cell>
        </row>
        <row r="896">
          <cell r="B896">
            <v>9446</v>
          </cell>
          <cell r="C896" t="str">
            <v>CGMBl</v>
          </cell>
        </row>
        <row r="897">
          <cell r="B897">
            <v>9448</v>
          </cell>
          <cell r="C897" t="str">
            <v>CGMBpl</v>
          </cell>
        </row>
        <row r="898">
          <cell r="B898">
            <v>9447</v>
          </cell>
          <cell r="C898" t="str">
            <v>CGMBvl</v>
          </cell>
        </row>
        <row r="899">
          <cell r="B899">
            <v>9449</v>
          </cell>
          <cell r="C899" t="str">
            <v>EW</v>
          </cell>
        </row>
        <row r="900">
          <cell r="B900">
            <v>9450</v>
          </cell>
          <cell r="C900" t="str">
            <v>EW</v>
          </cell>
        </row>
        <row r="901">
          <cell r="B901">
            <v>9451</v>
          </cell>
          <cell r="C901" t="str">
            <v>EW</v>
          </cell>
        </row>
        <row r="902">
          <cell r="B902">
            <v>9012</v>
          </cell>
          <cell r="C902" t="str">
            <v>IP</v>
          </cell>
        </row>
        <row r="903">
          <cell r="B903">
            <v>9013</v>
          </cell>
          <cell r="C903" t="str">
            <v>IP</v>
          </cell>
        </row>
        <row r="904">
          <cell r="B904">
            <v>9014</v>
          </cell>
          <cell r="C904" t="str">
            <v>IP</v>
          </cell>
        </row>
        <row r="905">
          <cell r="B905">
            <v>9015</v>
          </cell>
          <cell r="C905" t="str">
            <v>ICjl</v>
          </cell>
        </row>
        <row r="906">
          <cell r="B906">
            <v>9016</v>
          </cell>
          <cell r="C906" t="str">
            <v>ICjl</v>
          </cell>
        </row>
        <row r="907">
          <cell r="B907">
            <v>9017</v>
          </cell>
          <cell r="C907" t="str">
            <v>ICjl</v>
          </cell>
        </row>
        <row r="908">
          <cell r="B908">
            <v>265504852</v>
          </cell>
          <cell r="C908" t="str">
            <v>isRt</v>
          </cell>
        </row>
        <row r="909">
          <cell r="B909">
            <v>265504856</v>
          </cell>
          <cell r="C909" t="str">
            <v>isRt</v>
          </cell>
        </row>
        <row r="910">
          <cell r="B910">
            <v>265504860</v>
          </cell>
          <cell r="C910" t="str">
            <v>isRt</v>
          </cell>
        </row>
        <row r="911">
          <cell r="B911">
            <v>9455</v>
          </cell>
          <cell r="C911" t="str">
            <v>MBRa</v>
          </cell>
        </row>
        <row r="912">
          <cell r="B912">
            <v>9456</v>
          </cell>
          <cell r="C912" t="str">
            <v>MBRa</v>
          </cell>
        </row>
        <row r="913">
          <cell r="B913">
            <v>9457</v>
          </cell>
          <cell r="C913" t="str">
            <v>DR</v>
          </cell>
        </row>
        <row r="914">
          <cell r="B914">
            <v>9458</v>
          </cell>
          <cell r="C914" t="str">
            <v>DRD</v>
          </cell>
        </row>
        <row r="915">
          <cell r="B915">
            <v>9459</v>
          </cell>
          <cell r="C915" t="str">
            <v>DRI</v>
          </cell>
        </row>
        <row r="916">
          <cell r="B916">
            <v>9461</v>
          </cell>
          <cell r="C916" t="str">
            <v>DRrc</v>
          </cell>
        </row>
        <row r="917">
          <cell r="B917">
            <v>9460</v>
          </cell>
          <cell r="C917" t="str">
            <v>DRV</v>
          </cell>
        </row>
        <row r="918">
          <cell r="B918">
            <v>9462</v>
          </cell>
          <cell r="C918" t="str">
            <v>MnR</v>
          </cell>
        </row>
        <row r="919">
          <cell r="B919">
            <v>9463</v>
          </cell>
          <cell r="C919" t="str">
            <v>MBRa</v>
          </cell>
        </row>
        <row r="920">
          <cell r="B920">
            <v>9464</v>
          </cell>
          <cell r="C920" t="str">
            <v>DR</v>
          </cell>
        </row>
        <row r="921">
          <cell r="B921">
            <v>9465</v>
          </cell>
          <cell r="C921" t="str">
            <v>DRD</v>
          </cell>
        </row>
        <row r="922">
          <cell r="B922">
            <v>9466</v>
          </cell>
          <cell r="C922" t="str">
            <v>DRI</v>
          </cell>
        </row>
        <row r="923">
          <cell r="B923">
            <v>9468</v>
          </cell>
          <cell r="C923" t="str">
            <v>DRrc</v>
          </cell>
        </row>
        <row r="924">
          <cell r="B924">
            <v>9467</v>
          </cell>
          <cell r="C924" t="str">
            <v>DRV</v>
          </cell>
        </row>
        <row r="925">
          <cell r="B925">
            <v>9469</v>
          </cell>
          <cell r="C925" t="str">
            <v>MnR</v>
          </cell>
        </row>
        <row r="926">
          <cell r="B926">
            <v>9018</v>
          </cell>
          <cell r="C926" t="str">
            <v>MBRF</v>
          </cell>
        </row>
        <row r="927">
          <cell r="B927">
            <v>9019</v>
          </cell>
          <cell r="C927" t="str">
            <v>MBRF</v>
          </cell>
        </row>
        <row r="928">
          <cell r="B928">
            <v>9020</v>
          </cell>
          <cell r="C928" t="str">
            <v>CnF</v>
          </cell>
        </row>
        <row r="929">
          <cell r="B929">
            <v>9021</v>
          </cell>
          <cell r="C929" t="str">
            <v>PPTg</v>
          </cell>
        </row>
        <row r="930">
          <cell r="B930">
            <v>9022</v>
          </cell>
          <cell r="C930" t="str">
            <v>SubCn</v>
          </cell>
        </row>
        <row r="931">
          <cell r="B931">
            <v>9023</v>
          </cell>
          <cell r="C931" t="str">
            <v>MBRF</v>
          </cell>
        </row>
        <row r="932">
          <cell r="B932">
            <v>9024</v>
          </cell>
          <cell r="C932" t="str">
            <v>CnF</v>
          </cell>
        </row>
        <row r="933">
          <cell r="B933">
            <v>9025</v>
          </cell>
          <cell r="C933" t="str">
            <v>PPTg</v>
          </cell>
        </row>
        <row r="934">
          <cell r="B934">
            <v>9026</v>
          </cell>
          <cell r="C934" t="str">
            <v>SubCn</v>
          </cell>
        </row>
        <row r="935">
          <cell r="B935">
            <v>9047</v>
          </cell>
          <cell r="C935" t="str">
            <v>Dk</v>
          </cell>
        </row>
        <row r="936">
          <cell r="B936">
            <v>9048</v>
          </cell>
          <cell r="C936" t="str">
            <v>Dk</v>
          </cell>
        </row>
        <row r="937">
          <cell r="B937">
            <v>9049</v>
          </cell>
          <cell r="C937" t="str">
            <v>Dk</v>
          </cell>
        </row>
        <row r="938">
          <cell r="B938">
            <v>9027</v>
          </cell>
          <cell r="C938" t="str">
            <v>PCom</v>
          </cell>
        </row>
        <row r="939">
          <cell r="B939">
            <v>9028</v>
          </cell>
          <cell r="C939" t="str">
            <v>PCom</v>
          </cell>
        </row>
        <row r="940">
          <cell r="B940">
            <v>9029</v>
          </cell>
          <cell r="C940" t="str">
            <v>PCom</v>
          </cell>
        </row>
        <row r="941">
          <cell r="B941">
            <v>9030</v>
          </cell>
          <cell r="C941">
            <v>3</v>
          </cell>
        </row>
        <row r="942">
          <cell r="B942">
            <v>9031</v>
          </cell>
          <cell r="C942">
            <v>3</v>
          </cell>
        </row>
        <row r="943">
          <cell r="B943">
            <v>9032</v>
          </cell>
          <cell r="C943" t="str">
            <v>AM3</v>
          </cell>
        </row>
        <row r="944">
          <cell r="B944">
            <v>9033</v>
          </cell>
          <cell r="C944" t="str">
            <v>CC3</v>
          </cell>
        </row>
        <row r="945">
          <cell r="B945">
            <v>9034</v>
          </cell>
          <cell r="C945" t="str">
            <v>C3</v>
          </cell>
        </row>
        <row r="946">
          <cell r="B946">
            <v>9035</v>
          </cell>
          <cell r="C946" t="str">
            <v>D3</v>
          </cell>
        </row>
        <row r="947">
          <cell r="B947">
            <v>9036</v>
          </cell>
          <cell r="C947" t="str">
            <v>I3</v>
          </cell>
        </row>
        <row r="948">
          <cell r="B948">
            <v>9037</v>
          </cell>
          <cell r="C948" t="str">
            <v>M3</v>
          </cell>
        </row>
        <row r="949">
          <cell r="B949">
            <v>9038</v>
          </cell>
          <cell r="C949" t="str">
            <v>V3</v>
          </cell>
        </row>
        <row r="950">
          <cell r="B950">
            <v>9039</v>
          </cell>
          <cell r="C950">
            <v>3</v>
          </cell>
        </row>
        <row r="951">
          <cell r="B951">
            <v>9040</v>
          </cell>
          <cell r="C951" t="str">
            <v>AM3</v>
          </cell>
        </row>
        <row r="952">
          <cell r="B952">
            <v>9041</v>
          </cell>
          <cell r="C952" t="str">
            <v>CC3</v>
          </cell>
        </row>
        <row r="953">
          <cell r="B953">
            <v>9042</v>
          </cell>
          <cell r="C953" t="str">
            <v>C3</v>
          </cell>
        </row>
        <row r="954">
          <cell r="B954">
            <v>9043</v>
          </cell>
          <cell r="C954" t="str">
            <v>D3</v>
          </cell>
        </row>
        <row r="955">
          <cell r="B955">
            <v>9044</v>
          </cell>
          <cell r="C955" t="str">
            <v>I3</v>
          </cell>
        </row>
        <row r="956">
          <cell r="B956">
            <v>9045</v>
          </cell>
          <cell r="C956" t="str">
            <v>M3</v>
          </cell>
        </row>
        <row r="957">
          <cell r="B957">
            <v>9046</v>
          </cell>
          <cell r="C957" t="str">
            <v>V3</v>
          </cell>
        </row>
        <row r="958">
          <cell r="B958">
            <v>9050</v>
          </cell>
          <cell r="C958" t="str">
            <v>PPd</v>
          </cell>
        </row>
        <row r="959">
          <cell r="B959">
            <v>9051</v>
          </cell>
          <cell r="C959" t="str">
            <v>PPd</v>
          </cell>
        </row>
        <row r="960">
          <cell r="B960">
            <v>9052</v>
          </cell>
          <cell r="C960" t="str">
            <v>PPd</v>
          </cell>
        </row>
        <row r="961">
          <cell r="B961">
            <v>9053</v>
          </cell>
          <cell r="C961" t="str">
            <v>RN</v>
          </cell>
        </row>
        <row r="962">
          <cell r="B962">
            <v>9054</v>
          </cell>
          <cell r="C962" t="str">
            <v>RN</v>
          </cell>
        </row>
        <row r="963">
          <cell r="B963">
            <v>9055</v>
          </cell>
          <cell r="C963" t="str">
            <v>RMC</v>
          </cell>
        </row>
        <row r="964">
          <cell r="B964">
            <v>9056</v>
          </cell>
          <cell r="C964" t="str">
            <v>RPC</v>
          </cell>
        </row>
        <row r="965">
          <cell r="B965">
            <v>9057</v>
          </cell>
          <cell r="C965" t="str">
            <v>RN</v>
          </cell>
        </row>
        <row r="966">
          <cell r="B966">
            <v>9058</v>
          </cell>
          <cell r="C966" t="str">
            <v>RMC</v>
          </cell>
        </row>
        <row r="967">
          <cell r="B967">
            <v>9059</v>
          </cell>
          <cell r="C967" t="str">
            <v>RPC</v>
          </cell>
        </row>
        <row r="968">
          <cell r="B968">
            <v>9060</v>
          </cell>
          <cell r="C968" t="str">
            <v>RI</v>
          </cell>
        </row>
        <row r="969">
          <cell r="B969">
            <v>9061</v>
          </cell>
          <cell r="C969" t="str">
            <v>RI</v>
          </cell>
        </row>
        <row r="970">
          <cell r="B970">
            <v>9062</v>
          </cell>
          <cell r="C970" t="str">
            <v>RI</v>
          </cell>
        </row>
        <row r="971">
          <cell r="B971">
            <v>9072</v>
          </cell>
          <cell r="C971" t="str">
            <v>SN</v>
          </cell>
        </row>
        <row r="972">
          <cell r="B972">
            <v>9073</v>
          </cell>
          <cell r="C972" t="str">
            <v>SN</v>
          </cell>
        </row>
        <row r="973">
          <cell r="B973">
            <v>9074</v>
          </cell>
          <cell r="C973" t="str">
            <v>SNC</v>
          </cell>
        </row>
        <row r="974">
          <cell r="B974">
            <v>9075</v>
          </cell>
          <cell r="C974" t="str">
            <v>SNR</v>
          </cell>
        </row>
        <row r="975">
          <cell r="B975">
            <v>9076</v>
          </cell>
          <cell r="C975" t="str">
            <v>SN</v>
          </cell>
        </row>
        <row r="976">
          <cell r="B976">
            <v>9077</v>
          </cell>
          <cell r="C976" t="str">
            <v>SNC</v>
          </cell>
        </row>
        <row r="977">
          <cell r="B977">
            <v>9078</v>
          </cell>
          <cell r="C977" t="str">
            <v>SNR</v>
          </cell>
        </row>
        <row r="978">
          <cell r="B978">
            <v>9063</v>
          </cell>
          <cell r="C978">
            <v>4</v>
          </cell>
        </row>
        <row r="979">
          <cell r="B979">
            <v>9064</v>
          </cell>
          <cell r="C979">
            <v>4</v>
          </cell>
        </row>
        <row r="980">
          <cell r="B980">
            <v>9065</v>
          </cell>
          <cell r="C980">
            <v>4</v>
          </cell>
        </row>
        <row r="981">
          <cell r="B981">
            <v>9066</v>
          </cell>
          <cell r="C981" t="str">
            <v>VTA</v>
          </cell>
        </row>
        <row r="982">
          <cell r="B982">
            <v>9067</v>
          </cell>
          <cell r="C982" t="str">
            <v>VTA</v>
          </cell>
        </row>
        <row r="983">
          <cell r="B983">
            <v>9470</v>
          </cell>
          <cell r="C983" t="str">
            <v>CLN</v>
          </cell>
        </row>
        <row r="984">
          <cell r="B984">
            <v>9472</v>
          </cell>
          <cell r="C984" t="str">
            <v>IF</v>
          </cell>
        </row>
        <row r="985">
          <cell r="B985">
            <v>9473</v>
          </cell>
          <cell r="C985" t="str">
            <v>PBP</v>
          </cell>
        </row>
        <row r="986">
          <cell r="B986">
            <v>9474</v>
          </cell>
          <cell r="C986" t="str">
            <v>PN</v>
          </cell>
        </row>
        <row r="987">
          <cell r="B987">
            <v>9471</v>
          </cell>
          <cell r="C987" t="str">
            <v>RL</v>
          </cell>
        </row>
        <row r="988">
          <cell r="B988">
            <v>9068</v>
          </cell>
          <cell r="C988" t="str">
            <v>VTA</v>
          </cell>
        </row>
        <row r="989">
          <cell r="B989">
            <v>9475</v>
          </cell>
          <cell r="C989" t="str">
            <v>CLN</v>
          </cell>
        </row>
        <row r="990">
          <cell r="B990">
            <v>9477</v>
          </cell>
          <cell r="C990" t="str">
            <v>IF</v>
          </cell>
        </row>
        <row r="991">
          <cell r="B991">
            <v>9478</v>
          </cell>
          <cell r="C991" t="str">
            <v>PBP</v>
          </cell>
        </row>
        <row r="992">
          <cell r="B992">
            <v>9479</v>
          </cell>
          <cell r="C992" t="str">
            <v>PN</v>
          </cell>
        </row>
        <row r="993">
          <cell r="B993">
            <v>9476</v>
          </cell>
          <cell r="C993" t="str">
            <v>RL</v>
          </cell>
        </row>
        <row r="994">
          <cell r="B994">
            <v>9069</v>
          </cell>
          <cell r="C994" t="str">
            <v>VTg</v>
          </cell>
        </row>
        <row r="995">
          <cell r="B995">
            <v>9070</v>
          </cell>
          <cell r="C995" t="str">
            <v>VTg</v>
          </cell>
        </row>
        <row r="996">
          <cell r="B996">
            <v>9071</v>
          </cell>
          <cell r="C996" t="str">
            <v>VTg</v>
          </cell>
        </row>
        <row r="997">
          <cell r="B997">
            <v>9079</v>
          </cell>
          <cell r="C997" t="str">
            <v>PTec</v>
          </cell>
        </row>
        <row r="998">
          <cell r="B998">
            <v>9080</v>
          </cell>
          <cell r="C998" t="str">
            <v>OT</v>
          </cell>
        </row>
        <row r="999">
          <cell r="B999">
            <v>9081</v>
          </cell>
          <cell r="C999" t="str">
            <v>OT</v>
          </cell>
        </row>
        <row r="1000">
          <cell r="B1000">
            <v>9082</v>
          </cell>
          <cell r="C1000" t="str">
            <v>OT</v>
          </cell>
        </row>
        <row r="1001">
          <cell r="B1001">
            <v>9083</v>
          </cell>
          <cell r="C1001" t="str">
            <v>PTA</v>
          </cell>
        </row>
        <row r="1002">
          <cell r="B1002">
            <v>9084</v>
          </cell>
          <cell r="C1002" t="str">
            <v>PTA</v>
          </cell>
        </row>
        <row r="1003">
          <cell r="B1003">
            <v>9085</v>
          </cell>
          <cell r="C1003" t="str">
            <v>PTA</v>
          </cell>
        </row>
        <row r="1004">
          <cell r="B1004">
            <v>9086</v>
          </cell>
          <cell r="C1004" t="str">
            <v>OPt</v>
          </cell>
        </row>
        <row r="1005">
          <cell r="B1005">
            <v>9087</v>
          </cell>
          <cell r="C1005" t="str">
            <v>OPt</v>
          </cell>
        </row>
        <row r="1006">
          <cell r="B1006">
            <v>9088</v>
          </cell>
          <cell r="C1006" t="str">
            <v>OPt</v>
          </cell>
        </row>
        <row r="1007">
          <cell r="B1007">
            <v>9089</v>
          </cell>
          <cell r="C1007" t="str">
            <v>PPt</v>
          </cell>
        </row>
        <row r="1008">
          <cell r="B1008">
            <v>9090</v>
          </cell>
          <cell r="C1008" t="str">
            <v>PPt</v>
          </cell>
        </row>
        <row r="1009">
          <cell r="B1009">
            <v>9091</v>
          </cell>
          <cell r="C1009" t="str">
            <v>PPt</v>
          </cell>
        </row>
        <row r="1010">
          <cell r="B1010">
            <v>9092</v>
          </cell>
          <cell r="C1010" t="str">
            <v>SLn</v>
          </cell>
        </row>
        <row r="1011">
          <cell r="B1011">
            <v>9093</v>
          </cell>
          <cell r="C1011" t="str">
            <v>SLn</v>
          </cell>
        </row>
        <row r="1012">
          <cell r="B1012">
            <v>9094</v>
          </cell>
          <cell r="C1012" t="str">
            <v>SLn</v>
          </cell>
        </row>
        <row r="1013">
          <cell r="B1013">
            <v>4833</v>
          </cell>
          <cell r="C1013" t="str">
            <v>MET</v>
          </cell>
        </row>
        <row r="1014">
          <cell r="B1014">
            <v>4696</v>
          </cell>
          <cell r="C1014" t="str">
            <v>Cb</v>
          </cell>
        </row>
        <row r="1015">
          <cell r="B1015">
            <v>4697</v>
          </cell>
          <cell r="C1015" t="str">
            <v>CbCx</v>
          </cell>
        </row>
        <row r="1016">
          <cell r="B1016">
            <v>4698</v>
          </cell>
          <cell r="C1016" t="str">
            <v>Ve</v>
          </cell>
        </row>
        <row r="1017">
          <cell r="B1017">
            <v>4699</v>
          </cell>
          <cell r="C1017" t="str">
            <v>ALVCb</v>
          </cell>
        </row>
        <row r="1018">
          <cell r="B1018">
            <v>4700</v>
          </cell>
          <cell r="C1018" t="str">
            <v>Ve-I-II</v>
          </cell>
        </row>
        <row r="1019">
          <cell r="B1019">
            <v>4701</v>
          </cell>
          <cell r="C1019" t="str">
            <v>Ve-III</v>
          </cell>
        </row>
        <row r="1020">
          <cell r="B1020">
            <v>4702</v>
          </cell>
          <cell r="C1020" t="str">
            <v>Ve-IV</v>
          </cell>
        </row>
        <row r="1021">
          <cell r="B1021">
            <v>4703</v>
          </cell>
          <cell r="C1021" t="str">
            <v>Ve-V</v>
          </cell>
        </row>
        <row r="1022">
          <cell r="B1022">
            <v>4704</v>
          </cell>
          <cell r="C1022" t="str">
            <v>PLVCb</v>
          </cell>
        </row>
        <row r="1023">
          <cell r="B1023">
            <v>4705</v>
          </cell>
          <cell r="C1023" t="str">
            <v>Ve-VI</v>
          </cell>
        </row>
        <row r="1024">
          <cell r="B1024">
            <v>4706</v>
          </cell>
          <cell r="C1024" t="str">
            <v>Ve-VIIAf</v>
          </cell>
        </row>
        <row r="1025">
          <cell r="B1025">
            <v>4707</v>
          </cell>
          <cell r="C1025" t="str">
            <v>Ve-VIIAt</v>
          </cell>
        </row>
        <row r="1026">
          <cell r="B1026">
            <v>4708</v>
          </cell>
          <cell r="C1026" t="str">
            <v>Ve-VIIB</v>
          </cell>
        </row>
        <row r="1027">
          <cell r="B1027">
            <v>4709</v>
          </cell>
          <cell r="C1027" t="str">
            <v>Ve-VIIIA</v>
          </cell>
        </row>
        <row r="1028">
          <cell r="B1028">
            <v>4710</v>
          </cell>
          <cell r="C1028" t="str">
            <v>Ve-VIIIB</v>
          </cell>
        </row>
        <row r="1029">
          <cell r="B1029">
            <v>4711</v>
          </cell>
          <cell r="C1029" t="str">
            <v>Ve-IX</v>
          </cell>
        </row>
        <row r="1030">
          <cell r="B1030">
            <v>4712</v>
          </cell>
          <cell r="C1030" t="str">
            <v>FNL</v>
          </cell>
        </row>
        <row r="1031">
          <cell r="B1031">
            <v>4713</v>
          </cell>
          <cell r="C1031" t="str">
            <v>Ve-X</v>
          </cell>
        </row>
        <row r="1032">
          <cell r="B1032">
            <v>12930</v>
          </cell>
          <cell r="C1032" t="str">
            <v>CbH</v>
          </cell>
        </row>
        <row r="1033">
          <cell r="B1033">
            <v>12931</v>
          </cell>
          <cell r="C1033" t="str">
            <v>Cb-AL</v>
          </cell>
        </row>
        <row r="1034">
          <cell r="B1034">
            <v>12932</v>
          </cell>
          <cell r="C1034" t="str">
            <v>Cb-I-II</v>
          </cell>
        </row>
        <row r="1035">
          <cell r="B1035">
            <v>4717</v>
          </cell>
          <cell r="C1035" t="str">
            <v>PV-I-II</v>
          </cell>
        </row>
        <row r="1036">
          <cell r="B1036">
            <v>4733</v>
          </cell>
          <cell r="C1036" t="str">
            <v>He-I-II</v>
          </cell>
        </row>
        <row r="1037">
          <cell r="B1037">
            <v>4750</v>
          </cell>
          <cell r="C1037" t="str">
            <v>PV-I-II</v>
          </cell>
        </row>
        <row r="1038">
          <cell r="B1038">
            <v>4766</v>
          </cell>
          <cell r="C1038" t="str">
            <v>He-I-II</v>
          </cell>
        </row>
        <row r="1039">
          <cell r="B1039">
            <v>12933</v>
          </cell>
          <cell r="C1039" t="str">
            <v>Cb-III</v>
          </cell>
        </row>
        <row r="1040">
          <cell r="B1040">
            <v>4718</v>
          </cell>
          <cell r="C1040" t="str">
            <v>PV-III</v>
          </cell>
        </row>
        <row r="1041">
          <cell r="B1041">
            <v>4734</v>
          </cell>
          <cell r="C1041" t="str">
            <v>He-III</v>
          </cell>
        </row>
        <row r="1042">
          <cell r="B1042">
            <v>4751</v>
          </cell>
          <cell r="C1042" t="str">
            <v>PV-III</v>
          </cell>
        </row>
        <row r="1043">
          <cell r="B1043">
            <v>4767</v>
          </cell>
          <cell r="C1043" t="str">
            <v>He-III</v>
          </cell>
        </row>
        <row r="1044">
          <cell r="B1044">
            <v>12934</v>
          </cell>
          <cell r="C1044" t="str">
            <v>Cb-IV</v>
          </cell>
        </row>
        <row r="1045">
          <cell r="B1045">
            <v>4719</v>
          </cell>
          <cell r="C1045" t="str">
            <v>PV-IV</v>
          </cell>
        </row>
        <row r="1046">
          <cell r="B1046">
            <v>4735</v>
          </cell>
          <cell r="C1046" t="str">
            <v>He-IV</v>
          </cell>
        </row>
        <row r="1047">
          <cell r="B1047">
            <v>4752</v>
          </cell>
          <cell r="C1047" t="str">
            <v>PV-IV</v>
          </cell>
        </row>
        <row r="1048">
          <cell r="B1048">
            <v>4768</v>
          </cell>
          <cell r="C1048" t="str">
            <v>He-IV</v>
          </cell>
        </row>
        <row r="1049">
          <cell r="B1049">
            <v>12935</v>
          </cell>
          <cell r="C1049" t="str">
            <v>Cb-V</v>
          </cell>
        </row>
        <row r="1050">
          <cell r="B1050">
            <v>4720</v>
          </cell>
          <cell r="C1050" t="str">
            <v>PV-V</v>
          </cell>
        </row>
        <row r="1051">
          <cell r="B1051">
            <v>4736</v>
          </cell>
          <cell r="C1051" t="str">
            <v>He-V</v>
          </cell>
        </row>
        <row r="1052">
          <cell r="B1052">
            <v>4753</v>
          </cell>
          <cell r="C1052" t="str">
            <v>PV-V</v>
          </cell>
        </row>
        <row r="1053">
          <cell r="B1053">
            <v>4769</v>
          </cell>
          <cell r="C1053" t="str">
            <v>He-V</v>
          </cell>
        </row>
        <row r="1054">
          <cell r="B1054">
            <v>12936</v>
          </cell>
          <cell r="C1054" t="str">
            <v>Cb-PL</v>
          </cell>
        </row>
        <row r="1055">
          <cell r="B1055">
            <v>12937</v>
          </cell>
          <cell r="C1055" t="str">
            <v>Cb-VI</v>
          </cell>
        </row>
        <row r="1056">
          <cell r="B1056">
            <v>4722</v>
          </cell>
          <cell r="C1056" t="str">
            <v>PV-VI</v>
          </cell>
        </row>
        <row r="1057">
          <cell r="B1057">
            <v>4738</v>
          </cell>
          <cell r="C1057" t="str">
            <v>He-VI</v>
          </cell>
        </row>
        <row r="1058">
          <cell r="B1058">
            <v>4755</v>
          </cell>
          <cell r="C1058" t="str">
            <v>PV-VI</v>
          </cell>
        </row>
        <row r="1059">
          <cell r="B1059">
            <v>4771</v>
          </cell>
          <cell r="C1059" t="str">
            <v>He-VI</v>
          </cell>
        </row>
        <row r="1060">
          <cell r="B1060">
            <v>12938</v>
          </cell>
          <cell r="C1060" t="str">
            <v>Cb-Crus I</v>
          </cell>
        </row>
        <row r="1061">
          <cell r="B1061">
            <v>4723</v>
          </cell>
          <cell r="C1061" t="str">
            <v>PV-Crus I</v>
          </cell>
        </row>
        <row r="1062">
          <cell r="B1062">
            <v>4739</v>
          </cell>
          <cell r="C1062" t="str">
            <v>He-Crus I</v>
          </cell>
        </row>
        <row r="1063">
          <cell r="B1063">
            <v>4756</v>
          </cell>
          <cell r="C1063" t="str">
            <v>PV-Crus I</v>
          </cell>
        </row>
        <row r="1064">
          <cell r="B1064">
            <v>4772</v>
          </cell>
          <cell r="C1064" t="str">
            <v>He-Crus I</v>
          </cell>
        </row>
        <row r="1065">
          <cell r="B1065">
            <v>12939</v>
          </cell>
          <cell r="C1065" t="str">
            <v>Cb-Crus II</v>
          </cell>
        </row>
        <row r="1066">
          <cell r="B1066">
            <v>4724</v>
          </cell>
          <cell r="C1066" t="str">
            <v>PV-Crus II</v>
          </cell>
        </row>
        <row r="1067">
          <cell r="B1067">
            <v>4740</v>
          </cell>
          <cell r="C1067" t="str">
            <v>He-Crus II</v>
          </cell>
        </row>
        <row r="1068">
          <cell r="B1068">
            <v>4757</v>
          </cell>
          <cell r="C1068" t="str">
            <v>PV-Crus II</v>
          </cell>
        </row>
        <row r="1069">
          <cell r="B1069">
            <v>4773</v>
          </cell>
          <cell r="C1069" t="str">
            <v>He-Crus II</v>
          </cell>
        </row>
        <row r="1070">
          <cell r="B1070">
            <v>12940</v>
          </cell>
          <cell r="C1070" t="str">
            <v>Cb-VIIB</v>
          </cell>
        </row>
        <row r="1071">
          <cell r="B1071">
            <v>4725</v>
          </cell>
          <cell r="C1071" t="str">
            <v>PV-VIIB</v>
          </cell>
        </row>
        <row r="1072">
          <cell r="B1072">
            <v>4741</v>
          </cell>
          <cell r="C1072" t="str">
            <v>He-VIIB</v>
          </cell>
        </row>
        <row r="1073">
          <cell r="B1073">
            <v>4758</v>
          </cell>
          <cell r="C1073" t="str">
            <v>PV-VIIB</v>
          </cell>
        </row>
        <row r="1074">
          <cell r="B1074">
            <v>4774</v>
          </cell>
          <cell r="C1074" t="str">
            <v>He-VIIB</v>
          </cell>
        </row>
        <row r="1075">
          <cell r="B1075">
            <v>12941</v>
          </cell>
          <cell r="C1075" t="str">
            <v>Cb-VIIIA</v>
          </cell>
        </row>
        <row r="1076">
          <cell r="B1076">
            <v>4726</v>
          </cell>
          <cell r="C1076" t="str">
            <v>PV-VIIIA</v>
          </cell>
        </row>
        <row r="1077">
          <cell r="B1077">
            <v>4742</v>
          </cell>
          <cell r="C1077" t="str">
            <v>He-VIIIA</v>
          </cell>
        </row>
        <row r="1078">
          <cell r="B1078">
            <v>4759</v>
          </cell>
          <cell r="C1078" t="str">
            <v>PV-VIIIA</v>
          </cell>
        </row>
        <row r="1079">
          <cell r="B1079">
            <v>4775</v>
          </cell>
          <cell r="C1079" t="str">
            <v>He-VIIIA</v>
          </cell>
        </row>
        <row r="1080">
          <cell r="B1080">
            <v>12942</v>
          </cell>
          <cell r="C1080" t="str">
            <v>Cb-VIIIB</v>
          </cell>
        </row>
        <row r="1081">
          <cell r="B1081">
            <v>4727</v>
          </cell>
          <cell r="C1081" t="str">
            <v>PV-VIIIB</v>
          </cell>
        </row>
        <row r="1082">
          <cell r="B1082">
            <v>4743</v>
          </cell>
          <cell r="C1082" t="str">
            <v>He-VIIIB</v>
          </cell>
        </row>
        <row r="1083">
          <cell r="B1083">
            <v>4760</v>
          </cell>
          <cell r="C1083" t="str">
            <v>PV-VIIIB</v>
          </cell>
        </row>
        <row r="1084">
          <cell r="B1084">
            <v>4776</v>
          </cell>
          <cell r="C1084" t="str">
            <v>He-VIIIB</v>
          </cell>
        </row>
        <row r="1085">
          <cell r="B1085">
            <v>12943</v>
          </cell>
          <cell r="C1085" t="str">
            <v>Cb-IX</v>
          </cell>
        </row>
        <row r="1086">
          <cell r="B1086">
            <v>4728</v>
          </cell>
          <cell r="C1086" t="str">
            <v>PV-IX</v>
          </cell>
        </row>
        <row r="1087">
          <cell r="B1087">
            <v>4744</v>
          </cell>
          <cell r="C1087" t="str">
            <v>He-IX</v>
          </cell>
        </row>
        <row r="1088">
          <cell r="B1088">
            <v>4761</v>
          </cell>
          <cell r="C1088" t="str">
            <v>PV-IX</v>
          </cell>
        </row>
        <row r="1089">
          <cell r="B1089">
            <v>4777</v>
          </cell>
          <cell r="C1089" t="str">
            <v>He-IX</v>
          </cell>
        </row>
        <row r="1090">
          <cell r="B1090">
            <v>12944</v>
          </cell>
          <cell r="C1090" t="str">
            <v>Cb-FNL</v>
          </cell>
        </row>
        <row r="1091">
          <cell r="B1091">
            <v>12945</v>
          </cell>
          <cell r="C1091" t="str">
            <v>Cb-X</v>
          </cell>
        </row>
        <row r="1092">
          <cell r="B1092">
            <v>4730</v>
          </cell>
          <cell r="C1092" t="str">
            <v>PV-X</v>
          </cell>
        </row>
        <row r="1093">
          <cell r="B1093">
            <v>4746</v>
          </cell>
          <cell r="C1093" t="str">
            <v>He-X</v>
          </cell>
        </row>
        <row r="1094">
          <cell r="B1094">
            <v>4763</v>
          </cell>
          <cell r="C1094" t="str">
            <v>PV-X</v>
          </cell>
        </row>
        <row r="1095">
          <cell r="B1095">
            <v>4779</v>
          </cell>
          <cell r="C1095" t="str">
            <v>He-X</v>
          </cell>
        </row>
        <row r="1096">
          <cell r="B1096">
            <v>4780</v>
          </cell>
          <cell r="C1096" t="str">
            <v>CbN</v>
          </cell>
        </row>
        <row r="1097">
          <cell r="B1097">
            <v>12946</v>
          </cell>
          <cell r="C1097" t="str">
            <v>Dt</v>
          </cell>
        </row>
        <row r="1098">
          <cell r="B1098">
            <v>4782</v>
          </cell>
          <cell r="C1098" t="str">
            <v>Dt</v>
          </cell>
        </row>
        <row r="1099">
          <cell r="B1099">
            <v>4787</v>
          </cell>
          <cell r="C1099" t="str">
            <v>Dt</v>
          </cell>
        </row>
        <row r="1100">
          <cell r="B1100">
            <v>12947</v>
          </cell>
          <cell r="C1100" t="str">
            <v>Emb</v>
          </cell>
        </row>
        <row r="1101">
          <cell r="B1101">
            <v>4783</v>
          </cell>
          <cell r="C1101" t="str">
            <v>Emb</v>
          </cell>
        </row>
        <row r="1102">
          <cell r="B1102">
            <v>4788</v>
          </cell>
          <cell r="C1102" t="str">
            <v>Emb</v>
          </cell>
        </row>
        <row r="1103">
          <cell r="B1103">
            <v>12948</v>
          </cell>
          <cell r="C1103" t="str">
            <v>Fas</v>
          </cell>
        </row>
        <row r="1104">
          <cell r="B1104">
            <v>4784</v>
          </cell>
          <cell r="C1104" t="str">
            <v>Fas</v>
          </cell>
        </row>
        <row r="1105">
          <cell r="B1105">
            <v>4789</v>
          </cell>
          <cell r="C1105" t="str">
            <v>Fas</v>
          </cell>
        </row>
        <row r="1106">
          <cell r="B1106">
            <v>12949</v>
          </cell>
          <cell r="C1106" t="str">
            <v>Glo</v>
          </cell>
        </row>
        <row r="1107">
          <cell r="B1107">
            <v>4785</v>
          </cell>
          <cell r="C1107" t="str">
            <v>Glo</v>
          </cell>
        </row>
        <row r="1108">
          <cell r="B1108">
            <v>4790</v>
          </cell>
          <cell r="C1108" t="str">
            <v>Glo</v>
          </cell>
        </row>
        <row r="1109">
          <cell r="B1109">
            <v>9131</v>
          </cell>
          <cell r="C1109" t="str">
            <v>Pons</v>
          </cell>
        </row>
        <row r="1110">
          <cell r="B1110">
            <v>9132</v>
          </cell>
          <cell r="C1110" t="str">
            <v>Bpons</v>
          </cell>
        </row>
        <row r="1111">
          <cell r="B1111">
            <v>9133</v>
          </cell>
          <cell r="C1111" t="str">
            <v>Pn</v>
          </cell>
        </row>
        <row r="1112">
          <cell r="B1112">
            <v>9492</v>
          </cell>
          <cell r="C1112" t="str">
            <v>Pn</v>
          </cell>
        </row>
        <row r="1113">
          <cell r="B1113">
            <v>9493</v>
          </cell>
          <cell r="C1113" t="str">
            <v>Pn</v>
          </cell>
        </row>
        <row r="1114">
          <cell r="B1114">
            <v>9135</v>
          </cell>
          <cell r="C1114" t="str">
            <v>PTg</v>
          </cell>
        </row>
        <row r="1115">
          <cell r="B1115">
            <v>9136</v>
          </cell>
          <cell r="C1115">
            <v>6</v>
          </cell>
        </row>
        <row r="1116">
          <cell r="B1116">
            <v>9137</v>
          </cell>
          <cell r="C1116">
            <v>6</v>
          </cell>
        </row>
        <row r="1117">
          <cell r="B1117">
            <v>9138</v>
          </cell>
          <cell r="C1117">
            <v>6</v>
          </cell>
        </row>
        <row r="1118">
          <cell r="B1118">
            <v>9494</v>
          </cell>
          <cell r="C1118" t="str">
            <v>Acs7</v>
          </cell>
        </row>
        <row r="1119">
          <cell r="B1119">
            <v>9495</v>
          </cell>
          <cell r="C1119" t="str">
            <v>Acs7</v>
          </cell>
        </row>
        <row r="1120">
          <cell r="B1120">
            <v>9496</v>
          </cell>
          <cell r="C1120" t="str">
            <v>Acs7</v>
          </cell>
        </row>
        <row r="1121">
          <cell r="B1121">
            <v>9497</v>
          </cell>
          <cell r="C1121" t="str">
            <v>Acs5</v>
          </cell>
        </row>
        <row r="1122">
          <cell r="B1122">
            <v>9498</v>
          </cell>
          <cell r="C1122" t="str">
            <v>Acs5</v>
          </cell>
        </row>
        <row r="1123">
          <cell r="B1123">
            <v>9499</v>
          </cell>
          <cell r="C1123" t="str">
            <v>Acs5</v>
          </cell>
        </row>
        <row r="1124">
          <cell r="B1124">
            <v>10147</v>
          </cell>
          <cell r="C1124" t="str">
            <v>CGPo</v>
          </cell>
        </row>
        <row r="1125">
          <cell r="B1125">
            <v>10148</v>
          </cell>
          <cell r="C1125" t="str">
            <v>CGPo</v>
          </cell>
        </row>
        <row r="1126">
          <cell r="B1126">
            <v>10149</v>
          </cell>
          <cell r="C1126" t="str">
            <v>CGPo</v>
          </cell>
        </row>
        <row r="1127">
          <cell r="B1127">
            <v>9139</v>
          </cell>
          <cell r="C1127" t="str">
            <v>DLL</v>
          </cell>
        </row>
        <row r="1128">
          <cell r="B1128">
            <v>9140</v>
          </cell>
          <cell r="C1128" t="str">
            <v>DLL</v>
          </cell>
        </row>
        <row r="1129">
          <cell r="B1129">
            <v>9141</v>
          </cell>
          <cell r="C1129" t="str">
            <v>DLL</v>
          </cell>
        </row>
        <row r="1130">
          <cell r="B1130">
            <v>265504864</v>
          </cell>
          <cell r="C1130" t="str">
            <v>DMTg</v>
          </cell>
        </row>
        <row r="1131">
          <cell r="B1131">
            <v>265504868</v>
          </cell>
          <cell r="C1131" t="str">
            <v>DMTg</v>
          </cell>
        </row>
        <row r="1132">
          <cell r="B1132">
            <v>265504872</v>
          </cell>
          <cell r="C1132" t="str">
            <v>DMTg</v>
          </cell>
        </row>
        <row r="1133">
          <cell r="B1133">
            <v>265504876</v>
          </cell>
          <cell r="C1133" t="str">
            <v>DTg</v>
          </cell>
        </row>
        <row r="1134">
          <cell r="B1134">
            <v>265504880</v>
          </cell>
          <cell r="C1134" t="str">
            <v>DTg</v>
          </cell>
        </row>
        <row r="1135">
          <cell r="B1135">
            <v>265504884</v>
          </cell>
          <cell r="C1135" t="str">
            <v>DTg</v>
          </cell>
        </row>
        <row r="1136">
          <cell r="B1136">
            <v>9142</v>
          </cell>
          <cell r="C1136">
            <v>7</v>
          </cell>
        </row>
        <row r="1137">
          <cell r="B1137">
            <v>9143</v>
          </cell>
          <cell r="C1137">
            <v>7</v>
          </cell>
        </row>
        <row r="1138">
          <cell r="B1138">
            <v>9501</v>
          </cell>
          <cell r="C1138" t="str">
            <v>7L</v>
          </cell>
        </row>
        <row r="1139">
          <cell r="B1139">
            <v>9502</v>
          </cell>
          <cell r="C1139" t="str">
            <v>7I</v>
          </cell>
        </row>
        <row r="1140">
          <cell r="B1140">
            <v>9500</v>
          </cell>
          <cell r="C1140" t="str">
            <v>7M</v>
          </cell>
        </row>
        <row r="1141">
          <cell r="B1141">
            <v>9505</v>
          </cell>
          <cell r="C1141" t="str">
            <v>P7</v>
          </cell>
        </row>
        <row r="1142">
          <cell r="B1142">
            <v>9503</v>
          </cell>
          <cell r="C1142" t="str">
            <v>7vl</v>
          </cell>
        </row>
        <row r="1143">
          <cell r="B1143">
            <v>9504</v>
          </cell>
          <cell r="C1143" t="str">
            <v>7VL</v>
          </cell>
        </row>
        <row r="1144">
          <cell r="B1144">
            <v>9144</v>
          </cell>
          <cell r="C1144">
            <v>7</v>
          </cell>
        </row>
        <row r="1145">
          <cell r="B1145">
            <v>9507</v>
          </cell>
          <cell r="C1145" t="str">
            <v>7L</v>
          </cell>
        </row>
        <row r="1146">
          <cell r="B1146">
            <v>9508</v>
          </cell>
          <cell r="C1146" t="str">
            <v>7I</v>
          </cell>
        </row>
        <row r="1147">
          <cell r="B1147">
            <v>9506</v>
          </cell>
          <cell r="C1147" t="str">
            <v>7M</v>
          </cell>
        </row>
        <row r="1148">
          <cell r="B1148">
            <v>9511</v>
          </cell>
          <cell r="C1148" t="str">
            <v>P7</v>
          </cell>
        </row>
        <row r="1149">
          <cell r="B1149">
            <v>9509</v>
          </cell>
          <cell r="C1149" t="str">
            <v>7vl</v>
          </cell>
        </row>
        <row r="1150">
          <cell r="B1150">
            <v>9510</v>
          </cell>
          <cell r="C1150" t="str">
            <v>7VL</v>
          </cell>
        </row>
        <row r="1151">
          <cell r="B1151">
            <v>265504888</v>
          </cell>
          <cell r="C1151" t="str">
            <v>ILL</v>
          </cell>
        </row>
        <row r="1152">
          <cell r="B1152">
            <v>265504892</v>
          </cell>
          <cell r="C1152" t="str">
            <v>ILL</v>
          </cell>
        </row>
        <row r="1153">
          <cell r="B1153">
            <v>265504896</v>
          </cell>
          <cell r="C1153" t="str">
            <v>ILL</v>
          </cell>
        </row>
        <row r="1154">
          <cell r="B1154">
            <v>9452</v>
          </cell>
          <cell r="C1154" t="str">
            <v>LDTg</v>
          </cell>
        </row>
        <row r="1155">
          <cell r="B1155">
            <v>9453</v>
          </cell>
          <cell r="C1155" t="str">
            <v>LDTg</v>
          </cell>
        </row>
        <row r="1156">
          <cell r="B1156">
            <v>9454</v>
          </cell>
          <cell r="C1156" t="str">
            <v>LDTg</v>
          </cell>
        </row>
        <row r="1157">
          <cell r="B1157">
            <v>9145</v>
          </cell>
          <cell r="C1157" t="str">
            <v>LPB</v>
          </cell>
        </row>
        <row r="1158">
          <cell r="B1158">
            <v>9146</v>
          </cell>
          <cell r="C1158" t="str">
            <v>LPB</v>
          </cell>
        </row>
        <row r="1159">
          <cell r="B1159">
            <v>9147</v>
          </cell>
          <cell r="C1159" t="str">
            <v>LPB</v>
          </cell>
        </row>
        <row r="1160">
          <cell r="B1160">
            <v>9148</v>
          </cell>
          <cell r="C1160" t="str">
            <v>LC</v>
          </cell>
        </row>
        <row r="1161">
          <cell r="B1161">
            <v>9149</v>
          </cell>
          <cell r="C1161" t="str">
            <v>LC</v>
          </cell>
        </row>
        <row r="1162">
          <cell r="B1162">
            <v>9150</v>
          </cell>
          <cell r="C1162" t="str">
            <v>LC</v>
          </cell>
        </row>
        <row r="1163">
          <cell r="B1163">
            <v>9151</v>
          </cell>
          <cell r="C1163" t="str">
            <v>MPB</v>
          </cell>
        </row>
        <row r="1164">
          <cell r="B1164">
            <v>9152</v>
          </cell>
          <cell r="C1164" t="str">
            <v>MPB</v>
          </cell>
        </row>
        <row r="1165">
          <cell r="B1165">
            <v>9153</v>
          </cell>
          <cell r="C1165" t="str">
            <v>MPB</v>
          </cell>
        </row>
        <row r="1166">
          <cell r="B1166">
            <v>9154</v>
          </cell>
          <cell r="C1166" t="str">
            <v>SubC</v>
          </cell>
        </row>
        <row r="1167">
          <cell r="B1167">
            <v>9155</v>
          </cell>
          <cell r="C1167" t="str">
            <v>SubC</v>
          </cell>
        </row>
        <row r="1168">
          <cell r="B1168">
            <v>9156</v>
          </cell>
          <cell r="C1168" t="str">
            <v>SubC</v>
          </cell>
        </row>
        <row r="1169">
          <cell r="B1169">
            <v>272788859</v>
          </cell>
          <cell r="C1169" t="str">
            <v>PnG</v>
          </cell>
        </row>
        <row r="1170">
          <cell r="B1170">
            <v>272788863</v>
          </cell>
          <cell r="C1170" t="str">
            <v>PnG</v>
          </cell>
        </row>
        <row r="1171">
          <cell r="B1171">
            <v>272788867</v>
          </cell>
          <cell r="C1171" t="str">
            <v>PnG</v>
          </cell>
        </row>
        <row r="1172">
          <cell r="B1172">
            <v>9157</v>
          </cell>
          <cell r="C1172" t="str">
            <v>RPn</v>
          </cell>
        </row>
        <row r="1173">
          <cell r="B1173">
            <v>9158</v>
          </cell>
          <cell r="C1173" t="str">
            <v>RPn</v>
          </cell>
        </row>
        <row r="1174">
          <cell r="B1174">
            <v>9159</v>
          </cell>
          <cell r="C1174" t="str">
            <v>RPn</v>
          </cell>
        </row>
        <row r="1175">
          <cell r="B1175">
            <v>9160</v>
          </cell>
          <cell r="C1175" t="str">
            <v>PPRF</v>
          </cell>
        </row>
        <row r="1176">
          <cell r="B1176">
            <v>9161</v>
          </cell>
          <cell r="C1176" t="str">
            <v>PRF</v>
          </cell>
        </row>
        <row r="1177">
          <cell r="B1177">
            <v>9162</v>
          </cell>
          <cell r="C1177" t="str">
            <v>PnC</v>
          </cell>
        </row>
        <row r="1178">
          <cell r="B1178">
            <v>9166</v>
          </cell>
          <cell r="C1178" t="str">
            <v>PnO</v>
          </cell>
        </row>
        <row r="1179">
          <cell r="B1179">
            <v>9167</v>
          </cell>
          <cell r="C1179" t="str">
            <v>RtTg</v>
          </cell>
        </row>
        <row r="1180">
          <cell r="B1180">
            <v>9169</v>
          </cell>
          <cell r="C1180" t="str">
            <v>PRF</v>
          </cell>
        </row>
        <row r="1181">
          <cell r="B1181">
            <v>9170</v>
          </cell>
          <cell r="C1181" t="str">
            <v>PnC</v>
          </cell>
        </row>
        <row r="1182">
          <cell r="B1182">
            <v>9174</v>
          </cell>
          <cell r="C1182" t="str">
            <v>PnO</v>
          </cell>
        </row>
        <row r="1183">
          <cell r="B1183">
            <v>9175</v>
          </cell>
          <cell r="C1183" t="str">
            <v>RtTg</v>
          </cell>
        </row>
        <row r="1184">
          <cell r="B1184">
            <v>9177</v>
          </cell>
          <cell r="C1184" t="str">
            <v>SOC</v>
          </cell>
        </row>
        <row r="1185">
          <cell r="B1185">
            <v>9178</v>
          </cell>
          <cell r="C1185" t="str">
            <v>SOC</v>
          </cell>
        </row>
        <row r="1186">
          <cell r="B1186">
            <v>9179</v>
          </cell>
          <cell r="C1186" t="str">
            <v>PeO</v>
          </cell>
        </row>
        <row r="1187">
          <cell r="B1187">
            <v>9180</v>
          </cell>
          <cell r="C1187" t="str">
            <v>PrO</v>
          </cell>
        </row>
        <row r="1188">
          <cell r="B1188">
            <v>9181</v>
          </cell>
          <cell r="C1188" t="str">
            <v>RO</v>
          </cell>
        </row>
        <row r="1189">
          <cell r="B1189">
            <v>9182</v>
          </cell>
          <cell r="C1189" t="str">
            <v>SOl</v>
          </cell>
        </row>
        <row r="1190">
          <cell r="B1190">
            <v>9183</v>
          </cell>
          <cell r="C1190" t="str">
            <v>LSO</v>
          </cell>
        </row>
        <row r="1191">
          <cell r="B1191">
            <v>9184</v>
          </cell>
          <cell r="C1191" t="str">
            <v>MSO</v>
          </cell>
        </row>
        <row r="1192">
          <cell r="B1192">
            <v>265504906</v>
          </cell>
          <cell r="C1192" t="str">
            <v>SPO</v>
          </cell>
        </row>
        <row r="1193">
          <cell r="B1193">
            <v>9185</v>
          </cell>
          <cell r="C1193" t="str">
            <v>Tz</v>
          </cell>
        </row>
        <row r="1194">
          <cell r="B1194">
            <v>9186</v>
          </cell>
          <cell r="C1194" t="str">
            <v>SOC</v>
          </cell>
        </row>
        <row r="1195">
          <cell r="B1195">
            <v>9187</v>
          </cell>
          <cell r="C1195" t="str">
            <v>PeO</v>
          </cell>
        </row>
        <row r="1196">
          <cell r="B1196">
            <v>9188</v>
          </cell>
          <cell r="C1196" t="str">
            <v>PrO</v>
          </cell>
        </row>
        <row r="1197">
          <cell r="B1197">
            <v>9189</v>
          </cell>
          <cell r="C1197" t="str">
            <v>RO</v>
          </cell>
        </row>
        <row r="1198">
          <cell r="B1198">
            <v>9190</v>
          </cell>
          <cell r="C1198" t="str">
            <v>SOl</v>
          </cell>
        </row>
        <row r="1199">
          <cell r="B1199">
            <v>9191</v>
          </cell>
          <cell r="C1199" t="str">
            <v>LSO</v>
          </cell>
        </row>
        <row r="1200">
          <cell r="B1200">
            <v>9192</v>
          </cell>
          <cell r="C1200" t="str">
            <v>MSO</v>
          </cell>
        </row>
        <row r="1201">
          <cell r="B1201">
            <v>265504910</v>
          </cell>
          <cell r="C1201" t="str">
            <v>SPO</v>
          </cell>
        </row>
        <row r="1202">
          <cell r="B1202">
            <v>9193</v>
          </cell>
          <cell r="C1202" t="str">
            <v>Tz</v>
          </cell>
        </row>
        <row r="1203">
          <cell r="B1203">
            <v>9194</v>
          </cell>
          <cell r="C1203" t="str">
            <v>SuS</v>
          </cell>
        </row>
        <row r="1204">
          <cell r="B1204">
            <v>9195</v>
          </cell>
          <cell r="C1204" t="str">
            <v>SuS</v>
          </cell>
        </row>
        <row r="1205">
          <cell r="B1205">
            <v>9196</v>
          </cell>
          <cell r="C1205" t="str">
            <v>SuS</v>
          </cell>
        </row>
        <row r="1206">
          <cell r="B1206">
            <v>9197</v>
          </cell>
          <cell r="C1206" t="str">
            <v>tz</v>
          </cell>
        </row>
        <row r="1207">
          <cell r="B1207">
            <v>9198</v>
          </cell>
          <cell r="C1207" t="str">
            <v>tz</v>
          </cell>
        </row>
        <row r="1208">
          <cell r="B1208">
            <v>9199</v>
          </cell>
          <cell r="C1208" t="str">
            <v>tz</v>
          </cell>
        </row>
        <row r="1209">
          <cell r="B1209">
            <v>9203</v>
          </cell>
          <cell r="C1209">
            <v>5</v>
          </cell>
        </row>
        <row r="1210">
          <cell r="B1210">
            <v>9204</v>
          </cell>
          <cell r="C1210">
            <v>5</v>
          </cell>
        </row>
        <row r="1211">
          <cell r="B1211">
            <v>9205</v>
          </cell>
          <cell r="C1211" t="str">
            <v>Me5</v>
          </cell>
        </row>
        <row r="1212">
          <cell r="B1212">
            <v>9206</v>
          </cell>
          <cell r="C1212" t="str">
            <v>Mo5</v>
          </cell>
        </row>
        <row r="1213">
          <cell r="B1213">
            <v>9207</v>
          </cell>
          <cell r="C1213" t="str">
            <v>Pr5</v>
          </cell>
        </row>
        <row r="1214">
          <cell r="B1214">
            <v>9211</v>
          </cell>
          <cell r="C1214">
            <v>5</v>
          </cell>
        </row>
        <row r="1215">
          <cell r="B1215">
            <v>9212</v>
          </cell>
          <cell r="C1215" t="str">
            <v>Me5</v>
          </cell>
        </row>
        <row r="1216">
          <cell r="B1216">
            <v>9213</v>
          </cell>
          <cell r="C1216" t="str">
            <v>Mo5</v>
          </cell>
        </row>
        <row r="1217">
          <cell r="B1217">
            <v>9214</v>
          </cell>
          <cell r="C1217" t="str">
            <v>Pr5</v>
          </cell>
        </row>
        <row r="1218">
          <cell r="B1218">
            <v>9200</v>
          </cell>
          <cell r="C1218" t="str">
            <v>VLL</v>
          </cell>
        </row>
        <row r="1219">
          <cell r="B1219">
            <v>9201</v>
          </cell>
          <cell r="C1219" t="str">
            <v>VLL</v>
          </cell>
        </row>
        <row r="1220">
          <cell r="B1220">
            <v>9202</v>
          </cell>
          <cell r="C1220" t="str">
            <v>VLL</v>
          </cell>
        </row>
        <row r="1221">
          <cell r="B1221">
            <v>9512</v>
          </cell>
          <cell r="C1221" t="str">
            <v>MY</v>
          </cell>
        </row>
        <row r="1222">
          <cell r="B1222">
            <v>9513</v>
          </cell>
          <cell r="C1222" t="str">
            <v>ACu</v>
          </cell>
        </row>
        <row r="1223">
          <cell r="B1223">
            <v>9514</v>
          </cell>
          <cell r="C1223" t="str">
            <v>ACu</v>
          </cell>
        </row>
        <row r="1224">
          <cell r="B1224">
            <v>9515</v>
          </cell>
          <cell r="C1224" t="str">
            <v>ACu</v>
          </cell>
        </row>
        <row r="1225">
          <cell r="B1225">
            <v>9516</v>
          </cell>
          <cell r="C1225" t="str">
            <v>Amb</v>
          </cell>
        </row>
        <row r="1226">
          <cell r="B1226">
            <v>9517</v>
          </cell>
          <cell r="C1226" t="str">
            <v>Amb</v>
          </cell>
        </row>
        <row r="1227">
          <cell r="B1227">
            <v>9518</v>
          </cell>
          <cell r="C1227" t="str">
            <v>Amb</v>
          </cell>
        </row>
        <row r="1228">
          <cell r="B1228">
            <v>9519</v>
          </cell>
          <cell r="C1228" t="str">
            <v>Arc</v>
          </cell>
        </row>
        <row r="1229">
          <cell r="B1229">
            <v>9520</v>
          </cell>
          <cell r="C1229" t="str">
            <v>Arc</v>
          </cell>
        </row>
        <row r="1230">
          <cell r="B1230">
            <v>9521</v>
          </cell>
          <cell r="C1230" t="str">
            <v>Arc</v>
          </cell>
        </row>
        <row r="1231">
          <cell r="B1231">
            <v>9522</v>
          </cell>
          <cell r="C1231" t="str">
            <v>AP</v>
          </cell>
        </row>
        <row r="1232">
          <cell r="B1232">
            <v>9523</v>
          </cell>
          <cell r="C1232" t="str">
            <v>AP</v>
          </cell>
        </row>
        <row r="1233">
          <cell r="B1233">
            <v>9524</v>
          </cell>
          <cell r="C1233" t="str">
            <v>AP</v>
          </cell>
        </row>
        <row r="1234">
          <cell r="B1234">
            <v>9525</v>
          </cell>
          <cell r="C1234" t="str">
            <v>CGS</v>
          </cell>
        </row>
        <row r="1235">
          <cell r="B1235">
            <v>9526</v>
          </cell>
          <cell r="C1235" t="str">
            <v>CGS</v>
          </cell>
        </row>
        <row r="1236">
          <cell r="B1236">
            <v>9527</v>
          </cell>
          <cell r="C1236" t="str">
            <v>CGS</v>
          </cell>
        </row>
        <row r="1237">
          <cell r="B1237">
            <v>265504914</v>
          </cell>
          <cell r="C1237" t="str">
            <v>CGMe</v>
          </cell>
        </row>
        <row r="1238">
          <cell r="B1238">
            <v>265504918</v>
          </cell>
          <cell r="C1238" t="str">
            <v>CGMe</v>
          </cell>
        </row>
        <row r="1239">
          <cell r="B1239">
            <v>265504922</v>
          </cell>
          <cell r="C1239" t="str">
            <v>CGMe</v>
          </cell>
        </row>
        <row r="1240">
          <cell r="B1240">
            <v>9528</v>
          </cell>
          <cell r="C1240" t="str">
            <v>8Co</v>
          </cell>
        </row>
        <row r="1241">
          <cell r="B1241">
            <v>9529</v>
          </cell>
          <cell r="C1241" t="str">
            <v>8Co</v>
          </cell>
        </row>
        <row r="1242">
          <cell r="B1242">
            <v>9530</v>
          </cell>
          <cell r="C1242" t="str">
            <v>DCo</v>
          </cell>
        </row>
        <row r="1243">
          <cell r="B1243">
            <v>9531</v>
          </cell>
          <cell r="C1243" t="str">
            <v>VCo</v>
          </cell>
        </row>
        <row r="1244">
          <cell r="B1244">
            <v>9532</v>
          </cell>
          <cell r="C1244" t="str">
            <v>AVCo</v>
          </cell>
        </row>
        <row r="1245">
          <cell r="B1245">
            <v>9533</v>
          </cell>
          <cell r="C1245" t="str">
            <v>PVCo</v>
          </cell>
        </row>
        <row r="1246">
          <cell r="B1246">
            <v>9534</v>
          </cell>
          <cell r="C1246" t="str">
            <v>8Co</v>
          </cell>
        </row>
        <row r="1247">
          <cell r="B1247">
            <v>9535</v>
          </cell>
          <cell r="C1247" t="str">
            <v>DCo</v>
          </cell>
        </row>
        <row r="1248">
          <cell r="B1248">
            <v>9536</v>
          </cell>
          <cell r="C1248" t="str">
            <v>VCo</v>
          </cell>
        </row>
        <row r="1249">
          <cell r="B1249">
            <v>9537</v>
          </cell>
          <cell r="C1249" t="str">
            <v>AVCo</v>
          </cell>
        </row>
        <row r="1250">
          <cell r="B1250">
            <v>9538</v>
          </cell>
          <cell r="C1250" t="str">
            <v>PVCo</v>
          </cell>
        </row>
        <row r="1251">
          <cell r="B1251">
            <v>9539</v>
          </cell>
          <cell r="C1251" t="str">
            <v>CT</v>
          </cell>
        </row>
        <row r="1252">
          <cell r="B1252">
            <v>9540</v>
          </cell>
          <cell r="C1252" t="str">
            <v>CT</v>
          </cell>
        </row>
        <row r="1253">
          <cell r="B1253">
            <v>9541</v>
          </cell>
          <cell r="C1253" t="str">
            <v>CT</v>
          </cell>
        </row>
        <row r="1254">
          <cell r="B1254">
            <v>9542</v>
          </cell>
          <cell r="C1254" t="str">
            <v>Cu</v>
          </cell>
        </row>
        <row r="1255">
          <cell r="B1255">
            <v>9543</v>
          </cell>
          <cell r="C1255" t="str">
            <v>Cu</v>
          </cell>
        </row>
        <row r="1256">
          <cell r="B1256">
            <v>9544</v>
          </cell>
          <cell r="C1256" t="str">
            <v>Cu</v>
          </cell>
        </row>
        <row r="1257">
          <cell r="B1257">
            <v>9545</v>
          </cell>
          <cell r="C1257">
            <v>10</v>
          </cell>
        </row>
        <row r="1258">
          <cell r="B1258">
            <v>9546</v>
          </cell>
          <cell r="C1258">
            <v>10</v>
          </cell>
        </row>
        <row r="1259">
          <cell r="B1259">
            <v>9547</v>
          </cell>
          <cell r="C1259">
            <v>10</v>
          </cell>
        </row>
        <row r="1260">
          <cell r="B1260">
            <v>9548</v>
          </cell>
          <cell r="C1260" t="str">
            <v>EL</v>
          </cell>
        </row>
        <row r="1261">
          <cell r="B1261">
            <v>9549</v>
          </cell>
          <cell r="C1261" t="str">
            <v>EL</v>
          </cell>
        </row>
        <row r="1262">
          <cell r="B1262">
            <v>9550</v>
          </cell>
          <cell r="C1262" t="str">
            <v>EL</v>
          </cell>
        </row>
        <row r="1263">
          <cell r="B1263">
            <v>9551</v>
          </cell>
          <cell r="C1263" t="str">
            <v>EF</v>
          </cell>
        </row>
        <row r="1264">
          <cell r="B1264">
            <v>9552</v>
          </cell>
          <cell r="C1264" t="str">
            <v>EF</v>
          </cell>
        </row>
        <row r="1265">
          <cell r="B1265">
            <v>9553</v>
          </cell>
          <cell r="C1265" t="str">
            <v>EF</v>
          </cell>
        </row>
        <row r="1266">
          <cell r="B1266">
            <v>265504926</v>
          </cell>
          <cell r="C1266" t="str">
            <v>ECu</v>
          </cell>
        </row>
        <row r="1267">
          <cell r="B1267">
            <v>265504930</v>
          </cell>
          <cell r="C1267" t="str">
            <v>ECu</v>
          </cell>
        </row>
        <row r="1268">
          <cell r="B1268">
            <v>265504934</v>
          </cell>
          <cell r="C1268" t="str">
            <v>ECu</v>
          </cell>
        </row>
        <row r="1269">
          <cell r="B1269">
            <v>9554</v>
          </cell>
          <cell r="C1269" t="str">
            <v>Gr</v>
          </cell>
        </row>
        <row r="1270">
          <cell r="B1270">
            <v>9555</v>
          </cell>
          <cell r="C1270" t="str">
            <v>Gr</v>
          </cell>
        </row>
        <row r="1271">
          <cell r="B1271">
            <v>9556</v>
          </cell>
          <cell r="C1271" t="str">
            <v>Gr</v>
          </cell>
        </row>
        <row r="1272">
          <cell r="B1272">
            <v>9557</v>
          </cell>
          <cell r="C1272">
            <v>12</v>
          </cell>
        </row>
        <row r="1273">
          <cell r="B1273">
            <v>9558</v>
          </cell>
          <cell r="C1273">
            <v>12</v>
          </cell>
        </row>
        <row r="1274">
          <cell r="B1274">
            <v>9559</v>
          </cell>
          <cell r="C1274">
            <v>12</v>
          </cell>
        </row>
        <row r="1275">
          <cell r="B1275">
            <v>9560</v>
          </cell>
          <cell r="C1275" t="str">
            <v>IO</v>
          </cell>
        </row>
        <row r="1276">
          <cell r="B1276">
            <v>9561</v>
          </cell>
          <cell r="C1276" t="str">
            <v>IO</v>
          </cell>
        </row>
        <row r="1277">
          <cell r="B1277">
            <v>9562</v>
          </cell>
          <cell r="C1277" t="str">
            <v>DIO</v>
          </cell>
        </row>
        <row r="1278">
          <cell r="B1278">
            <v>9563</v>
          </cell>
          <cell r="C1278" t="str">
            <v>MIO</v>
          </cell>
        </row>
        <row r="1279">
          <cell r="B1279">
            <v>9564</v>
          </cell>
          <cell r="C1279" t="str">
            <v>PrIO</v>
          </cell>
        </row>
        <row r="1280">
          <cell r="B1280">
            <v>265504938</v>
          </cell>
          <cell r="C1280" t="str">
            <v>BIO</v>
          </cell>
        </row>
        <row r="1281">
          <cell r="B1281">
            <v>9565</v>
          </cell>
          <cell r="C1281" t="str">
            <v>IO</v>
          </cell>
        </row>
        <row r="1282">
          <cell r="B1282">
            <v>9566</v>
          </cell>
          <cell r="C1282" t="str">
            <v>DIO</v>
          </cell>
        </row>
        <row r="1283">
          <cell r="B1283">
            <v>9567</v>
          </cell>
          <cell r="C1283" t="str">
            <v>MIO</v>
          </cell>
        </row>
        <row r="1284">
          <cell r="B1284">
            <v>9568</v>
          </cell>
          <cell r="C1284" t="str">
            <v>PrIO</v>
          </cell>
        </row>
        <row r="1285">
          <cell r="B1285">
            <v>265504942</v>
          </cell>
          <cell r="C1285" t="str">
            <v>BIO</v>
          </cell>
        </row>
        <row r="1286">
          <cell r="B1286">
            <v>9569</v>
          </cell>
          <cell r="C1286" t="str">
            <v>IS</v>
          </cell>
        </row>
        <row r="1287">
          <cell r="B1287">
            <v>9570</v>
          </cell>
          <cell r="C1287" t="str">
            <v>IS</v>
          </cell>
        </row>
        <row r="1288">
          <cell r="B1288">
            <v>9571</v>
          </cell>
          <cell r="C1288" t="str">
            <v>IS</v>
          </cell>
        </row>
        <row r="1289">
          <cell r="B1289">
            <v>9572</v>
          </cell>
          <cell r="C1289" t="str">
            <v>In</v>
          </cell>
        </row>
        <row r="1290">
          <cell r="B1290">
            <v>9573</v>
          </cell>
          <cell r="C1290" t="str">
            <v>In</v>
          </cell>
        </row>
        <row r="1291">
          <cell r="B1291">
            <v>9574</v>
          </cell>
          <cell r="C1291" t="str">
            <v>In</v>
          </cell>
        </row>
        <row r="1292">
          <cell r="B1292">
            <v>9575</v>
          </cell>
          <cell r="C1292" t="str">
            <v>IFH</v>
          </cell>
        </row>
        <row r="1293">
          <cell r="B1293">
            <v>9576</v>
          </cell>
          <cell r="C1293" t="str">
            <v>IFH</v>
          </cell>
        </row>
        <row r="1294">
          <cell r="B1294">
            <v>9577</v>
          </cell>
          <cell r="C1294" t="str">
            <v>IFH</v>
          </cell>
        </row>
        <row r="1295">
          <cell r="B1295">
            <v>9578</v>
          </cell>
          <cell r="C1295" t="str">
            <v>IPo</v>
          </cell>
        </row>
        <row r="1296">
          <cell r="B1296">
            <v>9579</v>
          </cell>
          <cell r="C1296" t="str">
            <v>IPo</v>
          </cell>
        </row>
        <row r="1297">
          <cell r="B1297">
            <v>9580</v>
          </cell>
          <cell r="C1297" t="str">
            <v>IPo</v>
          </cell>
        </row>
        <row r="1298">
          <cell r="B1298">
            <v>9581</v>
          </cell>
          <cell r="C1298" t="str">
            <v>LPCu</v>
          </cell>
        </row>
        <row r="1299">
          <cell r="B1299">
            <v>9582</v>
          </cell>
          <cell r="C1299" t="str">
            <v>LPCu</v>
          </cell>
        </row>
        <row r="1300">
          <cell r="B1300">
            <v>9583</v>
          </cell>
          <cell r="C1300" t="str">
            <v>LPCu</v>
          </cell>
        </row>
        <row r="1301">
          <cell r="B1301">
            <v>9584</v>
          </cell>
          <cell r="C1301" t="str">
            <v>MPCu</v>
          </cell>
        </row>
        <row r="1302">
          <cell r="B1302">
            <v>9585</v>
          </cell>
          <cell r="C1302" t="str">
            <v>MPCu</v>
          </cell>
        </row>
        <row r="1303">
          <cell r="B1303">
            <v>9586</v>
          </cell>
          <cell r="C1303" t="str">
            <v>MPCu</v>
          </cell>
        </row>
        <row r="1304">
          <cell r="B1304">
            <v>9587</v>
          </cell>
          <cell r="C1304" t="str">
            <v>MeRF</v>
          </cell>
        </row>
        <row r="1305">
          <cell r="B1305">
            <v>9588</v>
          </cell>
          <cell r="C1305" t="str">
            <v>CMRt</v>
          </cell>
        </row>
        <row r="1306">
          <cell r="B1306">
            <v>9589</v>
          </cell>
          <cell r="C1306" t="str">
            <v>CMRt</v>
          </cell>
        </row>
        <row r="1307">
          <cell r="B1307">
            <v>9590</v>
          </cell>
          <cell r="C1307" t="str">
            <v>CRt</v>
          </cell>
        </row>
        <row r="1308">
          <cell r="B1308">
            <v>9591</v>
          </cell>
          <cell r="C1308" t="str">
            <v>MRt</v>
          </cell>
        </row>
        <row r="1309">
          <cell r="B1309">
            <v>9592</v>
          </cell>
          <cell r="C1309" t="str">
            <v>VRt</v>
          </cell>
        </row>
        <row r="1310">
          <cell r="B1310">
            <v>9611</v>
          </cell>
          <cell r="C1310" t="str">
            <v>Irt</v>
          </cell>
        </row>
        <row r="1311">
          <cell r="B1311">
            <v>9593</v>
          </cell>
          <cell r="C1311" t="str">
            <v>CMRt</v>
          </cell>
        </row>
        <row r="1312">
          <cell r="B1312">
            <v>9594</v>
          </cell>
          <cell r="C1312" t="str">
            <v>CRt</v>
          </cell>
        </row>
        <row r="1313">
          <cell r="B1313">
            <v>9595</v>
          </cell>
          <cell r="C1313" t="str">
            <v>MRt</v>
          </cell>
        </row>
        <row r="1314">
          <cell r="B1314">
            <v>9596</v>
          </cell>
          <cell r="C1314" t="str">
            <v>VRt</v>
          </cell>
        </row>
        <row r="1315">
          <cell r="B1315">
            <v>9612</v>
          </cell>
          <cell r="C1315" t="str">
            <v>Irt</v>
          </cell>
        </row>
        <row r="1316">
          <cell r="B1316">
            <v>9597</v>
          </cell>
          <cell r="C1316" t="str">
            <v>GiRt</v>
          </cell>
        </row>
        <row r="1317">
          <cell r="B1317">
            <v>9598</v>
          </cell>
          <cell r="C1317" t="str">
            <v>GiRt</v>
          </cell>
        </row>
        <row r="1318">
          <cell r="B1318">
            <v>9600</v>
          </cell>
          <cell r="C1318" t="str">
            <v>DPGi</v>
          </cell>
        </row>
        <row r="1319">
          <cell r="B1319">
            <v>9601</v>
          </cell>
          <cell r="C1319" t="str">
            <v>LPGi</v>
          </cell>
        </row>
        <row r="1320">
          <cell r="B1320">
            <v>9602</v>
          </cell>
          <cell r="C1320" t="str">
            <v>Gi</v>
          </cell>
        </row>
        <row r="1321">
          <cell r="B1321">
            <v>9603</v>
          </cell>
          <cell r="C1321" t="str">
            <v>GiV</v>
          </cell>
        </row>
        <row r="1322">
          <cell r="B1322">
            <v>9599</v>
          </cell>
          <cell r="C1322" t="str">
            <v>Gia</v>
          </cell>
        </row>
        <row r="1323">
          <cell r="B1323">
            <v>9604</v>
          </cell>
          <cell r="C1323" t="str">
            <v>GiRt</v>
          </cell>
        </row>
        <row r="1324">
          <cell r="B1324">
            <v>9606</v>
          </cell>
          <cell r="C1324" t="str">
            <v>DPGi</v>
          </cell>
        </row>
        <row r="1325">
          <cell r="B1325">
            <v>9607</v>
          </cell>
          <cell r="C1325" t="str">
            <v>LPGi</v>
          </cell>
        </row>
        <row r="1326">
          <cell r="B1326">
            <v>9608</v>
          </cell>
          <cell r="C1326" t="str">
            <v>Gi</v>
          </cell>
        </row>
        <row r="1327">
          <cell r="B1327">
            <v>9609</v>
          </cell>
          <cell r="C1327" t="str">
            <v>GiV</v>
          </cell>
        </row>
        <row r="1328">
          <cell r="B1328">
            <v>9605</v>
          </cell>
          <cell r="C1328" t="str">
            <v>Gia</v>
          </cell>
        </row>
        <row r="1329">
          <cell r="B1329">
            <v>9613</v>
          </cell>
          <cell r="C1329" t="str">
            <v>LMRt</v>
          </cell>
        </row>
        <row r="1330">
          <cell r="B1330">
            <v>9614</v>
          </cell>
          <cell r="C1330" t="str">
            <v>LMRt</v>
          </cell>
        </row>
        <row r="1331">
          <cell r="B1331">
            <v>9615</v>
          </cell>
          <cell r="C1331" t="str">
            <v>EO</v>
          </cell>
        </row>
        <row r="1332">
          <cell r="B1332">
            <v>9616</v>
          </cell>
          <cell r="C1332" t="str">
            <v>LRt</v>
          </cell>
        </row>
        <row r="1333">
          <cell r="B1333">
            <v>9618</v>
          </cell>
          <cell r="C1333" t="str">
            <v>LRtPC</v>
          </cell>
        </row>
        <row r="1334">
          <cell r="B1334">
            <v>9617</v>
          </cell>
          <cell r="C1334" t="str">
            <v>LRtS5</v>
          </cell>
        </row>
        <row r="1335">
          <cell r="B1335">
            <v>9619</v>
          </cell>
          <cell r="C1335" t="str">
            <v>LMRt</v>
          </cell>
        </row>
        <row r="1336">
          <cell r="B1336">
            <v>9620</v>
          </cell>
          <cell r="C1336" t="str">
            <v>EO</v>
          </cell>
        </row>
        <row r="1337">
          <cell r="B1337">
            <v>9621</v>
          </cell>
          <cell r="C1337" t="str">
            <v>LRt</v>
          </cell>
        </row>
        <row r="1338">
          <cell r="B1338">
            <v>9623</v>
          </cell>
          <cell r="C1338" t="str">
            <v>LRtPC</v>
          </cell>
        </row>
        <row r="1339">
          <cell r="B1339">
            <v>9622</v>
          </cell>
          <cell r="C1339" t="str">
            <v>LRtS5</v>
          </cell>
        </row>
        <row r="1340">
          <cell r="B1340">
            <v>9624</v>
          </cell>
          <cell r="C1340" t="str">
            <v>PCRt</v>
          </cell>
        </row>
        <row r="1341">
          <cell r="B1341">
            <v>9625</v>
          </cell>
          <cell r="C1341" t="str">
            <v>PCRt</v>
          </cell>
        </row>
        <row r="1342">
          <cell r="B1342">
            <v>9626</v>
          </cell>
          <cell r="C1342" t="str">
            <v>PCRt</v>
          </cell>
        </row>
        <row r="1343">
          <cell r="B1343">
            <v>9627</v>
          </cell>
          <cell r="C1343" t="str">
            <v>Ro</v>
          </cell>
        </row>
        <row r="1344">
          <cell r="B1344">
            <v>9628</v>
          </cell>
          <cell r="C1344" t="str">
            <v>Ro</v>
          </cell>
        </row>
        <row r="1345">
          <cell r="B1345">
            <v>9629</v>
          </cell>
          <cell r="C1345" t="str">
            <v>Ro</v>
          </cell>
        </row>
        <row r="1346">
          <cell r="B1346">
            <v>9630</v>
          </cell>
          <cell r="C1346" t="str">
            <v>Pa5</v>
          </cell>
        </row>
        <row r="1347">
          <cell r="B1347">
            <v>9631</v>
          </cell>
          <cell r="C1347" t="str">
            <v>Pa5</v>
          </cell>
        </row>
        <row r="1348">
          <cell r="B1348">
            <v>9632</v>
          </cell>
          <cell r="C1348" t="str">
            <v>Pa5</v>
          </cell>
        </row>
        <row r="1349">
          <cell r="B1349">
            <v>9633</v>
          </cell>
          <cell r="C1349" t="str">
            <v>Pe5</v>
          </cell>
        </row>
        <row r="1350">
          <cell r="B1350">
            <v>9634</v>
          </cell>
          <cell r="C1350" t="str">
            <v>Pe5</v>
          </cell>
        </row>
        <row r="1351">
          <cell r="B1351">
            <v>9635</v>
          </cell>
          <cell r="C1351" t="str">
            <v>Pe5</v>
          </cell>
        </row>
        <row r="1352">
          <cell r="B1352">
            <v>9636</v>
          </cell>
          <cell r="C1352" t="str">
            <v>PnB</v>
          </cell>
        </row>
        <row r="1353">
          <cell r="B1353">
            <v>9637</v>
          </cell>
          <cell r="C1353" t="str">
            <v>PnB</v>
          </cell>
        </row>
        <row r="1354">
          <cell r="B1354">
            <v>9638</v>
          </cell>
          <cell r="C1354" t="str">
            <v>PnB</v>
          </cell>
        </row>
        <row r="1355">
          <cell r="B1355">
            <v>9639</v>
          </cell>
          <cell r="C1355" t="str">
            <v>Pr</v>
          </cell>
        </row>
        <row r="1356">
          <cell r="B1356">
            <v>9640</v>
          </cell>
          <cell r="C1356" t="str">
            <v>Pr</v>
          </cell>
        </row>
        <row r="1357">
          <cell r="B1357">
            <v>9641</v>
          </cell>
          <cell r="C1357" t="str">
            <v>Pr</v>
          </cell>
        </row>
        <row r="1358">
          <cell r="B1358">
            <v>9642</v>
          </cell>
          <cell r="C1358" t="str">
            <v>RaM</v>
          </cell>
        </row>
        <row r="1359">
          <cell r="B1359">
            <v>9643</v>
          </cell>
          <cell r="C1359" t="str">
            <v>RMg</v>
          </cell>
        </row>
        <row r="1360">
          <cell r="B1360">
            <v>9644</v>
          </cell>
          <cell r="C1360" t="str">
            <v>RMg</v>
          </cell>
        </row>
        <row r="1361">
          <cell r="B1361">
            <v>9645</v>
          </cell>
          <cell r="C1361" t="str">
            <v>RMg</v>
          </cell>
        </row>
        <row r="1362">
          <cell r="B1362">
            <v>9646</v>
          </cell>
          <cell r="C1362" t="str">
            <v>ROb</v>
          </cell>
        </row>
        <row r="1363">
          <cell r="B1363">
            <v>9647</v>
          </cell>
          <cell r="C1363" t="str">
            <v>ROb</v>
          </cell>
        </row>
        <row r="1364">
          <cell r="B1364">
            <v>9648</v>
          </cell>
          <cell r="C1364" t="str">
            <v>ROb</v>
          </cell>
        </row>
        <row r="1365">
          <cell r="B1365">
            <v>9649</v>
          </cell>
          <cell r="C1365" t="str">
            <v>RPa</v>
          </cell>
        </row>
        <row r="1366">
          <cell r="B1366">
            <v>265504950</v>
          </cell>
          <cell r="C1366" t="str">
            <v>RPRa</v>
          </cell>
        </row>
        <row r="1367">
          <cell r="B1367">
            <v>265504954</v>
          </cell>
          <cell r="C1367" t="str">
            <v>RPRa</v>
          </cell>
        </row>
        <row r="1368">
          <cell r="B1368">
            <v>265504958</v>
          </cell>
          <cell r="C1368" t="str">
            <v>RPRa</v>
          </cell>
        </row>
        <row r="1369">
          <cell r="B1369">
            <v>9650</v>
          </cell>
          <cell r="C1369" t="str">
            <v>Ramb</v>
          </cell>
        </row>
        <row r="1370">
          <cell r="B1370">
            <v>9651</v>
          </cell>
          <cell r="C1370" t="str">
            <v>Ramb</v>
          </cell>
        </row>
        <row r="1371">
          <cell r="B1371">
            <v>9652</v>
          </cell>
          <cell r="C1371" t="str">
            <v>Ramb</v>
          </cell>
        </row>
        <row r="1372">
          <cell r="B1372">
            <v>9653</v>
          </cell>
          <cell r="C1372" t="str">
            <v>Sol</v>
          </cell>
        </row>
        <row r="1373">
          <cell r="B1373">
            <v>9654</v>
          </cell>
          <cell r="C1373" t="str">
            <v>Sol</v>
          </cell>
        </row>
        <row r="1374">
          <cell r="B1374">
            <v>9655</v>
          </cell>
          <cell r="C1374" t="str">
            <v>SolC</v>
          </cell>
        </row>
        <row r="1375">
          <cell r="B1375">
            <v>9656</v>
          </cell>
          <cell r="C1375" t="str">
            <v>SolD</v>
          </cell>
        </row>
        <row r="1376">
          <cell r="B1376">
            <v>9657</v>
          </cell>
          <cell r="C1376" t="str">
            <v>SolDL</v>
          </cell>
        </row>
        <row r="1377">
          <cell r="B1377">
            <v>9658</v>
          </cell>
          <cell r="C1377" t="str">
            <v>SolG</v>
          </cell>
        </row>
        <row r="1378">
          <cell r="B1378">
            <v>9659</v>
          </cell>
          <cell r="C1378" t="str">
            <v>SolI</v>
          </cell>
        </row>
        <row r="1379">
          <cell r="B1379">
            <v>9660</v>
          </cell>
          <cell r="C1379" t="str">
            <v>SolIM</v>
          </cell>
        </row>
        <row r="1380">
          <cell r="B1380">
            <v>9661</v>
          </cell>
          <cell r="C1380" t="str">
            <v>SolM</v>
          </cell>
        </row>
        <row r="1381">
          <cell r="B1381">
            <v>9662</v>
          </cell>
          <cell r="C1381" t="str">
            <v>SolPaC</v>
          </cell>
        </row>
        <row r="1382">
          <cell r="B1382">
            <v>9663</v>
          </cell>
          <cell r="C1382" t="str">
            <v>SolV</v>
          </cell>
        </row>
        <row r="1383">
          <cell r="B1383">
            <v>9664</v>
          </cell>
          <cell r="C1383" t="str">
            <v>SolVL</v>
          </cell>
        </row>
        <row r="1384">
          <cell r="B1384">
            <v>9665</v>
          </cell>
          <cell r="C1384" t="str">
            <v>Sol</v>
          </cell>
        </row>
        <row r="1385">
          <cell r="B1385">
            <v>9666</v>
          </cell>
          <cell r="C1385" t="str">
            <v>SolC</v>
          </cell>
        </row>
        <row r="1386">
          <cell r="B1386">
            <v>9667</v>
          </cell>
          <cell r="C1386" t="str">
            <v>SolD</v>
          </cell>
        </row>
        <row r="1387">
          <cell r="B1387">
            <v>9668</v>
          </cell>
          <cell r="C1387" t="str">
            <v>SolDL</v>
          </cell>
        </row>
        <row r="1388">
          <cell r="B1388">
            <v>9669</v>
          </cell>
          <cell r="C1388" t="str">
            <v>SolG</v>
          </cell>
        </row>
        <row r="1389">
          <cell r="B1389">
            <v>9670</v>
          </cell>
          <cell r="C1389" t="str">
            <v>SolI</v>
          </cell>
        </row>
        <row r="1390">
          <cell r="B1390">
            <v>9671</v>
          </cell>
          <cell r="C1390" t="str">
            <v>SolIM</v>
          </cell>
        </row>
        <row r="1391">
          <cell r="B1391">
            <v>9672</v>
          </cell>
          <cell r="C1391" t="str">
            <v>SolM</v>
          </cell>
        </row>
        <row r="1392">
          <cell r="B1392">
            <v>9673</v>
          </cell>
          <cell r="C1392" t="str">
            <v>SolPaC</v>
          </cell>
        </row>
        <row r="1393">
          <cell r="B1393">
            <v>9674</v>
          </cell>
          <cell r="C1393" t="str">
            <v>SolV</v>
          </cell>
        </row>
        <row r="1394">
          <cell r="B1394">
            <v>9675</v>
          </cell>
          <cell r="C1394" t="str">
            <v>SolVL</v>
          </cell>
        </row>
        <row r="1395">
          <cell r="B1395">
            <v>9676</v>
          </cell>
          <cell r="C1395" t="str">
            <v>Sp5</v>
          </cell>
        </row>
        <row r="1396">
          <cell r="B1396">
            <v>9677</v>
          </cell>
          <cell r="C1396" t="str">
            <v>Sp5</v>
          </cell>
        </row>
        <row r="1397">
          <cell r="B1397">
            <v>9680</v>
          </cell>
          <cell r="C1397" t="str">
            <v>Sp5C</v>
          </cell>
        </row>
        <row r="1398">
          <cell r="B1398">
            <v>9681</v>
          </cell>
          <cell r="C1398" t="str">
            <v>Sp5Cg</v>
          </cell>
        </row>
        <row r="1399">
          <cell r="B1399">
            <v>9682</v>
          </cell>
          <cell r="C1399" t="str">
            <v>SP5Cm</v>
          </cell>
        </row>
        <row r="1400">
          <cell r="B1400">
            <v>9683</v>
          </cell>
          <cell r="C1400" t="str">
            <v>SP5Cz</v>
          </cell>
        </row>
        <row r="1401">
          <cell r="B1401">
            <v>9678</v>
          </cell>
          <cell r="C1401" t="str">
            <v>Sp5I</v>
          </cell>
        </row>
        <row r="1402">
          <cell r="B1402">
            <v>9679</v>
          </cell>
          <cell r="C1402" t="str">
            <v>Sp5O</v>
          </cell>
        </row>
        <row r="1403">
          <cell r="B1403">
            <v>9684</v>
          </cell>
          <cell r="C1403" t="str">
            <v>Sp5</v>
          </cell>
        </row>
        <row r="1404">
          <cell r="B1404">
            <v>9687</v>
          </cell>
          <cell r="C1404" t="str">
            <v>Sp5C</v>
          </cell>
        </row>
        <row r="1405">
          <cell r="B1405">
            <v>9688</v>
          </cell>
          <cell r="C1405" t="str">
            <v>Sp5Cg</v>
          </cell>
        </row>
        <row r="1406">
          <cell r="B1406">
            <v>9689</v>
          </cell>
          <cell r="C1406" t="str">
            <v>SP5Cm</v>
          </cell>
        </row>
        <row r="1407">
          <cell r="B1407">
            <v>9690</v>
          </cell>
          <cell r="C1407" t="str">
            <v>SP5Cz</v>
          </cell>
        </row>
        <row r="1408">
          <cell r="B1408">
            <v>9685</v>
          </cell>
          <cell r="C1408" t="str">
            <v>Sp5I</v>
          </cell>
        </row>
        <row r="1409">
          <cell r="B1409">
            <v>9686</v>
          </cell>
          <cell r="C1409" t="str">
            <v>Sp5O</v>
          </cell>
        </row>
        <row r="1410">
          <cell r="B1410">
            <v>9691</v>
          </cell>
          <cell r="C1410" t="str">
            <v>Sge</v>
          </cell>
        </row>
        <row r="1411">
          <cell r="B1411">
            <v>9692</v>
          </cell>
          <cell r="C1411" t="str">
            <v>Sge</v>
          </cell>
        </row>
        <row r="1412">
          <cell r="B1412">
            <v>9693</v>
          </cell>
          <cell r="C1412" t="str">
            <v>Sge</v>
          </cell>
        </row>
        <row r="1413">
          <cell r="B1413">
            <v>9694</v>
          </cell>
          <cell r="C1413" t="str">
            <v>SSp</v>
          </cell>
        </row>
        <row r="1414">
          <cell r="B1414">
            <v>9695</v>
          </cell>
          <cell r="C1414" t="str">
            <v>SSp</v>
          </cell>
        </row>
        <row r="1415">
          <cell r="B1415">
            <v>9696</v>
          </cell>
          <cell r="C1415" t="str">
            <v>SSp</v>
          </cell>
        </row>
        <row r="1416">
          <cell r="B1416">
            <v>9697</v>
          </cell>
          <cell r="C1416" t="str">
            <v>8Ve</v>
          </cell>
        </row>
        <row r="1417">
          <cell r="B1417">
            <v>9698</v>
          </cell>
          <cell r="C1417" t="str">
            <v>8Ve</v>
          </cell>
        </row>
        <row r="1418">
          <cell r="B1418">
            <v>9699</v>
          </cell>
          <cell r="C1418" t="str">
            <v>LVe</v>
          </cell>
        </row>
        <row r="1419">
          <cell r="B1419">
            <v>9700</v>
          </cell>
          <cell r="C1419" t="str">
            <v>MVe</v>
          </cell>
        </row>
        <row r="1420">
          <cell r="B1420">
            <v>9702</v>
          </cell>
          <cell r="C1420" t="str">
            <v>SpVe</v>
          </cell>
        </row>
        <row r="1421">
          <cell r="B1421">
            <v>9701</v>
          </cell>
          <cell r="C1421" t="str">
            <v>SuVe</v>
          </cell>
        </row>
        <row r="1422">
          <cell r="B1422">
            <v>9703</v>
          </cell>
          <cell r="C1422" t="str">
            <v>8Ve</v>
          </cell>
        </row>
        <row r="1423">
          <cell r="B1423">
            <v>9704</v>
          </cell>
          <cell r="C1423" t="str">
            <v>LVe</v>
          </cell>
        </row>
        <row r="1424">
          <cell r="B1424">
            <v>9705</v>
          </cell>
          <cell r="C1424" t="str">
            <v>MVe</v>
          </cell>
        </row>
        <row r="1425">
          <cell r="B1425">
            <v>9707</v>
          </cell>
          <cell r="C1425" t="str">
            <v>SpVe</v>
          </cell>
        </row>
        <row r="1426">
          <cell r="B1426">
            <v>9706</v>
          </cell>
          <cell r="C1426" t="str">
            <v>SuVe</v>
          </cell>
        </row>
        <row r="1427">
          <cell r="B1427">
            <v>9218</v>
          </cell>
          <cell r="C1427" t="str">
            <v>WM</v>
          </cell>
        </row>
        <row r="1428">
          <cell r="B1428">
            <v>9219</v>
          </cell>
          <cell r="C1428" t="str">
            <v>TELWM</v>
          </cell>
        </row>
        <row r="1429">
          <cell r="B1429">
            <v>9220</v>
          </cell>
          <cell r="C1429" t="str">
            <v>TELCom</v>
          </cell>
        </row>
        <row r="1430">
          <cell r="B1430">
            <v>9221</v>
          </cell>
          <cell r="C1430" t="str">
            <v>ac</v>
          </cell>
        </row>
        <row r="1431">
          <cell r="B1431">
            <v>9222</v>
          </cell>
          <cell r="C1431" t="str">
            <v>cc</v>
          </cell>
        </row>
        <row r="1432">
          <cell r="B1432">
            <v>9224</v>
          </cell>
          <cell r="C1432" t="str">
            <v>bcc</v>
          </cell>
        </row>
        <row r="1433">
          <cell r="B1433">
            <v>9223</v>
          </cell>
          <cell r="C1433" t="str">
            <v>gcc</v>
          </cell>
        </row>
        <row r="1434">
          <cell r="B1434">
            <v>9226</v>
          </cell>
          <cell r="C1434" t="str">
            <v>rcc</v>
          </cell>
        </row>
        <row r="1435">
          <cell r="B1435">
            <v>9225</v>
          </cell>
          <cell r="C1435" t="str">
            <v>scc</v>
          </cell>
        </row>
        <row r="1436">
          <cell r="B1436">
            <v>265504962</v>
          </cell>
          <cell r="C1436" t="str">
            <v>rdcc</v>
          </cell>
        </row>
        <row r="1437">
          <cell r="B1437">
            <v>265504966</v>
          </cell>
          <cell r="C1437" t="str">
            <v>tap</v>
          </cell>
        </row>
        <row r="1438">
          <cell r="B1438">
            <v>9227</v>
          </cell>
          <cell r="C1438" t="str">
            <v>hbc</v>
          </cell>
        </row>
        <row r="1439">
          <cell r="B1439">
            <v>9228</v>
          </cell>
          <cell r="C1439" t="str">
            <v>hc</v>
          </cell>
        </row>
        <row r="1440">
          <cell r="B1440">
            <v>9229</v>
          </cell>
          <cell r="C1440" t="str">
            <v>pc</v>
          </cell>
        </row>
        <row r="1441">
          <cell r="B1441">
            <v>265504970</v>
          </cell>
          <cell r="C1441" t="str">
            <v>smc</v>
          </cell>
        </row>
        <row r="1442">
          <cell r="B1442">
            <v>9230</v>
          </cell>
          <cell r="C1442" t="str">
            <v>TelTr</v>
          </cell>
        </row>
        <row r="1443">
          <cell r="B1443">
            <v>265504974</v>
          </cell>
          <cell r="C1443" t="str">
            <v>ar</v>
          </cell>
        </row>
        <row r="1444">
          <cell r="B1444">
            <v>265504978</v>
          </cell>
          <cell r="C1444" t="str">
            <v>ar</v>
          </cell>
        </row>
        <row r="1445">
          <cell r="B1445">
            <v>265504982</v>
          </cell>
          <cell r="C1445" t="str">
            <v>ar</v>
          </cell>
        </row>
        <row r="1446">
          <cell r="B1446">
            <v>9231</v>
          </cell>
          <cell r="C1446" t="str">
            <v>arf</v>
          </cell>
        </row>
        <row r="1447">
          <cell r="B1447">
            <v>9232</v>
          </cell>
          <cell r="C1447" t="str">
            <v>arf</v>
          </cell>
        </row>
        <row r="1448">
          <cell r="B1448">
            <v>9233</v>
          </cell>
          <cell r="C1448" t="str">
            <v>arf</v>
          </cell>
        </row>
        <row r="1449">
          <cell r="B1449">
            <v>9234</v>
          </cell>
          <cell r="C1449" t="str">
            <v>alv</v>
          </cell>
        </row>
        <row r="1450">
          <cell r="B1450">
            <v>9235</v>
          </cell>
          <cell r="C1450" t="str">
            <v>alv</v>
          </cell>
        </row>
        <row r="1451">
          <cell r="B1451">
            <v>9236</v>
          </cell>
          <cell r="C1451" t="str">
            <v>alv</v>
          </cell>
        </row>
        <row r="1452">
          <cell r="B1452">
            <v>265504986</v>
          </cell>
          <cell r="C1452" t="str">
            <v>amtg</v>
          </cell>
        </row>
        <row r="1453">
          <cell r="B1453">
            <v>265504990</v>
          </cell>
          <cell r="C1453" t="str">
            <v>amtg</v>
          </cell>
        </row>
        <row r="1454">
          <cell r="B1454">
            <v>265504994</v>
          </cell>
          <cell r="C1454" t="str">
            <v>amtg</v>
          </cell>
        </row>
        <row r="1455">
          <cell r="B1455">
            <v>265504998</v>
          </cell>
          <cell r="C1455" t="str">
            <v>agb</v>
          </cell>
        </row>
        <row r="1456">
          <cell r="B1456">
            <v>265505002</v>
          </cell>
          <cell r="C1456" t="str">
            <v>agb</v>
          </cell>
        </row>
        <row r="1457">
          <cell r="B1457">
            <v>265505006</v>
          </cell>
          <cell r="C1457" t="str">
            <v>agb</v>
          </cell>
        </row>
        <row r="1458">
          <cell r="B1458">
            <v>9237</v>
          </cell>
          <cell r="C1458" t="str">
            <v>al</v>
          </cell>
        </row>
        <row r="1459">
          <cell r="B1459">
            <v>9238</v>
          </cell>
          <cell r="C1459" t="str">
            <v>al</v>
          </cell>
        </row>
        <row r="1460">
          <cell r="B1460">
            <v>9239</v>
          </cell>
          <cell r="C1460" t="str">
            <v>al</v>
          </cell>
        </row>
        <row r="1461">
          <cell r="B1461">
            <v>265505010</v>
          </cell>
          <cell r="C1461" t="str">
            <v>ap</v>
          </cell>
        </row>
        <row r="1462">
          <cell r="B1462">
            <v>265505014</v>
          </cell>
          <cell r="C1462" t="str">
            <v>ap</v>
          </cell>
        </row>
        <row r="1463">
          <cell r="B1463">
            <v>265505018</v>
          </cell>
          <cell r="C1463" t="str">
            <v>ap</v>
          </cell>
        </row>
        <row r="1464">
          <cell r="B1464">
            <v>265505022</v>
          </cell>
          <cell r="C1464" t="str">
            <v>bx</v>
          </cell>
        </row>
        <row r="1465">
          <cell r="B1465">
            <v>265505026</v>
          </cell>
          <cell r="C1465" t="str">
            <v>bx</v>
          </cell>
        </row>
        <row r="1466">
          <cell r="B1466">
            <v>265505030</v>
          </cell>
          <cell r="C1466" t="str">
            <v>bx</v>
          </cell>
        </row>
        <row r="1467">
          <cell r="B1467">
            <v>9240</v>
          </cell>
          <cell r="C1467" t="str">
            <v>cgb</v>
          </cell>
        </row>
        <row r="1468">
          <cell r="B1468">
            <v>9241</v>
          </cell>
          <cell r="C1468" t="str">
            <v>cgb</v>
          </cell>
        </row>
        <row r="1469">
          <cell r="B1469">
            <v>9242</v>
          </cell>
          <cell r="C1469" t="str">
            <v>cgb</v>
          </cell>
        </row>
        <row r="1470">
          <cell r="B1470">
            <v>265505034</v>
          </cell>
          <cell r="C1470" t="str">
            <v>comb</v>
          </cell>
        </row>
        <row r="1471">
          <cell r="B1471">
            <v>265505038</v>
          </cell>
          <cell r="C1471" t="str">
            <v>comb</v>
          </cell>
        </row>
        <row r="1472">
          <cell r="B1472">
            <v>265505042</v>
          </cell>
          <cell r="C1472" t="str">
            <v>comb</v>
          </cell>
        </row>
        <row r="1473">
          <cell r="B1473">
            <v>265505046</v>
          </cell>
          <cell r="C1473" t="str">
            <v>cor</v>
          </cell>
        </row>
        <row r="1474">
          <cell r="B1474">
            <v>265505050</v>
          </cell>
          <cell r="C1474" t="str">
            <v>cor</v>
          </cell>
        </row>
        <row r="1475">
          <cell r="B1475">
            <v>265505054</v>
          </cell>
          <cell r="C1475" t="str">
            <v>cor</v>
          </cell>
        </row>
        <row r="1476">
          <cell r="B1476">
            <v>265505058</v>
          </cell>
          <cell r="C1476" t="str">
            <v>cbu</v>
          </cell>
        </row>
        <row r="1477">
          <cell r="B1477">
            <v>265505062</v>
          </cell>
          <cell r="C1477" t="str">
            <v>cbu-sc</v>
          </cell>
        </row>
        <row r="1478">
          <cell r="B1478">
            <v>265505066</v>
          </cell>
          <cell r="C1478" t="str">
            <v>cbu-sc</v>
          </cell>
        </row>
        <row r="1479">
          <cell r="B1479">
            <v>265505070</v>
          </cell>
          <cell r="C1479" t="str">
            <v>cbu-sc</v>
          </cell>
        </row>
        <row r="1480">
          <cell r="B1480">
            <v>265505074</v>
          </cell>
          <cell r="C1480" t="str">
            <v>cbu-ic</v>
          </cell>
        </row>
        <row r="1481">
          <cell r="B1481">
            <v>265505078</v>
          </cell>
          <cell r="C1481" t="str">
            <v>cbu-ic</v>
          </cell>
        </row>
        <row r="1482">
          <cell r="B1482">
            <v>265505082</v>
          </cell>
          <cell r="C1482" t="str">
            <v>cbu-ic</v>
          </cell>
        </row>
        <row r="1483">
          <cell r="B1483">
            <v>9243</v>
          </cell>
          <cell r="C1483" t="str">
            <v>ec</v>
          </cell>
        </row>
        <row r="1484">
          <cell r="B1484">
            <v>9244</v>
          </cell>
          <cell r="C1484" t="str">
            <v>ec</v>
          </cell>
        </row>
        <row r="1485">
          <cell r="B1485">
            <v>9245</v>
          </cell>
          <cell r="C1485" t="str">
            <v>ec</v>
          </cell>
        </row>
        <row r="1486">
          <cell r="B1486">
            <v>265505086</v>
          </cell>
          <cell r="C1486" t="str">
            <v>emlgp</v>
          </cell>
        </row>
        <row r="1487">
          <cell r="B1487">
            <v>265505090</v>
          </cell>
          <cell r="C1487" t="str">
            <v>emlgp</v>
          </cell>
        </row>
        <row r="1488">
          <cell r="B1488">
            <v>265505094</v>
          </cell>
          <cell r="C1488" t="str">
            <v>emlgp</v>
          </cell>
        </row>
        <row r="1489">
          <cell r="B1489">
            <v>265505098</v>
          </cell>
          <cell r="C1489" t="str">
            <v>emlth</v>
          </cell>
        </row>
        <row r="1490">
          <cell r="B1490">
            <v>265505102</v>
          </cell>
          <cell r="C1490" t="str">
            <v>emlth</v>
          </cell>
        </row>
        <row r="1491">
          <cell r="B1491">
            <v>265505106</v>
          </cell>
          <cell r="C1491" t="str">
            <v>emlth</v>
          </cell>
        </row>
        <row r="1492">
          <cell r="B1492">
            <v>9246</v>
          </cell>
          <cell r="C1492" t="str">
            <v>exc</v>
          </cell>
        </row>
        <row r="1493">
          <cell r="B1493">
            <v>9247</v>
          </cell>
          <cell r="C1493" t="str">
            <v>exc</v>
          </cell>
        </row>
        <row r="1494">
          <cell r="B1494">
            <v>9248</v>
          </cell>
          <cell r="C1494" t="str">
            <v>exc</v>
          </cell>
        </row>
        <row r="1495">
          <cell r="B1495">
            <v>9249</v>
          </cell>
          <cell r="C1495" t="str">
            <v>fx</v>
          </cell>
        </row>
        <row r="1496">
          <cell r="B1496">
            <v>9250</v>
          </cell>
          <cell r="C1496" t="str">
            <v>fx</v>
          </cell>
        </row>
        <row r="1497">
          <cell r="B1497">
            <v>9251</v>
          </cell>
          <cell r="C1497" t="str">
            <v>afx</v>
          </cell>
        </row>
        <row r="1498">
          <cell r="B1498">
            <v>9252</v>
          </cell>
          <cell r="C1498" t="str">
            <v>bfx</v>
          </cell>
        </row>
        <row r="1499">
          <cell r="B1499">
            <v>9253</v>
          </cell>
          <cell r="C1499" t="str">
            <v>fi</v>
          </cell>
        </row>
        <row r="1500">
          <cell r="B1500">
            <v>9254</v>
          </cell>
          <cell r="C1500" t="str">
            <v>pfx</v>
          </cell>
        </row>
        <row r="1501">
          <cell r="B1501">
            <v>9255</v>
          </cell>
          <cell r="C1501" t="str">
            <v>fx</v>
          </cell>
        </row>
        <row r="1502">
          <cell r="B1502">
            <v>9256</v>
          </cell>
          <cell r="C1502" t="str">
            <v>afx</v>
          </cell>
        </row>
        <row r="1503">
          <cell r="B1503">
            <v>9257</v>
          </cell>
          <cell r="C1503" t="str">
            <v>bfx</v>
          </cell>
        </row>
        <row r="1504">
          <cell r="B1504">
            <v>9258</v>
          </cell>
          <cell r="C1504" t="str">
            <v>fi</v>
          </cell>
        </row>
        <row r="1505">
          <cell r="B1505">
            <v>9259</v>
          </cell>
          <cell r="C1505" t="str">
            <v>pfx</v>
          </cell>
        </row>
        <row r="1506">
          <cell r="B1506">
            <v>9260</v>
          </cell>
          <cell r="C1506" t="str">
            <v>ilf</v>
          </cell>
        </row>
        <row r="1507">
          <cell r="B1507">
            <v>9261</v>
          </cell>
          <cell r="C1507" t="str">
            <v>ilf</v>
          </cell>
        </row>
        <row r="1508">
          <cell r="B1508">
            <v>9262</v>
          </cell>
          <cell r="C1508" t="str">
            <v>ilf</v>
          </cell>
        </row>
        <row r="1509">
          <cell r="B1509">
            <v>265505110</v>
          </cell>
          <cell r="C1509" t="str">
            <v>ithp</v>
          </cell>
        </row>
        <row r="1510">
          <cell r="B1510">
            <v>265505114</v>
          </cell>
          <cell r="C1510" t="str">
            <v>ithp</v>
          </cell>
        </row>
        <row r="1511">
          <cell r="B1511">
            <v>265505118</v>
          </cell>
          <cell r="C1511" t="str">
            <v>ithp</v>
          </cell>
        </row>
        <row r="1512">
          <cell r="B1512">
            <v>9263</v>
          </cell>
          <cell r="C1512" t="str">
            <v>ic</v>
          </cell>
        </row>
        <row r="1513">
          <cell r="B1513">
            <v>9264</v>
          </cell>
          <cell r="C1513" t="str">
            <v>ic</v>
          </cell>
        </row>
        <row r="1514">
          <cell r="B1514">
            <v>9265</v>
          </cell>
          <cell r="C1514" t="str">
            <v>ic</v>
          </cell>
        </row>
        <row r="1515">
          <cell r="B1515">
            <v>265505122</v>
          </cell>
          <cell r="C1515" t="str">
            <v>imlgp</v>
          </cell>
        </row>
        <row r="1516">
          <cell r="B1516">
            <v>265505126</v>
          </cell>
          <cell r="C1516" t="str">
            <v>imlgp</v>
          </cell>
        </row>
        <row r="1517">
          <cell r="B1517">
            <v>265505130</v>
          </cell>
          <cell r="C1517" t="str">
            <v>imlgp</v>
          </cell>
        </row>
        <row r="1518">
          <cell r="B1518">
            <v>265505134</v>
          </cell>
          <cell r="C1518" t="str">
            <v>imlth</v>
          </cell>
        </row>
        <row r="1519">
          <cell r="B1519">
            <v>265505138</v>
          </cell>
          <cell r="C1519" t="str">
            <v>imlth</v>
          </cell>
        </row>
        <row r="1520">
          <cell r="B1520">
            <v>265505142</v>
          </cell>
          <cell r="C1520" t="str">
            <v>imlth</v>
          </cell>
        </row>
        <row r="1521">
          <cell r="B1521">
            <v>265505146</v>
          </cell>
          <cell r="C1521" t="str">
            <v>lls</v>
          </cell>
        </row>
        <row r="1522">
          <cell r="B1522">
            <v>265505150</v>
          </cell>
          <cell r="C1522" t="str">
            <v>lls</v>
          </cell>
        </row>
        <row r="1523">
          <cell r="B1523">
            <v>265505154</v>
          </cell>
          <cell r="C1523" t="str">
            <v>lls</v>
          </cell>
        </row>
        <row r="1524">
          <cell r="B1524">
            <v>265505158</v>
          </cell>
          <cell r="C1524" t="str">
            <v>lef</v>
          </cell>
        </row>
        <row r="1525">
          <cell r="B1525">
            <v>4510</v>
          </cell>
          <cell r="C1525" t="str">
            <v>lef</v>
          </cell>
        </row>
        <row r="1526">
          <cell r="B1526">
            <v>4516</v>
          </cell>
          <cell r="C1526" t="str">
            <v>lef</v>
          </cell>
        </row>
        <row r="1527">
          <cell r="B1527">
            <v>265505166</v>
          </cell>
          <cell r="C1527" t="str">
            <v>mp</v>
          </cell>
        </row>
        <row r="1528">
          <cell r="B1528">
            <v>265505170</v>
          </cell>
          <cell r="C1528" t="str">
            <v>mp</v>
          </cell>
        </row>
        <row r="1529">
          <cell r="B1529">
            <v>265505174</v>
          </cell>
          <cell r="C1529" t="str">
            <v>mp</v>
          </cell>
        </row>
        <row r="1530">
          <cell r="B1530">
            <v>265505178</v>
          </cell>
          <cell r="C1530" t="str">
            <v>mtg</v>
          </cell>
        </row>
        <row r="1531">
          <cell r="B1531">
            <v>265505182</v>
          </cell>
          <cell r="C1531" t="str">
            <v>mtg</v>
          </cell>
        </row>
        <row r="1532">
          <cell r="B1532">
            <v>265505186</v>
          </cell>
          <cell r="C1532" t="str">
            <v>mtg</v>
          </cell>
        </row>
        <row r="1533">
          <cell r="B1533">
            <v>9266</v>
          </cell>
          <cell r="C1533" t="str">
            <v>mtt</v>
          </cell>
        </row>
        <row r="1534">
          <cell r="B1534">
            <v>9267</v>
          </cell>
          <cell r="C1534" t="str">
            <v>mtt</v>
          </cell>
        </row>
        <row r="1535">
          <cell r="B1535">
            <v>9268</v>
          </cell>
          <cell r="C1535" t="str">
            <v>mtt</v>
          </cell>
        </row>
        <row r="1536">
          <cell r="B1536">
            <v>265505190</v>
          </cell>
          <cell r="C1536" t="str">
            <v>mfb</v>
          </cell>
        </row>
        <row r="1537">
          <cell r="B1537">
            <v>265505194</v>
          </cell>
          <cell r="C1537" t="str">
            <v>mfb</v>
          </cell>
        </row>
        <row r="1538">
          <cell r="B1538">
            <v>265505198</v>
          </cell>
          <cell r="C1538" t="str">
            <v>mfb</v>
          </cell>
        </row>
        <row r="1539">
          <cell r="B1539">
            <v>265505202</v>
          </cell>
          <cell r="C1539" t="str">
            <v>mls</v>
          </cell>
        </row>
        <row r="1540">
          <cell r="B1540">
            <v>265505206</v>
          </cell>
          <cell r="C1540" t="str">
            <v>mls</v>
          </cell>
        </row>
        <row r="1541">
          <cell r="B1541">
            <v>265505210</v>
          </cell>
          <cell r="C1541" t="str">
            <v>mls</v>
          </cell>
        </row>
        <row r="1542">
          <cell r="B1542">
            <v>265505214</v>
          </cell>
          <cell r="C1542" t="str">
            <v>or-lp</v>
          </cell>
        </row>
        <row r="1543">
          <cell r="B1543">
            <v>265505218</v>
          </cell>
          <cell r="C1543" t="str">
            <v>or-lp</v>
          </cell>
        </row>
        <row r="1544">
          <cell r="B1544">
            <v>265505222</v>
          </cell>
          <cell r="C1544" t="str">
            <v>or-lp</v>
          </cell>
        </row>
        <row r="1545">
          <cell r="B1545">
            <v>265505226</v>
          </cell>
          <cell r="C1545" t="str">
            <v>milf</v>
          </cell>
        </row>
        <row r="1546">
          <cell r="B1546">
            <v>265505230</v>
          </cell>
          <cell r="C1546" t="str">
            <v>milf</v>
          </cell>
        </row>
        <row r="1547">
          <cell r="B1547">
            <v>265505234</v>
          </cell>
          <cell r="C1547" t="str">
            <v>milf</v>
          </cell>
        </row>
        <row r="1548">
          <cell r="B1548">
            <v>9269</v>
          </cell>
          <cell r="C1548" t="str">
            <v>off</v>
          </cell>
        </row>
        <row r="1549">
          <cell r="B1549">
            <v>9270</v>
          </cell>
          <cell r="C1549" t="str">
            <v>off</v>
          </cell>
        </row>
        <row r="1550">
          <cell r="B1550">
            <v>9271</v>
          </cell>
          <cell r="C1550" t="str">
            <v>off</v>
          </cell>
        </row>
        <row r="1551">
          <cell r="B1551">
            <v>265505238</v>
          </cell>
          <cell r="C1551" t="str">
            <v>orpt</v>
          </cell>
        </row>
        <row r="1552">
          <cell r="B1552">
            <v>265505242</v>
          </cell>
          <cell r="C1552" t="str">
            <v>orpt</v>
          </cell>
        </row>
        <row r="1553">
          <cell r="B1553">
            <v>265505246</v>
          </cell>
          <cell r="C1553" t="str">
            <v>orpt</v>
          </cell>
        </row>
        <row r="1554">
          <cell r="B1554">
            <v>265505250</v>
          </cell>
          <cell r="C1554" t="str">
            <v>perf</v>
          </cell>
        </row>
        <row r="1555">
          <cell r="B1555">
            <v>265505254</v>
          </cell>
          <cell r="C1555" t="str">
            <v>perf</v>
          </cell>
        </row>
        <row r="1556">
          <cell r="B1556">
            <v>265505258</v>
          </cell>
          <cell r="C1556" t="str">
            <v>perf</v>
          </cell>
        </row>
        <row r="1557">
          <cell r="B1557">
            <v>9272</v>
          </cell>
          <cell r="C1557" t="str">
            <v>ppf</v>
          </cell>
        </row>
        <row r="1558">
          <cell r="B1558">
            <v>9273</v>
          </cell>
          <cell r="C1558" t="str">
            <v>ppf</v>
          </cell>
        </row>
        <row r="1559">
          <cell r="B1559">
            <v>9274</v>
          </cell>
          <cell r="C1559" t="str">
            <v>ppf</v>
          </cell>
        </row>
        <row r="1560">
          <cell r="B1560">
            <v>265505262</v>
          </cell>
          <cell r="C1560" t="str">
            <v>ponb</v>
          </cell>
        </row>
        <row r="1561">
          <cell r="B1561">
            <v>265505266</v>
          </cell>
          <cell r="C1561" t="str">
            <v>ponb</v>
          </cell>
        </row>
        <row r="1562">
          <cell r="B1562">
            <v>265505270</v>
          </cell>
          <cell r="C1562" t="str">
            <v>ponb</v>
          </cell>
        </row>
        <row r="1563">
          <cell r="B1563">
            <v>265505274</v>
          </cell>
          <cell r="C1563" t="str">
            <v>rthp</v>
          </cell>
        </row>
        <row r="1564">
          <cell r="B1564">
            <v>265505278</v>
          </cell>
          <cell r="C1564" t="str">
            <v>rthp</v>
          </cell>
        </row>
        <row r="1565">
          <cell r="B1565">
            <v>265505282</v>
          </cell>
          <cell r="C1565" t="str">
            <v>rthp</v>
          </cell>
        </row>
        <row r="1566">
          <cell r="B1566">
            <v>265505286</v>
          </cell>
          <cell r="C1566" t="str">
            <v>sst</v>
          </cell>
        </row>
        <row r="1567">
          <cell r="B1567">
            <v>265505290</v>
          </cell>
          <cell r="C1567" t="str">
            <v>sst</v>
          </cell>
        </row>
        <row r="1568">
          <cell r="B1568">
            <v>265505294</v>
          </cell>
          <cell r="C1568" t="str">
            <v>sste</v>
          </cell>
        </row>
        <row r="1569">
          <cell r="B1569">
            <v>265505298</v>
          </cell>
          <cell r="C1569" t="str">
            <v>ssti</v>
          </cell>
        </row>
        <row r="1570">
          <cell r="B1570">
            <v>265505302</v>
          </cell>
          <cell r="C1570" t="str">
            <v>sst</v>
          </cell>
        </row>
        <row r="1571">
          <cell r="B1571">
            <v>265505306</v>
          </cell>
          <cell r="C1571" t="str">
            <v>sste</v>
          </cell>
        </row>
        <row r="1572">
          <cell r="B1572">
            <v>265505310</v>
          </cell>
          <cell r="C1572" t="str">
            <v>ssti</v>
          </cell>
        </row>
        <row r="1573">
          <cell r="B1573">
            <v>265505314</v>
          </cell>
          <cell r="C1573" t="str">
            <v>saf</v>
          </cell>
        </row>
        <row r="1574">
          <cell r="B1574">
            <v>265505318</v>
          </cell>
          <cell r="C1574" t="str">
            <v>saf</v>
          </cell>
        </row>
        <row r="1575">
          <cell r="B1575">
            <v>265505322</v>
          </cell>
          <cell r="C1575" t="str">
            <v>saf</v>
          </cell>
        </row>
        <row r="1576">
          <cell r="B1576">
            <v>265505326</v>
          </cell>
          <cell r="C1576" t="str">
            <v>szt</v>
          </cell>
        </row>
        <row r="1577">
          <cell r="B1577">
            <v>265505330</v>
          </cell>
          <cell r="C1577" t="str">
            <v>szt</v>
          </cell>
        </row>
        <row r="1578">
          <cell r="B1578">
            <v>265505334</v>
          </cell>
          <cell r="C1578" t="str">
            <v>szt</v>
          </cell>
        </row>
        <row r="1579">
          <cell r="B1579">
            <v>9275</v>
          </cell>
          <cell r="C1579" t="str">
            <v>sm</v>
          </cell>
        </row>
        <row r="1580">
          <cell r="B1580">
            <v>9276</v>
          </cell>
          <cell r="C1580" t="str">
            <v>sm</v>
          </cell>
        </row>
        <row r="1581">
          <cell r="B1581">
            <v>9277</v>
          </cell>
          <cell r="C1581" t="str">
            <v>sm</v>
          </cell>
        </row>
        <row r="1582">
          <cell r="B1582">
            <v>9278</v>
          </cell>
          <cell r="C1582" t="str">
            <v>st</v>
          </cell>
        </row>
        <row r="1583">
          <cell r="B1583">
            <v>9279</v>
          </cell>
          <cell r="C1583" t="str">
            <v>st</v>
          </cell>
        </row>
        <row r="1584">
          <cell r="B1584">
            <v>9280</v>
          </cell>
          <cell r="C1584" t="str">
            <v>st</v>
          </cell>
        </row>
        <row r="1585">
          <cell r="B1585">
            <v>265505338</v>
          </cell>
          <cell r="C1585" t="str">
            <v>scf</v>
          </cell>
        </row>
        <row r="1586">
          <cell r="B1586">
            <v>265505342</v>
          </cell>
          <cell r="C1586" t="str">
            <v>scf</v>
          </cell>
        </row>
        <row r="1587">
          <cell r="B1587">
            <v>265505346</v>
          </cell>
          <cell r="C1587" t="str">
            <v>scf</v>
          </cell>
        </row>
        <row r="1588">
          <cell r="B1588">
            <v>265505350</v>
          </cell>
          <cell r="C1588" t="str">
            <v>sthf</v>
          </cell>
        </row>
        <row r="1589">
          <cell r="B1589">
            <v>265505354</v>
          </cell>
          <cell r="C1589" t="str">
            <v>sthf</v>
          </cell>
        </row>
        <row r="1590">
          <cell r="B1590">
            <v>265505358</v>
          </cell>
          <cell r="C1590" t="str">
            <v>sthf</v>
          </cell>
        </row>
        <row r="1591">
          <cell r="B1591">
            <v>265505362</v>
          </cell>
          <cell r="C1591" t="str">
            <v>sprs</v>
          </cell>
        </row>
        <row r="1592">
          <cell r="B1592">
            <v>265505366</v>
          </cell>
          <cell r="C1592" t="str">
            <v>sprs</v>
          </cell>
        </row>
        <row r="1593">
          <cell r="B1593">
            <v>265505370</v>
          </cell>
          <cell r="C1593" t="str">
            <v>sprs</v>
          </cell>
        </row>
        <row r="1594">
          <cell r="B1594">
            <v>9281</v>
          </cell>
          <cell r="C1594" t="str">
            <v>slf</v>
          </cell>
        </row>
        <row r="1595">
          <cell r="B1595">
            <v>9282</v>
          </cell>
          <cell r="C1595" t="str">
            <v>slf</v>
          </cell>
        </row>
        <row r="1596">
          <cell r="B1596">
            <v>9283</v>
          </cell>
          <cell r="C1596" t="str">
            <v>slf</v>
          </cell>
        </row>
        <row r="1597">
          <cell r="B1597">
            <v>265505374</v>
          </cell>
          <cell r="C1597" t="str">
            <v>thf</v>
          </cell>
        </row>
        <row r="1598">
          <cell r="B1598">
            <v>4509</v>
          </cell>
          <cell r="C1598" t="str">
            <v>thf</v>
          </cell>
        </row>
        <row r="1599">
          <cell r="B1599">
            <v>4515</v>
          </cell>
          <cell r="C1599" t="str">
            <v>thf</v>
          </cell>
        </row>
        <row r="1600">
          <cell r="B1600">
            <v>9284</v>
          </cell>
          <cell r="C1600" t="str">
            <v>uf</v>
          </cell>
        </row>
        <row r="1601">
          <cell r="B1601">
            <v>9285</v>
          </cell>
          <cell r="C1601" t="str">
            <v>uf</v>
          </cell>
        </row>
        <row r="1602">
          <cell r="B1602">
            <v>9286</v>
          </cell>
          <cell r="C1602" t="str">
            <v>uf</v>
          </cell>
        </row>
        <row r="1603">
          <cell r="B1603">
            <v>265505382</v>
          </cell>
          <cell r="C1603" t="str">
            <v>MESWM</v>
          </cell>
        </row>
        <row r="1604">
          <cell r="B1604">
            <v>265505386</v>
          </cell>
          <cell r="C1604" t="str">
            <v>bic</v>
          </cell>
        </row>
        <row r="1605">
          <cell r="B1605">
            <v>265505390</v>
          </cell>
          <cell r="C1605" t="str">
            <v>bic</v>
          </cell>
        </row>
        <row r="1606">
          <cell r="B1606">
            <v>265505394</v>
          </cell>
          <cell r="C1606" t="str">
            <v>bic</v>
          </cell>
        </row>
        <row r="1607">
          <cell r="B1607">
            <v>265505398</v>
          </cell>
          <cell r="C1607" t="str">
            <v>bsc</v>
          </cell>
        </row>
        <row r="1608">
          <cell r="B1608">
            <v>265505402</v>
          </cell>
          <cell r="C1608" t="str">
            <v>bsc</v>
          </cell>
        </row>
        <row r="1609">
          <cell r="B1609">
            <v>265505406</v>
          </cell>
          <cell r="C1609" t="str">
            <v>bsc</v>
          </cell>
        </row>
        <row r="1610">
          <cell r="B1610">
            <v>265505410</v>
          </cell>
          <cell r="C1610" t="str">
            <v>ctg-m</v>
          </cell>
        </row>
        <row r="1611">
          <cell r="B1611">
            <v>265505414</v>
          </cell>
          <cell r="C1611" t="str">
            <v>ctg-m</v>
          </cell>
        </row>
        <row r="1612">
          <cell r="B1612">
            <v>265505418</v>
          </cell>
          <cell r="C1612" t="str">
            <v>ctg-m</v>
          </cell>
        </row>
        <row r="1613">
          <cell r="B1613">
            <v>265505422</v>
          </cell>
          <cell r="C1613" t="str">
            <v>cpd</v>
          </cell>
        </row>
        <row r="1614">
          <cell r="B1614">
            <v>265505426</v>
          </cell>
          <cell r="C1614" t="str">
            <v>cpd</v>
          </cell>
        </row>
        <row r="1615">
          <cell r="B1615">
            <v>265505430</v>
          </cell>
          <cell r="C1615" t="str">
            <v>cpd</v>
          </cell>
        </row>
        <row r="1616">
          <cell r="B1616">
            <v>265505434</v>
          </cell>
          <cell r="C1616" t="str">
            <v>cmic</v>
          </cell>
        </row>
        <row r="1617">
          <cell r="B1617">
            <v>265505438</v>
          </cell>
          <cell r="C1617" t="str">
            <v>cmic</v>
          </cell>
        </row>
        <row r="1618">
          <cell r="B1618">
            <v>265505442</v>
          </cell>
          <cell r="C1618" t="str">
            <v>cmic</v>
          </cell>
        </row>
        <row r="1619">
          <cell r="B1619">
            <v>265505446</v>
          </cell>
          <cell r="C1619" t="str">
            <v>cbu-m</v>
          </cell>
        </row>
        <row r="1620">
          <cell r="B1620">
            <v>265505450</v>
          </cell>
          <cell r="C1620" t="str">
            <v>cbu-m</v>
          </cell>
        </row>
        <row r="1621">
          <cell r="B1621">
            <v>265505454</v>
          </cell>
          <cell r="C1621" t="str">
            <v>cbu-m</v>
          </cell>
        </row>
        <row r="1622">
          <cell r="B1622">
            <v>265505458</v>
          </cell>
          <cell r="C1622" t="str">
            <v>me5</v>
          </cell>
        </row>
        <row r="1623">
          <cell r="B1623">
            <v>265505462</v>
          </cell>
          <cell r="C1623" t="str">
            <v>me5</v>
          </cell>
        </row>
        <row r="1624">
          <cell r="B1624">
            <v>265505466</v>
          </cell>
          <cell r="C1624" t="str">
            <v>me5</v>
          </cell>
        </row>
        <row r="1625">
          <cell r="B1625">
            <v>9287</v>
          </cell>
          <cell r="C1625" t="str">
            <v>METWM</v>
          </cell>
        </row>
        <row r="1626">
          <cell r="B1626">
            <v>9288</v>
          </cell>
          <cell r="C1626" t="str">
            <v>CbWM</v>
          </cell>
        </row>
        <row r="1627">
          <cell r="B1627">
            <v>9289</v>
          </cell>
          <cell r="C1627" t="str">
            <v>icp</v>
          </cell>
        </row>
        <row r="1628">
          <cell r="B1628">
            <v>9290</v>
          </cell>
          <cell r="C1628" t="str">
            <v>icp</v>
          </cell>
        </row>
        <row r="1629">
          <cell r="B1629">
            <v>9291</v>
          </cell>
          <cell r="C1629" t="str">
            <v>icp</v>
          </cell>
        </row>
        <row r="1630">
          <cell r="B1630">
            <v>9292</v>
          </cell>
          <cell r="C1630" t="str">
            <v>mcp</v>
          </cell>
        </row>
        <row r="1631">
          <cell r="B1631">
            <v>9293</v>
          </cell>
          <cell r="C1631" t="str">
            <v>mcp</v>
          </cell>
        </row>
        <row r="1632">
          <cell r="B1632">
            <v>9294</v>
          </cell>
          <cell r="C1632" t="str">
            <v>mcp</v>
          </cell>
        </row>
        <row r="1633">
          <cell r="B1633">
            <v>265505470</v>
          </cell>
          <cell r="C1633" t="str">
            <v>pncb</v>
          </cell>
        </row>
        <row r="1634">
          <cell r="B1634">
            <v>265505474</v>
          </cell>
          <cell r="C1634" t="str">
            <v>pncb</v>
          </cell>
        </row>
        <row r="1635">
          <cell r="B1635">
            <v>265505478</v>
          </cell>
          <cell r="C1635" t="str">
            <v>pncb</v>
          </cell>
        </row>
        <row r="1636">
          <cell r="B1636">
            <v>9295</v>
          </cell>
          <cell r="C1636" t="str">
            <v>scp</v>
          </cell>
        </row>
        <row r="1637">
          <cell r="B1637">
            <v>9296</v>
          </cell>
          <cell r="C1637" t="str">
            <v>scp</v>
          </cell>
        </row>
        <row r="1638">
          <cell r="B1638">
            <v>9297</v>
          </cell>
          <cell r="C1638" t="str">
            <v>scp</v>
          </cell>
        </row>
        <row r="1639">
          <cell r="B1639">
            <v>265505482</v>
          </cell>
          <cell r="C1639" t="str">
            <v>xscp</v>
          </cell>
        </row>
        <row r="1640">
          <cell r="B1640">
            <v>265505486</v>
          </cell>
          <cell r="C1640" t="str">
            <v>PoWM</v>
          </cell>
        </row>
        <row r="1641">
          <cell r="B1641">
            <v>265505490</v>
          </cell>
          <cell r="C1641" t="str">
            <v>cpn</v>
          </cell>
        </row>
        <row r="1642">
          <cell r="B1642">
            <v>265505494</v>
          </cell>
          <cell r="C1642" t="str">
            <v>cpn</v>
          </cell>
        </row>
        <row r="1643">
          <cell r="B1643">
            <v>265505498</v>
          </cell>
          <cell r="C1643" t="str">
            <v>cpn</v>
          </cell>
        </row>
        <row r="1644">
          <cell r="B1644">
            <v>265505502</v>
          </cell>
          <cell r="C1644" t="str">
            <v>lfpn</v>
          </cell>
        </row>
        <row r="1645">
          <cell r="B1645">
            <v>265505506</v>
          </cell>
          <cell r="C1645" t="str">
            <v>lfpn</v>
          </cell>
        </row>
        <row r="1646">
          <cell r="B1646">
            <v>265505510</v>
          </cell>
          <cell r="C1646" t="str">
            <v>lfpn</v>
          </cell>
        </row>
        <row r="1647">
          <cell r="B1647">
            <v>9298</v>
          </cell>
          <cell r="C1647" t="str">
            <v>MYWM</v>
          </cell>
        </row>
        <row r="1648">
          <cell r="B1648">
            <v>9299</v>
          </cell>
          <cell r="C1648" t="str">
            <v>CN</v>
          </cell>
        </row>
        <row r="1649">
          <cell r="B1649">
            <v>9300</v>
          </cell>
          <cell r="C1649" t="str">
            <v>1n</v>
          </cell>
        </row>
        <row r="1650">
          <cell r="B1650">
            <v>9301</v>
          </cell>
          <cell r="C1650" t="str">
            <v>1n</v>
          </cell>
        </row>
        <row r="1651">
          <cell r="B1651">
            <v>9302</v>
          </cell>
          <cell r="C1651" t="str">
            <v>olf</v>
          </cell>
        </row>
        <row r="1652">
          <cell r="B1652">
            <v>265505514</v>
          </cell>
          <cell r="C1652" t="str">
            <v>lot</v>
          </cell>
        </row>
        <row r="1653">
          <cell r="B1653">
            <v>265505518</v>
          </cell>
          <cell r="C1653" t="str">
            <v>mot</v>
          </cell>
        </row>
        <row r="1654">
          <cell r="B1654">
            <v>9303</v>
          </cell>
          <cell r="C1654" t="str">
            <v>Olf</v>
          </cell>
        </row>
        <row r="1655">
          <cell r="B1655">
            <v>9304</v>
          </cell>
          <cell r="C1655" t="str">
            <v>1n</v>
          </cell>
        </row>
        <row r="1656">
          <cell r="B1656">
            <v>9305</v>
          </cell>
          <cell r="C1656" t="str">
            <v>olf</v>
          </cell>
        </row>
        <row r="1657">
          <cell r="B1657">
            <v>265505522</v>
          </cell>
          <cell r="C1657" t="str">
            <v>lot</v>
          </cell>
        </row>
        <row r="1658">
          <cell r="B1658">
            <v>265505526</v>
          </cell>
          <cell r="C1658" t="str">
            <v>mot</v>
          </cell>
        </row>
        <row r="1659">
          <cell r="B1659">
            <v>9306</v>
          </cell>
          <cell r="C1659" t="str">
            <v>Olf</v>
          </cell>
        </row>
        <row r="1660">
          <cell r="B1660">
            <v>9307</v>
          </cell>
          <cell r="C1660" t="str">
            <v>2n</v>
          </cell>
        </row>
        <row r="1661">
          <cell r="B1661">
            <v>9308</v>
          </cell>
          <cell r="C1661" t="str">
            <v>2n</v>
          </cell>
        </row>
        <row r="1662">
          <cell r="B1662">
            <v>9309</v>
          </cell>
          <cell r="C1662" t="str">
            <v>opt</v>
          </cell>
        </row>
        <row r="1663">
          <cell r="B1663">
            <v>9310</v>
          </cell>
          <cell r="C1663" t="str">
            <v>ox</v>
          </cell>
        </row>
        <row r="1664">
          <cell r="B1664">
            <v>9311</v>
          </cell>
          <cell r="C1664" t="str">
            <v>or</v>
          </cell>
        </row>
        <row r="1665">
          <cell r="B1665">
            <v>265505530</v>
          </cell>
          <cell r="C1665" t="str">
            <v>sox</v>
          </cell>
        </row>
        <row r="1666">
          <cell r="B1666">
            <v>9312</v>
          </cell>
          <cell r="C1666" t="str">
            <v>2n</v>
          </cell>
        </row>
        <row r="1667">
          <cell r="B1667">
            <v>9313</v>
          </cell>
          <cell r="C1667" t="str">
            <v>opt</v>
          </cell>
        </row>
        <row r="1668">
          <cell r="B1668">
            <v>9314</v>
          </cell>
          <cell r="C1668" t="str">
            <v>ox</v>
          </cell>
        </row>
        <row r="1669">
          <cell r="B1669">
            <v>9315</v>
          </cell>
          <cell r="C1669" t="str">
            <v>or</v>
          </cell>
        </row>
        <row r="1670">
          <cell r="B1670">
            <v>265505534</v>
          </cell>
          <cell r="C1670" t="str">
            <v>sox</v>
          </cell>
        </row>
        <row r="1671">
          <cell r="B1671">
            <v>9316</v>
          </cell>
          <cell r="C1671" t="str">
            <v>3n</v>
          </cell>
        </row>
        <row r="1672">
          <cell r="B1672">
            <v>9317</v>
          </cell>
          <cell r="C1672" t="str">
            <v>3n</v>
          </cell>
        </row>
        <row r="1673">
          <cell r="B1673">
            <v>9318</v>
          </cell>
          <cell r="C1673" t="str">
            <v>3n</v>
          </cell>
        </row>
        <row r="1674">
          <cell r="B1674">
            <v>9319</v>
          </cell>
          <cell r="C1674" t="str">
            <v>4n</v>
          </cell>
        </row>
        <row r="1675">
          <cell r="B1675">
            <v>9320</v>
          </cell>
          <cell r="C1675" t="str">
            <v>4n</v>
          </cell>
        </row>
        <row r="1676">
          <cell r="B1676">
            <v>9321</v>
          </cell>
          <cell r="C1676" t="str">
            <v>4n</v>
          </cell>
        </row>
        <row r="1677">
          <cell r="B1677">
            <v>9322</v>
          </cell>
          <cell r="C1677" t="str">
            <v>5n</v>
          </cell>
        </row>
        <row r="1678">
          <cell r="B1678">
            <v>9323</v>
          </cell>
          <cell r="C1678" t="str">
            <v>5n</v>
          </cell>
        </row>
        <row r="1679">
          <cell r="B1679">
            <v>9324</v>
          </cell>
          <cell r="C1679" t="str">
            <v>5n</v>
          </cell>
        </row>
        <row r="1680">
          <cell r="B1680">
            <v>9325</v>
          </cell>
          <cell r="C1680" t="str">
            <v>6n</v>
          </cell>
        </row>
        <row r="1681">
          <cell r="B1681">
            <v>9326</v>
          </cell>
          <cell r="C1681" t="str">
            <v>6n</v>
          </cell>
        </row>
        <row r="1682">
          <cell r="B1682">
            <v>9327</v>
          </cell>
          <cell r="C1682" t="str">
            <v>6n</v>
          </cell>
        </row>
        <row r="1683">
          <cell r="B1683">
            <v>9328</v>
          </cell>
          <cell r="C1683" t="str">
            <v>7n</v>
          </cell>
        </row>
        <row r="1684">
          <cell r="B1684">
            <v>9329</v>
          </cell>
          <cell r="C1684" t="str">
            <v>7n</v>
          </cell>
        </row>
        <row r="1685">
          <cell r="B1685">
            <v>9330</v>
          </cell>
          <cell r="C1685" t="str">
            <v>7n</v>
          </cell>
        </row>
        <row r="1686">
          <cell r="B1686">
            <v>9331</v>
          </cell>
          <cell r="C1686" t="str">
            <v>8n</v>
          </cell>
        </row>
        <row r="1687">
          <cell r="B1687">
            <v>9332</v>
          </cell>
          <cell r="C1687" t="str">
            <v>8n</v>
          </cell>
        </row>
        <row r="1688">
          <cell r="B1688">
            <v>9333</v>
          </cell>
          <cell r="C1688" t="str">
            <v>8n</v>
          </cell>
        </row>
        <row r="1689">
          <cell r="B1689">
            <v>9334</v>
          </cell>
          <cell r="C1689" t="str">
            <v>9n</v>
          </cell>
        </row>
        <row r="1690">
          <cell r="B1690">
            <v>9335</v>
          </cell>
          <cell r="C1690" t="str">
            <v>9n</v>
          </cell>
        </row>
        <row r="1691">
          <cell r="B1691">
            <v>9336</v>
          </cell>
          <cell r="C1691" t="str">
            <v>9n</v>
          </cell>
        </row>
        <row r="1692">
          <cell r="B1692">
            <v>9337</v>
          </cell>
          <cell r="C1692" t="str">
            <v>10n</v>
          </cell>
        </row>
        <row r="1693">
          <cell r="B1693">
            <v>9338</v>
          </cell>
          <cell r="C1693" t="str">
            <v>10n</v>
          </cell>
        </row>
        <row r="1694">
          <cell r="B1694">
            <v>9339</v>
          </cell>
          <cell r="C1694" t="str">
            <v>10n</v>
          </cell>
        </row>
        <row r="1695">
          <cell r="B1695">
            <v>9340</v>
          </cell>
          <cell r="C1695" t="str">
            <v>11nf</v>
          </cell>
        </row>
        <row r="1696">
          <cell r="B1696">
            <v>9341</v>
          </cell>
          <cell r="C1696" t="str">
            <v>11nf</v>
          </cell>
        </row>
        <row r="1697">
          <cell r="B1697">
            <v>9342</v>
          </cell>
          <cell r="C1697" t="str">
            <v>11nf</v>
          </cell>
        </row>
        <row r="1698">
          <cell r="B1698">
            <v>9343</v>
          </cell>
          <cell r="C1698" t="str">
            <v>12n</v>
          </cell>
        </row>
        <row r="1699">
          <cell r="B1699">
            <v>9344</v>
          </cell>
          <cell r="C1699" t="str">
            <v>12n</v>
          </cell>
        </row>
        <row r="1700">
          <cell r="B1700">
            <v>9345</v>
          </cell>
          <cell r="C1700" t="str">
            <v>12n</v>
          </cell>
        </row>
        <row r="1701">
          <cell r="B1701">
            <v>265505538</v>
          </cell>
          <cell r="C1701" t="str">
            <v>ami</v>
          </cell>
        </row>
        <row r="1702">
          <cell r="B1702">
            <v>265505542</v>
          </cell>
          <cell r="C1702" t="str">
            <v>ami</v>
          </cell>
        </row>
        <row r="1703">
          <cell r="B1703">
            <v>265505546</v>
          </cell>
          <cell r="C1703" t="str">
            <v>ami</v>
          </cell>
        </row>
        <row r="1704">
          <cell r="B1704">
            <v>265505550</v>
          </cell>
          <cell r="C1704" t="str">
            <v>cuf</v>
          </cell>
        </row>
        <row r="1705">
          <cell r="B1705">
            <v>265505554</v>
          </cell>
          <cell r="C1705" t="str">
            <v>cuf</v>
          </cell>
        </row>
        <row r="1706">
          <cell r="B1706">
            <v>265505558</v>
          </cell>
          <cell r="C1706" t="str">
            <v>cuf</v>
          </cell>
        </row>
        <row r="1707">
          <cell r="B1707">
            <v>9346</v>
          </cell>
          <cell r="C1707" t="str">
            <v>dlf</v>
          </cell>
        </row>
        <row r="1708">
          <cell r="B1708">
            <v>9347</v>
          </cell>
          <cell r="C1708" t="str">
            <v>dlf</v>
          </cell>
        </row>
        <row r="1709">
          <cell r="B1709">
            <v>9348</v>
          </cell>
          <cell r="C1709" t="str">
            <v>dlf</v>
          </cell>
        </row>
        <row r="1710">
          <cell r="B1710">
            <v>9349</v>
          </cell>
          <cell r="C1710" t="str">
            <v>mlf</v>
          </cell>
        </row>
        <row r="1711">
          <cell r="B1711">
            <v>9350</v>
          </cell>
          <cell r="C1711" t="str">
            <v>mlf</v>
          </cell>
        </row>
        <row r="1712">
          <cell r="B1712">
            <v>9351</v>
          </cell>
          <cell r="C1712" t="str">
            <v>mlf</v>
          </cell>
        </row>
        <row r="1713">
          <cell r="B1713">
            <v>12950</v>
          </cell>
          <cell r="C1713" t="str">
            <v>ctg</v>
          </cell>
        </row>
        <row r="1714">
          <cell r="B1714">
            <v>12951</v>
          </cell>
          <cell r="C1714" t="str">
            <v>ctg</v>
          </cell>
        </row>
        <row r="1715">
          <cell r="B1715">
            <v>12952</v>
          </cell>
          <cell r="C1715" t="str">
            <v>ctg</v>
          </cell>
        </row>
        <row r="1716">
          <cell r="B1716">
            <v>265505562</v>
          </cell>
          <cell r="C1716" t="str">
            <v>cbu-h</v>
          </cell>
        </row>
        <row r="1717">
          <cell r="B1717">
            <v>265505566</v>
          </cell>
          <cell r="C1717" t="str">
            <v>cbu-h</v>
          </cell>
        </row>
        <row r="1718">
          <cell r="B1718">
            <v>265505570</v>
          </cell>
          <cell r="C1718" t="str">
            <v>cbu-h</v>
          </cell>
        </row>
        <row r="1719">
          <cell r="B1719">
            <v>265505574</v>
          </cell>
          <cell r="C1719" t="str">
            <v>csp</v>
          </cell>
        </row>
        <row r="1720">
          <cell r="B1720">
            <v>265505578</v>
          </cell>
          <cell r="C1720" t="str">
            <v>csp</v>
          </cell>
        </row>
        <row r="1721">
          <cell r="B1721">
            <v>265505582</v>
          </cell>
          <cell r="C1721" t="str">
            <v>csp</v>
          </cell>
        </row>
        <row r="1722">
          <cell r="B1722">
            <v>12953</v>
          </cell>
          <cell r="C1722" t="str">
            <v>fr</v>
          </cell>
        </row>
        <row r="1723">
          <cell r="B1723">
            <v>12954</v>
          </cell>
          <cell r="C1723" t="str">
            <v>fr</v>
          </cell>
        </row>
        <row r="1724">
          <cell r="B1724">
            <v>12955</v>
          </cell>
          <cell r="C1724" t="str">
            <v>fr</v>
          </cell>
        </row>
        <row r="1725">
          <cell r="B1725">
            <v>265505586</v>
          </cell>
          <cell r="C1725" t="str">
            <v>gr</v>
          </cell>
        </row>
        <row r="1726">
          <cell r="B1726">
            <v>265505590</v>
          </cell>
          <cell r="C1726" t="str">
            <v>gr</v>
          </cell>
        </row>
        <row r="1727">
          <cell r="B1727">
            <v>265505594</v>
          </cell>
          <cell r="C1727" t="str">
            <v>gr</v>
          </cell>
        </row>
        <row r="1728">
          <cell r="B1728">
            <v>265505598</v>
          </cell>
          <cell r="C1728" t="str">
            <v>hio</v>
          </cell>
        </row>
        <row r="1729">
          <cell r="B1729">
            <v>265505602</v>
          </cell>
          <cell r="C1729" t="str">
            <v>hio</v>
          </cell>
        </row>
        <row r="1730">
          <cell r="B1730">
            <v>265505606</v>
          </cell>
          <cell r="C1730" t="str">
            <v>hio</v>
          </cell>
        </row>
        <row r="1731">
          <cell r="B1731">
            <v>265505610</v>
          </cell>
          <cell r="C1731" t="str">
            <v>iaf</v>
          </cell>
        </row>
        <row r="1732">
          <cell r="B1732">
            <v>265505614</v>
          </cell>
          <cell r="C1732" t="str">
            <v>iaf</v>
          </cell>
        </row>
        <row r="1733">
          <cell r="B1733">
            <v>265505618</v>
          </cell>
          <cell r="C1733" t="str">
            <v>iaf</v>
          </cell>
        </row>
        <row r="1734">
          <cell r="B1734">
            <v>12956</v>
          </cell>
          <cell r="C1734" t="str">
            <v>ll</v>
          </cell>
        </row>
        <row r="1735">
          <cell r="B1735">
            <v>12957</v>
          </cell>
          <cell r="C1735" t="str">
            <v>ll</v>
          </cell>
        </row>
        <row r="1736">
          <cell r="B1736">
            <v>12958</v>
          </cell>
          <cell r="C1736" t="str">
            <v>ll</v>
          </cell>
        </row>
        <row r="1737">
          <cell r="B1737">
            <v>12959</v>
          </cell>
          <cell r="C1737" t="str">
            <v>ml</v>
          </cell>
        </row>
        <row r="1738">
          <cell r="B1738">
            <v>12960</v>
          </cell>
          <cell r="C1738" t="str">
            <v>ml</v>
          </cell>
        </row>
        <row r="1739">
          <cell r="B1739">
            <v>12961</v>
          </cell>
          <cell r="C1739" t="str">
            <v>ml</v>
          </cell>
        </row>
        <row r="1740">
          <cell r="B1740">
            <v>265505622</v>
          </cell>
          <cell r="C1740" t="str">
            <v>xml</v>
          </cell>
        </row>
        <row r="1741">
          <cell r="B1741">
            <v>12962</v>
          </cell>
          <cell r="C1741" t="str">
            <v>py</v>
          </cell>
        </row>
        <row r="1742">
          <cell r="B1742">
            <v>12963</v>
          </cell>
          <cell r="C1742" t="str">
            <v>py</v>
          </cell>
        </row>
        <row r="1743">
          <cell r="B1743">
            <v>12964</v>
          </cell>
          <cell r="C1743" t="str">
            <v>py</v>
          </cell>
        </row>
        <row r="1744">
          <cell r="B1744">
            <v>12965</v>
          </cell>
          <cell r="C1744" t="str">
            <v>pyx</v>
          </cell>
        </row>
        <row r="1745">
          <cell r="B1745">
            <v>265505626</v>
          </cell>
          <cell r="C1745" t="str">
            <v>sol</v>
          </cell>
        </row>
        <row r="1746">
          <cell r="B1746">
            <v>265505630</v>
          </cell>
          <cell r="C1746" t="str">
            <v>sol</v>
          </cell>
        </row>
        <row r="1747">
          <cell r="B1747">
            <v>265505634</v>
          </cell>
          <cell r="C1747" t="str">
            <v>sol</v>
          </cell>
        </row>
        <row r="1748">
          <cell r="B1748">
            <v>265505638</v>
          </cell>
          <cell r="C1748" t="str">
            <v>slh</v>
          </cell>
        </row>
        <row r="1749">
          <cell r="B1749">
            <v>265505642</v>
          </cell>
          <cell r="C1749" t="str">
            <v>slh</v>
          </cell>
        </row>
        <row r="1750">
          <cell r="B1750">
            <v>265505646</v>
          </cell>
          <cell r="C1750" t="str">
            <v>slh</v>
          </cell>
        </row>
        <row r="1751">
          <cell r="B1751">
            <v>265505650</v>
          </cell>
          <cell r="C1751" t="str">
            <v>sp5</v>
          </cell>
        </row>
        <row r="1752">
          <cell r="B1752">
            <v>265505654</v>
          </cell>
          <cell r="C1752" t="str">
            <v>sp5</v>
          </cell>
        </row>
        <row r="1753">
          <cell r="B1753">
            <v>265505658</v>
          </cell>
          <cell r="C1753" t="str">
            <v>sp5</v>
          </cell>
        </row>
        <row r="1754">
          <cell r="B1754">
            <v>265505662</v>
          </cell>
          <cell r="C1754" t="str">
            <v>tsp</v>
          </cell>
        </row>
        <row r="1755">
          <cell r="B1755">
            <v>265505666</v>
          </cell>
          <cell r="C1755" t="str">
            <v>tsp</v>
          </cell>
        </row>
        <row r="1756">
          <cell r="B1756">
            <v>265505670</v>
          </cell>
          <cell r="C1756" t="str">
            <v>tsp</v>
          </cell>
        </row>
        <row r="1757">
          <cell r="B1757">
            <v>265505674</v>
          </cell>
          <cell r="C1757" t="str">
            <v>vtg</v>
          </cell>
        </row>
        <row r="1758">
          <cell r="B1758">
            <v>265505678</v>
          </cell>
          <cell r="C1758" t="str">
            <v>vtg</v>
          </cell>
        </row>
        <row r="1759">
          <cell r="B1759">
            <v>265505682</v>
          </cell>
          <cell r="C1759" t="str">
            <v>vtg</v>
          </cell>
        </row>
        <row r="1760">
          <cell r="B1760">
            <v>265505686</v>
          </cell>
          <cell r="C1760" t="str">
            <v>veme</v>
          </cell>
        </row>
        <row r="1761">
          <cell r="B1761">
            <v>265505690</v>
          </cell>
          <cell r="C1761" t="str">
            <v>veme</v>
          </cell>
        </row>
        <row r="1762">
          <cell r="B1762">
            <v>265505694</v>
          </cell>
          <cell r="C1762" t="str">
            <v>veme</v>
          </cell>
        </row>
        <row r="1763">
          <cell r="B1763">
            <v>9352</v>
          </cell>
          <cell r="C1763" t="str">
            <v>SS</v>
          </cell>
        </row>
        <row r="1764">
          <cell r="B1764">
            <v>9353</v>
          </cell>
          <cell r="C1764" t="str">
            <v>TELs</v>
          </cell>
        </row>
        <row r="1765">
          <cell r="B1765">
            <v>9400</v>
          </cell>
          <cell r="C1765" t="str">
            <v>SSmd</v>
          </cell>
        </row>
        <row r="1766">
          <cell r="B1766">
            <v>9404</v>
          </cell>
          <cell r="C1766" t="str">
            <v>cas</v>
          </cell>
        </row>
        <row r="1767">
          <cell r="B1767">
            <v>9403</v>
          </cell>
          <cell r="C1767" t="str">
            <v>cs</v>
          </cell>
        </row>
        <row r="1768">
          <cell r="B1768">
            <v>9401</v>
          </cell>
          <cell r="C1768" t="str">
            <v>lf</v>
          </cell>
        </row>
        <row r="1769">
          <cell r="B1769">
            <v>9402</v>
          </cell>
          <cell r="C1769" t="str">
            <v>sf</v>
          </cell>
        </row>
        <row r="1770">
          <cell r="B1770">
            <v>9354</v>
          </cell>
          <cell r="C1770" t="str">
            <v>FLs</v>
          </cell>
        </row>
        <row r="1771">
          <cell r="B1771">
            <v>9368</v>
          </cell>
          <cell r="C1771" t="str">
            <v>apos</v>
          </cell>
        </row>
        <row r="1772">
          <cell r="B1772">
            <v>9364</v>
          </cell>
          <cell r="C1772" t="str">
            <v>cgs</v>
          </cell>
        </row>
        <row r="1773">
          <cell r="B1773">
            <v>9363</v>
          </cell>
          <cell r="C1773" t="str">
            <v>fms</v>
          </cell>
        </row>
        <row r="1774">
          <cell r="B1774">
            <v>9362</v>
          </cell>
          <cell r="C1774" t="str">
            <v>fros</v>
          </cell>
        </row>
        <row r="1775">
          <cell r="B1775">
            <v>9357</v>
          </cell>
          <cell r="C1775" t="str">
            <v>ifs</v>
          </cell>
        </row>
        <row r="1776">
          <cell r="B1776">
            <v>9367</v>
          </cell>
          <cell r="C1776" t="str">
            <v>iros</v>
          </cell>
        </row>
        <row r="1777">
          <cell r="B1777">
            <v>9358</v>
          </cell>
          <cell r="C1777" t="str">
            <v>infs</v>
          </cell>
        </row>
        <row r="1778">
          <cell r="B1778">
            <v>9359</v>
          </cell>
          <cell r="C1778" t="str">
            <v>mfs</v>
          </cell>
        </row>
        <row r="1779">
          <cell r="B1779">
            <v>9361</v>
          </cell>
          <cell r="C1779" t="str">
            <v>olfs</v>
          </cell>
        </row>
        <row r="1780">
          <cell r="B1780">
            <v>9360</v>
          </cell>
          <cell r="C1780" t="str">
            <v>orbs</v>
          </cell>
        </row>
        <row r="1781">
          <cell r="B1781">
            <v>9365</v>
          </cell>
          <cell r="C1781" t="str">
            <v>pcs</v>
          </cell>
        </row>
        <row r="1782">
          <cell r="B1782">
            <v>9369</v>
          </cell>
          <cell r="C1782" t="str">
            <v>ppos</v>
          </cell>
        </row>
        <row r="1783">
          <cell r="B1783">
            <v>9355</v>
          </cell>
          <cell r="C1783" t="str">
            <v>prcs</v>
          </cell>
        </row>
        <row r="1784">
          <cell r="B1784">
            <v>9356</v>
          </cell>
          <cell r="C1784" t="str">
            <v>sfrs</v>
          </cell>
        </row>
        <row r="1785">
          <cell r="B1785">
            <v>9366</v>
          </cell>
          <cell r="C1785" t="str">
            <v>sros</v>
          </cell>
        </row>
        <row r="1786">
          <cell r="B1786">
            <v>9397</v>
          </cell>
          <cell r="C1786" t="str">
            <v>ILs</v>
          </cell>
        </row>
        <row r="1787">
          <cell r="B1787">
            <v>9399</v>
          </cell>
          <cell r="C1787" t="str">
            <v>cis</v>
          </cell>
        </row>
        <row r="1788">
          <cell r="B1788">
            <v>9398</v>
          </cell>
          <cell r="C1788" t="str">
            <v>crs</v>
          </cell>
        </row>
        <row r="1789">
          <cell r="B1789">
            <v>9393</v>
          </cell>
          <cell r="C1789" t="str">
            <v>LLs</v>
          </cell>
        </row>
        <row r="1790">
          <cell r="B1790">
            <v>9394</v>
          </cell>
          <cell r="C1790" t="str">
            <v>his</v>
          </cell>
        </row>
        <row r="1791">
          <cell r="B1791">
            <v>9395</v>
          </cell>
          <cell r="C1791" t="str">
            <v>ssa</v>
          </cell>
        </row>
        <row r="1792">
          <cell r="B1792">
            <v>9396</v>
          </cell>
          <cell r="C1792" t="str">
            <v>us</v>
          </cell>
        </row>
        <row r="1793">
          <cell r="B1793">
            <v>9386</v>
          </cell>
          <cell r="C1793" t="str">
            <v>OLs</v>
          </cell>
        </row>
        <row r="1794">
          <cell r="B1794">
            <v>9391</v>
          </cell>
          <cell r="C1794" t="str">
            <v>ccs</v>
          </cell>
        </row>
        <row r="1795">
          <cell r="B1795">
            <v>9389</v>
          </cell>
          <cell r="C1795" t="str">
            <v>locs</v>
          </cell>
        </row>
        <row r="1796">
          <cell r="B1796">
            <v>9390</v>
          </cell>
          <cell r="C1796" t="str">
            <v>lus</v>
          </cell>
        </row>
        <row r="1797">
          <cell r="B1797">
            <v>9392</v>
          </cell>
          <cell r="C1797" t="str">
            <v>pos</v>
          </cell>
        </row>
        <row r="1798">
          <cell r="B1798">
            <v>9387</v>
          </cell>
          <cell r="C1798" t="str">
            <v>pon</v>
          </cell>
        </row>
        <row r="1799">
          <cell r="B1799">
            <v>9388</v>
          </cell>
          <cell r="C1799" t="str">
            <v>tocs</v>
          </cell>
        </row>
        <row r="1800">
          <cell r="B1800">
            <v>9370</v>
          </cell>
          <cell r="C1800" t="str">
            <v>PLs</v>
          </cell>
        </row>
        <row r="1801">
          <cell r="B1801">
            <v>9372</v>
          </cell>
          <cell r="C1801" t="str">
            <v>itps</v>
          </cell>
        </row>
        <row r="1802">
          <cell r="B1802">
            <v>9371</v>
          </cell>
          <cell r="C1802" t="str">
            <v>pocs</v>
          </cell>
        </row>
        <row r="1803">
          <cell r="B1803">
            <v>9373</v>
          </cell>
          <cell r="C1803" t="str">
            <v>pis</v>
          </cell>
        </row>
        <row r="1804">
          <cell r="B1804">
            <v>9374</v>
          </cell>
          <cell r="C1804" t="str">
            <v>sis</v>
          </cell>
        </row>
        <row r="1805">
          <cell r="B1805">
            <v>9376</v>
          </cell>
          <cell r="C1805" t="str">
            <v>sbps</v>
          </cell>
        </row>
        <row r="1806">
          <cell r="B1806">
            <v>9375</v>
          </cell>
          <cell r="C1806" t="str">
            <v>sps</v>
          </cell>
        </row>
        <row r="1807">
          <cell r="B1807">
            <v>9377</v>
          </cell>
          <cell r="C1807" t="str">
            <v>TLs</v>
          </cell>
        </row>
        <row r="1808">
          <cell r="B1808">
            <v>9384</v>
          </cell>
          <cell r="C1808" t="str">
            <v>ans</v>
          </cell>
        </row>
        <row r="1809">
          <cell r="B1809">
            <v>9385</v>
          </cell>
          <cell r="C1809" t="str">
            <v>aoc</v>
          </cell>
        </row>
        <row r="1810">
          <cell r="B1810">
            <v>9380</v>
          </cell>
          <cell r="C1810" t="str">
            <v>cos</v>
          </cell>
        </row>
        <row r="1811">
          <cell r="B1811">
            <v>9379</v>
          </cell>
          <cell r="C1811" t="str">
            <v>its</v>
          </cell>
        </row>
        <row r="1812">
          <cell r="B1812">
            <v>10150</v>
          </cell>
          <cell r="C1812" t="str">
            <v>mts</v>
          </cell>
        </row>
        <row r="1813">
          <cell r="B1813">
            <v>9382</v>
          </cell>
          <cell r="C1813" t="str">
            <v>phr</v>
          </cell>
        </row>
        <row r="1814">
          <cell r="B1814">
            <v>9381</v>
          </cell>
          <cell r="C1814" t="str">
            <v>phs</v>
          </cell>
        </row>
        <row r="1815">
          <cell r="B1815">
            <v>9383</v>
          </cell>
          <cell r="C1815" t="str">
            <v>rhs</v>
          </cell>
        </row>
        <row r="1816">
          <cell r="B1816">
            <v>9378</v>
          </cell>
          <cell r="C1816" t="str">
            <v>sts</v>
          </cell>
        </row>
        <row r="1817">
          <cell r="B1817">
            <v>9405</v>
          </cell>
          <cell r="C1817" t="str">
            <v>METs</v>
          </cell>
        </row>
        <row r="1818">
          <cell r="B1818">
            <v>9406</v>
          </cell>
          <cell r="C1818" t="str">
            <v>Cbs</v>
          </cell>
        </row>
        <row r="1819">
          <cell r="B1819">
            <v>9407</v>
          </cell>
          <cell r="C1819" t="str">
            <v>prf</v>
          </cell>
        </row>
        <row r="1820">
          <cell r="B1820">
            <v>9408</v>
          </cell>
          <cell r="C1820" t="str">
            <v>pcf</v>
          </cell>
        </row>
        <row r="1821">
          <cell r="B1821">
            <v>9409</v>
          </cell>
          <cell r="C1821" t="str">
            <v>icf</v>
          </cell>
        </row>
        <row r="1822">
          <cell r="B1822">
            <v>9410</v>
          </cell>
          <cell r="C1822" t="str">
            <v>prif</v>
          </cell>
        </row>
        <row r="1823">
          <cell r="B1823">
            <v>9411</v>
          </cell>
          <cell r="C1823" t="str">
            <v>spf</v>
          </cell>
        </row>
        <row r="1824">
          <cell r="B1824">
            <v>9412</v>
          </cell>
          <cell r="C1824" t="str">
            <v>hf</v>
          </cell>
        </row>
        <row r="1825">
          <cell r="B1825">
            <v>9413</v>
          </cell>
          <cell r="C1825" t="str">
            <v>apf</v>
          </cell>
        </row>
        <row r="1826">
          <cell r="B1826">
            <v>9414</v>
          </cell>
          <cell r="C1826" t="str">
            <v>pbf</v>
          </cell>
        </row>
        <row r="1827">
          <cell r="B1827">
            <v>9415</v>
          </cell>
          <cell r="C1827" t="str">
            <v>ibf</v>
          </cell>
        </row>
        <row r="1828">
          <cell r="B1828">
            <v>9416</v>
          </cell>
          <cell r="C1828" t="str">
            <v>sfCb</v>
          </cell>
        </row>
        <row r="1829">
          <cell r="B1829">
            <v>9417</v>
          </cell>
          <cell r="C1829" t="str">
            <v>plf</v>
          </cell>
        </row>
        <row r="1830">
          <cell r="B1830">
            <v>265505698</v>
          </cell>
          <cell r="C1830" t="str">
            <v>MYs</v>
          </cell>
        </row>
        <row r="1831">
          <cell r="B1831">
            <v>265505702</v>
          </cell>
          <cell r="C1831" t="str">
            <v>aq</v>
          </cell>
        </row>
        <row r="1832">
          <cell r="B1832">
            <v>9418</v>
          </cell>
          <cell r="C1832" t="str">
            <v>Vent</v>
          </cell>
        </row>
        <row r="1833">
          <cell r="B1833">
            <v>9419</v>
          </cell>
          <cell r="C1833" t="str">
            <v>LV</v>
          </cell>
        </row>
        <row r="1834">
          <cell r="B1834">
            <v>265505706</v>
          </cell>
          <cell r="C1834" t="str">
            <v>SP</v>
          </cell>
        </row>
        <row r="1835">
          <cell r="B1835">
            <v>9708</v>
          </cell>
          <cell r="C1835" t="str">
            <v>CPLV</v>
          </cell>
        </row>
        <row r="1836">
          <cell r="B1836">
            <v>9420</v>
          </cell>
          <cell r="C1836" t="str">
            <v>3V</v>
          </cell>
        </row>
        <row r="1837">
          <cell r="B1837">
            <v>9709</v>
          </cell>
          <cell r="C1837" t="str">
            <v>CP3V</v>
          </cell>
        </row>
        <row r="1838">
          <cell r="B1838">
            <v>9421</v>
          </cell>
          <cell r="C1838" t="str">
            <v>4V</v>
          </cell>
        </row>
        <row r="1839">
          <cell r="B1839">
            <v>9710</v>
          </cell>
          <cell r="C1839" t="str">
            <v>CP4V</v>
          </cell>
        </row>
        <row r="1840">
          <cell r="B1840">
            <v>9422</v>
          </cell>
          <cell r="C1840" t="str">
            <v>CC</v>
          </cell>
        </row>
      </sheetData>
      <sheetData sheetId="7">
        <row r="2">
          <cell r="B2">
            <v>3999</v>
          </cell>
          <cell r="C2" t="str">
            <v>Br</v>
          </cell>
        </row>
        <row r="3">
          <cell r="B3">
            <v>128011350</v>
          </cell>
          <cell r="C3" t="str">
            <v>Tel</v>
          </cell>
        </row>
        <row r="4">
          <cell r="B4">
            <v>128011354</v>
          </cell>
          <cell r="C4" t="str">
            <v>Cx</v>
          </cell>
        </row>
        <row r="5">
          <cell r="B5">
            <v>294021746</v>
          </cell>
          <cell r="C5" t="str">
            <v>NCx</v>
          </cell>
        </row>
        <row r="6">
          <cell r="B6">
            <v>12984</v>
          </cell>
          <cell r="C6" t="str">
            <v>dlPF</v>
          </cell>
        </row>
        <row r="7">
          <cell r="B7">
            <v>10008</v>
          </cell>
          <cell r="C7" t="str">
            <v>mOF</v>
          </cell>
        </row>
        <row r="8">
          <cell r="B8">
            <v>10017</v>
          </cell>
          <cell r="C8" t="str">
            <v>cOF</v>
          </cell>
        </row>
        <row r="9">
          <cell r="B9">
            <v>4000</v>
          </cell>
          <cell r="C9" t="str">
            <v>MFC</v>
          </cell>
        </row>
        <row r="10">
          <cell r="B10">
            <v>9999</v>
          </cell>
          <cell r="C10" t="str">
            <v>rCG</v>
          </cell>
        </row>
        <row r="11">
          <cell r="B11">
            <v>4004</v>
          </cell>
          <cell r="C11" t="str">
            <v>Ocx</v>
          </cell>
        </row>
        <row r="12">
          <cell r="B12">
            <v>10026</v>
          </cell>
          <cell r="C12" t="str">
            <v>V1</v>
          </cell>
        </row>
        <row r="13">
          <cell r="B13">
            <v>10039</v>
          </cell>
          <cell r="C13" t="str">
            <v>V2</v>
          </cell>
        </row>
        <row r="14">
          <cell r="B14">
            <v>294021766</v>
          </cell>
          <cell r="C14" t="str">
            <v>SG</v>
          </cell>
        </row>
        <row r="15">
          <cell r="B15">
            <v>128011368</v>
          </cell>
          <cell r="C15" t="str">
            <v>dlPFsg</v>
          </cell>
        </row>
        <row r="16">
          <cell r="B16">
            <v>128012418</v>
          </cell>
          <cell r="C16" t="str">
            <v>V1sg</v>
          </cell>
        </row>
        <row r="17">
          <cell r="B17">
            <v>294021774</v>
          </cell>
          <cell r="C17" t="str">
            <v>MZ</v>
          </cell>
        </row>
        <row r="18">
          <cell r="B18">
            <v>128011614</v>
          </cell>
          <cell r="C18" t="str">
            <v>rCGmz</v>
          </cell>
        </row>
        <row r="19">
          <cell r="B19">
            <v>128011372</v>
          </cell>
          <cell r="C19" t="str">
            <v>dlPFmz</v>
          </cell>
        </row>
        <row r="20">
          <cell r="B20">
            <v>128011776</v>
          </cell>
          <cell r="C20" t="str">
            <v>S1mz</v>
          </cell>
        </row>
        <row r="21">
          <cell r="B21">
            <v>128012422</v>
          </cell>
          <cell r="C21" t="str">
            <v>V1mz</v>
          </cell>
        </row>
        <row r="22">
          <cell r="B22">
            <v>294021786</v>
          </cell>
          <cell r="C22" t="str">
            <v>L1</v>
          </cell>
        </row>
        <row r="23">
          <cell r="B23">
            <v>10000</v>
          </cell>
          <cell r="C23" t="str">
            <v>rCG1</v>
          </cell>
        </row>
        <row r="24">
          <cell r="B24">
            <v>10009</v>
          </cell>
          <cell r="C24" t="str">
            <v>mOF1</v>
          </cell>
        </row>
        <row r="25">
          <cell r="B25">
            <v>10018</v>
          </cell>
          <cell r="C25" t="str">
            <v>cOF1</v>
          </cell>
        </row>
        <row r="26">
          <cell r="B26">
            <v>10040</v>
          </cell>
          <cell r="C26" t="str">
            <v>V2-1</v>
          </cell>
        </row>
        <row r="27">
          <cell r="B27">
            <v>10027</v>
          </cell>
          <cell r="C27" t="str">
            <v>V1-1</v>
          </cell>
        </row>
        <row r="28">
          <cell r="B28">
            <v>294021800</v>
          </cell>
          <cell r="C28" t="str">
            <v>L2</v>
          </cell>
        </row>
        <row r="29">
          <cell r="B29">
            <v>10001</v>
          </cell>
          <cell r="C29" t="str">
            <v>rCG2</v>
          </cell>
        </row>
        <row r="30">
          <cell r="B30">
            <v>12986</v>
          </cell>
          <cell r="C30" t="str">
            <v>dlPF2</v>
          </cell>
        </row>
        <row r="31">
          <cell r="B31">
            <v>10010</v>
          </cell>
          <cell r="C31" t="str">
            <v>mOF2</v>
          </cell>
        </row>
        <row r="32">
          <cell r="B32">
            <v>10019</v>
          </cell>
          <cell r="C32" t="str">
            <v>cOF2</v>
          </cell>
        </row>
        <row r="33">
          <cell r="B33">
            <v>128011796</v>
          </cell>
          <cell r="C33" t="str">
            <v>S1-2</v>
          </cell>
        </row>
        <row r="34">
          <cell r="B34">
            <v>10041</v>
          </cell>
          <cell r="C34" t="str">
            <v>V2-2</v>
          </cell>
        </row>
        <row r="35">
          <cell r="B35">
            <v>10028</v>
          </cell>
          <cell r="C35" t="str">
            <v>V1-2</v>
          </cell>
        </row>
        <row r="36">
          <cell r="B36">
            <v>294021818</v>
          </cell>
          <cell r="C36" t="str">
            <v>L2/3</v>
          </cell>
        </row>
        <row r="37">
          <cell r="B37">
            <v>128012436</v>
          </cell>
          <cell r="C37" t="str">
            <v>V1-2/3</v>
          </cell>
        </row>
        <row r="38">
          <cell r="B38">
            <v>294021824</v>
          </cell>
          <cell r="C38" t="str">
            <v>L3</v>
          </cell>
        </row>
        <row r="39">
          <cell r="B39">
            <v>10002</v>
          </cell>
          <cell r="C39" t="str">
            <v>rCG3</v>
          </cell>
        </row>
        <row r="40">
          <cell r="B40">
            <v>12987</v>
          </cell>
          <cell r="C40" t="str">
            <v>dlPF3</v>
          </cell>
        </row>
        <row r="41">
          <cell r="B41">
            <v>10011</v>
          </cell>
          <cell r="C41" t="str">
            <v>mOF3</v>
          </cell>
        </row>
        <row r="42">
          <cell r="B42">
            <v>10020</v>
          </cell>
          <cell r="C42" t="str">
            <v>cOF3</v>
          </cell>
        </row>
        <row r="43">
          <cell r="B43">
            <v>128011800</v>
          </cell>
          <cell r="C43" t="str">
            <v>S1-3</v>
          </cell>
        </row>
        <row r="44">
          <cell r="B44">
            <v>10042</v>
          </cell>
          <cell r="C44" t="str">
            <v>V2-3</v>
          </cell>
        </row>
        <row r="45">
          <cell r="B45">
            <v>10029</v>
          </cell>
          <cell r="C45" t="str">
            <v>V1-3</v>
          </cell>
        </row>
        <row r="46">
          <cell r="B46">
            <v>294021842</v>
          </cell>
          <cell r="C46" t="str">
            <v>CPo</v>
          </cell>
        </row>
        <row r="47">
          <cell r="B47">
            <v>128011624</v>
          </cell>
          <cell r="C47" t="str">
            <v>rCGcpo</v>
          </cell>
        </row>
        <row r="48">
          <cell r="B48">
            <v>128011788</v>
          </cell>
          <cell r="C48" t="str">
            <v>S1cpo</v>
          </cell>
        </row>
        <row r="49">
          <cell r="B49">
            <v>128012432</v>
          </cell>
          <cell r="C49" t="str">
            <v>V1cpo</v>
          </cell>
        </row>
        <row r="50">
          <cell r="B50">
            <v>294021852</v>
          </cell>
          <cell r="C50" t="str">
            <v>L4</v>
          </cell>
        </row>
        <row r="51">
          <cell r="B51">
            <v>10003</v>
          </cell>
          <cell r="C51" t="str">
            <v>rCG4</v>
          </cell>
        </row>
        <row r="52">
          <cell r="B52">
            <v>12988</v>
          </cell>
          <cell r="C52" t="str">
            <v>dlPF4</v>
          </cell>
        </row>
        <row r="53">
          <cell r="B53">
            <v>10012</v>
          </cell>
          <cell r="C53" t="str">
            <v>mOF4</v>
          </cell>
        </row>
        <row r="54">
          <cell r="B54">
            <v>10021</v>
          </cell>
          <cell r="C54" t="str">
            <v>cOF4</v>
          </cell>
        </row>
        <row r="55">
          <cell r="B55">
            <v>128011804</v>
          </cell>
          <cell r="C55" t="str">
            <v>S1-4</v>
          </cell>
        </row>
        <row r="56">
          <cell r="B56">
            <v>10043</v>
          </cell>
          <cell r="C56" t="str">
            <v>V2-4</v>
          </cell>
        </row>
        <row r="57">
          <cell r="B57">
            <v>10030</v>
          </cell>
          <cell r="C57" t="str">
            <v>V1-4</v>
          </cell>
        </row>
        <row r="58">
          <cell r="B58">
            <v>10031</v>
          </cell>
          <cell r="C58" t="str">
            <v>V1-4A</v>
          </cell>
        </row>
        <row r="59">
          <cell r="B59">
            <v>10032</v>
          </cell>
          <cell r="C59" t="str">
            <v>V1-4B</v>
          </cell>
        </row>
        <row r="60">
          <cell r="B60">
            <v>10033</v>
          </cell>
          <cell r="C60" t="str">
            <v>V14Ca</v>
          </cell>
        </row>
        <row r="61">
          <cell r="B61">
            <v>10034</v>
          </cell>
          <cell r="C61" t="str">
            <v>V14Cb</v>
          </cell>
        </row>
        <row r="62">
          <cell r="B62">
            <v>294021878</v>
          </cell>
          <cell r="C62" t="str">
            <v>L5</v>
          </cell>
        </row>
        <row r="63">
          <cell r="B63">
            <v>10004</v>
          </cell>
          <cell r="C63" t="str">
            <v>rCG5</v>
          </cell>
        </row>
        <row r="64">
          <cell r="B64">
            <v>12989</v>
          </cell>
          <cell r="C64" t="str">
            <v>dlPF5</v>
          </cell>
        </row>
        <row r="65">
          <cell r="B65">
            <v>10013</v>
          </cell>
          <cell r="C65" t="str">
            <v>mOF5</v>
          </cell>
        </row>
        <row r="66">
          <cell r="B66">
            <v>10022</v>
          </cell>
          <cell r="C66" t="str">
            <v>cOF5</v>
          </cell>
        </row>
        <row r="67">
          <cell r="B67">
            <v>128011812</v>
          </cell>
          <cell r="C67" t="str">
            <v>S1-5</v>
          </cell>
        </row>
        <row r="68">
          <cell r="B68">
            <v>10048</v>
          </cell>
          <cell r="C68" t="str">
            <v>V2_L5</v>
          </cell>
        </row>
        <row r="69">
          <cell r="B69">
            <v>10035</v>
          </cell>
          <cell r="C69" t="str">
            <v>V1-5</v>
          </cell>
        </row>
        <row r="70">
          <cell r="B70">
            <v>294021896</v>
          </cell>
          <cell r="C70" t="str">
            <v>L6</v>
          </cell>
        </row>
        <row r="71">
          <cell r="B71">
            <v>10005</v>
          </cell>
          <cell r="C71" t="str">
            <v>rCG6</v>
          </cell>
        </row>
        <row r="72">
          <cell r="B72">
            <v>12990</v>
          </cell>
          <cell r="C72" t="str">
            <v>dlPF6</v>
          </cell>
        </row>
        <row r="73">
          <cell r="B73">
            <v>10014</v>
          </cell>
          <cell r="C73" t="str">
            <v>mOF6</v>
          </cell>
        </row>
        <row r="74">
          <cell r="B74">
            <v>10023</v>
          </cell>
          <cell r="C74" t="str">
            <v>cOF6</v>
          </cell>
        </row>
        <row r="75">
          <cell r="B75">
            <v>128011816</v>
          </cell>
          <cell r="C75" t="str">
            <v>S1-6</v>
          </cell>
        </row>
        <row r="76">
          <cell r="B76">
            <v>10049</v>
          </cell>
          <cell r="C76" t="str">
            <v>V2-6</v>
          </cell>
        </row>
        <row r="77">
          <cell r="B77">
            <v>10036</v>
          </cell>
          <cell r="C77" t="str">
            <v>V1-6</v>
          </cell>
        </row>
        <row r="78">
          <cell r="B78">
            <v>294021914</v>
          </cell>
          <cell r="C78" t="str">
            <v>CP</v>
          </cell>
        </row>
        <row r="79">
          <cell r="B79">
            <v>128012428</v>
          </cell>
          <cell r="C79" t="str">
            <v>V1cp</v>
          </cell>
        </row>
        <row r="80">
          <cell r="B80">
            <v>294021920</v>
          </cell>
          <cell r="C80" t="str">
            <v>CPi</v>
          </cell>
        </row>
        <row r="81">
          <cell r="B81">
            <v>128011638</v>
          </cell>
          <cell r="C81" t="str">
            <v>rCGcpi</v>
          </cell>
        </row>
        <row r="82">
          <cell r="B82">
            <v>128011378</v>
          </cell>
          <cell r="C82" t="str">
            <v>dlPFcp</v>
          </cell>
        </row>
        <row r="83">
          <cell r="B83">
            <v>128011808</v>
          </cell>
          <cell r="C83" t="str">
            <v>S1-cpi</v>
          </cell>
        </row>
        <row r="84">
          <cell r="B84">
            <v>128012458</v>
          </cell>
          <cell r="C84" t="str">
            <v>V1cpi</v>
          </cell>
        </row>
        <row r="85">
          <cell r="B85">
            <v>294021932</v>
          </cell>
          <cell r="C85" t="str">
            <v>SP</v>
          </cell>
        </row>
        <row r="86">
          <cell r="B86">
            <v>128011646</v>
          </cell>
          <cell r="C86" t="str">
            <v>rCGsp</v>
          </cell>
        </row>
        <row r="87">
          <cell r="B87">
            <v>128011820</v>
          </cell>
          <cell r="C87" t="str">
            <v>S1sp</v>
          </cell>
        </row>
        <row r="88">
          <cell r="B88">
            <v>128012466</v>
          </cell>
          <cell r="C88" t="str">
            <v>V1sp</v>
          </cell>
        </row>
        <row r="89">
          <cell r="B89">
            <v>294021942</v>
          </cell>
          <cell r="C89" t="str">
            <v>IZ</v>
          </cell>
        </row>
        <row r="90">
          <cell r="B90">
            <v>128011650</v>
          </cell>
          <cell r="C90" t="str">
            <v>rCGiz</v>
          </cell>
        </row>
        <row r="91">
          <cell r="B91">
            <v>128011824</v>
          </cell>
          <cell r="C91" t="str">
            <v>S1iz</v>
          </cell>
        </row>
        <row r="92">
          <cell r="B92">
            <v>128012474</v>
          </cell>
          <cell r="C92" t="str">
            <v>V1iz</v>
          </cell>
        </row>
        <row r="93">
          <cell r="B93">
            <v>128012470</v>
          </cell>
          <cell r="C93" t="str">
            <v>V1icd</v>
          </cell>
        </row>
        <row r="94">
          <cell r="B94">
            <v>294021954</v>
          </cell>
          <cell r="C94" t="str">
            <v>TMZ</v>
          </cell>
        </row>
        <row r="95">
          <cell r="B95">
            <v>159658840</v>
          </cell>
          <cell r="C95" t="str">
            <v>V1tmz</v>
          </cell>
        </row>
        <row r="96">
          <cell r="B96">
            <v>294021960</v>
          </cell>
          <cell r="C96" t="str">
            <v>OFZ</v>
          </cell>
        </row>
        <row r="97">
          <cell r="B97">
            <v>159658800</v>
          </cell>
          <cell r="C97" t="str">
            <v>rCGofz</v>
          </cell>
        </row>
        <row r="98">
          <cell r="B98">
            <v>159658808</v>
          </cell>
          <cell r="C98" t="str">
            <v>S1ofz</v>
          </cell>
        </row>
        <row r="99">
          <cell r="B99">
            <v>159658836</v>
          </cell>
          <cell r="C99" t="str">
            <v>V1ofz</v>
          </cell>
        </row>
        <row r="100">
          <cell r="B100">
            <v>294021970</v>
          </cell>
          <cell r="C100" t="str">
            <v>SZ</v>
          </cell>
        </row>
        <row r="101">
          <cell r="B101">
            <v>128011654</v>
          </cell>
          <cell r="C101" t="str">
            <v>rCGsz</v>
          </cell>
        </row>
        <row r="102">
          <cell r="B102">
            <v>128011828</v>
          </cell>
          <cell r="C102" t="str">
            <v>S1sz</v>
          </cell>
        </row>
        <row r="103">
          <cell r="B103">
            <v>128012478</v>
          </cell>
          <cell r="C103" t="str">
            <v>V1sz</v>
          </cell>
        </row>
        <row r="104">
          <cell r="B104">
            <v>294021980</v>
          </cell>
          <cell r="C104" t="str">
            <v>SZo</v>
          </cell>
        </row>
        <row r="105">
          <cell r="B105">
            <v>128011658</v>
          </cell>
          <cell r="C105" t="str">
            <v>rCGszo</v>
          </cell>
        </row>
        <row r="106">
          <cell r="B106">
            <v>128011832</v>
          </cell>
          <cell r="C106" t="str">
            <v>S1szo</v>
          </cell>
        </row>
        <row r="107">
          <cell r="B107">
            <v>128012482</v>
          </cell>
          <cell r="C107" t="str">
            <v>V1szo</v>
          </cell>
        </row>
        <row r="108">
          <cell r="B108">
            <v>294021990</v>
          </cell>
          <cell r="C108" t="str">
            <v>IFZ</v>
          </cell>
        </row>
        <row r="109">
          <cell r="B109">
            <v>159658804</v>
          </cell>
          <cell r="C109" t="str">
            <v>rCGifz</v>
          </cell>
        </row>
        <row r="110">
          <cell r="B110">
            <v>159658816</v>
          </cell>
          <cell r="C110" t="str">
            <v>S1ifz</v>
          </cell>
        </row>
        <row r="111">
          <cell r="B111">
            <v>159658844</v>
          </cell>
          <cell r="C111" t="str">
            <v>V1ifz</v>
          </cell>
        </row>
        <row r="112">
          <cell r="B112">
            <v>294022000</v>
          </cell>
          <cell r="C112" t="str">
            <v>SZi</v>
          </cell>
        </row>
        <row r="113">
          <cell r="B113">
            <v>128011662</v>
          </cell>
          <cell r="C113" t="str">
            <v>rCGszi</v>
          </cell>
        </row>
        <row r="114">
          <cell r="B114">
            <v>128011836</v>
          </cell>
          <cell r="C114" t="str">
            <v>S1szi</v>
          </cell>
        </row>
        <row r="115">
          <cell r="B115">
            <v>128012486</v>
          </cell>
          <cell r="C115" t="str">
            <v>V1szi</v>
          </cell>
        </row>
        <row r="116">
          <cell r="B116">
            <v>294022010</v>
          </cell>
          <cell r="C116" t="str">
            <v>VZo</v>
          </cell>
        </row>
        <row r="117">
          <cell r="B117">
            <v>128011670</v>
          </cell>
          <cell r="C117" t="str">
            <v>rCGvzo</v>
          </cell>
        </row>
        <row r="118">
          <cell r="B118">
            <v>128011844</v>
          </cell>
          <cell r="C118" t="str">
            <v>S1vzo</v>
          </cell>
        </row>
        <row r="119">
          <cell r="B119">
            <v>128012494</v>
          </cell>
          <cell r="C119" t="str">
            <v>V1vzo</v>
          </cell>
        </row>
        <row r="120">
          <cell r="B120">
            <v>294022020</v>
          </cell>
          <cell r="C120" t="str">
            <v>VZi</v>
          </cell>
        </row>
        <row r="121">
          <cell r="B121">
            <v>128011674</v>
          </cell>
          <cell r="C121" t="str">
            <v>rCGvzi</v>
          </cell>
        </row>
        <row r="122">
          <cell r="B122">
            <v>128011848</v>
          </cell>
          <cell r="C122" t="str">
            <v>S1vzi</v>
          </cell>
        </row>
        <row r="123">
          <cell r="B123">
            <v>128012498</v>
          </cell>
          <cell r="C123" t="str">
            <v>V1vzi</v>
          </cell>
        </row>
        <row r="124">
          <cell r="B124">
            <v>294022030</v>
          </cell>
          <cell r="C124" t="str">
            <v>VZ</v>
          </cell>
        </row>
        <row r="125">
          <cell r="B125">
            <v>128011666</v>
          </cell>
          <cell r="C125" t="str">
            <v>rCGvz</v>
          </cell>
        </row>
        <row r="126">
          <cell r="B126">
            <v>128011840</v>
          </cell>
          <cell r="C126" t="str">
            <v>S1vz</v>
          </cell>
        </row>
        <row r="127">
          <cell r="B127">
            <v>128012490</v>
          </cell>
          <cell r="C127" t="str">
            <v>V1vz</v>
          </cell>
        </row>
        <row r="128">
          <cell r="B128">
            <v>128012584</v>
          </cell>
          <cell r="C128" t="str">
            <v>RMS</v>
          </cell>
        </row>
        <row r="129">
          <cell r="B129">
            <v>128012588</v>
          </cell>
          <cell r="C129" t="str">
            <v>RMSvz</v>
          </cell>
        </row>
        <row r="130">
          <cell r="B130">
            <v>294022044</v>
          </cell>
          <cell r="C130" t="str">
            <v>WM</v>
          </cell>
        </row>
        <row r="131">
          <cell r="B131">
            <v>10007</v>
          </cell>
          <cell r="C131" t="str">
            <v>rCGwm</v>
          </cell>
        </row>
        <row r="132">
          <cell r="B132">
            <v>10016</v>
          </cell>
          <cell r="C132" t="str">
            <v>mOFwm</v>
          </cell>
        </row>
        <row r="133">
          <cell r="B133">
            <v>10025</v>
          </cell>
          <cell r="C133" t="str">
            <v>cOFwm</v>
          </cell>
        </row>
        <row r="134">
          <cell r="B134">
            <v>10051</v>
          </cell>
          <cell r="C134" t="str">
            <v>V2wm</v>
          </cell>
        </row>
        <row r="135">
          <cell r="B135">
            <v>10038</v>
          </cell>
          <cell r="C135" t="str">
            <v>V1wm</v>
          </cell>
        </row>
        <row r="136">
          <cell r="B136">
            <v>4003</v>
          </cell>
          <cell r="C136" t="str">
            <v>HF</v>
          </cell>
        </row>
        <row r="137">
          <cell r="B137">
            <v>10075</v>
          </cell>
          <cell r="C137" t="str">
            <v>DG</v>
          </cell>
        </row>
        <row r="138">
          <cell r="B138">
            <v>128012220</v>
          </cell>
          <cell r="C138" t="str">
            <v>DGmz</v>
          </cell>
        </row>
        <row r="139">
          <cell r="B139">
            <v>10076</v>
          </cell>
          <cell r="C139" t="str">
            <v>DGmo</v>
          </cell>
        </row>
        <row r="140">
          <cell r="B140">
            <v>128012226</v>
          </cell>
          <cell r="C140" t="str">
            <v>DGgra</v>
          </cell>
        </row>
        <row r="141">
          <cell r="B141">
            <v>10077</v>
          </cell>
          <cell r="C141" t="str">
            <v>DGgr</v>
          </cell>
        </row>
        <row r="142">
          <cell r="B142">
            <v>128012232</v>
          </cell>
          <cell r="C142" t="str">
            <v>DGsga</v>
          </cell>
        </row>
        <row r="143">
          <cell r="B143">
            <v>10078</v>
          </cell>
          <cell r="C143" t="str">
            <v>DGsg</v>
          </cell>
        </row>
        <row r="144">
          <cell r="B144">
            <v>128012238</v>
          </cell>
          <cell r="C144" t="str">
            <v>DGpfa</v>
          </cell>
        </row>
        <row r="145">
          <cell r="B145">
            <v>10079</v>
          </cell>
          <cell r="C145" t="str">
            <v>DGpf</v>
          </cell>
        </row>
        <row r="146">
          <cell r="B146">
            <v>159658820</v>
          </cell>
          <cell r="C146" t="str">
            <v>DMS</v>
          </cell>
        </row>
        <row r="147">
          <cell r="B147">
            <v>128012244</v>
          </cell>
          <cell r="C147" t="str">
            <v>Hip</v>
          </cell>
        </row>
        <row r="148">
          <cell r="B148">
            <v>10058</v>
          </cell>
          <cell r="C148" t="str">
            <v>CA1</v>
          </cell>
        </row>
        <row r="149">
          <cell r="B149">
            <v>128012250</v>
          </cell>
          <cell r="C149" t="str">
            <v>CA1mz</v>
          </cell>
        </row>
        <row r="150">
          <cell r="B150">
            <v>10062</v>
          </cell>
          <cell r="C150" t="str">
            <v>CA1lm</v>
          </cell>
        </row>
        <row r="151">
          <cell r="B151">
            <v>10061</v>
          </cell>
          <cell r="C151" t="str">
            <v>CA1ra</v>
          </cell>
        </row>
        <row r="152">
          <cell r="B152">
            <v>128012258</v>
          </cell>
          <cell r="C152" t="str">
            <v>CA1cp</v>
          </cell>
        </row>
        <row r="153">
          <cell r="B153">
            <v>10060</v>
          </cell>
          <cell r="C153" t="str">
            <v>CA1py</v>
          </cell>
        </row>
        <row r="154">
          <cell r="B154">
            <v>128012264</v>
          </cell>
          <cell r="C154" t="str">
            <v>CA1sp</v>
          </cell>
        </row>
        <row r="155">
          <cell r="B155">
            <v>10059</v>
          </cell>
          <cell r="C155" t="str">
            <v>CA1or</v>
          </cell>
        </row>
        <row r="156">
          <cell r="B156">
            <v>128012270</v>
          </cell>
          <cell r="C156" t="str">
            <v>CA1iz</v>
          </cell>
        </row>
        <row r="157">
          <cell r="B157">
            <v>128012274</v>
          </cell>
          <cell r="C157" t="str">
            <v>CA1szi</v>
          </cell>
        </row>
        <row r="158">
          <cell r="B158">
            <v>128012278</v>
          </cell>
          <cell r="C158" t="str">
            <v>CA1vz</v>
          </cell>
        </row>
        <row r="159">
          <cell r="B159">
            <v>10063</v>
          </cell>
          <cell r="C159" t="str">
            <v>CA2</v>
          </cell>
        </row>
        <row r="160">
          <cell r="B160">
            <v>128012284</v>
          </cell>
          <cell r="C160" t="str">
            <v>CA2mz</v>
          </cell>
        </row>
        <row r="161">
          <cell r="B161">
            <v>10067</v>
          </cell>
          <cell r="C161" t="str">
            <v>CA2lm</v>
          </cell>
        </row>
        <row r="162">
          <cell r="B162">
            <v>10066</v>
          </cell>
          <cell r="C162" t="str">
            <v>CA2ra</v>
          </cell>
        </row>
        <row r="163">
          <cell r="B163">
            <v>128012292</v>
          </cell>
          <cell r="C163" t="str">
            <v>CA2cp</v>
          </cell>
        </row>
        <row r="164">
          <cell r="B164">
            <v>10065</v>
          </cell>
          <cell r="C164" t="str">
            <v>CA2py</v>
          </cell>
        </row>
        <row r="165">
          <cell r="B165">
            <v>128012298</v>
          </cell>
          <cell r="C165" t="str">
            <v>CA2sp</v>
          </cell>
        </row>
        <row r="166">
          <cell r="B166">
            <v>10064</v>
          </cell>
          <cell r="C166" t="str">
            <v>CA2or</v>
          </cell>
        </row>
        <row r="167">
          <cell r="B167">
            <v>10068</v>
          </cell>
          <cell r="C167" t="str">
            <v>CA3</v>
          </cell>
        </row>
        <row r="168">
          <cell r="B168">
            <v>128012318</v>
          </cell>
          <cell r="C168" t="str">
            <v>CA3mz</v>
          </cell>
        </row>
        <row r="169">
          <cell r="B169">
            <v>10073</v>
          </cell>
          <cell r="C169" t="str">
            <v>CA3lm</v>
          </cell>
        </row>
        <row r="170">
          <cell r="B170">
            <v>10072</v>
          </cell>
          <cell r="C170" t="str">
            <v>CA3ra</v>
          </cell>
        </row>
        <row r="171">
          <cell r="B171">
            <v>128012326</v>
          </cell>
          <cell r="C171" t="str">
            <v>CA3cp</v>
          </cell>
        </row>
        <row r="172">
          <cell r="B172">
            <v>10070</v>
          </cell>
          <cell r="C172" t="str">
            <v>CA3py</v>
          </cell>
        </row>
        <row r="173">
          <cell r="B173">
            <v>128012332</v>
          </cell>
          <cell r="C173" t="str">
            <v>CA3sp</v>
          </cell>
        </row>
        <row r="174">
          <cell r="B174">
            <v>10069</v>
          </cell>
          <cell r="C174" t="str">
            <v>CA3or</v>
          </cell>
        </row>
        <row r="175">
          <cell r="B175">
            <v>10071</v>
          </cell>
          <cell r="C175" t="str">
            <v>CA3sl</v>
          </cell>
        </row>
        <row r="176">
          <cell r="B176">
            <v>10074</v>
          </cell>
          <cell r="C176" t="str">
            <v>CA4</v>
          </cell>
        </row>
        <row r="177">
          <cell r="B177">
            <v>128012354</v>
          </cell>
          <cell r="C177" t="str">
            <v>SCx</v>
          </cell>
        </row>
        <row r="178">
          <cell r="B178">
            <v>10054</v>
          </cell>
          <cell r="C178" t="str">
            <v>S</v>
          </cell>
        </row>
        <row r="179">
          <cell r="B179">
            <v>128012368</v>
          </cell>
          <cell r="C179" t="str">
            <v>Scp</v>
          </cell>
        </row>
        <row r="180">
          <cell r="B180">
            <v>128012372</v>
          </cell>
          <cell r="C180" t="str">
            <v>Spy</v>
          </cell>
        </row>
        <row r="181">
          <cell r="B181">
            <v>10053</v>
          </cell>
          <cell r="C181" t="str">
            <v>ProS</v>
          </cell>
        </row>
        <row r="182">
          <cell r="B182">
            <v>10055</v>
          </cell>
          <cell r="C182" t="str">
            <v>PrS</v>
          </cell>
        </row>
        <row r="183">
          <cell r="B183">
            <v>128012400</v>
          </cell>
          <cell r="C183" t="str">
            <v>PrSr</v>
          </cell>
        </row>
        <row r="184">
          <cell r="B184">
            <v>128012404</v>
          </cell>
          <cell r="C184" t="str">
            <v>PrSc</v>
          </cell>
        </row>
        <row r="185">
          <cell r="B185">
            <v>159658824</v>
          </cell>
          <cell r="C185" t="str">
            <v>Hem</v>
          </cell>
        </row>
        <row r="186">
          <cell r="B186">
            <v>294022158</v>
          </cell>
          <cell r="C186" t="str">
            <v>ECx</v>
          </cell>
        </row>
        <row r="187">
          <cell r="B187">
            <v>128011876</v>
          </cell>
          <cell r="C187" t="str">
            <v>LEC</v>
          </cell>
        </row>
        <row r="188">
          <cell r="B188">
            <v>128011900</v>
          </cell>
          <cell r="C188" t="str">
            <v>LEC2</v>
          </cell>
        </row>
        <row r="189">
          <cell r="B189">
            <v>128011936</v>
          </cell>
          <cell r="C189" t="str">
            <v>MEC</v>
          </cell>
        </row>
        <row r="190">
          <cell r="B190">
            <v>128011960</v>
          </cell>
          <cell r="C190" t="str">
            <v>MEC2</v>
          </cell>
        </row>
        <row r="191">
          <cell r="B191">
            <v>128012080</v>
          </cell>
          <cell r="C191" t="str">
            <v>PC</v>
          </cell>
        </row>
        <row r="192">
          <cell r="B192">
            <v>128012144</v>
          </cell>
          <cell r="C192" t="str">
            <v>LPC</v>
          </cell>
        </row>
        <row r="193">
          <cell r="B193">
            <v>128012084</v>
          </cell>
          <cell r="C193" t="str">
            <v>MPC</v>
          </cell>
        </row>
        <row r="194">
          <cell r="B194">
            <v>128012120</v>
          </cell>
          <cell r="C194" t="str">
            <v>MPC5</v>
          </cell>
        </row>
        <row r="195">
          <cell r="B195">
            <v>128012596</v>
          </cell>
          <cell r="C195" t="str">
            <v>CxN</v>
          </cell>
        </row>
        <row r="196">
          <cell r="B196">
            <v>4002</v>
          </cell>
          <cell r="C196" t="str">
            <v>Amy</v>
          </cell>
        </row>
        <row r="197">
          <cell r="B197">
            <v>10103</v>
          </cell>
          <cell r="C197" t="str">
            <v>AA</v>
          </cell>
        </row>
        <row r="198">
          <cell r="B198">
            <v>10121</v>
          </cell>
          <cell r="C198" t="str">
            <v>CE</v>
          </cell>
        </row>
        <row r="199">
          <cell r="B199">
            <v>10124</v>
          </cell>
          <cell r="C199" t="str">
            <v>CEm</v>
          </cell>
        </row>
        <row r="200">
          <cell r="B200">
            <v>10123</v>
          </cell>
          <cell r="C200" t="str">
            <v>CEl</v>
          </cell>
        </row>
        <row r="201">
          <cell r="B201">
            <v>128012616</v>
          </cell>
          <cell r="C201" t="str">
            <v>CM</v>
          </cell>
        </row>
        <row r="202">
          <cell r="B202">
            <v>128012620</v>
          </cell>
          <cell r="C202" t="str">
            <v>PAC</v>
          </cell>
        </row>
        <row r="203">
          <cell r="B203">
            <v>10134</v>
          </cell>
          <cell r="C203" t="str">
            <v>rPAC</v>
          </cell>
        </row>
        <row r="204">
          <cell r="B204">
            <v>128012634</v>
          </cell>
          <cell r="C204" t="str">
            <v>cPAC</v>
          </cell>
        </row>
        <row r="205">
          <cell r="B205">
            <v>128012638</v>
          </cell>
          <cell r="C205" t="str">
            <v>cPACd</v>
          </cell>
        </row>
        <row r="206">
          <cell r="B206">
            <v>10125</v>
          </cell>
          <cell r="C206" t="str">
            <v>Me</v>
          </cell>
        </row>
        <row r="207">
          <cell r="B207">
            <v>10135</v>
          </cell>
          <cell r="C207" t="str">
            <v>AHA</v>
          </cell>
        </row>
        <row r="208">
          <cell r="B208">
            <v>10136</v>
          </cell>
          <cell r="C208" t="str">
            <v>AHAmc</v>
          </cell>
        </row>
        <row r="209">
          <cell r="B209">
            <v>10137</v>
          </cell>
          <cell r="C209" t="str">
            <v>AHApc</v>
          </cell>
        </row>
        <row r="210">
          <cell r="B210">
            <v>128012678</v>
          </cell>
          <cell r="C210" t="str">
            <v>BLN</v>
          </cell>
        </row>
        <row r="211">
          <cell r="B211">
            <v>10116</v>
          </cell>
          <cell r="C211" t="str">
            <v>L</v>
          </cell>
        </row>
        <row r="212">
          <cell r="B212">
            <v>10117</v>
          </cell>
          <cell r="C212" t="str">
            <v>Ldl</v>
          </cell>
        </row>
        <row r="213">
          <cell r="B213">
            <v>10118</v>
          </cell>
          <cell r="C213" t="str">
            <v>Ldm</v>
          </cell>
        </row>
        <row r="214">
          <cell r="B214">
            <v>10119</v>
          </cell>
          <cell r="C214" t="str">
            <v>Lvl</v>
          </cell>
        </row>
        <row r="215">
          <cell r="B215">
            <v>10120</v>
          </cell>
          <cell r="C215" t="str">
            <v>Lvm</v>
          </cell>
        </row>
        <row r="216">
          <cell r="B216">
            <v>10106</v>
          </cell>
          <cell r="C216" t="str">
            <v>B</v>
          </cell>
        </row>
        <row r="217">
          <cell r="B217">
            <v>10108</v>
          </cell>
          <cell r="C217" t="str">
            <v>Bd</v>
          </cell>
        </row>
        <row r="218">
          <cell r="B218">
            <v>10107</v>
          </cell>
          <cell r="C218" t="str">
            <v>Bi</v>
          </cell>
        </row>
        <row r="219">
          <cell r="B219">
            <v>10109</v>
          </cell>
          <cell r="C219" t="str">
            <v>Bv</v>
          </cell>
        </row>
        <row r="220">
          <cell r="B220">
            <v>10110</v>
          </cell>
          <cell r="C220" t="str">
            <v>AB</v>
          </cell>
        </row>
        <row r="221">
          <cell r="B221">
            <v>10111</v>
          </cell>
          <cell r="C221" t="str">
            <v>ABd</v>
          </cell>
        </row>
        <row r="222">
          <cell r="B222">
            <v>10112</v>
          </cell>
          <cell r="C222" t="str">
            <v>ABv</v>
          </cell>
        </row>
        <row r="223">
          <cell r="B223">
            <v>10128</v>
          </cell>
          <cell r="C223" t="str">
            <v>PL</v>
          </cell>
        </row>
        <row r="224">
          <cell r="B224">
            <v>10132</v>
          </cell>
          <cell r="C224" t="str">
            <v>INA</v>
          </cell>
        </row>
        <row r="225">
          <cell r="B225">
            <v>10140</v>
          </cell>
          <cell r="C225" t="str">
            <v>APir</v>
          </cell>
        </row>
        <row r="226">
          <cell r="B226">
            <v>10139</v>
          </cell>
          <cell r="C226" t="str">
            <v>IMG</v>
          </cell>
        </row>
        <row r="227">
          <cell r="B227">
            <v>128012976</v>
          </cell>
          <cell r="C227" t="str">
            <v>BF</v>
          </cell>
        </row>
        <row r="228">
          <cell r="B228">
            <v>10141</v>
          </cell>
          <cell r="C228" t="str">
            <v>BNM</v>
          </cell>
        </row>
        <row r="229">
          <cell r="B229">
            <v>4001</v>
          </cell>
          <cell r="C229" t="str">
            <v>BN</v>
          </cell>
        </row>
        <row r="230">
          <cell r="B230">
            <v>128012818</v>
          </cell>
          <cell r="C230" t="str">
            <v>GE</v>
          </cell>
        </row>
        <row r="231">
          <cell r="B231">
            <v>159658852</v>
          </cell>
          <cell r="C231" t="str">
            <v>LGEcx</v>
          </cell>
        </row>
        <row r="232">
          <cell r="B232">
            <v>128012822</v>
          </cell>
          <cell r="C232" t="str">
            <v>LGE</v>
          </cell>
        </row>
        <row r="233">
          <cell r="B233">
            <v>128012834</v>
          </cell>
          <cell r="C233" t="str">
            <v>MGE</v>
          </cell>
        </row>
        <row r="234">
          <cell r="B234">
            <v>128012846</v>
          </cell>
          <cell r="C234" t="str">
            <v>CGE</v>
          </cell>
        </row>
        <row r="235">
          <cell r="B235">
            <v>10080</v>
          </cell>
          <cell r="C235" t="str">
            <v>STR</v>
          </cell>
        </row>
        <row r="236">
          <cell r="B236">
            <v>10081</v>
          </cell>
          <cell r="C236" t="str">
            <v>dSTR</v>
          </cell>
        </row>
        <row r="237">
          <cell r="B237">
            <v>10082</v>
          </cell>
          <cell r="C237" t="str">
            <v>Ca</v>
          </cell>
        </row>
        <row r="238">
          <cell r="B238">
            <v>10086</v>
          </cell>
          <cell r="C238" t="str">
            <v>Pu</v>
          </cell>
        </row>
        <row r="239">
          <cell r="B239">
            <v>10091</v>
          </cell>
          <cell r="C239" t="str">
            <v>vSTR</v>
          </cell>
        </row>
        <row r="240">
          <cell r="B240">
            <v>10092</v>
          </cell>
          <cell r="C240" t="str">
            <v>NAC</v>
          </cell>
        </row>
        <row r="241">
          <cell r="B241">
            <v>10093</v>
          </cell>
          <cell r="C241" t="str">
            <v>NACc</v>
          </cell>
        </row>
        <row r="242">
          <cell r="B242">
            <v>10094</v>
          </cell>
          <cell r="C242" t="str">
            <v>NACs</v>
          </cell>
        </row>
        <row r="243">
          <cell r="B243">
            <v>128012920</v>
          </cell>
          <cell r="C243" t="str">
            <v>NACsm</v>
          </cell>
        </row>
        <row r="244">
          <cell r="B244">
            <v>10095</v>
          </cell>
          <cell r="C244" t="str">
            <v>IsCj</v>
          </cell>
        </row>
        <row r="245">
          <cell r="B245">
            <v>128012926</v>
          </cell>
          <cell r="C245" t="str">
            <v>IsCjm</v>
          </cell>
        </row>
        <row r="246">
          <cell r="B246">
            <v>10096</v>
          </cell>
          <cell r="C246" t="str">
            <v>Tu</v>
          </cell>
        </row>
        <row r="247">
          <cell r="B247">
            <v>10097</v>
          </cell>
          <cell r="C247" t="str">
            <v>GP</v>
          </cell>
        </row>
        <row r="248">
          <cell r="B248">
            <v>10099</v>
          </cell>
          <cell r="C248" t="str">
            <v>GPe</v>
          </cell>
        </row>
        <row r="249">
          <cell r="B249">
            <v>10098</v>
          </cell>
          <cell r="C249" t="str">
            <v>GPi</v>
          </cell>
        </row>
        <row r="250">
          <cell r="B250">
            <v>10102</v>
          </cell>
          <cell r="C250" t="str">
            <v>ic</v>
          </cell>
        </row>
        <row r="251">
          <cell r="B251">
            <v>128012960</v>
          </cell>
          <cell r="C251" t="str">
            <v>Cla</v>
          </cell>
        </row>
        <row r="252">
          <cell r="B252">
            <v>128013010</v>
          </cell>
          <cell r="C252" t="str">
            <v>Die</v>
          </cell>
        </row>
        <row r="253">
          <cell r="B253">
            <v>128013014</v>
          </cell>
          <cell r="C253" t="str">
            <v>Thal</v>
          </cell>
        </row>
        <row r="254">
          <cell r="B254">
            <v>128013018</v>
          </cell>
          <cell r="C254" t="str">
            <v>DTh</v>
          </cell>
        </row>
        <row r="255">
          <cell r="B255">
            <v>128013070</v>
          </cell>
          <cell r="C255" t="str">
            <v>LGN</v>
          </cell>
        </row>
        <row r="256">
          <cell r="B256">
            <v>128013074</v>
          </cell>
          <cell r="C256" t="str">
            <v>DLG</v>
          </cell>
        </row>
        <row r="257">
          <cell r="B257">
            <v>128013078</v>
          </cell>
          <cell r="C257" t="str">
            <v>DLGmc</v>
          </cell>
        </row>
        <row r="258">
          <cell r="B258">
            <v>128013091</v>
          </cell>
          <cell r="C258" t="str">
            <v>DLGpc</v>
          </cell>
        </row>
        <row r="259">
          <cell r="B259">
            <v>128013113</v>
          </cell>
          <cell r="C259" t="str">
            <v>DLGkc</v>
          </cell>
        </row>
        <row r="260">
          <cell r="B260">
            <v>128013147</v>
          </cell>
          <cell r="C260" t="str">
            <v>ETh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4FC1F-9523-4F73-B81D-7C6A24610E2C}">
  <dimension ref="A1:N8583"/>
  <sheetViews>
    <sheetView tabSelected="1" zoomScaleNormal="100" workbookViewId="0">
      <selection activeCell="E133" sqref="E133"/>
    </sheetView>
  </sheetViews>
  <sheetFormatPr defaultRowHeight="15" x14ac:dyDescent="0.25"/>
  <cols>
    <col min="1" max="1" width="10.28515625" customWidth="1"/>
    <col min="2" max="2" width="19" style="2" customWidth="1"/>
    <col min="3" max="3" width="35" style="2" customWidth="1"/>
    <col min="4" max="4" width="55.5703125" style="23" customWidth="1"/>
    <col min="5" max="5" width="22.85546875" style="23" customWidth="1"/>
    <col min="6" max="6" width="6.42578125" customWidth="1"/>
    <col min="7" max="7" width="49.140625" hidden="1" customWidth="1"/>
    <col min="9" max="9" width="51.28515625" customWidth="1"/>
    <col min="10" max="10" width="55.28515625" hidden="1" customWidth="1"/>
    <col min="11" max="11" width="19.7109375" style="2" customWidth="1"/>
    <col min="12" max="12" width="19.7109375" style="1" customWidth="1"/>
    <col min="13" max="13" width="10.5703125" hidden="1" customWidth="1"/>
  </cols>
  <sheetData>
    <row r="1" spans="2:13" ht="15.75" thickBot="1" x14ac:dyDescent="0.3"/>
    <row r="2" spans="2:13" ht="15.75" thickBot="1" x14ac:dyDescent="0.3">
      <c r="B2" s="27" t="s">
        <v>25742</v>
      </c>
      <c r="C2" s="28" t="s">
        <v>26297</v>
      </c>
      <c r="D2" s="24" t="s">
        <v>0</v>
      </c>
      <c r="E2" s="33" t="s">
        <v>26301</v>
      </c>
      <c r="F2" s="18" t="s">
        <v>0</v>
      </c>
      <c r="G2" s="8" t="s">
        <v>1</v>
      </c>
      <c r="H2" s="17" t="s">
        <v>15181</v>
      </c>
      <c r="I2" s="8" t="s">
        <v>2</v>
      </c>
      <c r="J2" s="8" t="s">
        <v>3</v>
      </c>
      <c r="K2" s="8" t="s">
        <v>15177</v>
      </c>
      <c r="L2" s="39" t="s">
        <v>15178</v>
      </c>
    </row>
    <row r="3" spans="2:13" x14ac:dyDescent="0.25">
      <c r="B3" s="29" t="s">
        <v>25743</v>
      </c>
      <c r="C3" s="21"/>
      <c r="D3" s="30" t="s">
        <v>16073</v>
      </c>
      <c r="E3" s="30"/>
      <c r="F3" s="10" t="str">
        <f>HYPERLINK("https://www.ebi.ac.uk/ols/ontologies/uberon/terms?iri=http://purl.obolibrary.org/obo/UBERON_0036007","A13 dopaminergic cell group")</f>
        <v>A13 dopaminergic cell group</v>
      </c>
      <c r="G3" s="10" t="s">
        <v>4</v>
      </c>
      <c r="H3" s="10" t="s">
        <v>16072</v>
      </c>
      <c r="I3" s="10" t="s">
        <v>5</v>
      </c>
      <c r="J3" s="10" t="s">
        <v>6</v>
      </c>
      <c r="K3" s="11" t="s">
        <v>15176</v>
      </c>
      <c r="L3" s="12">
        <v>796</v>
      </c>
      <c r="M3" t="str">
        <f>VLOOKUP(L3,[1]Mouse_ARA!$B$2:$C$1328,2,FALSE)</f>
        <v>A13</v>
      </c>
    </row>
    <row r="4" spans="2:13" x14ac:dyDescent="0.25">
      <c r="B4" s="31" t="s">
        <v>25743</v>
      </c>
      <c r="C4" s="20"/>
      <c r="D4" s="25" t="s">
        <v>19545</v>
      </c>
      <c r="E4" s="25"/>
      <c r="F4" s="9" t="str">
        <f>HYPERLINK("https://www.ebi.ac.uk/ols/ontologies/uberon/terms?iri=http://purl.obolibrary.org/obo/UBERON_0001954","Ammon's horn")</f>
        <v>Ammon's horn</v>
      </c>
      <c r="G4" s="9" t="s">
        <v>7</v>
      </c>
      <c r="H4" s="9" t="s">
        <v>23024</v>
      </c>
      <c r="I4" s="9" t="s">
        <v>8</v>
      </c>
      <c r="J4" s="9" t="s">
        <v>9</v>
      </c>
      <c r="K4" s="4" t="s">
        <v>15175</v>
      </c>
      <c r="L4" s="13">
        <v>10296</v>
      </c>
      <c r="M4" t="str">
        <f>VLOOKUP(L4,[1]Human_BrainSpan!$B$2:$C$4000,2,FALSE)</f>
        <v>Hipp</v>
      </c>
    </row>
    <row r="5" spans="2:13" x14ac:dyDescent="0.25">
      <c r="B5" s="31" t="s">
        <v>25743</v>
      </c>
      <c r="C5" s="20"/>
      <c r="D5" s="25" t="s">
        <v>19545</v>
      </c>
      <c r="E5" s="25"/>
      <c r="F5" s="9" t="str">
        <f>HYPERLINK("https://www.ebi.ac.uk/ols/ontologies/uberon/terms?iri=http://purl.obolibrary.org/obo/UBERON_0001954","Ammon's horn")</f>
        <v>Ammon's horn</v>
      </c>
      <c r="G5" s="9" t="s">
        <v>7</v>
      </c>
      <c r="H5" s="9" t="s">
        <v>15924</v>
      </c>
      <c r="I5" s="9" t="s">
        <v>10</v>
      </c>
      <c r="J5" s="9" t="s">
        <v>11</v>
      </c>
      <c r="K5" s="5" t="s">
        <v>15173</v>
      </c>
      <c r="L5" s="13">
        <v>16124</v>
      </c>
      <c r="M5" t="str">
        <f>VLOOKUP(L5,[1]DevMouse!$B$2:$C$2693,2,FALSE)</f>
        <v>CA</v>
      </c>
    </row>
    <row r="6" spans="2:13" x14ac:dyDescent="0.25">
      <c r="B6" s="31" t="s">
        <v>25743</v>
      </c>
      <c r="C6" s="20"/>
      <c r="D6" s="25" t="s">
        <v>19545</v>
      </c>
      <c r="E6" s="25"/>
      <c r="F6" s="9" t="str">
        <f>HYPERLINK("https://www.ebi.ac.uk/ols/ontologies/uberon/terms?iri=http://purl.obolibrary.org/obo/UBERON_0001954","Ammon's horn")</f>
        <v>Ammon's horn</v>
      </c>
      <c r="G6" s="9" t="s">
        <v>7</v>
      </c>
      <c r="H6" s="9" t="s">
        <v>15924</v>
      </c>
      <c r="I6" s="9" t="s">
        <v>12</v>
      </c>
      <c r="J6" s="9" t="s">
        <v>13</v>
      </c>
      <c r="K6" s="3" t="s">
        <v>15176</v>
      </c>
      <c r="L6" s="13">
        <v>375</v>
      </c>
      <c r="M6" t="str">
        <f>VLOOKUP(L6,[1]Mouse_ARA!$B$2:$C$1328,2,FALSE)</f>
        <v>CA</v>
      </c>
    </row>
    <row r="7" spans="2:13" x14ac:dyDescent="0.25">
      <c r="B7" s="31" t="s">
        <v>25743</v>
      </c>
      <c r="C7" s="20"/>
      <c r="D7" s="25" t="s">
        <v>19545</v>
      </c>
      <c r="E7" s="25"/>
      <c r="F7" s="9" t="str">
        <f>HYPERLINK("https://www.ebi.ac.uk/ols/ontologies/uberon/terms?iri=http://purl.obolibrary.org/obo/UBERON_0001954","Ammon's horn")</f>
        <v>Ammon's horn</v>
      </c>
      <c r="G7" s="9" t="s">
        <v>7</v>
      </c>
      <c r="H7" s="9" t="s">
        <v>25684</v>
      </c>
      <c r="I7" s="9" t="s">
        <v>8</v>
      </c>
      <c r="J7" s="9" t="s">
        <v>14</v>
      </c>
      <c r="K7" s="6" t="s">
        <v>15174</v>
      </c>
      <c r="L7" s="13">
        <v>128012244</v>
      </c>
      <c r="M7" t="str">
        <f>VLOOKUP(L7,[1]NonHumanPrimate!$B$2:$C$4000,2,FALSE)</f>
        <v>Hip</v>
      </c>
    </row>
    <row r="8" spans="2:13" x14ac:dyDescent="0.25">
      <c r="B8" s="31" t="s">
        <v>25743</v>
      </c>
      <c r="C8" s="20"/>
      <c r="D8" s="25" t="s">
        <v>16</v>
      </c>
      <c r="E8" s="25"/>
      <c r="F8" s="9" t="str">
        <f>HYPERLINK("https://www.ebi.ac.uk/ols/ontologies/uberon/terms?iri=http://purl.obolibrary.org/obo/UBERON_0007632","Barrington's nucleus")</f>
        <v>Barrington's nucleus</v>
      </c>
      <c r="G8" s="9" t="s">
        <v>15</v>
      </c>
      <c r="H8" s="9" t="s">
        <v>17426</v>
      </c>
      <c r="I8" s="9" t="s">
        <v>16</v>
      </c>
      <c r="J8" s="9" t="s">
        <v>17</v>
      </c>
      <c r="K8" s="4" t="s">
        <v>15175</v>
      </c>
      <c r="L8" s="13">
        <v>12506</v>
      </c>
      <c r="M8" t="str">
        <f>VLOOKUP(L8,[1]Human_BrainSpan!$B$2:$C$4000,2,FALSE)</f>
        <v>Bar</v>
      </c>
    </row>
    <row r="9" spans="2:13" x14ac:dyDescent="0.25">
      <c r="B9" s="31" t="s">
        <v>25743</v>
      </c>
      <c r="C9" s="20"/>
      <c r="D9" s="25" t="s">
        <v>16</v>
      </c>
      <c r="E9" s="25"/>
      <c r="F9" s="9" t="str">
        <f>HYPERLINK("https://www.ebi.ac.uk/ols/ontologies/uberon/terms?iri=http://purl.obolibrary.org/obo/UBERON_0007632","Barrington's nucleus")</f>
        <v>Barrington's nucleus</v>
      </c>
      <c r="G9" s="9" t="s">
        <v>15</v>
      </c>
      <c r="H9" s="9" t="s">
        <v>17426</v>
      </c>
      <c r="I9" s="9" t="s">
        <v>18</v>
      </c>
      <c r="J9" s="9" t="s">
        <v>19</v>
      </c>
      <c r="K9" s="5" t="s">
        <v>15173</v>
      </c>
      <c r="L9" s="13">
        <v>16973</v>
      </c>
      <c r="M9" t="str">
        <f>VLOOKUP(L9,[1]DevMouse!$B$2:$C$2693,2,FALSE)</f>
        <v>Bar</v>
      </c>
    </row>
    <row r="10" spans="2:13" x14ac:dyDescent="0.25">
      <c r="B10" s="31" t="s">
        <v>25743</v>
      </c>
      <c r="C10" s="20"/>
      <c r="D10" s="25" t="s">
        <v>16</v>
      </c>
      <c r="E10" s="25"/>
      <c r="F10" s="9" t="str">
        <f>HYPERLINK("https://www.ebi.ac.uk/ols/ontologies/uberon/terms?iri=http://purl.obolibrary.org/obo/UBERON_0007632","Barrington's nucleus")</f>
        <v>Barrington's nucleus</v>
      </c>
      <c r="G10" s="9" t="s">
        <v>15</v>
      </c>
      <c r="H10" s="9" t="s">
        <v>20340</v>
      </c>
      <c r="I10" s="9" t="s">
        <v>20</v>
      </c>
      <c r="J10" s="9" t="s">
        <v>21</v>
      </c>
      <c r="K10" s="3" t="s">
        <v>15176</v>
      </c>
      <c r="L10" s="13">
        <v>280</v>
      </c>
      <c r="M10" t="str">
        <f>VLOOKUP(L10,[1]Mouse_ARA!$B$2:$C$1328,2,FALSE)</f>
        <v>B</v>
      </c>
    </row>
    <row r="11" spans="2:13" x14ac:dyDescent="0.25">
      <c r="B11" s="31" t="s">
        <v>26302</v>
      </c>
      <c r="C11" s="20"/>
      <c r="D11" s="26" t="s">
        <v>25744</v>
      </c>
      <c r="E11" s="20" t="s">
        <v>26300</v>
      </c>
      <c r="F11" s="9" t="str">
        <f>HYPERLINK("https://www.ebi.ac.uk/ols/ontologies/uberon/terms?iri=http://purl.obolibrary.org/obo/UBERON_0013541","Brodmann (1909) area 10")</f>
        <v>Brodmann (1909) area 10</v>
      </c>
      <c r="G11" s="9" t="s">
        <v>22</v>
      </c>
      <c r="H11" s="9" t="s">
        <v>23767</v>
      </c>
      <c r="I11" s="9" t="s">
        <v>23</v>
      </c>
      <c r="J11" s="9" t="s">
        <v>24</v>
      </c>
      <c r="K11" s="4" t="s">
        <v>15175</v>
      </c>
      <c r="L11" s="13">
        <v>146034836</v>
      </c>
      <c r="M11" t="str">
        <f>VLOOKUP(L11,[1]Human_BrainSpan!$B$2:$C$4000,2,FALSE)</f>
        <v>ros</v>
      </c>
    </row>
    <row r="12" spans="2:13" x14ac:dyDescent="0.25">
      <c r="B12" s="31" t="s">
        <v>25743</v>
      </c>
      <c r="C12" s="20"/>
      <c r="D12" s="25" t="s">
        <v>25745</v>
      </c>
      <c r="E12" s="25"/>
      <c r="F12" s="9" t="str">
        <f>HYPERLINK("https://www.ebi.ac.uk/ols/ontologies/uberon/terms?iri=http://purl.obolibrary.org/obo/UBERON_0006473","Brodmann (1909) area 18")</f>
        <v>Brodmann (1909) area 18</v>
      </c>
      <c r="G12" s="9" t="s">
        <v>25</v>
      </c>
      <c r="H12" s="9" t="s">
        <v>22691</v>
      </c>
      <c r="I12" s="9" t="s">
        <v>26</v>
      </c>
      <c r="J12" s="9" t="s">
        <v>27</v>
      </c>
      <c r="K12" s="4" t="s">
        <v>15175</v>
      </c>
      <c r="L12" s="13">
        <v>10271</v>
      </c>
      <c r="M12" t="str">
        <f>VLOOKUP(L12,[1]Human_BrainSpan!$B$2:$C$4000,2,FALSE)</f>
        <v>V2</v>
      </c>
    </row>
    <row r="13" spans="2:13" x14ac:dyDescent="0.25">
      <c r="B13" s="31" t="s">
        <v>25743</v>
      </c>
      <c r="C13" s="20"/>
      <c r="D13" s="25" t="s">
        <v>25745</v>
      </c>
      <c r="E13" s="25"/>
      <c r="F13" s="9" t="str">
        <f>HYPERLINK("https://www.ebi.ac.uk/ols/ontologies/uberon/terms?iri=http://purl.obolibrary.org/obo/UBERON_0006473","Brodmann (1909) area 18")</f>
        <v>Brodmann (1909) area 18</v>
      </c>
      <c r="G13" s="9" t="s">
        <v>25</v>
      </c>
      <c r="H13" s="9" t="s">
        <v>22691</v>
      </c>
      <c r="I13" s="9" t="s">
        <v>28</v>
      </c>
      <c r="J13" s="9" t="s">
        <v>29</v>
      </c>
      <c r="K13" s="6" t="s">
        <v>15174</v>
      </c>
      <c r="L13" s="13">
        <v>10039</v>
      </c>
      <c r="M13" t="str">
        <f>VLOOKUP(L13,[1]NonHumanPrimate!$B$2:$C$4000,2,FALSE)</f>
        <v>V2</v>
      </c>
    </row>
    <row r="14" spans="2:13" x14ac:dyDescent="0.25">
      <c r="B14" s="31" t="s">
        <v>26302</v>
      </c>
      <c r="C14" s="20"/>
      <c r="D14" s="25" t="s">
        <v>25746</v>
      </c>
      <c r="E14" s="25" t="s">
        <v>26298</v>
      </c>
      <c r="F14" s="9" t="str">
        <f>HYPERLINK("https://www.ebi.ac.uk/ols/ontologies/uberon/terms?iri=http://purl.obolibrary.org/obo/UBERON_0006101","Brodmann (1909) area 24")</f>
        <v>Brodmann (1909) area 24</v>
      </c>
      <c r="G14" s="9" t="s">
        <v>30</v>
      </c>
      <c r="H14" s="9" t="s">
        <v>19075</v>
      </c>
      <c r="I14" s="9" t="s">
        <v>31</v>
      </c>
      <c r="J14" s="9" t="s">
        <v>32</v>
      </c>
      <c r="K14" s="3" t="s">
        <v>15176</v>
      </c>
      <c r="L14" s="13">
        <v>31</v>
      </c>
      <c r="M14" t="str">
        <f>VLOOKUP(L14,[1]Mouse_ARA!$B$2:$C$1328,2,FALSE)</f>
        <v>ACA</v>
      </c>
    </row>
    <row r="15" spans="2:13" x14ac:dyDescent="0.25">
      <c r="B15" s="31" t="s">
        <v>26302</v>
      </c>
      <c r="C15" s="20"/>
      <c r="D15" s="25" t="s">
        <v>25747</v>
      </c>
      <c r="E15" s="25" t="s">
        <v>26298</v>
      </c>
      <c r="F15" s="9" t="str">
        <f>HYPERLINK("https://www.ebi.ac.uk/ols/ontologies/uberon/terms?iri=http://purl.obolibrary.org/obo/UBERON_0013560","Brodmann (1909) area 32")</f>
        <v>Brodmann (1909) area 32</v>
      </c>
      <c r="G15" s="9" t="s">
        <v>33</v>
      </c>
      <c r="H15" s="9" t="s">
        <v>19111</v>
      </c>
      <c r="I15" s="9" t="s">
        <v>34</v>
      </c>
      <c r="J15" s="9" t="s">
        <v>35</v>
      </c>
      <c r="K15" s="3" t="s">
        <v>15176</v>
      </c>
      <c r="L15" s="13">
        <v>972</v>
      </c>
      <c r="M15" t="str">
        <f>VLOOKUP(L15,[1]Mouse_ARA!$B$2:$C$1328,2,FALSE)</f>
        <v>PL</v>
      </c>
    </row>
    <row r="16" spans="2:13" x14ac:dyDescent="0.25">
      <c r="B16" s="31" t="s">
        <v>26302</v>
      </c>
      <c r="C16" s="20"/>
      <c r="D16" s="25" t="s">
        <v>25748</v>
      </c>
      <c r="E16" s="25" t="s">
        <v>26298</v>
      </c>
      <c r="F16" s="9" t="str">
        <f>HYPERLINK("https://www.ebi.ac.uk/ols/ontologies/uberon/terms?iri=http://purl.obolibrary.org/obo/UBERON_0006104","Brodmann (1909) area 36")</f>
        <v>Brodmann (1909) area 36</v>
      </c>
      <c r="G16" s="9" t="s">
        <v>36</v>
      </c>
      <c r="H16" s="9" t="s">
        <v>15881</v>
      </c>
      <c r="I16" s="9" t="s">
        <v>37</v>
      </c>
      <c r="J16" s="9" t="s">
        <v>38</v>
      </c>
      <c r="K16" s="5" t="s">
        <v>15173</v>
      </c>
      <c r="L16" s="13">
        <v>16086</v>
      </c>
      <c r="M16" t="str">
        <f>VLOOKUP(L16,[1]DevMouse!$B$2:$C$2693,2,FALSE)</f>
        <v>PERCx</v>
      </c>
    </row>
    <row r="17" spans="2:13" x14ac:dyDescent="0.25">
      <c r="B17" s="31" t="s">
        <v>25743</v>
      </c>
      <c r="C17" s="20"/>
      <c r="D17" s="25" t="s">
        <v>25749</v>
      </c>
      <c r="E17" s="25"/>
      <c r="F17" s="9" t="str">
        <f>HYPERLINK("https://www.ebi.ac.uk/ols/ontologies/uberon/terms?iri=http://purl.obolibrary.org/obo/UBERON_0003881","CA1 field of hippocampus")</f>
        <v>CA1 field of hippocampus</v>
      </c>
      <c r="G17" s="9" t="s">
        <v>39</v>
      </c>
      <c r="H17" s="9" t="s">
        <v>15930</v>
      </c>
      <c r="I17" s="9" t="s">
        <v>40</v>
      </c>
      <c r="J17" s="9" t="s">
        <v>41</v>
      </c>
      <c r="K17" s="4" t="s">
        <v>15175</v>
      </c>
      <c r="L17" s="13">
        <v>10297</v>
      </c>
      <c r="M17" t="str">
        <f>VLOOKUP(L17,[1]Human_BrainSpan!$B$2:$C$4000,2,FALSE)</f>
        <v>CA1</v>
      </c>
    </row>
    <row r="18" spans="2:13" x14ac:dyDescent="0.25">
      <c r="B18" s="31" t="s">
        <v>25743</v>
      </c>
      <c r="C18" s="20"/>
      <c r="D18" s="25" t="s">
        <v>25749</v>
      </c>
      <c r="E18" s="25"/>
      <c r="F18" s="9" t="str">
        <f>HYPERLINK("https://www.ebi.ac.uk/ols/ontologies/uberon/terms?iri=http://purl.obolibrary.org/obo/UBERON_0003881","CA1 field of hippocampus")</f>
        <v>CA1 field of hippocampus</v>
      </c>
      <c r="G18" s="9" t="s">
        <v>39</v>
      </c>
      <c r="H18" s="9" t="s">
        <v>15930</v>
      </c>
      <c r="I18" s="9" t="s">
        <v>42</v>
      </c>
      <c r="J18" s="9" t="s">
        <v>43</v>
      </c>
      <c r="K18" s="5" t="s">
        <v>15173</v>
      </c>
      <c r="L18" s="13">
        <v>16131</v>
      </c>
      <c r="M18" t="str">
        <f>VLOOKUP(L18,[1]DevMouse!$B$2:$C$2693,2,FALSE)</f>
        <v>CA1</v>
      </c>
    </row>
    <row r="19" spans="2:13" x14ac:dyDescent="0.25">
      <c r="B19" s="31" t="s">
        <v>25743</v>
      </c>
      <c r="C19" s="20"/>
      <c r="D19" s="25" t="s">
        <v>25749</v>
      </c>
      <c r="E19" s="25"/>
      <c r="F19" s="9" t="str">
        <f>HYPERLINK("https://www.ebi.ac.uk/ols/ontologies/uberon/terms?iri=http://purl.obolibrary.org/obo/UBERON_0003881","CA1 field of hippocampus")</f>
        <v>CA1 field of hippocampus</v>
      </c>
      <c r="G19" s="9" t="s">
        <v>39</v>
      </c>
      <c r="H19" s="9" t="s">
        <v>15930</v>
      </c>
      <c r="I19" s="9" t="s">
        <v>44</v>
      </c>
      <c r="J19" s="9" t="s">
        <v>45</v>
      </c>
      <c r="K19" s="7" t="s">
        <v>15171</v>
      </c>
      <c r="L19" s="13">
        <v>12892</v>
      </c>
      <c r="M19" t="str">
        <f>VLOOKUP(L19,[1]HBA!$B$2:$C$4000,2,FALSE)</f>
        <v>CA1</v>
      </c>
    </row>
    <row r="20" spans="2:13" x14ac:dyDescent="0.25">
      <c r="B20" s="31" t="s">
        <v>25743</v>
      </c>
      <c r="C20" s="20"/>
      <c r="D20" s="25" t="s">
        <v>25749</v>
      </c>
      <c r="E20" s="25"/>
      <c r="F20" s="9" t="str">
        <f>HYPERLINK("https://www.ebi.ac.uk/ols/ontologies/uberon/terms?iri=http://purl.obolibrary.org/obo/UBERON_0003881","CA1 field of hippocampus")</f>
        <v>CA1 field of hippocampus</v>
      </c>
      <c r="G20" s="9" t="s">
        <v>39</v>
      </c>
      <c r="H20" s="9" t="s">
        <v>15930</v>
      </c>
      <c r="I20" s="9" t="s">
        <v>46</v>
      </c>
      <c r="J20" s="9" t="s">
        <v>47</v>
      </c>
      <c r="K20" s="3" t="s">
        <v>15176</v>
      </c>
      <c r="L20" s="13">
        <v>382</v>
      </c>
      <c r="M20" t="str">
        <f>VLOOKUP(L20,[1]Mouse_ARA!$B$2:$C$1328,2,FALSE)</f>
        <v>CA1</v>
      </c>
    </row>
    <row r="21" spans="2:13" x14ac:dyDescent="0.25">
      <c r="B21" s="31" t="s">
        <v>25743</v>
      </c>
      <c r="C21" s="20"/>
      <c r="D21" s="25" t="s">
        <v>25749</v>
      </c>
      <c r="E21" s="25"/>
      <c r="F21" s="9" t="str">
        <f>HYPERLINK("https://www.ebi.ac.uk/ols/ontologies/uberon/terms?iri=http://purl.obolibrary.org/obo/UBERON_0003881","CA1 field of hippocampus")</f>
        <v>CA1 field of hippocampus</v>
      </c>
      <c r="G21" s="9" t="s">
        <v>39</v>
      </c>
      <c r="H21" s="9" t="s">
        <v>15930</v>
      </c>
      <c r="I21" s="9" t="s">
        <v>48</v>
      </c>
      <c r="J21" s="9" t="s">
        <v>49</v>
      </c>
      <c r="K21" s="6" t="s">
        <v>15174</v>
      </c>
      <c r="L21" s="13">
        <v>10058</v>
      </c>
      <c r="M21" t="str">
        <f>VLOOKUP(L21,[1]NonHumanPrimate!$B$2:$C$4000,2,FALSE)</f>
        <v>CA1</v>
      </c>
    </row>
    <row r="22" spans="2:13" x14ac:dyDescent="0.25">
      <c r="B22" s="31" t="s">
        <v>25743</v>
      </c>
      <c r="C22" s="20"/>
      <c r="D22" s="25" t="s">
        <v>25750</v>
      </c>
      <c r="E22" s="25"/>
      <c r="F22" s="9" t="str">
        <f>HYPERLINK("https://www.ebi.ac.uk/ols/ontologies/uberon/terms?iri=http://purl.obolibrary.org/obo/UBERON_0014557","CA1 stratum lacunosum moleculare")</f>
        <v>CA1 stratum lacunosum moleculare</v>
      </c>
      <c r="G22" s="9" t="s">
        <v>50</v>
      </c>
      <c r="H22" s="9" t="s">
        <v>15934</v>
      </c>
      <c r="I22" s="9" t="s">
        <v>51</v>
      </c>
      <c r="J22" s="9" t="s">
        <v>52</v>
      </c>
      <c r="K22" s="5" t="s">
        <v>15173</v>
      </c>
      <c r="L22" s="13">
        <v>16135</v>
      </c>
      <c r="M22" t="str">
        <f>VLOOKUP(L22,[1]DevMouse!$B$2:$C$2693,2,FALSE)</f>
        <v>CA1slm</v>
      </c>
    </row>
    <row r="23" spans="2:13" x14ac:dyDescent="0.25">
      <c r="B23" s="31" t="s">
        <v>25743</v>
      </c>
      <c r="C23" s="20"/>
      <c r="D23" s="25" t="s">
        <v>25750</v>
      </c>
      <c r="E23" s="25"/>
      <c r="F23" s="9" t="str">
        <f>HYPERLINK("https://www.ebi.ac.uk/ols/ontologies/uberon/terms?iri=http://purl.obolibrary.org/obo/UBERON_0014557","CA1 stratum lacunosum moleculare")</f>
        <v>CA1 stratum lacunosum moleculare</v>
      </c>
      <c r="G23" s="9" t="s">
        <v>50</v>
      </c>
      <c r="H23" s="9" t="s">
        <v>15934</v>
      </c>
      <c r="I23" s="9" t="s">
        <v>53</v>
      </c>
      <c r="J23" s="9" t="s">
        <v>54</v>
      </c>
      <c r="K23" s="3" t="s">
        <v>15176</v>
      </c>
      <c r="L23" s="13">
        <v>391</v>
      </c>
      <c r="M23" t="str">
        <f>VLOOKUP(L23,[1]Mouse_ARA!$B$2:$C$1328,2,FALSE)</f>
        <v>CA1slm</v>
      </c>
    </row>
    <row r="24" spans="2:13" x14ac:dyDescent="0.25">
      <c r="B24" s="31" t="s">
        <v>25743</v>
      </c>
      <c r="C24" s="20"/>
      <c r="D24" s="25" t="s">
        <v>25750</v>
      </c>
      <c r="E24" s="25"/>
      <c r="F24" s="9" t="str">
        <f>HYPERLINK("https://www.ebi.ac.uk/ols/ontologies/uberon/terms?iri=http://purl.obolibrary.org/obo/UBERON_0014557","CA1 stratum lacunosum moleculare")</f>
        <v>CA1 stratum lacunosum moleculare</v>
      </c>
      <c r="G24" s="9" t="s">
        <v>50</v>
      </c>
      <c r="H24" s="9" t="s">
        <v>25686</v>
      </c>
      <c r="I24" s="9" t="s">
        <v>55</v>
      </c>
      <c r="J24" s="9" t="s">
        <v>56</v>
      </c>
      <c r="K24" s="6" t="s">
        <v>15174</v>
      </c>
      <c r="L24" s="13">
        <v>10062</v>
      </c>
      <c r="M24" t="str">
        <f>VLOOKUP(L24,[1]NonHumanPrimate!$B$2:$C$4000,2,FALSE)</f>
        <v>CA1lm</v>
      </c>
    </row>
    <row r="25" spans="2:13" x14ac:dyDescent="0.25">
      <c r="B25" s="31" t="s">
        <v>25743</v>
      </c>
      <c r="C25" s="20"/>
      <c r="D25" s="25" t="s">
        <v>25751</v>
      </c>
      <c r="E25" s="25"/>
      <c r="F25" s="9" t="str">
        <f>HYPERLINK("https://www.ebi.ac.uk/ols/ontologies/uberon/terms?iri=http://purl.obolibrary.org/obo/UBERON_0014552","CA1 stratum oriens")</f>
        <v>CA1 stratum oriens</v>
      </c>
      <c r="G25" s="9" t="s">
        <v>57</v>
      </c>
      <c r="H25" s="9" t="s">
        <v>15931</v>
      </c>
      <c r="I25" s="9" t="s">
        <v>58</v>
      </c>
      <c r="J25" s="9" t="s">
        <v>59</v>
      </c>
      <c r="K25" s="5" t="s">
        <v>15173</v>
      </c>
      <c r="L25" s="13">
        <v>16132</v>
      </c>
      <c r="M25" t="str">
        <f>VLOOKUP(L25,[1]DevMouse!$B$2:$C$2693,2,FALSE)</f>
        <v>CA1so</v>
      </c>
    </row>
    <row r="26" spans="2:13" x14ac:dyDescent="0.25">
      <c r="B26" s="31" t="s">
        <v>25743</v>
      </c>
      <c r="C26" s="20"/>
      <c r="D26" s="25" t="s">
        <v>25751</v>
      </c>
      <c r="E26" s="25"/>
      <c r="F26" s="9" t="str">
        <f>HYPERLINK("https://www.ebi.ac.uk/ols/ontologies/uberon/terms?iri=http://purl.obolibrary.org/obo/UBERON_0014552","CA1 stratum oriens")</f>
        <v>CA1 stratum oriens</v>
      </c>
      <c r="G26" s="9" t="s">
        <v>57</v>
      </c>
      <c r="H26" s="9" t="s">
        <v>15931</v>
      </c>
      <c r="I26" s="9" t="s">
        <v>60</v>
      </c>
      <c r="J26" s="9" t="s">
        <v>61</v>
      </c>
      <c r="K26" s="3" t="s">
        <v>15176</v>
      </c>
      <c r="L26" s="13">
        <v>399</v>
      </c>
      <c r="M26" t="str">
        <f>VLOOKUP(L26,[1]Mouse_ARA!$B$2:$C$1328,2,FALSE)</f>
        <v>CA1so</v>
      </c>
    </row>
    <row r="27" spans="2:13" x14ac:dyDescent="0.25">
      <c r="B27" s="31" t="s">
        <v>25743</v>
      </c>
      <c r="C27" s="20"/>
      <c r="D27" s="25" t="s">
        <v>25751</v>
      </c>
      <c r="E27" s="25"/>
      <c r="F27" s="9" t="str">
        <f>HYPERLINK("https://www.ebi.ac.uk/ols/ontologies/uberon/terms?iri=http://purl.obolibrary.org/obo/UBERON_0014552","CA1 stratum oriens")</f>
        <v>CA1 stratum oriens</v>
      </c>
      <c r="G27" s="9" t="s">
        <v>57</v>
      </c>
      <c r="H27" s="9" t="s">
        <v>25690</v>
      </c>
      <c r="I27" s="9" t="s">
        <v>62</v>
      </c>
      <c r="J27" s="9" t="s">
        <v>63</v>
      </c>
      <c r="K27" s="6" t="s">
        <v>15174</v>
      </c>
      <c r="L27" s="13">
        <v>10059</v>
      </c>
      <c r="M27" t="str">
        <f>VLOOKUP(L27,[1]NonHumanPrimate!$B$2:$C$4000,2,FALSE)</f>
        <v>CA1or</v>
      </c>
    </row>
    <row r="28" spans="2:13" x14ac:dyDescent="0.25">
      <c r="B28" s="31" t="s">
        <v>25743</v>
      </c>
      <c r="C28" s="20"/>
      <c r="D28" s="25" t="s">
        <v>25752</v>
      </c>
      <c r="E28" s="25"/>
      <c r="F28" s="9" t="str">
        <f>HYPERLINK("https://www.ebi.ac.uk/ols/ontologies/uberon/terms?iri=http://purl.obolibrary.org/obo/UBERON_0014554","CA1 stratum radiatum")</f>
        <v>CA1 stratum radiatum</v>
      </c>
      <c r="G28" s="9" t="s">
        <v>64</v>
      </c>
      <c r="H28" s="9" t="s">
        <v>15933</v>
      </c>
      <c r="I28" s="9" t="s">
        <v>65</v>
      </c>
      <c r="J28" s="9" t="s">
        <v>66</v>
      </c>
      <c r="K28" s="5" t="s">
        <v>15173</v>
      </c>
      <c r="L28" s="13">
        <v>16134</v>
      </c>
      <c r="M28" t="str">
        <f>VLOOKUP(L28,[1]DevMouse!$B$2:$C$2693,2,FALSE)</f>
        <v>CA1sr</v>
      </c>
    </row>
    <row r="29" spans="2:13" x14ac:dyDescent="0.25">
      <c r="B29" s="31" t="s">
        <v>25743</v>
      </c>
      <c r="C29" s="20"/>
      <c r="D29" s="25" t="s">
        <v>25752</v>
      </c>
      <c r="E29" s="25"/>
      <c r="F29" s="9" t="str">
        <f>HYPERLINK("https://www.ebi.ac.uk/ols/ontologies/uberon/terms?iri=http://purl.obolibrary.org/obo/UBERON_0014554","CA1 stratum radiatum")</f>
        <v>CA1 stratum radiatum</v>
      </c>
      <c r="G29" s="9" t="s">
        <v>64</v>
      </c>
      <c r="H29" s="9" t="s">
        <v>15933</v>
      </c>
      <c r="I29" s="9" t="s">
        <v>67</v>
      </c>
      <c r="J29" s="9" t="s">
        <v>68</v>
      </c>
      <c r="K29" s="3" t="s">
        <v>15176</v>
      </c>
      <c r="L29" s="13">
        <v>415</v>
      </c>
      <c r="M29" t="str">
        <f>VLOOKUP(L29,[1]Mouse_ARA!$B$2:$C$1328,2,FALSE)</f>
        <v>CA1sr</v>
      </c>
    </row>
    <row r="30" spans="2:13" x14ac:dyDescent="0.25">
      <c r="B30" s="31" t="s">
        <v>25743</v>
      </c>
      <c r="C30" s="20"/>
      <c r="D30" s="25" t="s">
        <v>25752</v>
      </c>
      <c r="E30" s="25"/>
      <c r="F30" s="9" t="str">
        <f>HYPERLINK("https://www.ebi.ac.uk/ols/ontologies/uberon/terms?iri=http://purl.obolibrary.org/obo/UBERON_0014554","CA1 stratum radiatum")</f>
        <v>CA1 stratum radiatum</v>
      </c>
      <c r="G30" s="9" t="s">
        <v>64</v>
      </c>
      <c r="H30" s="9" t="s">
        <v>25687</v>
      </c>
      <c r="I30" s="9" t="s">
        <v>69</v>
      </c>
      <c r="J30" s="9" t="s">
        <v>70</v>
      </c>
      <c r="K30" s="6" t="s">
        <v>15174</v>
      </c>
      <c r="L30" s="13">
        <v>10061</v>
      </c>
      <c r="M30" t="str">
        <f>VLOOKUP(L30,[1]NonHumanPrimate!$B$2:$C$4000,2,FALSE)</f>
        <v>CA1ra</v>
      </c>
    </row>
    <row r="31" spans="2:13" x14ac:dyDescent="0.25">
      <c r="B31" s="31" t="s">
        <v>25743</v>
      </c>
      <c r="C31" s="20"/>
      <c r="D31" s="25" t="s">
        <v>25753</v>
      </c>
      <c r="E31" s="25"/>
      <c r="F31" s="9" t="str">
        <f>HYPERLINK("https://www.ebi.ac.uk/ols/ontologies/uberon/terms?iri=http://purl.obolibrary.org/obo/UBERON_0003882","CA2 field of hippocampus")</f>
        <v>CA2 field of hippocampus</v>
      </c>
      <c r="G31" s="9" t="s">
        <v>71</v>
      </c>
      <c r="H31" s="9" t="s">
        <v>15935</v>
      </c>
      <c r="I31" s="9" t="s">
        <v>72</v>
      </c>
      <c r="J31" s="9" t="s">
        <v>73</v>
      </c>
      <c r="K31" s="4" t="s">
        <v>15175</v>
      </c>
      <c r="L31" s="13">
        <v>10298</v>
      </c>
      <c r="M31" t="str">
        <f>VLOOKUP(L31,[1]Human_BrainSpan!$B$2:$C$4000,2,FALSE)</f>
        <v>CA2</v>
      </c>
    </row>
    <row r="32" spans="2:13" x14ac:dyDescent="0.25">
      <c r="B32" s="31" t="s">
        <v>25743</v>
      </c>
      <c r="C32" s="20"/>
      <c r="D32" s="25" t="s">
        <v>25753</v>
      </c>
      <c r="E32" s="25"/>
      <c r="F32" s="9" t="str">
        <f>HYPERLINK("https://www.ebi.ac.uk/ols/ontologies/uberon/terms?iri=http://purl.obolibrary.org/obo/UBERON_0003882","CA2 field of hippocampus")</f>
        <v>CA2 field of hippocampus</v>
      </c>
      <c r="G32" s="9" t="s">
        <v>71</v>
      </c>
      <c r="H32" s="9" t="s">
        <v>15935</v>
      </c>
      <c r="I32" s="9" t="s">
        <v>74</v>
      </c>
      <c r="J32" s="9" t="s">
        <v>75</v>
      </c>
      <c r="K32" s="5" t="s">
        <v>15173</v>
      </c>
      <c r="L32" s="13">
        <v>16136</v>
      </c>
      <c r="M32" t="str">
        <f>VLOOKUP(L32,[1]DevMouse!$B$2:$C$2693,2,FALSE)</f>
        <v>CA2</v>
      </c>
    </row>
    <row r="33" spans="2:13" x14ac:dyDescent="0.25">
      <c r="B33" s="31" t="s">
        <v>25743</v>
      </c>
      <c r="C33" s="20"/>
      <c r="D33" s="25" t="s">
        <v>25753</v>
      </c>
      <c r="E33" s="25"/>
      <c r="F33" s="9" t="str">
        <f>HYPERLINK("https://www.ebi.ac.uk/ols/ontologies/uberon/terms?iri=http://purl.obolibrary.org/obo/UBERON_0003882","CA2 field of hippocampus")</f>
        <v>CA2 field of hippocampus</v>
      </c>
      <c r="G33" s="9" t="s">
        <v>71</v>
      </c>
      <c r="H33" s="9" t="s">
        <v>15935</v>
      </c>
      <c r="I33" s="9" t="s">
        <v>76</v>
      </c>
      <c r="J33" s="9" t="s">
        <v>77</v>
      </c>
      <c r="K33" s="7" t="s">
        <v>15171</v>
      </c>
      <c r="L33" s="13">
        <v>12893</v>
      </c>
      <c r="M33" t="str">
        <f>VLOOKUP(L33,[1]HBA!$B$2:$C$4000,2,FALSE)</f>
        <v>CA2</v>
      </c>
    </row>
    <row r="34" spans="2:13" x14ac:dyDescent="0.25">
      <c r="B34" s="31" t="s">
        <v>25743</v>
      </c>
      <c r="C34" s="20"/>
      <c r="D34" s="25" t="s">
        <v>25753</v>
      </c>
      <c r="E34" s="25"/>
      <c r="F34" s="9" t="str">
        <f>HYPERLINK("https://www.ebi.ac.uk/ols/ontologies/uberon/terms?iri=http://purl.obolibrary.org/obo/UBERON_0003882","CA2 field of hippocampus")</f>
        <v>CA2 field of hippocampus</v>
      </c>
      <c r="G34" s="9" t="s">
        <v>71</v>
      </c>
      <c r="H34" s="9" t="s">
        <v>15935</v>
      </c>
      <c r="I34" s="9" t="s">
        <v>78</v>
      </c>
      <c r="J34" s="9" t="s">
        <v>79</v>
      </c>
      <c r="K34" s="3" t="s">
        <v>15176</v>
      </c>
      <c r="L34" s="13">
        <v>423</v>
      </c>
      <c r="M34" t="str">
        <f>VLOOKUP(L34,[1]Mouse_ARA!$B$2:$C$1328,2,FALSE)</f>
        <v>CA2</v>
      </c>
    </row>
    <row r="35" spans="2:13" x14ac:dyDescent="0.25">
      <c r="B35" s="31" t="s">
        <v>25743</v>
      </c>
      <c r="C35" s="20"/>
      <c r="D35" s="25" t="s">
        <v>25753</v>
      </c>
      <c r="E35" s="25"/>
      <c r="F35" s="9" t="str">
        <f>HYPERLINK("https://www.ebi.ac.uk/ols/ontologies/uberon/terms?iri=http://purl.obolibrary.org/obo/UBERON_0003882","CA2 field of hippocampus")</f>
        <v>CA2 field of hippocampus</v>
      </c>
      <c r="G35" s="9" t="s">
        <v>71</v>
      </c>
      <c r="H35" s="9" t="s">
        <v>15935</v>
      </c>
      <c r="I35" s="9" t="s">
        <v>80</v>
      </c>
      <c r="J35" s="9" t="s">
        <v>81</v>
      </c>
      <c r="K35" s="6" t="s">
        <v>15174</v>
      </c>
      <c r="L35" s="13">
        <v>10063</v>
      </c>
      <c r="M35" t="str">
        <f>VLOOKUP(L35,[1]NonHumanPrimate!$B$2:$C$4000,2,FALSE)</f>
        <v>CA2</v>
      </c>
    </row>
    <row r="36" spans="2:13" x14ac:dyDescent="0.25">
      <c r="B36" s="31" t="s">
        <v>25743</v>
      </c>
      <c r="C36" s="20"/>
      <c r="D36" s="25" t="s">
        <v>25754</v>
      </c>
      <c r="E36" s="25"/>
      <c r="F36" s="9" t="str">
        <f>HYPERLINK("https://www.ebi.ac.uk/ols/ontologies/uberon/terms?iri=http://purl.obolibrary.org/obo/UBERON_0014558","CA2 stratum lacunosum moleculare")</f>
        <v>CA2 stratum lacunosum moleculare</v>
      </c>
      <c r="G36" s="9" t="s">
        <v>82</v>
      </c>
      <c r="H36" s="9" t="s">
        <v>15936</v>
      </c>
      <c r="I36" s="9" t="s">
        <v>83</v>
      </c>
      <c r="J36" s="9" t="s">
        <v>84</v>
      </c>
      <c r="K36" s="5" t="s">
        <v>15173</v>
      </c>
      <c r="L36" s="13">
        <v>16137</v>
      </c>
      <c r="M36" t="str">
        <f>VLOOKUP(L36,[1]DevMouse!$B$2:$C$2693,2,FALSE)</f>
        <v>CA2slm</v>
      </c>
    </row>
    <row r="37" spans="2:13" x14ac:dyDescent="0.25">
      <c r="B37" s="31" t="s">
        <v>25743</v>
      </c>
      <c r="C37" s="20"/>
      <c r="D37" s="25" t="s">
        <v>25754</v>
      </c>
      <c r="E37" s="25"/>
      <c r="F37" s="9" t="str">
        <f>HYPERLINK("https://www.ebi.ac.uk/ols/ontologies/uberon/terms?iri=http://purl.obolibrary.org/obo/UBERON_0014558","CA2 stratum lacunosum moleculare")</f>
        <v>CA2 stratum lacunosum moleculare</v>
      </c>
      <c r="G37" s="9" t="s">
        <v>82</v>
      </c>
      <c r="H37" s="9" t="s">
        <v>15936</v>
      </c>
      <c r="I37" s="9" t="s">
        <v>85</v>
      </c>
      <c r="J37" s="9" t="s">
        <v>86</v>
      </c>
      <c r="K37" s="3" t="s">
        <v>15176</v>
      </c>
      <c r="L37" s="13">
        <v>431</v>
      </c>
      <c r="M37" t="str">
        <f>VLOOKUP(L37,[1]Mouse_ARA!$B$2:$C$1328,2,FALSE)</f>
        <v>CA2slm</v>
      </c>
    </row>
    <row r="38" spans="2:13" x14ac:dyDescent="0.25">
      <c r="B38" s="31" t="s">
        <v>25743</v>
      </c>
      <c r="C38" s="20"/>
      <c r="D38" s="25" t="s">
        <v>25754</v>
      </c>
      <c r="E38" s="25"/>
      <c r="F38" s="9" t="str">
        <f>HYPERLINK("https://www.ebi.ac.uk/ols/ontologies/uberon/terms?iri=http://purl.obolibrary.org/obo/UBERON_0014558","CA2 stratum lacunosum moleculare")</f>
        <v>CA2 stratum lacunosum moleculare</v>
      </c>
      <c r="G38" s="9" t="s">
        <v>82</v>
      </c>
      <c r="H38" s="9" t="s">
        <v>25695</v>
      </c>
      <c r="I38" s="9" t="s">
        <v>87</v>
      </c>
      <c r="J38" s="9" t="s">
        <v>88</v>
      </c>
      <c r="K38" s="6" t="s">
        <v>15174</v>
      </c>
      <c r="L38" s="13">
        <v>10067</v>
      </c>
      <c r="M38" t="str">
        <f>VLOOKUP(L38,[1]NonHumanPrimate!$B$2:$C$4000,2,FALSE)</f>
        <v>CA2lm</v>
      </c>
    </row>
    <row r="39" spans="2:13" x14ac:dyDescent="0.25">
      <c r="B39" s="31" t="s">
        <v>25743</v>
      </c>
      <c r="C39" s="20"/>
      <c r="D39" s="25" t="s">
        <v>25755</v>
      </c>
      <c r="E39" s="25"/>
      <c r="F39" s="9" t="str">
        <f>HYPERLINK("https://www.ebi.ac.uk/ols/ontologies/uberon/terms?iri=http://purl.obolibrary.org/obo/UBERON_0014551","CA2 stratum oriens")</f>
        <v>CA2 stratum oriens</v>
      </c>
      <c r="G39" s="9" t="s">
        <v>89</v>
      </c>
      <c r="H39" s="9" t="s">
        <v>15937</v>
      </c>
      <c r="I39" s="9" t="s">
        <v>90</v>
      </c>
      <c r="J39" s="9" t="s">
        <v>91</v>
      </c>
      <c r="K39" s="5" t="s">
        <v>15173</v>
      </c>
      <c r="L39" s="13">
        <v>16138</v>
      </c>
      <c r="M39" t="str">
        <f>VLOOKUP(L39,[1]DevMouse!$B$2:$C$2693,2,FALSE)</f>
        <v>CA2so</v>
      </c>
    </row>
    <row r="40" spans="2:13" x14ac:dyDescent="0.25">
      <c r="B40" s="31" t="s">
        <v>25743</v>
      </c>
      <c r="C40" s="20"/>
      <c r="D40" s="25" t="s">
        <v>25755</v>
      </c>
      <c r="E40" s="25"/>
      <c r="F40" s="9" t="str">
        <f>HYPERLINK("https://www.ebi.ac.uk/ols/ontologies/uberon/terms?iri=http://purl.obolibrary.org/obo/UBERON_0014551","CA2 stratum oriens")</f>
        <v>CA2 stratum oriens</v>
      </c>
      <c r="G40" s="9" t="s">
        <v>89</v>
      </c>
      <c r="H40" s="9" t="s">
        <v>15937</v>
      </c>
      <c r="I40" s="9" t="s">
        <v>92</v>
      </c>
      <c r="J40" s="9" t="s">
        <v>93</v>
      </c>
      <c r="K40" s="3" t="s">
        <v>15176</v>
      </c>
      <c r="L40" s="13">
        <v>438</v>
      </c>
      <c r="M40" t="str">
        <f>VLOOKUP(L40,[1]Mouse_ARA!$B$2:$C$1328,2,FALSE)</f>
        <v>CA2so</v>
      </c>
    </row>
    <row r="41" spans="2:13" x14ac:dyDescent="0.25">
      <c r="B41" s="31" t="s">
        <v>25743</v>
      </c>
      <c r="C41" s="20"/>
      <c r="D41" s="25" t="s">
        <v>25755</v>
      </c>
      <c r="E41" s="25"/>
      <c r="F41" s="9" t="str">
        <f>HYPERLINK("https://www.ebi.ac.uk/ols/ontologies/uberon/terms?iri=http://purl.obolibrary.org/obo/UBERON_0014551","CA2 stratum oriens")</f>
        <v>CA2 stratum oriens</v>
      </c>
      <c r="G41" s="9" t="s">
        <v>89</v>
      </c>
      <c r="H41" s="9" t="s">
        <v>25699</v>
      </c>
      <c r="I41" s="9" t="s">
        <v>94</v>
      </c>
      <c r="J41" s="9" t="s">
        <v>95</v>
      </c>
      <c r="K41" s="6" t="s">
        <v>15174</v>
      </c>
      <c r="L41" s="13">
        <v>10064</v>
      </c>
      <c r="M41" t="str">
        <f>VLOOKUP(L41,[1]NonHumanPrimate!$B$2:$C$4000,2,FALSE)</f>
        <v>CA2or</v>
      </c>
    </row>
    <row r="42" spans="2:13" x14ac:dyDescent="0.25">
      <c r="B42" s="31" t="s">
        <v>25743</v>
      </c>
      <c r="C42" s="20"/>
      <c r="D42" s="25" t="s">
        <v>25756</v>
      </c>
      <c r="E42" s="25"/>
      <c r="F42" s="9" t="str">
        <f>HYPERLINK("https://www.ebi.ac.uk/ols/ontologies/uberon/terms?iri=http://purl.obolibrary.org/obo/UBERON_0014555","CA2 stratum radiatum")</f>
        <v>CA2 stratum radiatum</v>
      </c>
      <c r="G42" s="9" t="s">
        <v>96</v>
      </c>
      <c r="H42" s="9" t="s">
        <v>15939</v>
      </c>
      <c r="I42" s="9" t="s">
        <v>97</v>
      </c>
      <c r="J42" s="9" t="s">
        <v>98</v>
      </c>
      <c r="K42" s="5" t="s">
        <v>15173</v>
      </c>
      <c r="L42" s="13">
        <v>16140</v>
      </c>
      <c r="M42" t="str">
        <f>VLOOKUP(L42,[1]DevMouse!$B$2:$C$2693,2,FALSE)</f>
        <v>CA2sr</v>
      </c>
    </row>
    <row r="43" spans="2:13" x14ac:dyDescent="0.25">
      <c r="B43" s="31" t="s">
        <v>25743</v>
      </c>
      <c r="C43" s="20"/>
      <c r="D43" s="25" t="s">
        <v>25756</v>
      </c>
      <c r="E43" s="25"/>
      <c r="F43" s="9" t="str">
        <f>HYPERLINK("https://www.ebi.ac.uk/ols/ontologies/uberon/terms?iri=http://purl.obolibrary.org/obo/UBERON_0014555","CA2 stratum radiatum")</f>
        <v>CA2 stratum radiatum</v>
      </c>
      <c r="G43" s="9" t="s">
        <v>96</v>
      </c>
      <c r="H43" s="9" t="s">
        <v>15939</v>
      </c>
      <c r="I43" s="9" t="s">
        <v>99</v>
      </c>
      <c r="J43" s="9" t="s">
        <v>100</v>
      </c>
      <c r="K43" s="3" t="s">
        <v>15176</v>
      </c>
      <c r="L43" s="13">
        <v>454</v>
      </c>
      <c r="M43" t="str">
        <f>VLOOKUP(L43,[1]Mouse_ARA!$B$2:$C$1328,2,FALSE)</f>
        <v>CA2sr</v>
      </c>
    </row>
    <row r="44" spans="2:13" x14ac:dyDescent="0.25">
      <c r="B44" s="31" t="s">
        <v>25743</v>
      </c>
      <c r="C44" s="20"/>
      <c r="D44" s="25" t="s">
        <v>25756</v>
      </c>
      <c r="E44" s="25"/>
      <c r="F44" s="9" t="str">
        <f>HYPERLINK("https://www.ebi.ac.uk/ols/ontologies/uberon/terms?iri=http://purl.obolibrary.org/obo/UBERON_0014555","CA2 stratum radiatum")</f>
        <v>CA2 stratum radiatum</v>
      </c>
      <c r="G44" s="9" t="s">
        <v>96</v>
      </c>
      <c r="H44" s="9" t="s">
        <v>25696</v>
      </c>
      <c r="I44" s="9" t="s">
        <v>101</v>
      </c>
      <c r="J44" s="9" t="s">
        <v>102</v>
      </c>
      <c r="K44" s="6" t="s">
        <v>15174</v>
      </c>
      <c r="L44" s="13">
        <v>10066</v>
      </c>
      <c r="M44" t="str">
        <f>VLOOKUP(L44,[1]NonHumanPrimate!$B$2:$C$4000,2,FALSE)</f>
        <v>CA2ra</v>
      </c>
    </row>
    <row r="45" spans="2:13" x14ac:dyDescent="0.25">
      <c r="B45" s="31" t="s">
        <v>25743</v>
      </c>
      <c r="C45" s="20"/>
      <c r="D45" s="25" t="s">
        <v>25757</v>
      </c>
      <c r="E45" s="25"/>
      <c r="F45" s="9" t="str">
        <f>HYPERLINK("https://www.ebi.ac.uk/ols/ontologies/uberon/terms?iri=http://purl.obolibrary.org/obo/UBERON_0003883","CA3 field of hippocampus")</f>
        <v>CA3 field of hippocampus</v>
      </c>
      <c r="G45" s="9" t="s">
        <v>103</v>
      </c>
      <c r="H45" s="9" t="s">
        <v>15940</v>
      </c>
      <c r="I45" s="9" t="s">
        <v>104</v>
      </c>
      <c r="J45" s="9" t="s">
        <v>105</v>
      </c>
      <c r="K45" s="4" t="s">
        <v>15175</v>
      </c>
      <c r="L45" s="13">
        <v>10299</v>
      </c>
      <c r="M45" t="str">
        <f>VLOOKUP(L45,[1]Human_BrainSpan!$B$2:$C$4000,2,FALSE)</f>
        <v>CA3</v>
      </c>
    </row>
    <row r="46" spans="2:13" x14ac:dyDescent="0.25">
      <c r="B46" s="31" t="s">
        <v>25743</v>
      </c>
      <c r="C46" s="20"/>
      <c r="D46" s="25" t="s">
        <v>25757</v>
      </c>
      <c r="E46" s="25"/>
      <c r="F46" s="9" t="str">
        <f>HYPERLINK("https://www.ebi.ac.uk/ols/ontologies/uberon/terms?iri=http://purl.obolibrary.org/obo/UBERON_0003883","CA3 field of hippocampus")</f>
        <v>CA3 field of hippocampus</v>
      </c>
      <c r="G46" s="9" t="s">
        <v>103</v>
      </c>
      <c r="H46" s="9" t="s">
        <v>15940</v>
      </c>
      <c r="I46" s="9" t="s">
        <v>106</v>
      </c>
      <c r="J46" s="9" t="s">
        <v>107</v>
      </c>
      <c r="K46" s="5" t="s">
        <v>15173</v>
      </c>
      <c r="L46" s="13">
        <v>16141</v>
      </c>
      <c r="M46" t="str">
        <f>VLOOKUP(L46,[1]DevMouse!$B$2:$C$2693,2,FALSE)</f>
        <v>CA3</v>
      </c>
    </row>
    <row r="47" spans="2:13" x14ac:dyDescent="0.25">
      <c r="B47" s="31" t="s">
        <v>25743</v>
      </c>
      <c r="C47" s="20"/>
      <c r="D47" s="25" t="s">
        <v>25757</v>
      </c>
      <c r="E47" s="25"/>
      <c r="F47" s="9" t="str">
        <f>HYPERLINK("https://www.ebi.ac.uk/ols/ontologies/uberon/terms?iri=http://purl.obolibrary.org/obo/UBERON_0003883","CA3 field of hippocampus")</f>
        <v>CA3 field of hippocampus</v>
      </c>
      <c r="G47" s="9" t="s">
        <v>103</v>
      </c>
      <c r="H47" s="9" t="s">
        <v>15940</v>
      </c>
      <c r="I47" s="9" t="s">
        <v>108</v>
      </c>
      <c r="J47" s="9" t="s">
        <v>109</v>
      </c>
      <c r="K47" s="7" t="s">
        <v>15171</v>
      </c>
      <c r="L47" s="13">
        <v>12894</v>
      </c>
      <c r="M47" t="str">
        <f>VLOOKUP(L47,[1]HBA!$B$2:$C$4000,2,FALSE)</f>
        <v>CA3</v>
      </c>
    </row>
    <row r="48" spans="2:13" x14ac:dyDescent="0.25">
      <c r="B48" s="31" t="s">
        <v>25743</v>
      </c>
      <c r="C48" s="20"/>
      <c r="D48" s="25" t="s">
        <v>25757</v>
      </c>
      <c r="E48" s="25"/>
      <c r="F48" s="9" t="str">
        <f>HYPERLINK("https://www.ebi.ac.uk/ols/ontologies/uberon/terms?iri=http://purl.obolibrary.org/obo/UBERON_0003883","CA3 field of hippocampus")</f>
        <v>CA3 field of hippocampus</v>
      </c>
      <c r="G48" s="9" t="s">
        <v>103</v>
      </c>
      <c r="H48" s="9" t="s">
        <v>15940</v>
      </c>
      <c r="I48" s="9" t="s">
        <v>110</v>
      </c>
      <c r="J48" s="9" t="s">
        <v>111</v>
      </c>
      <c r="K48" s="3" t="s">
        <v>15176</v>
      </c>
      <c r="L48" s="13">
        <v>463</v>
      </c>
      <c r="M48" t="str">
        <f>VLOOKUP(L48,[1]Mouse_ARA!$B$2:$C$1328,2,FALSE)</f>
        <v>CA3</v>
      </c>
    </row>
    <row r="49" spans="2:13" x14ac:dyDescent="0.25">
      <c r="B49" s="31" t="s">
        <v>25743</v>
      </c>
      <c r="C49" s="20"/>
      <c r="D49" s="25" t="s">
        <v>25757</v>
      </c>
      <c r="E49" s="25"/>
      <c r="F49" s="9" t="str">
        <f>HYPERLINK("https://www.ebi.ac.uk/ols/ontologies/uberon/terms?iri=http://purl.obolibrary.org/obo/UBERON_0003883","CA3 field of hippocampus")</f>
        <v>CA3 field of hippocampus</v>
      </c>
      <c r="G49" s="9" t="s">
        <v>103</v>
      </c>
      <c r="H49" s="9" t="s">
        <v>15940</v>
      </c>
      <c r="I49" s="9" t="s">
        <v>112</v>
      </c>
      <c r="J49" s="9" t="s">
        <v>113</v>
      </c>
      <c r="K49" s="6" t="s">
        <v>15174</v>
      </c>
      <c r="L49" s="13">
        <v>10068</v>
      </c>
      <c r="M49" t="str">
        <f>VLOOKUP(L49,[1]NonHumanPrimate!$B$2:$C$4000,2,FALSE)</f>
        <v>CA3</v>
      </c>
    </row>
    <row r="50" spans="2:13" x14ac:dyDescent="0.25">
      <c r="B50" s="31" t="s">
        <v>25743</v>
      </c>
      <c r="C50" s="20"/>
      <c r="D50" s="25" t="s">
        <v>25758</v>
      </c>
      <c r="E50" s="25"/>
      <c r="F50" s="9" t="str">
        <f>HYPERLINK("https://www.ebi.ac.uk/ols/ontologies/uberon/terms?iri=http://purl.obolibrary.org/obo/UBERON_0014559","CA3 stratum lacunosum moleculare")</f>
        <v>CA3 stratum lacunosum moleculare</v>
      </c>
      <c r="G50" s="9" t="s">
        <v>114</v>
      </c>
      <c r="H50" s="9" t="s">
        <v>15945</v>
      </c>
      <c r="I50" s="9" t="s">
        <v>115</v>
      </c>
      <c r="J50" s="9" t="s">
        <v>116</v>
      </c>
      <c r="K50" s="5" t="s">
        <v>15173</v>
      </c>
      <c r="L50" s="13">
        <v>16146</v>
      </c>
      <c r="M50" t="str">
        <f>VLOOKUP(L50,[1]DevMouse!$B$2:$C$2693,2,FALSE)</f>
        <v>CA3slm</v>
      </c>
    </row>
    <row r="51" spans="2:13" x14ac:dyDescent="0.25">
      <c r="B51" s="31" t="s">
        <v>25743</v>
      </c>
      <c r="C51" s="20"/>
      <c r="D51" s="25" t="s">
        <v>25758</v>
      </c>
      <c r="E51" s="25"/>
      <c r="F51" s="9" t="str">
        <f>HYPERLINK("https://www.ebi.ac.uk/ols/ontologies/uberon/terms?iri=http://purl.obolibrary.org/obo/UBERON_0014559","CA3 stratum lacunosum moleculare")</f>
        <v>CA3 stratum lacunosum moleculare</v>
      </c>
      <c r="G51" s="9" t="s">
        <v>114</v>
      </c>
      <c r="H51" s="9" t="s">
        <v>15945</v>
      </c>
      <c r="I51" s="9" t="s">
        <v>117</v>
      </c>
      <c r="J51" s="9" t="s">
        <v>118</v>
      </c>
      <c r="K51" s="3" t="s">
        <v>15176</v>
      </c>
      <c r="L51" s="13">
        <v>471</v>
      </c>
      <c r="M51" t="str">
        <f>VLOOKUP(L51,[1]Mouse_ARA!$B$2:$C$1328,2,FALSE)</f>
        <v>CA3slm</v>
      </c>
    </row>
    <row r="52" spans="2:13" x14ac:dyDescent="0.25">
      <c r="B52" s="31" t="s">
        <v>25743</v>
      </c>
      <c r="C52" s="20"/>
      <c r="D52" s="25" t="s">
        <v>25758</v>
      </c>
      <c r="E52" s="25"/>
      <c r="F52" s="9" t="str">
        <f>HYPERLINK("https://www.ebi.ac.uk/ols/ontologies/uberon/terms?iri=http://purl.obolibrary.org/obo/UBERON_0014559","CA3 stratum lacunosum moleculare")</f>
        <v>CA3 stratum lacunosum moleculare</v>
      </c>
      <c r="G52" s="9" t="s">
        <v>114</v>
      </c>
      <c r="H52" s="9" t="s">
        <v>25701</v>
      </c>
      <c r="I52" s="9" t="s">
        <v>119</v>
      </c>
      <c r="J52" s="9" t="s">
        <v>120</v>
      </c>
      <c r="K52" s="6" t="s">
        <v>15174</v>
      </c>
      <c r="L52" s="13">
        <v>10073</v>
      </c>
      <c r="M52" t="str">
        <f>VLOOKUP(L52,[1]NonHumanPrimate!$B$2:$C$4000,2,FALSE)</f>
        <v>CA3lm</v>
      </c>
    </row>
    <row r="53" spans="2:13" x14ac:dyDescent="0.25">
      <c r="B53" s="31" t="s">
        <v>25743</v>
      </c>
      <c r="C53" s="20"/>
      <c r="D53" s="25" t="s">
        <v>25759</v>
      </c>
      <c r="E53" s="25"/>
      <c r="F53" s="9" t="str">
        <f>HYPERLINK("https://www.ebi.ac.uk/ols/ontologies/uberon/terms?iri=http://purl.obolibrary.org/obo/UBERON_0014560","CA3 stratum lucidum")</f>
        <v>CA3 stratum lucidum</v>
      </c>
      <c r="G53" s="9" t="s">
        <v>121</v>
      </c>
      <c r="H53" s="9" t="s">
        <v>15943</v>
      </c>
      <c r="I53" s="9" t="s">
        <v>122</v>
      </c>
      <c r="J53" s="9" t="s">
        <v>123</v>
      </c>
      <c r="K53" s="5" t="s">
        <v>15173</v>
      </c>
      <c r="L53" s="13">
        <v>16144</v>
      </c>
      <c r="M53" t="str">
        <f>VLOOKUP(L53,[1]DevMouse!$B$2:$C$2693,2,FALSE)</f>
        <v>CA3slu</v>
      </c>
    </row>
    <row r="54" spans="2:13" x14ac:dyDescent="0.25">
      <c r="B54" s="31" t="s">
        <v>25743</v>
      </c>
      <c r="C54" s="20"/>
      <c r="D54" s="25" t="s">
        <v>25759</v>
      </c>
      <c r="E54" s="25"/>
      <c r="F54" s="9" t="str">
        <f>HYPERLINK("https://www.ebi.ac.uk/ols/ontologies/uberon/terms?iri=http://purl.obolibrary.org/obo/UBERON_0014560","CA3 stratum lucidum")</f>
        <v>CA3 stratum lucidum</v>
      </c>
      <c r="G54" s="9" t="s">
        <v>121</v>
      </c>
      <c r="H54" s="9" t="s">
        <v>15943</v>
      </c>
      <c r="I54" s="9" t="s">
        <v>124</v>
      </c>
      <c r="J54" s="9" t="s">
        <v>125</v>
      </c>
      <c r="K54" s="3" t="s">
        <v>15176</v>
      </c>
      <c r="L54" s="13">
        <v>479</v>
      </c>
      <c r="M54" t="str">
        <f>VLOOKUP(L54,[1]Mouse_ARA!$B$2:$C$1328,2,FALSE)</f>
        <v>CA3slu</v>
      </c>
    </row>
    <row r="55" spans="2:13" x14ac:dyDescent="0.25">
      <c r="B55" s="31" t="s">
        <v>25743</v>
      </c>
      <c r="C55" s="20"/>
      <c r="D55" s="25" t="s">
        <v>25759</v>
      </c>
      <c r="E55" s="25"/>
      <c r="F55" s="9" t="str">
        <f>HYPERLINK("https://www.ebi.ac.uk/ols/ontologies/uberon/terms?iri=http://purl.obolibrary.org/obo/UBERON_0014560","CA3 stratum lucidum")</f>
        <v>CA3 stratum lucidum</v>
      </c>
      <c r="G55" s="9" t="s">
        <v>121</v>
      </c>
      <c r="H55" s="9" t="s">
        <v>25706</v>
      </c>
      <c r="I55" s="9" t="s">
        <v>126</v>
      </c>
      <c r="J55" s="9" t="s">
        <v>127</v>
      </c>
      <c r="K55" s="6" t="s">
        <v>15174</v>
      </c>
      <c r="L55" s="13">
        <v>10071</v>
      </c>
      <c r="M55" t="str">
        <f>VLOOKUP(L55,[1]NonHumanPrimate!$B$2:$C$4000,2,FALSE)</f>
        <v>CA3sl</v>
      </c>
    </row>
    <row r="56" spans="2:13" x14ac:dyDescent="0.25">
      <c r="B56" s="31" t="s">
        <v>25743</v>
      </c>
      <c r="C56" s="20"/>
      <c r="D56" s="25" t="s">
        <v>25760</v>
      </c>
      <c r="E56" s="25"/>
      <c r="F56" s="9" t="str">
        <f>HYPERLINK("https://www.ebi.ac.uk/ols/ontologies/uberon/terms?iri=http://purl.obolibrary.org/obo/UBERON_0014553","CA3 stratum oriens")</f>
        <v>CA3 stratum oriens</v>
      </c>
      <c r="G56" s="9" t="s">
        <v>128</v>
      </c>
      <c r="H56" s="9" t="s">
        <v>15941</v>
      </c>
      <c r="I56" s="9" t="s">
        <v>129</v>
      </c>
      <c r="J56" s="9" t="s">
        <v>130</v>
      </c>
      <c r="K56" s="5" t="s">
        <v>15173</v>
      </c>
      <c r="L56" s="13">
        <v>16142</v>
      </c>
      <c r="M56" t="str">
        <f>VLOOKUP(L56,[1]DevMouse!$B$2:$C$2693,2,FALSE)</f>
        <v>CA3so</v>
      </c>
    </row>
    <row r="57" spans="2:13" x14ac:dyDescent="0.25">
      <c r="B57" s="31" t="s">
        <v>25743</v>
      </c>
      <c r="C57" s="20"/>
      <c r="D57" s="25" t="s">
        <v>25760</v>
      </c>
      <c r="E57" s="25"/>
      <c r="F57" s="9" t="str">
        <f>HYPERLINK("https://www.ebi.ac.uk/ols/ontologies/uberon/terms?iri=http://purl.obolibrary.org/obo/UBERON_0014553","CA3 stratum oriens")</f>
        <v>CA3 stratum oriens</v>
      </c>
      <c r="G57" s="9" t="s">
        <v>128</v>
      </c>
      <c r="H57" s="9" t="s">
        <v>15941</v>
      </c>
      <c r="I57" s="9" t="s">
        <v>131</v>
      </c>
      <c r="J57" s="9" t="s">
        <v>132</v>
      </c>
      <c r="K57" s="3" t="s">
        <v>15176</v>
      </c>
      <c r="L57" s="13">
        <v>486</v>
      </c>
      <c r="M57" t="str">
        <f>VLOOKUP(L57,[1]Mouse_ARA!$B$2:$C$1328,2,FALSE)</f>
        <v>CA3so</v>
      </c>
    </row>
    <row r="58" spans="2:13" x14ac:dyDescent="0.25">
      <c r="B58" s="31" t="s">
        <v>25743</v>
      </c>
      <c r="C58" s="20"/>
      <c r="D58" s="25" t="s">
        <v>25760</v>
      </c>
      <c r="E58" s="25"/>
      <c r="F58" s="9" t="str">
        <f>HYPERLINK("https://www.ebi.ac.uk/ols/ontologies/uberon/terms?iri=http://purl.obolibrary.org/obo/UBERON_0014553","CA3 stratum oriens")</f>
        <v>CA3 stratum oriens</v>
      </c>
      <c r="G58" s="9" t="s">
        <v>128</v>
      </c>
      <c r="H58" s="9" t="s">
        <v>25705</v>
      </c>
      <c r="I58" s="9" t="s">
        <v>133</v>
      </c>
      <c r="J58" s="9" t="s">
        <v>134</v>
      </c>
      <c r="K58" s="6" t="s">
        <v>15174</v>
      </c>
      <c r="L58" s="13">
        <v>10069</v>
      </c>
      <c r="M58" t="str">
        <f>VLOOKUP(L58,[1]NonHumanPrimate!$B$2:$C$4000,2,FALSE)</f>
        <v>CA3or</v>
      </c>
    </row>
    <row r="59" spans="2:13" x14ac:dyDescent="0.25">
      <c r="B59" s="31" t="s">
        <v>25743</v>
      </c>
      <c r="C59" s="20"/>
      <c r="D59" s="25" t="s">
        <v>25761</v>
      </c>
      <c r="E59" s="25"/>
      <c r="F59" s="9" t="str">
        <f>HYPERLINK("https://www.ebi.ac.uk/ols/ontologies/uberon/terms?iri=http://purl.obolibrary.org/obo/UBERON_0014556","CA3 stratum radiatum")</f>
        <v>CA3 stratum radiatum</v>
      </c>
      <c r="G59" s="9" t="s">
        <v>135</v>
      </c>
      <c r="H59" s="9" t="s">
        <v>15944</v>
      </c>
      <c r="I59" s="9" t="s">
        <v>136</v>
      </c>
      <c r="J59" s="9" t="s">
        <v>137</v>
      </c>
      <c r="K59" s="5" t="s">
        <v>15173</v>
      </c>
      <c r="L59" s="13">
        <v>16145</v>
      </c>
      <c r="M59" t="str">
        <f>VLOOKUP(L59,[1]DevMouse!$B$2:$C$2693,2,FALSE)</f>
        <v>CA3sr</v>
      </c>
    </row>
    <row r="60" spans="2:13" x14ac:dyDescent="0.25">
      <c r="B60" s="31" t="s">
        <v>25743</v>
      </c>
      <c r="C60" s="20"/>
      <c r="D60" s="25" t="s">
        <v>25761</v>
      </c>
      <c r="E60" s="25"/>
      <c r="F60" s="9" t="str">
        <f>HYPERLINK("https://www.ebi.ac.uk/ols/ontologies/uberon/terms?iri=http://purl.obolibrary.org/obo/UBERON_0014556","CA3 stratum radiatum")</f>
        <v>CA3 stratum radiatum</v>
      </c>
      <c r="G60" s="9" t="s">
        <v>135</v>
      </c>
      <c r="H60" s="9" t="s">
        <v>15944</v>
      </c>
      <c r="I60" s="9" t="s">
        <v>138</v>
      </c>
      <c r="J60" s="9" t="s">
        <v>139</v>
      </c>
      <c r="K60" s="3" t="s">
        <v>15176</v>
      </c>
      <c r="L60" s="13">
        <v>504</v>
      </c>
      <c r="M60" t="str">
        <f>VLOOKUP(L60,[1]Mouse_ARA!$B$2:$C$1328,2,FALSE)</f>
        <v>CA3sr</v>
      </c>
    </row>
    <row r="61" spans="2:13" x14ac:dyDescent="0.25">
      <c r="B61" s="31" t="s">
        <v>25743</v>
      </c>
      <c r="C61" s="20"/>
      <c r="D61" s="25" t="s">
        <v>25761</v>
      </c>
      <c r="E61" s="25"/>
      <c r="F61" s="9" t="str">
        <f>HYPERLINK("https://www.ebi.ac.uk/ols/ontologies/uberon/terms?iri=http://purl.obolibrary.org/obo/UBERON_0014556","CA3 stratum radiatum")</f>
        <v>CA3 stratum radiatum</v>
      </c>
      <c r="G61" s="9" t="s">
        <v>135</v>
      </c>
      <c r="H61" s="9" t="s">
        <v>25702</v>
      </c>
      <c r="I61" s="9" t="s">
        <v>140</v>
      </c>
      <c r="J61" s="9" t="s">
        <v>141</v>
      </c>
      <c r="K61" s="6" t="s">
        <v>15174</v>
      </c>
      <c r="L61" s="13">
        <v>10072</v>
      </c>
      <c r="M61" t="str">
        <f>VLOOKUP(L61,[1]NonHumanPrimate!$B$2:$C$4000,2,FALSE)</f>
        <v>CA3ra</v>
      </c>
    </row>
    <row r="62" spans="2:13" x14ac:dyDescent="0.25">
      <c r="B62" s="31" t="s">
        <v>25743</v>
      </c>
      <c r="C62" s="20"/>
      <c r="D62" s="25" t="s">
        <v>25762</v>
      </c>
      <c r="E62" s="25"/>
      <c r="F62" s="9" t="str">
        <f>HYPERLINK("https://www.ebi.ac.uk/ols/ontologies/uberon/terms?iri=http://purl.obolibrary.org/obo/UBERON_0003884","CA4 field of hippocampus")</f>
        <v>CA4 field of hippocampus</v>
      </c>
      <c r="G62" s="9" t="s">
        <v>142</v>
      </c>
      <c r="H62" s="9" t="s">
        <v>23091</v>
      </c>
      <c r="I62" s="9" t="s">
        <v>143</v>
      </c>
      <c r="J62" s="9" t="s">
        <v>144</v>
      </c>
      <c r="K62" s="4" t="s">
        <v>15175</v>
      </c>
      <c r="L62" s="13">
        <v>10300</v>
      </c>
      <c r="M62" t="str">
        <f>VLOOKUP(L62,[1]Human_BrainSpan!$B$2:$C$4000,2,FALSE)</f>
        <v>CA4</v>
      </c>
    </row>
    <row r="63" spans="2:13" x14ac:dyDescent="0.25">
      <c r="B63" s="31" t="s">
        <v>25743</v>
      </c>
      <c r="C63" s="20"/>
      <c r="D63" s="25" t="s">
        <v>25762</v>
      </c>
      <c r="E63" s="25"/>
      <c r="F63" s="9" t="str">
        <f>HYPERLINK("https://www.ebi.ac.uk/ols/ontologies/uberon/terms?iri=http://purl.obolibrary.org/obo/UBERON_0003884","CA4 field of hippocampus")</f>
        <v>CA4 field of hippocampus</v>
      </c>
      <c r="G63" s="9" t="s">
        <v>142</v>
      </c>
      <c r="H63" s="9" t="s">
        <v>23091</v>
      </c>
      <c r="I63" s="9" t="s">
        <v>145</v>
      </c>
      <c r="J63" s="9" t="s">
        <v>146</v>
      </c>
      <c r="K63" s="7" t="s">
        <v>15171</v>
      </c>
      <c r="L63" s="13">
        <v>12895</v>
      </c>
      <c r="M63" t="str">
        <f>VLOOKUP(L63,[1]HBA!$B$2:$C$4000,2,FALSE)</f>
        <v>CA4</v>
      </c>
    </row>
    <row r="64" spans="2:13" x14ac:dyDescent="0.25">
      <c r="B64" s="31" t="s">
        <v>25743</v>
      </c>
      <c r="C64" s="20"/>
      <c r="D64" s="25" t="s">
        <v>25762</v>
      </c>
      <c r="E64" s="25"/>
      <c r="F64" s="9" t="str">
        <f>HYPERLINK("https://www.ebi.ac.uk/ols/ontologies/uberon/terms?iri=http://purl.obolibrary.org/obo/UBERON_0003884","CA4 field of hippocampus")</f>
        <v>CA4 field of hippocampus</v>
      </c>
      <c r="G64" s="9" t="s">
        <v>142</v>
      </c>
      <c r="H64" s="9" t="s">
        <v>23091</v>
      </c>
      <c r="I64" s="9" t="s">
        <v>147</v>
      </c>
      <c r="J64" s="9" t="s">
        <v>148</v>
      </c>
      <c r="K64" s="6" t="s">
        <v>15174</v>
      </c>
      <c r="L64" s="13">
        <v>10074</v>
      </c>
      <c r="M64" t="str">
        <f>VLOOKUP(L64,[1]NonHumanPrimate!$B$2:$C$4000,2,FALSE)</f>
        <v>CA4</v>
      </c>
    </row>
    <row r="65" spans="2:13" x14ac:dyDescent="0.25">
      <c r="B65" s="31" t="s">
        <v>25743</v>
      </c>
      <c r="C65" s="20"/>
      <c r="D65" s="25" t="s">
        <v>150</v>
      </c>
      <c r="E65" s="25"/>
      <c r="F65" s="9" t="str">
        <f>HYPERLINK("https://www.ebi.ac.uk/ols/ontologies/uberon/terms?iri=http://purl.obolibrary.org/obo/UBERON_0035935","Meyer's loop of optic radiation")</f>
        <v>Meyer's loop of optic radiation</v>
      </c>
      <c r="G65" s="9" t="s">
        <v>149</v>
      </c>
      <c r="H65" s="9" t="s">
        <v>23613</v>
      </c>
      <c r="I65" s="9" t="s">
        <v>150</v>
      </c>
      <c r="J65" s="9" t="s">
        <v>151</v>
      </c>
      <c r="K65" s="7" t="s">
        <v>15171</v>
      </c>
      <c r="L65" s="13">
        <v>265505214</v>
      </c>
      <c r="M65" t="str">
        <f>VLOOKUP(L65,[1]HBA!$B$2:$C$4000,2,FALSE)</f>
        <v>or-lp</v>
      </c>
    </row>
    <row r="66" spans="2:13" x14ac:dyDescent="0.25">
      <c r="B66" s="37" t="s">
        <v>25743</v>
      </c>
      <c r="C66" s="20"/>
      <c r="D66" s="25" t="s">
        <v>25763</v>
      </c>
      <c r="E66" s="25"/>
      <c r="F66" s="9" t="str">
        <f>HYPERLINK("https://www.ebi.ac.uk/ols/ontologies/uberon/terms?iri=http://purl.obolibrary.org/obo/UBERON_0002979","Purkinje cell layer of cerebellar cortex")</f>
        <v>Purkinje cell layer of cerebellar cortex</v>
      </c>
      <c r="G66" s="9" t="s">
        <v>152</v>
      </c>
      <c r="H66" s="9" t="s">
        <v>20554</v>
      </c>
      <c r="I66" s="9" t="s">
        <v>153</v>
      </c>
      <c r="J66" s="9" t="s">
        <v>154</v>
      </c>
      <c r="K66" s="3" t="s">
        <v>15176</v>
      </c>
      <c r="L66" s="13">
        <v>1145</v>
      </c>
      <c r="M66" t="str">
        <f>VLOOKUP(L66,[1]Mouse_ARA!$B$2:$C$1328,2,FALSE)</f>
        <v>CBXpu</v>
      </c>
    </row>
    <row r="67" spans="2:13" x14ac:dyDescent="0.25">
      <c r="B67" s="31" t="s">
        <v>25743</v>
      </c>
      <c r="C67" s="20"/>
      <c r="D67" s="25" t="s">
        <v>156</v>
      </c>
      <c r="E67" s="25"/>
      <c r="F67" s="9" t="str">
        <f>HYPERLINK("https://www.ebi.ac.uk/ols/ontologies/uberon/terms?iri=http://purl.obolibrary.org/obo/UBERON_0001646","abducens nerve")</f>
        <v>abducens nerve</v>
      </c>
      <c r="G67" s="9" t="s">
        <v>155</v>
      </c>
      <c r="H67" s="9" t="s">
        <v>18421</v>
      </c>
      <c r="I67" s="9" t="s">
        <v>156</v>
      </c>
      <c r="J67" s="9" t="s">
        <v>157</v>
      </c>
      <c r="K67" s="7" t="s">
        <v>15171</v>
      </c>
      <c r="L67" s="13">
        <v>9325</v>
      </c>
      <c r="M67" t="str">
        <f>VLOOKUP(L67,[1]HBA!$B$2:$C$4000,2,FALSE)</f>
        <v>6n</v>
      </c>
    </row>
    <row r="68" spans="2:13" x14ac:dyDescent="0.25">
      <c r="B68" s="31" t="s">
        <v>25743</v>
      </c>
      <c r="C68" s="20"/>
      <c r="D68" s="25" t="s">
        <v>156</v>
      </c>
      <c r="E68" s="25"/>
      <c r="F68" s="9" t="str">
        <f>HYPERLINK("https://www.ebi.ac.uk/ols/ontologies/uberon/terms?iri=http://purl.obolibrary.org/obo/UBERON_0001646","abducens nerve")</f>
        <v>abducens nerve</v>
      </c>
      <c r="G68" s="9" t="s">
        <v>155</v>
      </c>
      <c r="H68" s="9" t="s">
        <v>20743</v>
      </c>
      <c r="I68" s="9" t="s">
        <v>156</v>
      </c>
      <c r="J68" s="9" t="s">
        <v>158</v>
      </c>
      <c r="K68" s="3" t="s">
        <v>15176</v>
      </c>
      <c r="L68" s="13">
        <v>710</v>
      </c>
      <c r="M68" t="str">
        <f>VLOOKUP(L68,[1]Mouse_ARA!$B$2:$C$1328,2,FALSE)</f>
        <v>VIn</v>
      </c>
    </row>
    <row r="69" spans="2:13" x14ac:dyDescent="0.25">
      <c r="B69" s="31" t="s">
        <v>25743</v>
      </c>
      <c r="C69" s="20"/>
      <c r="D69" s="25" t="s">
        <v>160</v>
      </c>
      <c r="E69" s="25"/>
      <c r="F69" s="9" t="str">
        <f>HYPERLINK("https://www.ebi.ac.uk/ols/ontologies/uberon/terms?iri=http://purl.obolibrary.org/obo/UBERON_0002682","abducens nucleus")</f>
        <v>abducens nucleus</v>
      </c>
      <c r="G69" s="9" t="s">
        <v>159</v>
      </c>
      <c r="H69" s="9" t="s">
        <v>24266</v>
      </c>
      <c r="I69" s="9" t="s">
        <v>160</v>
      </c>
      <c r="J69" s="9" t="s">
        <v>161</v>
      </c>
      <c r="K69" s="4" t="s">
        <v>15175</v>
      </c>
      <c r="L69" s="13">
        <v>12418</v>
      </c>
      <c r="M69" t="str">
        <f>VLOOKUP(L69,[1]Human_BrainSpan!$B$2:$C$4000,2,FALSE)</f>
        <v>6N</v>
      </c>
    </row>
    <row r="70" spans="2:13" x14ac:dyDescent="0.25">
      <c r="B70" s="31" t="s">
        <v>25743</v>
      </c>
      <c r="C70" s="20"/>
      <c r="D70" s="25" t="s">
        <v>160</v>
      </c>
      <c r="E70" s="25"/>
      <c r="F70" s="9" t="str">
        <f>HYPERLINK("https://www.ebi.ac.uk/ols/ontologies/uberon/terms?iri=http://purl.obolibrary.org/obo/UBERON_0002682","abducens nucleus")</f>
        <v>abducens nucleus</v>
      </c>
      <c r="G70" s="9" t="s">
        <v>159</v>
      </c>
      <c r="H70" s="9" t="s">
        <v>17823</v>
      </c>
      <c r="I70" s="9" t="s">
        <v>162</v>
      </c>
      <c r="J70" s="9" t="s">
        <v>163</v>
      </c>
      <c r="K70" s="5" t="s">
        <v>15173</v>
      </c>
      <c r="L70" s="13">
        <v>17279</v>
      </c>
      <c r="M70" t="str">
        <f>VLOOKUP(L70,[1]DevMouse!$B$2:$C$2693,2,FALSE)</f>
        <v>6M</v>
      </c>
    </row>
    <row r="71" spans="2:13" x14ac:dyDescent="0.25">
      <c r="B71" s="31" t="s">
        <v>25743</v>
      </c>
      <c r="C71" s="20"/>
      <c r="D71" s="25" t="s">
        <v>160</v>
      </c>
      <c r="E71" s="25"/>
      <c r="F71" s="9" t="str">
        <f>HYPERLINK("https://www.ebi.ac.uk/ols/ontologies/uberon/terms?iri=http://purl.obolibrary.org/obo/UBERON_0002682","abducens nucleus")</f>
        <v>abducens nucleus</v>
      </c>
      <c r="G71" s="9" t="s">
        <v>159</v>
      </c>
      <c r="H71" s="9">
        <v>6</v>
      </c>
      <c r="I71" s="9" t="s">
        <v>160</v>
      </c>
      <c r="J71" s="9" t="s">
        <v>164</v>
      </c>
      <c r="K71" s="7" t="s">
        <v>15171</v>
      </c>
      <c r="L71" s="13">
        <v>9136</v>
      </c>
      <c r="M71">
        <f>VLOOKUP(L71,[1]HBA!$B$2:$C$4000,2,FALSE)</f>
        <v>6</v>
      </c>
    </row>
    <row r="72" spans="2:13" x14ac:dyDescent="0.25">
      <c r="B72" s="31" t="s">
        <v>25743</v>
      </c>
      <c r="C72" s="20"/>
      <c r="D72" s="25" t="s">
        <v>160</v>
      </c>
      <c r="E72" s="25"/>
      <c r="F72" s="9" t="str">
        <f>HYPERLINK("https://www.ebi.ac.uk/ols/ontologies/uberon/terms?iri=http://purl.obolibrary.org/obo/UBERON_0002682","abducens nucleus")</f>
        <v>abducens nucleus</v>
      </c>
      <c r="G72" s="9" t="s">
        <v>159</v>
      </c>
      <c r="H72" s="9" t="s">
        <v>1095</v>
      </c>
      <c r="I72" s="9" t="s">
        <v>160</v>
      </c>
      <c r="J72" s="9" t="s">
        <v>165</v>
      </c>
      <c r="K72" s="3" t="s">
        <v>15176</v>
      </c>
      <c r="L72" s="13">
        <v>653</v>
      </c>
      <c r="M72" t="str">
        <f>VLOOKUP(L72,[1]Mouse_ARA!$B$2:$C$1328,2,FALSE)</f>
        <v>VI</v>
      </c>
    </row>
    <row r="73" spans="2:13" x14ac:dyDescent="0.25">
      <c r="B73" s="31" t="s">
        <v>25743</v>
      </c>
      <c r="C73" s="25"/>
      <c r="D73" s="25" t="s">
        <v>25764</v>
      </c>
      <c r="E73" s="25"/>
      <c r="F73" s="9" t="str">
        <f>HYPERLINK("https://www.ebi.ac.uk/ols/ontologies/uberon/terms?iri=http://purl.obolibrary.org/obo/UBERON_0002019","accessory XI nerve")</f>
        <v>accessory XI nerve</v>
      </c>
      <c r="G73" s="9" t="s">
        <v>166</v>
      </c>
      <c r="H73" s="9" t="s">
        <v>25512</v>
      </c>
      <c r="I73" s="9" t="s">
        <v>167</v>
      </c>
      <c r="J73" s="9" t="s">
        <v>168</v>
      </c>
      <c r="K73" s="7" t="s">
        <v>15171</v>
      </c>
      <c r="L73" s="13">
        <v>9340</v>
      </c>
      <c r="M73" t="str">
        <f>VLOOKUP(L73,[1]HBA!$B$2:$C$4000,2,FALSE)</f>
        <v>11nf</v>
      </c>
    </row>
    <row r="74" spans="2:13" x14ac:dyDescent="0.25">
      <c r="B74" s="31" t="s">
        <v>25743</v>
      </c>
      <c r="C74" s="20"/>
      <c r="D74" s="25" t="s">
        <v>25764</v>
      </c>
      <c r="E74" s="25"/>
      <c r="F74" s="9" t="str">
        <f>HYPERLINK("https://www.ebi.ac.uk/ols/ontologies/uberon/terms?iri=http://purl.obolibrary.org/obo/UBERON_0002019","accessory XI nerve")</f>
        <v>accessory XI nerve</v>
      </c>
      <c r="G74" s="9" t="s">
        <v>166</v>
      </c>
      <c r="H74" s="9" t="s">
        <v>20763</v>
      </c>
      <c r="I74" s="9" t="s">
        <v>169</v>
      </c>
      <c r="J74" s="9" t="s">
        <v>170</v>
      </c>
      <c r="K74" s="3" t="s">
        <v>15176</v>
      </c>
      <c r="L74" s="13">
        <v>717</v>
      </c>
      <c r="M74" t="str">
        <f>VLOOKUP(L74,[1]Mouse_ARA!$B$2:$C$1328,2,FALSE)</f>
        <v>XIn</v>
      </c>
    </row>
    <row r="75" spans="2:13" x14ac:dyDescent="0.25">
      <c r="B75" s="31" t="s">
        <v>25743</v>
      </c>
      <c r="C75" s="20"/>
      <c r="D75" s="25" t="s">
        <v>172</v>
      </c>
      <c r="E75" s="25"/>
      <c r="F75" s="9" t="str">
        <f>HYPERLINK("https://www.ebi.ac.uk/ols/ontologies/uberon/terms?iri=http://purl.obolibrary.org/obo/UBERON_0035976","accessory abducens nucleus")</f>
        <v>accessory abducens nucleus</v>
      </c>
      <c r="G75" s="9" t="s">
        <v>171</v>
      </c>
      <c r="H75" s="9" t="s">
        <v>20452</v>
      </c>
      <c r="I75" s="9" t="s">
        <v>172</v>
      </c>
      <c r="J75" s="9" t="s">
        <v>173</v>
      </c>
      <c r="K75" s="3" t="s">
        <v>15176</v>
      </c>
      <c r="L75" s="13">
        <v>568</v>
      </c>
      <c r="M75" t="str">
        <f>VLOOKUP(L75,[1]Mouse_ARA!$B$2:$C$1328,2,FALSE)</f>
        <v>ACVI</v>
      </c>
    </row>
    <row r="76" spans="2:13" x14ac:dyDescent="0.25">
      <c r="B76" s="31" t="s">
        <v>25743</v>
      </c>
      <c r="C76" s="20"/>
      <c r="D76" s="25" t="s">
        <v>25765</v>
      </c>
      <c r="E76" s="25"/>
      <c r="F76" s="9" t="str">
        <f>HYPERLINK("https://www.ebi.ac.uk/ols/ontologies/uberon/terms?iri=http://purl.obolibrary.org/obo/UBERON_0002885","accessory basal amygdaloid nucleus")</f>
        <v>accessory basal amygdaloid nucleus</v>
      </c>
      <c r="G76" s="9" t="s">
        <v>174</v>
      </c>
      <c r="H76" s="9" t="s">
        <v>23195</v>
      </c>
      <c r="I76" s="9" t="s">
        <v>175</v>
      </c>
      <c r="J76" s="9" t="s">
        <v>176</v>
      </c>
      <c r="K76" s="4" t="s">
        <v>15175</v>
      </c>
      <c r="L76" s="13">
        <v>10369</v>
      </c>
      <c r="M76" t="str">
        <f>VLOOKUP(L76,[1]Human_BrainSpan!$B$2:$C$4000,2,FALSE)</f>
        <v>BM</v>
      </c>
    </row>
    <row r="77" spans="2:13" x14ac:dyDescent="0.25">
      <c r="B77" s="31" t="s">
        <v>25743</v>
      </c>
      <c r="C77" s="20"/>
      <c r="D77" s="25" t="s">
        <v>25765</v>
      </c>
      <c r="E77" s="25"/>
      <c r="F77" s="9" t="str">
        <f>HYPERLINK("https://www.ebi.ac.uk/ols/ontologies/uberon/terms?iri=http://purl.obolibrary.org/obo/UBERON_0002885","accessory basal amygdaloid nucleus")</f>
        <v>accessory basal amygdaloid nucleus</v>
      </c>
      <c r="G77" s="9" t="s">
        <v>174</v>
      </c>
      <c r="H77" s="9" t="s">
        <v>15737</v>
      </c>
      <c r="I77" s="9" t="s">
        <v>177</v>
      </c>
      <c r="J77" s="9" t="s">
        <v>178</v>
      </c>
      <c r="K77" s="7" t="s">
        <v>15171</v>
      </c>
      <c r="L77" s="13">
        <v>4350</v>
      </c>
      <c r="M77" t="str">
        <f>VLOOKUP(L77,[1]HBA!$B$2:$C$4000,2,FALSE)</f>
        <v>BMA</v>
      </c>
    </row>
    <row r="78" spans="2:13" x14ac:dyDescent="0.25">
      <c r="B78" s="31" t="s">
        <v>25743</v>
      </c>
      <c r="C78" s="20"/>
      <c r="D78" s="25" t="s">
        <v>180</v>
      </c>
      <c r="E78" s="25"/>
      <c r="F78" s="9" t="str">
        <f>HYPERLINK("https://www.ebi.ac.uk/ols/ontologies/uberon/terms?iri=http://purl.obolibrary.org/obo/UBERON_0002864","accessory cuneate nucleus")</f>
        <v>accessory cuneate nucleus</v>
      </c>
      <c r="G78" s="9" t="s">
        <v>179</v>
      </c>
      <c r="H78" s="9" t="s">
        <v>25442</v>
      </c>
      <c r="I78" s="9" t="s">
        <v>180</v>
      </c>
      <c r="J78" s="9" t="s">
        <v>181</v>
      </c>
      <c r="K78" s="7" t="s">
        <v>15171</v>
      </c>
      <c r="L78" s="13">
        <v>9513</v>
      </c>
      <c r="M78" t="str">
        <f>VLOOKUP(L78,[1]HBA!$B$2:$C$4000,2,FALSE)</f>
        <v>ACu</v>
      </c>
    </row>
    <row r="79" spans="2:13" x14ac:dyDescent="0.25">
      <c r="B79" s="31" t="s">
        <v>25743</v>
      </c>
      <c r="C79" s="20"/>
      <c r="D79" s="25" t="s">
        <v>180</v>
      </c>
      <c r="E79" s="25"/>
      <c r="F79" s="9" t="str">
        <f>HYPERLINK("https://www.ebi.ac.uk/ols/ontologies/uberon/terms?iri=http://purl.obolibrary.org/obo/UBERON_0002864","accessory cuneate nucleus")</f>
        <v>accessory cuneate nucleus</v>
      </c>
      <c r="G79" s="9" t="s">
        <v>179</v>
      </c>
      <c r="H79" s="9" t="s">
        <v>20413</v>
      </c>
      <c r="I79" s="9" t="s">
        <v>182</v>
      </c>
      <c r="J79" s="9" t="s">
        <v>183</v>
      </c>
      <c r="K79" s="3" t="s">
        <v>15176</v>
      </c>
      <c r="L79" s="13">
        <v>903</v>
      </c>
      <c r="M79" t="str">
        <f>VLOOKUP(L79,[1]Mouse_ARA!$B$2:$C$1328,2,FALSE)</f>
        <v>ECU</v>
      </c>
    </row>
    <row r="80" spans="2:13" x14ac:dyDescent="0.25">
      <c r="B80" s="31" t="s">
        <v>26299</v>
      </c>
      <c r="C80" s="25" t="s">
        <v>25764</v>
      </c>
      <c r="D80" s="25" t="s">
        <v>187</v>
      </c>
      <c r="E80" s="25"/>
      <c r="F80" s="9" t="str">
        <f>HYPERLINK("https://www.ebi.ac.uk/ols/ontologies/uberon/terms?iri=http://purl.obolibrary.org/obo/UBERON_0014615","accessory nerve root")</f>
        <v>accessory nerve root</v>
      </c>
      <c r="G80" s="9" t="s">
        <v>184</v>
      </c>
      <c r="H80" s="9" t="s">
        <v>18244</v>
      </c>
      <c r="I80" s="9" t="s">
        <v>185</v>
      </c>
      <c r="J80" s="9" t="s">
        <v>186</v>
      </c>
      <c r="K80" s="4" t="s">
        <v>15175</v>
      </c>
      <c r="L80" s="13">
        <v>12883</v>
      </c>
      <c r="M80" t="str">
        <f>VLOOKUP(L80,[1]Human_BrainSpan!$B$2:$C$4000,2,FALSE)</f>
        <v>r11</v>
      </c>
    </row>
    <row r="81" spans="2:13" x14ac:dyDescent="0.25">
      <c r="B81" s="31" t="s">
        <v>26299</v>
      </c>
      <c r="C81" s="25" t="s">
        <v>25764</v>
      </c>
      <c r="D81" s="25" t="s">
        <v>187</v>
      </c>
      <c r="E81" s="25"/>
      <c r="F81" s="9" t="str">
        <f>HYPERLINK("https://www.ebi.ac.uk/ols/ontologies/uberon/terms?iri=http://purl.obolibrary.org/obo/UBERON_0014615","accessory nerve root")</f>
        <v>accessory nerve root</v>
      </c>
      <c r="G81" s="9" t="s">
        <v>184</v>
      </c>
      <c r="H81" s="9" t="s">
        <v>18432</v>
      </c>
      <c r="I81" s="9" t="s">
        <v>187</v>
      </c>
      <c r="J81" s="9" t="s">
        <v>188</v>
      </c>
      <c r="K81" s="5" t="s">
        <v>15173</v>
      </c>
      <c r="L81" s="13">
        <v>17749</v>
      </c>
      <c r="M81" t="str">
        <f>VLOOKUP(L81,[1]DevMouse!$B$2:$C$2693,2,FALSE)</f>
        <v>11n</v>
      </c>
    </row>
    <row r="82" spans="2:13" x14ac:dyDescent="0.25">
      <c r="B82" s="31" t="s">
        <v>25743</v>
      </c>
      <c r="C82" s="20"/>
      <c r="D82" s="25" t="s">
        <v>190</v>
      </c>
      <c r="E82" s="25"/>
      <c r="F82" s="9" t="str">
        <f>HYPERLINK("https://www.ebi.ac.uk/ols/ontologies/uberon/terms?iri=http://purl.obolibrary.org/obo/UBERON_0004069","accessory olfactory bulb")</f>
        <v>accessory olfactory bulb</v>
      </c>
      <c r="G82" s="9" t="s">
        <v>189</v>
      </c>
      <c r="H82" s="9" t="s">
        <v>15747</v>
      </c>
      <c r="I82" s="9" t="s">
        <v>190</v>
      </c>
      <c r="J82" s="9" t="s">
        <v>191</v>
      </c>
      <c r="K82" s="5" t="s">
        <v>15173</v>
      </c>
      <c r="L82" s="13">
        <v>15957</v>
      </c>
      <c r="M82" t="str">
        <f>VLOOKUP(L82,[1]DevMouse!$B$2:$C$2693,2,FALSE)</f>
        <v>AOB</v>
      </c>
    </row>
    <row r="83" spans="2:13" x14ac:dyDescent="0.25">
      <c r="B83" s="31" t="s">
        <v>25743</v>
      </c>
      <c r="C83" s="20"/>
      <c r="D83" s="25" t="s">
        <v>190</v>
      </c>
      <c r="E83" s="25"/>
      <c r="F83" s="9" t="str">
        <f>HYPERLINK("https://www.ebi.ac.uk/ols/ontologies/uberon/terms?iri=http://purl.obolibrary.org/obo/UBERON_0004069","accessory olfactory bulb")</f>
        <v>accessory olfactory bulb</v>
      </c>
      <c r="G83" s="9" t="s">
        <v>189</v>
      </c>
      <c r="H83" s="9" t="s">
        <v>15747</v>
      </c>
      <c r="I83" s="9" t="s">
        <v>190</v>
      </c>
      <c r="J83" s="9" t="s">
        <v>192</v>
      </c>
      <c r="K83" s="3" t="s">
        <v>15176</v>
      </c>
      <c r="L83" s="13">
        <v>151</v>
      </c>
      <c r="M83" t="str">
        <f>VLOOKUP(L83,[1]Mouse_ARA!$B$2:$C$1328,2,FALSE)</f>
        <v>AOB</v>
      </c>
    </row>
    <row r="84" spans="2:13" x14ac:dyDescent="0.25">
      <c r="B84" s="31" t="s">
        <v>25743</v>
      </c>
      <c r="C84" s="20"/>
      <c r="D84" s="25" t="s">
        <v>25766</v>
      </c>
      <c r="E84" s="25"/>
      <c r="F84" s="9" t="str">
        <f>HYPERLINK("https://www.ebi.ac.uk/ols/ontologies/uberon/terms?iri=http://purl.obolibrary.org/obo/UBERON_0019289","accessory olfactory bulb external plexiform layer")</f>
        <v>accessory olfactory bulb external plexiform layer</v>
      </c>
      <c r="G84" s="9" t="s">
        <v>193</v>
      </c>
      <c r="H84" s="9" t="s">
        <v>15755</v>
      </c>
      <c r="I84" s="9" t="s">
        <v>194</v>
      </c>
      <c r="J84" s="9" t="s">
        <v>195</v>
      </c>
      <c r="K84" s="5" t="s">
        <v>15173</v>
      </c>
      <c r="L84" s="13">
        <v>15965</v>
      </c>
      <c r="M84" t="str">
        <f>VLOOKUP(L84,[1]DevMouse!$B$2:$C$2693,2,FALSE)</f>
        <v>AOPl</v>
      </c>
    </row>
    <row r="85" spans="2:13" x14ac:dyDescent="0.25">
      <c r="B85" s="31" t="s">
        <v>25743</v>
      </c>
      <c r="C85" s="20"/>
      <c r="D85" s="25" t="s">
        <v>25767</v>
      </c>
      <c r="E85" s="25"/>
      <c r="F85" s="9" t="str">
        <f>HYPERLINK("https://www.ebi.ac.uk/ols/ontologies/uberon/terms?iri=http://purl.obolibrary.org/obo/UBERON_0007631","accessory olfactory bulb glomerular layer")</f>
        <v>accessory olfactory bulb glomerular layer</v>
      </c>
      <c r="G85" s="9" t="s">
        <v>196</v>
      </c>
      <c r="H85" s="9" t="s">
        <v>15757</v>
      </c>
      <c r="I85" s="9" t="s">
        <v>197</v>
      </c>
      <c r="J85" s="9" t="s">
        <v>198</v>
      </c>
      <c r="K85" s="5" t="s">
        <v>15173</v>
      </c>
      <c r="L85" s="13">
        <v>15967</v>
      </c>
      <c r="M85" t="str">
        <f>VLOOKUP(L85,[1]DevMouse!$B$2:$C$2693,2,FALSE)</f>
        <v>AGlom</v>
      </c>
    </row>
    <row r="86" spans="2:13" x14ac:dyDescent="0.25">
      <c r="B86" s="31" t="s">
        <v>25743</v>
      </c>
      <c r="C86" s="20"/>
      <c r="D86" s="25" t="s">
        <v>25767</v>
      </c>
      <c r="E86" s="25"/>
      <c r="F86" s="9" t="str">
        <f>HYPERLINK("https://www.ebi.ac.uk/ols/ontologies/uberon/terms?iri=http://purl.obolibrary.org/obo/UBERON_0007631","accessory olfactory bulb glomerular layer")</f>
        <v>accessory olfactory bulb glomerular layer</v>
      </c>
      <c r="G86" s="9" t="s">
        <v>196</v>
      </c>
      <c r="H86" s="9" t="s">
        <v>19407</v>
      </c>
      <c r="I86" s="9" t="s">
        <v>199</v>
      </c>
      <c r="J86" s="9" t="s">
        <v>200</v>
      </c>
      <c r="K86" s="3" t="s">
        <v>15176</v>
      </c>
      <c r="L86" s="13">
        <v>188</v>
      </c>
      <c r="M86" t="str">
        <f>VLOOKUP(L86,[1]Mouse_ARA!$B$2:$C$1328,2,FALSE)</f>
        <v>AOBgl</v>
      </c>
    </row>
    <row r="87" spans="2:13" x14ac:dyDescent="0.25">
      <c r="B87" s="31" t="s">
        <v>25743</v>
      </c>
      <c r="C87" s="20"/>
      <c r="D87" s="25" t="s">
        <v>25768</v>
      </c>
      <c r="E87" s="25"/>
      <c r="F87" s="9" t="str">
        <f>HYPERLINK("https://www.ebi.ac.uk/ols/ontologies/uberon/terms?iri=http://purl.obolibrary.org/obo/UBERON_0015244","accessory olfactory bulb granule cell layer")</f>
        <v>accessory olfactory bulb granule cell layer</v>
      </c>
      <c r="G87" s="9" t="s">
        <v>201</v>
      </c>
      <c r="H87" s="9" t="s">
        <v>15751</v>
      </c>
      <c r="I87" s="9" t="s">
        <v>202</v>
      </c>
      <c r="J87" s="9" t="s">
        <v>203</v>
      </c>
      <c r="K87" s="5" t="s">
        <v>15173</v>
      </c>
      <c r="L87" s="13">
        <v>15961</v>
      </c>
      <c r="M87" t="str">
        <f>VLOOKUP(L87,[1]DevMouse!$B$2:$C$2693,2,FALSE)</f>
        <v>AGr</v>
      </c>
    </row>
    <row r="88" spans="2:13" x14ac:dyDescent="0.25">
      <c r="B88" s="31" t="s">
        <v>25743</v>
      </c>
      <c r="C88" s="20"/>
      <c r="D88" s="25" t="s">
        <v>25768</v>
      </c>
      <c r="E88" s="25"/>
      <c r="F88" s="9" t="str">
        <f>HYPERLINK("https://www.ebi.ac.uk/ols/ontologies/uberon/terms?iri=http://purl.obolibrary.org/obo/UBERON_0015244","accessory olfactory bulb granule cell layer")</f>
        <v>accessory olfactory bulb granule cell layer</v>
      </c>
      <c r="G88" s="9" t="s">
        <v>201</v>
      </c>
      <c r="H88" s="9" t="s">
        <v>19409</v>
      </c>
      <c r="I88" s="9" t="s">
        <v>204</v>
      </c>
      <c r="J88" s="9" t="s">
        <v>205</v>
      </c>
      <c r="K88" s="3" t="s">
        <v>15176</v>
      </c>
      <c r="L88" s="13">
        <v>196</v>
      </c>
      <c r="M88" t="str">
        <f>VLOOKUP(L88,[1]Mouse_ARA!$B$2:$C$1328,2,FALSE)</f>
        <v>AOBgr</v>
      </c>
    </row>
    <row r="89" spans="2:13" x14ac:dyDescent="0.25">
      <c r="B89" s="31" t="s">
        <v>25743</v>
      </c>
      <c r="C89" s="20"/>
      <c r="D89" s="25" t="s">
        <v>25769</v>
      </c>
      <c r="E89" s="25"/>
      <c r="F89" s="9" t="str">
        <f>HYPERLINK("https://www.ebi.ac.uk/ols/ontologies/uberon/terms?iri=http://purl.obolibrary.org/obo/UBERON_0019290","accessory olfactory bulb internal plexiform layer")</f>
        <v>accessory olfactory bulb internal plexiform layer</v>
      </c>
      <c r="G89" s="9" t="s">
        <v>206</v>
      </c>
      <c r="H89" s="9" t="s">
        <v>15752</v>
      </c>
      <c r="I89" s="9" t="s">
        <v>207</v>
      </c>
      <c r="J89" s="9" t="s">
        <v>208</v>
      </c>
      <c r="K89" s="5" t="s">
        <v>15173</v>
      </c>
      <c r="L89" s="13">
        <v>15962</v>
      </c>
      <c r="M89" t="str">
        <f>VLOOKUP(L89,[1]DevMouse!$B$2:$C$2693,2,FALSE)</f>
        <v>AIPl</v>
      </c>
    </row>
    <row r="90" spans="2:13" x14ac:dyDescent="0.25">
      <c r="B90" s="31" t="s">
        <v>25743</v>
      </c>
      <c r="C90" s="20"/>
      <c r="D90" s="25" t="s">
        <v>25770</v>
      </c>
      <c r="E90" s="25"/>
      <c r="F90" s="9" t="str">
        <f>HYPERLINK("https://www.ebi.ac.uk/ols/ontologies/uberon/terms?iri=http://purl.obolibrary.org/obo/UBERON_0015432","accessory olfactory bulb mitral cell layer")</f>
        <v>accessory olfactory bulb mitral cell layer</v>
      </c>
      <c r="G90" s="9" t="s">
        <v>209</v>
      </c>
      <c r="H90" s="9" t="s">
        <v>19411</v>
      </c>
      <c r="I90" s="9" t="s">
        <v>210</v>
      </c>
      <c r="J90" s="9" t="s">
        <v>211</v>
      </c>
      <c r="K90" s="3" t="s">
        <v>15176</v>
      </c>
      <c r="L90" s="13">
        <v>204</v>
      </c>
      <c r="M90" t="str">
        <f>VLOOKUP(L90,[1]Mouse_ARA!$B$2:$C$1328,2,FALSE)</f>
        <v>AOBmi</v>
      </c>
    </row>
    <row r="91" spans="2:13" x14ac:dyDescent="0.25">
      <c r="B91" s="31" t="s">
        <v>25743</v>
      </c>
      <c r="C91" s="20"/>
      <c r="D91" s="25" t="s">
        <v>213</v>
      </c>
      <c r="E91" s="25"/>
      <c r="F91" s="9" t="str">
        <f>HYPERLINK("https://www.ebi.ac.uk/ols/ontologies/uberon/terms?iri=http://purl.obolibrary.org/obo/UBERON_0035595","accessory optic tract")</f>
        <v>accessory optic tract</v>
      </c>
      <c r="G91" s="9" t="s">
        <v>212</v>
      </c>
      <c r="H91" s="9" t="s">
        <v>20736</v>
      </c>
      <c r="I91" s="9" t="s">
        <v>213</v>
      </c>
      <c r="J91" s="9" t="s">
        <v>214</v>
      </c>
      <c r="K91" s="3" t="s">
        <v>15176</v>
      </c>
      <c r="L91" s="13">
        <v>876</v>
      </c>
      <c r="M91" t="str">
        <f>VLOOKUP(L91,[1]Mouse_ARA!$B$2:$C$1328,2,FALSE)</f>
        <v>aot</v>
      </c>
    </row>
    <row r="92" spans="2:13" x14ac:dyDescent="0.25">
      <c r="B92" s="31" t="s">
        <v>26302</v>
      </c>
      <c r="C92" s="20"/>
      <c r="D92" s="25" t="s">
        <v>25771</v>
      </c>
      <c r="E92" s="20" t="s">
        <v>26300</v>
      </c>
      <c r="F92" s="9" t="str">
        <f>HYPERLINK("https://www.ebi.ac.uk/ols/ontologies/uberon/terms?iri=http://purl.obolibrary.org/obo/UBERON_0034893","agranular insular cortex")</f>
        <v>agranular insular cortex</v>
      </c>
      <c r="G92" s="9" t="s">
        <v>215</v>
      </c>
      <c r="H92" s="9" t="s">
        <v>22756</v>
      </c>
      <c r="I92" s="9" t="s">
        <v>216</v>
      </c>
      <c r="J92" s="9" t="s">
        <v>217</v>
      </c>
      <c r="K92" s="4" t="s">
        <v>15175</v>
      </c>
      <c r="L92" s="13">
        <v>10289</v>
      </c>
      <c r="M92" t="str">
        <f>VLOOKUP(L92,[1]Human_BrainSpan!$B$2:$C$4000,2,FALSE)</f>
        <v>Idg</v>
      </c>
    </row>
    <row r="93" spans="2:13" x14ac:dyDescent="0.25">
      <c r="B93" s="31" t="s">
        <v>25743</v>
      </c>
      <c r="C93" s="20"/>
      <c r="D93" s="25" t="s">
        <v>25771</v>
      </c>
      <c r="E93" s="25"/>
      <c r="F93" s="9" t="str">
        <f>HYPERLINK("https://www.ebi.ac.uk/ols/ontologies/uberon/terms?iri=http://purl.obolibrary.org/obo/UBERON_0034893","agranular insular cortex")</f>
        <v>agranular insular cortex</v>
      </c>
      <c r="G93" s="9" t="s">
        <v>215</v>
      </c>
      <c r="H93" s="9" t="s">
        <v>22989</v>
      </c>
      <c r="I93" s="9" t="s">
        <v>218</v>
      </c>
      <c r="J93" s="9" t="s">
        <v>219</v>
      </c>
      <c r="K93" s="4" t="s">
        <v>15175</v>
      </c>
      <c r="L93" s="13">
        <v>10328</v>
      </c>
      <c r="M93" t="str">
        <f>VLOOKUP(L93,[1]Human_BrainSpan!$B$2:$C$4000,2,FALSE)</f>
        <v>Iag</v>
      </c>
    </row>
    <row r="94" spans="2:13" x14ac:dyDescent="0.25">
      <c r="B94" s="31" t="s">
        <v>25743</v>
      </c>
      <c r="C94" s="20"/>
      <c r="D94" s="25" t="s">
        <v>221</v>
      </c>
      <c r="E94" s="25"/>
      <c r="F94" s="9" t="str">
        <f>HYPERLINK("https://www.ebi.ac.uk/ols/ontologies/uberon/terms?iri=http://purl.obolibrary.org/obo/UBERON_0014734","allocortex")</f>
        <v>allocortex</v>
      </c>
      <c r="G94" s="9" t="s">
        <v>220</v>
      </c>
      <c r="H94" s="9" t="s">
        <v>23007</v>
      </c>
      <c r="I94" s="9" t="s">
        <v>221</v>
      </c>
      <c r="J94" s="9" t="s">
        <v>222</v>
      </c>
      <c r="K94" s="4" t="s">
        <v>15175</v>
      </c>
      <c r="L94" s="13">
        <v>10292</v>
      </c>
      <c r="M94" t="str">
        <f>VLOOKUP(L94,[1]Human_BrainSpan!$B$2:$C$4000,2,FALSE)</f>
        <v>ACx</v>
      </c>
    </row>
    <row r="95" spans="2:13" x14ac:dyDescent="0.25">
      <c r="B95" s="31" t="s">
        <v>25743</v>
      </c>
      <c r="C95" s="20"/>
      <c r="D95" s="25" t="s">
        <v>25772</v>
      </c>
      <c r="E95" s="25"/>
      <c r="F95" s="9" t="str">
        <f>HYPERLINK("https://www.ebi.ac.uk/ols/ontologies/uberon/terms?iri=http://purl.obolibrary.org/obo/UBERON_0036164","ambient gyrus")</f>
        <v>ambient gyrus</v>
      </c>
      <c r="G95" s="9" t="s">
        <v>223</v>
      </c>
      <c r="H95" s="9" t="s">
        <v>23857</v>
      </c>
      <c r="I95" s="9" t="s">
        <v>224</v>
      </c>
      <c r="J95" s="9" t="s">
        <v>225</v>
      </c>
      <c r="K95" s="4" t="s">
        <v>15175</v>
      </c>
      <c r="L95" s="13">
        <v>12166</v>
      </c>
      <c r="M95" t="str">
        <f>VLOOKUP(L95,[1]Human_BrainSpan!$B$2:$C$4000,2,FALSE)</f>
        <v>AG</v>
      </c>
    </row>
    <row r="96" spans="2:13" x14ac:dyDescent="0.25">
      <c r="B96" s="31" t="s">
        <v>25743</v>
      </c>
      <c r="C96" s="20"/>
      <c r="D96" s="25" t="s">
        <v>25773</v>
      </c>
      <c r="E96" s="25"/>
      <c r="F96" s="9" t="str">
        <f>HYPERLINK("https://www.ebi.ac.uk/ols/ontologies/uberon/terms?iri=http://purl.obolibrary.org/obo/UBERON_0035938","amiculum of inferior olive")</f>
        <v>amiculum of inferior olive</v>
      </c>
      <c r="G96" s="9" t="s">
        <v>226</v>
      </c>
      <c r="H96" s="9" t="s">
        <v>24598</v>
      </c>
      <c r="I96" s="9" t="s">
        <v>227</v>
      </c>
      <c r="J96" s="9" t="s">
        <v>228</v>
      </c>
      <c r="K96" s="4" t="s">
        <v>15175</v>
      </c>
      <c r="L96" s="13">
        <v>12728</v>
      </c>
      <c r="M96" t="str">
        <f>VLOOKUP(L96,[1]Human_BrainSpan!$B$2:$C$4000,2,FALSE)</f>
        <v>ami</v>
      </c>
    </row>
    <row r="97" spans="2:13" x14ac:dyDescent="0.25">
      <c r="B97" s="31" t="s">
        <v>25743</v>
      </c>
      <c r="C97" s="20"/>
      <c r="D97" s="25" t="s">
        <v>25773</v>
      </c>
      <c r="E97" s="25"/>
      <c r="F97" s="9" t="str">
        <f>HYPERLINK("https://www.ebi.ac.uk/ols/ontologies/uberon/terms?iri=http://purl.obolibrary.org/obo/UBERON_0035938","amiculum of inferior olive")</f>
        <v>amiculum of inferior olive</v>
      </c>
      <c r="G97" s="9" t="s">
        <v>226</v>
      </c>
      <c r="H97" s="9" t="s">
        <v>24598</v>
      </c>
      <c r="I97" s="9" t="s">
        <v>227</v>
      </c>
      <c r="J97" s="9" t="s">
        <v>229</v>
      </c>
      <c r="K97" s="7" t="s">
        <v>15171</v>
      </c>
      <c r="L97" s="13">
        <v>265505538</v>
      </c>
      <c r="M97" t="str">
        <f>VLOOKUP(L97,[1]HBA!$B$2:$C$4000,2,FALSE)</f>
        <v>ami</v>
      </c>
    </row>
    <row r="98" spans="2:13" x14ac:dyDescent="0.25">
      <c r="B98" s="31" t="s">
        <v>25743</v>
      </c>
      <c r="C98" s="20"/>
      <c r="D98" s="25" t="s">
        <v>233</v>
      </c>
      <c r="E98" s="25"/>
      <c r="F98" s="9" t="str">
        <f>HYPERLINK("https://www.ebi.ac.uk/ols/ontologies/uberon/terms?iri=http://purl.obolibrary.org/obo/UBERON_0001876","amygdala")</f>
        <v>amygdala</v>
      </c>
      <c r="G98" s="9" t="s">
        <v>230</v>
      </c>
      <c r="H98" s="9" t="s">
        <v>23149</v>
      </c>
      <c r="I98" s="9" t="s">
        <v>231</v>
      </c>
      <c r="J98" s="9" t="s">
        <v>232</v>
      </c>
      <c r="K98" s="4" t="s">
        <v>15175</v>
      </c>
      <c r="L98" s="13">
        <v>10361</v>
      </c>
      <c r="M98" t="str">
        <f>VLOOKUP(L98,[1]Human_BrainSpan!$B$2:$C$4000,2,FALSE)</f>
        <v>AMY</v>
      </c>
    </row>
    <row r="99" spans="2:13" x14ac:dyDescent="0.25">
      <c r="B99" s="31" t="s">
        <v>25743</v>
      </c>
      <c r="C99" s="20"/>
      <c r="D99" s="25" t="s">
        <v>233</v>
      </c>
      <c r="E99" s="25"/>
      <c r="F99" s="9" t="str">
        <f>HYPERLINK("https://www.ebi.ac.uk/ols/ontologies/uberon/terms?iri=http://purl.obolibrary.org/obo/UBERON_0001876","amygdala")</f>
        <v>amygdala</v>
      </c>
      <c r="G99" s="9" t="s">
        <v>230</v>
      </c>
      <c r="H99" s="9" t="s">
        <v>24841</v>
      </c>
      <c r="I99" s="9" t="s">
        <v>233</v>
      </c>
      <c r="J99" s="9" t="s">
        <v>234</v>
      </c>
      <c r="K99" s="7" t="s">
        <v>15171</v>
      </c>
      <c r="L99" s="13">
        <v>4327</v>
      </c>
      <c r="M99" t="str">
        <f>VLOOKUP(L99,[1]HBA!$B$2:$C$4000,2,FALSE)</f>
        <v>Amg</v>
      </c>
    </row>
    <row r="100" spans="2:13" x14ac:dyDescent="0.25">
      <c r="B100" s="31" t="s">
        <v>25743</v>
      </c>
      <c r="C100" s="20"/>
      <c r="D100" s="25" t="s">
        <v>233</v>
      </c>
      <c r="E100" s="25"/>
      <c r="F100" s="9" t="str">
        <f>HYPERLINK("https://www.ebi.ac.uk/ols/ontologies/uberon/terms?iri=http://purl.obolibrary.org/obo/UBERON_0001876","amygdala")</f>
        <v>amygdala</v>
      </c>
      <c r="G100" s="9" t="s">
        <v>230</v>
      </c>
      <c r="H100" s="9" t="s">
        <v>25717</v>
      </c>
      <c r="I100" s="9" t="s">
        <v>231</v>
      </c>
      <c r="J100" s="9" t="s">
        <v>235</v>
      </c>
      <c r="K100" s="6" t="s">
        <v>15174</v>
      </c>
      <c r="L100" s="13">
        <v>4002</v>
      </c>
      <c r="M100" t="str">
        <f>VLOOKUP(L100,[1]NonHumanPrimate!$B$2:$C$4000,2,FALSE)</f>
        <v>Amy</v>
      </c>
    </row>
    <row r="101" spans="2:13" x14ac:dyDescent="0.25">
      <c r="B101" s="31" t="s">
        <v>25743</v>
      </c>
      <c r="C101" s="20"/>
      <c r="D101" s="25" t="s">
        <v>237</v>
      </c>
      <c r="E101" s="25"/>
      <c r="F101" s="9" t="str">
        <f>HYPERLINK("https://www.ebi.ac.uk/ols/ontologies/uberon/terms?iri=http://purl.obolibrary.org/obo/UBERON_0034673","amygdalohippocampal area")</f>
        <v>amygdalohippocampal area</v>
      </c>
      <c r="G101" s="9" t="s">
        <v>236</v>
      </c>
      <c r="H101" s="9" t="s">
        <v>20037</v>
      </c>
      <c r="I101" s="9" t="s">
        <v>237</v>
      </c>
      <c r="J101" s="9" t="s">
        <v>238</v>
      </c>
      <c r="K101" s="4" t="s">
        <v>15175</v>
      </c>
      <c r="L101" s="13">
        <v>10377</v>
      </c>
      <c r="M101" t="str">
        <f>VLOOKUP(L101,[1]Human_BrainSpan!$B$2:$C$4000,2,FALSE)</f>
        <v>AHA</v>
      </c>
    </row>
    <row r="102" spans="2:13" x14ac:dyDescent="0.25">
      <c r="B102" s="31" t="s">
        <v>25743</v>
      </c>
      <c r="C102" s="20"/>
      <c r="D102" s="25" t="s">
        <v>237</v>
      </c>
      <c r="E102" s="25"/>
      <c r="F102" s="9" t="str">
        <f>HYPERLINK("https://www.ebi.ac.uk/ols/ontologies/uberon/terms?iri=http://purl.obolibrary.org/obo/UBERON_0034673","amygdalohippocampal area")</f>
        <v>amygdalohippocampal area</v>
      </c>
      <c r="G102" s="9" t="s">
        <v>236</v>
      </c>
      <c r="H102" s="9" t="s">
        <v>15735</v>
      </c>
      <c r="I102" s="9" t="s">
        <v>237</v>
      </c>
      <c r="J102" s="9" t="s">
        <v>239</v>
      </c>
      <c r="K102" s="5" t="s">
        <v>15173</v>
      </c>
      <c r="L102" s="13">
        <v>15945</v>
      </c>
      <c r="M102" t="str">
        <f>VLOOKUP(L102,[1]DevMouse!$B$2:$C$2693,2,FALSE)</f>
        <v>AHi</v>
      </c>
    </row>
    <row r="103" spans="2:13" x14ac:dyDescent="0.25">
      <c r="B103" s="31" t="s">
        <v>25743</v>
      </c>
      <c r="C103" s="20"/>
      <c r="D103" s="25" t="s">
        <v>237</v>
      </c>
      <c r="E103" s="25"/>
      <c r="F103" s="9" t="str">
        <f>HYPERLINK("https://www.ebi.ac.uk/ols/ontologies/uberon/terms?iri=http://purl.obolibrary.org/obo/UBERON_0034673","amygdalohippocampal area")</f>
        <v>amygdalohippocampal area</v>
      </c>
      <c r="G103" s="9" t="s">
        <v>236</v>
      </c>
      <c r="H103" s="9" t="s">
        <v>24843</v>
      </c>
      <c r="I103" s="9" t="s">
        <v>240</v>
      </c>
      <c r="J103" s="9" t="s">
        <v>241</v>
      </c>
      <c r="K103" s="7" t="s">
        <v>15171</v>
      </c>
      <c r="L103" s="13">
        <v>4330</v>
      </c>
      <c r="M103" t="str">
        <f>VLOOKUP(L103,[1]HBA!$B$2:$C$4000,2,FALSE)</f>
        <v>AHiA</v>
      </c>
    </row>
    <row r="104" spans="2:13" x14ac:dyDescent="0.25">
      <c r="B104" s="31" t="s">
        <v>25743</v>
      </c>
      <c r="C104" s="20"/>
      <c r="D104" s="25" t="s">
        <v>237</v>
      </c>
      <c r="E104" s="25"/>
      <c r="F104" s="9" t="str">
        <f>HYPERLINK("https://www.ebi.ac.uk/ols/ontologies/uberon/terms?iri=http://purl.obolibrary.org/obo/UBERON_0034673","amygdalohippocampal area")</f>
        <v>amygdalohippocampal area</v>
      </c>
      <c r="G104" s="9" t="s">
        <v>236</v>
      </c>
      <c r="H104" s="9" t="s">
        <v>20037</v>
      </c>
      <c r="I104" s="9" t="s">
        <v>237</v>
      </c>
      <c r="J104" s="9" t="s">
        <v>242</v>
      </c>
      <c r="K104" s="6" t="s">
        <v>15174</v>
      </c>
      <c r="L104" s="13">
        <v>10135</v>
      </c>
      <c r="M104" t="str">
        <f>VLOOKUP(L104,[1]NonHumanPrimate!$B$2:$C$4000,2,FALSE)</f>
        <v>AHA</v>
      </c>
    </row>
    <row r="105" spans="2:13" x14ac:dyDescent="0.25">
      <c r="B105" s="31" t="s">
        <v>25743</v>
      </c>
      <c r="C105" s="20"/>
      <c r="D105" s="25" t="s">
        <v>25774</v>
      </c>
      <c r="E105" s="25"/>
      <c r="F105" s="9" t="str">
        <f>HYPERLINK("https://www.ebi.ac.uk/ols/ontologies/uberon/terms?iri=http://purl.obolibrary.org/obo/UBERON_0035027","amygdalohippocampal area, magnocellular division")</f>
        <v>amygdalohippocampal area, magnocellular division</v>
      </c>
      <c r="G105" s="9" t="s">
        <v>243</v>
      </c>
      <c r="H105" s="9" t="s">
        <v>24844</v>
      </c>
      <c r="I105" s="9" t="s">
        <v>244</v>
      </c>
      <c r="J105" s="9" t="s">
        <v>245</v>
      </c>
      <c r="K105" s="7" t="s">
        <v>15171</v>
      </c>
      <c r="L105" s="13">
        <v>265504452</v>
      </c>
      <c r="M105" t="str">
        <f>VLOOKUP(L105,[1]HBA!$B$2:$C$4000,2,FALSE)</f>
        <v>AHiAm</v>
      </c>
    </row>
    <row r="106" spans="2:13" x14ac:dyDescent="0.25">
      <c r="B106" s="31" t="s">
        <v>25743</v>
      </c>
      <c r="C106" s="20"/>
      <c r="D106" s="25" t="s">
        <v>25774</v>
      </c>
      <c r="E106" s="25"/>
      <c r="F106" s="9" t="str">
        <f>HYPERLINK("https://www.ebi.ac.uk/ols/ontologies/uberon/terms?iri=http://purl.obolibrary.org/obo/UBERON_0035027","amygdalohippocampal area, magnocellular division")</f>
        <v>amygdalohippocampal area, magnocellular division</v>
      </c>
      <c r="G106" s="9" t="s">
        <v>243</v>
      </c>
      <c r="H106" s="9" t="s">
        <v>23175</v>
      </c>
      <c r="I106" s="9" t="s">
        <v>246</v>
      </c>
      <c r="J106" s="9" t="s">
        <v>247</v>
      </c>
      <c r="K106" s="6" t="s">
        <v>15174</v>
      </c>
      <c r="L106" s="13">
        <v>10136</v>
      </c>
      <c r="M106" t="str">
        <f>VLOOKUP(L106,[1]NonHumanPrimate!$B$2:$C$4000,2,FALSE)</f>
        <v>AHAmc</v>
      </c>
    </row>
    <row r="107" spans="2:13" x14ac:dyDescent="0.25">
      <c r="B107" s="31" t="s">
        <v>25743</v>
      </c>
      <c r="C107" s="20"/>
      <c r="D107" s="25" t="s">
        <v>25775</v>
      </c>
      <c r="E107" s="25"/>
      <c r="F107" s="9" t="str">
        <f>HYPERLINK("https://www.ebi.ac.uk/ols/ontologies/uberon/terms?iri=http://purl.obolibrary.org/obo/UBERON_0035028","amygdalohippocampal area, parvocellular division")</f>
        <v>amygdalohippocampal area, parvocellular division</v>
      </c>
      <c r="G107" s="9" t="s">
        <v>248</v>
      </c>
      <c r="H107" s="9" t="s">
        <v>24845</v>
      </c>
      <c r="I107" s="9" t="s">
        <v>249</v>
      </c>
      <c r="J107" s="9" t="s">
        <v>250</v>
      </c>
      <c r="K107" s="7" t="s">
        <v>15171</v>
      </c>
      <c r="L107" s="13">
        <v>265504456</v>
      </c>
      <c r="M107" t="str">
        <f>VLOOKUP(L107,[1]HBA!$B$2:$C$4000,2,FALSE)</f>
        <v>AHiAp</v>
      </c>
    </row>
    <row r="108" spans="2:13" x14ac:dyDescent="0.25">
      <c r="B108" s="31" t="s">
        <v>25743</v>
      </c>
      <c r="C108" s="20"/>
      <c r="D108" s="25" t="s">
        <v>25775</v>
      </c>
      <c r="E108" s="25"/>
      <c r="F108" s="9" t="str">
        <f>HYPERLINK("https://www.ebi.ac.uk/ols/ontologies/uberon/terms?iri=http://purl.obolibrary.org/obo/UBERON_0035028","amygdalohippocampal area, parvocellular division")</f>
        <v>amygdalohippocampal area, parvocellular division</v>
      </c>
      <c r="G108" s="9" t="s">
        <v>248</v>
      </c>
      <c r="H108" s="9" t="s">
        <v>23176</v>
      </c>
      <c r="I108" s="9" t="s">
        <v>251</v>
      </c>
      <c r="J108" s="9" t="s">
        <v>252</v>
      </c>
      <c r="K108" s="6" t="s">
        <v>15174</v>
      </c>
      <c r="L108" s="13">
        <v>10137</v>
      </c>
      <c r="M108" t="str">
        <f>VLOOKUP(L108,[1]NonHumanPrimate!$B$2:$C$4000,2,FALSE)</f>
        <v>AHApc</v>
      </c>
    </row>
    <row r="109" spans="2:13" x14ac:dyDescent="0.25">
      <c r="B109" s="31" t="s">
        <v>25743</v>
      </c>
      <c r="C109" s="20"/>
      <c r="D109" s="25" t="s">
        <v>254</v>
      </c>
      <c r="E109" s="25"/>
      <c r="F109" s="9" t="str">
        <f>HYPERLINK("https://www.ebi.ac.uk/ols/ontologies/uberon/terms?iri=http://purl.obolibrary.org/obo/UBERON_0035026","amygdalohippocampal transition area")</f>
        <v>amygdalohippocampal transition area</v>
      </c>
      <c r="G109" s="9" t="s">
        <v>253</v>
      </c>
      <c r="H109" s="9" t="s">
        <v>23209</v>
      </c>
      <c r="I109" s="9" t="s">
        <v>254</v>
      </c>
      <c r="J109" s="9" t="s">
        <v>255</v>
      </c>
      <c r="K109" s="4" t="s">
        <v>15175</v>
      </c>
      <c r="L109" s="13">
        <v>10380</v>
      </c>
      <c r="M109" t="str">
        <f>VLOOKUP(L109,[1]Human_BrainSpan!$B$2:$C$4000,2,FALSE)</f>
        <v>AHTA</v>
      </c>
    </row>
    <row r="110" spans="2:13" x14ac:dyDescent="0.25">
      <c r="B110" s="31" t="s">
        <v>25743</v>
      </c>
      <c r="C110" s="20"/>
      <c r="D110" s="25" t="s">
        <v>257</v>
      </c>
      <c r="E110" s="25"/>
      <c r="F110" s="9" t="str">
        <f>HYPERLINK("https://www.ebi.ac.uk/ols/ontologies/uberon/terms?iri=http://purl.obolibrary.org/obo/UBERON_0034989","amygdalopiriform transition area")</f>
        <v>amygdalopiriform transition area</v>
      </c>
      <c r="G110" s="9" t="s">
        <v>256</v>
      </c>
      <c r="H110" s="9" t="s">
        <v>15788</v>
      </c>
      <c r="I110" s="9" t="s">
        <v>257</v>
      </c>
      <c r="J110" s="9" t="s">
        <v>258</v>
      </c>
      <c r="K110" s="6" t="s">
        <v>15174</v>
      </c>
      <c r="L110" s="13">
        <v>10140</v>
      </c>
      <c r="M110" t="str">
        <f>VLOOKUP(L110,[1]NonHumanPrimate!$B$2:$C$4000,2,FALSE)</f>
        <v>APir</v>
      </c>
    </row>
    <row r="111" spans="2:13" x14ac:dyDescent="0.25">
      <c r="B111" s="31" t="s">
        <v>25743</v>
      </c>
      <c r="C111" s="20"/>
      <c r="D111" s="25" t="s">
        <v>25776</v>
      </c>
      <c r="E111" s="20"/>
      <c r="F111" s="9" t="str">
        <f t="shared" ref="F111:F116" si="0">HYPERLINK("https://www.ebi.ac.uk/ols/ontologies/uberon/terms?iri=http://purl.obolibrary.org/obo/UBERON_0001062","anatomical entity")</f>
        <v>anatomical entity</v>
      </c>
      <c r="G111" s="9" t="s">
        <v>259</v>
      </c>
      <c r="H111" s="9" t="e">
        <v>#N/A</v>
      </c>
      <c r="I111" s="9" t="s">
        <v>260</v>
      </c>
      <c r="J111" s="9" t="s">
        <v>261</v>
      </c>
      <c r="K111" s="3" t="s">
        <v>15176</v>
      </c>
      <c r="L111" s="19" t="s">
        <v>15172</v>
      </c>
      <c r="M111" t="e">
        <f>VLOOKUP(L111,[1]Mouse_ARA!$B$2:$C$1328,2,FALSE)</f>
        <v>#N/A</v>
      </c>
    </row>
    <row r="112" spans="2:13" x14ac:dyDescent="0.25">
      <c r="B112" s="31" t="s">
        <v>25743</v>
      </c>
      <c r="C112" s="20"/>
      <c r="D112" s="25" t="s">
        <v>25776</v>
      </c>
      <c r="E112" s="20"/>
      <c r="F112" s="9" t="str">
        <f t="shared" si="0"/>
        <v>anatomical entity</v>
      </c>
      <c r="G112" s="9" t="s">
        <v>259</v>
      </c>
      <c r="H112" s="9" t="e">
        <v>#N/A</v>
      </c>
      <c r="I112" s="9" t="s">
        <v>262</v>
      </c>
      <c r="J112" s="9" t="s">
        <v>263</v>
      </c>
      <c r="K112" s="4" t="s">
        <v>15175</v>
      </c>
      <c r="L112" s="19" t="s">
        <v>15172</v>
      </c>
      <c r="M112" t="e">
        <f>VLOOKUP(L112,[1]Human_BrainSpan!$B$2:$C$4000,2,FALSE)</f>
        <v>#N/A</v>
      </c>
    </row>
    <row r="113" spans="2:13" x14ac:dyDescent="0.25">
      <c r="B113" s="31" t="s">
        <v>25743</v>
      </c>
      <c r="C113" s="20"/>
      <c r="D113" s="25" t="s">
        <v>25776</v>
      </c>
      <c r="E113" s="20"/>
      <c r="F113" s="9" t="str">
        <f t="shared" si="0"/>
        <v>anatomical entity</v>
      </c>
      <c r="G113" s="9" t="s">
        <v>259</v>
      </c>
      <c r="H113" s="9" t="e">
        <v>#N/A</v>
      </c>
      <c r="I113" s="9" t="s">
        <v>264</v>
      </c>
      <c r="J113" s="9" t="s">
        <v>265</v>
      </c>
      <c r="K113" s="5" t="s">
        <v>15173</v>
      </c>
      <c r="L113" s="19" t="s">
        <v>15172</v>
      </c>
      <c r="M113" t="e">
        <f>VLOOKUP(L113,[1]DevMouse!$B$2:$C$2693,2,FALSE)</f>
        <v>#N/A</v>
      </c>
    </row>
    <row r="114" spans="2:13" x14ac:dyDescent="0.25">
      <c r="B114" s="31" t="s">
        <v>25743</v>
      </c>
      <c r="C114" s="20"/>
      <c r="D114" s="25" t="s">
        <v>25776</v>
      </c>
      <c r="E114" s="20"/>
      <c r="F114" s="9" t="str">
        <f t="shared" si="0"/>
        <v>anatomical entity</v>
      </c>
      <c r="G114" s="9" t="s">
        <v>259</v>
      </c>
      <c r="H114" s="9" t="e">
        <v>#N/A</v>
      </c>
      <c r="I114" s="9" t="s">
        <v>266</v>
      </c>
      <c r="J114" s="9" t="s">
        <v>267</v>
      </c>
      <c r="K114" s="7" t="s">
        <v>15171</v>
      </c>
      <c r="L114" s="19" t="s">
        <v>15172</v>
      </c>
      <c r="M114" t="e">
        <f>VLOOKUP(L114,[1]HBA!$B$2:$C$4000,2,FALSE)</f>
        <v>#N/A</v>
      </c>
    </row>
    <row r="115" spans="2:13" x14ac:dyDescent="0.25">
      <c r="B115" s="31" t="s">
        <v>25743</v>
      </c>
      <c r="C115" s="20"/>
      <c r="D115" s="25" t="s">
        <v>25776</v>
      </c>
      <c r="E115" s="20"/>
      <c r="F115" s="9" t="str">
        <f t="shared" si="0"/>
        <v>anatomical entity</v>
      </c>
      <c r="G115" s="9" t="s">
        <v>259</v>
      </c>
      <c r="H115" s="9" t="e">
        <v>#N/A</v>
      </c>
      <c r="I115" s="9" t="s">
        <v>268</v>
      </c>
      <c r="J115" s="9" t="s">
        <v>269</v>
      </c>
      <c r="K115" s="3" t="s">
        <v>15176</v>
      </c>
      <c r="L115" s="19" t="s">
        <v>15172</v>
      </c>
      <c r="M115" t="e">
        <f>VLOOKUP(L115,[1]Mouse_ARA!$B$2:$C$1328,2,FALSE)</f>
        <v>#N/A</v>
      </c>
    </row>
    <row r="116" spans="2:13" x14ac:dyDescent="0.25">
      <c r="B116" s="31" t="s">
        <v>25743</v>
      </c>
      <c r="C116" s="20"/>
      <c r="D116" s="25" t="s">
        <v>25776</v>
      </c>
      <c r="E116" s="20"/>
      <c r="F116" s="9" t="str">
        <f t="shared" si="0"/>
        <v>anatomical entity</v>
      </c>
      <c r="G116" s="9" t="s">
        <v>259</v>
      </c>
      <c r="H116" s="9" t="e">
        <v>#N/A</v>
      </c>
      <c r="I116" s="9" t="s">
        <v>270</v>
      </c>
      <c r="J116" s="9" t="s">
        <v>271</v>
      </c>
      <c r="K116" s="6" t="s">
        <v>15174</v>
      </c>
      <c r="L116" s="19" t="s">
        <v>15172</v>
      </c>
      <c r="M116" t="e">
        <f>VLOOKUP(L116,[1]NonHumanPrimate!$B$2:$C$4000,2,FALSE)</f>
        <v>#N/A</v>
      </c>
    </row>
    <row r="117" spans="2:13" x14ac:dyDescent="0.25">
      <c r="B117" s="31" t="s">
        <v>25743</v>
      </c>
      <c r="C117" s="20"/>
      <c r="D117" s="25" t="s">
        <v>273</v>
      </c>
      <c r="E117" s="25"/>
      <c r="F117" s="9" t="str">
        <f>HYPERLINK("https://www.ebi.ac.uk/ols/ontologies/uberon/terms?iri=http://purl.obolibrary.org/obo/UBERON_0002686","angular gyrus")</f>
        <v>angular gyrus</v>
      </c>
      <c r="G117" s="9" t="s">
        <v>272</v>
      </c>
      <c r="H117" s="9" t="s">
        <v>23818</v>
      </c>
      <c r="I117" s="9" t="s">
        <v>273</v>
      </c>
      <c r="J117" s="9" t="s">
        <v>274</v>
      </c>
      <c r="K117" s="4" t="s">
        <v>15175</v>
      </c>
      <c r="L117" s="13">
        <v>12136</v>
      </c>
      <c r="M117" t="str">
        <f>VLOOKUP(L117,[1]Human_BrainSpan!$B$2:$C$4000,2,FALSE)</f>
        <v>AnG</v>
      </c>
    </row>
    <row r="118" spans="2:13" x14ac:dyDescent="0.25">
      <c r="B118" s="31" t="s">
        <v>25743</v>
      </c>
      <c r="C118" s="20"/>
      <c r="D118" s="25" t="s">
        <v>273</v>
      </c>
      <c r="E118" s="25"/>
      <c r="F118" s="9" t="str">
        <f>HYPERLINK("https://www.ebi.ac.uk/ols/ontologies/uberon/terms?iri=http://purl.obolibrary.org/obo/UBERON_0002686","angular gyrus")</f>
        <v>angular gyrus</v>
      </c>
      <c r="G118" s="9" t="s">
        <v>272</v>
      </c>
      <c r="H118" s="9" t="s">
        <v>23818</v>
      </c>
      <c r="I118" s="9" t="s">
        <v>273</v>
      </c>
      <c r="J118" s="9" t="s">
        <v>275</v>
      </c>
      <c r="K118" s="7" t="s">
        <v>15171</v>
      </c>
      <c r="L118" s="13">
        <v>4111</v>
      </c>
      <c r="M118" t="str">
        <f>VLOOKUP(L118,[1]HBA!$B$2:$C$4000,2,FALSE)</f>
        <v>AnG</v>
      </c>
    </row>
    <row r="119" spans="2:13" x14ac:dyDescent="0.25">
      <c r="B119" s="31" t="s">
        <v>25743</v>
      </c>
      <c r="C119" s="20"/>
      <c r="D119" s="25" t="s">
        <v>277</v>
      </c>
      <c r="E119" s="25"/>
      <c r="F119" s="9" t="str">
        <f>HYPERLINK("https://www.ebi.ac.uk/ols/ontologies/uberon/terms?iri=http://purl.obolibrary.org/obo/UBERON_0026725","angular sulcus")</f>
        <v>angular sulcus</v>
      </c>
      <c r="G119" s="9" t="s">
        <v>276</v>
      </c>
      <c r="H119" s="9" t="s">
        <v>25546</v>
      </c>
      <c r="I119" s="9" t="s">
        <v>277</v>
      </c>
      <c r="J119" s="9" t="s">
        <v>278</v>
      </c>
      <c r="K119" s="7" t="s">
        <v>15171</v>
      </c>
      <c r="L119" s="13">
        <v>9384</v>
      </c>
      <c r="M119" t="str">
        <f>VLOOKUP(L119,[1]HBA!$B$2:$C$4000,2,FALSE)</f>
        <v>ans</v>
      </c>
    </row>
    <row r="120" spans="2:13" x14ac:dyDescent="0.25">
      <c r="B120" s="31" t="s">
        <v>25743</v>
      </c>
      <c r="C120" s="20"/>
      <c r="D120" s="25" t="s">
        <v>280</v>
      </c>
      <c r="E120" s="25"/>
      <c r="F120" s="9" t="str">
        <f>HYPERLINK("https://www.ebi.ac.uk/ols/ontologies/uberon/terms?iri=http://purl.obolibrary.org/obo/UBERON_0009641","ansa lenticularis")</f>
        <v>ansa lenticularis</v>
      </c>
      <c r="G120" s="9" t="s">
        <v>279</v>
      </c>
      <c r="H120" s="9" t="s">
        <v>23552</v>
      </c>
      <c r="I120" s="9" t="s">
        <v>280</v>
      </c>
      <c r="J120" s="9" t="s">
        <v>281</v>
      </c>
      <c r="K120" s="4" t="s">
        <v>15175</v>
      </c>
      <c r="L120" s="13">
        <v>10571</v>
      </c>
      <c r="M120" t="str">
        <f>VLOOKUP(L120,[1]Human_BrainSpan!$B$2:$C$4000,2,FALSE)</f>
        <v>al</v>
      </c>
    </row>
    <row r="121" spans="2:13" x14ac:dyDescent="0.25">
      <c r="B121" s="31" t="s">
        <v>25743</v>
      </c>
      <c r="C121" s="25"/>
      <c r="D121" s="25" t="s">
        <v>280</v>
      </c>
      <c r="E121" s="25"/>
      <c r="F121" s="9" t="str">
        <f>HYPERLINK("https://www.ebi.ac.uk/ols/ontologies/uberon/terms?iri=http://purl.obolibrary.org/obo/UBERON_0009641","ansa lenticularis")</f>
        <v>ansa lenticularis</v>
      </c>
      <c r="G121" s="9" t="s">
        <v>279</v>
      </c>
      <c r="H121" s="9" t="s">
        <v>23552</v>
      </c>
      <c r="I121" s="9" t="s">
        <v>280</v>
      </c>
      <c r="J121" s="9" t="s">
        <v>282</v>
      </c>
      <c r="K121" s="7" t="s">
        <v>15171</v>
      </c>
      <c r="L121" s="13">
        <v>9237</v>
      </c>
      <c r="M121" t="str">
        <f>VLOOKUP(L121,[1]HBA!$B$2:$C$4000,2,FALSE)</f>
        <v>al</v>
      </c>
    </row>
    <row r="122" spans="2:13" x14ac:dyDescent="0.25">
      <c r="B122" s="31" t="s">
        <v>25743</v>
      </c>
      <c r="C122" s="20"/>
      <c r="D122" s="25" t="s">
        <v>284</v>
      </c>
      <c r="E122" s="25"/>
      <c r="F122" s="9" t="str">
        <f>HYPERLINK("https://www.ebi.ac.uk/ols/ontologies/uberon/terms?iri=http://purl.obolibrary.org/obo/UBERON_0034896","ansa peduncularis")</f>
        <v>ansa peduncularis</v>
      </c>
      <c r="G122" s="9" t="s">
        <v>283</v>
      </c>
      <c r="H122" s="9" t="s">
        <v>23553</v>
      </c>
      <c r="I122" s="9" t="s">
        <v>284</v>
      </c>
      <c r="J122" s="9" t="s">
        <v>285</v>
      </c>
      <c r="K122" s="4" t="s">
        <v>15175</v>
      </c>
      <c r="L122" s="13">
        <v>266441591</v>
      </c>
      <c r="M122" t="str">
        <f>VLOOKUP(L122,[1]Human_BrainSpan!$B$2:$C$4000,2,FALSE)</f>
        <v>ap</v>
      </c>
    </row>
    <row r="123" spans="2:13" x14ac:dyDescent="0.25">
      <c r="B123" s="31" t="s">
        <v>25743</v>
      </c>
      <c r="C123" s="20"/>
      <c r="D123" s="25" t="s">
        <v>284</v>
      </c>
      <c r="E123" s="25"/>
      <c r="F123" s="9" t="str">
        <f>HYPERLINK("https://www.ebi.ac.uk/ols/ontologies/uberon/terms?iri=http://purl.obolibrary.org/obo/UBERON_0034896","ansa peduncularis")</f>
        <v>ansa peduncularis</v>
      </c>
      <c r="G123" s="9" t="s">
        <v>283</v>
      </c>
      <c r="H123" s="9" t="s">
        <v>20884</v>
      </c>
      <c r="I123" s="9" t="s">
        <v>284</v>
      </c>
      <c r="J123" s="9" t="s">
        <v>286</v>
      </c>
      <c r="K123" s="3" t="s">
        <v>15176</v>
      </c>
      <c r="L123" s="13">
        <v>892</v>
      </c>
      <c r="M123" t="str">
        <f>VLOOKUP(L123,[1]Mouse_ARA!$B$2:$C$1328,2,FALSE)</f>
        <v>apd</v>
      </c>
    </row>
    <row r="124" spans="2:13" x14ac:dyDescent="0.25">
      <c r="B124" s="31" t="s">
        <v>25743</v>
      </c>
      <c r="C124" s="20"/>
      <c r="D124" s="25" t="s">
        <v>288</v>
      </c>
      <c r="E124" s="25"/>
      <c r="F124" s="9" t="str">
        <f>HYPERLINK("https://www.ebi.ac.uk/ols/ontologies/uberon/terms?iri=http://purl.obolibrary.org/obo/UBERON_0005348","ansiform lobule")</f>
        <v>ansiform lobule</v>
      </c>
      <c r="G124" s="9" t="s">
        <v>287</v>
      </c>
      <c r="H124" s="9" t="s">
        <v>20662</v>
      </c>
      <c r="I124" s="9" t="s">
        <v>288</v>
      </c>
      <c r="J124" s="9" t="s">
        <v>289</v>
      </c>
      <c r="K124" s="3" t="s">
        <v>15176</v>
      </c>
      <c r="L124" s="13">
        <v>1017</v>
      </c>
      <c r="M124" t="str">
        <f>VLOOKUP(L124,[1]Mouse_ARA!$B$2:$C$1328,2,FALSE)</f>
        <v>AN</v>
      </c>
    </row>
    <row r="125" spans="2:13" x14ac:dyDescent="0.25">
      <c r="B125" s="31" t="s">
        <v>25743</v>
      </c>
      <c r="C125" s="20"/>
      <c r="D125" s="25" t="s">
        <v>25777</v>
      </c>
      <c r="E125" s="25"/>
      <c r="F125" s="9" t="str">
        <f>HYPERLINK("https://www.ebi.ac.uk/ols/ontologies/uberon/terms?iri=http://purl.obolibrary.org/obo/UBERON_0005976","ansiform lobule crus I")</f>
        <v>ansiform lobule crus I</v>
      </c>
      <c r="G125" s="9" t="s">
        <v>290</v>
      </c>
      <c r="H125" s="9" t="s">
        <v>25385</v>
      </c>
      <c r="I125" s="9" t="s">
        <v>291</v>
      </c>
      <c r="J125" s="9" t="s">
        <v>292</v>
      </c>
      <c r="K125" s="7" t="s">
        <v>15171</v>
      </c>
      <c r="L125" s="13">
        <v>12938</v>
      </c>
      <c r="M125" t="str">
        <f>VLOOKUP(L125,[1]HBA!$B$2:$C$4000,2,FALSE)</f>
        <v>Cb-Crus I</v>
      </c>
    </row>
    <row r="126" spans="2:13" x14ac:dyDescent="0.25">
      <c r="B126" s="31" t="s">
        <v>25743</v>
      </c>
      <c r="C126" s="20"/>
      <c r="D126" s="25" t="s">
        <v>25777</v>
      </c>
      <c r="E126" s="25"/>
      <c r="F126" s="9" t="str">
        <f>HYPERLINK("https://www.ebi.ac.uk/ols/ontologies/uberon/terms?iri=http://purl.obolibrary.org/obo/UBERON_0005976","ansiform lobule crus I")</f>
        <v>ansiform lobule crus I</v>
      </c>
      <c r="G126" s="9" t="s">
        <v>290</v>
      </c>
      <c r="H126" s="9" t="s">
        <v>20664</v>
      </c>
      <c r="I126" s="9" t="s">
        <v>293</v>
      </c>
      <c r="J126" s="9" t="s">
        <v>294</v>
      </c>
      <c r="K126" s="3" t="s">
        <v>15176</v>
      </c>
      <c r="L126" s="13">
        <v>1056</v>
      </c>
      <c r="M126" t="str">
        <f>VLOOKUP(L126,[1]Mouse_ARA!$B$2:$C$1328,2,FALSE)</f>
        <v>ANcr1</v>
      </c>
    </row>
    <row r="127" spans="2:13" x14ac:dyDescent="0.25">
      <c r="B127" s="31" t="s">
        <v>25743</v>
      </c>
      <c r="C127" s="20"/>
      <c r="D127" s="25" t="s">
        <v>25778</v>
      </c>
      <c r="E127" s="25"/>
      <c r="F127" s="9" t="str">
        <f>HYPERLINK("https://www.ebi.ac.uk/ols/ontologies/uberon/terms?iri=http://purl.obolibrary.org/obo/UBERON_0005977","ansiform lobule crus II")</f>
        <v>ansiform lobule crus II</v>
      </c>
      <c r="G127" s="9" t="s">
        <v>295</v>
      </c>
      <c r="H127" s="9" t="s">
        <v>25392</v>
      </c>
      <c r="I127" s="9" t="s">
        <v>296</v>
      </c>
      <c r="J127" s="9" t="s">
        <v>297</v>
      </c>
      <c r="K127" s="7" t="s">
        <v>15171</v>
      </c>
      <c r="L127" s="13">
        <v>12939</v>
      </c>
      <c r="M127" t="str">
        <f>VLOOKUP(L127,[1]HBA!$B$2:$C$4000,2,FALSE)</f>
        <v>Cb-Crus II</v>
      </c>
    </row>
    <row r="128" spans="2:13" x14ac:dyDescent="0.25">
      <c r="B128" s="31" t="s">
        <v>25743</v>
      </c>
      <c r="C128" s="20"/>
      <c r="D128" s="25" t="s">
        <v>25778</v>
      </c>
      <c r="E128" s="25"/>
      <c r="F128" s="9" t="str">
        <f>HYPERLINK("https://www.ebi.ac.uk/ols/ontologies/uberon/terms?iri=http://purl.obolibrary.org/obo/UBERON_0005977","ansiform lobule crus II")</f>
        <v>ansiform lobule crus II</v>
      </c>
      <c r="G128" s="9" t="s">
        <v>295</v>
      </c>
      <c r="H128" s="9" t="s">
        <v>20672</v>
      </c>
      <c r="I128" s="9" t="s">
        <v>298</v>
      </c>
      <c r="J128" s="9" t="s">
        <v>299</v>
      </c>
      <c r="K128" s="3" t="s">
        <v>15176</v>
      </c>
      <c r="L128" s="13">
        <v>1064</v>
      </c>
      <c r="M128" t="str">
        <f>VLOOKUP(L128,[1]Mouse_ARA!$B$2:$C$1328,2,FALSE)</f>
        <v>ANcr2</v>
      </c>
    </row>
    <row r="129" spans="2:13" x14ac:dyDescent="0.25">
      <c r="B129" s="31" t="s">
        <v>25743</v>
      </c>
      <c r="C129" s="20"/>
      <c r="D129" s="25" t="s">
        <v>25779</v>
      </c>
      <c r="E129" s="25"/>
      <c r="F129" s="9" t="str">
        <f>HYPERLINK("https://www.ebi.ac.uk/ols/ontologies/uberon/terms?iri=http://purl.obolibrary.org/obo/UBERON_0014468","ansoparamedian fissure of cerebellum")</f>
        <v>ansoparamedian fissure of cerebellum</v>
      </c>
      <c r="G129" s="9" t="s">
        <v>300</v>
      </c>
      <c r="H129" s="9" t="s">
        <v>20986</v>
      </c>
      <c r="I129" s="9" t="s">
        <v>301</v>
      </c>
      <c r="J129" s="9" t="s">
        <v>302</v>
      </c>
      <c r="K129" s="4" t="s">
        <v>15175</v>
      </c>
      <c r="L129" s="13">
        <v>266441733</v>
      </c>
      <c r="M129" t="str">
        <f>VLOOKUP(L129,[1]Human_BrainSpan!$B$2:$C$4000,2,FALSE)</f>
        <v>apf</v>
      </c>
    </row>
    <row r="130" spans="2:13" x14ac:dyDescent="0.25">
      <c r="B130" s="31" t="s">
        <v>25743</v>
      </c>
      <c r="C130" s="20"/>
      <c r="D130" s="25" t="s">
        <v>25779</v>
      </c>
      <c r="E130" s="25"/>
      <c r="F130" s="9" t="str">
        <f>HYPERLINK("https://www.ebi.ac.uk/ols/ontologies/uberon/terms?iri=http://purl.obolibrary.org/obo/UBERON_0014468","ansoparamedian fissure of cerebellum")</f>
        <v>ansoparamedian fissure of cerebellum</v>
      </c>
      <c r="G130" s="9" t="s">
        <v>300</v>
      </c>
      <c r="H130" s="9" t="s">
        <v>20986</v>
      </c>
      <c r="I130" s="9" t="s">
        <v>301</v>
      </c>
      <c r="J130" s="9" t="s">
        <v>303</v>
      </c>
      <c r="K130" s="7" t="s">
        <v>15171</v>
      </c>
      <c r="L130" s="13">
        <v>9413</v>
      </c>
      <c r="M130" t="str">
        <f>VLOOKUP(L130,[1]HBA!$B$2:$C$4000,2,FALSE)</f>
        <v>apf</v>
      </c>
    </row>
    <row r="131" spans="2:13" x14ac:dyDescent="0.25">
      <c r="B131" s="31" t="s">
        <v>25743</v>
      </c>
      <c r="C131" s="20"/>
      <c r="D131" s="25" t="s">
        <v>25779</v>
      </c>
      <c r="E131" s="25"/>
      <c r="F131" s="9" t="str">
        <f>HYPERLINK("https://www.ebi.ac.uk/ols/ontologies/uberon/terms?iri=http://purl.obolibrary.org/obo/UBERON_0014468","ansoparamedian fissure of cerebellum")</f>
        <v>ansoparamedian fissure of cerebellum</v>
      </c>
      <c r="G131" s="9" t="s">
        <v>300</v>
      </c>
      <c r="H131" s="9" t="s">
        <v>20986</v>
      </c>
      <c r="I131" s="9" t="s">
        <v>301</v>
      </c>
      <c r="J131" s="9" t="s">
        <v>304</v>
      </c>
      <c r="K131" s="3" t="s">
        <v>15176</v>
      </c>
      <c r="L131" s="13">
        <v>43</v>
      </c>
      <c r="M131" t="str">
        <f>VLOOKUP(L131,[1]Mouse_ARA!$B$2:$C$1328,2,FALSE)</f>
        <v>apf</v>
      </c>
    </row>
    <row r="132" spans="2:13" x14ac:dyDescent="0.25">
      <c r="B132" s="31" t="s">
        <v>25743</v>
      </c>
      <c r="C132" s="20"/>
      <c r="D132" s="25" t="s">
        <v>306</v>
      </c>
      <c r="E132" s="25"/>
      <c r="F132" s="9" t="str">
        <f>HYPERLINK("https://www.ebi.ac.uk/ols/ontologies/uberon/terms?iri=http://purl.obolibrary.org/obo/UBERON_0002890","anterior amygdaloid area")</f>
        <v>anterior amygdaloid area</v>
      </c>
      <c r="G132" s="9" t="s">
        <v>305</v>
      </c>
      <c r="H132" s="9" t="s">
        <v>19783</v>
      </c>
      <c r="I132" s="9" t="s">
        <v>306</v>
      </c>
      <c r="J132" s="9" t="s">
        <v>307</v>
      </c>
      <c r="K132" s="4" t="s">
        <v>15175</v>
      </c>
      <c r="L132" s="13">
        <v>10362</v>
      </c>
      <c r="M132" t="str">
        <f>VLOOKUP(L132,[1]Human_BrainSpan!$B$2:$C$4000,2,FALSE)</f>
        <v>AAA</v>
      </c>
    </row>
    <row r="133" spans="2:13" x14ac:dyDescent="0.25">
      <c r="B133" s="31" t="s">
        <v>26299</v>
      </c>
      <c r="C133" s="25" t="s">
        <v>25804</v>
      </c>
      <c r="D133" s="25" t="s">
        <v>306</v>
      </c>
      <c r="E133" s="20"/>
      <c r="F133" s="9" t="str">
        <f>HYPERLINK("https://www.ebi.ac.uk/ols/ontologies/uberon/terms?iri=http://purl.obolibrary.org/obo/UBERON_0002890","anterior amygdaloid area")</f>
        <v>anterior amygdaloid area</v>
      </c>
      <c r="G133" s="9" t="s">
        <v>305</v>
      </c>
      <c r="H133" s="9" t="s">
        <v>15784</v>
      </c>
      <c r="I133" s="9" t="s">
        <v>308</v>
      </c>
      <c r="J133" s="9" t="s">
        <v>309</v>
      </c>
      <c r="K133" s="5" t="s">
        <v>15173</v>
      </c>
      <c r="L133" s="13">
        <v>15994</v>
      </c>
      <c r="M133" t="str">
        <f>VLOOKUP(L133,[1]DevMouse!$B$2:$C$2693,2,FALSE)</f>
        <v>BLA</v>
      </c>
    </row>
    <row r="134" spans="2:13" x14ac:dyDescent="0.25">
      <c r="B134" s="31" t="s">
        <v>25743</v>
      </c>
      <c r="C134" s="20"/>
      <c r="D134" s="25" t="s">
        <v>306</v>
      </c>
      <c r="E134" s="25"/>
      <c r="F134" s="9" t="str">
        <f>HYPERLINK("https://www.ebi.ac.uk/ols/ontologies/uberon/terms?iri=http://purl.obolibrary.org/obo/UBERON_0002890","anterior amygdaloid area")</f>
        <v>anterior amygdaloid area</v>
      </c>
      <c r="G134" s="9" t="s">
        <v>305</v>
      </c>
      <c r="H134" s="9" t="s">
        <v>19783</v>
      </c>
      <c r="I134" s="9" t="s">
        <v>306</v>
      </c>
      <c r="J134" s="9" t="s">
        <v>310</v>
      </c>
      <c r="K134" s="7" t="s">
        <v>15171</v>
      </c>
      <c r="L134" s="13">
        <v>265504476</v>
      </c>
      <c r="M134" t="str">
        <f>VLOOKUP(L134,[1]HBA!$B$2:$C$4000,2,FALSE)</f>
        <v>AAA</v>
      </c>
    </row>
    <row r="135" spans="2:13" x14ac:dyDescent="0.25">
      <c r="B135" s="31" t="s">
        <v>25743</v>
      </c>
      <c r="C135" s="20"/>
      <c r="D135" s="25" t="s">
        <v>306</v>
      </c>
      <c r="E135" s="25"/>
      <c r="F135" s="9" t="str">
        <f>HYPERLINK("https://www.ebi.ac.uk/ols/ontologies/uberon/terms?iri=http://purl.obolibrary.org/obo/UBERON_0002890","anterior amygdaloid area")</f>
        <v>anterior amygdaloid area</v>
      </c>
      <c r="G135" s="9" t="s">
        <v>305</v>
      </c>
      <c r="H135" s="9" t="s">
        <v>19783</v>
      </c>
      <c r="I135" s="9" t="s">
        <v>311</v>
      </c>
      <c r="J135" s="9" t="s">
        <v>312</v>
      </c>
      <c r="K135" s="3" t="s">
        <v>15176</v>
      </c>
      <c r="L135" s="13">
        <v>23</v>
      </c>
      <c r="M135" t="str">
        <f>VLOOKUP(L135,[1]Mouse_ARA!$B$2:$C$1328,2,FALSE)</f>
        <v>AAA</v>
      </c>
    </row>
    <row r="136" spans="2:13" x14ac:dyDescent="0.25">
      <c r="B136" s="31" t="s">
        <v>25743</v>
      </c>
      <c r="C136" s="25"/>
      <c r="D136" s="25" t="s">
        <v>306</v>
      </c>
      <c r="E136" s="25"/>
      <c r="F136" s="9" t="str">
        <f>HYPERLINK("https://www.ebi.ac.uk/ols/ontologies/uberon/terms?iri=http://purl.obolibrary.org/obo/UBERON_0002890","anterior amygdaloid area")</f>
        <v>anterior amygdaloid area</v>
      </c>
      <c r="G136" s="9" t="s">
        <v>305</v>
      </c>
      <c r="H136" s="9" t="s">
        <v>25718</v>
      </c>
      <c r="I136" s="9" t="s">
        <v>306</v>
      </c>
      <c r="J136" s="9" t="s">
        <v>313</v>
      </c>
      <c r="K136" s="6" t="s">
        <v>15174</v>
      </c>
      <c r="L136" s="13">
        <v>10103</v>
      </c>
      <c r="M136" t="str">
        <f>VLOOKUP(L136,[1]NonHumanPrimate!$B$2:$C$4000,2,FALSE)</f>
        <v>AA</v>
      </c>
    </row>
    <row r="137" spans="2:13" x14ac:dyDescent="0.25">
      <c r="B137" s="31" t="s">
        <v>25743</v>
      </c>
      <c r="C137" s="20"/>
      <c r="D137" s="25" t="s">
        <v>25780</v>
      </c>
      <c r="E137" s="25"/>
      <c r="F137" s="9" t="str">
        <f>HYPERLINK("https://www.ebi.ac.uk/ols/ontologies/uberon/terms?iri=http://purl.obolibrary.org/obo/UBERON_0002940","anterior column of fornix")</f>
        <v>anterior column of fornix</v>
      </c>
      <c r="G137" s="9" t="s">
        <v>314</v>
      </c>
      <c r="H137" s="9" t="s">
        <v>25486</v>
      </c>
      <c r="I137" s="9" t="s">
        <v>315</v>
      </c>
      <c r="J137" s="9" t="s">
        <v>316</v>
      </c>
      <c r="K137" s="7" t="s">
        <v>15171</v>
      </c>
      <c r="L137" s="13">
        <v>9251</v>
      </c>
      <c r="M137" t="str">
        <f>VLOOKUP(L137,[1]HBA!$B$2:$C$4000,2,FALSE)</f>
        <v>afx</v>
      </c>
    </row>
    <row r="138" spans="2:13" x14ac:dyDescent="0.25">
      <c r="B138" s="31" t="s">
        <v>25743</v>
      </c>
      <c r="C138" s="20"/>
      <c r="D138" s="25" t="s">
        <v>318</v>
      </c>
      <c r="E138" s="25"/>
      <c r="F138" s="9" t="str">
        <f>HYPERLINK("https://www.ebi.ac.uk/ols/ontologies/uberon/terms?iri=http://purl.obolibrary.org/obo/UBERON_0000935","anterior commissure")</f>
        <v>anterior commissure</v>
      </c>
      <c r="G138" s="9" t="s">
        <v>317</v>
      </c>
      <c r="H138" s="9" t="s">
        <v>18434</v>
      </c>
      <c r="I138" s="9" t="s">
        <v>318</v>
      </c>
      <c r="J138" s="9" t="s">
        <v>319</v>
      </c>
      <c r="K138" s="4" t="s">
        <v>15175</v>
      </c>
      <c r="L138" s="13">
        <v>10559</v>
      </c>
      <c r="M138" t="str">
        <f>VLOOKUP(L138,[1]Human_BrainSpan!$B$2:$C$4000,2,FALSE)</f>
        <v>ac</v>
      </c>
    </row>
    <row r="139" spans="2:13" x14ac:dyDescent="0.25">
      <c r="B139" s="31" t="s">
        <v>25743</v>
      </c>
      <c r="C139" s="20"/>
      <c r="D139" s="25" t="s">
        <v>318</v>
      </c>
      <c r="E139" s="25"/>
      <c r="F139" s="9" t="str">
        <f>HYPERLINK("https://www.ebi.ac.uk/ols/ontologies/uberon/terms?iri=http://purl.obolibrary.org/obo/UBERON_0000935","anterior commissure")</f>
        <v>anterior commissure</v>
      </c>
      <c r="G139" s="9" t="s">
        <v>317</v>
      </c>
      <c r="H139" s="9" t="s">
        <v>18434</v>
      </c>
      <c r="I139" s="9" t="s">
        <v>318</v>
      </c>
      <c r="J139" s="9" t="s">
        <v>320</v>
      </c>
      <c r="K139" s="5" t="s">
        <v>15173</v>
      </c>
      <c r="L139" s="13">
        <v>17751</v>
      </c>
      <c r="M139" t="str">
        <f>VLOOKUP(L139,[1]DevMouse!$B$2:$C$2693,2,FALSE)</f>
        <v>ac</v>
      </c>
    </row>
    <row r="140" spans="2:13" x14ac:dyDescent="0.25">
      <c r="B140" s="31" t="s">
        <v>25743</v>
      </c>
      <c r="C140" s="20"/>
      <c r="D140" s="25" t="s">
        <v>318</v>
      </c>
      <c r="E140" s="25"/>
      <c r="F140" s="9" t="str">
        <f>HYPERLINK("https://www.ebi.ac.uk/ols/ontologies/uberon/terms?iri=http://purl.obolibrary.org/obo/UBERON_0000935","anterior commissure")</f>
        <v>anterior commissure</v>
      </c>
      <c r="G140" s="9" t="s">
        <v>317</v>
      </c>
      <c r="H140" s="9" t="s">
        <v>18434</v>
      </c>
      <c r="I140" s="9" t="s">
        <v>318</v>
      </c>
      <c r="J140" s="9" t="s">
        <v>321</v>
      </c>
      <c r="K140" s="7" t="s">
        <v>15171</v>
      </c>
      <c r="L140" s="13">
        <v>9221</v>
      </c>
      <c r="M140" t="str">
        <f>VLOOKUP(L140,[1]HBA!$B$2:$C$4000,2,FALSE)</f>
        <v>ac</v>
      </c>
    </row>
    <row r="141" spans="2:13" x14ac:dyDescent="0.25">
      <c r="B141" s="31" t="s">
        <v>25743</v>
      </c>
      <c r="C141" s="20"/>
      <c r="D141" s="25" t="s">
        <v>25781</v>
      </c>
      <c r="E141" s="25"/>
      <c r="F141" s="9" t="str">
        <f>HYPERLINK("https://www.ebi.ac.uk/ols/ontologies/uberon/terms?iri=http://purl.obolibrary.org/obo/UBERON_0003039","anterior commissure anterior part")</f>
        <v>anterior commissure anterior part</v>
      </c>
      <c r="G141" s="9" t="s">
        <v>322</v>
      </c>
      <c r="H141" s="9" t="s">
        <v>20734</v>
      </c>
      <c r="I141" s="9" t="s">
        <v>323</v>
      </c>
      <c r="J141" s="9" t="s">
        <v>324</v>
      </c>
      <c r="K141" s="3" t="s">
        <v>15176</v>
      </c>
      <c r="L141" s="13">
        <v>900</v>
      </c>
      <c r="M141" t="str">
        <f>VLOOKUP(L141,[1]Mouse_ARA!$B$2:$C$1328,2,FALSE)</f>
        <v>aco</v>
      </c>
    </row>
    <row r="142" spans="2:13" x14ac:dyDescent="0.25">
      <c r="B142" s="31" t="s">
        <v>25743</v>
      </c>
      <c r="C142" s="20"/>
      <c r="D142" s="25" t="s">
        <v>25782</v>
      </c>
      <c r="E142" s="25"/>
      <c r="F142" s="9" t="str">
        <f>HYPERLINK("https://www.ebi.ac.uk/ols/ontologies/uberon/terms?iri=http://purl.obolibrary.org/obo/UBERON_0022425","anterior corona radiata")</f>
        <v>anterior corona radiata</v>
      </c>
      <c r="G142" s="9" t="s">
        <v>325</v>
      </c>
      <c r="H142" s="9" t="s">
        <v>23561</v>
      </c>
      <c r="I142" s="9" t="s">
        <v>326</v>
      </c>
      <c r="J142" s="9" t="s">
        <v>327</v>
      </c>
      <c r="K142" s="4" t="s">
        <v>15175</v>
      </c>
      <c r="L142" s="13">
        <v>15541</v>
      </c>
      <c r="M142" t="str">
        <f>VLOOKUP(L142,[1]Human_BrainSpan!$B$2:$C$4000,2,FALSE)</f>
        <v>cor-a</v>
      </c>
    </row>
    <row r="143" spans="2:13" x14ac:dyDescent="0.25">
      <c r="B143" s="31" t="s">
        <v>25743</v>
      </c>
      <c r="C143" s="20"/>
      <c r="D143" s="25" t="s">
        <v>25783</v>
      </c>
      <c r="E143" s="25"/>
      <c r="F143" s="9" t="str">
        <f>HYPERLINK("https://www.ebi.ac.uk/ols/ontologies/uberon/terms?iri=http://purl.obolibrary.org/obo/UBERON_0034991","anterior cortical amygdaloid nucleus")</f>
        <v>anterior cortical amygdaloid nucleus</v>
      </c>
      <c r="G143" s="9" t="s">
        <v>328</v>
      </c>
      <c r="H143" s="9" t="s">
        <v>15790</v>
      </c>
      <c r="I143" s="9" t="s">
        <v>329</v>
      </c>
      <c r="J143" s="9" t="s">
        <v>330</v>
      </c>
      <c r="K143" s="5" t="s">
        <v>15173</v>
      </c>
      <c r="L143" s="13">
        <v>16000</v>
      </c>
      <c r="M143" t="str">
        <f>VLOOKUP(L143,[1]DevMouse!$B$2:$C$2693,2,FALSE)</f>
        <v>ACo</v>
      </c>
    </row>
    <row r="144" spans="2:13" x14ac:dyDescent="0.25">
      <c r="B144" s="31" t="s">
        <v>25743</v>
      </c>
      <c r="C144" s="20"/>
      <c r="D144" s="25" t="s">
        <v>25784</v>
      </c>
      <c r="E144" s="25"/>
      <c r="F144" s="9" t="str">
        <f>HYPERLINK("https://www.ebi.ac.uk/ols/ontologies/uberon/terms?iri=http://purl.obolibrary.org/obo/UBERON_0011173","anterior division of bed nuclei of stria terminalis")</f>
        <v>anterior division of bed nuclei of stria terminalis</v>
      </c>
      <c r="G144" s="9" t="s">
        <v>331</v>
      </c>
      <c r="H144" s="9" t="s">
        <v>19839</v>
      </c>
      <c r="I144" s="9" t="s">
        <v>332</v>
      </c>
      <c r="J144" s="9" t="s">
        <v>333</v>
      </c>
      <c r="K144" s="3" t="s">
        <v>15176</v>
      </c>
      <c r="L144" s="13">
        <v>359</v>
      </c>
      <c r="M144" t="str">
        <f>VLOOKUP(L144,[1]Mouse_ARA!$B$2:$C$1328,2,FALSE)</f>
        <v>BSTa</v>
      </c>
    </row>
    <row r="145" spans="2:13" x14ac:dyDescent="0.25">
      <c r="B145" s="31" t="s">
        <v>25743</v>
      </c>
      <c r="C145" s="20"/>
      <c r="D145" s="25" t="s">
        <v>335</v>
      </c>
      <c r="E145" s="25"/>
      <c r="F145" s="9" t="str">
        <f>HYPERLINK("https://www.ebi.ac.uk/ols/ontologies/uberon/terms?iri=http://purl.obolibrary.org/obo/UBERON_0002651","anterior horn of lateral ventricle")</f>
        <v>anterior horn of lateral ventricle</v>
      </c>
      <c r="G145" s="9" t="s">
        <v>334</v>
      </c>
      <c r="H145" s="9" t="s">
        <v>23671</v>
      </c>
      <c r="I145" s="9" t="s">
        <v>335</v>
      </c>
      <c r="J145" s="9" t="s">
        <v>336</v>
      </c>
      <c r="K145" s="4" t="s">
        <v>15175</v>
      </c>
      <c r="L145" s="13">
        <v>10597</v>
      </c>
      <c r="M145" t="str">
        <f>VLOOKUP(L145,[1]Human_BrainSpan!$B$2:$C$4000,2,FALSE)</f>
        <v>aLV</v>
      </c>
    </row>
    <row r="146" spans="2:13" x14ac:dyDescent="0.25">
      <c r="B146" s="31" t="s">
        <v>26299</v>
      </c>
      <c r="C146" s="20"/>
      <c r="D146" s="25" t="s">
        <v>25785</v>
      </c>
      <c r="E146" s="25"/>
      <c r="F146" s="9" t="str">
        <f>HYPERLINK("https://www.ebi.ac.uk/ols/ontologies/uberon/terms?iri=http://purl.obolibrary.org/obo/UBERON_0002694","anterior hypothalamic commissure")</f>
        <v>anterior hypothalamic commissure</v>
      </c>
      <c r="G146" s="9" t="s">
        <v>337</v>
      </c>
      <c r="H146" s="9" t="s">
        <v>24932</v>
      </c>
      <c r="I146" s="9" t="s">
        <v>338</v>
      </c>
      <c r="J146" s="9" t="s">
        <v>339</v>
      </c>
      <c r="K146" s="7" t="s">
        <v>15171</v>
      </c>
      <c r="L146" s="13">
        <v>4600</v>
      </c>
      <c r="M146" t="str">
        <f>VLOOKUP(L146,[1]HBA!$B$2:$C$4000,2,FALSE)</f>
        <v>AHC</v>
      </c>
    </row>
    <row r="147" spans="2:13" x14ac:dyDescent="0.25">
      <c r="B147" s="31" t="s">
        <v>25743</v>
      </c>
      <c r="C147" s="20"/>
      <c r="D147" s="25" t="s">
        <v>344</v>
      </c>
      <c r="E147" s="25"/>
      <c r="F147" s="9" t="str">
        <f>HYPERLINK("https://www.ebi.ac.uk/ols/ontologies/uberon/terms?iri=http://purl.obolibrary.org/obo/UBERON_0002550","anterior hypothalamic region")</f>
        <v>anterior hypothalamic region</v>
      </c>
      <c r="G147" s="9" t="s">
        <v>340</v>
      </c>
      <c r="H147" s="9" t="s">
        <v>23462</v>
      </c>
      <c r="I147" s="9" t="s">
        <v>341</v>
      </c>
      <c r="J147" s="9" t="s">
        <v>342</v>
      </c>
      <c r="K147" s="4" t="s">
        <v>15175</v>
      </c>
      <c r="L147" s="13">
        <v>266441551</v>
      </c>
      <c r="M147" t="str">
        <f>VLOOKUP(L147,[1]Human_BrainSpan!$B$2:$C$4000,2,FALSE)</f>
        <v>AnHA</v>
      </c>
    </row>
    <row r="148" spans="2:13" x14ac:dyDescent="0.25">
      <c r="B148" s="31" t="s">
        <v>25743</v>
      </c>
      <c r="C148" s="20"/>
      <c r="D148" s="25" t="s">
        <v>344</v>
      </c>
      <c r="E148" s="25"/>
      <c r="F148" s="9" t="str">
        <f>HYPERLINK("https://www.ebi.ac.uk/ols/ontologies/uberon/terms?iri=http://purl.obolibrary.org/obo/UBERON_0002550","anterior hypothalamic region")</f>
        <v>anterior hypothalamic region</v>
      </c>
      <c r="G148" s="9" t="s">
        <v>340</v>
      </c>
      <c r="H148" s="9" t="s">
        <v>20037</v>
      </c>
      <c r="I148" s="9" t="s">
        <v>341</v>
      </c>
      <c r="J148" s="9" t="s">
        <v>343</v>
      </c>
      <c r="K148" s="7" t="s">
        <v>15171</v>
      </c>
      <c r="L148" s="13">
        <v>12902</v>
      </c>
      <c r="M148" t="str">
        <f>VLOOKUP(L148,[1]HBA!$B$2:$C$4000,2,FALSE)</f>
        <v>AHA</v>
      </c>
    </row>
    <row r="149" spans="2:13" x14ac:dyDescent="0.25">
      <c r="B149" s="31" t="s">
        <v>25743</v>
      </c>
      <c r="C149" s="20"/>
      <c r="D149" s="25" t="s">
        <v>344</v>
      </c>
      <c r="E149" s="25"/>
      <c r="F149" s="9" t="str">
        <f>HYPERLINK("https://www.ebi.ac.uk/ols/ontologies/uberon/terms?iri=http://purl.obolibrary.org/obo/UBERON_0002550","anterior hypothalamic region")</f>
        <v>anterior hypothalamic region</v>
      </c>
      <c r="G149" s="9" t="s">
        <v>340</v>
      </c>
      <c r="H149" s="9" t="s">
        <v>24928</v>
      </c>
      <c r="I149" s="9" t="s">
        <v>344</v>
      </c>
      <c r="J149" s="9" t="s">
        <v>345</v>
      </c>
      <c r="K149" s="7" t="s">
        <v>15171</v>
      </c>
      <c r="L149" s="13">
        <v>4570</v>
      </c>
      <c r="M149" t="str">
        <f>VLOOKUP(L149,[1]HBA!$B$2:$C$4000,2,FALSE)</f>
        <v>AHR</v>
      </c>
    </row>
    <row r="150" spans="2:13" x14ac:dyDescent="0.25">
      <c r="B150" s="31" t="s">
        <v>25743</v>
      </c>
      <c r="C150" s="20"/>
      <c r="D150" s="25" t="s">
        <v>347</v>
      </c>
      <c r="E150" s="25"/>
      <c r="F150" s="9" t="str">
        <f>HYPERLINK("https://www.ebi.ac.uk/ols/ontologies/uberon/terms?iri=http://purl.obolibrary.org/obo/UBERON_0014526","anterior limb of internal capsule")</f>
        <v>anterior limb of internal capsule</v>
      </c>
      <c r="G150" s="9" t="s">
        <v>346</v>
      </c>
      <c r="H150" s="9" t="s">
        <v>23587</v>
      </c>
      <c r="I150" s="9" t="s">
        <v>347</v>
      </c>
      <c r="J150" s="9" t="s">
        <v>348</v>
      </c>
      <c r="K150" s="4" t="s">
        <v>15175</v>
      </c>
      <c r="L150" s="13">
        <v>10582</v>
      </c>
      <c r="M150" t="str">
        <f>VLOOKUP(L150,[1]Human_BrainSpan!$B$2:$C$4000,2,FALSE)</f>
        <v>aic</v>
      </c>
    </row>
    <row r="151" spans="2:13" x14ac:dyDescent="0.25">
      <c r="B151" s="31" t="s">
        <v>25743</v>
      </c>
      <c r="C151" s="20"/>
      <c r="D151" s="25" t="s">
        <v>25786</v>
      </c>
      <c r="E151" s="25"/>
      <c r="F151" s="9" t="str">
        <f>HYPERLINK("https://www.ebi.ac.uk/ols/ontologies/uberon/terms?iri=http://purl.obolibrary.org/obo/UBERON_0002131","anterior lobe of cerebellum")</f>
        <v>anterior lobe of cerebellum</v>
      </c>
      <c r="G151" s="9" t="s">
        <v>349</v>
      </c>
      <c r="H151" s="9" t="s">
        <v>24679</v>
      </c>
      <c r="I151" s="9" t="s">
        <v>350</v>
      </c>
      <c r="J151" s="9" t="s">
        <v>351</v>
      </c>
      <c r="K151" s="4" t="s">
        <v>15175</v>
      </c>
      <c r="L151" s="13">
        <v>12838</v>
      </c>
      <c r="M151" t="str">
        <f>VLOOKUP(L151,[1]Human_BrainSpan!$B$2:$C$4000,2,FALSE)</f>
        <v>ACb</v>
      </c>
    </row>
    <row r="152" spans="2:13" x14ac:dyDescent="0.25">
      <c r="B152" s="31" t="s">
        <v>25743</v>
      </c>
      <c r="C152" s="20"/>
      <c r="D152" s="25" t="s">
        <v>353</v>
      </c>
      <c r="E152" s="25"/>
      <c r="F152" s="9" t="str">
        <f>HYPERLINK("https://www.ebi.ac.uk/ols/ontologies/uberon/terms?iri=http://purl.obolibrary.org/obo/UBERON_0002701","anterior median oculomotor nucleus")</f>
        <v>anterior median oculomotor nucleus</v>
      </c>
      <c r="G152" s="9" t="s">
        <v>352</v>
      </c>
      <c r="H152" s="9" t="s">
        <v>23925</v>
      </c>
      <c r="I152" s="9" t="s">
        <v>353</v>
      </c>
      <c r="J152" s="9" t="s">
        <v>354</v>
      </c>
      <c r="K152" s="4" t="s">
        <v>15175</v>
      </c>
      <c r="L152" s="13">
        <v>12199</v>
      </c>
      <c r="M152" t="str">
        <f>VLOOKUP(L152,[1]Human_BrainSpan!$B$2:$C$4000,2,FALSE)</f>
        <v>3AM</v>
      </c>
    </row>
    <row r="153" spans="2:13" x14ac:dyDescent="0.25">
      <c r="B153" s="31" t="s">
        <v>25743</v>
      </c>
      <c r="C153" s="20"/>
      <c r="D153" s="25" t="s">
        <v>353</v>
      </c>
      <c r="E153" s="25"/>
      <c r="F153" s="9" t="str">
        <f>HYPERLINK("https://www.ebi.ac.uk/ols/ontologies/uberon/terms?iri=http://purl.obolibrary.org/obo/UBERON_0002701","anterior median oculomotor nucleus")</f>
        <v>anterior median oculomotor nucleus</v>
      </c>
      <c r="G153" s="9" t="s">
        <v>352</v>
      </c>
      <c r="H153" s="9" t="s">
        <v>25283</v>
      </c>
      <c r="I153" s="9" t="s">
        <v>355</v>
      </c>
      <c r="J153" s="9" t="s">
        <v>356</v>
      </c>
      <c r="K153" s="7" t="s">
        <v>15171</v>
      </c>
      <c r="L153" s="13">
        <v>9032</v>
      </c>
      <c r="M153" t="str">
        <f>VLOOKUP(L153,[1]HBA!$B$2:$C$4000,2,FALSE)</f>
        <v>AM3</v>
      </c>
    </row>
    <row r="154" spans="2:13" x14ac:dyDescent="0.25">
      <c r="B154" s="31" t="s">
        <v>25743</v>
      </c>
      <c r="C154" s="20"/>
      <c r="D154" s="25" t="s">
        <v>25787</v>
      </c>
      <c r="E154" s="25"/>
      <c r="F154" s="9" t="str">
        <f>HYPERLINK("https://www.ebi.ac.uk/ols/ontologies/uberon/terms?iri=http://purl.obolibrary.org/obo/UBERON_0002788","anterior nuclear group")</f>
        <v>anterior nuclear group</v>
      </c>
      <c r="G154" s="9" t="s">
        <v>357</v>
      </c>
      <c r="H154" s="9" t="s">
        <v>23300</v>
      </c>
      <c r="I154" s="9" t="s">
        <v>358</v>
      </c>
      <c r="J154" s="9" t="s">
        <v>359</v>
      </c>
      <c r="K154" s="4" t="s">
        <v>15175</v>
      </c>
      <c r="L154" s="13">
        <v>10392</v>
      </c>
      <c r="M154" t="str">
        <f>VLOOKUP(L154,[1]Human_BrainSpan!$B$2:$C$4000,2,FALSE)</f>
        <v>ANC</v>
      </c>
    </row>
    <row r="155" spans="2:13" x14ac:dyDescent="0.25">
      <c r="B155" s="31" t="s">
        <v>25743</v>
      </c>
      <c r="C155" s="20"/>
      <c r="D155" s="25" t="s">
        <v>25787</v>
      </c>
      <c r="E155" s="25"/>
      <c r="F155" s="9" t="str">
        <f>HYPERLINK("https://www.ebi.ac.uk/ols/ontologies/uberon/terms?iri=http://purl.obolibrary.org/obo/UBERON_0002788","anterior nuclear group")</f>
        <v>anterior nuclear group</v>
      </c>
      <c r="G155" s="9" t="s">
        <v>357</v>
      </c>
      <c r="H155" s="9" t="s">
        <v>19932</v>
      </c>
      <c r="I155" s="9" t="s">
        <v>360</v>
      </c>
      <c r="J155" s="9" t="s">
        <v>361</v>
      </c>
      <c r="K155" s="3" t="s">
        <v>15176</v>
      </c>
      <c r="L155" s="13">
        <v>239</v>
      </c>
      <c r="M155" t="str">
        <f>VLOOKUP(L155,[1]Mouse_ARA!$B$2:$C$1328,2,FALSE)</f>
        <v>ATN</v>
      </c>
    </row>
    <row r="156" spans="2:13" x14ac:dyDescent="0.25">
      <c r="B156" s="31" t="s">
        <v>25743</v>
      </c>
      <c r="C156" s="20"/>
      <c r="D156" s="25" t="s">
        <v>25788</v>
      </c>
      <c r="E156" s="25"/>
      <c r="F156" s="9" t="str">
        <f>HYPERLINK("https://www.ebi.ac.uk/ols/ontologies/uberon/terms?iri=http://purl.obolibrary.org/obo/UBERON_0002634","anterior nucleus of hypothalamus")</f>
        <v>anterior nucleus of hypothalamus</v>
      </c>
      <c r="G156" s="9" t="s">
        <v>362</v>
      </c>
      <c r="H156" s="9" t="s">
        <v>20074</v>
      </c>
      <c r="I156" s="9" t="s">
        <v>363</v>
      </c>
      <c r="J156" s="9" t="s">
        <v>364</v>
      </c>
      <c r="K156" s="4" t="s">
        <v>15175</v>
      </c>
      <c r="L156" s="13">
        <v>10475</v>
      </c>
      <c r="M156" t="str">
        <f>VLOOKUP(L156,[1]Human_BrainSpan!$B$2:$C$4000,2,FALSE)</f>
        <v>AHN</v>
      </c>
    </row>
    <row r="157" spans="2:13" x14ac:dyDescent="0.25">
      <c r="B157" s="31" t="s">
        <v>25743</v>
      </c>
      <c r="C157" s="20"/>
      <c r="D157" s="25" t="s">
        <v>25788</v>
      </c>
      <c r="E157" s="25"/>
      <c r="F157" s="9" t="str">
        <f>HYPERLINK("https://www.ebi.ac.uk/ols/ontologies/uberon/terms?iri=http://purl.obolibrary.org/obo/UBERON_0002634","anterior nucleus of hypothalamus")</f>
        <v>anterior nucleus of hypothalamus</v>
      </c>
      <c r="G157" s="9" t="s">
        <v>362</v>
      </c>
      <c r="H157" s="9" t="s">
        <v>15379</v>
      </c>
      <c r="I157" s="9" t="s">
        <v>363</v>
      </c>
      <c r="J157" s="9" t="s">
        <v>365</v>
      </c>
      <c r="K157" s="5" t="s">
        <v>15173</v>
      </c>
      <c r="L157" s="13">
        <v>15662</v>
      </c>
      <c r="M157" t="str">
        <f>VLOOKUP(L157,[1]DevMouse!$B$2:$C$2693,2,FALSE)</f>
        <v>AH</v>
      </c>
    </row>
    <row r="158" spans="2:13" x14ac:dyDescent="0.25">
      <c r="B158" s="31" t="s">
        <v>25743</v>
      </c>
      <c r="C158" s="20"/>
      <c r="D158" s="25" t="s">
        <v>25788</v>
      </c>
      <c r="E158" s="25"/>
      <c r="F158" s="9" t="str">
        <f>HYPERLINK("https://www.ebi.ac.uk/ols/ontologies/uberon/terms?iri=http://purl.obolibrary.org/obo/UBERON_0002634","anterior nucleus of hypothalamus")</f>
        <v>anterior nucleus of hypothalamus</v>
      </c>
      <c r="G158" s="9" t="s">
        <v>362</v>
      </c>
      <c r="H158" s="9" t="s">
        <v>20074</v>
      </c>
      <c r="I158" s="9" t="s">
        <v>363</v>
      </c>
      <c r="J158" s="9" t="s">
        <v>366</v>
      </c>
      <c r="K158" s="7" t="s">
        <v>15171</v>
      </c>
      <c r="L158" s="13">
        <v>12903</v>
      </c>
      <c r="M158" t="str">
        <f>VLOOKUP(L158,[1]HBA!$B$2:$C$4000,2,FALSE)</f>
        <v>AHN</v>
      </c>
    </row>
    <row r="159" spans="2:13" x14ac:dyDescent="0.25">
      <c r="B159" s="31" t="s">
        <v>25743</v>
      </c>
      <c r="C159" s="20"/>
      <c r="D159" s="25" t="s">
        <v>25788</v>
      </c>
      <c r="E159" s="25"/>
      <c r="F159" s="9" t="str">
        <f>HYPERLINK("https://www.ebi.ac.uk/ols/ontologies/uberon/terms?iri=http://purl.obolibrary.org/obo/UBERON_0002634","anterior nucleus of hypothalamus")</f>
        <v>anterior nucleus of hypothalamus</v>
      </c>
      <c r="G159" s="9" t="s">
        <v>362</v>
      </c>
      <c r="H159" s="9" t="s">
        <v>20074</v>
      </c>
      <c r="I159" s="9" t="s">
        <v>363</v>
      </c>
      <c r="J159" s="9" t="s">
        <v>367</v>
      </c>
      <c r="K159" s="3" t="s">
        <v>15176</v>
      </c>
      <c r="L159" s="13">
        <v>88</v>
      </c>
      <c r="M159" t="str">
        <f>VLOOKUP(L159,[1]Mouse_ARA!$B$2:$C$1328,2,FALSE)</f>
        <v>AHN</v>
      </c>
    </row>
    <row r="160" spans="2:13" x14ac:dyDescent="0.25">
      <c r="B160" s="31" t="s">
        <v>25743</v>
      </c>
      <c r="C160" s="20"/>
      <c r="D160" s="25" t="s">
        <v>25789</v>
      </c>
      <c r="E160" s="25"/>
      <c r="F160" s="9" t="str">
        <f>HYPERLINK("https://www.ebi.ac.uk/ols/ontologies/uberon/terms?iri=http://purl.obolibrary.org/obo/UBERON_0014589","anterior nucleus of hypothalamus anterior part")</f>
        <v>anterior nucleus of hypothalamus anterior part</v>
      </c>
      <c r="G160" s="9" t="s">
        <v>368</v>
      </c>
      <c r="H160" s="9" t="s">
        <v>20076</v>
      </c>
      <c r="I160" s="9" t="s">
        <v>369</v>
      </c>
      <c r="J160" s="9" t="s">
        <v>370</v>
      </c>
      <c r="K160" s="3" t="s">
        <v>15176</v>
      </c>
      <c r="L160" s="13">
        <v>700</v>
      </c>
      <c r="M160" t="str">
        <f>VLOOKUP(L160,[1]Mouse_ARA!$B$2:$C$1328,2,FALSE)</f>
        <v>AHNa</v>
      </c>
    </row>
    <row r="161" spans="2:13" x14ac:dyDescent="0.25">
      <c r="B161" s="31" t="s">
        <v>25743</v>
      </c>
      <c r="C161" s="20"/>
      <c r="D161" s="25" t="s">
        <v>25790</v>
      </c>
      <c r="E161" s="25"/>
      <c r="F161" s="9" t="str">
        <f>HYPERLINK("https://www.ebi.ac.uk/ols/ontologies/uberon/terms?iri=http://purl.obolibrary.org/obo/UBERON_0014590","anterior nucleus of hypothalamus central part")</f>
        <v>anterior nucleus of hypothalamus central part</v>
      </c>
      <c r="G161" s="9" t="s">
        <v>371</v>
      </c>
      <c r="H161" s="9" t="s">
        <v>20078</v>
      </c>
      <c r="I161" s="9" t="s">
        <v>372</v>
      </c>
      <c r="J161" s="9" t="s">
        <v>373</v>
      </c>
      <c r="K161" s="3" t="s">
        <v>15176</v>
      </c>
      <c r="L161" s="13">
        <v>708</v>
      </c>
      <c r="M161" t="str">
        <f>VLOOKUP(L161,[1]Mouse_ARA!$B$2:$C$1328,2,FALSE)</f>
        <v>AHNc</v>
      </c>
    </row>
    <row r="162" spans="2:13" x14ac:dyDescent="0.25">
      <c r="B162" s="31" t="s">
        <v>25743</v>
      </c>
      <c r="C162" s="20"/>
      <c r="D162" s="25" t="s">
        <v>25791</v>
      </c>
      <c r="E162" s="25"/>
      <c r="F162" s="9" t="str">
        <f>HYPERLINK("https://www.ebi.ac.uk/ols/ontologies/uberon/terms?iri=http://purl.obolibrary.org/obo/UBERON_0014592","anterior nucleus of hypothalamus dorsal part")</f>
        <v>anterior nucleus of hypothalamus dorsal part</v>
      </c>
      <c r="G162" s="9" t="s">
        <v>374</v>
      </c>
      <c r="H162" s="9" t="s">
        <v>20080</v>
      </c>
      <c r="I162" s="9" t="s">
        <v>375</v>
      </c>
      <c r="J162" s="9" t="s">
        <v>376</v>
      </c>
      <c r="K162" s="3" t="s">
        <v>15176</v>
      </c>
      <c r="L162" s="13">
        <v>716</v>
      </c>
      <c r="M162" t="str">
        <f>VLOOKUP(L162,[1]Mouse_ARA!$B$2:$C$1328,2,FALSE)</f>
        <v>AHNd</v>
      </c>
    </row>
    <row r="163" spans="2:13" x14ac:dyDescent="0.25">
      <c r="B163" s="31" t="s">
        <v>25743</v>
      </c>
      <c r="C163" s="20"/>
      <c r="D163" s="25" t="s">
        <v>25792</v>
      </c>
      <c r="E163" s="25"/>
      <c r="F163" s="9" t="str">
        <f>HYPERLINK("https://www.ebi.ac.uk/ols/ontologies/uberon/terms?iri=http://purl.obolibrary.org/obo/UBERON_0014591","anterior nucleus of hypothalamus posterior part")</f>
        <v>anterior nucleus of hypothalamus posterior part</v>
      </c>
      <c r="G163" s="9" t="s">
        <v>377</v>
      </c>
      <c r="H163" s="9" t="s">
        <v>16076</v>
      </c>
      <c r="I163" s="9" t="s">
        <v>378</v>
      </c>
      <c r="J163" s="9" t="s">
        <v>379</v>
      </c>
      <c r="K163" s="5" t="s">
        <v>15173</v>
      </c>
      <c r="L163" s="13">
        <v>16240</v>
      </c>
      <c r="M163" t="str">
        <f>VLOOKUP(L163,[1]DevMouse!$B$2:$C$2693,2,FALSE)</f>
        <v>AHP</v>
      </c>
    </row>
    <row r="164" spans="2:13" x14ac:dyDescent="0.25">
      <c r="B164" s="31" t="s">
        <v>25743</v>
      </c>
      <c r="C164" s="20"/>
      <c r="D164" s="25" t="s">
        <v>25792</v>
      </c>
      <c r="E164" s="25"/>
      <c r="F164" s="9" t="str">
        <f>HYPERLINK("https://www.ebi.ac.uk/ols/ontologies/uberon/terms?iri=http://purl.obolibrary.org/obo/UBERON_0014591","anterior nucleus of hypothalamus posterior part")</f>
        <v>anterior nucleus of hypothalamus posterior part</v>
      </c>
      <c r="G164" s="9" t="s">
        <v>377</v>
      </c>
      <c r="H164" s="9" t="s">
        <v>20082</v>
      </c>
      <c r="I164" s="9" t="s">
        <v>380</v>
      </c>
      <c r="J164" s="9" t="s">
        <v>381</v>
      </c>
      <c r="K164" s="3" t="s">
        <v>15176</v>
      </c>
      <c r="L164" s="13">
        <v>724</v>
      </c>
      <c r="M164" t="str">
        <f>VLOOKUP(L164,[1]Mouse_ARA!$B$2:$C$1328,2,FALSE)</f>
        <v>AHNp</v>
      </c>
    </row>
    <row r="165" spans="2:13" x14ac:dyDescent="0.25">
      <c r="B165" s="31" t="s">
        <v>25743</v>
      </c>
      <c r="C165" s="20"/>
      <c r="D165" s="25" t="s">
        <v>383</v>
      </c>
      <c r="E165" s="25"/>
      <c r="F165" s="9" t="str">
        <f>HYPERLINK("https://www.ebi.ac.uk/ols/ontologies/uberon/terms?iri=http://purl.obolibrary.org/obo/UBERON_0002906","anterior occipital sulcus")</f>
        <v>anterior occipital sulcus</v>
      </c>
      <c r="G165" s="9" t="s">
        <v>382</v>
      </c>
      <c r="H165" s="9" t="s">
        <v>23731</v>
      </c>
      <c r="I165" s="9" t="s">
        <v>383</v>
      </c>
      <c r="J165" s="9" t="s">
        <v>384</v>
      </c>
      <c r="K165" s="4" t="s">
        <v>15175</v>
      </c>
      <c r="L165" s="13">
        <v>146034784</v>
      </c>
      <c r="M165" t="str">
        <f>VLOOKUP(L165,[1]Human_BrainSpan!$B$2:$C$4000,2,FALSE)</f>
        <v>aos</v>
      </c>
    </row>
    <row r="166" spans="2:13" x14ac:dyDescent="0.25">
      <c r="B166" s="31" t="s">
        <v>25743</v>
      </c>
      <c r="C166" s="20"/>
      <c r="D166" s="25" t="s">
        <v>383</v>
      </c>
      <c r="E166" s="25"/>
      <c r="F166" s="9" t="str">
        <f>HYPERLINK("https://www.ebi.ac.uk/ols/ontologies/uberon/terms?iri=http://purl.obolibrary.org/obo/UBERON_0002906","anterior occipital sulcus")</f>
        <v>anterior occipital sulcus</v>
      </c>
      <c r="G166" s="9" t="s">
        <v>382</v>
      </c>
      <c r="H166" s="9" t="s">
        <v>25547</v>
      </c>
      <c r="I166" s="9" t="s">
        <v>383</v>
      </c>
      <c r="J166" s="9" t="s">
        <v>385</v>
      </c>
      <c r="K166" s="7" t="s">
        <v>15171</v>
      </c>
      <c r="L166" s="13">
        <v>9385</v>
      </c>
      <c r="M166" t="str">
        <f>VLOOKUP(L166,[1]HBA!$B$2:$C$4000,2,FALSE)</f>
        <v>aoc</v>
      </c>
    </row>
    <row r="167" spans="2:13" x14ac:dyDescent="0.25">
      <c r="B167" s="31" t="s">
        <v>25743</v>
      </c>
      <c r="C167" s="20"/>
      <c r="D167" s="25" t="s">
        <v>387</v>
      </c>
      <c r="E167" s="25"/>
      <c r="F167" s="9" t="str">
        <f>HYPERLINK("https://www.ebi.ac.uk/ols/ontologies/uberon/terms?iri=http://purl.obolibrary.org/obo/UBERON_0002266","anterior olfactory nucleus")</f>
        <v>anterior olfactory nucleus</v>
      </c>
      <c r="G167" s="9" t="s">
        <v>386</v>
      </c>
      <c r="H167" s="9" t="s">
        <v>19413</v>
      </c>
      <c r="I167" s="9" t="s">
        <v>387</v>
      </c>
      <c r="J167" s="9" t="s">
        <v>388</v>
      </c>
      <c r="K167" s="4" t="s">
        <v>15175</v>
      </c>
      <c r="L167" s="13">
        <v>10308</v>
      </c>
      <c r="M167" t="str">
        <f>VLOOKUP(L167,[1]Human_BrainSpan!$B$2:$C$4000,2,FALSE)</f>
        <v>AON</v>
      </c>
    </row>
    <row r="168" spans="2:13" x14ac:dyDescent="0.25">
      <c r="B168" s="31" t="s">
        <v>25743</v>
      </c>
      <c r="C168" s="20"/>
      <c r="D168" s="25" t="s">
        <v>387</v>
      </c>
      <c r="E168" s="25"/>
      <c r="F168" s="9" t="str">
        <f>HYPERLINK("https://www.ebi.ac.uk/ols/ontologies/uberon/terms?iri=http://purl.obolibrary.org/obo/UBERON_0002266","anterior olfactory nucleus")</f>
        <v>anterior olfactory nucleus</v>
      </c>
      <c r="G168" s="9" t="s">
        <v>386</v>
      </c>
      <c r="H168" s="9" t="s">
        <v>24891</v>
      </c>
      <c r="I168" s="9" t="s">
        <v>387</v>
      </c>
      <c r="J168" s="9" t="s">
        <v>389</v>
      </c>
      <c r="K168" s="7" t="s">
        <v>15171</v>
      </c>
      <c r="L168" s="13">
        <v>4324</v>
      </c>
      <c r="M168" t="str">
        <f>VLOOKUP(L168,[1]HBA!$B$2:$C$4000,2,FALSE)</f>
        <v>AO</v>
      </c>
    </row>
    <row r="169" spans="2:13" x14ac:dyDescent="0.25">
      <c r="B169" s="31" t="s">
        <v>25743</v>
      </c>
      <c r="C169" s="20"/>
      <c r="D169" s="25" t="s">
        <v>387</v>
      </c>
      <c r="E169" s="25"/>
      <c r="F169" s="9" t="str">
        <f>HYPERLINK("https://www.ebi.ac.uk/ols/ontologies/uberon/terms?iri=http://purl.obolibrary.org/obo/UBERON_0002266","anterior olfactory nucleus")</f>
        <v>anterior olfactory nucleus</v>
      </c>
      <c r="G169" s="9" t="s">
        <v>386</v>
      </c>
      <c r="H169" s="9" t="s">
        <v>19413</v>
      </c>
      <c r="I169" s="9" t="s">
        <v>387</v>
      </c>
      <c r="J169" s="9" t="s">
        <v>390</v>
      </c>
      <c r="K169" s="3" t="s">
        <v>15176</v>
      </c>
      <c r="L169" s="13">
        <v>159</v>
      </c>
      <c r="M169" t="str">
        <f>VLOOKUP(L169,[1]Mouse_ARA!$B$2:$C$1328,2,FALSE)</f>
        <v>AON</v>
      </c>
    </row>
    <row r="170" spans="2:13" x14ac:dyDescent="0.25">
      <c r="B170" s="31" t="s">
        <v>25743</v>
      </c>
      <c r="C170" s="20"/>
      <c r="D170" s="25" t="s">
        <v>392</v>
      </c>
      <c r="E170" s="25"/>
      <c r="F170" s="9" t="str">
        <f>HYPERLINK("https://www.ebi.ac.uk/ols/ontologies/uberon/terms?iri=http://purl.obolibrary.org/obo/UBERON_0022244","anterior orbital gyrus")</f>
        <v>anterior orbital gyrus</v>
      </c>
      <c r="G170" s="9" t="s">
        <v>391</v>
      </c>
      <c r="H170" s="9" t="s">
        <v>23801</v>
      </c>
      <c r="I170" s="9" t="s">
        <v>392</v>
      </c>
      <c r="J170" s="9" t="s">
        <v>393</v>
      </c>
      <c r="K170" s="7" t="s">
        <v>15171</v>
      </c>
      <c r="L170" s="13">
        <v>4053</v>
      </c>
      <c r="M170" t="str">
        <f>VLOOKUP(L170,[1]HBA!$B$2:$C$4000,2,FALSE)</f>
        <v>AOrG</v>
      </c>
    </row>
    <row r="171" spans="2:13" x14ac:dyDescent="0.25">
      <c r="B171" s="31" t="s">
        <v>25743</v>
      </c>
      <c r="C171" s="20"/>
      <c r="D171" s="25" t="s">
        <v>395</v>
      </c>
      <c r="E171" s="25"/>
      <c r="F171" s="9" t="str">
        <f>HYPERLINK("https://www.ebi.ac.uk/ols/ontologies/uberon/terms?iri=http://purl.obolibrary.org/obo/UBERON_0022383","anterior parahippocampal gyrus")</f>
        <v>anterior parahippocampal gyrus</v>
      </c>
      <c r="G171" s="9" t="s">
        <v>394</v>
      </c>
      <c r="H171" s="9" t="s">
        <v>23855</v>
      </c>
      <c r="I171" s="9" t="s">
        <v>395</v>
      </c>
      <c r="J171" s="9" t="s">
        <v>396</v>
      </c>
      <c r="K171" s="4" t="s">
        <v>15175</v>
      </c>
      <c r="L171" s="13">
        <v>12163</v>
      </c>
      <c r="M171" t="str">
        <f>VLOOKUP(L171,[1]Human_BrainSpan!$B$2:$C$4000,2,FALSE)</f>
        <v>APH</v>
      </c>
    </row>
    <row r="172" spans="2:13" x14ac:dyDescent="0.25">
      <c r="B172" s="31" t="s">
        <v>25743</v>
      </c>
      <c r="C172" s="20"/>
      <c r="D172" s="25" t="s">
        <v>398</v>
      </c>
      <c r="E172" s="25"/>
      <c r="F172" s="9" t="str">
        <f>HYPERLINK("https://www.ebi.ac.uk/ols/ontologies/uberon/terms?iri=http://purl.obolibrary.org/obo/UBERON_0000434","anterior paraventricular nucleus of thalamus")</f>
        <v>anterior paraventricular nucleus of thalamus</v>
      </c>
      <c r="G172" s="9" t="s">
        <v>397</v>
      </c>
      <c r="H172" s="9" t="s">
        <v>16402</v>
      </c>
      <c r="I172" s="9" t="s">
        <v>398</v>
      </c>
      <c r="J172" s="9" t="s">
        <v>399</v>
      </c>
      <c r="K172" s="5" t="s">
        <v>15173</v>
      </c>
      <c r="L172" s="13">
        <v>16400</v>
      </c>
      <c r="M172" t="str">
        <f>VLOOKUP(L172,[1]DevMouse!$B$2:$C$2693,2,FALSE)</f>
        <v>PVA</v>
      </c>
    </row>
    <row r="173" spans="2:13" x14ac:dyDescent="0.25">
      <c r="B173" s="31" t="s">
        <v>26302</v>
      </c>
      <c r="C173" s="20"/>
      <c r="D173" s="25" t="s">
        <v>398</v>
      </c>
      <c r="E173" s="20" t="s">
        <v>26300</v>
      </c>
      <c r="F173" s="9" t="str">
        <f>HYPERLINK("https://www.ebi.ac.uk/ols/ontologies/uberon/terms?iri=http://purl.obolibrary.org/obo/UBERON_0000434","anterior paraventricular nucleus of thalamus")</f>
        <v>anterior paraventricular nucleus of thalamus</v>
      </c>
      <c r="G173" s="9" t="s">
        <v>397</v>
      </c>
      <c r="H173" s="9" t="s">
        <v>20027</v>
      </c>
      <c r="I173" s="9" t="s">
        <v>400</v>
      </c>
      <c r="J173" s="9" t="s">
        <v>401</v>
      </c>
      <c r="K173" s="7" t="s">
        <v>15171</v>
      </c>
      <c r="L173" s="13">
        <v>12906</v>
      </c>
      <c r="M173" t="str">
        <f>VLOOKUP(L173,[1]HBA!$B$2:$C$4000,2,FALSE)</f>
        <v>PVa</v>
      </c>
    </row>
    <row r="174" spans="2:13" x14ac:dyDescent="0.25">
      <c r="B174" s="31" t="s">
        <v>26302</v>
      </c>
      <c r="C174" s="20"/>
      <c r="D174" s="25" t="s">
        <v>398</v>
      </c>
      <c r="E174" s="20" t="s">
        <v>26300</v>
      </c>
      <c r="F174" s="9" t="str">
        <f>HYPERLINK("https://www.ebi.ac.uk/ols/ontologies/uberon/terms?iri=http://purl.obolibrary.org/obo/UBERON_0000434","anterior paraventricular nucleus of thalamus")</f>
        <v>anterior paraventricular nucleus of thalamus</v>
      </c>
      <c r="G174" s="9" t="s">
        <v>397</v>
      </c>
      <c r="H174" s="9" t="s">
        <v>20027</v>
      </c>
      <c r="I174" s="9" t="s">
        <v>402</v>
      </c>
      <c r="J174" s="9" t="s">
        <v>403</v>
      </c>
      <c r="K174" s="3" t="s">
        <v>15176</v>
      </c>
      <c r="L174" s="13">
        <v>30</v>
      </c>
      <c r="M174" t="str">
        <f>VLOOKUP(L174,[1]Mouse_ARA!$B$2:$C$1328,2,FALSE)</f>
        <v>PVa</v>
      </c>
    </row>
    <row r="175" spans="2:13" x14ac:dyDescent="0.25">
      <c r="B175" s="31" t="s">
        <v>25743</v>
      </c>
      <c r="C175" s="20"/>
      <c r="D175" s="25" t="s">
        <v>25793</v>
      </c>
      <c r="E175" s="25"/>
      <c r="F175" s="9" t="str">
        <f>HYPERLINK("https://www.ebi.ac.uk/ols/ontologies/uberon/terms?iri=http://purl.obolibrary.org/obo/UBERON_0002919","anterior parolfactory sulcus")</f>
        <v>anterior parolfactory sulcus</v>
      </c>
      <c r="G175" s="9" t="s">
        <v>404</v>
      </c>
      <c r="H175" s="9" t="s">
        <v>23759</v>
      </c>
      <c r="I175" s="9" t="s">
        <v>405</v>
      </c>
      <c r="J175" s="9" t="s">
        <v>406</v>
      </c>
      <c r="K175" s="4" t="s">
        <v>15175</v>
      </c>
      <c r="L175" s="13">
        <v>146034824</v>
      </c>
      <c r="M175" t="str">
        <f>VLOOKUP(L175,[1]Human_BrainSpan!$B$2:$C$4000,2,FALSE)</f>
        <v>pols-r</v>
      </c>
    </row>
    <row r="176" spans="2:13" x14ac:dyDescent="0.25">
      <c r="B176" s="31" t="s">
        <v>25743</v>
      </c>
      <c r="C176" s="20"/>
      <c r="D176" s="25" t="s">
        <v>408</v>
      </c>
      <c r="E176" s="25"/>
      <c r="F176" s="9" t="str">
        <f>HYPERLINK("https://www.ebi.ac.uk/ols/ontologies/uberon/terms?iri=http://purl.obolibrary.org/obo/UBERON_0018141","anterior perforated substance")</f>
        <v>anterior perforated substance</v>
      </c>
      <c r="G176" s="9" t="s">
        <v>407</v>
      </c>
      <c r="H176" s="9" t="s">
        <v>23870</v>
      </c>
      <c r="I176" s="9" t="s">
        <v>408</v>
      </c>
      <c r="J176" s="9" t="s">
        <v>409</v>
      </c>
      <c r="K176" s="4" t="s">
        <v>15175</v>
      </c>
      <c r="L176" s="13">
        <v>10642</v>
      </c>
      <c r="M176" t="str">
        <f>VLOOKUP(L176,[1]Human_BrainSpan!$B$2:$C$4000,2,FALSE)</f>
        <v>APS</v>
      </c>
    </row>
    <row r="177" spans="2:13" x14ac:dyDescent="0.25">
      <c r="B177" s="31" t="s">
        <v>25743</v>
      </c>
      <c r="C177" s="20"/>
      <c r="D177" s="25" t="s">
        <v>25794</v>
      </c>
      <c r="E177" s="25"/>
      <c r="F177" s="9" t="str">
        <f>HYPERLINK("https://www.ebi.ac.uk/ols/ontologies/uberon/terms?iri=http://purl.obolibrary.org/obo/UBERON_0034918","anterior pretectal nucleus")</f>
        <v>anterior pretectal nucleus</v>
      </c>
      <c r="G177" s="9" t="s">
        <v>410</v>
      </c>
      <c r="H177" s="9" t="s">
        <v>23909</v>
      </c>
      <c r="I177" s="9" t="s">
        <v>411</v>
      </c>
      <c r="J177" s="9" t="s">
        <v>412</v>
      </c>
      <c r="K177" s="4" t="s">
        <v>15175</v>
      </c>
      <c r="L177" s="13">
        <v>12187</v>
      </c>
      <c r="M177" t="str">
        <f>VLOOKUP(L177,[1]Human_BrainSpan!$B$2:$C$4000,2,FALSE)</f>
        <v>APT</v>
      </c>
    </row>
    <row r="178" spans="2:13" x14ac:dyDescent="0.25">
      <c r="B178" s="31" t="s">
        <v>25743</v>
      </c>
      <c r="C178" s="20"/>
      <c r="D178" s="25" t="s">
        <v>25795</v>
      </c>
      <c r="E178" s="25"/>
      <c r="F178" s="9" t="str">
        <f>HYPERLINK("https://www.ebi.ac.uk/ols/ontologies/uberon/terms?iri=http://purl.obolibrary.org/obo/UBERON_0035932","anterior segment of paracentral lobule")</f>
        <v>anterior segment of paracentral lobule</v>
      </c>
      <c r="G178" s="9" t="s">
        <v>413</v>
      </c>
      <c r="H178" s="9" t="s">
        <v>24770</v>
      </c>
      <c r="I178" s="9" t="s">
        <v>414</v>
      </c>
      <c r="J178" s="9" t="s">
        <v>415</v>
      </c>
      <c r="K178" s="7" t="s">
        <v>15171</v>
      </c>
      <c r="L178" s="13">
        <v>4071</v>
      </c>
      <c r="M178" t="str">
        <f>VLOOKUP(L178,[1]HBA!$B$2:$C$4000,2,FALSE)</f>
        <v>PCLa</v>
      </c>
    </row>
    <row r="179" spans="2:13" x14ac:dyDescent="0.25">
      <c r="B179" s="37" t="s">
        <v>25743</v>
      </c>
      <c r="C179" s="25"/>
      <c r="D179" s="25" t="s">
        <v>25796</v>
      </c>
      <c r="E179" s="25"/>
      <c r="F179" s="9" t="str">
        <f>HYPERLINK("https://www.ebi.ac.uk/ols/ontologies/uberon/terms?iri=http://purl.obolibrary.org/obo/UBERON_0002987","anterior spinocerebellar tract")</f>
        <v>anterior spinocerebellar tract</v>
      </c>
      <c r="G179" s="9" t="s">
        <v>416</v>
      </c>
      <c r="H179" s="9" t="s">
        <v>24659</v>
      </c>
      <c r="I179" s="9" t="s">
        <v>417</v>
      </c>
      <c r="J179" s="9" t="s">
        <v>418</v>
      </c>
      <c r="K179" s="4" t="s">
        <v>15175</v>
      </c>
      <c r="L179" s="13">
        <v>12801</v>
      </c>
      <c r="M179" t="str">
        <f>VLOOKUP(L179,[1]Human_BrainSpan!$B$2:$C$4000,2,FALSE)</f>
        <v>vscb</v>
      </c>
    </row>
    <row r="180" spans="2:13" x14ac:dyDescent="0.25">
      <c r="B180" s="37" t="s">
        <v>25743</v>
      </c>
      <c r="C180" s="25"/>
      <c r="D180" s="25" t="s">
        <v>25796</v>
      </c>
      <c r="E180" s="25"/>
      <c r="F180" s="9" t="str">
        <f>HYPERLINK("https://www.ebi.ac.uk/ols/ontologies/uberon/terms?iri=http://purl.obolibrary.org/obo/UBERON_0002987","anterior spinocerebellar tract")</f>
        <v>anterior spinocerebellar tract</v>
      </c>
      <c r="G180" s="9" t="s">
        <v>416</v>
      </c>
      <c r="H180" s="9" t="s">
        <v>18514</v>
      </c>
      <c r="I180" s="9" t="s">
        <v>417</v>
      </c>
      <c r="J180" s="9" t="s">
        <v>419</v>
      </c>
      <c r="K180" s="5" t="s">
        <v>15173</v>
      </c>
      <c r="L180" s="13">
        <v>17805</v>
      </c>
      <c r="M180" t="str">
        <f>VLOOKUP(L180,[1]DevMouse!$B$2:$C$2693,2,FALSE)</f>
        <v>vsc</v>
      </c>
    </row>
    <row r="181" spans="2:13" x14ac:dyDescent="0.25">
      <c r="B181" s="37" t="s">
        <v>25743</v>
      </c>
      <c r="C181" s="25"/>
      <c r="D181" s="25" t="s">
        <v>25796</v>
      </c>
      <c r="E181" s="25"/>
      <c r="F181" s="9" t="str">
        <f>HYPERLINK("https://www.ebi.ac.uk/ols/ontologies/uberon/terms?iri=http://purl.obolibrary.org/obo/UBERON_0002987","anterior spinocerebellar tract")</f>
        <v>anterior spinocerebellar tract</v>
      </c>
      <c r="G181" s="9" t="s">
        <v>416</v>
      </c>
      <c r="H181" s="9" t="s">
        <v>20805</v>
      </c>
      <c r="I181" s="9" t="s">
        <v>417</v>
      </c>
      <c r="J181" s="9" t="s">
        <v>420</v>
      </c>
      <c r="K181" s="3" t="s">
        <v>15176</v>
      </c>
      <c r="L181" s="13">
        <v>866</v>
      </c>
      <c r="M181" t="str">
        <f>VLOOKUP(L181,[1]Mouse_ARA!$B$2:$C$1328,2,FALSE)</f>
        <v>sctv</v>
      </c>
    </row>
    <row r="182" spans="2:13" x14ac:dyDescent="0.25">
      <c r="B182" s="31" t="s">
        <v>25743</v>
      </c>
      <c r="C182" s="20"/>
      <c r="D182" s="25" t="s">
        <v>422</v>
      </c>
      <c r="E182" s="25"/>
      <c r="F182" s="9" t="str">
        <f>HYPERLINK("https://www.ebi.ac.uk/ols/ontologies/uberon/terms?iri=http://purl.obolibrary.org/obo/UBERON_0002672","anterior subcentral sulcus")</f>
        <v>anterior subcentral sulcus</v>
      </c>
      <c r="G182" s="9" t="s">
        <v>421</v>
      </c>
      <c r="H182" s="9" t="s">
        <v>23732</v>
      </c>
      <c r="I182" s="9" t="s">
        <v>422</v>
      </c>
      <c r="J182" s="9" t="s">
        <v>423</v>
      </c>
      <c r="K182" s="4" t="s">
        <v>15175</v>
      </c>
      <c r="L182" s="13">
        <v>146034788</v>
      </c>
      <c r="M182" t="str">
        <f>VLOOKUP(L182,[1]Human_BrainSpan!$B$2:$C$4000,2,FALSE)</f>
        <v>ascs</v>
      </c>
    </row>
    <row r="183" spans="2:13" x14ac:dyDescent="0.25">
      <c r="B183" s="31" t="s">
        <v>25743</v>
      </c>
      <c r="C183" s="20"/>
      <c r="D183" s="25" t="s">
        <v>425</v>
      </c>
      <c r="E183" s="25"/>
      <c r="F183" s="9" t="str">
        <f>HYPERLINK("https://www.ebi.ac.uk/ols/ontologies/uberon/terms?iri=http://purl.obolibrary.org/obo/UBERON_0010036","anterior tegmental nucleus")</f>
        <v>anterior tegmental nucleus</v>
      </c>
      <c r="G183" s="9" t="s">
        <v>424</v>
      </c>
      <c r="H183" s="9" t="s">
        <v>17463</v>
      </c>
      <c r="I183" s="9" t="s">
        <v>425</v>
      </c>
      <c r="J183" s="9" t="s">
        <v>426</v>
      </c>
      <c r="K183" s="5" t="s">
        <v>15173</v>
      </c>
      <c r="L183" s="13">
        <v>17008</v>
      </c>
      <c r="M183" t="str">
        <f>VLOOKUP(L183,[1]DevMouse!$B$2:$C$2693,2,FALSE)</f>
        <v>ATg</v>
      </c>
    </row>
    <row r="184" spans="2:13" x14ac:dyDescent="0.25">
      <c r="B184" s="31" t="s">
        <v>25743</v>
      </c>
      <c r="C184" s="20"/>
      <c r="D184" s="25" t="s">
        <v>425</v>
      </c>
      <c r="E184" s="25"/>
      <c r="F184" s="9" t="str">
        <f>HYPERLINK("https://www.ebi.ac.uk/ols/ontologies/uberon/terms?iri=http://purl.obolibrary.org/obo/UBERON_0010036","anterior tegmental nucleus")</f>
        <v>anterior tegmental nucleus</v>
      </c>
      <c r="G184" s="9" t="s">
        <v>424</v>
      </c>
      <c r="H184" s="9" t="s">
        <v>20258</v>
      </c>
      <c r="I184" s="9" t="s">
        <v>425</v>
      </c>
      <c r="J184" s="9" t="s">
        <v>427</v>
      </c>
      <c r="K184" s="3" t="s">
        <v>15176</v>
      </c>
      <c r="L184" s="13">
        <v>231</v>
      </c>
      <c r="M184" t="str">
        <f>VLOOKUP(L184,[1]Mouse_ARA!$B$2:$C$1328,2,FALSE)</f>
        <v>AT</v>
      </c>
    </row>
    <row r="185" spans="2:13" x14ac:dyDescent="0.25">
      <c r="B185" s="31" t="s">
        <v>25743</v>
      </c>
      <c r="C185" s="20"/>
      <c r="D185" s="25" t="s">
        <v>25797</v>
      </c>
      <c r="E185" s="25"/>
      <c r="F185" s="9" t="str">
        <f>HYPERLINK("https://www.ebi.ac.uk/ols/ontologies/uberon/terms?iri=http://purl.obolibrary.org/obo/UBERON_0022237","anterior thalamic peduncle")</f>
        <v>anterior thalamic peduncle</v>
      </c>
      <c r="G185" s="9" t="s">
        <v>428</v>
      </c>
      <c r="H185" s="9" t="s">
        <v>23636</v>
      </c>
      <c r="I185" s="9" t="s">
        <v>429</v>
      </c>
      <c r="J185" s="9" t="s">
        <v>430</v>
      </c>
      <c r="K185" s="4" t="s">
        <v>15175</v>
      </c>
      <c r="L185" s="13">
        <v>266441633</v>
      </c>
      <c r="M185" t="str">
        <f>VLOOKUP(L185,[1]Human_BrainSpan!$B$2:$C$4000,2,FALSE)</f>
        <v>rthp</v>
      </c>
    </row>
    <row r="186" spans="2:13" x14ac:dyDescent="0.25">
      <c r="B186" s="31" t="s">
        <v>25743</v>
      </c>
      <c r="C186" s="20"/>
      <c r="D186" s="25" t="s">
        <v>25797</v>
      </c>
      <c r="E186" s="25"/>
      <c r="F186" s="9" t="str">
        <f>HYPERLINK("https://www.ebi.ac.uk/ols/ontologies/uberon/terms?iri=http://purl.obolibrary.org/obo/UBERON_0022237","anterior thalamic peduncle")</f>
        <v>anterior thalamic peduncle</v>
      </c>
      <c r="G186" s="9" t="s">
        <v>428</v>
      </c>
      <c r="H186" s="9" t="s">
        <v>23636</v>
      </c>
      <c r="I186" s="9" t="s">
        <v>429</v>
      </c>
      <c r="J186" s="9" t="s">
        <v>431</v>
      </c>
      <c r="K186" s="7" t="s">
        <v>15171</v>
      </c>
      <c r="L186" s="13">
        <v>265505274</v>
      </c>
      <c r="M186" t="str">
        <f>VLOOKUP(L186,[1]HBA!$B$2:$C$4000,2,FALSE)</f>
        <v>rthp</v>
      </c>
    </row>
    <row r="187" spans="2:13" x14ac:dyDescent="0.25">
      <c r="B187" s="31" t="s">
        <v>25743</v>
      </c>
      <c r="C187" s="20"/>
      <c r="D187" s="25" t="s">
        <v>433</v>
      </c>
      <c r="E187" s="25"/>
      <c r="F187" s="9" t="str">
        <f>HYPERLINK("https://www.ebi.ac.uk/ols/ontologies/uberon/terms?iri=http://purl.obolibrary.org/obo/UBERON_0034746","anterior thalamic radiation")</f>
        <v>anterior thalamic radiation</v>
      </c>
      <c r="G187" s="9" t="s">
        <v>432</v>
      </c>
      <c r="H187" s="9" t="s">
        <v>23589</v>
      </c>
      <c r="I187" s="9" t="s">
        <v>433</v>
      </c>
      <c r="J187" s="9" t="s">
        <v>434</v>
      </c>
      <c r="K187" s="4" t="s">
        <v>15175</v>
      </c>
      <c r="L187" s="13">
        <v>12043</v>
      </c>
      <c r="M187" t="str">
        <f>VLOOKUP(L187,[1]Human_BrainSpan!$B$2:$C$4000,2,FALSE)</f>
        <v>athf</v>
      </c>
    </row>
    <row r="188" spans="2:13" x14ac:dyDescent="0.25">
      <c r="B188" s="31" t="s">
        <v>25743</v>
      </c>
      <c r="C188" s="20"/>
      <c r="D188" s="25" t="s">
        <v>25798</v>
      </c>
      <c r="E188" s="25"/>
      <c r="F188" s="9" t="str">
        <f>HYPERLINK("https://www.ebi.ac.uk/ols/ontologies/uberon/terms?iri=http://purl.obolibrary.org/obo/UBERON_0002773","anterior transverse temporal gyrus")</f>
        <v>anterior transverse temporal gyrus</v>
      </c>
      <c r="G188" s="9" t="s">
        <v>435</v>
      </c>
      <c r="H188" s="9" t="s">
        <v>24829</v>
      </c>
      <c r="I188" s="9" t="s">
        <v>436</v>
      </c>
      <c r="J188" s="9" t="s">
        <v>437</v>
      </c>
      <c r="K188" s="7" t="s">
        <v>15171</v>
      </c>
      <c r="L188" s="13">
        <v>4165</v>
      </c>
      <c r="M188" t="str">
        <f>VLOOKUP(L188,[1]HBA!$B$2:$C$4000,2,FALSE)</f>
        <v>HG</v>
      </c>
    </row>
    <row r="189" spans="2:13" x14ac:dyDescent="0.25">
      <c r="B189" s="31" t="s">
        <v>25743</v>
      </c>
      <c r="C189" s="20"/>
      <c r="D189" s="25" t="s">
        <v>25799</v>
      </c>
      <c r="E189" s="25"/>
      <c r="F189" s="9" t="str">
        <f>HYPERLINK("https://www.ebi.ac.uk/ols/ontologies/uberon/terms?iri=http://purl.obolibrary.org/obo/UBERON_0014521","anterodorsal nucleus of medial geniculate body")</f>
        <v>anterodorsal nucleus of medial geniculate body</v>
      </c>
      <c r="G189" s="9" t="s">
        <v>438</v>
      </c>
      <c r="H189" s="9" t="s">
        <v>25149</v>
      </c>
      <c r="I189" s="9" t="s">
        <v>439</v>
      </c>
      <c r="J189" s="9" t="s">
        <v>440</v>
      </c>
      <c r="K189" s="7" t="s">
        <v>15171</v>
      </c>
      <c r="L189" s="13">
        <v>4446</v>
      </c>
      <c r="M189" t="str">
        <f>VLOOKUP(L189,[1]HBA!$B$2:$C$4000,2,FALSE)</f>
        <v>MGad</v>
      </c>
    </row>
    <row r="190" spans="2:13" x14ac:dyDescent="0.25">
      <c r="B190" s="31" t="s">
        <v>25743</v>
      </c>
      <c r="C190" s="20"/>
      <c r="D190" s="25" t="s">
        <v>442</v>
      </c>
      <c r="E190" s="25"/>
      <c r="F190" s="9" t="str">
        <f>HYPERLINK("https://www.ebi.ac.uk/ols/ontologies/uberon/terms?iri=http://purl.obolibrary.org/obo/UBERON_0002679","anterodorsal nucleus of thalamus")</f>
        <v>anterodorsal nucleus of thalamus</v>
      </c>
      <c r="G190" s="9" t="s">
        <v>441</v>
      </c>
      <c r="H190" s="9" t="s">
        <v>16436</v>
      </c>
      <c r="I190" s="9" t="s">
        <v>442</v>
      </c>
      <c r="J190" s="9" t="s">
        <v>443</v>
      </c>
      <c r="K190" s="4" t="s">
        <v>15175</v>
      </c>
      <c r="L190" s="13">
        <v>10393</v>
      </c>
      <c r="M190" t="str">
        <f>VLOOKUP(L190,[1]Human_BrainSpan!$B$2:$C$4000,2,FALSE)</f>
        <v>AD</v>
      </c>
    </row>
    <row r="191" spans="2:13" x14ac:dyDescent="0.25">
      <c r="B191" s="31" t="s">
        <v>25743</v>
      </c>
      <c r="C191" s="20"/>
      <c r="D191" s="25" t="s">
        <v>442</v>
      </c>
      <c r="E191" s="25"/>
      <c r="F191" s="9" t="str">
        <f>HYPERLINK("https://www.ebi.ac.uk/ols/ontologies/uberon/terms?iri=http://purl.obolibrary.org/obo/UBERON_0002679","anterodorsal nucleus of thalamus")</f>
        <v>anterodorsal nucleus of thalamus</v>
      </c>
      <c r="G191" s="9" t="s">
        <v>441</v>
      </c>
      <c r="H191" s="9" t="s">
        <v>16436</v>
      </c>
      <c r="I191" s="9" t="s">
        <v>444</v>
      </c>
      <c r="J191" s="9" t="s">
        <v>445</v>
      </c>
      <c r="K191" s="5" t="s">
        <v>15173</v>
      </c>
      <c r="L191" s="13">
        <v>16420</v>
      </c>
      <c r="M191" t="str">
        <f>VLOOKUP(L191,[1]DevMouse!$B$2:$C$2693,2,FALSE)</f>
        <v>AD</v>
      </c>
    </row>
    <row r="192" spans="2:13" x14ac:dyDescent="0.25">
      <c r="B192" s="31" t="s">
        <v>25743</v>
      </c>
      <c r="C192" s="20"/>
      <c r="D192" s="25" t="s">
        <v>442</v>
      </c>
      <c r="E192" s="25"/>
      <c r="F192" s="9" t="str">
        <f>HYPERLINK("https://www.ebi.ac.uk/ols/ontologies/uberon/terms?iri=http://purl.obolibrary.org/obo/UBERON_0002679","anterodorsal nucleus of thalamus")</f>
        <v>anterodorsal nucleus of thalamus</v>
      </c>
      <c r="G192" s="9" t="s">
        <v>441</v>
      </c>
      <c r="H192" s="9" t="s">
        <v>16436</v>
      </c>
      <c r="I192" s="9" t="s">
        <v>446</v>
      </c>
      <c r="J192" s="9" t="s">
        <v>447</v>
      </c>
      <c r="K192" s="7" t="s">
        <v>15171</v>
      </c>
      <c r="L192" s="13">
        <v>4398</v>
      </c>
      <c r="M192" t="str">
        <f>VLOOKUP(L192,[1]HBA!$B$2:$C$4000,2,FALSE)</f>
        <v>AD</v>
      </c>
    </row>
    <row r="193" spans="2:13" x14ac:dyDescent="0.25">
      <c r="B193" s="31" t="s">
        <v>25743</v>
      </c>
      <c r="C193" s="20"/>
      <c r="D193" s="25" t="s">
        <v>442</v>
      </c>
      <c r="E193" s="25"/>
      <c r="F193" s="9" t="str">
        <f>HYPERLINK("https://www.ebi.ac.uk/ols/ontologies/uberon/terms?iri=http://purl.obolibrary.org/obo/UBERON_0002679","anterodorsal nucleus of thalamus")</f>
        <v>anterodorsal nucleus of thalamus</v>
      </c>
      <c r="G193" s="9" t="s">
        <v>441</v>
      </c>
      <c r="H193" s="9" t="s">
        <v>16436</v>
      </c>
      <c r="I193" s="9" t="s">
        <v>444</v>
      </c>
      <c r="J193" s="9" t="s">
        <v>448</v>
      </c>
      <c r="K193" s="3" t="s">
        <v>15176</v>
      </c>
      <c r="L193" s="13">
        <v>64</v>
      </c>
      <c r="M193" t="str">
        <f>VLOOKUP(L193,[1]Mouse_ARA!$B$2:$C$1328,2,FALSE)</f>
        <v>AD</v>
      </c>
    </row>
    <row r="194" spans="2:13" x14ac:dyDescent="0.25">
      <c r="B194" s="31" t="s">
        <v>25743</v>
      </c>
      <c r="C194" s="20"/>
      <c r="D194" s="25" t="s">
        <v>450</v>
      </c>
      <c r="E194" s="25"/>
      <c r="F194" s="9" t="str">
        <f>HYPERLINK("https://www.ebi.ac.uk/ols/ontologies/uberon/terms?iri=http://purl.obolibrary.org/obo/UBERON_0035894","anterolateral visual area")</f>
        <v>anterolateral visual area</v>
      </c>
      <c r="G194" s="9" t="s">
        <v>449</v>
      </c>
      <c r="H194" s="9" t="s">
        <v>18970</v>
      </c>
      <c r="I194" s="9" t="s">
        <v>450</v>
      </c>
      <c r="J194" s="9" t="s">
        <v>451</v>
      </c>
      <c r="K194" s="3" t="s">
        <v>15176</v>
      </c>
      <c r="L194" s="13">
        <v>402</v>
      </c>
      <c r="M194" t="str">
        <f>VLOOKUP(L194,[1]Mouse_ARA!$B$2:$C$1328,2,FALSE)</f>
        <v>VISal</v>
      </c>
    </row>
    <row r="195" spans="2:13" x14ac:dyDescent="0.25">
      <c r="B195" s="31" t="s">
        <v>25743</v>
      </c>
      <c r="C195" s="20"/>
      <c r="D195" s="25" t="s">
        <v>453</v>
      </c>
      <c r="E195" s="25"/>
      <c r="F195" s="9" t="str">
        <f>HYPERLINK("https://www.ebi.ac.uk/ols/ontologies/uberon/terms?iri=http://purl.obolibrary.org/obo/UBERON_0035908","anterolateral visual area, layer 5")</f>
        <v>anterolateral visual area, layer 5</v>
      </c>
      <c r="G195" s="9" t="s">
        <v>452</v>
      </c>
      <c r="H195" s="9" t="s">
        <v>18978</v>
      </c>
      <c r="I195" s="9" t="s">
        <v>453</v>
      </c>
      <c r="J195" s="9" t="s">
        <v>454</v>
      </c>
      <c r="K195" s="3" t="s">
        <v>15176</v>
      </c>
      <c r="L195" s="13">
        <v>233</v>
      </c>
      <c r="M195" t="str">
        <f>VLOOKUP(L195,[1]Mouse_ARA!$B$2:$C$1328,2,FALSE)</f>
        <v>VISal5</v>
      </c>
    </row>
    <row r="196" spans="2:13" x14ac:dyDescent="0.25">
      <c r="B196" s="31" t="s">
        <v>25743</v>
      </c>
      <c r="C196" s="20"/>
      <c r="D196" s="25" t="s">
        <v>456</v>
      </c>
      <c r="E196" s="25"/>
      <c r="F196" s="9" t="str">
        <f>HYPERLINK("https://www.ebi.ac.uk/ols/ontologies/uberon/terms?iri=http://purl.obolibrary.org/obo/UBERON_0002681","anteromedial nucleus of thalamus")</f>
        <v>anteromedial nucleus of thalamus</v>
      </c>
      <c r="G196" s="9" t="s">
        <v>455</v>
      </c>
      <c r="H196" s="9" t="s">
        <v>16438</v>
      </c>
      <c r="I196" s="9" t="s">
        <v>456</v>
      </c>
      <c r="J196" s="9" t="s">
        <v>457</v>
      </c>
      <c r="K196" s="4" t="s">
        <v>15175</v>
      </c>
      <c r="L196" s="13">
        <v>10394</v>
      </c>
      <c r="M196" t="str">
        <f>VLOOKUP(L196,[1]Human_BrainSpan!$B$2:$C$4000,2,FALSE)</f>
        <v>AM</v>
      </c>
    </row>
    <row r="197" spans="2:13" x14ac:dyDescent="0.25">
      <c r="B197" s="31" t="s">
        <v>25743</v>
      </c>
      <c r="C197" s="20"/>
      <c r="D197" s="25" t="s">
        <v>456</v>
      </c>
      <c r="E197" s="25"/>
      <c r="F197" s="9" t="str">
        <f>HYPERLINK("https://www.ebi.ac.uk/ols/ontologies/uberon/terms?iri=http://purl.obolibrary.org/obo/UBERON_0002681","anteromedial nucleus of thalamus")</f>
        <v>anteromedial nucleus of thalamus</v>
      </c>
      <c r="G197" s="9" t="s">
        <v>455</v>
      </c>
      <c r="H197" s="9" t="s">
        <v>16438</v>
      </c>
      <c r="I197" s="9" t="s">
        <v>458</v>
      </c>
      <c r="J197" s="9" t="s">
        <v>459</v>
      </c>
      <c r="K197" s="5" t="s">
        <v>15173</v>
      </c>
      <c r="L197" s="13">
        <v>16422</v>
      </c>
      <c r="M197" t="str">
        <f>VLOOKUP(L197,[1]DevMouse!$B$2:$C$2693,2,FALSE)</f>
        <v>AM</v>
      </c>
    </row>
    <row r="198" spans="2:13" x14ac:dyDescent="0.25">
      <c r="B198" s="31" t="s">
        <v>25743</v>
      </c>
      <c r="C198" s="20"/>
      <c r="D198" s="25" t="s">
        <v>456</v>
      </c>
      <c r="E198" s="25"/>
      <c r="F198" s="9" t="str">
        <f>HYPERLINK("https://www.ebi.ac.uk/ols/ontologies/uberon/terms?iri=http://purl.obolibrary.org/obo/UBERON_0002681","anteromedial nucleus of thalamus")</f>
        <v>anteromedial nucleus of thalamus</v>
      </c>
      <c r="G198" s="9" t="s">
        <v>455</v>
      </c>
      <c r="H198" s="9" t="s">
        <v>16438</v>
      </c>
      <c r="I198" s="9" t="s">
        <v>460</v>
      </c>
      <c r="J198" s="9" t="s">
        <v>461</v>
      </c>
      <c r="K198" s="7" t="s">
        <v>15171</v>
      </c>
      <c r="L198" s="13">
        <v>4396</v>
      </c>
      <c r="M198" t="str">
        <f>VLOOKUP(L198,[1]HBA!$B$2:$C$4000,2,FALSE)</f>
        <v>AM</v>
      </c>
    </row>
    <row r="199" spans="2:13" x14ac:dyDescent="0.25">
      <c r="B199" s="31" t="s">
        <v>25743</v>
      </c>
      <c r="C199" s="20"/>
      <c r="D199" s="25" t="s">
        <v>456</v>
      </c>
      <c r="E199" s="25"/>
      <c r="F199" s="9" t="str">
        <f>HYPERLINK("https://www.ebi.ac.uk/ols/ontologies/uberon/terms?iri=http://purl.obolibrary.org/obo/UBERON_0002681","anteromedial nucleus of thalamus")</f>
        <v>anteromedial nucleus of thalamus</v>
      </c>
      <c r="G199" s="9" t="s">
        <v>455</v>
      </c>
      <c r="H199" s="9" t="s">
        <v>16438</v>
      </c>
      <c r="I199" s="9" t="s">
        <v>458</v>
      </c>
      <c r="J199" s="9" t="s">
        <v>462</v>
      </c>
      <c r="K199" s="3" t="s">
        <v>15176</v>
      </c>
      <c r="L199" s="13">
        <v>127</v>
      </c>
      <c r="M199" t="str">
        <f>VLOOKUP(L199,[1]Mouse_ARA!$B$2:$C$1328,2,FALSE)</f>
        <v>AM</v>
      </c>
    </row>
    <row r="200" spans="2:13" x14ac:dyDescent="0.25">
      <c r="B200" s="31" t="s">
        <v>25743</v>
      </c>
      <c r="C200" s="20"/>
      <c r="D200" s="25" t="s">
        <v>464</v>
      </c>
      <c r="E200" s="25"/>
      <c r="F200" s="9" t="str">
        <f>HYPERLINK("https://www.ebi.ac.uk/ols/ontologies/uberon/terms?iri=http://purl.obolibrary.org/obo/UBERON_0035893","anteromedial visual area")</f>
        <v>anteromedial visual area</v>
      </c>
      <c r="G200" s="9" t="s">
        <v>463</v>
      </c>
      <c r="H200" s="9" t="s">
        <v>18984</v>
      </c>
      <c r="I200" s="9" t="s">
        <v>464</v>
      </c>
      <c r="J200" s="9" t="s">
        <v>465</v>
      </c>
      <c r="K200" s="3" t="s">
        <v>15176</v>
      </c>
      <c r="L200" s="13">
        <v>394</v>
      </c>
      <c r="M200" t="str">
        <f>VLOOKUP(L200,[1]Mouse_ARA!$B$2:$C$1328,2,FALSE)</f>
        <v>VISam</v>
      </c>
    </row>
    <row r="201" spans="2:13" x14ac:dyDescent="0.25">
      <c r="B201" s="31" t="s">
        <v>25743</v>
      </c>
      <c r="C201" s="20"/>
      <c r="D201" s="25" t="s">
        <v>467</v>
      </c>
      <c r="E201" s="25" t="s">
        <v>26306</v>
      </c>
      <c r="F201" s="9" t="str">
        <f>HYPERLINK("https://www.ebi.ac.uk/ols/ontologies/uberon/terms?iri=http://purl.obolibrary.org/obo/UBERON_0035913","anteromedial visual area, layer 5")</f>
        <v>anteromedial visual area, layer 5</v>
      </c>
      <c r="G201" s="9" t="s">
        <v>466</v>
      </c>
      <c r="H201" s="9" t="s">
        <v>18992</v>
      </c>
      <c r="I201" s="9" t="s">
        <v>467</v>
      </c>
      <c r="J201" s="9" t="s">
        <v>468</v>
      </c>
      <c r="K201" s="3" t="s">
        <v>15176</v>
      </c>
      <c r="L201" s="13">
        <v>433</v>
      </c>
      <c r="M201" t="str">
        <f>VLOOKUP(L201,[1]Mouse_ARA!$B$2:$C$1328,2,FALSE)</f>
        <v>VISam5</v>
      </c>
    </row>
    <row r="202" spans="2:13" x14ac:dyDescent="0.25">
      <c r="B202" s="31" t="s">
        <v>25743</v>
      </c>
      <c r="C202" s="20"/>
      <c r="D202" s="25" t="s">
        <v>25800</v>
      </c>
      <c r="E202" s="25"/>
      <c r="F202" s="9" t="str">
        <f>HYPERLINK("https://www.ebi.ac.uk/ols/ontologies/uberon/terms?iri=http://purl.obolibrary.org/obo/UBERON_0002830","anteroventral cochlear nucleus")</f>
        <v>anteroventral cochlear nucleus</v>
      </c>
      <c r="G202" s="9" t="s">
        <v>469</v>
      </c>
      <c r="H202" s="9" t="s">
        <v>24287</v>
      </c>
      <c r="I202" s="9" t="s">
        <v>470</v>
      </c>
      <c r="J202" s="9" t="s">
        <v>471</v>
      </c>
      <c r="K202" s="4" t="s">
        <v>15175</v>
      </c>
      <c r="L202" s="13">
        <v>12440</v>
      </c>
      <c r="M202" t="str">
        <f>VLOOKUP(L202,[1]Human_BrainSpan!$B$2:$C$4000,2,FALSE)</f>
        <v>VCoR</v>
      </c>
    </row>
    <row r="203" spans="2:13" x14ac:dyDescent="0.25">
      <c r="B203" s="31" t="s">
        <v>25743</v>
      </c>
      <c r="C203" s="20"/>
      <c r="D203" s="25" t="s">
        <v>25800</v>
      </c>
      <c r="E203" s="25"/>
      <c r="F203" s="9" t="str">
        <f>HYPERLINK("https://www.ebi.ac.uk/ols/ontologies/uberon/terms?iri=http://purl.obolibrary.org/obo/UBERON_0002830","anteroventral cochlear nucleus")</f>
        <v>anteroventral cochlear nucleus</v>
      </c>
      <c r="G203" s="9" t="s">
        <v>469</v>
      </c>
      <c r="H203" s="9" t="s">
        <v>25445</v>
      </c>
      <c r="I203" s="9" t="s">
        <v>472</v>
      </c>
      <c r="J203" s="9" t="s">
        <v>473</v>
      </c>
      <c r="K203" s="7" t="s">
        <v>15171</v>
      </c>
      <c r="L203" s="13">
        <v>9532</v>
      </c>
      <c r="M203" t="str">
        <f>VLOOKUP(L203,[1]HBA!$B$2:$C$4000,2,FALSE)</f>
        <v>AVCo</v>
      </c>
    </row>
    <row r="204" spans="2:13" x14ac:dyDescent="0.25">
      <c r="B204" s="31" t="s">
        <v>25743</v>
      </c>
      <c r="C204" s="20"/>
      <c r="D204" s="25" t="s">
        <v>475</v>
      </c>
      <c r="E204" s="25"/>
      <c r="F204" s="9" t="str">
        <f>HYPERLINK("https://www.ebi.ac.uk/ols/ontologies/uberon/terms?iri=http://purl.obolibrary.org/obo/UBERON_0002685","anteroventral nucleus of thalamus")</f>
        <v>anteroventral nucleus of thalamus</v>
      </c>
      <c r="G204" s="9" t="s">
        <v>474</v>
      </c>
      <c r="H204" s="9" t="s">
        <v>16437</v>
      </c>
      <c r="I204" s="9" t="s">
        <v>475</v>
      </c>
      <c r="J204" s="9" t="s">
        <v>476</v>
      </c>
      <c r="K204" s="4" t="s">
        <v>15175</v>
      </c>
      <c r="L204" s="13">
        <v>10395</v>
      </c>
      <c r="M204" t="str">
        <f>VLOOKUP(L204,[1]Human_BrainSpan!$B$2:$C$4000,2,FALSE)</f>
        <v>AV</v>
      </c>
    </row>
    <row r="205" spans="2:13" x14ac:dyDescent="0.25">
      <c r="B205" s="31" t="s">
        <v>25743</v>
      </c>
      <c r="C205" s="20"/>
      <c r="D205" s="25" t="s">
        <v>475</v>
      </c>
      <c r="E205" s="25"/>
      <c r="F205" s="9" t="str">
        <f>HYPERLINK("https://www.ebi.ac.uk/ols/ontologies/uberon/terms?iri=http://purl.obolibrary.org/obo/UBERON_0002685","anteroventral nucleus of thalamus")</f>
        <v>anteroventral nucleus of thalamus</v>
      </c>
      <c r="G205" s="9" t="s">
        <v>474</v>
      </c>
      <c r="H205" s="9" t="s">
        <v>16437</v>
      </c>
      <c r="I205" s="9" t="s">
        <v>477</v>
      </c>
      <c r="J205" s="9" t="s">
        <v>478</v>
      </c>
      <c r="K205" s="5" t="s">
        <v>15173</v>
      </c>
      <c r="L205" s="13">
        <v>16421</v>
      </c>
      <c r="M205" t="str">
        <f>VLOOKUP(L205,[1]DevMouse!$B$2:$C$2693,2,FALSE)</f>
        <v>AV</v>
      </c>
    </row>
    <row r="206" spans="2:13" x14ac:dyDescent="0.25">
      <c r="B206" s="31" t="s">
        <v>25743</v>
      </c>
      <c r="C206" s="20"/>
      <c r="D206" s="25" t="s">
        <v>475</v>
      </c>
      <c r="E206" s="25"/>
      <c r="F206" s="9" t="str">
        <f>HYPERLINK("https://www.ebi.ac.uk/ols/ontologies/uberon/terms?iri=http://purl.obolibrary.org/obo/UBERON_0002685","anteroventral nucleus of thalamus")</f>
        <v>anteroventral nucleus of thalamus</v>
      </c>
      <c r="G206" s="9" t="s">
        <v>474</v>
      </c>
      <c r="H206" s="9" t="s">
        <v>16437</v>
      </c>
      <c r="I206" s="9" t="s">
        <v>479</v>
      </c>
      <c r="J206" s="9" t="s">
        <v>480</v>
      </c>
      <c r="K206" s="7" t="s">
        <v>15171</v>
      </c>
      <c r="L206" s="13">
        <v>4397</v>
      </c>
      <c r="M206" t="str">
        <f>VLOOKUP(L206,[1]HBA!$B$2:$C$4000,2,FALSE)</f>
        <v>AV</v>
      </c>
    </row>
    <row r="207" spans="2:13" x14ac:dyDescent="0.25">
      <c r="B207" s="31" t="s">
        <v>25743</v>
      </c>
      <c r="C207" s="20"/>
      <c r="D207" s="25" t="s">
        <v>475</v>
      </c>
      <c r="E207" s="25"/>
      <c r="F207" s="9" t="str">
        <f>HYPERLINK("https://www.ebi.ac.uk/ols/ontologies/uberon/terms?iri=http://purl.obolibrary.org/obo/UBERON_0002685","anteroventral nucleus of thalamus")</f>
        <v>anteroventral nucleus of thalamus</v>
      </c>
      <c r="G207" s="9" t="s">
        <v>474</v>
      </c>
      <c r="H207" s="9" t="s">
        <v>16437</v>
      </c>
      <c r="I207" s="9" t="s">
        <v>475</v>
      </c>
      <c r="J207" s="9" t="s">
        <v>481</v>
      </c>
      <c r="K207" s="3" t="s">
        <v>15176</v>
      </c>
      <c r="L207" s="13">
        <v>255</v>
      </c>
      <c r="M207" t="str">
        <f>VLOOKUP(L207,[1]Mouse_ARA!$B$2:$C$1328,2,FALSE)</f>
        <v>AV</v>
      </c>
    </row>
    <row r="208" spans="2:13" x14ac:dyDescent="0.25">
      <c r="B208" s="31" t="s">
        <v>25743</v>
      </c>
      <c r="C208" s="20"/>
      <c r="D208" s="25" t="s">
        <v>483</v>
      </c>
      <c r="E208" s="25"/>
      <c r="F208" s="9" t="str">
        <f>HYPERLINK("https://www.ebi.ac.uk/ols/ontologies/uberon/terms?iri=http://purl.obolibrary.org/obo/UBERON_0002690","anteroventral periventricular nucleus")</f>
        <v>anteroventral periventricular nucleus</v>
      </c>
      <c r="G208" s="9" t="s">
        <v>482</v>
      </c>
      <c r="H208" s="9" t="s">
        <v>15242</v>
      </c>
      <c r="I208" s="9" t="s">
        <v>483</v>
      </c>
      <c r="J208" s="9" t="s">
        <v>484</v>
      </c>
      <c r="K208" s="4" t="s">
        <v>15175</v>
      </c>
      <c r="L208" s="13">
        <v>13061</v>
      </c>
      <c r="M208" t="str">
        <f>VLOOKUP(L208,[1]Human_BrainSpan!$B$2:$C$4000,2,FALSE)</f>
        <v>AVPe</v>
      </c>
    </row>
    <row r="209" spans="2:13" x14ac:dyDescent="0.25">
      <c r="B209" s="31" t="s">
        <v>25743</v>
      </c>
      <c r="C209" s="20"/>
      <c r="D209" s="25" t="s">
        <v>483</v>
      </c>
      <c r="E209" s="25"/>
      <c r="F209" s="9" t="str">
        <f>HYPERLINK("https://www.ebi.ac.uk/ols/ontologies/uberon/terms?iri=http://purl.obolibrary.org/obo/UBERON_0002690","anteroventral periventricular nucleus")</f>
        <v>anteroventral periventricular nucleus</v>
      </c>
      <c r="G209" s="9" t="s">
        <v>482</v>
      </c>
      <c r="H209" s="9" t="s">
        <v>20041</v>
      </c>
      <c r="I209" s="9" t="s">
        <v>485</v>
      </c>
      <c r="J209" s="9" t="s">
        <v>486</v>
      </c>
      <c r="K209" s="7" t="s">
        <v>15171</v>
      </c>
      <c r="L209" s="13">
        <v>4550</v>
      </c>
      <c r="M209" t="str">
        <f>VLOOKUP(L209,[1]HBA!$B$2:$C$4000,2,FALSE)</f>
        <v>AVPV</v>
      </c>
    </row>
    <row r="210" spans="2:13" x14ac:dyDescent="0.25">
      <c r="B210" s="31" t="s">
        <v>25743</v>
      </c>
      <c r="C210" s="20"/>
      <c r="D210" s="25" t="s">
        <v>483</v>
      </c>
      <c r="E210" s="25"/>
      <c r="F210" s="9" t="str">
        <f>HYPERLINK("https://www.ebi.ac.uk/ols/ontologies/uberon/terms?iri=http://purl.obolibrary.org/obo/UBERON_0002690","anteroventral periventricular nucleus")</f>
        <v>anteroventral periventricular nucleus</v>
      </c>
      <c r="G210" s="9" t="s">
        <v>482</v>
      </c>
      <c r="H210" s="9" t="s">
        <v>20041</v>
      </c>
      <c r="I210" s="9" t="s">
        <v>483</v>
      </c>
      <c r="J210" s="9" t="s">
        <v>487</v>
      </c>
      <c r="K210" s="3" t="s">
        <v>15176</v>
      </c>
      <c r="L210" s="13">
        <v>272</v>
      </c>
      <c r="M210" t="str">
        <f>VLOOKUP(L210,[1]Mouse_ARA!$B$2:$C$1328,2,FALSE)</f>
        <v>AVPV</v>
      </c>
    </row>
    <row r="211" spans="2:13" x14ac:dyDescent="0.25">
      <c r="B211" s="31" t="s">
        <v>25743</v>
      </c>
      <c r="C211" s="20"/>
      <c r="D211" s="25" t="s">
        <v>489</v>
      </c>
      <c r="E211" s="25"/>
      <c r="F211" s="9" t="str">
        <f>HYPERLINK("https://www.ebi.ac.uk/ols/ontologies/uberon/terms?iri=http://purl.obolibrary.org/obo/UBERON_0035974","anteroventral preoptic nucleus")</f>
        <v>anteroventral preoptic nucleus</v>
      </c>
      <c r="G211" s="9" t="s">
        <v>488</v>
      </c>
      <c r="H211" s="9" t="s">
        <v>20039</v>
      </c>
      <c r="I211" s="9" t="s">
        <v>489</v>
      </c>
      <c r="J211" s="9" t="s">
        <v>490</v>
      </c>
      <c r="K211" s="3" t="s">
        <v>15176</v>
      </c>
      <c r="L211" s="13">
        <v>263</v>
      </c>
      <c r="M211" t="str">
        <f>VLOOKUP(L211,[1]Mouse_ARA!$B$2:$C$1328,2,FALSE)</f>
        <v>AVP</v>
      </c>
    </row>
    <row r="212" spans="2:13" x14ac:dyDescent="0.25">
      <c r="B212" s="31" t="s">
        <v>25743</v>
      </c>
      <c r="C212" s="20"/>
      <c r="D212" s="25" t="s">
        <v>492</v>
      </c>
      <c r="E212" s="25"/>
      <c r="F212" s="9" t="str">
        <f>HYPERLINK("https://www.ebi.ac.uk/ols/ontologies/uberon/terms?iri=http://purl.obolibrary.org/obo/UBERON_0002961","archicortex")</f>
        <v>archicortex</v>
      </c>
      <c r="G212" s="9" t="s">
        <v>491</v>
      </c>
      <c r="H212" s="9" t="s">
        <v>23008</v>
      </c>
      <c r="I212" s="9" t="s">
        <v>492</v>
      </c>
      <c r="J212" s="9" t="s">
        <v>493</v>
      </c>
      <c r="K212" s="4" t="s">
        <v>15175</v>
      </c>
      <c r="L212" s="13">
        <v>10293</v>
      </c>
      <c r="M212" t="str">
        <f>VLOOKUP(L212,[1]Human_BrainSpan!$B$2:$C$4000,2,FALSE)</f>
        <v>ArCx</v>
      </c>
    </row>
    <row r="213" spans="2:13" x14ac:dyDescent="0.25">
      <c r="B213" s="31" t="s">
        <v>25743</v>
      </c>
      <c r="C213" s="20"/>
      <c r="D213" s="25" t="s">
        <v>495</v>
      </c>
      <c r="E213" s="25"/>
      <c r="F213" s="9" t="str">
        <f>HYPERLINK("https://www.ebi.ac.uk/ols/ontologies/uberon/terms?iri=http://purl.obolibrary.org/obo/UBERON_0035937","arcuate fasciculus")</f>
        <v>arcuate fasciculus</v>
      </c>
      <c r="G213" s="9" t="s">
        <v>494</v>
      </c>
      <c r="H213" s="9" t="s">
        <v>23554</v>
      </c>
      <c r="I213" s="9" t="s">
        <v>495</v>
      </c>
      <c r="J213" s="9" t="s">
        <v>496</v>
      </c>
      <c r="K213" s="4" t="s">
        <v>15175</v>
      </c>
      <c r="L213" s="13">
        <v>10569</v>
      </c>
      <c r="M213" t="str">
        <f>VLOOKUP(L213,[1]Human_BrainSpan!$B$2:$C$4000,2,FALSE)</f>
        <v>af</v>
      </c>
    </row>
    <row r="214" spans="2:13" x14ac:dyDescent="0.25">
      <c r="B214" s="31" t="s">
        <v>25743</v>
      </c>
      <c r="C214" s="20"/>
      <c r="D214" s="25" t="s">
        <v>495</v>
      </c>
      <c r="E214" s="25"/>
      <c r="F214" s="9" t="str">
        <f>HYPERLINK("https://www.ebi.ac.uk/ols/ontologies/uberon/terms?iri=http://purl.obolibrary.org/obo/UBERON_0035937","arcuate fasciculus")</f>
        <v>arcuate fasciculus</v>
      </c>
      <c r="G214" s="9" t="s">
        <v>494</v>
      </c>
      <c r="H214" s="9" t="s">
        <v>25482</v>
      </c>
      <c r="I214" s="9" t="s">
        <v>495</v>
      </c>
      <c r="J214" s="9" t="s">
        <v>497</v>
      </c>
      <c r="K214" s="7" t="s">
        <v>15171</v>
      </c>
      <c r="L214" s="13">
        <v>9231</v>
      </c>
      <c r="M214" t="str">
        <f>VLOOKUP(L214,[1]HBA!$B$2:$C$4000,2,FALSE)</f>
        <v>arf</v>
      </c>
    </row>
    <row r="215" spans="2:13" x14ac:dyDescent="0.25">
      <c r="B215" s="31" t="s">
        <v>25743</v>
      </c>
      <c r="C215" s="20"/>
      <c r="D215" s="25" t="s">
        <v>499</v>
      </c>
      <c r="E215" s="25"/>
      <c r="F215" s="9" t="str">
        <f>HYPERLINK("https://www.ebi.ac.uk/ols/ontologies/uberon/terms?iri=http://purl.obolibrary.org/obo/UBERON_0001932","arcuate nucleus of hypothalamus")</f>
        <v>arcuate nucleus of hypothalamus</v>
      </c>
      <c r="G215" s="9" t="s">
        <v>498</v>
      </c>
      <c r="H215" s="9" t="s">
        <v>23503</v>
      </c>
      <c r="I215" s="9" t="s">
        <v>499</v>
      </c>
      <c r="J215" s="9" t="s">
        <v>500</v>
      </c>
      <c r="K215" s="4" t="s">
        <v>15175</v>
      </c>
      <c r="L215" s="13">
        <v>10492</v>
      </c>
      <c r="M215" t="str">
        <f>VLOOKUP(L215,[1]Human_BrainSpan!$B$2:$C$4000,2,FALSE)</f>
        <v>Arc</v>
      </c>
    </row>
    <row r="216" spans="2:13" x14ac:dyDescent="0.25">
      <c r="B216" s="31" t="s">
        <v>25743</v>
      </c>
      <c r="C216" s="20"/>
      <c r="D216" s="25" t="s">
        <v>499</v>
      </c>
      <c r="E216" s="25"/>
      <c r="F216" s="9" t="str">
        <f>HYPERLINK("https://www.ebi.ac.uk/ols/ontologies/uberon/terms?iri=http://purl.obolibrary.org/obo/UBERON_0001932","arcuate nucleus of hypothalamus")</f>
        <v>arcuate nucleus of hypothalamus</v>
      </c>
      <c r="G216" s="9" t="s">
        <v>498</v>
      </c>
      <c r="H216" s="9" t="s">
        <v>20031</v>
      </c>
      <c r="I216" s="9" t="s">
        <v>501</v>
      </c>
      <c r="J216" s="9" t="s">
        <v>502</v>
      </c>
      <c r="K216" s="7" t="s">
        <v>15171</v>
      </c>
      <c r="L216" s="13">
        <v>12913</v>
      </c>
      <c r="M216" t="str">
        <f>VLOOKUP(L216,[1]HBA!$B$2:$C$4000,2,FALSE)</f>
        <v>ARH</v>
      </c>
    </row>
    <row r="217" spans="2:13" x14ac:dyDescent="0.25">
      <c r="B217" s="31" t="s">
        <v>25743</v>
      </c>
      <c r="C217" s="20"/>
      <c r="D217" s="25" t="s">
        <v>499</v>
      </c>
      <c r="E217" s="25"/>
      <c r="F217" s="9" t="str">
        <f>HYPERLINK("https://www.ebi.ac.uk/ols/ontologies/uberon/terms?iri=http://purl.obolibrary.org/obo/UBERON_0001932","arcuate nucleus of hypothalamus")</f>
        <v>arcuate nucleus of hypothalamus</v>
      </c>
      <c r="G217" s="9" t="s">
        <v>498</v>
      </c>
      <c r="H217" s="9" t="s">
        <v>20031</v>
      </c>
      <c r="I217" s="9" t="s">
        <v>503</v>
      </c>
      <c r="J217" s="9" t="s">
        <v>504</v>
      </c>
      <c r="K217" s="3" t="s">
        <v>15176</v>
      </c>
      <c r="L217" s="13">
        <v>223</v>
      </c>
      <c r="M217" t="str">
        <f>VLOOKUP(L217,[1]Mouse_ARA!$B$2:$C$1328,2,FALSE)</f>
        <v>ARH</v>
      </c>
    </row>
    <row r="218" spans="2:13" x14ac:dyDescent="0.25">
      <c r="B218" s="31" t="s">
        <v>25743</v>
      </c>
      <c r="C218" s="20"/>
      <c r="D218" s="25" t="s">
        <v>508</v>
      </c>
      <c r="E218" s="25"/>
      <c r="F218" s="9" t="str">
        <f>HYPERLINK("https://www.ebi.ac.uk/ols/ontologies/uberon/terms?iri=http://purl.obolibrary.org/obo/UBERON_0002865","arcuate nucleus of medulla")</f>
        <v>arcuate nucleus of medulla</v>
      </c>
      <c r="G218" s="9" t="s">
        <v>505</v>
      </c>
      <c r="H218" s="9" t="s">
        <v>24367</v>
      </c>
      <c r="I218" s="9" t="s">
        <v>506</v>
      </c>
      <c r="J218" s="9" t="s">
        <v>507</v>
      </c>
      <c r="K218" s="4" t="s">
        <v>15175</v>
      </c>
      <c r="L218" s="13">
        <v>12536</v>
      </c>
      <c r="M218" t="str">
        <f>VLOOKUP(L218,[1]Human_BrainSpan!$B$2:$C$4000,2,FALSE)</f>
        <v>Ar</v>
      </c>
    </row>
    <row r="219" spans="2:13" x14ac:dyDescent="0.25">
      <c r="B219" s="31" t="s">
        <v>25743</v>
      </c>
      <c r="C219" s="20"/>
      <c r="D219" s="25" t="s">
        <v>508</v>
      </c>
      <c r="E219" s="25"/>
      <c r="F219" s="9" t="str">
        <f>HYPERLINK("https://www.ebi.ac.uk/ols/ontologies/uberon/terms?iri=http://purl.obolibrary.org/obo/UBERON_0002865","arcuate nucleus of medulla")</f>
        <v>arcuate nucleus of medulla</v>
      </c>
      <c r="G219" s="9" t="s">
        <v>505</v>
      </c>
      <c r="H219" s="9" t="s">
        <v>23503</v>
      </c>
      <c r="I219" s="9" t="s">
        <v>508</v>
      </c>
      <c r="J219" s="9" t="s">
        <v>509</v>
      </c>
      <c r="K219" s="7" t="s">
        <v>15171</v>
      </c>
      <c r="L219" s="13">
        <v>9519</v>
      </c>
      <c r="M219" t="str">
        <f>VLOOKUP(L219,[1]HBA!$B$2:$C$4000,2,FALSE)</f>
        <v>Arc</v>
      </c>
    </row>
    <row r="220" spans="2:13" x14ac:dyDescent="0.25">
      <c r="B220" s="31" t="s">
        <v>25743</v>
      </c>
      <c r="C220" s="20"/>
      <c r="D220" s="25" t="s">
        <v>25801</v>
      </c>
      <c r="E220" s="25"/>
      <c r="F220" s="9" t="str">
        <f>HYPERLINK("https://www.ebi.ac.uk/ols/ontologies/uberon/terms?iri=http://purl.obolibrary.org/obo/UBERON_0002687","area X of ventral lateral nucleus")</f>
        <v>area X of ventral lateral nucleus</v>
      </c>
      <c r="G220" s="9" t="s">
        <v>510</v>
      </c>
      <c r="H220" s="9" t="s">
        <v>1177</v>
      </c>
      <c r="I220" s="9" t="s">
        <v>511</v>
      </c>
      <c r="J220" s="9" t="s">
        <v>512</v>
      </c>
      <c r="K220" s="4" t="s">
        <v>15175</v>
      </c>
      <c r="L220" s="13">
        <v>12653</v>
      </c>
      <c r="M220" t="str">
        <f>VLOOKUP(L220,[1]Human_BrainSpan!$B$2:$C$4000,2,FALSE)</f>
        <v>X</v>
      </c>
    </row>
    <row r="221" spans="2:13" x14ac:dyDescent="0.25">
      <c r="B221" s="31" t="s">
        <v>25743</v>
      </c>
      <c r="C221" s="20"/>
      <c r="D221" s="25" t="s">
        <v>514</v>
      </c>
      <c r="E221" s="25"/>
      <c r="F221" s="9" t="str">
        <f>HYPERLINK("https://www.ebi.ac.uk/ols/ontologies/uberon/terms?iri=http://purl.obolibrary.org/obo/UBERON_0002162","area postrema")</f>
        <v>area postrema</v>
      </c>
      <c r="G221" s="9" t="s">
        <v>513</v>
      </c>
      <c r="H221" s="9" t="s">
        <v>20395</v>
      </c>
      <c r="I221" s="9" t="s">
        <v>514</v>
      </c>
      <c r="J221" s="9" t="s">
        <v>515</v>
      </c>
      <c r="K221" s="4" t="s">
        <v>15175</v>
      </c>
      <c r="L221" s="13">
        <v>12807</v>
      </c>
      <c r="M221" t="str">
        <f>VLOOKUP(L221,[1]Human_BrainSpan!$B$2:$C$4000,2,FALSE)</f>
        <v>AP</v>
      </c>
    </row>
    <row r="222" spans="2:13" x14ac:dyDescent="0.25">
      <c r="B222" s="31" t="s">
        <v>25743</v>
      </c>
      <c r="C222" s="20"/>
      <c r="D222" s="25" t="s">
        <v>514</v>
      </c>
      <c r="E222" s="25"/>
      <c r="F222" s="9" t="str">
        <f>HYPERLINK("https://www.ebi.ac.uk/ols/ontologies/uberon/terms?iri=http://purl.obolibrary.org/obo/UBERON_0002162","area postrema")</f>
        <v>area postrema</v>
      </c>
      <c r="G222" s="9" t="s">
        <v>513</v>
      </c>
      <c r="H222" s="9" t="s">
        <v>20395</v>
      </c>
      <c r="I222" s="9" t="s">
        <v>514</v>
      </c>
      <c r="J222" s="9" t="s">
        <v>516</v>
      </c>
      <c r="K222" s="7" t="s">
        <v>15171</v>
      </c>
      <c r="L222" s="13">
        <v>9522</v>
      </c>
      <c r="M222" t="str">
        <f>VLOOKUP(L222,[1]HBA!$B$2:$C$4000,2,FALSE)</f>
        <v>AP</v>
      </c>
    </row>
    <row r="223" spans="2:13" x14ac:dyDescent="0.25">
      <c r="B223" s="31" t="s">
        <v>25743</v>
      </c>
      <c r="C223" s="20"/>
      <c r="D223" s="25" t="s">
        <v>514</v>
      </c>
      <c r="E223" s="25"/>
      <c r="F223" s="9" t="str">
        <f>HYPERLINK("https://www.ebi.ac.uk/ols/ontologies/uberon/terms?iri=http://purl.obolibrary.org/obo/UBERON_0002162","area postrema")</f>
        <v>area postrema</v>
      </c>
      <c r="G223" s="9" t="s">
        <v>513</v>
      </c>
      <c r="H223" s="9" t="s">
        <v>20395</v>
      </c>
      <c r="I223" s="9" t="s">
        <v>514</v>
      </c>
      <c r="J223" s="9" t="s">
        <v>517</v>
      </c>
      <c r="K223" s="3" t="s">
        <v>15176</v>
      </c>
      <c r="L223" s="13">
        <v>207</v>
      </c>
      <c r="M223" t="str">
        <f>VLOOKUP(L223,[1]Mouse_ARA!$B$2:$C$1328,2,FALSE)</f>
        <v>AP</v>
      </c>
    </row>
    <row r="224" spans="2:13" x14ac:dyDescent="0.25">
      <c r="B224" s="31" t="s">
        <v>25743</v>
      </c>
      <c r="C224" s="20"/>
      <c r="D224" s="25" t="s">
        <v>25802</v>
      </c>
      <c r="E224" s="25"/>
      <c r="F224" s="9" t="str">
        <f>HYPERLINK("https://www.ebi.ac.uk/ols/ontologies/uberon/terms?iri=http://purl.obolibrary.org/obo/UBERON_0001393","auditory cortex")</f>
        <v>auditory cortex</v>
      </c>
      <c r="G224" s="9" t="s">
        <v>518</v>
      </c>
      <c r="H224" s="9" t="s">
        <v>18884</v>
      </c>
      <c r="I224" s="9" t="s">
        <v>519</v>
      </c>
      <c r="J224" s="9" t="s">
        <v>520</v>
      </c>
      <c r="K224" s="3" t="s">
        <v>15176</v>
      </c>
      <c r="L224" s="13">
        <v>247</v>
      </c>
      <c r="M224" t="str">
        <f>VLOOKUP(L224,[1]Mouse_ARA!$B$2:$C$1328,2,FALSE)</f>
        <v>AUD</v>
      </c>
    </row>
    <row r="225" spans="2:13" x14ac:dyDescent="0.25">
      <c r="B225" s="31" t="s">
        <v>25743</v>
      </c>
      <c r="C225" s="20"/>
      <c r="D225" s="25" t="s">
        <v>7243</v>
      </c>
      <c r="E225" s="25"/>
      <c r="F225" s="9" t="str">
        <f>HYPERLINK("https://www.ebi.ac.uk/ols/ontologies/uberon/terms?iri=http://purl.obolibrary.org/obo/UBERON_0022262","auditory radiation")</f>
        <v>auditory radiation</v>
      </c>
      <c r="G225" s="9" t="s">
        <v>521</v>
      </c>
      <c r="H225" s="9" t="s">
        <v>20847</v>
      </c>
      <c r="I225" s="9" t="s">
        <v>522</v>
      </c>
      <c r="J225" s="9" t="s">
        <v>523</v>
      </c>
      <c r="K225" s="4" t="s">
        <v>15175</v>
      </c>
      <c r="L225" s="13">
        <v>266441583</v>
      </c>
      <c r="M225" t="str">
        <f>VLOOKUP(L225,[1]Human_BrainSpan!$B$2:$C$4000,2,FALSE)</f>
        <v>ar</v>
      </c>
    </row>
    <row r="226" spans="2:13" x14ac:dyDescent="0.25">
      <c r="B226" s="31" t="s">
        <v>25743</v>
      </c>
      <c r="C226" s="20"/>
      <c r="D226" s="25" t="s">
        <v>7243</v>
      </c>
      <c r="E226" s="25"/>
      <c r="F226" s="9" t="str">
        <f>HYPERLINK("https://www.ebi.ac.uk/ols/ontologies/uberon/terms?iri=http://purl.obolibrary.org/obo/UBERON_0022262","auditory radiation")</f>
        <v>auditory radiation</v>
      </c>
      <c r="G226" s="9" t="s">
        <v>521</v>
      </c>
      <c r="H226" s="9" t="s">
        <v>20847</v>
      </c>
      <c r="I226" s="9" t="s">
        <v>522</v>
      </c>
      <c r="J226" s="9" t="s">
        <v>524</v>
      </c>
      <c r="K226" s="7" t="s">
        <v>15171</v>
      </c>
      <c r="L226" s="13">
        <v>265504974</v>
      </c>
      <c r="M226" t="str">
        <f>VLOOKUP(L226,[1]HBA!$B$2:$C$4000,2,FALSE)</f>
        <v>ar</v>
      </c>
    </row>
    <row r="227" spans="2:13" x14ac:dyDescent="0.25">
      <c r="B227" s="31" t="s">
        <v>25743</v>
      </c>
      <c r="C227" s="20"/>
      <c r="D227" s="25" t="s">
        <v>25803</v>
      </c>
      <c r="E227" s="25" t="s">
        <v>26300</v>
      </c>
      <c r="F227" s="9" t="str">
        <f>HYPERLINK("https://www.ebi.ac.uk/ols/ontologies/uberon/terms?iri=http://purl.obolibrary.org/obo/UBERON_0010415","barrel cortex")</f>
        <v>barrel cortex</v>
      </c>
      <c r="G227" s="9" t="s">
        <v>525</v>
      </c>
      <c r="H227" s="9" t="s">
        <v>18744</v>
      </c>
      <c r="I227" s="9" t="s">
        <v>526</v>
      </c>
      <c r="J227" s="9" t="s">
        <v>527</v>
      </c>
      <c r="K227" s="3" t="s">
        <v>15176</v>
      </c>
      <c r="L227" s="13">
        <v>329</v>
      </c>
      <c r="M227" t="str">
        <f>VLOOKUP(L227,[1]Mouse_ARA!$B$2:$C$1328,2,FALSE)</f>
        <v>SSp-bfd</v>
      </c>
    </row>
    <row r="228" spans="2:13" x14ac:dyDescent="0.25">
      <c r="B228" s="31" t="s">
        <v>25743</v>
      </c>
      <c r="C228" s="20"/>
      <c r="D228" s="25" t="s">
        <v>25804</v>
      </c>
      <c r="E228" s="25"/>
      <c r="F228" s="9" t="str">
        <f>HYPERLINK("https://www.ebi.ac.uk/ols/ontologies/uberon/terms?iri=http://purl.obolibrary.org/obo/UBERON_0002887","basal amygdaloid nucleus")</f>
        <v>basal amygdaloid nucleus</v>
      </c>
      <c r="G228" s="9" t="s">
        <v>528</v>
      </c>
      <c r="H228" s="9" t="s">
        <v>15784</v>
      </c>
      <c r="I228" s="9" t="s">
        <v>529</v>
      </c>
      <c r="J228" s="9" t="s">
        <v>530</v>
      </c>
      <c r="K228" s="7" t="s">
        <v>15171</v>
      </c>
      <c r="L228" s="13">
        <v>4341</v>
      </c>
      <c r="M228" t="str">
        <f>VLOOKUP(L228,[1]HBA!$B$2:$C$4000,2,FALSE)</f>
        <v>BLA</v>
      </c>
    </row>
    <row r="229" spans="2:13" x14ac:dyDescent="0.25">
      <c r="B229" s="31" t="s">
        <v>25743</v>
      </c>
      <c r="C229" s="20"/>
      <c r="D229" s="25" t="s">
        <v>25804</v>
      </c>
      <c r="E229" s="25"/>
      <c r="F229" s="9" t="str">
        <f>HYPERLINK("https://www.ebi.ac.uk/ols/ontologies/uberon/terms?iri=http://purl.obolibrary.org/obo/UBERON_0002887","basal amygdaloid nucleus")</f>
        <v>basal amygdaloid nucleus</v>
      </c>
      <c r="G229" s="9" t="s">
        <v>528</v>
      </c>
      <c r="H229" s="9" t="s">
        <v>15784</v>
      </c>
      <c r="I229" s="9" t="s">
        <v>531</v>
      </c>
      <c r="J229" s="9" t="s">
        <v>532</v>
      </c>
      <c r="K229" s="3" t="s">
        <v>15176</v>
      </c>
      <c r="L229" s="13">
        <v>295</v>
      </c>
      <c r="M229" t="str">
        <f>VLOOKUP(L229,[1]Mouse_ARA!$B$2:$C$1328,2,FALSE)</f>
        <v>BLA</v>
      </c>
    </row>
    <row r="230" spans="2:13" x14ac:dyDescent="0.25">
      <c r="B230" s="31" t="s">
        <v>25743</v>
      </c>
      <c r="C230" s="20"/>
      <c r="D230" s="25" t="s">
        <v>534</v>
      </c>
      <c r="E230" s="25"/>
      <c r="F230" s="9" t="str">
        <f>HYPERLINK("https://www.ebi.ac.uk/ols/ontologies/uberon/terms?iri=http://purl.obolibrary.org/obo/UBERON_0002743","basal forebrain")</f>
        <v>basal forebrain</v>
      </c>
      <c r="G230" s="9" t="s">
        <v>533</v>
      </c>
      <c r="H230" s="9" t="s">
        <v>23276</v>
      </c>
      <c r="I230" s="9" t="s">
        <v>534</v>
      </c>
      <c r="J230" s="9" t="s">
        <v>535</v>
      </c>
      <c r="K230" s="4" t="s">
        <v>15175</v>
      </c>
      <c r="L230" s="13">
        <v>10349</v>
      </c>
      <c r="M230" t="str">
        <f>VLOOKUP(L230,[1]Human_BrainSpan!$B$2:$C$4000,2,FALSE)</f>
        <v>BF</v>
      </c>
    </row>
    <row r="231" spans="2:13" x14ac:dyDescent="0.25">
      <c r="B231" s="31" t="s">
        <v>25743</v>
      </c>
      <c r="C231" s="20"/>
      <c r="D231" s="25" t="s">
        <v>534</v>
      </c>
      <c r="E231" s="25"/>
      <c r="F231" s="9" t="str">
        <f>HYPERLINK("https://www.ebi.ac.uk/ols/ontologies/uberon/terms?iri=http://purl.obolibrary.org/obo/UBERON_0002743","basal forebrain")</f>
        <v>basal forebrain</v>
      </c>
      <c r="G231" s="9" t="s">
        <v>533</v>
      </c>
      <c r="H231" s="9" t="s">
        <v>23276</v>
      </c>
      <c r="I231" s="9" t="s">
        <v>534</v>
      </c>
      <c r="J231" s="9" t="s">
        <v>536</v>
      </c>
      <c r="K231" s="7" t="s">
        <v>15171</v>
      </c>
      <c r="L231" s="13">
        <v>4300</v>
      </c>
      <c r="M231" t="str">
        <f>VLOOKUP(L231,[1]HBA!$B$2:$C$4000,2,FALSE)</f>
        <v>BF</v>
      </c>
    </row>
    <row r="232" spans="2:13" x14ac:dyDescent="0.25">
      <c r="B232" s="31" t="s">
        <v>25743</v>
      </c>
      <c r="C232" s="20"/>
      <c r="D232" s="25" t="s">
        <v>534</v>
      </c>
      <c r="E232" s="25"/>
      <c r="F232" s="9" t="str">
        <f>HYPERLINK("https://www.ebi.ac.uk/ols/ontologies/uberon/terms?iri=http://purl.obolibrary.org/obo/UBERON_0002743","basal forebrain")</f>
        <v>basal forebrain</v>
      </c>
      <c r="G232" s="9" t="s">
        <v>533</v>
      </c>
      <c r="H232" s="9" t="s">
        <v>23276</v>
      </c>
      <c r="I232" s="9" t="s">
        <v>534</v>
      </c>
      <c r="J232" s="9" t="s">
        <v>537</v>
      </c>
      <c r="K232" s="6" t="s">
        <v>15174</v>
      </c>
      <c r="L232" s="13">
        <v>128012976</v>
      </c>
      <c r="M232" t="str">
        <f>VLOOKUP(L232,[1]NonHumanPrimate!$B$2:$C$4000,2,FALSE)</f>
        <v>BF</v>
      </c>
    </row>
    <row r="233" spans="2:13" x14ac:dyDescent="0.25">
      <c r="B233" s="31" t="s">
        <v>25743</v>
      </c>
      <c r="C233" s="20"/>
      <c r="D233" s="25" t="s">
        <v>25805</v>
      </c>
      <c r="E233" s="25"/>
      <c r="F233" s="9" t="str">
        <f>HYPERLINK("https://www.ebi.ac.uk/ols/ontologies/uberon/terms?iri=http://purl.obolibrary.org/obo/UBERON_0002420","basal ganglion")</f>
        <v>basal ganglion</v>
      </c>
      <c r="G233" s="9" t="s">
        <v>538</v>
      </c>
      <c r="H233" s="9" t="s">
        <v>23240</v>
      </c>
      <c r="I233" s="9" t="s">
        <v>539</v>
      </c>
      <c r="J233" s="9" t="s">
        <v>540</v>
      </c>
      <c r="K233" s="4" t="s">
        <v>15175</v>
      </c>
      <c r="L233" s="13">
        <v>10332</v>
      </c>
      <c r="M233" t="str">
        <f>VLOOKUP(L233,[1]Human_BrainSpan!$B$2:$C$4000,2,FALSE)</f>
        <v>BN</v>
      </c>
    </row>
    <row r="234" spans="2:13" x14ac:dyDescent="0.25">
      <c r="B234" s="31" t="s">
        <v>26303</v>
      </c>
      <c r="C234" s="20"/>
      <c r="D234" s="25" t="s">
        <v>25806</v>
      </c>
      <c r="E234" s="25" t="s">
        <v>26300</v>
      </c>
      <c r="F234" s="9" t="str">
        <f>HYPERLINK("https://www.ebi.ac.uk/ols/ontologies/uberon/terms?iri=http://purl.obolibrary.org/obo/UBERON_0010010","basal nucleus of telencephalon")</f>
        <v>basal nucleus of telencephalon</v>
      </c>
      <c r="G234" s="9" t="s">
        <v>541</v>
      </c>
      <c r="H234" s="9" t="s">
        <v>23286</v>
      </c>
      <c r="I234" s="9" t="s">
        <v>542</v>
      </c>
      <c r="J234" s="9" t="s">
        <v>543</v>
      </c>
      <c r="K234" s="4" t="s">
        <v>15175</v>
      </c>
      <c r="L234" s="13">
        <v>10353</v>
      </c>
      <c r="M234" t="str">
        <f>VLOOKUP(L234,[1]Human_BrainSpan!$B$2:$C$4000,2,FALSE)</f>
        <v>BNM</v>
      </c>
    </row>
    <row r="235" spans="2:13" x14ac:dyDescent="0.25">
      <c r="B235" s="31" t="s">
        <v>26303</v>
      </c>
      <c r="C235" s="20"/>
      <c r="D235" s="25" t="s">
        <v>25806</v>
      </c>
      <c r="E235" s="25" t="s">
        <v>26300</v>
      </c>
      <c r="F235" s="9" t="str">
        <f>HYPERLINK("https://www.ebi.ac.uk/ols/ontologies/uberon/terms?iri=http://purl.obolibrary.org/obo/UBERON_0010010","basal nucleus of telencephalon")</f>
        <v>basal nucleus of telencephalon</v>
      </c>
      <c r="G235" s="9" t="s">
        <v>541</v>
      </c>
      <c r="H235" s="9" t="s">
        <v>24893</v>
      </c>
      <c r="I235" s="9" t="s">
        <v>544</v>
      </c>
      <c r="J235" s="9" t="s">
        <v>545</v>
      </c>
      <c r="K235" s="7" t="s">
        <v>15171</v>
      </c>
      <c r="L235" s="13">
        <v>4308</v>
      </c>
      <c r="M235" t="str">
        <f>VLOOKUP(L235,[1]HBA!$B$2:$C$4000,2,FALSE)</f>
        <v>nbM</v>
      </c>
    </row>
    <row r="236" spans="2:13" x14ac:dyDescent="0.25">
      <c r="B236" s="31" t="s">
        <v>26303</v>
      </c>
      <c r="C236" s="20"/>
      <c r="D236" s="25" t="s">
        <v>25806</v>
      </c>
      <c r="E236" s="25" t="s">
        <v>26300</v>
      </c>
      <c r="F236" s="9" t="str">
        <f>HYPERLINK("https://www.ebi.ac.uk/ols/ontologies/uberon/terms?iri=http://purl.obolibrary.org/obo/UBERON_0010010","basal nucleus of telencephalon")</f>
        <v>basal nucleus of telencephalon</v>
      </c>
      <c r="G236" s="9" t="s">
        <v>541</v>
      </c>
      <c r="H236" s="9" t="s">
        <v>23286</v>
      </c>
      <c r="I236" s="9" t="s">
        <v>542</v>
      </c>
      <c r="J236" s="9" t="s">
        <v>546</v>
      </c>
      <c r="K236" s="6" t="s">
        <v>15174</v>
      </c>
      <c r="L236" s="13">
        <v>10141</v>
      </c>
      <c r="M236" t="str">
        <f>VLOOKUP(L236,[1]NonHumanPrimate!$B$2:$C$4000,2,FALSE)</f>
        <v>BNM</v>
      </c>
    </row>
    <row r="237" spans="2:13" x14ac:dyDescent="0.25">
      <c r="B237" s="31" t="s">
        <v>25743</v>
      </c>
      <c r="C237" s="20"/>
      <c r="D237" s="25" t="s">
        <v>550</v>
      </c>
      <c r="E237" s="25"/>
      <c r="F237" s="9" t="str">
        <f>HYPERLINK("https://www.ebi.ac.uk/ols/ontologies/uberon/terms?iri=http://purl.obolibrary.org/obo/UBERON_0002567","basal part of pons")</f>
        <v>basal part of pons</v>
      </c>
      <c r="G237" s="9" t="s">
        <v>547</v>
      </c>
      <c r="H237" s="9" t="s">
        <v>24255</v>
      </c>
      <c r="I237" s="9" t="s">
        <v>548</v>
      </c>
      <c r="J237" s="9" t="s">
        <v>549</v>
      </c>
      <c r="K237" s="4" t="s">
        <v>15175</v>
      </c>
      <c r="L237" s="13">
        <v>12405</v>
      </c>
      <c r="M237" t="str">
        <f>VLOOKUP(L237,[1]Human_BrainSpan!$B$2:$C$4000,2,FALSE)</f>
        <v>PnBa</v>
      </c>
    </row>
    <row r="238" spans="2:13" x14ac:dyDescent="0.25">
      <c r="B238" s="31" t="s">
        <v>25743</v>
      </c>
      <c r="C238" s="20"/>
      <c r="D238" s="25" t="s">
        <v>550</v>
      </c>
      <c r="E238" s="25"/>
      <c r="F238" s="9" t="str">
        <f>HYPERLINK("https://www.ebi.ac.uk/ols/ontologies/uberon/terms?iri=http://purl.obolibrary.org/obo/UBERON_0002567","basal part of pons")</f>
        <v>basal part of pons</v>
      </c>
      <c r="G238" s="9" t="s">
        <v>547</v>
      </c>
      <c r="H238" s="9" t="s">
        <v>25431</v>
      </c>
      <c r="I238" s="9" t="s">
        <v>550</v>
      </c>
      <c r="J238" s="9" t="s">
        <v>551</v>
      </c>
      <c r="K238" s="7" t="s">
        <v>15171</v>
      </c>
      <c r="L238" s="13">
        <v>9132</v>
      </c>
      <c r="M238" t="str">
        <f>VLOOKUP(L238,[1]HBA!$B$2:$C$4000,2,FALSE)</f>
        <v>Bpons</v>
      </c>
    </row>
    <row r="239" spans="2:13" x14ac:dyDescent="0.25">
      <c r="B239" s="31" t="s">
        <v>25743</v>
      </c>
      <c r="C239" s="20"/>
      <c r="D239" s="25" t="s">
        <v>25807</v>
      </c>
      <c r="E239" s="25"/>
      <c r="F239" s="9" t="str">
        <f>HYPERLINK("https://www.ebi.ac.uk/ols/ontologies/uberon/terms?iri=http://purl.obolibrary.org/obo/UBERON_0034993","basal ventral medial nucleus of thalamus")</f>
        <v>basal ventral medial nucleus of thalamus</v>
      </c>
      <c r="G239" s="9" t="s">
        <v>552</v>
      </c>
      <c r="H239" s="9" t="s">
        <v>23342</v>
      </c>
      <c r="I239" s="9" t="s">
        <v>553</v>
      </c>
      <c r="J239" s="9" t="s">
        <v>554</v>
      </c>
      <c r="K239" s="7" t="s">
        <v>15171</v>
      </c>
      <c r="L239" s="13">
        <v>4427</v>
      </c>
      <c r="M239" t="str">
        <f>VLOOKUP(L239,[1]HBA!$B$2:$C$4000,2,FALSE)</f>
        <v>VMb</v>
      </c>
    </row>
    <row r="240" spans="2:13" x14ac:dyDescent="0.25">
      <c r="B240" s="31" t="s">
        <v>25743</v>
      </c>
      <c r="C240" s="20"/>
      <c r="D240" s="25" t="s">
        <v>25808</v>
      </c>
      <c r="E240" s="25"/>
      <c r="F240" s="9" t="str">
        <f>HYPERLINK("https://www.ebi.ac.uk/ols/ontologies/uberon/terms?iri=http://purl.obolibrary.org/obo/UBERON_0006107","basolateral amygdaloid nuclear complex")</f>
        <v>basolateral amygdaloid nuclear complex</v>
      </c>
      <c r="G240" s="9" t="s">
        <v>555</v>
      </c>
      <c r="H240" s="9" t="s">
        <v>23178</v>
      </c>
      <c r="I240" s="9" t="s">
        <v>556</v>
      </c>
      <c r="J240" s="9" t="s">
        <v>557</v>
      </c>
      <c r="K240" s="4" t="s">
        <v>15175</v>
      </c>
      <c r="L240" s="13">
        <v>10366</v>
      </c>
      <c r="M240" t="str">
        <f>VLOOKUP(L240,[1]Human_BrainSpan!$B$2:$C$4000,2,FALSE)</f>
        <v>BLN</v>
      </c>
    </row>
    <row r="241" spans="2:13" x14ac:dyDescent="0.25">
      <c r="B241" s="31" t="s">
        <v>25743</v>
      </c>
      <c r="C241" s="20"/>
      <c r="D241" s="25" t="s">
        <v>25808</v>
      </c>
      <c r="E241" s="25"/>
      <c r="F241" s="9" t="str">
        <f>HYPERLINK("https://www.ebi.ac.uk/ols/ontologies/uberon/terms?iri=http://purl.obolibrary.org/obo/UBERON_0006107","basolateral amygdaloid nuclear complex")</f>
        <v>basolateral amygdaloid nuclear complex</v>
      </c>
      <c r="G241" s="9" t="s">
        <v>555</v>
      </c>
      <c r="H241" s="9" t="s">
        <v>23178</v>
      </c>
      <c r="I241" s="9" t="s">
        <v>558</v>
      </c>
      <c r="J241" s="9" t="s">
        <v>559</v>
      </c>
      <c r="K241" s="6" t="s">
        <v>15174</v>
      </c>
      <c r="L241" s="13">
        <v>128012678</v>
      </c>
      <c r="M241" t="str">
        <f>VLOOKUP(L241,[1]NonHumanPrimate!$B$2:$C$4000,2,FALSE)</f>
        <v>BLN</v>
      </c>
    </row>
    <row r="242" spans="2:13" x14ac:dyDescent="0.25">
      <c r="B242" s="31" t="s">
        <v>25743</v>
      </c>
      <c r="C242" s="20"/>
      <c r="D242" s="25" t="s">
        <v>561</v>
      </c>
      <c r="E242" s="25"/>
      <c r="F242" s="9" t="str">
        <f>HYPERLINK("https://www.ebi.ac.uk/ols/ontologies/uberon/terms?iri=http://purl.obolibrary.org/obo/UBERON_0001880","bed nucleus of stria terminalis")</f>
        <v>bed nucleus of stria terminalis</v>
      </c>
      <c r="G242" s="9" t="s">
        <v>560</v>
      </c>
      <c r="H242" s="9" t="s">
        <v>23216</v>
      </c>
      <c r="I242" s="9" t="s">
        <v>561</v>
      </c>
      <c r="J242" s="9" t="s">
        <v>562</v>
      </c>
      <c r="K242" s="4" t="s">
        <v>15175</v>
      </c>
      <c r="L242" s="13">
        <v>10384</v>
      </c>
      <c r="M242" t="str">
        <f>VLOOKUP(L242,[1]Human_BrainSpan!$B$2:$C$4000,2,FALSE)</f>
        <v>BNST</v>
      </c>
    </row>
    <row r="243" spans="2:13" x14ac:dyDescent="0.25">
      <c r="B243" s="31" t="s">
        <v>25743</v>
      </c>
      <c r="C243" s="20"/>
      <c r="D243" s="25" t="s">
        <v>561</v>
      </c>
      <c r="E243" s="25"/>
      <c r="F243" s="9" t="str">
        <f>HYPERLINK("https://www.ebi.ac.uk/ols/ontologies/uberon/terms?iri=http://purl.obolibrary.org/obo/UBERON_0001880","bed nucleus of stria terminalis")</f>
        <v>bed nucleus of stria terminalis</v>
      </c>
      <c r="G243" s="9" t="s">
        <v>560</v>
      </c>
      <c r="H243" s="9" t="s">
        <v>19837</v>
      </c>
      <c r="I243" s="9" t="s">
        <v>563</v>
      </c>
      <c r="J243" s="9" t="s">
        <v>564</v>
      </c>
      <c r="K243" s="7" t="s">
        <v>15171</v>
      </c>
      <c r="L243" s="13">
        <v>4313</v>
      </c>
      <c r="M243" t="str">
        <f>VLOOKUP(L243,[1]HBA!$B$2:$C$4000,2,FALSE)</f>
        <v>BST</v>
      </c>
    </row>
    <row r="244" spans="2:13" x14ac:dyDescent="0.25">
      <c r="B244" s="31" t="s">
        <v>25743</v>
      </c>
      <c r="C244" s="20"/>
      <c r="D244" s="25" t="s">
        <v>561</v>
      </c>
      <c r="E244" s="25"/>
      <c r="F244" s="9" t="str">
        <f>HYPERLINK("https://www.ebi.ac.uk/ols/ontologies/uberon/terms?iri=http://purl.obolibrary.org/obo/UBERON_0001880","bed nucleus of stria terminalis")</f>
        <v>bed nucleus of stria terminalis</v>
      </c>
      <c r="G244" s="9" t="s">
        <v>560</v>
      </c>
      <c r="H244" s="9" t="s">
        <v>19837</v>
      </c>
      <c r="I244" s="9" t="s">
        <v>565</v>
      </c>
      <c r="J244" s="9" t="s">
        <v>566</v>
      </c>
      <c r="K244" s="3" t="s">
        <v>15176</v>
      </c>
      <c r="L244" s="13">
        <v>351</v>
      </c>
      <c r="M244" t="str">
        <f>VLOOKUP(L244,[1]Mouse_ARA!$B$2:$C$1328,2,FALSE)</f>
        <v>BST</v>
      </c>
    </row>
    <row r="245" spans="2:13" x14ac:dyDescent="0.25">
      <c r="B245" s="31" t="s">
        <v>25743</v>
      </c>
      <c r="C245" s="20"/>
      <c r="D245" s="25" t="s">
        <v>568</v>
      </c>
      <c r="E245" s="25"/>
      <c r="F245" s="9" t="str">
        <f>HYPERLINK("https://www.ebi.ac.uk/ols/ontologies/uberon/terms?iri=http://purl.obolibrary.org/obo/UBERON_0035977","bed nucleus of the accessory olfactory tract")</f>
        <v>bed nucleus of the accessory olfactory tract</v>
      </c>
      <c r="G245" s="9" t="s">
        <v>567</v>
      </c>
      <c r="H245" s="9" t="s">
        <v>19785</v>
      </c>
      <c r="I245" s="9" t="s">
        <v>568</v>
      </c>
      <c r="J245" s="9" t="s">
        <v>569</v>
      </c>
      <c r="K245" s="3" t="s">
        <v>15176</v>
      </c>
      <c r="L245" s="13">
        <v>292</v>
      </c>
      <c r="M245" t="str">
        <f>VLOOKUP(L245,[1]Mouse_ARA!$B$2:$C$1328,2,FALSE)</f>
        <v>BA</v>
      </c>
    </row>
    <row r="246" spans="2:13" x14ac:dyDescent="0.25">
      <c r="B246" s="31" t="s">
        <v>25743</v>
      </c>
      <c r="C246" s="20"/>
      <c r="D246" s="25" t="s">
        <v>25809</v>
      </c>
      <c r="E246" s="25"/>
      <c r="F246" s="9" t="str">
        <f>HYPERLINK("https://www.ebi.ac.uk/ols/ontologies/uberon/terms?iri=http://purl.obolibrary.org/obo/UBERON_0002630","body of caudate nucleus")</f>
        <v>body of caudate nucleus</v>
      </c>
      <c r="G246" s="9" t="s">
        <v>570</v>
      </c>
      <c r="H246" s="9" t="s">
        <v>23246</v>
      </c>
      <c r="I246" s="9" t="s">
        <v>571</v>
      </c>
      <c r="J246" s="9" t="s">
        <v>572</v>
      </c>
      <c r="K246" s="4" t="s">
        <v>15175</v>
      </c>
      <c r="L246" s="13">
        <v>10336</v>
      </c>
      <c r="M246" t="str">
        <f>VLOOKUP(L246,[1]Human_BrainSpan!$B$2:$C$4000,2,FALSE)</f>
        <v>CaB</v>
      </c>
    </row>
    <row r="247" spans="2:13" x14ac:dyDescent="0.25">
      <c r="B247" s="31" t="s">
        <v>25743</v>
      </c>
      <c r="C247" s="20"/>
      <c r="D247" s="25" t="s">
        <v>25809</v>
      </c>
      <c r="E247" s="25"/>
      <c r="F247" s="9" t="str">
        <f>HYPERLINK("https://www.ebi.ac.uk/ols/ontologies/uberon/terms?iri=http://purl.obolibrary.org/obo/UBERON_0002630","body of caudate nucleus")</f>
        <v>body of caudate nucleus</v>
      </c>
      <c r="G247" s="9" t="s">
        <v>570</v>
      </c>
      <c r="H247" s="9" t="s">
        <v>24902</v>
      </c>
      <c r="I247" s="9" t="s">
        <v>573</v>
      </c>
      <c r="J247" s="9" t="s">
        <v>574</v>
      </c>
      <c r="K247" s="7" t="s">
        <v>15171</v>
      </c>
      <c r="L247" s="13">
        <v>12899</v>
      </c>
      <c r="M247" t="str">
        <f>VLOOKUP(L247,[1]HBA!$B$2:$C$4000,2,FALSE)</f>
        <v>BCd</v>
      </c>
    </row>
    <row r="248" spans="2:13" x14ac:dyDescent="0.25">
      <c r="B248" s="31" t="s">
        <v>25743</v>
      </c>
      <c r="C248" s="20"/>
      <c r="D248" s="25" t="s">
        <v>576</v>
      </c>
      <c r="E248" s="25"/>
      <c r="F248" s="9" t="str">
        <f>HYPERLINK("https://www.ebi.ac.uk/ols/ontologies/uberon/terms?iri=http://purl.obolibrary.org/obo/UBERON_0015510","body of corpus callosum")</f>
        <v>body of corpus callosum</v>
      </c>
      <c r="G248" s="9" t="s">
        <v>575</v>
      </c>
      <c r="H248" s="9" t="s">
        <v>20824</v>
      </c>
      <c r="I248" s="9" t="s">
        <v>576</v>
      </c>
      <c r="J248" s="9" t="s">
        <v>577</v>
      </c>
      <c r="K248" s="4" t="s">
        <v>15175</v>
      </c>
      <c r="L248" s="13">
        <v>10564</v>
      </c>
      <c r="M248" t="str">
        <f>VLOOKUP(L248,[1]Human_BrainSpan!$B$2:$C$4000,2,FALSE)</f>
        <v>ccb</v>
      </c>
    </row>
    <row r="249" spans="2:13" x14ac:dyDescent="0.25">
      <c r="B249" s="31" t="s">
        <v>25743</v>
      </c>
      <c r="C249" s="20"/>
      <c r="D249" s="25" t="s">
        <v>576</v>
      </c>
      <c r="E249" s="25"/>
      <c r="F249" s="9" t="str">
        <f>HYPERLINK("https://www.ebi.ac.uk/ols/ontologies/uberon/terms?iri=http://purl.obolibrary.org/obo/UBERON_0015510","body of corpus callosum")</f>
        <v>body of corpus callosum</v>
      </c>
      <c r="G249" s="9" t="s">
        <v>575</v>
      </c>
      <c r="H249" s="9" t="s">
        <v>25476</v>
      </c>
      <c r="I249" s="9" t="s">
        <v>578</v>
      </c>
      <c r="J249" s="9" t="s">
        <v>579</v>
      </c>
      <c r="K249" s="7" t="s">
        <v>15171</v>
      </c>
      <c r="L249" s="13">
        <v>9224</v>
      </c>
      <c r="M249" t="str">
        <f>VLOOKUP(L249,[1]HBA!$B$2:$C$4000,2,FALSE)</f>
        <v>bcc</v>
      </c>
    </row>
    <row r="250" spans="2:13" x14ac:dyDescent="0.25">
      <c r="B250" s="31" t="s">
        <v>26299</v>
      </c>
      <c r="C250" s="20"/>
      <c r="D250" s="25" t="s">
        <v>25810</v>
      </c>
      <c r="E250" s="20" t="s">
        <v>26300</v>
      </c>
      <c r="F250" s="9" t="str">
        <f>HYPERLINK("https://www.ebi.ac.uk/ols/ontologies/uberon/terms?iri=http://purl.obolibrary.org/obo/UBERON_0004680","body of fornix")</f>
        <v>body of fornix</v>
      </c>
      <c r="G250" s="9" t="s">
        <v>580</v>
      </c>
      <c r="H250" s="9" t="s">
        <v>23578</v>
      </c>
      <c r="I250" s="9" t="s">
        <v>581</v>
      </c>
      <c r="J250" s="9" t="s">
        <v>582</v>
      </c>
      <c r="K250" s="4" t="s">
        <v>15175</v>
      </c>
      <c r="L250" s="13">
        <v>10577</v>
      </c>
      <c r="M250" t="str">
        <f>VLOOKUP(L250,[1]Human_BrainSpan!$B$2:$C$4000,2,FALSE)</f>
        <v>fx-co</v>
      </c>
    </row>
    <row r="251" spans="2:13" x14ac:dyDescent="0.25">
      <c r="B251" s="31" t="s">
        <v>25743</v>
      </c>
      <c r="C251" s="20"/>
      <c r="D251" s="25" t="s">
        <v>25810</v>
      </c>
      <c r="E251" s="25"/>
      <c r="F251" s="9" t="str">
        <f>HYPERLINK("https://www.ebi.ac.uk/ols/ontologies/uberon/terms?iri=http://purl.obolibrary.org/obo/UBERON_0004680","body of fornix")</f>
        <v>body of fornix</v>
      </c>
      <c r="G251" s="9" t="s">
        <v>580</v>
      </c>
      <c r="H251" s="9" t="s">
        <v>23581</v>
      </c>
      <c r="I251" s="9" t="s">
        <v>583</v>
      </c>
      <c r="J251" s="9" t="s">
        <v>584</v>
      </c>
      <c r="K251" s="4" t="s">
        <v>15175</v>
      </c>
      <c r="L251" s="13">
        <v>10578</v>
      </c>
      <c r="M251" t="str">
        <f>VLOOKUP(L251,[1]Human_BrainSpan!$B$2:$C$4000,2,FALSE)</f>
        <v>fx-b</v>
      </c>
    </row>
    <row r="252" spans="2:13" x14ac:dyDescent="0.25">
      <c r="B252" s="31" t="s">
        <v>25743</v>
      </c>
      <c r="C252" s="20"/>
      <c r="D252" s="25" t="s">
        <v>25810</v>
      </c>
      <c r="E252" s="25"/>
      <c r="F252" s="9" t="str">
        <f>HYPERLINK("https://www.ebi.ac.uk/ols/ontologies/uberon/terms?iri=http://purl.obolibrary.org/obo/UBERON_0004680","body of fornix")</f>
        <v>body of fornix</v>
      </c>
      <c r="G252" s="9" t="s">
        <v>580</v>
      </c>
      <c r="H252" s="9" t="s">
        <v>25487</v>
      </c>
      <c r="I252" s="9" t="s">
        <v>585</v>
      </c>
      <c r="J252" s="9" t="s">
        <v>586</v>
      </c>
      <c r="K252" s="7" t="s">
        <v>15171</v>
      </c>
      <c r="L252" s="13">
        <v>9252</v>
      </c>
      <c r="M252" t="str">
        <f>VLOOKUP(L252,[1]HBA!$B$2:$C$4000,2,FALSE)</f>
        <v>bfx</v>
      </c>
    </row>
    <row r="253" spans="2:13" x14ac:dyDescent="0.25">
      <c r="B253" s="31" t="s">
        <v>26299</v>
      </c>
      <c r="C253" s="20"/>
      <c r="D253" s="25" t="s">
        <v>25810</v>
      </c>
      <c r="E253" s="20" t="s">
        <v>26300</v>
      </c>
      <c r="F253" s="9" t="str">
        <f>HYPERLINK("https://www.ebi.ac.uk/ols/ontologies/uberon/terms?iri=http://purl.obolibrary.org/obo/UBERON_0004680","body of fornix")</f>
        <v>body of fornix</v>
      </c>
      <c r="G253" s="9" t="s">
        <v>580</v>
      </c>
      <c r="H253" s="9" t="s">
        <v>18461</v>
      </c>
      <c r="I253" s="9" t="s">
        <v>587</v>
      </c>
      <c r="J253" s="9" t="s">
        <v>588</v>
      </c>
      <c r="K253" s="3" t="s">
        <v>15176</v>
      </c>
      <c r="L253" s="13">
        <v>436</v>
      </c>
      <c r="M253" t="str">
        <f>VLOOKUP(L253,[1]Mouse_ARA!$B$2:$C$1328,2,FALSE)</f>
        <v>fx</v>
      </c>
    </row>
    <row r="254" spans="2:13" x14ac:dyDescent="0.25">
      <c r="B254" s="31" t="s">
        <v>25743</v>
      </c>
      <c r="C254" s="20"/>
      <c r="D254" s="25" t="s">
        <v>590</v>
      </c>
      <c r="E254" s="25"/>
      <c r="F254" s="9" t="str">
        <f>HYPERLINK("https://www.ebi.ac.uk/ols/ontologies/uberon/terms?iri=http://purl.obolibrary.org/obo/UBERON_0002655","body of lateral ventricle")</f>
        <v>body of lateral ventricle</v>
      </c>
      <c r="G254" s="9" t="s">
        <v>589</v>
      </c>
      <c r="H254" s="9" t="s">
        <v>23672</v>
      </c>
      <c r="I254" s="9" t="s">
        <v>590</v>
      </c>
      <c r="J254" s="9" t="s">
        <v>591</v>
      </c>
      <c r="K254" s="4" t="s">
        <v>15175</v>
      </c>
      <c r="L254" s="13">
        <v>10598</v>
      </c>
      <c r="M254" t="str">
        <f>VLOOKUP(L254,[1]Human_BrainSpan!$B$2:$C$4000,2,FALSE)</f>
        <v>bLV</v>
      </c>
    </row>
    <row r="255" spans="2:13" x14ac:dyDescent="0.25">
      <c r="B255" s="31" t="s">
        <v>25743</v>
      </c>
      <c r="C255" s="20"/>
      <c r="D255" s="25" t="s">
        <v>593</v>
      </c>
      <c r="E255" s="25"/>
      <c r="F255" s="9" t="str">
        <f>HYPERLINK("https://www.ebi.ac.uk/ols/ontologies/uberon/terms?iri=http://purl.obolibrary.org/obo/UBERON_0003025","brachium of inferior colliculus")</f>
        <v>brachium of inferior colliculus</v>
      </c>
      <c r="G255" s="9" t="s">
        <v>592</v>
      </c>
      <c r="H255" s="9" t="s">
        <v>18441</v>
      </c>
      <c r="I255" s="9" t="s">
        <v>593</v>
      </c>
      <c r="J255" s="9" t="s">
        <v>594</v>
      </c>
      <c r="K255" s="4" t="s">
        <v>15175</v>
      </c>
      <c r="L255" s="13">
        <v>12327</v>
      </c>
      <c r="M255" t="str">
        <f>VLOOKUP(L255,[1]Human_BrainSpan!$B$2:$C$4000,2,FALSE)</f>
        <v>bic</v>
      </c>
    </row>
    <row r="256" spans="2:13" x14ac:dyDescent="0.25">
      <c r="B256" s="31" t="s">
        <v>25743</v>
      </c>
      <c r="C256" s="20"/>
      <c r="D256" s="25" t="s">
        <v>593</v>
      </c>
      <c r="E256" s="25"/>
      <c r="F256" s="9" t="str">
        <f>HYPERLINK("https://www.ebi.ac.uk/ols/ontologies/uberon/terms?iri=http://purl.obolibrary.org/obo/UBERON_0003025","brachium of inferior colliculus")</f>
        <v>brachium of inferior colliculus</v>
      </c>
      <c r="G256" s="9" t="s">
        <v>592</v>
      </c>
      <c r="H256" s="9" t="s">
        <v>18441</v>
      </c>
      <c r="I256" s="9" t="s">
        <v>593</v>
      </c>
      <c r="J256" s="9" t="s">
        <v>595</v>
      </c>
      <c r="K256" s="5" t="s">
        <v>15173</v>
      </c>
      <c r="L256" s="13">
        <v>17753</v>
      </c>
      <c r="M256" t="str">
        <f>VLOOKUP(L256,[1]DevMouse!$B$2:$C$2693,2,FALSE)</f>
        <v>bic</v>
      </c>
    </row>
    <row r="257" spans="2:13" x14ac:dyDescent="0.25">
      <c r="B257" s="31" t="s">
        <v>25743</v>
      </c>
      <c r="C257" s="20"/>
      <c r="D257" s="25" t="s">
        <v>593</v>
      </c>
      <c r="E257" s="25"/>
      <c r="F257" s="9" t="str">
        <f>HYPERLINK("https://www.ebi.ac.uk/ols/ontologies/uberon/terms?iri=http://purl.obolibrary.org/obo/UBERON_0003025","brachium of inferior colliculus")</f>
        <v>brachium of inferior colliculus</v>
      </c>
      <c r="G257" s="9" t="s">
        <v>592</v>
      </c>
      <c r="H257" s="9" t="s">
        <v>18441</v>
      </c>
      <c r="I257" s="9" t="s">
        <v>596</v>
      </c>
      <c r="J257" s="9" t="s">
        <v>597</v>
      </c>
      <c r="K257" s="7" t="s">
        <v>15171</v>
      </c>
      <c r="L257" s="13">
        <v>265505386</v>
      </c>
      <c r="M257" t="str">
        <f>VLOOKUP(L257,[1]HBA!$B$2:$C$4000,2,FALSE)</f>
        <v>bic</v>
      </c>
    </row>
    <row r="258" spans="2:13" x14ac:dyDescent="0.25">
      <c r="B258" s="31" t="s">
        <v>25743</v>
      </c>
      <c r="C258" s="20"/>
      <c r="D258" s="25" t="s">
        <v>593</v>
      </c>
      <c r="E258" s="25"/>
      <c r="F258" s="9" t="str">
        <f>HYPERLINK("https://www.ebi.ac.uk/ols/ontologies/uberon/terms?iri=http://purl.obolibrary.org/obo/UBERON_0003025","brachium of inferior colliculus")</f>
        <v>brachium of inferior colliculus</v>
      </c>
      <c r="G258" s="9" t="s">
        <v>592</v>
      </c>
      <c r="H258" s="9" t="s">
        <v>18441</v>
      </c>
      <c r="I258" s="9" t="s">
        <v>596</v>
      </c>
      <c r="J258" s="9" t="s">
        <v>598</v>
      </c>
      <c r="K258" s="3" t="s">
        <v>15176</v>
      </c>
      <c r="L258" s="13">
        <v>482</v>
      </c>
      <c r="M258" t="str">
        <f>VLOOKUP(L258,[1]Mouse_ARA!$B$2:$C$1328,2,FALSE)</f>
        <v>bic</v>
      </c>
    </row>
    <row r="259" spans="2:13" x14ac:dyDescent="0.25">
      <c r="B259" s="31" t="s">
        <v>25743</v>
      </c>
      <c r="C259" s="20"/>
      <c r="D259" s="25" t="s">
        <v>600</v>
      </c>
      <c r="E259" s="25"/>
      <c r="F259" s="9" t="str">
        <f>HYPERLINK("https://www.ebi.ac.uk/ols/ontologies/uberon/terms?iri=http://purl.obolibrary.org/obo/UBERON_0002580","brachium of superior colliculus")</f>
        <v>brachium of superior colliculus</v>
      </c>
      <c r="G259" s="9" t="s">
        <v>599</v>
      </c>
      <c r="H259" s="9" t="s">
        <v>20737</v>
      </c>
      <c r="I259" s="9" t="s">
        <v>600</v>
      </c>
      <c r="J259" s="9" t="s">
        <v>601</v>
      </c>
      <c r="K259" s="4" t="s">
        <v>15175</v>
      </c>
      <c r="L259" s="13">
        <v>12328</v>
      </c>
      <c r="M259" t="str">
        <f>VLOOKUP(L259,[1]Human_BrainSpan!$B$2:$C$4000,2,FALSE)</f>
        <v>bsc</v>
      </c>
    </row>
    <row r="260" spans="2:13" x14ac:dyDescent="0.25">
      <c r="B260" s="31" t="s">
        <v>25743</v>
      </c>
      <c r="C260" s="20"/>
      <c r="D260" s="25" t="s">
        <v>600</v>
      </c>
      <c r="E260" s="25"/>
      <c r="F260" s="9" t="str">
        <f>HYPERLINK("https://www.ebi.ac.uk/ols/ontologies/uberon/terms?iri=http://purl.obolibrary.org/obo/UBERON_0002580","brachium of superior colliculus")</f>
        <v>brachium of superior colliculus</v>
      </c>
      <c r="G260" s="9" t="s">
        <v>599</v>
      </c>
      <c r="H260" s="9" t="s">
        <v>20737</v>
      </c>
      <c r="I260" s="9" t="s">
        <v>602</v>
      </c>
      <c r="J260" s="9" t="s">
        <v>603</v>
      </c>
      <c r="K260" s="7" t="s">
        <v>15171</v>
      </c>
      <c r="L260" s="13">
        <v>265505398</v>
      </c>
      <c r="M260" t="str">
        <f>VLOOKUP(L260,[1]HBA!$B$2:$C$4000,2,FALSE)</f>
        <v>bsc</v>
      </c>
    </row>
    <row r="261" spans="2:13" x14ac:dyDescent="0.25">
      <c r="B261" s="31" t="s">
        <v>25743</v>
      </c>
      <c r="C261" s="20"/>
      <c r="D261" s="25" t="s">
        <v>600</v>
      </c>
      <c r="E261" s="25"/>
      <c r="F261" s="9" t="str">
        <f>HYPERLINK("https://www.ebi.ac.uk/ols/ontologies/uberon/terms?iri=http://purl.obolibrary.org/obo/UBERON_0002580","brachium of superior colliculus")</f>
        <v>brachium of superior colliculus</v>
      </c>
      <c r="G261" s="9" t="s">
        <v>599</v>
      </c>
      <c r="H261" s="9" t="s">
        <v>20737</v>
      </c>
      <c r="I261" s="9" t="s">
        <v>602</v>
      </c>
      <c r="J261" s="9" t="s">
        <v>604</v>
      </c>
      <c r="K261" s="3" t="s">
        <v>15176</v>
      </c>
      <c r="L261" s="13">
        <v>916</v>
      </c>
      <c r="M261" t="str">
        <f>VLOOKUP(L261,[1]Mouse_ARA!$B$2:$C$1328,2,FALSE)</f>
        <v>bsc</v>
      </c>
    </row>
    <row r="262" spans="2:13" x14ac:dyDescent="0.25">
      <c r="B262" s="31" t="s">
        <v>25743</v>
      </c>
      <c r="C262" s="20"/>
      <c r="D262" s="25" t="s">
        <v>606</v>
      </c>
      <c r="E262" s="25"/>
      <c r="F262" s="9" t="str">
        <f>HYPERLINK("https://www.ebi.ac.uk/ols/ontologies/uberon/terms?iri=http://purl.obolibrary.org/obo/UBERON_0000955","brain")</f>
        <v>brain</v>
      </c>
      <c r="G262" s="9" t="s">
        <v>605</v>
      </c>
      <c r="H262" s="9" t="s">
        <v>20996</v>
      </c>
      <c r="I262" s="9" t="s">
        <v>606</v>
      </c>
      <c r="J262" s="9" t="s">
        <v>607</v>
      </c>
      <c r="K262" s="4" t="s">
        <v>15175</v>
      </c>
      <c r="L262" s="13">
        <v>10155</v>
      </c>
      <c r="M262" t="str">
        <f>VLOOKUP(L262,[1]Human_BrainSpan!$B$2:$C$4000,2,FALSE)</f>
        <v>Br</v>
      </c>
    </row>
    <row r="263" spans="2:13" x14ac:dyDescent="0.25">
      <c r="B263" s="31" t="s">
        <v>25743</v>
      </c>
      <c r="C263" s="20"/>
      <c r="D263" s="25" t="s">
        <v>606</v>
      </c>
      <c r="E263" s="25"/>
      <c r="F263" s="9" t="str">
        <f>HYPERLINK("https://www.ebi.ac.uk/ols/ontologies/uberon/terms?iri=http://purl.obolibrary.org/obo/UBERON_0000955","brain")</f>
        <v>brain</v>
      </c>
      <c r="G263" s="9" t="s">
        <v>605</v>
      </c>
      <c r="H263" s="9" t="s">
        <v>20996</v>
      </c>
      <c r="I263" s="9" t="s">
        <v>606</v>
      </c>
      <c r="J263" s="9" t="s">
        <v>608</v>
      </c>
      <c r="K263" s="7" t="s">
        <v>15171</v>
      </c>
      <c r="L263" s="13">
        <v>4005</v>
      </c>
      <c r="M263" t="str">
        <f>VLOOKUP(L263,[1]HBA!$B$2:$C$4000,2,FALSE)</f>
        <v>Br</v>
      </c>
    </row>
    <row r="264" spans="2:13" x14ac:dyDescent="0.25">
      <c r="B264" s="31" t="s">
        <v>25743</v>
      </c>
      <c r="C264" s="20"/>
      <c r="D264" s="25" t="s">
        <v>606</v>
      </c>
      <c r="E264" s="25"/>
      <c r="F264" s="9" t="str">
        <f>HYPERLINK("https://www.ebi.ac.uk/ols/ontologies/uberon/terms?iri=http://purl.obolibrary.org/obo/UBERON_0000955","brain")</f>
        <v>brain</v>
      </c>
      <c r="G264" s="9" t="s">
        <v>605</v>
      </c>
      <c r="H264" s="9" t="s">
        <v>18646</v>
      </c>
      <c r="I264" s="9" t="s">
        <v>609</v>
      </c>
      <c r="J264" s="9" t="s">
        <v>610</v>
      </c>
      <c r="K264" s="3" t="s">
        <v>15176</v>
      </c>
      <c r="L264" s="13">
        <v>8</v>
      </c>
      <c r="M264" t="str">
        <f>VLOOKUP(L264,[1]Mouse_ARA!$B$2:$C$1328,2,FALSE)</f>
        <v>grey</v>
      </c>
    </row>
    <row r="265" spans="2:13" x14ac:dyDescent="0.25">
      <c r="B265" s="31" t="s">
        <v>25743</v>
      </c>
      <c r="C265" s="20"/>
      <c r="D265" s="25" t="s">
        <v>606</v>
      </c>
      <c r="E265" s="25"/>
      <c r="F265" s="9" t="str">
        <f>HYPERLINK("https://www.ebi.ac.uk/ols/ontologies/uberon/terms?iri=http://purl.obolibrary.org/obo/UBERON_0000955","brain")</f>
        <v>brain</v>
      </c>
      <c r="G265" s="9" t="s">
        <v>605</v>
      </c>
      <c r="H265" s="9" t="s">
        <v>611</v>
      </c>
      <c r="I265" s="9" t="s">
        <v>611</v>
      </c>
      <c r="J265" s="9" t="s">
        <v>612</v>
      </c>
      <c r="K265" s="3" t="s">
        <v>15176</v>
      </c>
      <c r="L265" s="13">
        <v>997</v>
      </c>
      <c r="M265" t="str">
        <f>VLOOKUP(L265,[1]Mouse_ARA!$B$2:$C$1328,2,FALSE)</f>
        <v>root</v>
      </c>
    </row>
    <row r="266" spans="2:13" x14ac:dyDescent="0.25">
      <c r="B266" s="31" t="s">
        <v>25743</v>
      </c>
      <c r="C266" s="20"/>
      <c r="D266" s="25" t="s">
        <v>606</v>
      </c>
      <c r="E266" s="25"/>
      <c r="F266" s="9" t="str">
        <f>HYPERLINK("https://www.ebi.ac.uk/ols/ontologies/uberon/terms?iri=http://purl.obolibrary.org/obo/UBERON_0000955","brain")</f>
        <v>brain</v>
      </c>
      <c r="G266" s="9" t="s">
        <v>605</v>
      </c>
      <c r="H266" s="9" t="s">
        <v>20996</v>
      </c>
      <c r="I266" s="9" t="s">
        <v>606</v>
      </c>
      <c r="J266" s="9" t="s">
        <v>613</v>
      </c>
      <c r="K266" s="6" t="s">
        <v>15174</v>
      </c>
      <c r="L266" s="13">
        <v>3999</v>
      </c>
      <c r="M266" t="str">
        <f>VLOOKUP(L266,[1]NonHumanPrimate!$B$2:$C$4000,2,FALSE)</f>
        <v>Br</v>
      </c>
    </row>
    <row r="267" spans="2:13" x14ac:dyDescent="0.25">
      <c r="B267" s="37" t="s">
        <v>26303</v>
      </c>
      <c r="C267" s="25" t="s">
        <v>615</v>
      </c>
      <c r="D267" s="25" t="s">
        <v>25811</v>
      </c>
      <c r="E267" s="25"/>
      <c r="F267" s="9" t="str">
        <f>HYPERLINK("https://www.ebi.ac.uk/ols/ontologies/uberon/terms?iri=http://purl.obolibrary.org/obo/UBERON_0005970","brain commissure")</f>
        <v>brain commissure</v>
      </c>
      <c r="G267" s="9" t="s">
        <v>614</v>
      </c>
      <c r="H267" s="9" t="s">
        <v>18442</v>
      </c>
      <c r="I267" s="9" t="s">
        <v>615</v>
      </c>
      <c r="J267" s="9" t="s">
        <v>616</v>
      </c>
      <c r="K267" s="5" t="s">
        <v>15173</v>
      </c>
      <c r="L267" s="13">
        <v>17754</v>
      </c>
      <c r="M267" t="str">
        <f>VLOOKUP(L267,[1]DevMouse!$B$2:$C$2693,2,FALSE)</f>
        <v>cbc</v>
      </c>
    </row>
    <row r="268" spans="2:13" x14ac:dyDescent="0.25">
      <c r="B268" s="37" t="s">
        <v>26303</v>
      </c>
      <c r="C268" s="25" t="s">
        <v>615</v>
      </c>
      <c r="D268" s="25" t="s">
        <v>25811</v>
      </c>
      <c r="E268" s="25"/>
      <c r="F268" s="9" t="str">
        <f>HYPERLINK("https://www.ebi.ac.uk/ols/ontologies/uberon/terms?iri=http://purl.obolibrary.org/obo/UBERON_0005970","brain commissure")</f>
        <v>brain commissure</v>
      </c>
      <c r="G268" s="9" t="s">
        <v>614</v>
      </c>
      <c r="H268" s="9" t="s">
        <v>18442</v>
      </c>
      <c r="I268" s="9" t="s">
        <v>615</v>
      </c>
      <c r="J268" s="9" t="s">
        <v>617</v>
      </c>
      <c r="K268" s="3" t="s">
        <v>15176</v>
      </c>
      <c r="L268" s="13">
        <v>744</v>
      </c>
      <c r="M268" t="str">
        <f>VLOOKUP(L268,[1]Mouse_ARA!$B$2:$C$1328,2,FALSE)</f>
        <v>cbc</v>
      </c>
    </row>
    <row r="269" spans="2:13" x14ac:dyDescent="0.25">
      <c r="B269" s="31" t="s">
        <v>26303</v>
      </c>
      <c r="C269" s="20"/>
      <c r="D269" s="25" t="s">
        <v>25811</v>
      </c>
      <c r="E269" s="20" t="s">
        <v>26300</v>
      </c>
      <c r="F269" s="9" t="str">
        <f>HYPERLINK("https://www.ebi.ac.uk/ols/ontologies/uberon/terms?iri=http://purl.obolibrary.org/obo/UBERON_0005970","brain commissure")</f>
        <v>brain commissure</v>
      </c>
      <c r="G269" s="9" t="s">
        <v>614</v>
      </c>
      <c r="H269" s="9" t="s">
        <v>20775</v>
      </c>
      <c r="I269" s="9" t="s">
        <v>618</v>
      </c>
      <c r="J269" s="9" t="s">
        <v>619</v>
      </c>
      <c r="K269" s="3" t="s">
        <v>15176</v>
      </c>
      <c r="L269" s="13">
        <v>858</v>
      </c>
      <c r="M269" t="str">
        <f>VLOOKUP(L269,[1]Mouse_ARA!$B$2:$C$1328,2,FALSE)</f>
        <v>vc</v>
      </c>
    </row>
    <row r="270" spans="2:13" x14ac:dyDescent="0.25">
      <c r="B270" s="31" t="s">
        <v>25743</v>
      </c>
      <c r="C270" s="25"/>
      <c r="D270" s="25" t="s">
        <v>25812</v>
      </c>
      <c r="E270" s="25"/>
      <c r="F270" s="9" t="str">
        <f>HYPERLINK("https://www.ebi.ac.uk/ols/ontologies/uberon/terms?iri=http://purl.obolibrary.org/obo/UBERON_0003528","brain gray matter")</f>
        <v>brain gray matter</v>
      </c>
      <c r="G270" s="9" t="s">
        <v>620</v>
      </c>
      <c r="H270" s="9" t="s">
        <v>24758</v>
      </c>
      <c r="I270" s="9" t="s">
        <v>621</v>
      </c>
      <c r="J270" s="9" t="s">
        <v>622</v>
      </c>
      <c r="K270" s="7" t="s">
        <v>15171</v>
      </c>
      <c r="L270" s="13">
        <v>4006</v>
      </c>
      <c r="M270" t="str">
        <f>VLOOKUP(L270,[1]HBA!$B$2:$C$4000,2,FALSE)</f>
        <v>GM</v>
      </c>
    </row>
    <row r="271" spans="2:13" x14ac:dyDescent="0.25">
      <c r="B271" s="31" t="s">
        <v>25743</v>
      </c>
      <c r="C271" s="20"/>
      <c r="D271" s="25" t="s">
        <v>25813</v>
      </c>
      <c r="E271" s="25"/>
      <c r="F271" s="9" t="str">
        <f>HYPERLINK("https://www.ebi.ac.uk/ols/ontologies/uberon/terms?iri=http://purl.obolibrary.org/obo/UBERON_0010403","brain marginal zone")</f>
        <v>brain marginal zone</v>
      </c>
      <c r="G271" s="9" t="s">
        <v>623</v>
      </c>
      <c r="H271" s="9" t="s">
        <v>21127</v>
      </c>
      <c r="I271" s="9" t="s">
        <v>624</v>
      </c>
      <c r="J271" s="9" t="s">
        <v>625</v>
      </c>
      <c r="K271" s="4" t="s">
        <v>15175</v>
      </c>
      <c r="L271" s="13">
        <v>10508</v>
      </c>
      <c r="M271" t="str">
        <f>VLOOKUP(L271,[1]Human_BrainSpan!$B$2:$C$4000,2,FALSE)</f>
        <v>MZ</v>
      </c>
    </row>
    <row r="272" spans="2:13" x14ac:dyDescent="0.25">
      <c r="B272" s="31" t="s">
        <v>25743</v>
      </c>
      <c r="C272" s="20"/>
      <c r="D272" s="25" t="s">
        <v>25814</v>
      </c>
      <c r="E272" s="25"/>
      <c r="F272" s="9" t="str">
        <f>HYPERLINK("https://www.ebi.ac.uk/ols/ontologies/uberon/terms?iri=http://purl.obolibrary.org/obo/UBERON_0004086","brain ventricle")</f>
        <v>brain ventricle</v>
      </c>
      <c r="G272" s="9" t="s">
        <v>626</v>
      </c>
      <c r="H272" s="9" t="s">
        <v>25564</v>
      </c>
      <c r="I272" s="9" t="s">
        <v>627</v>
      </c>
      <c r="J272" s="9" t="s">
        <v>628</v>
      </c>
      <c r="K272" s="7" t="s">
        <v>15171</v>
      </c>
      <c r="L272" s="13">
        <v>9418</v>
      </c>
      <c r="M272" t="str">
        <f>VLOOKUP(L272,[1]HBA!$B$2:$C$4000,2,FALSE)</f>
        <v>Vent</v>
      </c>
    </row>
    <row r="273" spans="2:13" x14ac:dyDescent="0.25">
      <c r="B273" s="31" t="s">
        <v>26303</v>
      </c>
      <c r="C273" s="25" t="s">
        <v>2964</v>
      </c>
      <c r="D273" s="25" t="s">
        <v>25815</v>
      </c>
      <c r="E273" s="25" t="s">
        <v>26300</v>
      </c>
      <c r="F273" s="9" t="str">
        <f>HYPERLINK("https://www.ebi.ac.uk/ols/ontologies/uberon/terms?iri=http://purl.obolibrary.org/obo/UBERON_0003544","brain white matter")</f>
        <v>brain white matter</v>
      </c>
      <c r="G273" s="9" t="s">
        <v>629</v>
      </c>
      <c r="H273" s="9" t="s">
        <v>18476</v>
      </c>
      <c r="I273" s="9" t="s">
        <v>630</v>
      </c>
      <c r="J273" s="9" t="s">
        <v>631</v>
      </c>
      <c r="K273" s="5" t="s">
        <v>15173</v>
      </c>
      <c r="L273" s="13">
        <v>17779</v>
      </c>
      <c r="M273" t="str">
        <f>VLOOKUP(L273,[1]DevMouse!$B$2:$C$2693,2,FALSE)</f>
        <v>mot</v>
      </c>
    </row>
    <row r="274" spans="2:13" x14ac:dyDescent="0.25">
      <c r="B274" s="31" t="s">
        <v>26305</v>
      </c>
      <c r="C274" s="20"/>
      <c r="D274" s="25" t="s">
        <v>25815</v>
      </c>
      <c r="E274" s="25"/>
      <c r="F274" s="9" t="str">
        <f>HYPERLINK("https://www.ebi.ac.uk/ols/ontologies/uberon/terms?iri=http://purl.obolibrary.org/obo/UBERON_0003544","brain white matter")</f>
        <v>brain white matter</v>
      </c>
      <c r="G274" s="9" t="s">
        <v>629</v>
      </c>
      <c r="H274" s="9" t="s">
        <v>25473</v>
      </c>
      <c r="I274" s="9" t="s">
        <v>632</v>
      </c>
      <c r="J274" s="9" t="s">
        <v>633</v>
      </c>
      <c r="K274" s="7" t="s">
        <v>15171</v>
      </c>
      <c r="L274" s="13">
        <v>9218</v>
      </c>
      <c r="M274" t="str">
        <f>VLOOKUP(L274,[1]HBA!$B$2:$C$4000,2,FALSE)</f>
        <v>WM</v>
      </c>
    </row>
    <row r="275" spans="2:13" x14ac:dyDescent="0.25">
      <c r="B275" s="31" t="s">
        <v>25743</v>
      </c>
      <c r="C275" s="20"/>
      <c r="D275" s="25" t="s">
        <v>25816</v>
      </c>
      <c r="E275" s="25"/>
      <c r="F275" s="9" t="str">
        <f>HYPERLINK("https://www.ebi.ac.uk/ols/ontologies/uberon/terms?iri=http://purl.obolibrary.org/obo/UBERON_0002298","brainstem")</f>
        <v>brainstem</v>
      </c>
      <c r="G275" s="9" t="s">
        <v>634</v>
      </c>
      <c r="H275" s="9" t="s">
        <v>19872</v>
      </c>
      <c r="I275" s="9" t="s">
        <v>635</v>
      </c>
      <c r="J275" s="9" t="s">
        <v>636</v>
      </c>
      <c r="K275" s="3" t="s">
        <v>15176</v>
      </c>
      <c r="L275" s="13">
        <v>343</v>
      </c>
      <c r="M275" t="str">
        <f>VLOOKUP(L275,[1]Mouse_ARA!$B$2:$C$1328,2,FALSE)</f>
        <v>BS</v>
      </c>
    </row>
    <row r="276" spans="2:13" x14ac:dyDescent="0.25">
      <c r="B276" s="31" t="s">
        <v>26303</v>
      </c>
      <c r="C276" s="25" t="s">
        <v>638</v>
      </c>
      <c r="D276" s="25" t="s">
        <v>25817</v>
      </c>
      <c r="E276" s="25"/>
      <c r="F276" s="9" t="str">
        <f t="shared" ref="F276:F307" si="1">HYPERLINK("https://www.ebi.ac.uk/ols/ontologies/uberon/terms?iri=http://purl.obolibrary.org/obo/UBERON_0006331","brainstem nucleus")</f>
        <v>brainstem nucleus</v>
      </c>
      <c r="G276" s="9" t="s">
        <v>637</v>
      </c>
      <c r="H276" s="9" t="s">
        <v>24000</v>
      </c>
      <c r="I276" s="9" t="s">
        <v>638</v>
      </c>
      <c r="J276" s="9" t="s">
        <v>639</v>
      </c>
      <c r="K276" s="4" t="s">
        <v>15175</v>
      </c>
      <c r="L276" s="13">
        <v>12251</v>
      </c>
      <c r="M276" t="str">
        <f>VLOOKUP(L276,[1]Human_BrainSpan!$B$2:$C$4000,2,FALSE)</f>
        <v>SN</v>
      </c>
    </row>
    <row r="277" spans="2:13" x14ac:dyDescent="0.25">
      <c r="B277" s="31" t="s">
        <v>26303</v>
      </c>
      <c r="C277" s="25" t="s">
        <v>25971</v>
      </c>
      <c r="D277" s="25" t="s">
        <v>25817</v>
      </c>
      <c r="E277" s="25"/>
      <c r="F277" s="9" t="str">
        <f t="shared" si="1"/>
        <v>brainstem nucleus</v>
      </c>
      <c r="G277" s="9" t="s">
        <v>637</v>
      </c>
      <c r="H277" s="9" t="s">
        <v>17229</v>
      </c>
      <c r="I277" s="9" t="s">
        <v>640</v>
      </c>
      <c r="J277" s="9" t="s">
        <v>641</v>
      </c>
      <c r="K277" s="4" t="s">
        <v>15175</v>
      </c>
      <c r="L277" s="13">
        <v>12262</v>
      </c>
      <c r="M277" t="str">
        <f>VLOOKUP(L277,[1]Human_BrainSpan!$B$2:$C$4000,2,FALSE)</f>
        <v>IF</v>
      </c>
    </row>
    <row r="278" spans="2:13" x14ac:dyDescent="0.25">
      <c r="B278" s="31" t="s">
        <v>26303</v>
      </c>
      <c r="C278" s="25" t="s">
        <v>642</v>
      </c>
      <c r="D278" s="25" t="s">
        <v>25817</v>
      </c>
      <c r="E278" s="25"/>
      <c r="F278" s="9" t="str">
        <f t="shared" si="1"/>
        <v>brainstem nucleus</v>
      </c>
      <c r="G278" s="9" t="s">
        <v>637</v>
      </c>
      <c r="H278" s="9" t="s">
        <v>24051</v>
      </c>
      <c r="I278" s="9" t="s">
        <v>642</v>
      </c>
      <c r="J278" s="9" t="s">
        <v>643</v>
      </c>
      <c r="K278" s="4" t="s">
        <v>15175</v>
      </c>
      <c r="L278" s="13">
        <v>12290</v>
      </c>
      <c r="M278" t="str">
        <f>VLOOKUP(L278,[1]Human_BrainSpan!$B$2:$C$4000,2,FALSE)</f>
        <v>SubB</v>
      </c>
    </row>
    <row r="279" spans="2:13" x14ac:dyDescent="0.25">
      <c r="B279" s="31" t="s">
        <v>26303</v>
      </c>
      <c r="C279" s="25" t="s">
        <v>26055</v>
      </c>
      <c r="D279" s="25" t="s">
        <v>25817</v>
      </c>
      <c r="E279" s="25"/>
      <c r="F279" s="9" t="str">
        <f t="shared" si="1"/>
        <v>brainstem nucleus</v>
      </c>
      <c r="G279" s="9" t="s">
        <v>637</v>
      </c>
      <c r="H279" s="9" t="s">
        <v>24304</v>
      </c>
      <c r="I279" s="9" t="s">
        <v>644</v>
      </c>
      <c r="J279" s="9" t="s">
        <v>645</v>
      </c>
      <c r="K279" s="4" t="s">
        <v>15175</v>
      </c>
      <c r="L279" s="13">
        <v>12454</v>
      </c>
      <c r="M279" t="str">
        <f>VLOOKUP(L279,[1]Human_BrainSpan!$B$2:$C$4000,2,FALSE)</f>
        <v>LLN</v>
      </c>
    </row>
    <row r="280" spans="2:13" x14ac:dyDescent="0.25">
      <c r="B280" s="31" t="s">
        <v>26303</v>
      </c>
      <c r="C280" s="25" t="s">
        <v>721</v>
      </c>
      <c r="D280" s="25" t="s">
        <v>25817</v>
      </c>
      <c r="E280" s="25"/>
      <c r="F280" s="9" t="str">
        <f t="shared" si="1"/>
        <v>brainstem nucleus</v>
      </c>
      <c r="G280" s="9" t="s">
        <v>637</v>
      </c>
      <c r="H280" s="9" t="s">
        <v>24339</v>
      </c>
      <c r="I280" s="9" t="s">
        <v>646</v>
      </c>
      <c r="J280" s="9" t="s">
        <v>647</v>
      </c>
      <c r="K280" s="4" t="s">
        <v>15175</v>
      </c>
      <c r="L280" s="13">
        <v>12500</v>
      </c>
      <c r="M280" t="str">
        <f>VLOOKUP(L280,[1]Human_BrainSpan!$B$2:$C$4000,2,FALSE)</f>
        <v>SubC</v>
      </c>
    </row>
    <row r="281" spans="2:13" x14ac:dyDescent="0.25">
      <c r="B281" s="31" t="s">
        <v>26303</v>
      </c>
      <c r="C281" s="25" t="s">
        <v>25985</v>
      </c>
      <c r="D281" s="25" t="s">
        <v>25817</v>
      </c>
      <c r="E281" s="25"/>
      <c r="F281" s="9" t="str">
        <f t="shared" si="1"/>
        <v>brainstem nucleus</v>
      </c>
      <c r="G281" s="9" t="s">
        <v>637</v>
      </c>
      <c r="H281" s="9" t="s">
        <v>24037</v>
      </c>
      <c r="I281" s="9" t="s">
        <v>648</v>
      </c>
      <c r="J281" s="9" t="s">
        <v>649</v>
      </c>
      <c r="K281" s="4" t="s">
        <v>15175</v>
      </c>
      <c r="L281" s="13">
        <v>13236</v>
      </c>
      <c r="M281" t="str">
        <f>VLOOKUP(L281,[1]Human_BrainSpan!$B$2:$C$4000,2,FALSE)</f>
        <v>Lt</v>
      </c>
    </row>
    <row r="282" spans="2:13" x14ac:dyDescent="0.25">
      <c r="B282" s="31" t="s">
        <v>26303</v>
      </c>
      <c r="C282" s="25" t="s">
        <v>650</v>
      </c>
      <c r="D282" s="25" t="s">
        <v>25817</v>
      </c>
      <c r="E282" s="25"/>
      <c r="F282" s="9" t="str">
        <f t="shared" si="1"/>
        <v>brainstem nucleus</v>
      </c>
      <c r="G282" s="9" t="s">
        <v>637</v>
      </c>
      <c r="H282" s="9" t="s">
        <v>15268</v>
      </c>
      <c r="I282" s="9" t="s">
        <v>650</v>
      </c>
      <c r="J282" s="9" t="s">
        <v>651</v>
      </c>
      <c r="K282" s="5" t="s">
        <v>15173</v>
      </c>
      <c r="L282" s="13">
        <v>15604</v>
      </c>
      <c r="M282" t="str">
        <f>VLOOKUP(L282,[1]DevMouse!$B$2:$C$2693,2,FALSE)</f>
        <v>MPO</v>
      </c>
    </row>
    <row r="283" spans="2:13" x14ac:dyDescent="0.25">
      <c r="B283" s="31" t="s">
        <v>26303</v>
      </c>
      <c r="C283" s="25" t="s">
        <v>652</v>
      </c>
      <c r="D283" s="25" t="s">
        <v>25817</v>
      </c>
      <c r="E283" s="25"/>
      <c r="F283" s="9" t="str">
        <f t="shared" si="1"/>
        <v>brainstem nucleus</v>
      </c>
      <c r="G283" s="9" t="s">
        <v>637</v>
      </c>
      <c r="H283" s="9" t="s">
        <v>15324</v>
      </c>
      <c r="I283" s="9" t="s">
        <v>652</v>
      </c>
      <c r="J283" s="9" t="s">
        <v>653</v>
      </c>
      <c r="K283" s="5" t="s">
        <v>15173</v>
      </c>
      <c r="L283" s="13">
        <v>15633</v>
      </c>
      <c r="M283" t="str">
        <f>VLOOKUP(L283,[1]DevMouse!$B$2:$C$2693,2,FALSE)</f>
        <v>SO</v>
      </c>
    </row>
    <row r="284" spans="2:13" x14ac:dyDescent="0.25">
      <c r="B284" s="31" t="s">
        <v>26303</v>
      </c>
      <c r="C284" s="25" t="s">
        <v>654</v>
      </c>
      <c r="D284" s="25" t="s">
        <v>25817</v>
      </c>
      <c r="E284" s="25"/>
      <c r="F284" s="9" t="str">
        <f t="shared" si="1"/>
        <v>brainstem nucleus</v>
      </c>
      <c r="G284" s="9" t="s">
        <v>637</v>
      </c>
      <c r="H284" s="9" t="s">
        <v>15376</v>
      </c>
      <c r="I284" s="9" t="s">
        <v>654</v>
      </c>
      <c r="J284" s="9" t="s">
        <v>655</v>
      </c>
      <c r="K284" s="5" t="s">
        <v>15173</v>
      </c>
      <c r="L284" s="13">
        <v>15660</v>
      </c>
      <c r="M284" t="str">
        <f>VLOOKUP(L284,[1]DevMouse!$B$2:$C$2693,2,FALSE)</f>
        <v>SCH</v>
      </c>
    </row>
    <row r="285" spans="2:13" x14ac:dyDescent="0.25">
      <c r="B285" s="31" t="s">
        <v>26303</v>
      </c>
      <c r="C285" s="25" t="s">
        <v>25788</v>
      </c>
      <c r="D285" s="25" t="s">
        <v>25817</v>
      </c>
      <c r="E285" s="25"/>
      <c r="F285" s="9" t="str">
        <f t="shared" si="1"/>
        <v>brainstem nucleus</v>
      </c>
      <c r="G285" s="9" t="s">
        <v>637</v>
      </c>
      <c r="H285" s="9" t="s">
        <v>15379</v>
      </c>
      <c r="I285" s="9" t="s">
        <v>363</v>
      </c>
      <c r="J285" s="9" t="s">
        <v>365</v>
      </c>
      <c r="K285" s="5" t="s">
        <v>15173</v>
      </c>
      <c r="L285" s="13">
        <v>15662</v>
      </c>
      <c r="M285" t="str">
        <f>VLOOKUP(L285,[1]DevMouse!$B$2:$C$2693,2,FALSE)</f>
        <v>AH</v>
      </c>
    </row>
    <row r="286" spans="2:13" x14ac:dyDescent="0.25">
      <c r="B286" s="31" t="s">
        <v>26303</v>
      </c>
      <c r="C286" s="25" t="s">
        <v>26285</v>
      </c>
      <c r="D286" s="25" t="s">
        <v>25817</v>
      </c>
      <c r="E286" s="25"/>
      <c r="F286" s="9" t="str">
        <f t="shared" si="1"/>
        <v>brainstem nucleus</v>
      </c>
      <c r="G286" s="9" t="s">
        <v>637</v>
      </c>
      <c r="H286" s="9" t="s">
        <v>15403</v>
      </c>
      <c r="I286" s="9" t="s">
        <v>656</v>
      </c>
      <c r="J286" s="9" t="s">
        <v>657</v>
      </c>
      <c r="K286" s="5" t="s">
        <v>15173</v>
      </c>
      <c r="L286" s="13">
        <v>15675</v>
      </c>
      <c r="M286" t="str">
        <f>VLOOKUP(L286,[1]DevMouse!$B$2:$C$2693,2,FALSE)</f>
        <v>VMH</v>
      </c>
    </row>
    <row r="287" spans="2:13" x14ac:dyDescent="0.25">
      <c r="B287" s="31" t="s">
        <v>26303</v>
      </c>
      <c r="C287" s="25" t="s">
        <v>658</v>
      </c>
      <c r="D287" s="25" t="s">
        <v>25817</v>
      </c>
      <c r="E287" s="25"/>
      <c r="F287" s="9" t="str">
        <f t="shared" si="1"/>
        <v>brainstem nucleus</v>
      </c>
      <c r="G287" s="9" t="s">
        <v>637</v>
      </c>
      <c r="H287" s="9" t="s">
        <v>15486</v>
      </c>
      <c r="I287" s="9" t="s">
        <v>658</v>
      </c>
      <c r="J287" s="9" t="s">
        <v>659</v>
      </c>
      <c r="K287" s="5" t="s">
        <v>15173</v>
      </c>
      <c r="L287" s="13">
        <v>15719</v>
      </c>
      <c r="M287" t="str">
        <f>VLOOKUP(L287,[1]DevMouse!$B$2:$C$2693,2,FALSE)</f>
        <v>PMD</v>
      </c>
    </row>
    <row r="288" spans="2:13" x14ac:dyDescent="0.25">
      <c r="B288" s="31" t="s">
        <v>26303</v>
      </c>
      <c r="C288" s="25" t="s">
        <v>660</v>
      </c>
      <c r="D288" s="25" t="s">
        <v>25817</v>
      </c>
      <c r="E288" s="25"/>
      <c r="F288" s="9" t="str">
        <f t="shared" si="1"/>
        <v>brainstem nucleus</v>
      </c>
      <c r="G288" s="9" t="s">
        <v>637</v>
      </c>
      <c r="H288" s="9" t="s">
        <v>15504</v>
      </c>
      <c r="I288" s="9" t="s">
        <v>660</v>
      </c>
      <c r="J288" s="9" t="s">
        <v>661</v>
      </c>
      <c r="K288" s="5" t="s">
        <v>15173</v>
      </c>
      <c r="L288" s="13">
        <v>15729</v>
      </c>
      <c r="M288" t="str">
        <f>VLOOKUP(L288,[1]DevMouse!$B$2:$C$2693,2,FALSE)</f>
        <v>MM</v>
      </c>
    </row>
    <row r="289" spans="2:13" x14ac:dyDescent="0.25">
      <c r="B289" s="31" t="s">
        <v>26303</v>
      </c>
      <c r="C289" s="25" t="s">
        <v>662</v>
      </c>
      <c r="D289" s="25" t="s">
        <v>25817</v>
      </c>
      <c r="E289" s="25"/>
      <c r="F289" s="9" t="str">
        <f t="shared" si="1"/>
        <v>brainstem nucleus</v>
      </c>
      <c r="G289" s="9" t="s">
        <v>637</v>
      </c>
      <c r="H289" s="9" t="s">
        <v>15511</v>
      </c>
      <c r="I289" s="9" t="s">
        <v>662</v>
      </c>
      <c r="J289" s="9" t="s">
        <v>663</v>
      </c>
      <c r="K289" s="5" t="s">
        <v>15173</v>
      </c>
      <c r="L289" s="13">
        <v>15734</v>
      </c>
      <c r="M289" t="str">
        <f>VLOOKUP(L289,[1]DevMouse!$B$2:$C$2693,2,FALSE)</f>
        <v>LM</v>
      </c>
    </row>
    <row r="290" spans="2:13" x14ac:dyDescent="0.25">
      <c r="B290" s="31" t="s">
        <v>26303</v>
      </c>
      <c r="C290" s="25" t="s">
        <v>664</v>
      </c>
      <c r="D290" s="25" t="s">
        <v>25817</v>
      </c>
      <c r="E290" s="25"/>
      <c r="F290" s="9" t="str">
        <f t="shared" si="1"/>
        <v>brainstem nucleus</v>
      </c>
      <c r="G290" s="9" t="s">
        <v>637</v>
      </c>
      <c r="H290" s="9" t="s">
        <v>16137</v>
      </c>
      <c r="I290" s="9" t="s">
        <v>664</v>
      </c>
      <c r="J290" s="9" t="s">
        <v>665</v>
      </c>
      <c r="K290" s="5" t="s">
        <v>15173</v>
      </c>
      <c r="L290" s="13">
        <v>16271</v>
      </c>
      <c r="M290" t="str">
        <f>VLOOKUP(L290,[1]DevMouse!$B$2:$C$2693,2,FALSE)</f>
        <v>LTu</v>
      </c>
    </row>
    <row r="291" spans="2:13" x14ac:dyDescent="0.25">
      <c r="B291" s="31" t="s">
        <v>26303</v>
      </c>
      <c r="C291" s="25" t="s">
        <v>26270</v>
      </c>
      <c r="D291" s="25" t="s">
        <v>25817</v>
      </c>
      <c r="E291" s="25"/>
      <c r="F291" s="9" t="str">
        <f t="shared" si="1"/>
        <v>brainstem nucleus</v>
      </c>
      <c r="G291" s="9" t="s">
        <v>637</v>
      </c>
      <c r="H291" s="9" t="s">
        <v>16281</v>
      </c>
      <c r="I291" s="9" t="s">
        <v>666</v>
      </c>
      <c r="J291" s="9" t="s">
        <v>667</v>
      </c>
      <c r="K291" s="5" t="s">
        <v>15173</v>
      </c>
      <c r="L291" s="13">
        <v>16341</v>
      </c>
      <c r="M291" t="str">
        <f>VLOOKUP(L291,[1]DevMouse!$B$2:$C$2693,2,FALSE)</f>
        <v>PreG</v>
      </c>
    </row>
    <row r="292" spans="2:13" x14ac:dyDescent="0.25">
      <c r="B292" s="31" t="s">
        <v>26303</v>
      </c>
      <c r="C292" s="25" t="s">
        <v>668</v>
      </c>
      <c r="D292" s="25" t="s">
        <v>25817</v>
      </c>
      <c r="E292" s="25"/>
      <c r="F292" s="9" t="str">
        <f t="shared" si="1"/>
        <v>brainstem nucleus</v>
      </c>
      <c r="G292" s="9" t="s">
        <v>637</v>
      </c>
      <c r="H292" s="9" t="s">
        <v>16376</v>
      </c>
      <c r="I292" s="9" t="s">
        <v>668</v>
      </c>
      <c r="J292" s="9" t="s">
        <v>669</v>
      </c>
      <c r="K292" s="5" t="s">
        <v>15173</v>
      </c>
      <c r="L292" s="13">
        <v>16388</v>
      </c>
      <c r="M292" t="str">
        <f>VLOOKUP(L292,[1]DevMouse!$B$2:$C$2693,2,FALSE)</f>
        <v>MHb</v>
      </c>
    </row>
    <row r="293" spans="2:13" x14ac:dyDescent="0.25">
      <c r="B293" s="31" t="s">
        <v>26303</v>
      </c>
      <c r="C293" s="25" t="s">
        <v>1013</v>
      </c>
      <c r="D293" s="25" t="s">
        <v>25817</v>
      </c>
      <c r="E293" s="25"/>
      <c r="F293" s="9" t="str">
        <f t="shared" si="1"/>
        <v>brainstem nucleus</v>
      </c>
      <c r="G293" s="9" t="s">
        <v>637</v>
      </c>
      <c r="H293" s="9" t="s">
        <v>16405</v>
      </c>
      <c r="I293" s="9" t="s">
        <v>670</v>
      </c>
      <c r="J293" s="9" t="s">
        <v>671</v>
      </c>
      <c r="K293" s="5" t="s">
        <v>15173</v>
      </c>
      <c r="L293" s="13">
        <v>16402</v>
      </c>
      <c r="M293" t="str">
        <f>VLOOKUP(L293,[1]DevMouse!$B$2:$C$2693,2,FALSE)</f>
        <v>CM</v>
      </c>
    </row>
    <row r="294" spans="2:13" x14ac:dyDescent="0.25">
      <c r="B294" s="31" t="s">
        <v>26303</v>
      </c>
      <c r="C294" s="25" t="s">
        <v>26192</v>
      </c>
      <c r="D294" s="25" t="s">
        <v>25817</v>
      </c>
      <c r="E294" s="25"/>
      <c r="F294" s="9" t="str">
        <f t="shared" si="1"/>
        <v>brainstem nucleus</v>
      </c>
      <c r="G294" s="9" t="s">
        <v>637</v>
      </c>
      <c r="H294" s="9" t="s">
        <v>16410</v>
      </c>
      <c r="I294" s="9" t="s">
        <v>672</v>
      </c>
      <c r="J294" s="9" t="s">
        <v>673</v>
      </c>
      <c r="K294" s="5" t="s">
        <v>15173</v>
      </c>
      <c r="L294" s="13">
        <v>16405</v>
      </c>
      <c r="M294" t="str">
        <f>VLOOKUP(L294,[1]DevMouse!$B$2:$C$2693,2,FALSE)</f>
        <v>Rh</v>
      </c>
    </row>
    <row r="295" spans="2:13" x14ac:dyDescent="0.25">
      <c r="B295" s="31" t="s">
        <v>26303</v>
      </c>
      <c r="C295" s="25" t="s">
        <v>674</v>
      </c>
      <c r="D295" s="25" t="s">
        <v>25817</v>
      </c>
      <c r="E295" s="25"/>
      <c r="F295" s="9" t="str">
        <f t="shared" si="1"/>
        <v>brainstem nucleus</v>
      </c>
      <c r="G295" s="9" t="s">
        <v>637</v>
      </c>
      <c r="H295" s="9" t="s">
        <v>16419</v>
      </c>
      <c r="I295" s="9" t="s">
        <v>674</v>
      </c>
      <c r="J295" s="9" t="s">
        <v>675</v>
      </c>
      <c r="K295" s="5" t="s">
        <v>15173</v>
      </c>
      <c r="L295" s="13">
        <v>16410</v>
      </c>
      <c r="M295" t="str">
        <f>VLOOKUP(L295,[1]DevMouse!$B$2:$C$2693,2,FALSE)</f>
        <v>PT</v>
      </c>
    </row>
    <row r="296" spans="2:13" x14ac:dyDescent="0.25">
      <c r="B296" s="31" t="s">
        <v>26303</v>
      </c>
      <c r="C296" s="25" t="s">
        <v>676</v>
      </c>
      <c r="D296" s="25" t="s">
        <v>25817</v>
      </c>
      <c r="E296" s="25"/>
      <c r="F296" s="9" t="str">
        <f t="shared" si="1"/>
        <v>brainstem nucleus</v>
      </c>
      <c r="G296" s="9" t="s">
        <v>637</v>
      </c>
      <c r="H296" s="9" t="s">
        <v>16430</v>
      </c>
      <c r="I296" s="9" t="s">
        <v>676</v>
      </c>
      <c r="J296" s="9" t="s">
        <v>677</v>
      </c>
      <c r="K296" s="5" t="s">
        <v>15173</v>
      </c>
      <c r="L296" s="13">
        <v>16416</v>
      </c>
      <c r="M296" t="str">
        <f>VLOOKUP(L296,[1]DevMouse!$B$2:$C$2693,2,FALSE)</f>
        <v>PC</v>
      </c>
    </row>
    <row r="297" spans="2:13" x14ac:dyDescent="0.25">
      <c r="B297" s="31" t="s">
        <v>26303</v>
      </c>
      <c r="C297" s="25" t="s">
        <v>678</v>
      </c>
      <c r="D297" s="25" t="s">
        <v>25817</v>
      </c>
      <c r="E297" s="25"/>
      <c r="F297" s="9" t="str">
        <f t="shared" si="1"/>
        <v>brainstem nucleus</v>
      </c>
      <c r="G297" s="9" t="s">
        <v>637</v>
      </c>
      <c r="H297" s="9" t="s">
        <v>16433</v>
      </c>
      <c r="I297" s="9" t="s">
        <v>678</v>
      </c>
      <c r="J297" s="9" t="s">
        <v>679</v>
      </c>
      <c r="K297" s="5" t="s">
        <v>15173</v>
      </c>
      <c r="L297" s="13">
        <v>16418</v>
      </c>
      <c r="M297" t="str">
        <f>VLOOKUP(L297,[1]DevMouse!$B$2:$C$2693,2,FALSE)</f>
        <v>CL</v>
      </c>
    </row>
    <row r="298" spans="2:13" x14ac:dyDescent="0.25">
      <c r="B298" s="31" t="s">
        <v>26303</v>
      </c>
      <c r="C298" s="25" t="s">
        <v>442</v>
      </c>
      <c r="D298" s="25" t="s">
        <v>25817</v>
      </c>
      <c r="E298" s="25"/>
      <c r="F298" s="9" t="str">
        <f t="shared" si="1"/>
        <v>brainstem nucleus</v>
      </c>
      <c r="G298" s="9" t="s">
        <v>637</v>
      </c>
      <c r="H298" s="9" t="s">
        <v>16436</v>
      </c>
      <c r="I298" s="9" t="s">
        <v>444</v>
      </c>
      <c r="J298" s="9" t="s">
        <v>445</v>
      </c>
      <c r="K298" s="5" t="s">
        <v>15173</v>
      </c>
      <c r="L298" s="13">
        <v>16420</v>
      </c>
      <c r="M298" t="str">
        <f>VLOOKUP(L298,[1]DevMouse!$B$2:$C$2693,2,FALSE)</f>
        <v>AD</v>
      </c>
    </row>
    <row r="299" spans="2:13" x14ac:dyDescent="0.25">
      <c r="B299" s="31" t="s">
        <v>26303</v>
      </c>
      <c r="C299" s="25" t="s">
        <v>475</v>
      </c>
      <c r="D299" s="25" t="s">
        <v>25817</v>
      </c>
      <c r="E299" s="25"/>
      <c r="F299" s="9" t="str">
        <f t="shared" si="1"/>
        <v>brainstem nucleus</v>
      </c>
      <c r="G299" s="9" t="s">
        <v>637</v>
      </c>
      <c r="H299" s="9" t="s">
        <v>16437</v>
      </c>
      <c r="I299" s="9" t="s">
        <v>477</v>
      </c>
      <c r="J299" s="9" t="s">
        <v>478</v>
      </c>
      <c r="K299" s="5" t="s">
        <v>15173</v>
      </c>
      <c r="L299" s="13">
        <v>16421</v>
      </c>
      <c r="M299" t="str">
        <f>VLOOKUP(L299,[1]DevMouse!$B$2:$C$2693,2,FALSE)</f>
        <v>AV</v>
      </c>
    </row>
    <row r="300" spans="2:13" x14ac:dyDescent="0.25">
      <c r="B300" s="31" t="s">
        <v>26303</v>
      </c>
      <c r="C300" s="25" t="s">
        <v>456</v>
      </c>
      <c r="D300" s="25" t="s">
        <v>25817</v>
      </c>
      <c r="E300" s="25"/>
      <c r="F300" s="9" t="str">
        <f t="shared" si="1"/>
        <v>brainstem nucleus</v>
      </c>
      <c r="G300" s="9" t="s">
        <v>637</v>
      </c>
      <c r="H300" s="9" t="s">
        <v>16438</v>
      </c>
      <c r="I300" s="9" t="s">
        <v>458</v>
      </c>
      <c r="J300" s="9" t="s">
        <v>459</v>
      </c>
      <c r="K300" s="5" t="s">
        <v>15173</v>
      </c>
      <c r="L300" s="13">
        <v>16422</v>
      </c>
      <c r="M300" t="str">
        <f>VLOOKUP(L300,[1]DevMouse!$B$2:$C$2693,2,FALSE)</f>
        <v>AM</v>
      </c>
    </row>
    <row r="301" spans="2:13" x14ac:dyDescent="0.25">
      <c r="B301" s="31" t="s">
        <v>26303</v>
      </c>
      <c r="C301" s="25" t="s">
        <v>26271</v>
      </c>
      <c r="D301" s="25" t="s">
        <v>25817</v>
      </c>
      <c r="E301" s="25"/>
      <c r="F301" s="9" t="str">
        <f t="shared" si="1"/>
        <v>brainstem nucleus</v>
      </c>
      <c r="G301" s="9" t="s">
        <v>637</v>
      </c>
      <c r="H301" s="9" t="s">
        <v>1093</v>
      </c>
      <c r="I301" s="9" t="s">
        <v>680</v>
      </c>
      <c r="J301" s="9" t="s">
        <v>681</v>
      </c>
      <c r="K301" s="5" t="s">
        <v>15173</v>
      </c>
      <c r="L301" s="13">
        <v>16423</v>
      </c>
      <c r="M301" t="str">
        <f>VLOOKUP(L301,[1]DevMouse!$B$2:$C$2693,2,FALSE)</f>
        <v>V</v>
      </c>
    </row>
    <row r="302" spans="2:13" x14ac:dyDescent="0.25">
      <c r="B302" s="31" t="s">
        <v>26303</v>
      </c>
      <c r="C302" s="25" t="s">
        <v>26234</v>
      </c>
      <c r="D302" s="25" t="s">
        <v>25817</v>
      </c>
      <c r="E302" s="25"/>
      <c r="F302" s="9" t="str">
        <f t="shared" si="1"/>
        <v>brainstem nucleus</v>
      </c>
      <c r="G302" s="9" t="s">
        <v>637</v>
      </c>
      <c r="H302" s="9" t="s">
        <v>16443</v>
      </c>
      <c r="I302" s="9" t="s">
        <v>682</v>
      </c>
      <c r="J302" s="9" t="s">
        <v>683</v>
      </c>
      <c r="K302" s="5" t="s">
        <v>15173</v>
      </c>
      <c r="L302" s="13">
        <v>16426</v>
      </c>
      <c r="M302" t="str">
        <f>VLOOKUP(L302,[1]DevMouse!$B$2:$C$2693,2,FALSE)</f>
        <v>SubM</v>
      </c>
    </row>
    <row r="303" spans="2:13" x14ac:dyDescent="0.25">
      <c r="B303" s="31" t="s">
        <v>26303</v>
      </c>
      <c r="C303" s="25" t="s">
        <v>3328</v>
      </c>
      <c r="D303" s="25" t="s">
        <v>25817</v>
      </c>
      <c r="E303" s="25"/>
      <c r="F303" s="9" t="str">
        <f t="shared" si="1"/>
        <v>brainstem nucleus</v>
      </c>
      <c r="G303" s="9" t="s">
        <v>637</v>
      </c>
      <c r="H303" s="9" t="s">
        <v>16444</v>
      </c>
      <c r="I303" s="9" t="s">
        <v>684</v>
      </c>
      <c r="J303" s="9" t="s">
        <v>685</v>
      </c>
      <c r="K303" s="5" t="s">
        <v>15173</v>
      </c>
      <c r="L303" s="13">
        <v>16427</v>
      </c>
      <c r="M303" t="str">
        <f>VLOOKUP(L303,[1]DevMouse!$B$2:$C$2693,2,FALSE)</f>
        <v>VA</v>
      </c>
    </row>
    <row r="304" spans="2:13" x14ac:dyDescent="0.25">
      <c r="B304" s="31" t="s">
        <v>26303</v>
      </c>
      <c r="C304" s="25" t="s">
        <v>15032</v>
      </c>
      <c r="D304" s="25" t="s">
        <v>25817</v>
      </c>
      <c r="E304" s="25"/>
      <c r="F304" s="9" t="str">
        <f t="shared" si="1"/>
        <v>brainstem nucleus</v>
      </c>
      <c r="G304" s="9" t="s">
        <v>637</v>
      </c>
      <c r="H304" s="9" t="s">
        <v>16445</v>
      </c>
      <c r="I304" s="9" t="s">
        <v>686</v>
      </c>
      <c r="J304" s="9" t="s">
        <v>687</v>
      </c>
      <c r="K304" s="5" t="s">
        <v>15173</v>
      </c>
      <c r="L304" s="13">
        <v>16428</v>
      </c>
      <c r="M304" t="str">
        <f>VLOOKUP(L304,[1]DevMouse!$B$2:$C$2693,2,FALSE)</f>
        <v>VL</v>
      </c>
    </row>
    <row r="305" spans="2:13" x14ac:dyDescent="0.25">
      <c r="B305" s="31" t="s">
        <v>26303</v>
      </c>
      <c r="C305" s="25" t="s">
        <v>26276</v>
      </c>
      <c r="D305" s="25" t="s">
        <v>25817</v>
      </c>
      <c r="E305" s="25"/>
      <c r="F305" s="9" t="str">
        <f t="shared" si="1"/>
        <v>brainstem nucleus</v>
      </c>
      <c r="G305" s="9" t="s">
        <v>637</v>
      </c>
      <c r="H305" s="9" t="s">
        <v>16446</v>
      </c>
      <c r="I305" s="9" t="s">
        <v>688</v>
      </c>
      <c r="J305" s="9" t="s">
        <v>689</v>
      </c>
      <c r="K305" s="5" t="s">
        <v>15173</v>
      </c>
      <c r="L305" s="13">
        <v>16429</v>
      </c>
      <c r="M305" t="str">
        <f>VLOOKUP(L305,[1]DevMouse!$B$2:$C$2693,2,FALSE)</f>
        <v>VPM</v>
      </c>
    </row>
    <row r="306" spans="2:13" x14ac:dyDescent="0.25">
      <c r="B306" s="31" t="s">
        <v>26303</v>
      </c>
      <c r="C306" s="25" t="s">
        <v>690</v>
      </c>
      <c r="D306" s="25" t="s">
        <v>25817</v>
      </c>
      <c r="E306" s="25"/>
      <c r="F306" s="9" t="str">
        <f t="shared" si="1"/>
        <v>brainstem nucleus</v>
      </c>
      <c r="G306" s="9" t="s">
        <v>637</v>
      </c>
      <c r="H306" s="9" t="s">
        <v>16447</v>
      </c>
      <c r="I306" s="9" t="s">
        <v>690</v>
      </c>
      <c r="J306" s="9" t="s">
        <v>691</v>
      </c>
      <c r="K306" s="5" t="s">
        <v>15173</v>
      </c>
      <c r="L306" s="13">
        <v>16430</v>
      </c>
      <c r="M306" t="str">
        <f>VLOOKUP(L306,[1]DevMouse!$B$2:$C$2693,2,FALSE)</f>
        <v>VPL</v>
      </c>
    </row>
    <row r="307" spans="2:13" x14ac:dyDescent="0.25">
      <c r="B307" s="31" t="s">
        <v>26303</v>
      </c>
      <c r="C307" s="25" t="s">
        <v>2690</v>
      </c>
      <c r="D307" s="25" t="s">
        <v>25817</v>
      </c>
      <c r="E307" s="25"/>
      <c r="F307" s="9" t="str">
        <f t="shared" si="1"/>
        <v>brainstem nucleus</v>
      </c>
      <c r="G307" s="9" t="s">
        <v>637</v>
      </c>
      <c r="H307" s="9" t="s">
        <v>16456</v>
      </c>
      <c r="I307" s="9" t="s">
        <v>692</v>
      </c>
      <c r="J307" s="9" t="s">
        <v>693</v>
      </c>
      <c r="K307" s="5" t="s">
        <v>15173</v>
      </c>
      <c r="L307" s="13">
        <v>16435</v>
      </c>
      <c r="M307" t="str">
        <f>VLOOKUP(L307,[1]DevMouse!$B$2:$C$2693,2,FALSE)</f>
        <v>LP</v>
      </c>
    </row>
    <row r="308" spans="2:13" x14ac:dyDescent="0.25">
      <c r="B308" s="31" t="s">
        <v>26303</v>
      </c>
      <c r="C308" s="25" t="s">
        <v>694</v>
      </c>
      <c r="D308" s="25" t="s">
        <v>25817</v>
      </c>
      <c r="E308" s="25"/>
      <c r="F308" s="9" t="str">
        <f t="shared" ref="F308:F339" si="2">HYPERLINK("https://www.ebi.ac.uk/ols/ontologies/uberon/terms?iri=http://purl.obolibrary.org/obo/UBERON_0006331","brainstem nucleus")</f>
        <v>brainstem nucleus</v>
      </c>
      <c r="G308" s="9" t="s">
        <v>637</v>
      </c>
      <c r="H308" s="9" t="s">
        <v>16457</v>
      </c>
      <c r="I308" s="9" t="s">
        <v>694</v>
      </c>
      <c r="J308" s="9" t="s">
        <v>695</v>
      </c>
      <c r="K308" s="5" t="s">
        <v>15173</v>
      </c>
      <c r="L308" s="13">
        <v>16436</v>
      </c>
      <c r="M308" t="str">
        <f>VLOOKUP(L308,[1]DevMouse!$B$2:$C$2693,2,FALSE)</f>
        <v>DLG</v>
      </c>
    </row>
    <row r="309" spans="2:13" x14ac:dyDescent="0.25">
      <c r="B309" s="31" t="s">
        <v>26303</v>
      </c>
      <c r="C309" s="25" t="s">
        <v>26142</v>
      </c>
      <c r="D309" s="25" t="s">
        <v>25817</v>
      </c>
      <c r="E309" s="25"/>
      <c r="F309" s="9" t="str">
        <f t="shared" si="2"/>
        <v>brainstem nucleus</v>
      </c>
      <c r="G309" s="9" t="s">
        <v>637</v>
      </c>
      <c r="H309" s="9" t="s">
        <v>16466</v>
      </c>
      <c r="I309" s="9" t="s">
        <v>696</v>
      </c>
      <c r="J309" s="9" t="s">
        <v>697</v>
      </c>
      <c r="K309" s="5" t="s">
        <v>15173</v>
      </c>
      <c r="L309" s="13">
        <v>16441</v>
      </c>
      <c r="M309" t="str">
        <f>VLOOKUP(L309,[1]DevMouse!$B$2:$C$2693,2,FALSE)</f>
        <v>PVP</v>
      </c>
    </row>
    <row r="310" spans="2:13" x14ac:dyDescent="0.25">
      <c r="B310" s="31" t="s">
        <v>26303</v>
      </c>
      <c r="C310" s="25" t="s">
        <v>698</v>
      </c>
      <c r="D310" s="25" t="s">
        <v>25817</v>
      </c>
      <c r="E310" s="25"/>
      <c r="F310" s="9" t="str">
        <f t="shared" si="2"/>
        <v>brainstem nucleus</v>
      </c>
      <c r="G310" s="9" t="s">
        <v>637</v>
      </c>
      <c r="H310" s="9" t="s">
        <v>16467</v>
      </c>
      <c r="I310" s="9" t="s">
        <v>698</v>
      </c>
      <c r="J310" s="9" t="s">
        <v>699</v>
      </c>
      <c r="K310" s="5" t="s">
        <v>15173</v>
      </c>
      <c r="L310" s="13">
        <v>16442</v>
      </c>
      <c r="M310" t="str">
        <f>VLOOKUP(L310,[1]DevMouse!$B$2:$C$2693,2,FALSE)</f>
        <v>PF</v>
      </c>
    </row>
    <row r="311" spans="2:13" x14ac:dyDescent="0.25">
      <c r="B311" s="31" t="s">
        <v>26303</v>
      </c>
      <c r="C311" s="25" t="s">
        <v>14864</v>
      </c>
      <c r="D311" s="25" t="s">
        <v>25817</v>
      </c>
      <c r="E311" s="25"/>
      <c r="F311" s="9" t="str">
        <f t="shared" si="2"/>
        <v>brainstem nucleus</v>
      </c>
      <c r="G311" s="9" t="s">
        <v>637</v>
      </c>
      <c r="H311" s="9" t="s">
        <v>16486</v>
      </c>
      <c r="I311" s="9" t="s">
        <v>700</v>
      </c>
      <c r="J311" s="9" t="s">
        <v>701</v>
      </c>
      <c r="K311" s="5" t="s">
        <v>15173</v>
      </c>
      <c r="L311" s="13">
        <v>16452</v>
      </c>
      <c r="M311" t="str">
        <f>VLOOKUP(L311,[1]DevMouse!$B$2:$C$2693,2,FALSE)</f>
        <v>SG</v>
      </c>
    </row>
    <row r="312" spans="2:13" x14ac:dyDescent="0.25">
      <c r="B312" s="31" t="s">
        <v>26303</v>
      </c>
      <c r="C312" s="25" t="s">
        <v>702</v>
      </c>
      <c r="D312" s="25" t="s">
        <v>25817</v>
      </c>
      <c r="E312" s="25"/>
      <c r="F312" s="9" t="str">
        <f t="shared" si="2"/>
        <v>brainstem nucleus</v>
      </c>
      <c r="G312" s="9" t="s">
        <v>637</v>
      </c>
      <c r="H312" s="9" t="s">
        <v>16764</v>
      </c>
      <c r="I312" s="9" t="s">
        <v>702</v>
      </c>
      <c r="J312" s="9" t="s">
        <v>703</v>
      </c>
      <c r="K312" s="5" t="s">
        <v>15173</v>
      </c>
      <c r="L312" s="13">
        <v>16585</v>
      </c>
      <c r="M312" t="str">
        <f>VLOOKUP(L312,[1]DevMouse!$B$2:$C$2693,2,FALSE)</f>
        <v>MPT</v>
      </c>
    </row>
    <row r="313" spans="2:13" x14ac:dyDescent="0.25">
      <c r="B313" s="31" t="s">
        <v>26303</v>
      </c>
      <c r="C313" s="25" t="s">
        <v>704</v>
      </c>
      <c r="D313" s="25" t="s">
        <v>25817</v>
      </c>
      <c r="E313" s="25"/>
      <c r="F313" s="9" t="str">
        <f t="shared" si="2"/>
        <v>brainstem nucleus</v>
      </c>
      <c r="G313" s="9" t="s">
        <v>637</v>
      </c>
      <c r="H313" s="9" t="s">
        <v>16765</v>
      </c>
      <c r="I313" s="9" t="s">
        <v>704</v>
      </c>
      <c r="J313" s="9" t="s">
        <v>705</v>
      </c>
      <c r="K313" s="5" t="s">
        <v>15173</v>
      </c>
      <c r="L313" s="13">
        <v>16586</v>
      </c>
      <c r="M313" t="str">
        <f>VLOOKUP(L313,[1]DevMouse!$B$2:$C$2693,2,FALSE)</f>
        <v>PrPT</v>
      </c>
    </row>
    <row r="314" spans="2:13" x14ac:dyDescent="0.25">
      <c r="B314" s="31" t="s">
        <v>26302</v>
      </c>
      <c r="C314" s="25" t="s">
        <v>706</v>
      </c>
      <c r="D314" s="25" t="s">
        <v>25817</v>
      </c>
      <c r="E314" s="25"/>
      <c r="F314" s="9" t="str">
        <f t="shared" si="2"/>
        <v>brainstem nucleus</v>
      </c>
      <c r="G314" s="9" t="s">
        <v>637</v>
      </c>
      <c r="H314" s="9" t="s">
        <v>16770</v>
      </c>
      <c r="I314" s="9" t="s">
        <v>706</v>
      </c>
      <c r="J314" s="9" t="s">
        <v>707</v>
      </c>
      <c r="K314" s="5" t="s">
        <v>15173</v>
      </c>
      <c r="L314" s="13">
        <v>16589</v>
      </c>
      <c r="M314" t="str">
        <f>VLOOKUP(L314,[1]DevMouse!$B$2:$C$2693,2,FALSE)</f>
        <v>OPT</v>
      </c>
    </row>
    <row r="315" spans="2:13" x14ac:dyDescent="0.25">
      <c r="B315" s="31" t="s">
        <v>26303</v>
      </c>
      <c r="C315" s="25" t="s">
        <v>25908</v>
      </c>
      <c r="D315" s="25" t="s">
        <v>25817</v>
      </c>
      <c r="E315" s="25"/>
      <c r="F315" s="9" t="str">
        <f t="shared" si="2"/>
        <v>brainstem nucleus</v>
      </c>
      <c r="G315" s="9" t="s">
        <v>637</v>
      </c>
      <c r="H315" s="9" t="s">
        <v>16771</v>
      </c>
      <c r="I315" s="9" t="s">
        <v>708</v>
      </c>
      <c r="J315" s="9" t="s">
        <v>709</v>
      </c>
      <c r="K315" s="5" t="s">
        <v>15173</v>
      </c>
      <c r="L315" s="13">
        <v>16590</v>
      </c>
      <c r="M315" t="str">
        <f>VLOOKUP(L315,[1]DevMouse!$B$2:$C$2693,2,FALSE)</f>
        <v>DT</v>
      </c>
    </row>
    <row r="316" spans="2:13" x14ac:dyDescent="0.25">
      <c r="B316" s="31" t="s">
        <v>26303</v>
      </c>
      <c r="C316" s="25" t="s">
        <v>710</v>
      </c>
      <c r="D316" s="25" t="s">
        <v>25817</v>
      </c>
      <c r="E316" s="25"/>
      <c r="F316" s="9" t="str">
        <f t="shared" si="2"/>
        <v>brainstem nucleus</v>
      </c>
      <c r="G316" s="9" t="s">
        <v>637</v>
      </c>
      <c r="H316" s="9" t="s">
        <v>16786</v>
      </c>
      <c r="I316" s="9" t="s">
        <v>710</v>
      </c>
      <c r="J316" s="9" t="s">
        <v>711</v>
      </c>
      <c r="K316" s="5" t="s">
        <v>15173</v>
      </c>
      <c r="L316" s="13">
        <v>16598</v>
      </c>
      <c r="M316" t="str">
        <f>VLOOKUP(L316,[1]DevMouse!$B$2:$C$2693,2,FALSE)</f>
        <v>IPT</v>
      </c>
    </row>
    <row r="317" spans="2:13" x14ac:dyDescent="0.25">
      <c r="B317" s="31" t="s">
        <v>26303</v>
      </c>
      <c r="C317" s="25" t="s">
        <v>987</v>
      </c>
      <c r="D317" s="25" t="s">
        <v>25817</v>
      </c>
      <c r="E317" s="25"/>
      <c r="F317" s="9" t="str">
        <f t="shared" si="2"/>
        <v>brainstem nucleus</v>
      </c>
      <c r="G317" s="9" t="s">
        <v>637</v>
      </c>
      <c r="H317" s="9" t="s">
        <v>16989</v>
      </c>
      <c r="I317" s="9" t="s">
        <v>712</v>
      </c>
      <c r="J317" s="9" t="s">
        <v>713</v>
      </c>
      <c r="K317" s="5" t="s">
        <v>15173</v>
      </c>
      <c r="L317" s="13">
        <v>16698</v>
      </c>
      <c r="M317" t="str">
        <f>VLOOKUP(L317,[1]DevMouse!$B$2:$C$2693,2,FALSE)</f>
        <v>CIC</v>
      </c>
    </row>
    <row r="318" spans="2:13" x14ac:dyDescent="0.25">
      <c r="B318" s="37" t="s">
        <v>26303</v>
      </c>
      <c r="C318" s="25" t="s">
        <v>843</v>
      </c>
      <c r="D318" s="25" t="s">
        <v>25817</v>
      </c>
      <c r="E318" s="25"/>
      <c r="F318" s="9" t="str">
        <f t="shared" si="2"/>
        <v>brainstem nucleus</v>
      </c>
      <c r="G318" s="9" t="s">
        <v>637</v>
      </c>
      <c r="H318" s="9" t="s">
        <v>17249</v>
      </c>
      <c r="I318" s="9" t="s">
        <v>714</v>
      </c>
      <c r="J318" s="9" t="s">
        <v>715</v>
      </c>
      <c r="K318" s="5" t="s">
        <v>15173</v>
      </c>
      <c r="L318" s="13">
        <v>16823</v>
      </c>
      <c r="M318" t="str">
        <f>VLOOKUP(L318,[1]DevMouse!$B$2:$C$2693,2,FALSE)</f>
        <v>Med</v>
      </c>
    </row>
    <row r="319" spans="2:13" x14ac:dyDescent="0.25">
      <c r="B319" s="31" t="s">
        <v>26303</v>
      </c>
      <c r="C319" s="25" t="s">
        <v>716</v>
      </c>
      <c r="D319" s="25" t="s">
        <v>25817</v>
      </c>
      <c r="E319" s="25"/>
      <c r="F319" s="9" t="str">
        <f t="shared" si="2"/>
        <v>brainstem nucleus</v>
      </c>
      <c r="G319" s="9" t="s">
        <v>637</v>
      </c>
      <c r="H319" s="9" t="s">
        <v>17293</v>
      </c>
      <c r="I319" s="9" t="s">
        <v>716</v>
      </c>
      <c r="J319" s="9" t="s">
        <v>717</v>
      </c>
      <c r="K319" s="5" t="s">
        <v>15173</v>
      </c>
      <c r="L319" s="13">
        <v>16862</v>
      </c>
      <c r="M319" t="str">
        <f>VLOOKUP(L319,[1]DevMouse!$B$2:$C$2693,2,FALSE)</f>
        <v>PBG</v>
      </c>
    </row>
    <row r="320" spans="2:13" x14ac:dyDescent="0.25">
      <c r="B320" s="37" t="s">
        <v>26303</v>
      </c>
      <c r="C320" s="25" t="s">
        <v>25843</v>
      </c>
      <c r="D320" s="25" t="s">
        <v>25817</v>
      </c>
      <c r="E320" s="25"/>
      <c r="F320" s="9" t="str">
        <f t="shared" si="2"/>
        <v>brainstem nucleus</v>
      </c>
      <c r="G320" s="9" t="s">
        <v>637</v>
      </c>
      <c r="H320" s="9" t="s">
        <v>17369</v>
      </c>
      <c r="I320" s="9" t="s">
        <v>718</v>
      </c>
      <c r="J320" s="9" t="s">
        <v>719</v>
      </c>
      <c r="K320" s="5" t="s">
        <v>15173</v>
      </c>
      <c r="L320" s="13">
        <v>16929</v>
      </c>
      <c r="M320" t="str">
        <f>VLOOKUP(L320,[1]DevMouse!$B$2:$C$2693,2,FALSE)</f>
        <v>Int</v>
      </c>
    </row>
    <row r="321" spans="2:13" x14ac:dyDescent="0.25">
      <c r="B321" s="31" t="s">
        <v>26303</v>
      </c>
      <c r="C321" s="25" t="s">
        <v>638</v>
      </c>
      <c r="D321" s="25" t="s">
        <v>25817</v>
      </c>
      <c r="E321" s="25"/>
      <c r="F321" s="9" t="str">
        <f t="shared" si="2"/>
        <v>brainstem nucleus</v>
      </c>
      <c r="G321" s="9" t="s">
        <v>637</v>
      </c>
      <c r="H321" s="9" t="s">
        <v>24000</v>
      </c>
      <c r="I321" s="9" t="s">
        <v>638</v>
      </c>
      <c r="J321" s="9" t="s">
        <v>720</v>
      </c>
      <c r="K321" s="7" t="s">
        <v>15171</v>
      </c>
      <c r="L321" s="13">
        <v>9072</v>
      </c>
      <c r="M321" t="str">
        <f>VLOOKUP(L321,[1]HBA!$B$2:$C$4000,2,FALSE)</f>
        <v>SN</v>
      </c>
    </row>
    <row r="322" spans="2:13" x14ac:dyDescent="0.25">
      <c r="B322" s="31" t="s">
        <v>26303</v>
      </c>
      <c r="C322" s="25" t="s">
        <v>721</v>
      </c>
      <c r="D322" s="25" t="s">
        <v>25817</v>
      </c>
      <c r="E322" s="25"/>
      <c r="F322" s="9" t="str">
        <f t="shared" si="2"/>
        <v>brainstem nucleus</v>
      </c>
      <c r="G322" s="9" t="s">
        <v>637</v>
      </c>
      <c r="H322" s="9" t="s">
        <v>24339</v>
      </c>
      <c r="I322" s="9" t="s">
        <v>721</v>
      </c>
      <c r="J322" s="9" t="s">
        <v>722</v>
      </c>
      <c r="K322" s="7" t="s">
        <v>15171</v>
      </c>
      <c r="L322" s="13">
        <v>9154</v>
      </c>
      <c r="M322" t="str">
        <f>VLOOKUP(L322,[1]HBA!$B$2:$C$4000,2,FALSE)</f>
        <v>SubC</v>
      </c>
    </row>
    <row r="323" spans="2:13" x14ac:dyDescent="0.25">
      <c r="B323" s="31" t="s">
        <v>26303</v>
      </c>
      <c r="C323" s="25" t="s">
        <v>25821</v>
      </c>
      <c r="D323" s="25" t="s">
        <v>25817</v>
      </c>
      <c r="E323" s="25"/>
      <c r="F323" s="9" t="str">
        <f t="shared" si="2"/>
        <v>brainstem nucleus</v>
      </c>
      <c r="G323" s="9" t="s">
        <v>637</v>
      </c>
      <c r="H323" s="9" t="s">
        <v>25312</v>
      </c>
      <c r="I323" s="9" t="s">
        <v>723</v>
      </c>
      <c r="J323" s="9" t="s">
        <v>724</v>
      </c>
      <c r="K323" s="7" t="s">
        <v>15171</v>
      </c>
      <c r="L323" s="13">
        <v>9470</v>
      </c>
      <c r="M323" t="str">
        <f>VLOOKUP(L323,[1]HBA!$B$2:$C$4000,2,FALSE)</f>
        <v>CLN</v>
      </c>
    </row>
    <row r="324" spans="2:13" x14ac:dyDescent="0.25">
      <c r="B324" s="31" t="s">
        <v>26303</v>
      </c>
      <c r="C324" s="25" t="s">
        <v>25971</v>
      </c>
      <c r="D324" s="25" t="s">
        <v>25817</v>
      </c>
      <c r="E324" s="25"/>
      <c r="F324" s="9" t="str">
        <f t="shared" si="2"/>
        <v>brainstem nucleus</v>
      </c>
      <c r="G324" s="9" t="s">
        <v>637</v>
      </c>
      <c r="H324" s="9" t="s">
        <v>17229</v>
      </c>
      <c r="I324" s="9" t="s">
        <v>725</v>
      </c>
      <c r="J324" s="9" t="s">
        <v>726</v>
      </c>
      <c r="K324" s="7" t="s">
        <v>15171</v>
      </c>
      <c r="L324" s="13">
        <v>9472</v>
      </c>
      <c r="M324" t="str">
        <f>VLOOKUP(L324,[1]HBA!$B$2:$C$4000,2,FALSE)</f>
        <v>IF</v>
      </c>
    </row>
    <row r="325" spans="2:13" x14ac:dyDescent="0.25">
      <c r="B325" s="31" t="s">
        <v>26303</v>
      </c>
      <c r="C325" s="25" t="s">
        <v>727</v>
      </c>
      <c r="D325" s="25" t="s">
        <v>25817</v>
      </c>
      <c r="E325" s="25"/>
      <c r="F325" s="9" t="str">
        <f t="shared" si="2"/>
        <v>brainstem nucleus</v>
      </c>
      <c r="G325" s="9" t="s">
        <v>637</v>
      </c>
      <c r="H325" s="9" t="s">
        <v>20117</v>
      </c>
      <c r="I325" s="9" t="s">
        <v>727</v>
      </c>
      <c r="J325" s="9" t="s">
        <v>728</v>
      </c>
      <c r="K325" s="3" t="s">
        <v>15176</v>
      </c>
      <c r="L325" s="13">
        <v>1004</v>
      </c>
      <c r="M325" t="str">
        <f>VLOOKUP(L325,[1]Mouse_ARA!$B$2:$C$1328,2,FALSE)</f>
        <v>PMv</v>
      </c>
    </row>
    <row r="326" spans="2:13" x14ac:dyDescent="0.25">
      <c r="B326" s="31" t="s">
        <v>26303</v>
      </c>
      <c r="C326" s="25" t="s">
        <v>26038</v>
      </c>
      <c r="D326" s="25" t="s">
        <v>25817</v>
      </c>
      <c r="E326" s="25"/>
      <c r="F326" s="9" t="str">
        <f t="shared" si="2"/>
        <v>brainstem nucleus</v>
      </c>
      <c r="G326" s="9" t="s">
        <v>637</v>
      </c>
      <c r="H326" s="9" t="s">
        <v>19902</v>
      </c>
      <c r="I326" s="9" t="s">
        <v>729</v>
      </c>
      <c r="J326" s="9" t="s">
        <v>730</v>
      </c>
      <c r="K326" s="3" t="s">
        <v>15176</v>
      </c>
      <c r="L326" s="13">
        <v>1008</v>
      </c>
      <c r="M326" t="str">
        <f>VLOOKUP(L326,[1]Mouse_ARA!$B$2:$C$1328,2,FALSE)</f>
        <v>GENd</v>
      </c>
    </row>
    <row r="327" spans="2:13" x14ac:dyDescent="0.25">
      <c r="B327" s="31" t="s">
        <v>26303</v>
      </c>
      <c r="C327" s="25" t="s">
        <v>731</v>
      </c>
      <c r="D327" s="25" t="s">
        <v>25817</v>
      </c>
      <c r="E327" s="25"/>
      <c r="F327" s="9" t="str">
        <f t="shared" si="2"/>
        <v>brainstem nucleus</v>
      </c>
      <c r="G327" s="9" t="s">
        <v>637</v>
      </c>
      <c r="H327" s="9" t="s">
        <v>20240</v>
      </c>
      <c r="I327" s="9" t="s">
        <v>731</v>
      </c>
      <c r="J327" s="9" t="s">
        <v>732</v>
      </c>
      <c r="K327" s="3" t="s">
        <v>15176</v>
      </c>
      <c r="L327" s="13">
        <v>1061</v>
      </c>
      <c r="M327" t="str">
        <f>VLOOKUP(L327,[1]Mouse_ARA!$B$2:$C$1328,2,FALSE)</f>
        <v>PPT</v>
      </c>
    </row>
    <row r="328" spans="2:13" x14ac:dyDescent="0.25">
      <c r="B328" s="31" t="s">
        <v>26303</v>
      </c>
      <c r="C328" s="25" t="s">
        <v>25913</v>
      </c>
      <c r="D328" s="25" t="s">
        <v>25817</v>
      </c>
      <c r="E328" s="25"/>
      <c r="F328" s="9" t="str">
        <f t="shared" si="2"/>
        <v>brainstem nucleus</v>
      </c>
      <c r="G328" s="9" t="s">
        <v>637</v>
      </c>
      <c r="H328" s="9" t="s">
        <v>19905</v>
      </c>
      <c r="I328" s="9" t="s">
        <v>733</v>
      </c>
      <c r="J328" s="9" t="s">
        <v>734</v>
      </c>
      <c r="K328" s="3" t="s">
        <v>15176</v>
      </c>
      <c r="L328" s="13">
        <v>1072</v>
      </c>
      <c r="M328" t="str">
        <f>VLOOKUP(L328,[1]Mouse_ARA!$B$2:$C$1328,2,FALSE)</f>
        <v>MGd</v>
      </c>
    </row>
    <row r="329" spans="2:13" x14ac:dyDescent="0.25">
      <c r="B329" s="31" t="s">
        <v>26303</v>
      </c>
      <c r="C329" s="25" t="s">
        <v>26272</v>
      </c>
      <c r="D329" s="25" t="s">
        <v>25817</v>
      </c>
      <c r="E329" s="25"/>
      <c r="F329" s="9" t="str">
        <f t="shared" si="2"/>
        <v>brainstem nucleus</v>
      </c>
      <c r="G329" s="9" t="s">
        <v>637</v>
      </c>
      <c r="H329" s="9" t="s">
        <v>19907</v>
      </c>
      <c r="I329" s="9" t="s">
        <v>735</v>
      </c>
      <c r="J329" s="9" t="s">
        <v>736</v>
      </c>
      <c r="K329" s="3" t="s">
        <v>15176</v>
      </c>
      <c r="L329" s="13">
        <v>1079</v>
      </c>
      <c r="M329" t="str">
        <f>VLOOKUP(L329,[1]Mouse_ARA!$B$2:$C$1328,2,FALSE)</f>
        <v>MGv</v>
      </c>
    </row>
    <row r="330" spans="2:13" x14ac:dyDescent="0.25">
      <c r="B330" s="31" t="s">
        <v>26303</v>
      </c>
      <c r="C330" s="25" t="s">
        <v>26008</v>
      </c>
      <c r="D330" s="25" t="s">
        <v>25817</v>
      </c>
      <c r="E330" s="25"/>
      <c r="F330" s="9" t="str">
        <f t="shared" si="2"/>
        <v>brainstem nucleus</v>
      </c>
      <c r="G330" s="9" t="s">
        <v>637</v>
      </c>
      <c r="H330" s="9" t="s">
        <v>19909</v>
      </c>
      <c r="I330" s="9" t="s">
        <v>737</v>
      </c>
      <c r="J330" s="9" t="s">
        <v>738</v>
      </c>
      <c r="K330" s="3" t="s">
        <v>15176</v>
      </c>
      <c r="L330" s="13">
        <v>1088</v>
      </c>
      <c r="M330" t="str">
        <f>VLOOKUP(L330,[1]Mouse_ARA!$B$2:$C$1328,2,FALSE)</f>
        <v>MGm</v>
      </c>
    </row>
    <row r="331" spans="2:13" x14ac:dyDescent="0.25">
      <c r="B331" s="31" t="s">
        <v>26302</v>
      </c>
      <c r="C331" s="20"/>
      <c r="D331" s="25" t="s">
        <v>25817</v>
      </c>
      <c r="E331" s="20" t="s">
        <v>26300</v>
      </c>
      <c r="F331" s="9" t="str">
        <f t="shared" si="2"/>
        <v>brainstem nucleus</v>
      </c>
      <c r="G331" s="9" t="s">
        <v>637</v>
      </c>
      <c r="H331" s="9" t="s">
        <v>20029</v>
      </c>
      <c r="I331" s="9" t="s">
        <v>739</v>
      </c>
      <c r="J331" s="9" t="s">
        <v>740</v>
      </c>
      <c r="K331" s="3" t="s">
        <v>15176</v>
      </c>
      <c r="L331" s="13">
        <v>118</v>
      </c>
      <c r="M331" t="str">
        <f>VLOOKUP(L331,[1]Mouse_ARA!$B$2:$C$1328,2,FALSE)</f>
        <v>PVi</v>
      </c>
    </row>
    <row r="332" spans="2:13" x14ac:dyDescent="0.25">
      <c r="B332" s="31" t="s">
        <v>26303</v>
      </c>
      <c r="C332" s="25" t="s">
        <v>25971</v>
      </c>
      <c r="D332" s="25" t="s">
        <v>25817</v>
      </c>
      <c r="E332" s="25"/>
      <c r="F332" s="9" t="str">
        <f t="shared" si="2"/>
        <v>brainstem nucleus</v>
      </c>
      <c r="G332" s="9" t="s">
        <v>637</v>
      </c>
      <c r="H332" s="9" t="s">
        <v>17229</v>
      </c>
      <c r="I332" s="9" t="s">
        <v>741</v>
      </c>
      <c r="J332" s="9" t="s">
        <v>742</v>
      </c>
      <c r="K332" s="3" t="s">
        <v>15176</v>
      </c>
      <c r="L332" s="13">
        <v>12</v>
      </c>
      <c r="M332" t="str">
        <f>VLOOKUP(L332,[1]Mouse_ARA!$B$2:$C$1328,2,FALSE)</f>
        <v>IF</v>
      </c>
    </row>
    <row r="333" spans="2:13" x14ac:dyDescent="0.25">
      <c r="B333" s="31" t="s">
        <v>26302</v>
      </c>
      <c r="C333" s="25" t="s">
        <v>26142</v>
      </c>
      <c r="D333" s="25" t="s">
        <v>25817</v>
      </c>
      <c r="E333" s="25"/>
      <c r="F333" s="9" t="str">
        <f t="shared" si="2"/>
        <v>brainstem nucleus</v>
      </c>
      <c r="G333" s="9" t="s">
        <v>637</v>
      </c>
      <c r="H333" s="9" t="s">
        <v>20061</v>
      </c>
      <c r="I333" s="9" t="s">
        <v>743</v>
      </c>
      <c r="J333" s="9" t="s">
        <v>744</v>
      </c>
      <c r="K333" s="3" t="s">
        <v>15176</v>
      </c>
      <c r="L333" s="13">
        <v>126</v>
      </c>
      <c r="M333" t="str">
        <f>VLOOKUP(L333,[1]Mouse_ARA!$B$2:$C$1328,2,FALSE)</f>
        <v>PVp</v>
      </c>
    </row>
    <row r="334" spans="2:13" x14ac:dyDescent="0.25">
      <c r="B334" s="31" t="s">
        <v>26303</v>
      </c>
      <c r="C334" s="25" t="s">
        <v>456</v>
      </c>
      <c r="D334" s="25" t="s">
        <v>25817</v>
      </c>
      <c r="E334" s="25"/>
      <c r="F334" s="9" t="str">
        <f t="shared" si="2"/>
        <v>brainstem nucleus</v>
      </c>
      <c r="G334" s="9" t="s">
        <v>637</v>
      </c>
      <c r="H334" s="9" t="s">
        <v>16438</v>
      </c>
      <c r="I334" s="9" t="s">
        <v>458</v>
      </c>
      <c r="J334" s="9" t="s">
        <v>462</v>
      </c>
      <c r="K334" s="3" t="s">
        <v>15176</v>
      </c>
      <c r="L334" s="13">
        <v>127</v>
      </c>
      <c r="M334" t="str">
        <f>VLOOKUP(L334,[1]Mouse_ARA!$B$2:$C$1328,2,FALSE)</f>
        <v>AM</v>
      </c>
    </row>
    <row r="335" spans="2:13" x14ac:dyDescent="0.25">
      <c r="B335" s="31" t="s">
        <v>25743</v>
      </c>
      <c r="C335" s="25" t="s">
        <v>26159</v>
      </c>
      <c r="D335" s="25" t="s">
        <v>25817</v>
      </c>
      <c r="E335" s="25"/>
      <c r="F335" s="9" t="str">
        <f t="shared" si="2"/>
        <v>brainstem nucleus</v>
      </c>
      <c r="G335" s="9" t="s">
        <v>637</v>
      </c>
      <c r="H335" s="9" t="s">
        <v>20063</v>
      </c>
      <c r="I335" s="9" t="s">
        <v>745</v>
      </c>
      <c r="J335" s="9" t="s">
        <v>746</v>
      </c>
      <c r="K335" s="3" t="s">
        <v>15176</v>
      </c>
      <c r="L335" s="13">
        <v>133</v>
      </c>
      <c r="M335" t="str">
        <f>VLOOKUP(L335,[1]Mouse_ARA!$B$2:$C$1328,2,FALSE)</f>
        <v>PVpo</v>
      </c>
    </row>
    <row r="336" spans="2:13" x14ac:dyDescent="0.25">
      <c r="B336" s="31" t="s">
        <v>26303</v>
      </c>
      <c r="C336" s="25" t="s">
        <v>25992</v>
      </c>
      <c r="D336" s="25" t="s">
        <v>25817</v>
      </c>
      <c r="E336" s="25"/>
      <c r="F336" s="9" t="str">
        <f t="shared" si="2"/>
        <v>brainstem nucleus</v>
      </c>
      <c r="G336" s="9" t="s">
        <v>637</v>
      </c>
      <c r="H336" s="9" t="s">
        <v>19921</v>
      </c>
      <c r="I336" s="9" t="s">
        <v>747</v>
      </c>
      <c r="J336" s="9" t="s">
        <v>748</v>
      </c>
      <c r="K336" s="3" t="s">
        <v>15176</v>
      </c>
      <c r="L336" s="13">
        <v>138</v>
      </c>
      <c r="M336" t="str">
        <f>VLOOKUP(L336,[1]Mouse_ARA!$B$2:$C$1328,2,FALSE)</f>
        <v>LAT</v>
      </c>
    </row>
    <row r="337" spans="2:13" x14ac:dyDescent="0.25">
      <c r="B337" s="31" t="s">
        <v>26303</v>
      </c>
      <c r="C337" s="25" t="s">
        <v>26142</v>
      </c>
      <c r="D337" s="25" t="s">
        <v>25817</v>
      </c>
      <c r="E337" s="25"/>
      <c r="F337" s="9" t="str">
        <f t="shared" si="2"/>
        <v>brainstem nucleus</v>
      </c>
      <c r="G337" s="9" t="s">
        <v>637</v>
      </c>
      <c r="H337" s="9" t="s">
        <v>19958</v>
      </c>
      <c r="I337" s="9" t="s">
        <v>749</v>
      </c>
      <c r="J337" s="9" t="s">
        <v>750</v>
      </c>
      <c r="K337" s="3" t="s">
        <v>15176</v>
      </c>
      <c r="L337" s="13">
        <v>149</v>
      </c>
      <c r="M337" t="str">
        <f>VLOOKUP(L337,[1]Mouse_ARA!$B$2:$C$1328,2,FALSE)</f>
        <v>PVT</v>
      </c>
    </row>
    <row r="338" spans="2:13" x14ac:dyDescent="0.25">
      <c r="B338" s="31" t="s">
        <v>26303</v>
      </c>
      <c r="C338" s="25" t="s">
        <v>674</v>
      </c>
      <c r="D338" s="25" t="s">
        <v>25817</v>
      </c>
      <c r="E338" s="25"/>
      <c r="F338" s="9" t="str">
        <f t="shared" si="2"/>
        <v>brainstem nucleus</v>
      </c>
      <c r="G338" s="9" t="s">
        <v>637</v>
      </c>
      <c r="H338" s="9" t="s">
        <v>16419</v>
      </c>
      <c r="I338" s="9" t="s">
        <v>751</v>
      </c>
      <c r="J338" s="9" t="s">
        <v>752</v>
      </c>
      <c r="K338" s="3" t="s">
        <v>15176</v>
      </c>
      <c r="L338" s="13">
        <v>15</v>
      </c>
      <c r="M338" t="str">
        <f>VLOOKUP(L338,[1]Mouse_ARA!$B$2:$C$1328,2,FALSE)</f>
        <v>PT</v>
      </c>
    </row>
    <row r="339" spans="2:13" x14ac:dyDescent="0.25">
      <c r="B339" s="31" t="s">
        <v>26303</v>
      </c>
      <c r="C339" s="25" t="s">
        <v>25986</v>
      </c>
      <c r="D339" s="25" t="s">
        <v>25817</v>
      </c>
      <c r="E339" s="25"/>
      <c r="F339" s="9" t="str">
        <f t="shared" si="2"/>
        <v>brainstem nucleus</v>
      </c>
      <c r="G339" s="9" t="s">
        <v>637</v>
      </c>
      <c r="H339" s="9" t="s">
        <v>16454</v>
      </c>
      <c r="I339" s="9" t="s">
        <v>753</v>
      </c>
      <c r="J339" s="9" t="s">
        <v>754</v>
      </c>
      <c r="K339" s="3" t="s">
        <v>15176</v>
      </c>
      <c r="L339" s="13">
        <v>155</v>
      </c>
      <c r="M339" t="str">
        <f>VLOOKUP(L339,[1]Mouse_ARA!$B$2:$C$1328,2,FALSE)</f>
        <v>LD</v>
      </c>
    </row>
    <row r="340" spans="2:13" x14ac:dyDescent="0.25">
      <c r="B340" s="31" t="s">
        <v>26303</v>
      </c>
      <c r="C340" s="25" t="s">
        <v>694</v>
      </c>
      <c r="D340" s="25" t="s">
        <v>25817</v>
      </c>
      <c r="E340" s="25"/>
      <c r="F340" s="9" t="str">
        <f t="shared" ref="F340:F371" si="3">HYPERLINK("https://www.ebi.ac.uk/ols/ontologies/uberon/terms?iri=http://purl.obolibrary.org/obo/UBERON_0006331","brainstem nucleus")</f>
        <v>brainstem nucleus</v>
      </c>
      <c r="G340" s="9" t="s">
        <v>637</v>
      </c>
      <c r="H340" s="9" t="s">
        <v>19911</v>
      </c>
      <c r="I340" s="9" t="s">
        <v>755</v>
      </c>
      <c r="J340" s="9" t="s">
        <v>756</v>
      </c>
      <c r="K340" s="3" t="s">
        <v>15176</v>
      </c>
      <c r="L340" s="13">
        <v>170</v>
      </c>
      <c r="M340" t="str">
        <f>VLOOKUP(L340,[1]Mouse_ARA!$B$2:$C$1328,2,FALSE)</f>
        <v>LGd</v>
      </c>
    </row>
    <row r="341" spans="2:13" x14ac:dyDescent="0.25">
      <c r="B341" s="31" t="s">
        <v>26303</v>
      </c>
      <c r="C341" s="25" t="s">
        <v>26270</v>
      </c>
      <c r="D341" s="25" t="s">
        <v>25817</v>
      </c>
      <c r="E341" s="25"/>
      <c r="F341" s="9" t="str">
        <f t="shared" si="3"/>
        <v>brainstem nucleus</v>
      </c>
      <c r="G341" s="9" t="s">
        <v>637</v>
      </c>
      <c r="H341" s="9" t="s">
        <v>19982</v>
      </c>
      <c r="I341" s="9" t="s">
        <v>757</v>
      </c>
      <c r="J341" s="9" t="s">
        <v>758</v>
      </c>
      <c r="K341" s="3" t="s">
        <v>15176</v>
      </c>
      <c r="L341" s="13">
        <v>178</v>
      </c>
      <c r="M341" t="str">
        <f>VLOOKUP(L341,[1]Mouse_ARA!$B$2:$C$1328,2,FALSE)</f>
        <v>LGv</v>
      </c>
    </row>
    <row r="342" spans="2:13" x14ac:dyDescent="0.25">
      <c r="B342" s="31" t="s">
        <v>26303</v>
      </c>
      <c r="C342" s="25" t="s">
        <v>26191</v>
      </c>
      <c r="D342" s="25" t="s">
        <v>25817</v>
      </c>
      <c r="E342" s="25"/>
      <c r="F342" s="9" t="str">
        <f t="shared" si="3"/>
        <v>brainstem nucleus</v>
      </c>
      <c r="G342" s="9" t="s">
        <v>637</v>
      </c>
      <c r="H342" s="9" t="s">
        <v>19961</v>
      </c>
      <c r="I342" s="9" t="s">
        <v>759</v>
      </c>
      <c r="J342" s="9" t="s">
        <v>760</v>
      </c>
      <c r="K342" s="3" t="s">
        <v>15176</v>
      </c>
      <c r="L342" s="13">
        <v>181</v>
      </c>
      <c r="M342" t="str">
        <f>VLOOKUP(L342,[1]Mouse_ARA!$B$2:$C$1328,2,FALSE)</f>
        <v>RE</v>
      </c>
    </row>
    <row r="343" spans="2:13" x14ac:dyDescent="0.25">
      <c r="B343" s="31" t="s">
        <v>26303</v>
      </c>
      <c r="C343" s="25" t="s">
        <v>2599</v>
      </c>
      <c r="D343" s="25" t="s">
        <v>25817</v>
      </c>
      <c r="E343" s="25"/>
      <c r="F343" s="9" t="str">
        <f t="shared" si="3"/>
        <v>brainstem nucleus</v>
      </c>
      <c r="G343" s="9" t="s">
        <v>637</v>
      </c>
      <c r="H343" s="9" t="s">
        <v>19992</v>
      </c>
      <c r="I343" s="9" t="s">
        <v>761</v>
      </c>
      <c r="J343" s="9" t="s">
        <v>762</v>
      </c>
      <c r="K343" s="3" t="s">
        <v>15176</v>
      </c>
      <c r="L343" s="13">
        <v>186</v>
      </c>
      <c r="M343" t="str">
        <f>VLOOKUP(L343,[1]Mouse_ARA!$B$2:$C$1328,2,FALSE)</f>
        <v>LH</v>
      </c>
    </row>
    <row r="344" spans="2:13" x14ac:dyDescent="0.25">
      <c r="B344" s="31" t="s">
        <v>26303</v>
      </c>
      <c r="C344" s="25" t="s">
        <v>26192</v>
      </c>
      <c r="D344" s="25" t="s">
        <v>25817</v>
      </c>
      <c r="E344" s="25"/>
      <c r="F344" s="9" t="str">
        <f t="shared" si="3"/>
        <v>brainstem nucleus</v>
      </c>
      <c r="G344" s="9" t="s">
        <v>637</v>
      </c>
      <c r="H344" s="9" t="s">
        <v>19967</v>
      </c>
      <c r="I344" s="9" t="s">
        <v>672</v>
      </c>
      <c r="J344" s="9" t="s">
        <v>763</v>
      </c>
      <c r="K344" s="3" t="s">
        <v>15176</v>
      </c>
      <c r="L344" s="13">
        <v>189</v>
      </c>
      <c r="M344" t="str">
        <f>VLOOKUP(L344,[1]Mouse_ARA!$B$2:$C$1328,2,FALSE)</f>
        <v>RH</v>
      </c>
    </row>
    <row r="345" spans="2:13" x14ac:dyDescent="0.25">
      <c r="B345" s="31" t="s">
        <v>26303</v>
      </c>
      <c r="C345" s="25" t="s">
        <v>662</v>
      </c>
      <c r="D345" s="25" t="s">
        <v>25817</v>
      </c>
      <c r="E345" s="25"/>
      <c r="F345" s="9" t="str">
        <f t="shared" si="3"/>
        <v>brainstem nucleus</v>
      </c>
      <c r="G345" s="9" t="s">
        <v>637</v>
      </c>
      <c r="H345" s="9" t="s">
        <v>15511</v>
      </c>
      <c r="I345" s="9" t="s">
        <v>662</v>
      </c>
      <c r="J345" s="9" t="s">
        <v>764</v>
      </c>
      <c r="K345" s="3" t="s">
        <v>15176</v>
      </c>
      <c r="L345" s="13">
        <v>210</v>
      </c>
      <c r="M345" t="str">
        <f>VLOOKUP(L345,[1]Mouse_ARA!$B$2:$C$1328,2,FALSE)</f>
        <v>LM</v>
      </c>
    </row>
    <row r="346" spans="2:13" x14ac:dyDescent="0.25">
      <c r="B346" s="31" t="s">
        <v>26303</v>
      </c>
      <c r="C346" s="25" t="s">
        <v>2690</v>
      </c>
      <c r="D346" s="25" t="s">
        <v>25817</v>
      </c>
      <c r="E346" s="25"/>
      <c r="F346" s="9" t="str">
        <f t="shared" si="3"/>
        <v>brainstem nucleus</v>
      </c>
      <c r="G346" s="9" t="s">
        <v>637</v>
      </c>
      <c r="H346" s="9" t="s">
        <v>16456</v>
      </c>
      <c r="I346" s="9" t="s">
        <v>765</v>
      </c>
      <c r="J346" s="9" t="s">
        <v>766</v>
      </c>
      <c r="K346" s="3" t="s">
        <v>15176</v>
      </c>
      <c r="L346" s="13">
        <v>218</v>
      </c>
      <c r="M346" t="str">
        <f>VLOOKUP(L346,[1]Mouse_ARA!$B$2:$C$1328,2,FALSE)</f>
        <v>LP</v>
      </c>
    </row>
    <row r="347" spans="2:13" x14ac:dyDescent="0.25">
      <c r="B347" s="31" t="s">
        <v>26303</v>
      </c>
      <c r="C347" s="25" t="s">
        <v>499</v>
      </c>
      <c r="D347" s="25" t="s">
        <v>25817</v>
      </c>
      <c r="E347" s="25"/>
      <c r="F347" s="9" t="str">
        <f t="shared" si="3"/>
        <v>brainstem nucleus</v>
      </c>
      <c r="G347" s="9" t="s">
        <v>637</v>
      </c>
      <c r="H347" s="9" t="s">
        <v>20031</v>
      </c>
      <c r="I347" s="9" t="s">
        <v>503</v>
      </c>
      <c r="J347" s="9" t="s">
        <v>504</v>
      </c>
      <c r="K347" s="3" t="s">
        <v>15176</v>
      </c>
      <c r="L347" s="13">
        <v>223</v>
      </c>
      <c r="M347" t="str">
        <f>VLOOKUP(L347,[1]Mouse_ARA!$B$2:$C$1328,2,FALSE)</f>
        <v>ARH</v>
      </c>
    </row>
    <row r="348" spans="2:13" x14ac:dyDescent="0.25">
      <c r="B348" s="31" t="s">
        <v>26303</v>
      </c>
      <c r="C348" s="25" t="s">
        <v>25995</v>
      </c>
      <c r="D348" s="25" t="s">
        <v>25817</v>
      </c>
      <c r="E348" s="25"/>
      <c r="F348" s="9" t="str">
        <f t="shared" si="3"/>
        <v>brainstem nucleus</v>
      </c>
      <c r="G348" s="9" t="s">
        <v>637</v>
      </c>
      <c r="H348" s="9" t="s">
        <v>20141</v>
      </c>
      <c r="I348" s="9" t="s">
        <v>767</v>
      </c>
      <c r="J348" s="9" t="s">
        <v>768</v>
      </c>
      <c r="K348" s="3" t="s">
        <v>15176</v>
      </c>
      <c r="L348" s="13">
        <v>226</v>
      </c>
      <c r="M348" t="str">
        <f>VLOOKUP(L348,[1]Mouse_ARA!$B$2:$C$1328,2,FALSE)</f>
        <v>LPO</v>
      </c>
    </row>
    <row r="349" spans="2:13" x14ac:dyDescent="0.25">
      <c r="B349" s="31" t="s">
        <v>26303</v>
      </c>
      <c r="C349" s="25" t="s">
        <v>25787</v>
      </c>
      <c r="D349" s="25" t="s">
        <v>25817</v>
      </c>
      <c r="E349" s="25"/>
      <c r="F349" s="9" t="str">
        <f t="shared" si="3"/>
        <v>brainstem nucleus</v>
      </c>
      <c r="G349" s="9" t="s">
        <v>637</v>
      </c>
      <c r="H349" s="9" t="s">
        <v>19932</v>
      </c>
      <c r="I349" s="9" t="s">
        <v>360</v>
      </c>
      <c r="J349" s="9" t="s">
        <v>361</v>
      </c>
      <c r="K349" s="3" t="s">
        <v>15176</v>
      </c>
      <c r="L349" s="13">
        <v>239</v>
      </c>
      <c r="M349" t="str">
        <f>VLOOKUP(L349,[1]Mouse_ARA!$B$2:$C$1328,2,FALSE)</f>
        <v>ATN</v>
      </c>
    </row>
    <row r="350" spans="2:13" x14ac:dyDescent="0.25">
      <c r="B350" s="31" t="s">
        <v>26303</v>
      </c>
      <c r="C350" s="25" t="s">
        <v>475</v>
      </c>
      <c r="D350" s="25" t="s">
        <v>25817</v>
      </c>
      <c r="E350" s="25"/>
      <c r="F350" s="9" t="str">
        <f t="shared" si="3"/>
        <v>brainstem nucleus</v>
      </c>
      <c r="G350" s="9" t="s">
        <v>637</v>
      </c>
      <c r="H350" s="9" t="s">
        <v>16437</v>
      </c>
      <c r="I350" s="9" t="s">
        <v>475</v>
      </c>
      <c r="J350" s="9" t="s">
        <v>481</v>
      </c>
      <c r="K350" s="3" t="s">
        <v>15176</v>
      </c>
      <c r="L350" s="13">
        <v>255</v>
      </c>
      <c r="M350" t="str">
        <f>VLOOKUP(L350,[1]Mouse_ARA!$B$2:$C$1328,2,FALSE)</f>
        <v>AV</v>
      </c>
    </row>
    <row r="351" spans="2:13" x14ac:dyDescent="0.25">
      <c r="B351" s="31" t="s">
        <v>26303</v>
      </c>
      <c r="C351" s="25" t="s">
        <v>26261</v>
      </c>
      <c r="D351" s="25" t="s">
        <v>25817</v>
      </c>
      <c r="E351" s="25"/>
      <c r="F351" s="9" t="str">
        <f t="shared" si="3"/>
        <v>brainstem nucleus</v>
      </c>
      <c r="G351" s="9" t="s">
        <v>637</v>
      </c>
      <c r="H351" s="9" t="s">
        <v>19975</v>
      </c>
      <c r="I351" s="9" t="s">
        <v>769</v>
      </c>
      <c r="J351" s="9" t="s">
        <v>770</v>
      </c>
      <c r="K351" s="3" t="s">
        <v>15176</v>
      </c>
      <c r="L351" s="13">
        <v>262</v>
      </c>
      <c r="M351" t="str">
        <f>VLOOKUP(L351,[1]Mouse_ARA!$B$2:$C$1328,2,FALSE)</f>
        <v>RT</v>
      </c>
    </row>
    <row r="352" spans="2:13" x14ac:dyDescent="0.25">
      <c r="B352" s="31" t="s">
        <v>26303</v>
      </c>
      <c r="C352" s="25" t="s">
        <v>489</v>
      </c>
      <c r="D352" s="25" t="s">
        <v>25817</v>
      </c>
      <c r="E352" s="25"/>
      <c r="F352" s="9" t="str">
        <f t="shared" si="3"/>
        <v>brainstem nucleus</v>
      </c>
      <c r="G352" s="9" t="s">
        <v>637</v>
      </c>
      <c r="H352" s="9" t="s">
        <v>20039</v>
      </c>
      <c r="I352" s="9" t="s">
        <v>489</v>
      </c>
      <c r="J352" s="9" t="s">
        <v>490</v>
      </c>
      <c r="K352" s="3" t="s">
        <v>15176</v>
      </c>
      <c r="L352" s="13">
        <v>263</v>
      </c>
      <c r="M352" t="str">
        <f>VLOOKUP(L352,[1]Mouse_ARA!$B$2:$C$1328,2,FALSE)</f>
        <v>AVP</v>
      </c>
    </row>
    <row r="353" spans="2:13" x14ac:dyDescent="0.25">
      <c r="B353" s="31" t="s">
        <v>26302</v>
      </c>
      <c r="C353" s="25" t="s">
        <v>483</v>
      </c>
      <c r="D353" s="25" t="s">
        <v>25817</v>
      </c>
      <c r="E353" s="25"/>
      <c r="F353" s="9" t="str">
        <f t="shared" si="3"/>
        <v>brainstem nucleus</v>
      </c>
      <c r="G353" s="9" t="s">
        <v>637</v>
      </c>
      <c r="H353" s="9" t="s">
        <v>20041</v>
      </c>
      <c r="I353" s="9" t="s">
        <v>483</v>
      </c>
      <c r="J353" s="9" t="s">
        <v>487</v>
      </c>
      <c r="K353" s="3" t="s">
        <v>15176</v>
      </c>
      <c r="L353" s="13">
        <v>272</v>
      </c>
      <c r="M353" t="str">
        <f>VLOOKUP(L353,[1]Mouse_ARA!$B$2:$C$1328,2,FALSE)</f>
        <v>AVPV</v>
      </c>
    </row>
    <row r="354" spans="2:13" x14ac:dyDescent="0.25">
      <c r="B354" s="31" t="s">
        <v>26303</v>
      </c>
      <c r="C354" s="25" t="s">
        <v>654</v>
      </c>
      <c r="D354" s="25" t="s">
        <v>25817</v>
      </c>
      <c r="E354" s="25"/>
      <c r="F354" s="9" t="str">
        <f t="shared" si="3"/>
        <v>brainstem nucleus</v>
      </c>
      <c r="G354" s="9" t="s">
        <v>637</v>
      </c>
      <c r="H354" s="9" t="s">
        <v>15376</v>
      </c>
      <c r="I354" s="9" t="s">
        <v>654</v>
      </c>
      <c r="J354" s="9" t="s">
        <v>771</v>
      </c>
      <c r="K354" s="3" t="s">
        <v>15176</v>
      </c>
      <c r="L354" s="13">
        <v>286</v>
      </c>
      <c r="M354" t="str">
        <f>VLOOKUP(L354,[1]Mouse_ARA!$B$2:$C$1328,2,FALSE)</f>
        <v>SCH</v>
      </c>
    </row>
    <row r="355" spans="2:13" x14ac:dyDescent="0.25">
      <c r="B355" s="31" t="s">
        <v>26303</v>
      </c>
      <c r="C355" s="25" t="s">
        <v>14864</v>
      </c>
      <c r="D355" s="25" t="s">
        <v>25817</v>
      </c>
      <c r="E355" s="25"/>
      <c r="F355" s="9" t="str">
        <f t="shared" si="3"/>
        <v>brainstem nucleus</v>
      </c>
      <c r="G355" s="9" t="s">
        <v>637</v>
      </c>
      <c r="H355" s="9" t="s">
        <v>19927</v>
      </c>
      <c r="I355" s="9" t="s">
        <v>700</v>
      </c>
      <c r="J355" s="9" t="s">
        <v>772</v>
      </c>
      <c r="K355" s="3" t="s">
        <v>15176</v>
      </c>
      <c r="L355" s="13">
        <v>325</v>
      </c>
      <c r="M355" t="str">
        <f>VLOOKUP(L355,[1]Mouse_ARA!$B$2:$C$1328,2,FALSE)</f>
        <v>SGN</v>
      </c>
    </row>
    <row r="356" spans="2:13" x14ac:dyDescent="0.25">
      <c r="B356" s="31" t="s">
        <v>26303</v>
      </c>
      <c r="C356" s="25" t="s">
        <v>721</v>
      </c>
      <c r="D356" s="25" t="s">
        <v>25817</v>
      </c>
      <c r="E356" s="25"/>
      <c r="F356" s="9" t="str">
        <f t="shared" si="3"/>
        <v>brainstem nucleus</v>
      </c>
      <c r="G356" s="9" t="s">
        <v>637</v>
      </c>
      <c r="H356" s="9" t="s">
        <v>20387</v>
      </c>
      <c r="I356" s="9" t="s">
        <v>773</v>
      </c>
      <c r="J356" s="9" t="s">
        <v>774</v>
      </c>
      <c r="K356" s="3" t="s">
        <v>15176</v>
      </c>
      <c r="L356" s="13">
        <v>350</v>
      </c>
      <c r="M356" t="str">
        <f>VLOOKUP(L356,[1]Mouse_ARA!$B$2:$C$1328,2,FALSE)</f>
        <v>SLC</v>
      </c>
    </row>
    <row r="357" spans="2:13" x14ac:dyDescent="0.25">
      <c r="B357" s="31" t="s">
        <v>26303</v>
      </c>
      <c r="C357" s="25" t="s">
        <v>26019</v>
      </c>
      <c r="D357" s="25" t="s">
        <v>25817</v>
      </c>
      <c r="E357" s="25"/>
      <c r="F357" s="9" t="str">
        <f t="shared" si="3"/>
        <v>brainstem nucleus</v>
      </c>
      <c r="G357" s="9" t="s">
        <v>637</v>
      </c>
      <c r="H357" s="9" t="s">
        <v>16420</v>
      </c>
      <c r="I357" s="9" t="s">
        <v>775</v>
      </c>
      <c r="J357" s="9" t="s">
        <v>776</v>
      </c>
      <c r="K357" s="3" t="s">
        <v>15176</v>
      </c>
      <c r="L357" s="13">
        <v>362</v>
      </c>
      <c r="M357" t="str">
        <f>VLOOKUP(L357,[1]Mouse_ARA!$B$2:$C$1328,2,FALSE)</f>
        <v>MD</v>
      </c>
    </row>
    <row r="358" spans="2:13" x14ac:dyDescent="0.25">
      <c r="B358" s="31" t="s">
        <v>26303</v>
      </c>
      <c r="C358" s="25" t="s">
        <v>26234</v>
      </c>
      <c r="D358" s="25" t="s">
        <v>25817</v>
      </c>
      <c r="E358" s="25"/>
      <c r="F358" s="9" t="str">
        <f t="shared" si="3"/>
        <v>brainstem nucleus</v>
      </c>
      <c r="G358" s="9" t="s">
        <v>637</v>
      </c>
      <c r="H358" s="9" t="s">
        <v>16194</v>
      </c>
      <c r="I358" s="9" t="s">
        <v>777</v>
      </c>
      <c r="J358" s="9" t="s">
        <v>778</v>
      </c>
      <c r="K358" s="3" t="s">
        <v>15176</v>
      </c>
      <c r="L358" s="13">
        <v>366</v>
      </c>
      <c r="M358" t="str">
        <f>VLOOKUP(L358,[1]Mouse_ARA!$B$2:$C$1328,2,FALSE)</f>
        <v>SMT</v>
      </c>
    </row>
    <row r="359" spans="2:13" x14ac:dyDescent="0.25">
      <c r="B359" s="31" t="s">
        <v>26303</v>
      </c>
      <c r="C359" s="25" t="s">
        <v>3633</v>
      </c>
      <c r="D359" s="25" t="s">
        <v>25817</v>
      </c>
      <c r="E359" s="25"/>
      <c r="F359" s="9" t="str">
        <f t="shared" si="3"/>
        <v>brainstem nucleus</v>
      </c>
      <c r="G359" s="9" t="s">
        <v>637</v>
      </c>
      <c r="H359" s="9" t="s">
        <v>20005</v>
      </c>
      <c r="I359" s="9" t="s">
        <v>779</v>
      </c>
      <c r="J359" s="9" t="s">
        <v>780</v>
      </c>
      <c r="K359" s="3" t="s">
        <v>15176</v>
      </c>
      <c r="L359" s="13">
        <v>38</v>
      </c>
      <c r="M359" t="str">
        <f>VLOOKUP(L359,[1]Mouse_ARA!$B$2:$C$1328,2,FALSE)</f>
        <v>PVH</v>
      </c>
    </row>
    <row r="360" spans="2:13" x14ac:dyDescent="0.25">
      <c r="B360" s="31" t="s">
        <v>26303</v>
      </c>
      <c r="C360" s="25" t="s">
        <v>652</v>
      </c>
      <c r="D360" s="25" t="s">
        <v>25817</v>
      </c>
      <c r="E360" s="25"/>
      <c r="F360" s="9" t="str">
        <f t="shared" si="3"/>
        <v>brainstem nucleus</v>
      </c>
      <c r="G360" s="9" t="s">
        <v>637</v>
      </c>
      <c r="H360" s="9" t="s">
        <v>15324</v>
      </c>
      <c r="I360" s="9" t="s">
        <v>652</v>
      </c>
      <c r="J360" s="9" t="s">
        <v>781</v>
      </c>
      <c r="K360" s="3" t="s">
        <v>15176</v>
      </c>
      <c r="L360" s="13">
        <v>390</v>
      </c>
      <c r="M360" t="str">
        <f>VLOOKUP(L360,[1]Mouse_ARA!$B$2:$C$1328,2,FALSE)</f>
        <v>SO</v>
      </c>
    </row>
    <row r="361" spans="2:13" x14ac:dyDescent="0.25">
      <c r="B361" s="31" t="s">
        <v>26303</v>
      </c>
      <c r="C361" s="25" t="s">
        <v>782</v>
      </c>
      <c r="D361" s="25" t="s">
        <v>25817</v>
      </c>
      <c r="E361" s="25"/>
      <c r="F361" s="9" t="str">
        <f t="shared" si="3"/>
        <v>brainstem nucleus</v>
      </c>
      <c r="G361" s="9" t="s">
        <v>637</v>
      </c>
      <c r="H361" s="9" t="s">
        <v>19893</v>
      </c>
      <c r="I361" s="9" t="s">
        <v>782</v>
      </c>
      <c r="J361" s="9" t="s">
        <v>783</v>
      </c>
      <c r="K361" s="3" t="s">
        <v>15176</v>
      </c>
      <c r="L361" s="13">
        <v>406</v>
      </c>
      <c r="M361" t="str">
        <f>VLOOKUP(L361,[1]Mouse_ARA!$B$2:$C$1328,2,FALSE)</f>
        <v>SPF</v>
      </c>
    </row>
    <row r="362" spans="2:13" x14ac:dyDescent="0.25">
      <c r="B362" s="31" t="s">
        <v>26303</v>
      </c>
      <c r="C362" s="25" t="s">
        <v>25873</v>
      </c>
      <c r="D362" s="25" t="s">
        <v>25817</v>
      </c>
      <c r="E362" s="25"/>
      <c r="F362" s="9" t="str">
        <f t="shared" si="3"/>
        <v>brainstem nucleus</v>
      </c>
      <c r="G362" s="9" t="s">
        <v>637</v>
      </c>
      <c r="H362" s="9" t="s">
        <v>20003</v>
      </c>
      <c r="I362" s="9" t="s">
        <v>784</v>
      </c>
      <c r="J362" s="9" t="s">
        <v>785</v>
      </c>
      <c r="K362" s="3" t="s">
        <v>15176</v>
      </c>
      <c r="L362" s="13">
        <v>432</v>
      </c>
      <c r="M362" t="str">
        <f>VLOOKUP(L362,[1]Mouse_ARA!$B$2:$C$1328,2,FALSE)</f>
        <v>NC</v>
      </c>
    </row>
    <row r="363" spans="2:13" x14ac:dyDescent="0.25">
      <c r="B363" s="31" t="s">
        <v>26303</v>
      </c>
      <c r="C363" s="25" t="s">
        <v>786</v>
      </c>
      <c r="D363" s="25" t="s">
        <v>25817</v>
      </c>
      <c r="E363" s="25"/>
      <c r="F363" s="9" t="str">
        <f t="shared" si="3"/>
        <v>brainstem nucleus</v>
      </c>
      <c r="G363" s="9" t="s">
        <v>637</v>
      </c>
      <c r="H363" s="9" t="s">
        <v>20051</v>
      </c>
      <c r="I363" s="9" t="s">
        <v>786</v>
      </c>
      <c r="J363" s="9" t="s">
        <v>787</v>
      </c>
      <c r="K363" s="3" t="s">
        <v>15176</v>
      </c>
      <c r="L363" s="13">
        <v>452</v>
      </c>
      <c r="M363" t="str">
        <f>VLOOKUP(L363,[1]Mouse_ARA!$B$2:$C$1328,2,FALSE)</f>
        <v>MEPO</v>
      </c>
    </row>
    <row r="364" spans="2:13" x14ac:dyDescent="0.25">
      <c r="B364" s="31" t="s">
        <v>26303</v>
      </c>
      <c r="C364" s="25" t="s">
        <v>788</v>
      </c>
      <c r="D364" s="25" t="s">
        <v>25817</v>
      </c>
      <c r="E364" s="25"/>
      <c r="F364" s="9" t="str">
        <f t="shared" si="3"/>
        <v>brainstem nucleus</v>
      </c>
      <c r="G364" s="9" t="s">
        <v>637</v>
      </c>
      <c r="H364" s="9" t="s">
        <v>20151</v>
      </c>
      <c r="I364" s="9" t="s">
        <v>788</v>
      </c>
      <c r="J364" s="9" t="s">
        <v>789</v>
      </c>
      <c r="K364" s="3" t="s">
        <v>15176</v>
      </c>
      <c r="L364" s="13">
        <v>470</v>
      </c>
      <c r="M364" t="str">
        <f>VLOOKUP(L364,[1]Mouse_ARA!$B$2:$C$1328,2,FALSE)</f>
        <v>STN</v>
      </c>
    </row>
    <row r="365" spans="2:13" x14ac:dyDescent="0.25">
      <c r="B365" s="31" t="s">
        <v>26303</v>
      </c>
      <c r="C365" s="25" t="s">
        <v>668</v>
      </c>
      <c r="D365" s="25" t="s">
        <v>25817</v>
      </c>
      <c r="E365" s="25"/>
      <c r="F365" s="9" t="str">
        <f t="shared" si="3"/>
        <v>brainstem nucleus</v>
      </c>
      <c r="G365" s="9" t="s">
        <v>637</v>
      </c>
      <c r="H365" s="9" t="s">
        <v>17922</v>
      </c>
      <c r="I365" s="9" t="s">
        <v>790</v>
      </c>
      <c r="J365" s="9" t="s">
        <v>791</v>
      </c>
      <c r="K365" s="3" t="s">
        <v>15176</v>
      </c>
      <c r="L365" s="13">
        <v>483</v>
      </c>
      <c r="M365" t="str">
        <f>VLOOKUP(L365,[1]Mouse_ARA!$B$2:$C$1328,2,FALSE)</f>
        <v>MH</v>
      </c>
    </row>
    <row r="366" spans="2:13" x14ac:dyDescent="0.25">
      <c r="B366" s="31" t="s">
        <v>26303</v>
      </c>
      <c r="C366" s="25" t="s">
        <v>660</v>
      </c>
      <c r="D366" s="25" t="s">
        <v>25817</v>
      </c>
      <c r="E366" s="25"/>
      <c r="F366" s="9" t="str">
        <f t="shared" si="3"/>
        <v>brainstem nucleus</v>
      </c>
      <c r="G366" s="9" t="s">
        <v>637</v>
      </c>
      <c r="H366" s="9" t="s">
        <v>15504</v>
      </c>
      <c r="I366" s="9" t="s">
        <v>660</v>
      </c>
      <c r="J366" s="9" t="s">
        <v>792</v>
      </c>
      <c r="K366" s="3" t="s">
        <v>15176</v>
      </c>
      <c r="L366" s="13">
        <v>491</v>
      </c>
      <c r="M366" t="str">
        <f>VLOOKUP(L366,[1]Mouse_ARA!$B$2:$C$1328,2,FALSE)</f>
        <v>MM</v>
      </c>
    </row>
    <row r="367" spans="2:13" x14ac:dyDescent="0.25">
      <c r="B367" s="31" t="s">
        <v>26303</v>
      </c>
      <c r="C367" s="25" t="s">
        <v>25980</v>
      </c>
      <c r="D367" s="25" t="s">
        <v>25817</v>
      </c>
      <c r="E367" s="25"/>
      <c r="F367" s="9" t="str">
        <f t="shared" si="3"/>
        <v>brainstem nucleus</v>
      </c>
      <c r="G367" s="9" t="s">
        <v>637</v>
      </c>
      <c r="H367" s="9" t="s">
        <v>19965</v>
      </c>
      <c r="I367" s="9" t="s">
        <v>793</v>
      </c>
      <c r="J367" s="9" t="s">
        <v>794</v>
      </c>
      <c r="K367" s="3" t="s">
        <v>15176</v>
      </c>
      <c r="L367" s="13">
        <v>51</v>
      </c>
      <c r="M367" t="str">
        <f>VLOOKUP(L367,[1]Mouse_ARA!$B$2:$C$1328,2,FALSE)</f>
        <v>ILM</v>
      </c>
    </row>
    <row r="368" spans="2:13" x14ac:dyDescent="0.25">
      <c r="B368" s="31" t="s">
        <v>26303</v>
      </c>
      <c r="C368" s="25" t="s">
        <v>650</v>
      </c>
      <c r="D368" s="25" t="s">
        <v>25817</v>
      </c>
      <c r="E368" s="25"/>
      <c r="F368" s="9" t="str">
        <f t="shared" si="3"/>
        <v>brainstem nucleus</v>
      </c>
      <c r="G368" s="9" t="s">
        <v>637</v>
      </c>
      <c r="H368" s="9" t="s">
        <v>20107</v>
      </c>
      <c r="I368" s="9" t="s">
        <v>650</v>
      </c>
      <c r="J368" s="9" t="s">
        <v>795</v>
      </c>
      <c r="K368" s="3" t="s">
        <v>15176</v>
      </c>
      <c r="L368" s="13">
        <v>515</v>
      </c>
      <c r="M368" t="str">
        <f>VLOOKUP(L368,[1]Mouse_ARA!$B$2:$C$1328,2,FALSE)</f>
        <v>MPN</v>
      </c>
    </row>
    <row r="369" spans="2:13" x14ac:dyDescent="0.25">
      <c r="B369" s="31" t="s">
        <v>26303</v>
      </c>
      <c r="C369" s="25" t="s">
        <v>796</v>
      </c>
      <c r="D369" s="25" t="s">
        <v>25817</v>
      </c>
      <c r="E369" s="25"/>
      <c r="F369" s="9" t="str">
        <f t="shared" si="3"/>
        <v>brainstem nucleus</v>
      </c>
      <c r="G369" s="9" t="s">
        <v>637</v>
      </c>
      <c r="H369" s="9" t="s">
        <v>20095</v>
      </c>
      <c r="I369" s="9" t="s">
        <v>796</v>
      </c>
      <c r="J369" s="9" t="s">
        <v>797</v>
      </c>
      <c r="K369" s="3" t="s">
        <v>15176</v>
      </c>
      <c r="L369" s="13">
        <v>525</v>
      </c>
      <c r="M369" t="str">
        <f>VLOOKUP(L369,[1]Mouse_ARA!$B$2:$C$1328,2,FALSE)</f>
        <v>SUM</v>
      </c>
    </row>
    <row r="370" spans="2:13" x14ac:dyDescent="0.25">
      <c r="B370" s="31" t="s">
        <v>26303</v>
      </c>
      <c r="C370" s="25" t="s">
        <v>798</v>
      </c>
      <c r="D370" s="25" t="s">
        <v>25817</v>
      </c>
      <c r="E370" s="25"/>
      <c r="F370" s="9" t="str">
        <f t="shared" si="3"/>
        <v>brainstem nucleus</v>
      </c>
      <c r="G370" s="9" t="s">
        <v>637</v>
      </c>
      <c r="H370" s="9" t="s">
        <v>20101</v>
      </c>
      <c r="I370" s="9" t="s">
        <v>798</v>
      </c>
      <c r="J370" s="9" t="s">
        <v>799</v>
      </c>
      <c r="K370" s="3" t="s">
        <v>15176</v>
      </c>
      <c r="L370" s="13">
        <v>557</v>
      </c>
      <c r="M370" t="str">
        <f>VLOOKUP(L370,[1]Mouse_ARA!$B$2:$C$1328,2,FALSE)</f>
        <v>TM</v>
      </c>
    </row>
    <row r="371" spans="2:13" x14ac:dyDescent="0.25">
      <c r="B371" s="31" t="s">
        <v>26303</v>
      </c>
      <c r="C371" s="25" t="s">
        <v>26046</v>
      </c>
      <c r="D371" s="25" t="s">
        <v>25817</v>
      </c>
      <c r="E371" s="25"/>
      <c r="F371" s="9" t="str">
        <f t="shared" si="3"/>
        <v>brainstem nucleus</v>
      </c>
      <c r="G371" s="9" t="s">
        <v>637</v>
      </c>
      <c r="H371" s="9" t="s">
        <v>19956</v>
      </c>
      <c r="I371" s="9" t="s">
        <v>800</v>
      </c>
      <c r="J371" s="9" t="s">
        <v>801</v>
      </c>
      <c r="K371" s="3" t="s">
        <v>15176</v>
      </c>
      <c r="L371" s="13">
        <v>571</v>
      </c>
      <c r="M371" t="str">
        <f>VLOOKUP(L371,[1]Mouse_ARA!$B$2:$C$1328,2,FALSE)</f>
        <v>MTN</v>
      </c>
    </row>
    <row r="372" spans="2:13" x14ac:dyDescent="0.25">
      <c r="B372" s="31" t="s">
        <v>26303</v>
      </c>
      <c r="C372" s="25" t="s">
        <v>678</v>
      </c>
      <c r="D372" s="25" t="s">
        <v>25817</v>
      </c>
      <c r="E372" s="25"/>
      <c r="F372" s="9" t="str">
        <f t="shared" ref="F372:F398" si="4">HYPERLINK("https://www.ebi.ac.uk/ols/ontologies/uberon/terms?iri=http://purl.obolibrary.org/obo/UBERON_0006331","brainstem nucleus")</f>
        <v>brainstem nucleus</v>
      </c>
      <c r="G372" s="9" t="s">
        <v>637</v>
      </c>
      <c r="H372" s="9" t="s">
        <v>16433</v>
      </c>
      <c r="I372" s="9" t="s">
        <v>802</v>
      </c>
      <c r="J372" s="9" t="s">
        <v>803</v>
      </c>
      <c r="K372" s="3" t="s">
        <v>15176</v>
      </c>
      <c r="L372" s="13">
        <v>575</v>
      </c>
      <c r="M372" t="str">
        <f>VLOOKUP(L372,[1]Mouse_ARA!$B$2:$C$1328,2,FALSE)</f>
        <v>CL</v>
      </c>
    </row>
    <row r="373" spans="2:13" x14ac:dyDescent="0.25">
      <c r="B373" s="31" t="s">
        <v>26303</v>
      </c>
      <c r="C373" s="25" t="s">
        <v>26017</v>
      </c>
      <c r="D373" s="25" t="s">
        <v>25817</v>
      </c>
      <c r="E373" s="25"/>
      <c r="F373" s="9" t="str">
        <f t="shared" si="4"/>
        <v>brainstem nucleus</v>
      </c>
      <c r="G373" s="9" t="s">
        <v>637</v>
      </c>
      <c r="H373" s="9" t="s">
        <v>20263</v>
      </c>
      <c r="I373" s="9" t="s">
        <v>804</v>
      </c>
      <c r="J373" s="9" t="s">
        <v>805</v>
      </c>
      <c r="K373" s="3" t="s">
        <v>15176</v>
      </c>
      <c r="L373" s="13">
        <v>58</v>
      </c>
      <c r="M373" t="str">
        <f>VLOOKUP(L373,[1]Mouse_ARA!$B$2:$C$1328,2,FALSE)</f>
        <v>MT</v>
      </c>
    </row>
    <row r="374" spans="2:13" x14ac:dyDescent="0.25">
      <c r="B374" s="31" t="s">
        <v>26303</v>
      </c>
      <c r="C374" s="25" t="s">
        <v>25831</v>
      </c>
      <c r="D374" s="25" t="s">
        <v>25817</v>
      </c>
      <c r="E374" s="25"/>
      <c r="F374" s="9" t="str">
        <f t="shared" si="4"/>
        <v>brainstem nucleus</v>
      </c>
      <c r="G374" s="9" t="s">
        <v>637</v>
      </c>
      <c r="H374" s="9" t="s">
        <v>16405</v>
      </c>
      <c r="I374" s="9" t="s">
        <v>806</v>
      </c>
      <c r="J374" s="9" t="s">
        <v>807</v>
      </c>
      <c r="K374" s="3" t="s">
        <v>15176</v>
      </c>
      <c r="L374" s="13">
        <v>599</v>
      </c>
      <c r="M374" t="str">
        <f>VLOOKUP(L374,[1]Mouse_ARA!$B$2:$C$1328,2,FALSE)</f>
        <v>CM</v>
      </c>
    </row>
    <row r="375" spans="2:13" x14ac:dyDescent="0.25">
      <c r="B375" s="31" t="s">
        <v>26303</v>
      </c>
      <c r="C375" s="25" t="s">
        <v>26055</v>
      </c>
      <c r="D375" s="25" t="s">
        <v>25817</v>
      </c>
      <c r="E375" s="25"/>
      <c r="F375" s="9" t="str">
        <f t="shared" si="4"/>
        <v>brainstem nucleus</v>
      </c>
      <c r="G375" s="9" t="s">
        <v>637</v>
      </c>
      <c r="H375" s="9" t="s">
        <v>20299</v>
      </c>
      <c r="I375" s="9" t="s">
        <v>808</v>
      </c>
      <c r="J375" s="9" t="s">
        <v>809</v>
      </c>
      <c r="K375" s="3" t="s">
        <v>15176</v>
      </c>
      <c r="L375" s="13">
        <v>612</v>
      </c>
      <c r="M375" t="str">
        <f>VLOOKUP(L375,[1]Mouse_ARA!$B$2:$C$1328,2,FALSE)</f>
        <v>NLL</v>
      </c>
    </row>
    <row r="376" spans="2:13" x14ac:dyDescent="0.25">
      <c r="B376" s="31" t="s">
        <v>26303</v>
      </c>
      <c r="C376" s="20"/>
      <c r="D376" s="25" t="s">
        <v>25817</v>
      </c>
      <c r="E376" s="25" t="s">
        <v>26300</v>
      </c>
      <c r="F376" s="9" t="str">
        <f t="shared" si="4"/>
        <v>brainstem nucleus</v>
      </c>
      <c r="G376" s="9" t="s">
        <v>637</v>
      </c>
      <c r="H376" s="9" t="s">
        <v>20153</v>
      </c>
      <c r="I376" s="9" t="s">
        <v>810</v>
      </c>
      <c r="J376" s="9" t="s">
        <v>811</v>
      </c>
      <c r="K376" s="3" t="s">
        <v>15176</v>
      </c>
      <c r="L376" s="13">
        <v>614</v>
      </c>
      <c r="M376" t="str">
        <f>VLOOKUP(L376,[1]Mouse_ARA!$B$2:$C$1328,2,FALSE)</f>
        <v>TU</v>
      </c>
    </row>
    <row r="377" spans="2:13" x14ac:dyDescent="0.25">
      <c r="B377" s="31" t="s">
        <v>26303</v>
      </c>
      <c r="C377" s="25" t="s">
        <v>26058</v>
      </c>
      <c r="D377" s="25" t="s">
        <v>25817</v>
      </c>
      <c r="E377" s="25"/>
      <c r="F377" s="9" t="str">
        <f t="shared" si="4"/>
        <v>brainstem nucleus</v>
      </c>
      <c r="G377" s="9" t="s">
        <v>637</v>
      </c>
      <c r="H377" s="9" t="s">
        <v>20234</v>
      </c>
      <c r="I377" s="9" t="s">
        <v>812</v>
      </c>
      <c r="J377" s="9" t="s">
        <v>813</v>
      </c>
      <c r="K377" s="3" t="s">
        <v>15176</v>
      </c>
      <c r="L377" s="13">
        <v>628</v>
      </c>
      <c r="M377" t="str">
        <f>VLOOKUP(L377,[1]Mouse_ARA!$B$2:$C$1328,2,FALSE)</f>
        <v>NOT</v>
      </c>
    </row>
    <row r="378" spans="2:13" x14ac:dyDescent="0.25">
      <c r="B378" s="31" t="s">
        <v>26303</v>
      </c>
      <c r="C378" s="25" t="s">
        <v>26271</v>
      </c>
      <c r="D378" s="25" t="s">
        <v>25817</v>
      </c>
      <c r="E378" s="25"/>
      <c r="F378" s="9" t="str">
        <f t="shared" si="4"/>
        <v>brainstem nucleus</v>
      </c>
      <c r="G378" s="9" t="s">
        <v>637</v>
      </c>
      <c r="H378" s="9" t="s">
        <v>19879</v>
      </c>
      <c r="I378" s="9" t="s">
        <v>814</v>
      </c>
      <c r="J378" s="9" t="s">
        <v>815</v>
      </c>
      <c r="K378" s="3" t="s">
        <v>15176</v>
      </c>
      <c r="L378" s="13">
        <v>637</v>
      </c>
      <c r="M378" t="str">
        <f>VLOOKUP(L378,[1]Mouse_ARA!$B$2:$C$1328,2,FALSE)</f>
        <v>VENT</v>
      </c>
    </row>
    <row r="379" spans="2:13" x14ac:dyDescent="0.25">
      <c r="B379" s="31" t="s">
        <v>26303</v>
      </c>
      <c r="C379" s="25" t="s">
        <v>442</v>
      </c>
      <c r="D379" s="25" t="s">
        <v>25817</v>
      </c>
      <c r="E379" s="25"/>
      <c r="F379" s="9" t="str">
        <f t="shared" si="4"/>
        <v>brainstem nucleus</v>
      </c>
      <c r="G379" s="9" t="s">
        <v>637</v>
      </c>
      <c r="H379" s="9" t="s">
        <v>16436</v>
      </c>
      <c r="I379" s="9" t="s">
        <v>444</v>
      </c>
      <c r="J379" s="9" t="s">
        <v>448</v>
      </c>
      <c r="K379" s="3" t="s">
        <v>15176</v>
      </c>
      <c r="L379" s="13">
        <v>64</v>
      </c>
      <c r="M379" t="str">
        <f>VLOOKUP(L379,[1]Mouse_ARA!$B$2:$C$1328,2,FALSE)</f>
        <v>AD</v>
      </c>
    </row>
    <row r="380" spans="2:13" x14ac:dyDescent="0.25">
      <c r="B380" s="31" t="s">
        <v>26303</v>
      </c>
      <c r="C380" s="25" t="s">
        <v>25985</v>
      </c>
      <c r="D380" s="25" t="s">
        <v>25817</v>
      </c>
      <c r="E380" s="25"/>
      <c r="F380" s="9" t="str">
        <f t="shared" si="4"/>
        <v>brainstem nucleus</v>
      </c>
      <c r="G380" s="9" t="s">
        <v>637</v>
      </c>
      <c r="H380" s="9" t="s">
        <v>20260</v>
      </c>
      <c r="I380" s="9" t="s">
        <v>816</v>
      </c>
      <c r="J380" s="9" t="s">
        <v>817</v>
      </c>
      <c r="K380" s="3" t="s">
        <v>15176</v>
      </c>
      <c r="L380" s="13">
        <v>66</v>
      </c>
      <c r="M380" t="str">
        <f>VLOOKUP(L380,[1]Mouse_ARA!$B$2:$C$1328,2,FALSE)</f>
        <v>LT</v>
      </c>
    </row>
    <row r="381" spans="2:13" x14ac:dyDescent="0.25">
      <c r="B381" s="31" t="s">
        <v>26303</v>
      </c>
      <c r="C381" s="25" t="s">
        <v>26285</v>
      </c>
      <c r="D381" s="25" t="s">
        <v>25817</v>
      </c>
      <c r="E381" s="25"/>
      <c r="F381" s="9" t="str">
        <f t="shared" si="4"/>
        <v>brainstem nucleus</v>
      </c>
      <c r="G381" s="9" t="s">
        <v>637</v>
      </c>
      <c r="H381" s="9" t="s">
        <v>15403</v>
      </c>
      <c r="I381" s="9" t="s">
        <v>656</v>
      </c>
      <c r="J381" s="9" t="s">
        <v>818</v>
      </c>
      <c r="K381" s="3" t="s">
        <v>15176</v>
      </c>
      <c r="L381" s="13">
        <v>693</v>
      </c>
      <c r="M381" t="str">
        <f>VLOOKUP(L381,[1]Mouse_ARA!$B$2:$C$1328,2,FALSE)</f>
        <v>VMH</v>
      </c>
    </row>
    <row r="382" spans="2:13" x14ac:dyDescent="0.25">
      <c r="B382" s="31" t="s">
        <v>26303</v>
      </c>
      <c r="C382" s="25" t="s">
        <v>706</v>
      </c>
      <c r="D382" s="25" t="s">
        <v>25817</v>
      </c>
      <c r="E382" s="25"/>
      <c r="F382" s="9" t="str">
        <f t="shared" si="4"/>
        <v>brainstem nucleus</v>
      </c>
      <c r="G382" s="9" t="s">
        <v>637</v>
      </c>
      <c r="H382" s="9" t="s">
        <v>20238</v>
      </c>
      <c r="I382" s="9" t="s">
        <v>706</v>
      </c>
      <c r="J382" s="9" t="s">
        <v>819</v>
      </c>
      <c r="K382" s="3" t="s">
        <v>15176</v>
      </c>
      <c r="L382" s="13">
        <v>706</v>
      </c>
      <c r="M382" t="str">
        <f>VLOOKUP(L382,[1]Mouse_ARA!$B$2:$C$1328,2,FALSE)</f>
        <v>OP</v>
      </c>
    </row>
    <row r="383" spans="2:13" x14ac:dyDescent="0.25">
      <c r="B383" s="31" t="s">
        <v>26303</v>
      </c>
      <c r="C383" s="25" t="s">
        <v>15071</v>
      </c>
      <c r="D383" s="25" t="s">
        <v>25817</v>
      </c>
      <c r="E383" s="25"/>
      <c r="F383" s="9" t="str">
        <f t="shared" si="4"/>
        <v>brainstem nucleus</v>
      </c>
      <c r="G383" s="9" t="s">
        <v>637</v>
      </c>
      <c r="H383" s="9" t="s">
        <v>19884</v>
      </c>
      <c r="I383" s="9" t="s">
        <v>820</v>
      </c>
      <c r="J383" s="9" t="s">
        <v>821</v>
      </c>
      <c r="K383" s="3" t="s">
        <v>15176</v>
      </c>
      <c r="L383" s="13">
        <v>709</v>
      </c>
      <c r="M383" t="str">
        <f>VLOOKUP(L383,[1]Mouse_ARA!$B$2:$C$1328,2,FALSE)</f>
        <v>VP</v>
      </c>
    </row>
    <row r="384" spans="2:13" x14ac:dyDescent="0.25">
      <c r="B384" s="31" t="s">
        <v>26303</v>
      </c>
      <c r="C384" s="25" t="s">
        <v>690</v>
      </c>
      <c r="D384" s="25" t="s">
        <v>25817</v>
      </c>
      <c r="E384" s="25"/>
      <c r="F384" s="9" t="str">
        <f t="shared" si="4"/>
        <v>brainstem nucleus</v>
      </c>
      <c r="G384" s="9" t="s">
        <v>637</v>
      </c>
      <c r="H384" s="9" t="s">
        <v>16447</v>
      </c>
      <c r="I384" s="9" t="s">
        <v>822</v>
      </c>
      <c r="J384" s="9" t="s">
        <v>823</v>
      </c>
      <c r="K384" s="3" t="s">
        <v>15176</v>
      </c>
      <c r="L384" s="13">
        <v>718</v>
      </c>
      <c r="M384" t="str">
        <f>VLOOKUP(L384,[1]Mouse_ARA!$B$2:$C$1328,2,FALSE)</f>
        <v>VPL</v>
      </c>
    </row>
    <row r="385" spans="2:13" x14ac:dyDescent="0.25">
      <c r="B385" s="31" t="s">
        <v>26303</v>
      </c>
      <c r="C385" s="25" t="s">
        <v>26276</v>
      </c>
      <c r="D385" s="25" t="s">
        <v>25817</v>
      </c>
      <c r="E385" s="25"/>
      <c r="F385" s="9" t="str">
        <f t="shared" si="4"/>
        <v>brainstem nucleus</v>
      </c>
      <c r="G385" s="9" t="s">
        <v>637</v>
      </c>
      <c r="H385" s="9" t="s">
        <v>16446</v>
      </c>
      <c r="I385" s="9" t="s">
        <v>824</v>
      </c>
      <c r="J385" s="9" t="s">
        <v>825</v>
      </c>
      <c r="K385" s="3" t="s">
        <v>15176</v>
      </c>
      <c r="L385" s="13">
        <v>733</v>
      </c>
      <c r="M385" t="str">
        <f>VLOOKUP(L385,[1]Mouse_ARA!$B$2:$C$1328,2,FALSE)</f>
        <v>VPM</v>
      </c>
    </row>
    <row r="386" spans="2:13" x14ac:dyDescent="0.25">
      <c r="B386" s="31" t="s">
        <v>26303</v>
      </c>
      <c r="C386" s="25" t="s">
        <v>25908</v>
      </c>
      <c r="D386" s="25" t="s">
        <v>25817</v>
      </c>
      <c r="E386" s="25"/>
      <c r="F386" s="9" t="str">
        <f t="shared" si="4"/>
        <v>brainstem nucleus</v>
      </c>
      <c r="G386" s="9" t="s">
        <v>637</v>
      </c>
      <c r="H386" s="9" t="s">
        <v>16771</v>
      </c>
      <c r="I386" s="9" t="s">
        <v>708</v>
      </c>
      <c r="J386" s="9" t="s">
        <v>826</v>
      </c>
      <c r="K386" s="3" t="s">
        <v>15176</v>
      </c>
      <c r="L386" s="13">
        <v>75</v>
      </c>
      <c r="M386" t="str">
        <f>VLOOKUP(L386,[1]Mouse_ARA!$B$2:$C$1328,2,FALSE)</f>
        <v>DT</v>
      </c>
    </row>
    <row r="387" spans="2:13" x14ac:dyDescent="0.25">
      <c r="B387" s="31" t="s">
        <v>26303</v>
      </c>
      <c r="C387" s="25" t="s">
        <v>827</v>
      </c>
      <c r="D387" s="25" t="s">
        <v>25817</v>
      </c>
      <c r="E387" s="25"/>
      <c r="F387" s="9" t="str">
        <f t="shared" si="4"/>
        <v>brainstem nucleus</v>
      </c>
      <c r="G387" s="9" t="s">
        <v>637</v>
      </c>
      <c r="H387" s="9" t="s">
        <v>20155</v>
      </c>
      <c r="I387" s="9" t="s">
        <v>827</v>
      </c>
      <c r="J387" s="9" t="s">
        <v>828</v>
      </c>
      <c r="K387" s="3" t="s">
        <v>15176</v>
      </c>
      <c r="L387" s="13">
        <v>797</v>
      </c>
      <c r="M387" t="str">
        <f>VLOOKUP(L387,[1]Mouse_ARA!$B$2:$C$1328,2,FALSE)</f>
        <v>ZI</v>
      </c>
    </row>
    <row r="388" spans="2:13" x14ac:dyDescent="0.25">
      <c r="B388" s="31" t="s">
        <v>26303</v>
      </c>
      <c r="C388" s="25" t="s">
        <v>987</v>
      </c>
      <c r="D388" s="25" t="s">
        <v>25817</v>
      </c>
      <c r="E388" s="25"/>
      <c r="F388" s="9" t="str">
        <f t="shared" si="4"/>
        <v>brainstem nucleus</v>
      </c>
      <c r="G388" s="9" t="s">
        <v>637</v>
      </c>
      <c r="H388" s="9" t="s">
        <v>20173</v>
      </c>
      <c r="I388" s="9" t="s">
        <v>829</v>
      </c>
      <c r="J388" s="9" t="s">
        <v>830</v>
      </c>
      <c r="K388" s="3" t="s">
        <v>15176</v>
      </c>
      <c r="L388" s="13">
        <v>811</v>
      </c>
      <c r="M388" t="str">
        <f>VLOOKUP(L388,[1]Mouse_ARA!$B$2:$C$1328,2,FALSE)</f>
        <v>ICc</v>
      </c>
    </row>
    <row r="389" spans="2:13" x14ac:dyDescent="0.25">
      <c r="B389" s="31" t="s">
        <v>26303</v>
      </c>
      <c r="C389" s="25" t="s">
        <v>987</v>
      </c>
      <c r="D389" s="25" t="s">
        <v>25817</v>
      </c>
      <c r="E389" s="25"/>
      <c r="F389" s="9" t="str">
        <f t="shared" si="4"/>
        <v>brainstem nucleus</v>
      </c>
      <c r="G389" s="9" t="s">
        <v>637</v>
      </c>
      <c r="H389" s="9" t="s">
        <v>20175</v>
      </c>
      <c r="I389" s="9" t="s">
        <v>831</v>
      </c>
      <c r="J389" s="9" t="s">
        <v>832</v>
      </c>
      <c r="K389" s="3" t="s">
        <v>15176</v>
      </c>
      <c r="L389" s="13">
        <v>820</v>
      </c>
      <c r="M389" t="str">
        <f>VLOOKUP(L389,[1]Mouse_ARA!$B$2:$C$1328,2,FALSE)</f>
        <v>ICd</v>
      </c>
    </row>
    <row r="390" spans="2:13" x14ac:dyDescent="0.25">
      <c r="B390" s="31" t="s">
        <v>26303</v>
      </c>
      <c r="C390" s="25" t="s">
        <v>25931</v>
      </c>
      <c r="D390" s="25" t="s">
        <v>25817</v>
      </c>
      <c r="E390" s="25"/>
      <c r="F390" s="9" t="str">
        <f t="shared" si="4"/>
        <v>brainstem nucleus</v>
      </c>
      <c r="G390" s="9" t="s">
        <v>637</v>
      </c>
      <c r="H390" s="9" t="s">
        <v>20177</v>
      </c>
      <c r="I390" s="9" t="s">
        <v>833</v>
      </c>
      <c r="J390" s="9" t="s">
        <v>834</v>
      </c>
      <c r="K390" s="3" t="s">
        <v>15176</v>
      </c>
      <c r="L390" s="13">
        <v>828</v>
      </c>
      <c r="M390" t="str">
        <f>VLOOKUP(L390,[1]Mouse_ARA!$B$2:$C$1328,2,FALSE)</f>
        <v>ICe</v>
      </c>
    </row>
    <row r="391" spans="2:13" x14ac:dyDescent="0.25">
      <c r="B391" s="31" t="s">
        <v>26303</v>
      </c>
      <c r="C391" s="25" t="s">
        <v>25926</v>
      </c>
      <c r="D391" s="25" t="s">
        <v>25817</v>
      </c>
      <c r="E391" s="25"/>
      <c r="F391" s="9" t="str">
        <f t="shared" si="4"/>
        <v>brainstem nucleus</v>
      </c>
      <c r="G391" s="9" t="s">
        <v>637</v>
      </c>
      <c r="H391" s="9" t="s">
        <v>20043</v>
      </c>
      <c r="I391" s="9" t="s">
        <v>835</v>
      </c>
      <c r="J391" s="9" t="s">
        <v>836</v>
      </c>
      <c r="K391" s="3" t="s">
        <v>15176</v>
      </c>
      <c r="L391" s="13">
        <v>830</v>
      </c>
      <c r="M391" t="str">
        <f>VLOOKUP(L391,[1]Mouse_ARA!$B$2:$C$1328,2,FALSE)</f>
        <v>DMH</v>
      </c>
    </row>
    <row r="392" spans="2:13" x14ac:dyDescent="0.25">
      <c r="B392" s="31" t="s">
        <v>26303</v>
      </c>
      <c r="C392" s="25" t="s">
        <v>716</v>
      </c>
      <c r="D392" s="25" t="s">
        <v>25817</v>
      </c>
      <c r="E392" s="25"/>
      <c r="F392" s="9" t="str">
        <f t="shared" si="4"/>
        <v>brainstem nucleus</v>
      </c>
      <c r="G392" s="9" t="s">
        <v>637</v>
      </c>
      <c r="H392" s="9" t="s">
        <v>17293</v>
      </c>
      <c r="I392" s="9" t="s">
        <v>716</v>
      </c>
      <c r="J392" s="9" t="s">
        <v>837</v>
      </c>
      <c r="K392" s="3" t="s">
        <v>15176</v>
      </c>
      <c r="L392" s="13">
        <v>874</v>
      </c>
      <c r="M392" t="str">
        <f>VLOOKUP(L392,[1]Mouse_ARA!$B$2:$C$1328,2,FALSE)</f>
        <v>PBG</v>
      </c>
    </row>
    <row r="393" spans="2:13" x14ac:dyDescent="0.25">
      <c r="B393" s="31" t="s">
        <v>26303</v>
      </c>
      <c r="C393" s="25" t="s">
        <v>25788</v>
      </c>
      <c r="D393" s="25" t="s">
        <v>25817</v>
      </c>
      <c r="E393" s="25"/>
      <c r="F393" s="9" t="str">
        <f t="shared" si="4"/>
        <v>brainstem nucleus</v>
      </c>
      <c r="G393" s="9" t="s">
        <v>637</v>
      </c>
      <c r="H393" s="9" t="s">
        <v>20074</v>
      </c>
      <c r="I393" s="9" t="s">
        <v>363</v>
      </c>
      <c r="J393" s="9" t="s">
        <v>367</v>
      </c>
      <c r="K393" s="3" t="s">
        <v>15176</v>
      </c>
      <c r="L393" s="13">
        <v>88</v>
      </c>
      <c r="M393" t="str">
        <f>VLOOKUP(L393,[1]Mouse_ARA!$B$2:$C$1328,2,FALSE)</f>
        <v>AHN</v>
      </c>
    </row>
    <row r="394" spans="2:13" x14ac:dyDescent="0.25">
      <c r="B394" s="31" t="s">
        <v>26303</v>
      </c>
      <c r="C394" s="25" t="s">
        <v>676</v>
      </c>
      <c r="D394" s="25" t="s">
        <v>25817</v>
      </c>
      <c r="E394" s="25"/>
      <c r="F394" s="9" t="str">
        <f t="shared" si="4"/>
        <v>brainstem nucleus</v>
      </c>
      <c r="G394" s="9" t="s">
        <v>637</v>
      </c>
      <c r="H394" s="9" t="s">
        <v>19970</v>
      </c>
      <c r="I394" s="9" t="s">
        <v>676</v>
      </c>
      <c r="J394" s="9" t="s">
        <v>838</v>
      </c>
      <c r="K394" s="3" t="s">
        <v>15176</v>
      </c>
      <c r="L394" s="13">
        <v>907</v>
      </c>
      <c r="M394" t="str">
        <f>VLOOKUP(L394,[1]Mouse_ARA!$B$2:$C$1328,2,FALSE)</f>
        <v>PCN</v>
      </c>
    </row>
    <row r="395" spans="2:13" x14ac:dyDescent="0.25">
      <c r="B395" s="31" t="s">
        <v>26303</v>
      </c>
      <c r="C395" s="25" t="s">
        <v>698</v>
      </c>
      <c r="D395" s="25" t="s">
        <v>25817</v>
      </c>
      <c r="E395" s="25"/>
      <c r="F395" s="9" t="str">
        <f t="shared" si="4"/>
        <v>brainstem nucleus</v>
      </c>
      <c r="G395" s="9" t="s">
        <v>637</v>
      </c>
      <c r="H395" s="9" t="s">
        <v>16467</v>
      </c>
      <c r="I395" s="9" t="s">
        <v>698</v>
      </c>
      <c r="J395" s="9" t="s">
        <v>839</v>
      </c>
      <c r="K395" s="3" t="s">
        <v>15176</v>
      </c>
      <c r="L395" s="13">
        <v>930</v>
      </c>
      <c r="M395" t="str">
        <f>VLOOKUP(L395,[1]Mouse_ARA!$B$2:$C$1328,2,FALSE)</f>
        <v>PF</v>
      </c>
    </row>
    <row r="396" spans="2:13" x14ac:dyDescent="0.25">
      <c r="B396" s="31" t="s">
        <v>26303</v>
      </c>
      <c r="C396" s="25" t="s">
        <v>26139</v>
      </c>
      <c r="D396" s="25" t="s">
        <v>25817</v>
      </c>
      <c r="E396" s="25"/>
      <c r="F396" s="9" t="str">
        <f t="shared" si="4"/>
        <v>brainstem nucleus</v>
      </c>
      <c r="G396" s="9" t="s">
        <v>637</v>
      </c>
      <c r="H396" s="9" t="s">
        <v>17577</v>
      </c>
      <c r="I396" s="9" t="s">
        <v>840</v>
      </c>
      <c r="J396" s="9" t="s">
        <v>841</v>
      </c>
      <c r="K396" s="3" t="s">
        <v>15176</v>
      </c>
      <c r="L396" s="13">
        <v>946</v>
      </c>
      <c r="M396" t="str">
        <f>VLOOKUP(L396,[1]Mouse_ARA!$B$2:$C$1328,2,FALSE)</f>
        <v>PH</v>
      </c>
    </row>
    <row r="397" spans="2:13" x14ac:dyDescent="0.25">
      <c r="B397" s="31" t="s">
        <v>26303</v>
      </c>
      <c r="C397" s="25" t="s">
        <v>658</v>
      </c>
      <c r="D397" s="25" t="s">
        <v>25817</v>
      </c>
      <c r="E397" s="25"/>
      <c r="F397" s="9" t="str">
        <f t="shared" si="4"/>
        <v>brainstem nucleus</v>
      </c>
      <c r="G397" s="9" t="s">
        <v>637</v>
      </c>
      <c r="H397" s="9" t="s">
        <v>20115</v>
      </c>
      <c r="I397" s="9" t="s">
        <v>658</v>
      </c>
      <c r="J397" s="9" t="s">
        <v>842</v>
      </c>
      <c r="K397" s="3" t="s">
        <v>15176</v>
      </c>
      <c r="L397" s="13">
        <v>980</v>
      </c>
      <c r="M397" t="str">
        <f>VLOOKUP(L397,[1]Mouse_ARA!$B$2:$C$1328,2,FALSE)</f>
        <v>PMd</v>
      </c>
    </row>
    <row r="398" spans="2:13" x14ac:dyDescent="0.25">
      <c r="B398" s="31" t="s">
        <v>26303</v>
      </c>
      <c r="C398" s="25" t="s">
        <v>843</v>
      </c>
      <c r="D398" s="25" t="s">
        <v>25817</v>
      </c>
      <c r="E398" s="25"/>
      <c r="F398" s="9" t="str">
        <f t="shared" si="4"/>
        <v>brainstem nucleus</v>
      </c>
      <c r="G398" s="9" t="s">
        <v>637</v>
      </c>
      <c r="H398" s="9" t="s">
        <v>20714</v>
      </c>
      <c r="I398" s="9" t="s">
        <v>843</v>
      </c>
      <c r="J398" s="9" t="s">
        <v>844</v>
      </c>
      <c r="K398" s="3" t="s">
        <v>15176</v>
      </c>
      <c r="L398" s="13">
        <v>989</v>
      </c>
      <c r="M398" t="str">
        <f>VLOOKUP(L398,[1]Mouse_ARA!$B$2:$C$1328,2,FALSE)</f>
        <v>FN</v>
      </c>
    </row>
    <row r="399" spans="2:13" x14ac:dyDescent="0.25">
      <c r="B399" s="37" t="s">
        <v>26303</v>
      </c>
      <c r="C399" s="25" t="s">
        <v>26290</v>
      </c>
      <c r="D399" s="25" t="s">
        <v>25818</v>
      </c>
      <c r="E399" s="25"/>
      <c r="F399" s="9" t="str">
        <f>HYPERLINK("https://www.ebi.ac.uk/ols/ontologies/uberon/terms?iri=http://purl.obolibrary.org/obo/UBERON_0014891","brainstem white matter")</f>
        <v>brainstem white matter</v>
      </c>
      <c r="G399" s="9" t="s">
        <v>845</v>
      </c>
      <c r="H399" s="9" t="s">
        <v>17366</v>
      </c>
      <c r="I399" s="9" t="s">
        <v>846</v>
      </c>
      <c r="J399" s="9" t="s">
        <v>847</v>
      </c>
      <c r="K399" s="5" t="s">
        <v>15173</v>
      </c>
      <c r="L399" s="13">
        <v>16926</v>
      </c>
      <c r="M399" t="str">
        <f>VLOOKUP(L399,[1]DevMouse!$B$2:$C$2693,2,FALSE)</f>
        <v>CbHWM</v>
      </c>
    </row>
    <row r="400" spans="2:13" x14ac:dyDescent="0.25">
      <c r="B400" s="31" t="s">
        <v>25743</v>
      </c>
      <c r="C400" s="20"/>
      <c r="D400" s="25" t="s">
        <v>25819</v>
      </c>
      <c r="E400" s="25"/>
      <c r="F400" s="9" t="str">
        <f>HYPERLINK("https://www.ebi.ac.uk/ols/ontologies/uberon/terms?iri=http://purl.obolibrary.org/obo/UBERON_0035970","calcar avis of the lateral ventricle")</f>
        <v>calcar avis of the lateral ventricle</v>
      </c>
      <c r="G400" s="9" t="s">
        <v>848</v>
      </c>
      <c r="H400" s="9" t="s">
        <v>23882</v>
      </c>
      <c r="I400" s="9" t="s">
        <v>849</v>
      </c>
      <c r="J400" s="9" t="s">
        <v>850</v>
      </c>
      <c r="K400" s="4" t="s">
        <v>15175</v>
      </c>
      <c r="L400" s="13">
        <v>12095</v>
      </c>
      <c r="M400" t="str">
        <f>VLOOKUP(L400,[1]Human_BrainSpan!$B$2:$C$4000,2,FALSE)</f>
        <v>CalA</v>
      </c>
    </row>
    <row r="401" spans="2:13" x14ac:dyDescent="0.25">
      <c r="B401" s="31" t="s">
        <v>25743</v>
      </c>
      <c r="C401" s="20"/>
      <c r="D401" s="25" t="s">
        <v>854</v>
      </c>
      <c r="E401" s="25"/>
      <c r="F401" s="9" t="str">
        <f>HYPERLINK("https://www.ebi.ac.uk/ols/ontologies/uberon/terms?iri=http://purl.obolibrary.org/obo/UBERON_0002586","calcarine sulcus")</f>
        <v>calcarine sulcus</v>
      </c>
      <c r="G401" s="9" t="s">
        <v>851</v>
      </c>
      <c r="H401" s="9" t="s">
        <v>23693</v>
      </c>
      <c r="I401" s="9" t="s">
        <v>852</v>
      </c>
      <c r="J401" s="9" t="s">
        <v>853</v>
      </c>
      <c r="K401" s="4" t="s">
        <v>15175</v>
      </c>
      <c r="L401" s="13">
        <v>10612</v>
      </c>
      <c r="M401" t="str">
        <f>VLOOKUP(L401,[1]Human_BrainSpan!$B$2:$C$4000,2,FALSE)</f>
        <v>cas</v>
      </c>
    </row>
    <row r="402" spans="2:13" x14ac:dyDescent="0.25">
      <c r="B402" s="31" t="s">
        <v>25743</v>
      </c>
      <c r="C402" s="20"/>
      <c r="D402" s="25" t="s">
        <v>854</v>
      </c>
      <c r="E402" s="25"/>
      <c r="F402" s="9" t="str">
        <f>HYPERLINK("https://www.ebi.ac.uk/ols/ontologies/uberon/terms?iri=http://purl.obolibrary.org/obo/UBERON_0002586","calcarine sulcus")</f>
        <v>calcarine sulcus</v>
      </c>
      <c r="G402" s="9" t="s">
        <v>851</v>
      </c>
      <c r="H402" s="9" t="s">
        <v>20826</v>
      </c>
      <c r="I402" s="9" t="s">
        <v>854</v>
      </c>
      <c r="J402" s="9" t="s">
        <v>855</v>
      </c>
      <c r="K402" s="7" t="s">
        <v>15171</v>
      </c>
      <c r="L402" s="13">
        <v>9391</v>
      </c>
      <c r="M402" t="str">
        <f>VLOOKUP(L402,[1]HBA!$B$2:$C$4000,2,FALSE)</f>
        <v>ccs</v>
      </c>
    </row>
    <row r="403" spans="2:13" x14ac:dyDescent="0.25">
      <c r="B403" s="31" t="s">
        <v>25743</v>
      </c>
      <c r="C403" s="20"/>
      <c r="D403" s="25" t="s">
        <v>857</v>
      </c>
      <c r="E403" s="25"/>
      <c r="F403" s="9" t="str">
        <f>HYPERLINK("https://www.ebi.ac.uk/ols/ontologies/uberon/terms?iri=http://purl.obolibrary.org/obo/UBERON_0002920","callosal sulcus")</f>
        <v>callosal sulcus</v>
      </c>
      <c r="G403" s="9" t="s">
        <v>856</v>
      </c>
      <c r="H403" s="9" t="s">
        <v>23698</v>
      </c>
      <c r="I403" s="9" t="s">
        <v>857</v>
      </c>
      <c r="J403" s="9" t="s">
        <v>858</v>
      </c>
      <c r="K403" s="4" t="s">
        <v>15175</v>
      </c>
      <c r="L403" s="13">
        <v>10613</v>
      </c>
      <c r="M403" t="str">
        <f>VLOOKUP(L403,[1]Human_BrainSpan!$B$2:$C$4000,2,FALSE)</f>
        <v>cals</v>
      </c>
    </row>
    <row r="404" spans="2:13" x14ac:dyDescent="0.25">
      <c r="B404" s="31" t="s">
        <v>25743</v>
      </c>
      <c r="C404" s="20"/>
      <c r="D404" s="25" t="s">
        <v>857</v>
      </c>
      <c r="E404" s="25"/>
      <c r="F404" s="9" t="str">
        <f>HYPERLINK("https://www.ebi.ac.uk/ols/ontologies/uberon/terms?iri=http://purl.obolibrary.org/obo/UBERON_0002920","callosal sulcus")</f>
        <v>callosal sulcus</v>
      </c>
      <c r="G404" s="9" t="s">
        <v>856</v>
      </c>
      <c r="H404" s="9" t="s">
        <v>23693</v>
      </c>
      <c r="I404" s="9" t="s">
        <v>857</v>
      </c>
      <c r="J404" s="9" t="s">
        <v>859</v>
      </c>
      <c r="K404" s="7" t="s">
        <v>15171</v>
      </c>
      <c r="L404" s="13">
        <v>9404</v>
      </c>
      <c r="M404" t="str">
        <f>VLOOKUP(L404,[1]HBA!$B$2:$C$4000,2,FALSE)</f>
        <v>cas</v>
      </c>
    </row>
    <row r="405" spans="2:13" x14ac:dyDescent="0.25">
      <c r="B405" s="31" t="s">
        <v>25743</v>
      </c>
      <c r="C405" s="20"/>
      <c r="D405" s="25" t="s">
        <v>861</v>
      </c>
      <c r="E405" s="25"/>
      <c r="F405" s="9" t="str">
        <f>HYPERLINK("https://www.ebi.ac.uk/ols/ontologies/uberon/terms?iri=http://purl.obolibrary.org/obo/UBERON_0034780","caudal CA1")</f>
        <v>caudal CA1</v>
      </c>
      <c r="G405" s="9" t="s">
        <v>860</v>
      </c>
      <c r="H405" s="9" t="s">
        <v>23039</v>
      </c>
      <c r="I405" s="9" t="s">
        <v>861</v>
      </c>
      <c r="J405" s="9" t="s">
        <v>862</v>
      </c>
      <c r="K405" s="4" t="s">
        <v>15175</v>
      </c>
      <c r="L405" s="13">
        <v>11280</v>
      </c>
      <c r="M405" t="str">
        <f>VLOOKUP(L405,[1]Human_BrainSpan!$B$2:$C$4000,2,FALSE)</f>
        <v>CA1C</v>
      </c>
    </row>
    <row r="406" spans="2:13" x14ac:dyDescent="0.25">
      <c r="B406" s="31" t="s">
        <v>25743</v>
      </c>
      <c r="C406" s="20"/>
      <c r="D406" s="25" t="s">
        <v>864</v>
      </c>
      <c r="E406" s="25"/>
      <c r="F406" s="9" t="str">
        <f>HYPERLINK("https://www.ebi.ac.uk/ols/ontologies/uberon/terms?iri=http://purl.obolibrary.org/obo/UBERON_0034781","caudal CA2")</f>
        <v>caudal CA2</v>
      </c>
      <c r="G406" s="9" t="s">
        <v>863</v>
      </c>
      <c r="H406" s="9" t="s">
        <v>23060</v>
      </c>
      <c r="I406" s="9" t="s">
        <v>864</v>
      </c>
      <c r="J406" s="9" t="s">
        <v>865</v>
      </c>
      <c r="K406" s="4" t="s">
        <v>15175</v>
      </c>
      <c r="L406" s="13">
        <v>11290</v>
      </c>
      <c r="M406" t="str">
        <f>VLOOKUP(L406,[1]Human_BrainSpan!$B$2:$C$4000,2,FALSE)</f>
        <v>CA2C</v>
      </c>
    </row>
    <row r="407" spans="2:13" x14ac:dyDescent="0.25">
      <c r="B407" s="31" t="s">
        <v>25743</v>
      </c>
      <c r="C407" s="20"/>
      <c r="D407" s="25" t="s">
        <v>867</v>
      </c>
      <c r="E407" s="25"/>
      <c r="F407" s="9" t="str">
        <f>HYPERLINK("https://www.ebi.ac.uk/ols/ontologies/uberon/terms?iri=http://purl.obolibrary.org/obo/UBERON_0034782","caudal CA3")</f>
        <v>caudal CA3</v>
      </c>
      <c r="G407" s="9" t="s">
        <v>866</v>
      </c>
      <c r="H407" s="9" t="s">
        <v>23083</v>
      </c>
      <c r="I407" s="9" t="s">
        <v>867</v>
      </c>
      <c r="J407" s="9" t="s">
        <v>868</v>
      </c>
      <c r="K407" s="4" t="s">
        <v>15175</v>
      </c>
      <c r="L407" s="13">
        <v>11301</v>
      </c>
      <c r="M407" t="str">
        <f>VLOOKUP(L407,[1]Human_BrainSpan!$B$2:$C$4000,2,FALSE)</f>
        <v>CA3C</v>
      </c>
    </row>
    <row r="408" spans="2:13" x14ac:dyDescent="0.25">
      <c r="B408" s="31" t="s">
        <v>25743</v>
      </c>
      <c r="C408" s="20"/>
      <c r="D408" s="25" t="s">
        <v>870</v>
      </c>
      <c r="E408" s="25"/>
      <c r="F408" s="9" t="str">
        <f>HYPERLINK("https://www.ebi.ac.uk/ols/ontologies/uberon/terms?iri=http://purl.obolibrary.org/obo/UBERON_0002957","caudal central oculomotor nucleus")</f>
        <v>caudal central oculomotor nucleus</v>
      </c>
      <c r="G408" s="9" t="s">
        <v>869</v>
      </c>
      <c r="H408" s="9" t="s">
        <v>23926</v>
      </c>
      <c r="I408" s="9" t="s">
        <v>870</v>
      </c>
      <c r="J408" s="9" t="s">
        <v>871</v>
      </c>
      <c r="K408" s="4" t="s">
        <v>15175</v>
      </c>
      <c r="L408" s="13">
        <v>12200</v>
      </c>
      <c r="M408" t="str">
        <f>VLOOKUP(L408,[1]Human_BrainSpan!$B$2:$C$4000,2,FALSE)</f>
        <v>3CC</v>
      </c>
    </row>
    <row r="409" spans="2:13" x14ac:dyDescent="0.25">
      <c r="B409" s="31" t="s">
        <v>25743</v>
      </c>
      <c r="C409" s="20"/>
      <c r="D409" s="25" t="s">
        <v>870</v>
      </c>
      <c r="E409" s="25"/>
      <c r="F409" s="9" t="str">
        <f>HYPERLINK("https://www.ebi.ac.uk/ols/ontologies/uberon/terms?iri=http://purl.obolibrary.org/obo/UBERON_0002957","caudal central oculomotor nucleus")</f>
        <v>caudal central oculomotor nucleus</v>
      </c>
      <c r="G409" s="9" t="s">
        <v>869</v>
      </c>
      <c r="H409" s="9" t="s">
        <v>25284</v>
      </c>
      <c r="I409" s="9" t="s">
        <v>872</v>
      </c>
      <c r="J409" s="9" t="s">
        <v>873</v>
      </c>
      <c r="K409" s="7" t="s">
        <v>15171</v>
      </c>
      <c r="L409" s="13">
        <v>9033</v>
      </c>
      <c r="M409" t="str">
        <f>VLOOKUP(L409,[1]HBA!$B$2:$C$4000,2,FALSE)</f>
        <v>CC3</v>
      </c>
    </row>
    <row r="410" spans="2:13" x14ac:dyDescent="0.25">
      <c r="B410" s="31" t="s">
        <v>25743</v>
      </c>
      <c r="C410" s="20"/>
      <c r="D410" s="25" t="s">
        <v>875</v>
      </c>
      <c r="E410" s="25"/>
      <c r="F410" s="9" t="str">
        <f>HYPERLINK("https://www.ebi.ac.uk/ols/ontologies/uberon/terms?iri=http://purl.obolibrary.org/obo/UBERON_0004026","caudal ganglionic eminence")</f>
        <v>caudal ganglionic eminence</v>
      </c>
      <c r="G410" s="9" t="s">
        <v>874</v>
      </c>
      <c r="H410" s="9" t="s">
        <v>22035</v>
      </c>
      <c r="I410" s="9" t="s">
        <v>875</v>
      </c>
      <c r="J410" s="9" t="s">
        <v>876</v>
      </c>
      <c r="K410" s="4" t="s">
        <v>15175</v>
      </c>
      <c r="L410" s="13">
        <v>10552</v>
      </c>
      <c r="M410" t="str">
        <f>VLOOKUP(L410,[1]Human_BrainSpan!$B$2:$C$4000,2,FALSE)</f>
        <v>CGE</v>
      </c>
    </row>
    <row r="411" spans="2:13" x14ac:dyDescent="0.25">
      <c r="B411" s="31" t="s">
        <v>25743</v>
      </c>
      <c r="C411" s="20"/>
      <c r="D411" s="25" t="s">
        <v>875</v>
      </c>
      <c r="E411" s="25"/>
      <c r="F411" s="9" t="str">
        <f>HYPERLINK("https://www.ebi.ac.uk/ols/ontologies/uberon/terms?iri=http://purl.obolibrary.org/obo/UBERON_0004026","caudal ganglionic eminence")</f>
        <v>caudal ganglionic eminence</v>
      </c>
      <c r="G411" s="9" t="s">
        <v>874</v>
      </c>
      <c r="H411" s="9" t="s">
        <v>22035</v>
      </c>
      <c r="I411" s="9" t="s">
        <v>875</v>
      </c>
      <c r="J411" s="9" t="s">
        <v>877</v>
      </c>
      <c r="K411" s="6" t="s">
        <v>15174</v>
      </c>
      <c r="L411" s="13">
        <v>128012846</v>
      </c>
      <c r="M411" t="str">
        <f>VLOOKUP(L411,[1]NonHumanPrimate!$B$2:$C$4000,2,FALSE)</f>
        <v>CGE</v>
      </c>
    </row>
    <row r="412" spans="2:13" x14ac:dyDescent="0.25">
      <c r="B412" s="31" t="s">
        <v>25743</v>
      </c>
      <c r="C412" s="20"/>
      <c r="D412" s="25" t="s">
        <v>25820</v>
      </c>
      <c r="E412" s="25"/>
      <c r="F412" s="9" t="str">
        <f>HYPERLINK("https://www.ebi.ac.uk/ols/ontologies/uberon/terms?iri=http://purl.obolibrary.org/obo/UBERON_0019295","caudal intralaminar nuclear group")</f>
        <v>caudal intralaminar nuclear group</v>
      </c>
      <c r="G412" s="9" t="s">
        <v>878</v>
      </c>
      <c r="H412" s="9" t="s">
        <v>23387</v>
      </c>
      <c r="I412" s="9" t="s">
        <v>879</v>
      </c>
      <c r="J412" s="9" t="s">
        <v>880</v>
      </c>
      <c r="K412" s="4" t="s">
        <v>15175</v>
      </c>
      <c r="L412" s="13">
        <v>10448</v>
      </c>
      <c r="M412" t="str">
        <f>VLOOKUP(L412,[1]Human_BrainSpan!$B$2:$C$4000,2,FALSE)</f>
        <v>PILN</v>
      </c>
    </row>
    <row r="413" spans="2:13" x14ac:dyDescent="0.25">
      <c r="B413" s="31" t="s">
        <v>25743</v>
      </c>
      <c r="C413" s="20"/>
      <c r="D413" s="25" t="s">
        <v>25820</v>
      </c>
      <c r="E413" s="25"/>
      <c r="F413" s="9" t="str">
        <f>HYPERLINK("https://www.ebi.ac.uk/ols/ontologies/uberon/terms?iri=http://purl.obolibrary.org/obo/UBERON_0019295","caudal intralaminar nuclear group")</f>
        <v>caudal intralaminar nuclear group</v>
      </c>
      <c r="G413" s="9" t="s">
        <v>878</v>
      </c>
      <c r="H413" s="9" t="s">
        <v>25088</v>
      </c>
      <c r="I413" s="9" t="s">
        <v>881</v>
      </c>
      <c r="J413" s="9" t="s">
        <v>882</v>
      </c>
      <c r="K413" s="7" t="s">
        <v>15171</v>
      </c>
      <c r="L413" s="13">
        <v>12921</v>
      </c>
      <c r="M413" t="str">
        <f>VLOOKUP(L413,[1]HBA!$B$2:$C$4000,2,FALSE)</f>
        <v>ILc</v>
      </c>
    </row>
    <row r="414" spans="2:13" x14ac:dyDescent="0.25">
      <c r="B414" s="31" t="s">
        <v>25743</v>
      </c>
      <c r="C414" s="20"/>
      <c r="D414" s="25" t="s">
        <v>25821</v>
      </c>
      <c r="E414" s="25"/>
      <c r="F414" s="9" t="str">
        <f>HYPERLINK("https://www.ebi.ac.uk/ols/ontologies/uberon/terms?iri=http://purl.obolibrary.org/obo/UBERON_0013733","caudal linear nucleus")</f>
        <v>caudal linear nucleus</v>
      </c>
      <c r="G414" s="9" t="s">
        <v>883</v>
      </c>
      <c r="H414" s="9" t="s">
        <v>25312</v>
      </c>
      <c r="I414" s="9" t="s">
        <v>723</v>
      </c>
      <c r="J414" s="9" t="s">
        <v>724</v>
      </c>
      <c r="K414" s="7" t="s">
        <v>15171</v>
      </c>
      <c r="L414" s="13">
        <v>9470</v>
      </c>
      <c r="M414" t="str">
        <f>VLOOKUP(L414,[1]HBA!$B$2:$C$4000,2,FALSE)</f>
        <v>CLN</v>
      </c>
    </row>
    <row r="415" spans="2:13" x14ac:dyDescent="0.25">
      <c r="B415" s="31" t="s">
        <v>25743</v>
      </c>
      <c r="C415" s="20"/>
      <c r="D415" s="25" t="s">
        <v>25822</v>
      </c>
      <c r="E415" s="25"/>
      <c r="F415" s="9" t="str">
        <f>HYPERLINK("https://www.ebi.ac.uk/ols/ontologies/uberon/terms?iri=http://purl.obolibrary.org/obo/UBERON_0002866","caudal part of spinal trigeminal nucleus")</f>
        <v>caudal part of spinal trigeminal nucleus</v>
      </c>
      <c r="G415" s="9" t="s">
        <v>884</v>
      </c>
      <c r="H415" s="9" t="s">
        <v>24406</v>
      </c>
      <c r="I415" s="9" t="s">
        <v>885</v>
      </c>
      <c r="J415" s="9" t="s">
        <v>886</v>
      </c>
      <c r="K415" s="4" t="s">
        <v>15175</v>
      </c>
      <c r="L415" s="13">
        <v>12573</v>
      </c>
      <c r="M415" t="str">
        <f>VLOOKUP(L415,[1]Human_BrainSpan!$B$2:$C$4000,2,FALSE)</f>
        <v>Sp5C</v>
      </c>
    </row>
    <row r="416" spans="2:13" x14ac:dyDescent="0.25">
      <c r="B416" s="31" t="s">
        <v>25743</v>
      </c>
      <c r="C416" s="20"/>
      <c r="D416" s="25" t="s">
        <v>25822</v>
      </c>
      <c r="E416" s="25"/>
      <c r="F416" s="9" t="str">
        <f>HYPERLINK("https://www.ebi.ac.uk/ols/ontologies/uberon/terms?iri=http://purl.obolibrary.org/obo/UBERON_0002866","caudal part of spinal trigeminal nucleus")</f>
        <v>caudal part of spinal trigeminal nucleus</v>
      </c>
      <c r="G416" s="9" t="s">
        <v>884</v>
      </c>
      <c r="H416" s="9" t="s">
        <v>20429</v>
      </c>
      <c r="I416" s="9" t="s">
        <v>887</v>
      </c>
      <c r="J416" s="9" t="s">
        <v>888</v>
      </c>
      <c r="K416" s="3" t="s">
        <v>15176</v>
      </c>
      <c r="L416" s="13">
        <v>429</v>
      </c>
      <c r="M416" t="str">
        <f>VLOOKUP(L416,[1]Mouse_ARA!$B$2:$C$1328,2,FALSE)</f>
        <v>SPVC</v>
      </c>
    </row>
    <row r="417" spans="2:13" x14ac:dyDescent="0.25">
      <c r="B417" s="31" t="s">
        <v>25743</v>
      </c>
      <c r="C417" s="20"/>
      <c r="D417" s="25" t="s">
        <v>25823</v>
      </c>
      <c r="E417" s="25"/>
      <c r="F417" s="9" t="str">
        <f>HYPERLINK("https://www.ebi.ac.uk/ols/ontologies/uberon/terms?iri=http://purl.obolibrary.org/obo/UBERON_0002608","caudal part of ventral lateral nucleus")</f>
        <v>caudal part of ventral lateral nucleus</v>
      </c>
      <c r="G417" s="9" t="s">
        <v>889</v>
      </c>
      <c r="H417" s="9" t="s">
        <v>23330</v>
      </c>
      <c r="I417" s="9" t="s">
        <v>890</v>
      </c>
      <c r="J417" s="9" t="s">
        <v>891</v>
      </c>
      <c r="K417" s="4" t="s">
        <v>15175</v>
      </c>
      <c r="L417" s="13">
        <v>10422</v>
      </c>
      <c r="M417" t="str">
        <f>VLOOKUP(L417,[1]Human_BrainSpan!$B$2:$C$4000,2,FALSE)</f>
        <v>VLC</v>
      </c>
    </row>
    <row r="418" spans="2:13" x14ac:dyDescent="0.25">
      <c r="B418" s="31" t="s">
        <v>25743</v>
      </c>
      <c r="C418" s="20"/>
      <c r="D418" s="25" t="s">
        <v>25824</v>
      </c>
      <c r="E418" s="25"/>
      <c r="F418" s="9" t="str">
        <f>HYPERLINK("https://www.ebi.ac.uk/ols/ontologies/uberon/terms?iri=http://purl.obolibrary.org/obo/UBERON_0002781","caudal part of ventral posterolateral nucleus of thalamus")</f>
        <v>caudal part of ventral posterolateral nucleus of thalamus</v>
      </c>
      <c r="G418" s="9" t="s">
        <v>892</v>
      </c>
      <c r="H418" s="9" t="s">
        <v>23340</v>
      </c>
      <c r="I418" s="9" t="s">
        <v>893</v>
      </c>
      <c r="J418" s="9" t="s">
        <v>894</v>
      </c>
      <c r="K418" s="4" t="s">
        <v>15175</v>
      </c>
      <c r="L418" s="13">
        <v>266441515</v>
      </c>
      <c r="M418" t="str">
        <f>VLOOKUP(L418,[1]Human_BrainSpan!$B$2:$C$4000,2,FALSE)</f>
        <v>VPLc</v>
      </c>
    </row>
    <row r="419" spans="2:13" x14ac:dyDescent="0.25">
      <c r="B419" s="31" t="s">
        <v>25743</v>
      </c>
      <c r="C419" s="20"/>
      <c r="D419" s="25" t="s">
        <v>25825</v>
      </c>
      <c r="E419" s="25"/>
      <c r="F419" s="9" t="str">
        <f>HYPERLINK("https://www.ebi.ac.uk/ols/ontologies/uberon/terms?iri=http://purl.obolibrary.org/obo/UBERON_0002963","caudal pontine reticular nucleus")</f>
        <v>caudal pontine reticular nucleus</v>
      </c>
      <c r="G419" s="9" t="s">
        <v>895</v>
      </c>
      <c r="H419" s="9" t="s">
        <v>24332</v>
      </c>
      <c r="I419" s="9" t="s">
        <v>896</v>
      </c>
      <c r="J419" s="9" t="s">
        <v>897</v>
      </c>
      <c r="K419" s="4" t="s">
        <v>15175</v>
      </c>
      <c r="L419" s="13">
        <v>12493</v>
      </c>
      <c r="M419" t="str">
        <f>VLOOKUP(L419,[1]Human_BrainSpan!$B$2:$C$4000,2,FALSE)</f>
        <v>PnC</v>
      </c>
    </row>
    <row r="420" spans="2:13" x14ac:dyDescent="0.25">
      <c r="B420" s="31" t="s">
        <v>25743</v>
      </c>
      <c r="C420" s="20"/>
      <c r="D420" s="25" t="s">
        <v>25825</v>
      </c>
      <c r="E420" s="25"/>
      <c r="F420" s="9" t="str">
        <f>HYPERLINK("https://www.ebi.ac.uk/ols/ontologies/uberon/terms?iri=http://purl.obolibrary.org/obo/UBERON_0002963","caudal pontine reticular nucleus")</f>
        <v>caudal pontine reticular nucleus</v>
      </c>
      <c r="G420" s="9" t="s">
        <v>895</v>
      </c>
      <c r="H420" s="9" t="s">
        <v>24332</v>
      </c>
      <c r="I420" s="9" t="s">
        <v>898</v>
      </c>
      <c r="J420" s="9" t="s">
        <v>899</v>
      </c>
      <c r="K420" s="7" t="s">
        <v>15171</v>
      </c>
      <c r="L420" s="13">
        <v>9162</v>
      </c>
      <c r="M420" t="str">
        <f>VLOOKUP(L420,[1]HBA!$B$2:$C$4000,2,FALSE)</f>
        <v>PnC</v>
      </c>
    </row>
    <row r="421" spans="2:13" x14ac:dyDescent="0.25">
      <c r="B421" s="31" t="s">
        <v>25743</v>
      </c>
      <c r="C421" s="20"/>
      <c r="D421" s="25" t="s">
        <v>25825</v>
      </c>
      <c r="E421" s="25"/>
      <c r="F421" s="9" t="str">
        <f>HYPERLINK("https://www.ebi.ac.uk/ols/ontologies/uberon/terms?iri=http://purl.obolibrary.org/obo/UBERON_0002963","caudal pontine reticular nucleus")</f>
        <v>caudal pontine reticular nucleus</v>
      </c>
      <c r="G421" s="9" t="s">
        <v>895</v>
      </c>
      <c r="H421" s="9" t="s">
        <v>20350</v>
      </c>
      <c r="I421" s="9" t="s">
        <v>896</v>
      </c>
      <c r="J421" s="9" t="s">
        <v>900</v>
      </c>
      <c r="K421" s="3" t="s">
        <v>15176</v>
      </c>
      <c r="L421" s="13">
        <v>1093</v>
      </c>
      <c r="M421" t="str">
        <f>VLOOKUP(L421,[1]Mouse_ARA!$B$2:$C$1328,2,FALSE)</f>
        <v>PRNc</v>
      </c>
    </row>
    <row r="422" spans="2:13" x14ac:dyDescent="0.25">
      <c r="B422" s="31" t="s">
        <v>25743</v>
      </c>
      <c r="C422" s="20"/>
      <c r="D422" s="25" t="s">
        <v>902</v>
      </c>
      <c r="E422" s="25"/>
      <c r="F422" s="9" t="str">
        <f>HYPERLINK("https://www.ebi.ac.uk/ols/ontologies/uberon/terms?iri=http://purl.obolibrary.org/obo/UBERON_0001873","caudate nucleus")</f>
        <v>caudate nucleus</v>
      </c>
      <c r="G422" s="9" t="s">
        <v>901</v>
      </c>
      <c r="H422" s="9" t="s">
        <v>23241</v>
      </c>
      <c r="I422" s="9" t="s">
        <v>902</v>
      </c>
      <c r="J422" s="9" t="s">
        <v>903</v>
      </c>
      <c r="K422" s="4" t="s">
        <v>15175</v>
      </c>
      <c r="L422" s="13">
        <v>10334</v>
      </c>
      <c r="M422" t="str">
        <f>VLOOKUP(L422,[1]Human_BrainSpan!$B$2:$C$4000,2,FALSE)</f>
        <v>Ca</v>
      </c>
    </row>
    <row r="423" spans="2:13" x14ac:dyDescent="0.25">
      <c r="B423" s="31" t="s">
        <v>25743</v>
      </c>
      <c r="C423" s="20"/>
      <c r="D423" s="25" t="s">
        <v>902</v>
      </c>
      <c r="E423" s="25"/>
      <c r="F423" s="9" t="str">
        <f>HYPERLINK("https://www.ebi.ac.uk/ols/ontologies/uberon/terms?iri=http://purl.obolibrary.org/obo/UBERON_0001873","caudate nucleus")</f>
        <v>caudate nucleus</v>
      </c>
      <c r="G423" s="9" t="s">
        <v>901</v>
      </c>
      <c r="H423" s="9" t="s">
        <v>15643</v>
      </c>
      <c r="I423" s="9" t="s">
        <v>902</v>
      </c>
      <c r="J423" s="9" t="s">
        <v>904</v>
      </c>
      <c r="K423" s="5" t="s">
        <v>15173</v>
      </c>
      <c r="L423" s="13">
        <v>15855</v>
      </c>
      <c r="M423" t="str">
        <f>VLOOKUP(L423,[1]DevMouse!$B$2:$C$2693,2,FALSE)</f>
        <v>Cau</v>
      </c>
    </row>
    <row r="424" spans="2:13" x14ac:dyDescent="0.25">
      <c r="B424" s="31" t="s">
        <v>25743</v>
      </c>
      <c r="C424" s="20"/>
      <c r="D424" s="25" t="s">
        <v>902</v>
      </c>
      <c r="E424" s="25"/>
      <c r="F424" s="9" t="str">
        <f>HYPERLINK("https://www.ebi.ac.uk/ols/ontologies/uberon/terms?iri=http://purl.obolibrary.org/obo/UBERON_0001873","caudate nucleus")</f>
        <v>caudate nucleus</v>
      </c>
      <c r="G424" s="9" t="s">
        <v>901</v>
      </c>
      <c r="H424" s="9" t="s">
        <v>24901</v>
      </c>
      <c r="I424" s="9" t="s">
        <v>902</v>
      </c>
      <c r="J424" s="9" t="s">
        <v>905</v>
      </c>
      <c r="K424" s="7" t="s">
        <v>15171</v>
      </c>
      <c r="L424" s="13">
        <v>4278</v>
      </c>
      <c r="M424" t="str">
        <f>VLOOKUP(L424,[1]HBA!$B$2:$C$4000,2,FALSE)</f>
        <v>Cd</v>
      </c>
    </row>
    <row r="425" spans="2:13" x14ac:dyDescent="0.25">
      <c r="B425" s="31" t="s">
        <v>25743</v>
      </c>
      <c r="C425" s="20"/>
      <c r="D425" s="25" t="s">
        <v>902</v>
      </c>
      <c r="E425" s="25"/>
      <c r="F425" s="9" t="str">
        <f>HYPERLINK("https://www.ebi.ac.uk/ols/ontologies/uberon/terms?iri=http://purl.obolibrary.org/obo/UBERON_0001873","caudate nucleus")</f>
        <v>caudate nucleus</v>
      </c>
      <c r="G425" s="9" t="s">
        <v>901</v>
      </c>
      <c r="H425" s="9" t="s">
        <v>23241</v>
      </c>
      <c r="I425" s="9" t="s">
        <v>902</v>
      </c>
      <c r="J425" s="9" t="s">
        <v>906</v>
      </c>
      <c r="K425" s="6" t="s">
        <v>15174</v>
      </c>
      <c r="L425" s="13">
        <v>10082</v>
      </c>
      <c r="M425" t="str">
        <f>VLOOKUP(L425,[1]NonHumanPrimate!$B$2:$C$4000,2,FALSE)</f>
        <v>Ca</v>
      </c>
    </row>
    <row r="426" spans="2:13" x14ac:dyDescent="0.25">
      <c r="B426" s="31" t="s">
        <v>25743</v>
      </c>
      <c r="C426" s="20"/>
      <c r="D426" s="25" t="s">
        <v>25826</v>
      </c>
      <c r="E426" s="25"/>
      <c r="F426" s="9" t="str">
        <f>HYPERLINK("https://www.ebi.ac.uk/ols/ontologies/uberon/terms?iri=http://purl.obolibrary.org/obo/UBERON_0005383","caudate-putamen")</f>
        <v>caudate-putamen</v>
      </c>
      <c r="G426" s="9" t="s">
        <v>907</v>
      </c>
      <c r="H426" s="9" t="s">
        <v>19744</v>
      </c>
      <c r="I426" s="9" t="s">
        <v>908</v>
      </c>
      <c r="J426" s="9" t="s">
        <v>909</v>
      </c>
      <c r="K426" s="3" t="s">
        <v>15176</v>
      </c>
      <c r="L426" s="13">
        <v>672</v>
      </c>
      <c r="M426" t="str">
        <f>VLOOKUP(L426,[1]Mouse_ARA!$B$2:$C$1328,2,FALSE)</f>
        <v>CP</v>
      </c>
    </row>
    <row r="427" spans="2:13" x14ac:dyDescent="0.25">
      <c r="B427" s="31" t="s">
        <v>25743</v>
      </c>
      <c r="C427" s="20"/>
      <c r="D427" s="25" t="s">
        <v>25827</v>
      </c>
      <c r="E427" s="25"/>
      <c r="F427" s="9" t="str">
        <f>HYPERLINK("https://www.ebi.ac.uk/ols/ontologies/uberon/terms?iri=http://purl.obolibrary.org/obo/UBERON_0009857","cavum septum pellucidum")</f>
        <v>cavum septum pellucidum</v>
      </c>
      <c r="G427" s="9" t="s">
        <v>910</v>
      </c>
      <c r="H427" s="9" t="s">
        <v>23898</v>
      </c>
      <c r="I427" s="9" t="s">
        <v>911</v>
      </c>
      <c r="J427" s="9" t="s">
        <v>912</v>
      </c>
      <c r="K427" s="4" t="s">
        <v>15175</v>
      </c>
      <c r="L427" s="13">
        <v>12099</v>
      </c>
      <c r="M427" t="str">
        <f>VLOOKUP(L427,[1]Human_BrainSpan!$B$2:$C$4000,2,FALSE)</f>
        <v>cpell</v>
      </c>
    </row>
    <row r="428" spans="2:13" x14ac:dyDescent="0.25">
      <c r="B428" s="31" t="s">
        <v>25743</v>
      </c>
      <c r="C428" s="20"/>
      <c r="D428" s="25" t="s">
        <v>920</v>
      </c>
      <c r="E428" s="25"/>
      <c r="F428" s="9" t="str">
        <f>HYPERLINK("https://www.ebi.ac.uk/ols/ontologies/uberon/terms?iri=http://purl.obolibrary.org/obo/UBERON_0002883","central amygdaloid nucleus")</f>
        <v>central amygdaloid nucleus</v>
      </c>
      <c r="G428" s="9" t="s">
        <v>913</v>
      </c>
      <c r="H428" s="9" t="s">
        <v>23152</v>
      </c>
      <c r="I428" s="9" t="s">
        <v>914</v>
      </c>
      <c r="J428" s="9" t="s">
        <v>915</v>
      </c>
      <c r="K428" s="4" t="s">
        <v>15175</v>
      </c>
      <c r="L428" s="13">
        <v>10363</v>
      </c>
      <c r="M428" t="str">
        <f>VLOOKUP(L428,[1]Human_BrainSpan!$B$2:$C$4000,2,FALSE)</f>
        <v>CEN</v>
      </c>
    </row>
    <row r="429" spans="2:13" x14ac:dyDescent="0.25">
      <c r="B429" s="31" t="s">
        <v>25743</v>
      </c>
      <c r="C429" s="20"/>
      <c r="D429" s="25" t="s">
        <v>920</v>
      </c>
      <c r="E429" s="25"/>
      <c r="F429" s="9" t="str">
        <f>HYPERLINK("https://www.ebi.ac.uk/ols/ontologies/uberon/terms?iri=http://purl.obolibrary.org/obo/UBERON_0002883","central amygdaloid nucleus")</f>
        <v>central amygdaloid nucleus</v>
      </c>
      <c r="G429" s="9" t="s">
        <v>913</v>
      </c>
      <c r="H429" s="9" t="s">
        <v>24859</v>
      </c>
      <c r="I429" s="9" t="s">
        <v>916</v>
      </c>
      <c r="J429" s="9" t="s">
        <v>917</v>
      </c>
      <c r="K429" s="7" t="s">
        <v>15171</v>
      </c>
      <c r="L429" s="13">
        <v>4359</v>
      </c>
      <c r="M429" t="str">
        <f>VLOOKUP(L429,[1]HBA!$B$2:$C$4000,2,FALSE)</f>
        <v>CeA</v>
      </c>
    </row>
    <row r="430" spans="2:13" x14ac:dyDescent="0.25">
      <c r="B430" s="31" t="s">
        <v>25743</v>
      </c>
      <c r="C430" s="20"/>
      <c r="D430" s="25" t="s">
        <v>920</v>
      </c>
      <c r="E430" s="25"/>
      <c r="F430" s="9" t="str">
        <f>HYPERLINK("https://www.ebi.ac.uk/ols/ontologies/uberon/terms?iri=http://purl.obolibrary.org/obo/UBERON_0002883","central amygdaloid nucleus")</f>
        <v>central amygdaloid nucleus</v>
      </c>
      <c r="G430" s="9" t="s">
        <v>913</v>
      </c>
      <c r="H430" s="9" t="s">
        <v>19787</v>
      </c>
      <c r="I430" s="9" t="s">
        <v>918</v>
      </c>
      <c r="J430" s="9" t="s">
        <v>919</v>
      </c>
      <c r="K430" s="3" t="s">
        <v>15176</v>
      </c>
      <c r="L430" s="13">
        <v>536</v>
      </c>
      <c r="M430" t="str">
        <f>VLOOKUP(L430,[1]Mouse_ARA!$B$2:$C$1328,2,FALSE)</f>
        <v>CEA</v>
      </c>
    </row>
    <row r="431" spans="2:13" x14ac:dyDescent="0.25">
      <c r="B431" s="31" t="s">
        <v>25743</v>
      </c>
      <c r="C431" s="20"/>
      <c r="D431" s="25" t="s">
        <v>920</v>
      </c>
      <c r="E431" s="25"/>
      <c r="F431" s="9" t="str">
        <f>HYPERLINK("https://www.ebi.ac.uk/ols/ontologies/uberon/terms?iri=http://purl.obolibrary.org/obo/UBERON_0002883","central amygdaloid nucleus")</f>
        <v>central amygdaloid nucleus</v>
      </c>
      <c r="G431" s="9" t="s">
        <v>913</v>
      </c>
      <c r="H431" s="9" t="s">
        <v>25719</v>
      </c>
      <c r="I431" s="9" t="s">
        <v>920</v>
      </c>
      <c r="J431" s="9" t="s">
        <v>921</v>
      </c>
      <c r="K431" s="6" t="s">
        <v>15174</v>
      </c>
      <c r="L431" s="13">
        <v>10121</v>
      </c>
      <c r="M431" t="str">
        <f>VLOOKUP(L431,[1]NonHumanPrimate!$B$2:$C$4000,2,FALSE)</f>
        <v>CE</v>
      </c>
    </row>
    <row r="432" spans="2:13" x14ac:dyDescent="0.25">
      <c r="B432" s="31" t="s">
        <v>25743</v>
      </c>
      <c r="C432" s="20"/>
      <c r="D432" s="25" t="s">
        <v>25828</v>
      </c>
      <c r="E432" s="25"/>
      <c r="F432" s="9" t="str">
        <f>HYPERLINK("https://www.ebi.ac.uk/ols/ontologies/uberon/terms?iri=http://purl.obolibrary.org/obo/UBERON_0002291","central canal of spinal cord")</f>
        <v>central canal of spinal cord</v>
      </c>
      <c r="G432" s="9" t="s">
        <v>922</v>
      </c>
      <c r="H432" s="9" t="s">
        <v>24752</v>
      </c>
      <c r="I432" s="9" t="s">
        <v>923</v>
      </c>
      <c r="J432" s="9" t="s">
        <v>924</v>
      </c>
      <c r="K432" s="4" t="s">
        <v>15175</v>
      </c>
      <c r="L432" s="13">
        <v>146035108</v>
      </c>
      <c r="M432" t="str">
        <f>VLOOKUP(L432,[1]Human_BrainSpan!$B$2:$C$4000,2,FALSE)</f>
        <v>SV</v>
      </c>
    </row>
    <row r="433" spans="2:13" x14ac:dyDescent="0.25">
      <c r="B433" s="31" t="s">
        <v>25743</v>
      </c>
      <c r="C433" s="20"/>
      <c r="D433" s="25" t="s">
        <v>25828</v>
      </c>
      <c r="E433" s="25"/>
      <c r="F433" s="9" t="str">
        <f>HYPERLINK("https://www.ebi.ac.uk/ols/ontologies/uberon/terms?iri=http://purl.obolibrary.org/obo/UBERON_0002291","central canal of spinal cord")</f>
        <v>central canal of spinal cord</v>
      </c>
      <c r="G433" s="9" t="s">
        <v>922</v>
      </c>
      <c r="H433" s="9" t="s">
        <v>18641</v>
      </c>
      <c r="I433" s="9" t="s">
        <v>925</v>
      </c>
      <c r="J433" s="9" t="s">
        <v>926</v>
      </c>
      <c r="K433" s="5" t="s">
        <v>15173</v>
      </c>
      <c r="L433" s="13">
        <v>126652042</v>
      </c>
      <c r="M433" t="str">
        <f>VLOOKUP(L433,[1]DevMouse!$B$2:$C$2693,2,FALSE)</f>
        <v>v_SpC</v>
      </c>
    </row>
    <row r="434" spans="2:13" x14ac:dyDescent="0.25">
      <c r="B434" s="31" t="s">
        <v>25743</v>
      </c>
      <c r="C434" s="20"/>
      <c r="D434" s="25" t="s">
        <v>25828</v>
      </c>
      <c r="E434" s="25"/>
      <c r="F434" s="9" t="str">
        <f>HYPERLINK("https://www.ebi.ac.uk/ols/ontologies/uberon/terms?iri=http://purl.obolibrary.org/obo/UBERON_0002291","central canal of spinal cord")</f>
        <v>central canal of spinal cord</v>
      </c>
      <c r="G434" s="9" t="s">
        <v>922</v>
      </c>
      <c r="H434" s="9" t="s">
        <v>25568</v>
      </c>
      <c r="I434" s="9" t="s">
        <v>927</v>
      </c>
      <c r="J434" s="9" t="s">
        <v>928</v>
      </c>
      <c r="K434" s="7" t="s">
        <v>15171</v>
      </c>
      <c r="L434" s="13">
        <v>9422</v>
      </c>
      <c r="M434" t="str">
        <f>VLOOKUP(L434,[1]HBA!$B$2:$C$4000,2,FALSE)</f>
        <v>CC</v>
      </c>
    </row>
    <row r="435" spans="2:13" x14ac:dyDescent="0.25">
      <c r="B435" s="31" t="s">
        <v>25743</v>
      </c>
      <c r="C435" s="20"/>
      <c r="D435" s="25" t="s">
        <v>25828</v>
      </c>
      <c r="E435" s="25"/>
      <c r="F435" s="9" t="str">
        <f>HYPERLINK("https://www.ebi.ac.uk/ols/ontologies/uberon/terms?iri=http://purl.obolibrary.org/obo/UBERON_0002291","central canal of spinal cord")</f>
        <v>central canal of spinal cord</v>
      </c>
      <c r="G435" s="9" t="s">
        <v>922</v>
      </c>
      <c r="H435" s="9" t="s">
        <v>20962</v>
      </c>
      <c r="I435" s="9" t="s">
        <v>929</v>
      </c>
      <c r="J435" s="9" t="s">
        <v>930</v>
      </c>
      <c r="K435" s="3" t="s">
        <v>15176</v>
      </c>
      <c r="L435" s="13">
        <v>164</v>
      </c>
      <c r="M435" t="str">
        <f>VLOOKUP(L435,[1]Mouse_ARA!$B$2:$C$1328,2,FALSE)</f>
        <v>c</v>
      </c>
    </row>
    <row r="436" spans="2:13" x14ac:dyDescent="0.25">
      <c r="B436" s="31" t="s">
        <v>25743</v>
      </c>
      <c r="C436" s="20"/>
      <c r="D436" s="25" t="s">
        <v>932</v>
      </c>
      <c r="E436" s="25"/>
      <c r="F436" s="9" t="str">
        <f>HYPERLINK("https://www.ebi.ac.uk/ols/ontologies/uberon/terms?iri=http://purl.obolibrary.org/obo/UBERON_0003034","central dorsal nucleus of thalamus")</f>
        <v>central dorsal nucleus of thalamus</v>
      </c>
      <c r="G436" s="9" t="s">
        <v>931</v>
      </c>
      <c r="H436" s="9" t="s">
        <v>23386</v>
      </c>
      <c r="I436" s="9" t="s">
        <v>932</v>
      </c>
      <c r="J436" s="9" t="s">
        <v>933</v>
      </c>
      <c r="K436" s="4" t="s">
        <v>15175</v>
      </c>
      <c r="L436" s="13">
        <v>13331</v>
      </c>
      <c r="M436" t="str">
        <f>VLOOKUP(L436,[1]Human_BrainSpan!$B$2:$C$4000,2,FALSE)</f>
        <v>CD</v>
      </c>
    </row>
    <row r="437" spans="2:13" x14ac:dyDescent="0.25">
      <c r="B437" s="31" t="s">
        <v>25743</v>
      </c>
      <c r="C437" s="20"/>
      <c r="D437" s="25" t="s">
        <v>25829</v>
      </c>
      <c r="E437" s="25"/>
      <c r="F437" s="9" t="str">
        <f>HYPERLINK("https://www.ebi.ac.uk/ols/ontologies/uberon/terms?iri=http://purl.obolibrary.org/obo/UBERON_0002867","central gray substance of medulla")</f>
        <v>central gray substance of medulla</v>
      </c>
      <c r="G437" s="9" t="s">
        <v>934</v>
      </c>
      <c r="H437" s="9" t="s">
        <v>24478</v>
      </c>
      <c r="I437" s="9" t="s">
        <v>935</v>
      </c>
      <c r="J437" s="9" t="s">
        <v>936</v>
      </c>
      <c r="K437" s="4" t="s">
        <v>15175</v>
      </c>
      <c r="L437" s="13">
        <v>146034986</v>
      </c>
      <c r="M437" t="str">
        <f>VLOOKUP(L437,[1]Human_BrainSpan!$B$2:$C$4000,2,FALSE)</f>
        <v>MoCG</v>
      </c>
    </row>
    <row r="438" spans="2:13" x14ac:dyDescent="0.25">
      <c r="B438" s="31" t="s">
        <v>25743</v>
      </c>
      <c r="C438" s="20"/>
      <c r="D438" s="25" t="s">
        <v>25829</v>
      </c>
      <c r="E438" s="25"/>
      <c r="F438" s="9" t="str">
        <f>HYPERLINK("https://www.ebi.ac.uk/ols/ontologies/uberon/terms?iri=http://purl.obolibrary.org/obo/UBERON_0002867","central gray substance of medulla")</f>
        <v>central gray substance of medulla</v>
      </c>
      <c r="G438" s="9" t="s">
        <v>934</v>
      </c>
      <c r="H438" s="9" t="s">
        <v>25444</v>
      </c>
      <c r="I438" s="9" t="s">
        <v>937</v>
      </c>
      <c r="J438" s="9" t="s">
        <v>938</v>
      </c>
      <c r="K438" s="7" t="s">
        <v>15171</v>
      </c>
      <c r="L438" s="13">
        <v>265504914</v>
      </c>
      <c r="M438" t="str">
        <f>VLOOKUP(L438,[1]HBA!$B$2:$C$4000,2,FALSE)</f>
        <v>CGMe</v>
      </c>
    </row>
    <row r="439" spans="2:13" x14ac:dyDescent="0.25">
      <c r="B439" s="31" t="s">
        <v>25743</v>
      </c>
      <c r="C439" s="20"/>
      <c r="D439" s="25" t="s">
        <v>942</v>
      </c>
      <c r="E439" s="25"/>
      <c r="F439" s="9" t="str">
        <f>HYPERLINK("https://www.ebi.ac.uk/ols/ontologies/uberon/terms?iri=http://purl.obolibrary.org/obo/UBERON_0003040","central gray substance of midbrain")</f>
        <v>central gray substance of midbrain</v>
      </c>
      <c r="G439" s="9" t="s">
        <v>939</v>
      </c>
      <c r="H439" s="9" t="s">
        <v>20219</v>
      </c>
      <c r="I439" s="9" t="s">
        <v>940</v>
      </c>
      <c r="J439" s="9" t="s">
        <v>941</v>
      </c>
      <c r="K439" s="4" t="s">
        <v>15175</v>
      </c>
      <c r="L439" s="13">
        <v>12209</v>
      </c>
      <c r="M439" t="str">
        <f>VLOOKUP(L439,[1]Human_BrainSpan!$B$2:$C$4000,2,FALSE)</f>
        <v>PAG</v>
      </c>
    </row>
    <row r="440" spans="2:13" x14ac:dyDescent="0.25">
      <c r="B440" s="31" t="s">
        <v>25743</v>
      </c>
      <c r="C440" s="20"/>
      <c r="D440" s="25" t="s">
        <v>942</v>
      </c>
      <c r="E440" s="25"/>
      <c r="F440" s="9" t="str">
        <f>HYPERLINK("https://www.ebi.ac.uk/ols/ontologies/uberon/terms?iri=http://purl.obolibrary.org/obo/UBERON_0003040","central gray substance of midbrain")</f>
        <v>central gray substance of midbrain</v>
      </c>
      <c r="G440" s="9" t="s">
        <v>939</v>
      </c>
      <c r="H440" s="9" t="s">
        <v>25230</v>
      </c>
      <c r="I440" s="9" t="s">
        <v>942</v>
      </c>
      <c r="J440" s="9" t="s">
        <v>943</v>
      </c>
      <c r="K440" s="7" t="s">
        <v>15171</v>
      </c>
      <c r="L440" s="13">
        <v>9003</v>
      </c>
      <c r="M440" t="str">
        <f>VLOOKUP(L440,[1]HBA!$B$2:$C$4000,2,FALSE)</f>
        <v>CGMB</v>
      </c>
    </row>
    <row r="441" spans="2:13" x14ac:dyDescent="0.25">
      <c r="B441" s="31" t="s">
        <v>25743</v>
      </c>
      <c r="C441" s="20"/>
      <c r="D441" s="25" t="s">
        <v>942</v>
      </c>
      <c r="E441" s="25"/>
      <c r="F441" s="9" t="str">
        <f>HYPERLINK("https://www.ebi.ac.uk/ols/ontologies/uberon/terms?iri=http://purl.obolibrary.org/obo/UBERON_0003040","central gray substance of midbrain")</f>
        <v>central gray substance of midbrain</v>
      </c>
      <c r="G441" s="9" t="s">
        <v>939</v>
      </c>
      <c r="H441" s="9" t="s">
        <v>20219</v>
      </c>
      <c r="I441" s="9" t="s">
        <v>944</v>
      </c>
      <c r="J441" s="9" t="s">
        <v>945</v>
      </c>
      <c r="K441" s="3" t="s">
        <v>15176</v>
      </c>
      <c r="L441" s="13">
        <v>795</v>
      </c>
      <c r="M441" t="str">
        <f>VLOOKUP(L441,[1]Mouse_ARA!$B$2:$C$1328,2,FALSE)</f>
        <v>PAG</v>
      </c>
    </row>
    <row r="442" spans="2:13" x14ac:dyDescent="0.25">
      <c r="B442" s="31" t="s">
        <v>25743</v>
      </c>
      <c r="C442" s="20"/>
      <c r="D442" s="25" t="s">
        <v>25830</v>
      </c>
      <c r="E442" s="25"/>
      <c r="F442" s="9" t="str">
        <f>HYPERLINK("https://www.ebi.ac.uk/ols/ontologies/uberon/terms?iri=http://purl.obolibrary.org/obo/UBERON_0002968","central gray substance of pons")</f>
        <v>central gray substance of pons</v>
      </c>
      <c r="G442" s="9" t="s">
        <v>946</v>
      </c>
      <c r="H442" s="9" t="s">
        <v>24344</v>
      </c>
      <c r="I442" s="9" t="s">
        <v>947</v>
      </c>
      <c r="J442" s="9" t="s">
        <v>948</v>
      </c>
      <c r="K442" s="4" t="s">
        <v>15175</v>
      </c>
      <c r="L442" s="13">
        <v>146034964</v>
      </c>
      <c r="M442" t="str">
        <f>VLOOKUP(L442,[1]Human_BrainSpan!$B$2:$C$4000,2,FALSE)</f>
        <v>PnCG</v>
      </c>
    </row>
    <row r="443" spans="2:13" x14ac:dyDescent="0.25">
      <c r="B443" s="31" t="s">
        <v>25743</v>
      </c>
      <c r="C443" s="20"/>
      <c r="D443" s="25" t="s">
        <v>25830</v>
      </c>
      <c r="E443" s="25"/>
      <c r="F443" s="9" t="str">
        <f>HYPERLINK("https://www.ebi.ac.uk/ols/ontologies/uberon/terms?iri=http://purl.obolibrary.org/obo/UBERON_0002968","central gray substance of pons")</f>
        <v>central gray substance of pons</v>
      </c>
      <c r="G443" s="9" t="s">
        <v>946</v>
      </c>
      <c r="H443" s="9" t="s">
        <v>25432</v>
      </c>
      <c r="I443" s="9" t="s">
        <v>949</v>
      </c>
      <c r="J443" s="9" t="s">
        <v>950</v>
      </c>
      <c r="K443" s="7" t="s">
        <v>15171</v>
      </c>
      <c r="L443" s="13">
        <v>10147</v>
      </c>
      <c r="M443" t="str">
        <f>VLOOKUP(L443,[1]HBA!$B$2:$C$4000,2,FALSE)</f>
        <v>CGPo</v>
      </c>
    </row>
    <row r="444" spans="2:13" x14ac:dyDescent="0.25">
      <c r="B444" s="31" t="s">
        <v>25743</v>
      </c>
      <c r="C444" s="20"/>
      <c r="D444" s="25" t="s">
        <v>25830</v>
      </c>
      <c r="E444" s="25"/>
      <c r="F444" s="9" t="str">
        <f>HYPERLINK("https://www.ebi.ac.uk/ols/ontologies/uberon/terms?iri=http://purl.obolibrary.org/obo/UBERON_0002968","central gray substance of pons")</f>
        <v>central gray substance of pons</v>
      </c>
      <c r="G444" s="9" t="s">
        <v>946</v>
      </c>
      <c r="H444" s="9" t="s">
        <v>20346</v>
      </c>
      <c r="I444" s="9" t="s">
        <v>951</v>
      </c>
      <c r="J444" s="9" t="s">
        <v>952</v>
      </c>
      <c r="K444" s="3" t="s">
        <v>15176</v>
      </c>
      <c r="L444" s="13">
        <v>898</v>
      </c>
      <c r="M444" t="str">
        <f>VLOOKUP(L444,[1]Mouse_ARA!$B$2:$C$1328,2,FALSE)</f>
        <v>PCG</v>
      </c>
    </row>
    <row r="445" spans="2:13" x14ac:dyDescent="0.25">
      <c r="B445" s="31" t="s">
        <v>25743</v>
      </c>
      <c r="C445" s="20"/>
      <c r="D445" s="25" t="s">
        <v>678</v>
      </c>
      <c r="E445" s="25"/>
      <c r="F445" s="9" t="str">
        <f>HYPERLINK("https://www.ebi.ac.uk/ols/ontologies/uberon/terms?iri=http://purl.obolibrary.org/obo/UBERON_0003036","central lateral nucleus")</f>
        <v>central lateral nucleus</v>
      </c>
      <c r="G445" s="9" t="s">
        <v>953</v>
      </c>
      <c r="H445" s="9" t="s">
        <v>16433</v>
      </c>
      <c r="I445" s="9" t="s">
        <v>802</v>
      </c>
      <c r="J445" s="9" t="s">
        <v>954</v>
      </c>
      <c r="K445" s="4" t="s">
        <v>15175</v>
      </c>
      <c r="L445" s="13">
        <v>10444</v>
      </c>
      <c r="M445" t="str">
        <f>VLOOKUP(L445,[1]Human_BrainSpan!$B$2:$C$4000,2,FALSE)</f>
        <v>CL</v>
      </c>
    </row>
    <row r="446" spans="2:13" x14ac:dyDescent="0.25">
      <c r="B446" s="31" t="s">
        <v>25743</v>
      </c>
      <c r="C446" s="20"/>
      <c r="D446" s="25" t="s">
        <v>678</v>
      </c>
      <c r="E446" s="25"/>
      <c r="F446" s="9" t="str">
        <f>HYPERLINK("https://www.ebi.ac.uk/ols/ontologies/uberon/terms?iri=http://purl.obolibrary.org/obo/UBERON_0003036","central lateral nucleus")</f>
        <v>central lateral nucleus</v>
      </c>
      <c r="G446" s="9" t="s">
        <v>953</v>
      </c>
      <c r="H446" s="9" t="s">
        <v>16433</v>
      </c>
      <c r="I446" s="9" t="s">
        <v>678</v>
      </c>
      <c r="J446" s="9" t="s">
        <v>679</v>
      </c>
      <c r="K446" s="5" t="s">
        <v>15173</v>
      </c>
      <c r="L446" s="13">
        <v>16418</v>
      </c>
      <c r="M446" t="str">
        <f>VLOOKUP(L446,[1]DevMouse!$B$2:$C$2693,2,FALSE)</f>
        <v>CL</v>
      </c>
    </row>
    <row r="447" spans="2:13" x14ac:dyDescent="0.25">
      <c r="B447" s="31" t="s">
        <v>25743</v>
      </c>
      <c r="C447" s="20"/>
      <c r="D447" s="25" t="s">
        <v>678</v>
      </c>
      <c r="E447" s="25"/>
      <c r="F447" s="9" t="str">
        <f>HYPERLINK("https://www.ebi.ac.uk/ols/ontologies/uberon/terms?iri=http://purl.obolibrary.org/obo/UBERON_0003036","central lateral nucleus")</f>
        <v>central lateral nucleus</v>
      </c>
      <c r="G447" s="9" t="s">
        <v>953</v>
      </c>
      <c r="H447" s="9" t="s">
        <v>16433</v>
      </c>
      <c r="I447" s="9" t="s">
        <v>955</v>
      </c>
      <c r="J447" s="9" t="s">
        <v>956</v>
      </c>
      <c r="K447" s="7" t="s">
        <v>15171</v>
      </c>
      <c r="L447" s="13">
        <v>4434</v>
      </c>
      <c r="M447" t="str">
        <f>VLOOKUP(L447,[1]HBA!$B$2:$C$4000,2,FALSE)</f>
        <v>CL</v>
      </c>
    </row>
    <row r="448" spans="2:13" x14ac:dyDescent="0.25">
      <c r="B448" s="31" t="s">
        <v>25743</v>
      </c>
      <c r="C448" s="20"/>
      <c r="D448" s="25" t="s">
        <v>678</v>
      </c>
      <c r="E448" s="25"/>
      <c r="F448" s="9" t="str">
        <f>HYPERLINK("https://www.ebi.ac.uk/ols/ontologies/uberon/terms?iri=http://purl.obolibrary.org/obo/UBERON_0003036","central lateral nucleus")</f>
        <v>central lateral nucleus</v>
      </c>
      <c r="G448" s="9" t="s">
        <v>953</v>
      </c>
      <c r="H448" s="9" t="s">
        <v>16433</v>
      </c>
      <c r="I448" s="9" t="s">
        <v>802</v>
      </c>
      <c r="J448" s="9" t="s">
        <v>803</v>
      </c>
      <c r="K448" s="3" t="s">
        <v>15176</v>
      </c>
      <c r="L448" s="13">
        <v>575</v>
      </c>
      <c r="M448" t="str">
        <f>VLOOKUP(L448,[1]Mouse_ARA!$B$2:$C$1328,2,FALSE)</f>
        <v>CL</v>
      </c>
    </row>
    <row r="449" spans="2:13" x14ac:dyDescent="0.25">
      <c r="B449" s="31" t="s">
        <v>25743</v>
      </c>
      <c r="C449" s="20"/>
      <c r="D449" s="25" t="s">
        <v>958</v>
      </c>
      <c r="E449" s="25"/>
      <c r="F449" s="9" t="str">
        <f>HYPERLINK("https://www.ebi.ac.uk/ols/ontologies/uberon/terms?iri=http://purl.obolibrary.org/obo/UBERON_0003021","central lobule")</f>
        <v>central lobule</v>
      </c>
      <c r="G449" s="9" t="s">
        <v>957</v>
      </c>
      <c r="H449" s="9" t="s">
        <v>20568</v>
      </c>
      <c r="I449" s="9" t="s">
        <v>958</v>
      </c>
      <c r="J449" s="9" t="s">
        <v>959</v>
      </c>
      <c r="K449" s="3" t="s">
        <v>15176</v>
      </c>
      <c r="L449" s="13">
        <v>920</v>
      </c>
      <c r="M449" t="str">
        <f>VLOOKUP(L449,[1]Mouse_ARA!$B$2:$C$1328,2,FALSE)</f>
        <v>CENT</v>
      </c>
    </row>
    <row r="450" spans="2:13" x14ac:dyDescent="0.25">
      <c r="B450" s="31" t="s">
        <v>25743</v>
      </c>
      <c r="C450" s="20"/>
      <c r="D450" s="25" t="s">
        <v>25831</v>
      </c>
      <c r="E450" s="25"/>
      <c r="F450" s="9" t="str">
        <f>HYPERLINK("https://www.ebi.ac.uk/ols/ontologies/uberon/terms?iri=http://purl.obolibrary.org/obo/UBERON_0001923","central medial nucleus")</f>
        <v>central medial nucleus</v>
      </c>
      <c r="G450" s="9" t="s">
        <v>960</v>
      </c>
      <c r="H450" s="9" t="s">
        <v>15672</v>
      </c>
      <c r="I450" s="9" t="s">
        <v>961</v>
      </c>
      <c r="J450" s="9" t="s">
        <v>962</v>
      </c>
      <c r="K450" s="4" t="s">
        <v>15175</v>
      </c>
      <c r="L450" s="13">
        <v>10445</v>
      </c>
      <c r="M450" t="str">
        <f>VLOOKUP(L450,[1]Human_BrainSpan!$B$2:$C$4000,2,FALSE)</f>
        <v>CeM</v>
      </c>
    </row>
    <row r="451" spans="2:13" x14ac:dyDescent="0.25">
      <c r="B451" s="31" t="s">
        <v>25743</v>
      </c>
      <c r="C451" s="20" t="s">
        <v>25831</v>
      </c>
      <c r="D451" s="25" t="s">
        <v>25831</v>
      </c>
      <c r="E451" s="25"/>
      <c r="F451" s="9" t="str">
        <f>HYPERLINK("https://www.ebi.ac.uk/ols/ontologies/uberon/terms?iri=http://purl.obolibrary.org/obo/UBERON_0001923","central medial nucleus")</f>
        <v>central medial nucleus</v>
      </c>
      <c r="G451" s="9" t="s">
        <v>960</v>
      </c>
      <c r="H451" s="9" t="s">
        <v>16405</v>
      </c>
      <c r="I451" s="9" t="s">
        <v>963</v>
      </c>
      <c r="J451" s="9" t="s">
        <v>964</v>
      </c>
      <c r="K451" s="7" t="s">
        <v>15171</v>
      </c>
      <c r="L451" s="13">
        <v>4438</v>
      </c>
      <c r="M451" t="str">
        <f>VLOOKUP(L451,[1]HBA!$B$2:$C$4000,2,FALSE)</f>
        <v>CM</v>
      </c>
    </row>
    <row r="452" spans="2:13" x14ac:dyDescent="0.25">
      <c r="B452" s="31" t="s">
        <v>25743</v>
      </c>
      <c r="C452" s="20"/>
      <c r="D452" s="25" t="s">
        <v>25831</v>
      </c>
      <c r="E452" s="25"/>
      <c r="F452" s="9" t="str">
        <f>HYPERLINK("https://www.ebi.ac.uk/ols/ontologies/uberon/terms?iri=http://purl.obolibrary.org/obo/UBERON_0001923","central medial nucleus")</f>
        <v>central medial nucleus</v>
      </c>
      <c r="G452" s="9" t="s">
        <v>960</v>
      </c>
      <c r="H452" s="9" t="s">
        <v>16405</v>
      </c>
      <c r="I452" s="9" t="s">
        <v>806</v>
      </c>
      <c r="J452" s="9" t="s">
        <v>807</v>
      </c>
      <c r="K452" s="3" t="s">
        <v>15176</v>
      </c>
      <c r="L452" s="13">
        <v>599</v>
      </c>
      <c r="M452" t="str">
        <f>VLOOKUP(L452,[1]Mouse_ARA!$B$2:$C$1328,2,FALSE)</f>
        <v>CM</v>
      </c>
    </row>
    <row r="453" spans="2:13" x14ac:dyDescent="0.25">
      <c r="B453" s="31" t="s">
        <v>26302</v>
      </c>
      <c r="C453" s="25" t="s">
        <v>25890</v>
      </c>
      <c r="D453" s="25" t="s">
        <v>25831</v>
      </c>
      <c r="E453" s="25"/>
      <c r="F453" s="9" t="str">
        <f>HYPERLINK("https://www.ebi.ac.uk/ols/ontologies/uberon/terms?iri=http://purl.obolibrary.org/obo/UBERON_0001923","central medial nucleus")</f>
        <v>central medial nucleus</v>
      </c>
      <c r="G453" s="9" t="s">
        <v>960</v>
      </c>
      <c r="H453" s="9" t="s">
        <v>16405</v>
      </c>
      <c r="I453" s="9" t="s">
        <v>965</v>
      </c>
      <c r="J453" s="9" t="s">
        <v>966</v>
      </c>
      <c r="K453" s="6" t="s">
        <v>15174</v>
      </c>
      <c r="L453" s="13">
        <v>128012616</v>
      </c>
      <c r="M453" t="str">
        <f>VLOOKUP(L453,[1]NonHumanPrimate!$B$2:$C$4000,2,FALSE)</f>
        <v>CM</v>
      </c>
    </row>
    <row r="454" spans="2:13" x14ac:dyDescent="0.25">
      <c r="B454" s="31" t="s">
        <v>25743</v>
      </c>
      <c r="C454" s="20"/>
      <c r="D454" s="25" t="s">
        <v>25832</v>
      </c>
      <c r="E454" s="25"/>
      <c r="F454" s="9" t="str">
        <f>HYPERLINK("https://www.ebi.ac.uk/ols/ontologies/uberon/terms?iri=http://purl.obolibrary.org/obo/UBERON_0035940","central medullary reticular nuclear complex")</f>
        <v>central medullary reticular nuclear complex</v>
      </c>
      <c r="G454" s="9" t="s">
        <v>967</v>
      </c>
      <c r="H454" s="9" t="s">
        <v>25454</v>
      </c>
      <c r="I454" s="9" t="s">
        <v>968</v>
      </c>
      <c r="J454" s="9" t="s">
        <v>969</v>
      </c>
      <c r="K454" s="7" t="s">
        <v>15171</v>
      </c>
      <c r="L454" s="13">
        <v>9588</v>
      </c>
      <c r="M454" t="str">
        <f>VLOOKUP(L454,[1]HBA!$B$2:$C$4000,2,FALSE)</f>
        <v>CMRt</v>
      </c>
    </row>
    <row r="455" spans="2:13" x14ac:dyDescent="0.25">
      <c r="B455" s="31" t="s">
        <v>26299</v>
      </c>
      <c r="C455" s="25" t="s">
        <v>15125</v>
      </c>
      <c r="D455" s="25" t="s">
        <v>25833</v>
      </c>
      <c r="E455" s="25"/>
      <c r="F455" s="9" t="str">
        <f t="shared" ref="F455:F466" si="5">HYPERLINK("https://www.ebi.ac.uk/ols/ontologies/uberon/terms?iri=http://purl.obolibrary.org/obo/UBERON_0011215","central nervous system cell part cluster")</f>
        <v>central nervous system cell part cluster</v>
      </c>
      <c r="G455" s="9" t="s">
        <v>970</v>
      </c>
      <c r="H455" s="9" t="s">
        <v>24705</v>
      </c>
      <c r="I455" s="9" t="s">
        <v>971</v>
      </c>
      <c r="J455" s="9" t="s">
        <v>972</v>
      </c>
      <c r="K455" s="4" t="s">
        <v>15175</v>
      </c>
      <c r="L455" s="13">
        <v>12869</v>
      </c>
      <c r="M455" t="str">
        <f>VLOOKUP(L455,[1]Human_BrainSpan!$B$2:$C$4000,2,FALSE)</f>
        <v>r8ve</v>
      </c>
    </row>
    <row r="456" spans="2:13" x14ac:dyDescent="0.25">
      <c r="B456" s="31" t="s">
        <v>26303</v>
      </c>
      <c r="C456" s="25" t="s">
        <v>25764</v>
      </c>
      <c r="D456" s="25" t="s">
        <v>25833</v>
      </c>
      <c r="E456" s="25"/>
      <c r="F456" s="9" t="str">
        <f t="shared" si="5"/>
        <v>central nervous system cell part cluster</v>
      </c>
      <c r="G456" s="9" t="s">
        <v>970</v>
      </c>
      <c r="H456" s="9" t="s">
        <v>18244</v>
      </c>
      <c r="I456" s="9" t="s">
        <v>185</v>
      </c>
      <c r="J456" s="9" t="s">
        <v>186</v>
      </c>
      <c r="K456" s="4" t="s">
        <v>15175</v>
      </c>
      <c r="L456" s="13">
        <v>12883</v>
      </c>
      <c r="M456" t="str">
        <f>VLOOKUP(L456,[1]Human_BrainSpan!$B$2:$C$4000,2,FALSE)</f>
        <v>r11</v>
      </c>
    </row>
    <row r="457" spans="2:13" x14ac:dyDescent="0.25">
      <c r="B457" s="31" t="s">
        <v>26303</v>
      </c>
      <c r="C457" s="25" t="s">
        <v>26224</v>
      </c>
      <c r="D457" s="25" t="s">
        <v>25833</v>
      </c>
      <c r="E457" s="25"/>
      <c r="F457" s="9" t="str">
        <f t="shared" si="5"/>
        <v>central nervous system cell part cluster</v>
      </c>
      <c r="G457" s="9" t="s">
        <v>970</v>
      </c>
      <c r="H457" s="9" t="s">
        <v>24755</v>
      </c>
      <c r="I457" s="9" t="s">
        <v>973</v>
      </c>
      <c r="J457" s="9" t="s">
        <v>974</v>
      </c>
      <c r="K457" s="4" t="s">
        <v>15175</v>
      </c>
      <c r="L457" s="13">
        <v>146035120</v>
      </c>
      <c r="M457" t="str">
        <f>VLOOKUP(L457,[1]Human_BrainSpan!$B$2:$C$4000,2,FALSE)</f>
        <v>rsn</v>
      </c>
    </row>
    <row r="458" spans="2:13" x14ac:dyDescent="0.25">
      <c r="B458" s="31" t="s">
        <v>26303</v>
      </c>
      <c r="C458" s="25" t="s">
        <v>26048</v>
      </c>
      <c r="D458" s="25" t="s">
        <v>25833</v>
      </c>
      <c r="E458" s="25"/>
      <c r="F458" s="9" t="str">
        <f t="shared" si="5"/>
        <v>central nervous system cell part cluster</v>
      </c>
      <c r="G458" s="9" t="s">
        <v>970</v>
      </c>
      <c r="H458" s="9" t="s">
        <v>15361</v>
      </c>
      <c r="I458" s="9" t="s">
        <v>975</v>
      </c>
      <c r="J458" s="9" t="s">
        <v>976</v>
      </c>
      <c r="K458" s="5" t="s">
        <v>15173</v>
      </c>
      <c r="L458" s="13">
        <v>15652</v>
      </c>
      <c r="M458" t="str">
        <f>VLOOKUP(L458,[1]DevMouse!$B$2:$C$2693,2,FALSE)</f>
        <v>OF</v>
      </c>
    </row>
    <row r="459" spans="2:13" x14ac:dyDescent="0.25">
      <c r="B459" s="31" t="s">
        <v>26299</v>
      </c>
      <c r="C459" s="25" t="s">
        <v>25764</v>
      </c>
      <c r="D459" s="25" t="s">
        <v>25833</v>
      </c>
      <c r="E459" s="25"/>
      <c r="F459" s="9" t="str">
        <f t="shared" si="5"/>
        <v>central nervous system cell part cluster</v>
      </c>
      <c r="G459" s="9" t="s">
        <v>970</v>
      </c>
      <c r="H459" s="9" t="s">
        <v>18432</v>
      </c>
      <c r="I459" s="9" t="s">
        <v>187</v>
      </c>
      <c r="J459" s="9" t="s">
        <v>188</v>
      </c>
      <c r="K459" s="5" t="s">
        <v>15173</v>
      </c>
      <c r="L459" s="13">
        <v>17749</v>
      </c>
      <c r="M459" t="str">
        <f>VLOOKUP(L459,[1]DevMouse!$B$2:$C$2693,2,FALSE)</f>
        <v>11n</v>
      </c>
    </row>
    <row r="460" spans="2:13" x14ac:dyDescent="0.25">
      <c r="B460" s="31" t="s">
        <v>26303</v>
      </c>
      <c r="C460" s="25" t="s">
        <v>26221</v>
      </c>
      <c r="D460" s="25" t="s">
        <v>25833</v>
      </c>
      <c r="E460" s="25"/>
      <c r="F460" s="9" t="str">
        <f t="shared" si="5"/>
        <v>central nervous system cell part cluster</v>
      </c>
      <c r="G460" s="9" t="s">
        <v>970</v>
      </c>
      <c r="H460" s="9" t="s">
        <v>18450</v>
      </c>
      <c r="I460" s="9" t="s">
        <v>977</v>
      </c>
      <c r="J460" s="9" t="s">
        <v>978</v>
      </c>
      <c r="K460" s="5" t="s">
        <v>15173</v>
      </c>
      <c r="L460" s="13">
        <v>17759</v>
      </c>
      <c r="M460" t="str">
        <f>VLOOKUP(L460,[1]DevMouse!$B$2:$C$2693,2,FALSE)</f>
        <v>dc</v>
      </c>
    </row>
    <row r="461" spans="2:13" x14ac:dyDescent="0.25">
      <c r="B461" s="31" t="s">
        <v>26303</v>
      </c>
      <c r="C461" s="25" t="s">
        <v>25892</v>
      </c>
      <c r="D461" s="25" t="s">
        <v>25833</v>
      </c>
      <c r="E461" s="25"/>
      <c r="F461" s="9" t="str">
        <f t="shared" si="5"/>
        <v>central nervous system cell part cluster</v>
      </c>
      <c r="G461" s="9" t="s">
        <v>970</v>
      </c>
      <c r="H461" s="9" t="s">
        <v>20397</v>
      </c>
      <c r="I461" s="9" t="s">
        <v>979</v>
      </c>
      <c r="J461" s="9" t="s">
        <v>980</v>
      </c>
      <c r="K461" s="7" t="s">
        <v>15171</v>
      </c>
      <c r="L461" s="13">
        <v>9299</v>
      </c>
      <c r="M461" t="str">
        <f>VLOOKUP(L461,[1]HBA!$B$2:$C$4000,2,FALSE)</f>
        <v>CN</v>
      </c>
    </row>
    <row r="462" spans="2:13" x14ac:dyDescent="0.25">
      <c r="B462" s="31" t="s">
        <v>26303</v>
      </c>
      <c r="C462" s="25" t="s">
        <v>25764</v>
      </c>
      <c r="D462" s="25" t="s">
        <v>25833</v>
      </c>
      <c r="E462" s="25"/>
      <c r="F462" s="9" t="str">
        <f t="shared" si="5"/>
        <v>central nervous system cell part cluster</v>
      </c>
      <c r="G462" s="9" t="s">
        <v>970</v>
      </c>
      <c r="H462" s="9" t="s">
        <v>25512</v>
      </c>
      <c r="I462" s="9" t="s">
        <v>167</v>
      </c>
      <c r="J462" s="9" t="s">
        <v>168</v>
      </c>
      <c r="K462" s="7" t="s">
        <v>15171</v>
      </c>
      <c r="L462" s="13">
        <v>9340</v>
      </c>
      <c r="M462" t="str">
        <f>VLOOKUP(L462,[1]HBA!$B$2:$C$4000,2,FALSE)</f>
        <v>11nf</v>
      </c>
    </row>
    <row r="463" spans="2:13" x14ac:dyDescent="0.25">
      <c r="B463" s="31" t="s">
        <v>26303</v>
      </c>
      <c r="C463" s="25" t="s">
        <v>981</v>
      </c>
      <c r="D463" s="25" t="s">
        <v>25833</v>
      </c>
      <c r="E463" s="25"/>
      <c r="F463" s="9" t="str">
        <f t="shared" si="5"/>
        <v>central nervous system cell part cluster</v>
      </c>
      <c r="G463" s="9" t="s">
        <v>970</v>
      </c>
      <c r="H463" s="9" t="s">
        <v>20754</v>
      </c>
      <c r="I463" s="9" t="s">
        <v>981</v>
      </c>
      <c r="J463" s="9" t="s">
        <v>982</v>
      </c>
      <c r="K463" s="3" t="s">
        <v>15176</v>
      </c>
      <c r="L463" s="13">
        <v>413</v>
      </c>
      <c r="M463" t="str">
        <f>VLOOKUP(L463,[1]Mouse_ARA!$B$2:$C$1328,2,FALSE)</f>
        <v>vVIIIn</v>
      </c>
    </row>
    <row r="464" spans="2:13" x14ac:dyDescent="0.25">
      <c r="B464" s="31" t="s">
        <v>26303</v>
      </c>
      <c r="C464" s="25" t="s">
        <v>25764</v>
      </c>
      <c r="D464" s="25" t="s">
        <v>25833</v>
      </c>
      <c r="E464" s="25"/>
      <c r="F464" s="9" t="str">
        <f t="shared" si="5"/>
        <v>central nervous system cell part cluster</v>
      </c>
      <c r="G464" s="9" t="s">
        <v>970</v>
      </c>
      <c r="H464" s="9" t="s">
        <v>20763</v>
      </c>
      <c r="I464" s="9" t="s">
        <v>169</v>
      </c>
      <c r="J464" s="9" t="s">
        <v>170</v>
      </c>
      <c r="K464" s="3" t="s">
        <v>15176</v>
      </c>
      <c r="L464" s="13">
        <v>717</v>
      </c>
      <c r="M464" t="str">
        <f>VLOOKUP(L464,[1]Mouse_ARA!$B$2:$C$1328,2,FALSE)</f>
        <v>XIn</v>
      </c>
    </row>
    <row r="465" spans="2:13" x14ac:dyDescent="0.25">
      <c r="B465" s="31" t="s">
        <v>26303</v>
      </c>
      <c r="C465" s="25" t="s">
        <v>983</v>
      </c>
      <c r="D465" s="25" t="s">
        <v>25833</v>
      </c>
      <c r="E465" s="25"/>
      <c r="F465" s="9" t="str">
        <f t="shared" si="5"/>
        <v>central nervous system cell part cluster</v>
      </c>
      <c r="G465" s="9" t="s">
        <v>970</v>
      </c>
      <c r="H465" s="9" t="s">
        <v>20755</v>
      </c>
      <c r="I465" s="9" t="s">
        <v>983</v>
      </c>
      <c r="J465" s="9" t="s">
        <v>984</v>
      </c>
      <c r="K465" s="3" t="s">
        <v>15176</v>
      </c>
      <c r="L465" s="13">
        <v>948</v>
      </c>
      <c r="M465" t="str">
        <f>VLOOKUP(L465,[1]Mouse_ARA!$B$2:$C$1328,2,FALSE)</f>
        <v>cVIIIn</v>
      </c>
    </row>
    <row r="466" spans="2:13" x14ac:dyDescent="0.25">
      <c r="B466" s="31" t="s">
        <v>26303</v>
      </c>
      <c r="C466" s="25" t="s">
        <v>25892</v>
      </c>
      <c r="D466" s="25" t="s">
        <v>25833</v>
      </c>
      <c r="E466" s="25"/>
      <c r="F466" s="9" t="str">
        <f t="shared" si="5"/>
        <v>central nervous system cell part cluster</v>
      </c>
      <c r="G466" s="9" t="s">
        <v>970</v>
      </c>
      <c r="H466" s="9" t="s">
        <v>20723</v>
      </c>
      <c r="I466" s="9" t="s">
        <v>979</v>
      </c>
      <c r="J466" s="9" t="s">
        <v>985</v>
      </c>
      <c r="K466" s="3" t="s">
        <v>15176</v>
      </c>
      <c r="L466" s="13">
        <v>967</v>
      </c>
      <c r="M466" t="str">
        <f>VLOOKUP(L466,[1]Mouse_ARA!$B$2:$C$1328,2,FALSE)</f>
        <v>cm</v>
      </c>
    </row>
    <row r="467" spans="2:13" x14ac:dyDescent="0.25">
      <c r="B467" s="31" t="s">
        <v>25743</v>
      </c>
      <c r="C467" s="20"/>
      <c r="D467" s="25" t="s">
        <v>987</v>
      </c>
      <c r="E467" s="25"/>
      <c r="F467" s="9" t="str">
        <f>HYPERLINK("https://www.ebi.ac.uk/ols/ontologies/uberon/terms?iri=http://purl.obolibrary.org/obo/UBERON_0002563","central nucleus of inferior colliculus")</f>
        <v>central nucleus of inferior colliculus</v>
      </c>
      <c r="G467" s="9" t="s">
        <v>986</v>
      </c>
      <c r="H467" s="9" t="s">
        <v>16989</v>
      </c>
      <c r="I467" s="9" t="s">
        <v>987</v>
      </c>
      <c r="J467" s="9" t="s">
        <v>988</v>
      </c>
      <c r="K467" s="4" t="s">
        <v>15175</v>
      </c>
      <c r="L467" s="13">
        <v>12309</v>
      </c>
      <c r="M467" t="str">
        <f>VLOOKUP(L467,[1]Human_BrainSpan!$B$2:$C$4000,2,FALSE)</f>
        <v>CIC</v>
      </c>
    </row>
    <row r="468" spans="2:13" x14ac:dyDescent="0.25">
      <c r="B468" s="31" t="s">
        <v>25743</v>
      </c>
      <c r="C468" s="20"/>
      <c r="D468" s="25" t="s">
        <v>987</v>
      </c>
      <c r="E468" s="25"/>
      <c r="F468" s="9" t="str">
        <f>HYPERLINK("https://www.ebi.ac.uk/ols/ontologies/uberon/terms?iri=http://purl.obolibrary.org/obo/UBERON_0002563","central nucleus of inferior colliculus")</f>
        <v>central nucleus of inferior colliculus</v>
      </c>
      <c r="G468" s="9" t="s">
        <v>986</v>
      </c>
      <c r="H468" s="9" t="s">
        <v>16989</v>
      </c>
      <c r="I468" s="9" t="s">
        <v>712</v>
      </c>
      <c r="J468" s="9" t="s">
        <v>713</v>
      </c>
      <c r="K468" s="5" t="s">
        <v>15173</v>
      </c>
      <c r="L468" s="13">
        <v>16698</v>
      </c>
      <c r="M468" t="str">
        <f>VLOOKUP(L468,[1]DevMouse!$B$2:$C$2693,2,FALSE)</f>
        <v>CIC</v>
      </c>
    </row>
    <row r="469" spans="2:13" x14ac:dyDescent="0.25">
      <c r="B469" s="31" t="s">
        <v>25743</v>
      </c>
      <c r="C469" s="20"/>
      <c r="D469" s="25" t="s">
        <v>987</v>
      </c>
      <c r="E469" s="25"/>
      <c r="F469" s="9" t="str">
        <f>HYPERLINK("https://www.ebi.ac.uk/ols/ontologies/uberon/terms?iri=http://purl.obolibrary.org/obo/UBERON_0002563","central nucleus of inferior colliculus")</f>
        <v>central nucleus of inferior colliculus</v>
      </c>
      <c r="G469" s="9" t="s">
        <v>986</v>
      </c>
      <c r="H469" s="9" t="s">
        <v>16989</v>
      </c>
      <c r="I469" s="9" t="s">
        <v>989</v>
      </c>
      <c r="J469" s="9" t="s">
        <v>990</v>
      </c>
      <c r="K469" s="7" t="s">
        <v>15171</v>
      </c>
      <c r="L469" s="13">
        <v>9104</v>
      </c>
      <c r="M469" t="str">
        <f>VLOOKUP(L469,[1]HBA!$B$2:$C$4000,2,FALSE)</f>
        <v>CIC</v>
      </c>
    </row>
    <row r="470" spans="2:13" x14ac:dyDescent="0.25">
      <c r="B470" s="31" t="s">
        <v>25743</v>
      </c>
      <c r="C470" s="20"/>
      <c r="D470" s="25" t="s">
        <v>987</v>
      </c>
      <c r="E470" s="25"/>
      <c r="F470" s="9" t="str">
        <f>HYPERLINK("https://www.ebi.ac.uk/ols/ontologies/uberon/terms?iri=http://purl.obolibrary.org/obo/UBERON_0002563","central nucleus of inferior colliculus")</f>
        <v>central nucleus of inferior colliculus</v>
      </c>
      <c r="G470" s="9" t="s">
        <v>986</v>
      </c>
      <c r="H470" s="9" t="s">
        <v>20173</v>
      </c>
      <c r="I470" s="9" t="s">
        <v>829</v>
      </c>
      <c r="J470" s="9" t="s">
        <v>830</v>
      </c>
      <c r="K470" s="3" t="s">
        <v>15176</v>
      </c>
      <c r="L470" s="13">
        <v>811</v>
      </c>
      <c r="M470" t="str">
        <f>VLOOKUP(L470,[1]Mouse_ARA!$B$2:$C$1328,2,FALSE)</f>
        <v>ICc</v>
      </c>
    </row>
    <row r="471" spans="2:13" x14ac:dyDescent="0.25">
      <c r="B471" s="31" t="s">
        <v>25743</v>
      </c>
      <c r="C471" s="20"/>
      <c r="D471" s="25" t="s">
        <v>992</v>
      </c>
      <c r="E471" s="25"/>
      <c r="F471" s="9" t="str">
        <f>HYPERLINK("https://www.ebi.ac.uk/ols/ontologies/uberon/terms?iri=http://purl.obolibrary.org/obo/UBERON_0002960","central oculomotor nucleus")</f>
        <v>central oculomotor nucleus</v>
      </c>
      <c r="G471" s="9" t="s">
        <v>991</v>
      </c>
      <c r="H471" s="9" t="s">
        <v>23927</v>
      </c>
      <c r="I471" s="9" t="s">
        <v>992</v>
      </c>
      <c r="J471" s="9" t="s">
        <v>993</v>
      </c>
      <c r="K471" s="4" t="s">
        <v>15175</v>
      </c>
      <c r="L471" s="13">
        <v>12201</v>
      </c>
      <c r="M471" t="str">
        <f>VLOOKUP(L471,[1]Human_BrainSpan!$B$2:$C$4000,2,FALSE)</f>
        <v>3C</v>
      </c>
    </row>
    <row r="472" spans="2:13" x14ac:dyDescent="0.25">
      <c r="B472" s="31" t="s">
        <v>25743</v>
      </c>
      <c r="C472" s="20"/>
      <c r="D472" s="25" t="s">
        <v>992</v>
      </c>
      <c r="E472" s="25"/>
      <c r="F472" s="9" t="str">
        <f>HYPERLINK("https://www.ebi.ac.uk/ols/ontologies/uberon/terms?iri=http://purl.obolibrary.org/obo/UBERON_0002960","central oculomotor nucleus")</f>
        <v>central oculomotor nucleus</v>
      </c>
      <c r="G472" s="9" t="s">
        <v>991</v>
      </c>
      <c r="H472" s="9" t="s">
        <v>25285</v>
      </c>
      <c r="I472" s="9" t="s">
        <v>994</v>
      </c>
      <c r="J472" s="9" t="s">
        <v>995</v>
      </c>
      <c r="K472" s="7" t="s">
        <v>15171</v>
      </c>
      <c r="L472" s="13">
        <v>9034</v>
      </c>
      <c r="M472" t="str">
        <f>VLOOKUP(L472,[1]HBA!$B$2:$C$4000,2,FALSE)</f>
        <v>C3</v>
      </c>
    </row>
    <row r="473" spans="2:13" x14ac:dyDescent="0.25">
      <c r="B473" s="31" t="s">
        <v>25743</v>
      </c>
      <c r="C473" s="20"/>
      <c r="D473" s="25" t="s">
        <v>25834</v>
      </c>
      <c r="E473" s="25"/>
      <c r="F473" s="9" t="str">
        <f>HYPERLINK("https://www.ebi.ac.uk/ols/ontologies/uberon/terms?iri=http://purl.obolibrary.org/obo/UBERON_0035113","central part of mediodorsal nucleus of the thalamus")</f>
        <v>central part of mediodorsal nucleus of the thalamus</v>
      </c>
      <c r="G473" s="9" t="s">
        <v>996</v>
      </c>
      <c r="H473" s="9" t="s">
        <v>19948</v>
      </c>
      <c r="I473" s="9" t="s">
        <v>997</v>
      </c>
      <c r="J473" s="9" t="s">
        <v>998</v>
      </c>
      <c r="K473" s="3" t="s">
        <v>15176</v>
      </c>
      <c r="L473" s="13">
        <v>617</v>
      </c>
      <c r="M473" t="str">
        <f>VLOOKUP(L473,[1]Mouse_ARA!$B$2:$C$1328,2,FALSE)</f>
        <v>MDc</v>
      </c>
    </row>
    <row r="474" spans="2:13" x14ac:dyDescent="0.25">
      <c r="B474" s="31" t="s">
        <v>25743</v>
      </c>
      <c r="C474" s="20"/>
      <c r="D474" s="25" t="s">
        <v>1000</v>
      </c>
      <c r="E474" s="25"/>
      <c r="F474" s="9" t="str">
        <f>HYPERLINK("https://www.ebi.ac.uk/ols/ontologies/uberon/terms?iri=http://purl.obolibrary.org/obo/UBERON_0002916","central sulcus")</f>
        <v>central sulcus</v>
      </c>
      <c r="G474" s="9" t="s">
        <v>999</v>
      </c>
      <c r="H474" s="9" t="s">
        <v>23699</v>
      </c>
      <c r="I474" s="9" t="s">
        <v>1000</v>
      </c>
      <c r="J474" s="9" t="s">
        <v>1001</v>
      </c>
      <c r="K474" s="4" t="s">
        <v>15175</v>
      </c>
      <c r="L474" s="13">
        <v>10614</v>
      </c>
      <c r="M474" t="str">
        <f>VLOOKUP(L474,[1]Human_BrainSpan!$B$2:$C$4000,2,FALSE)</f>
        <v>cs</v>
      </c>
    </row>
    <row r="475" spans="2:13" x14ac:dyDescent="0.25">
      <c r="B475" s="31" t="s">
        <v>25743</v>
      </c>
      <c r="C475" s="20"/>
      <c r="D475" s="25" t="s">
        <v>1000</v>
      </c>
      <c r="E475" s="25"/>
      <c r="F475" s="9" t="str">
        <f>HYPERLINK("https://www.ebi.ac.uk/ols/ontologies/uberon/terms?iri=http://purl.obolibrary.org/obo/UBERON_0002916","central sulcus")</f>
        <v>central sulcus</v>
      </c>
      <c r="G475" s="9" t="s">
        <v>999</v>
      </c>
      <c r="H475" s="9" t="s">
        <v>23699</v>
      </c>
      <c r="I475" s="9" t="s">
        <v>1000</v>
      </c>
      <c r="J475" s="9" t="s">
        <v>1002</v>
      </c>
      <c r="K475" s="7" t="s">
        <v>15171</v>
      </c>
      <c r="L475" s="13">
        <v>9403</v>
      </c>
      <c r="M475" t="str">
        <f>VLOOKUP(L475,[1]HBA!$B$2:$C$4000,2,FALSE)</f>
        <v>cs</v>
      </c>
    </row>
    <row r="476" spans="2:13" x14ac:dyDescent="0.25">
      <c r="B476" s="31" t="s">
        <v>25743</v>
      </c>
      <c r="C476" s="20"/>
      <c r="D476" s="25" t="s">
        <v>1004</v>
      </c>
      <c r="E476" s="25"/>
      <c r="F476" s="9" t="str">
        <f>HYPERLINK("https://www.ebi.ac.uk/ols/ontologies/uberon/terms?iri=http://purl.obolibrary.org/obo/UBERON_0035925","central sulcus of insula")</f>
        <v>central sulcus of insula</v>
      </c>
      <c r="G476" s="9" t="s">
        <v>1003</v>
      </c>
      <c r="H476" s="9" t="s">
        <v>23733</v>
      </c>
      <c r="I476" s="9" t="s">
        <v>1004</v>
      </c>
      <c r="J476" s="9" t="s">
        <v>1005</v>
      </c>
      <c r="K476" s="4" t="s">
        <v>15175</v>
      </c>
      <c r="L476" s="13">
        <v>13227</v>
      </c>
      <c r="M476" t="str">
        <f>VLOOKUP(L476,[1]Human_BrainSpan!$B$2:$C$4000,2,FALSE)</f>
        <v>csin</v>
      </c>
    </row>
    <row r="477" spans="2:13" x14ac:dyDescent="0.25">
      <c r="B477" s="31" t="s">
        <v>25743</v>
      </c>
      <c r="C477" s="20"/>
      <c r="D477" s="25" t="s">
        <v>1004</v>
      </c>
      <c r="E477" s="25"/>
      <c r="F477" s="9" t="str">
        <f>HYPERLINK("https://www.ebi.ac.uk/ols/ontologies/uberon/terms?iri=http://purl.obolibrary.org/obo/UBERON_0035925","central sulcus of insula")</f>
        <v>central sulcus of insula</v>
      </c>
      <c r="G477" s="9" t="s">
        <v>1003</v>
      </c>
      <c r="H477" s="9" t="s">
        <v>23700</v>
      </c>
      <c r="I477" s="9" t="s">
        <v>1004</v>
      </c>
      <c r="J477" s="9" t="s">
        <v>1006</v>
      </c>
      <c r="K477" s="7" t="s">
        <v>15171</v>
      </c>
      <c r="L477" s="13">
        <v>9399</v>
      </c>
      <c r="M477" t="str">
        <f>VLOOKUP(L477,[1]HBA!$B$2:$C$4000,2,FALSE)</f>
        <v>cis</v>
      </c>
    </row>
    <row r="478" spans="2:13" x14ac:dyDescent="0.25">
      <c r="B478" s="31" t="s">
        <v>25743</v>
      </c>
      <c r="C478" s="20"/>
      <c r="D478" s="25" t="s">
        <v>1008</v>
      </c>
      <c r="E478" s="25"/>
      <c r="F478" s="9" t="str">
        <f>HYPERLINK("https://www.ebi.ac.uk/ols/ontologies/uberon/terms?iri=http://purl.obolibrary.org/obo/UBERON_0009643","central tegmental tract")</f>
        <v>central tegmental tract</v>
      </c>
      <c r="G478" s="9" t="s">
        <v>1007</v>
      </c>
      <c r="H478" s="9" t="s">
        <v>24600</v>
      </c>
      <c r="I478" s="9" t="s">
        <v>1008</v>
      </c>
      <c r="J478" s="9" t="s">
        <v>1009</v>
      </c>
      <c r="K478" s="4" t="s">
        <v>15175</v>
      </c>
      <c r="L478" s="13">
        <v>12730</v>
      </c>
      <c r="M478" t="str">
        <f>VLOOKUP(L478,[1]Human_BrainSpan!$B$2:$C$4000,2,FALSE)</f>
        <v>ctg</v>
      </c>
    </row>
    <row r="479" spans="2:13" x14ac:dyDescent="0.25">
      <c r="B479" s="31" t="s">
        <v>25743</v>
      </c>
      <c r="C479" s="20"/>
      <c r="D479" s="25" t="s">
        <v>1008</v>
      </c>
      <c r="E479" s="25"/>
      <c r="F479" s="9" t="str">
        <f>HYPERLINK("https://www.ebi.ac.uk/ols/ontologies/uberon/terms?iri=http://purl.obolibrary.org/obo/UBERON_0009643","central tegmental tract")</f>
        <v>central tegmental tract</v>
      </c>
      <c r="G479" s="9" t="s">
        <v>1007</v>
      </c>
      <c r="H479" s="9" t="s">
        <v>24600</v>
      </c>
      <c r="I479" s="9" t="s">
        <v>1010</v>
      </c>
      <c r="J479" s="9" t="s">
        <v>1011</v>
      </c>
      <c r="K479" s="7" t="s">
        <v>15171</v>
      </c>
      <c r="L479" s="13">
        <v>12952</v>
      </c>
      <c r="M479" t="str">
        <f>VLOOKUP(L479,[1]HBA!$B$2:$C$4000,2,FALSE)</f>
        <v>ctg</v>
      </c>
    </row>
    <row r="480" spans="2:13" x14ac:dyDescent="0.25">
      <c r="B480" s="31" t="s">
        <v>25743</v>
      </c>
      <c r="C480" s="20" t="s">
        <v>25831</v>
      </c>
      <c r="D480" s="25" t="s">
        <v>1013</v>
      </c>
      <c r="E480" s="25"/>
      <c r="F480" s="9" t="str">
        <f>HYPERLINK("https://www.ebi.ac.uk/ols/ontologies/uberon/terms?iri=http://purl.obolibrary.org/obo/UBERON_0002972","centromedian nucleus of thalamus")</f>
        <v>centromedian nucleus of thalamus</v>
      </c>
      <c r="G480" s="9" t="s">
        <v>1012</v>
      </c>
      <c r="H480" s="9" t="s">
        <v>16405</v>
      </c>
      <c r="I480" s="9" t="s">
        <v>1013</v>
      </c>
      <c r="J480" s="9" t="s">
        <v>1014</v>
      </c>
      <c r="K480" s="4" t="s">
        <v>15175</v>
      </c>
      <c r="L480" s="13">
        <v>10449</v>
      </c>
      <c r="M480" t="str">
        <f>VLOOKUP(L480,[1]Human_BrainSpan!$B$2:$C$4000,2,FALSE)</f>
        <v>CM</v>
      </c>
    </row>
    <row r="481" spans="2:13" x14ac:dyDescent="0.25">
      <c r="B481" s="31" t="s">
        <v>25743</v>
      </c>
      <c r="C481" s="20"/>
      <c r="D481" s="25" t="s">
        <v>1013</v>
      </c>
      <c r="E481" s="25"/>
      <c r="F481" s="9" t="str">
        <f>HYPERLINK("https://www.ebi.ac.uk/ols/ontologies/uberon/terms?iri=http://purl.obolibrary.org/obo/UBERON_0002972","centromedian nucleus of thalamus")</f>
        <v>centromedian nucleus of thalamus</v>
      </c>
      <c r="G481" s="9" t="s">
        <v>1012</v>
      </c>
      <c r="H481" s="9" t="s">
        <v>16405</v>
      </c>
      <c r="I481" s="9" t="s">
        <v>670</v>
      </c>
      <c r="J481" s="9" t="s">
        <v>671</v>
      </c>
      <c r="K481" s="5" t="s">
        <v>15173</v>
      </c>
      <c r="L481" s="13">
        <v>16402</v>
      </c>
      <c r="M481" t="str">
        <f>VLOOKUP(L481,[1]DevMouse!$B$2:$C$2693,2,FALSE)</f>
        <v>CM</v>
      </c>
    </row>
    <row r="482" spans="2:13" x14ac:dyDescent="0.25">
      <c r="B482" s="37" t="s">
        <v>25743</v>
      </c>
      <c r="C482" s="20"/>
      <c r="D482" s="25" t="s">
        <v>615</v>
      </c>
      <c r="E482" s="25"/>
      <c r="F482" s="9" t="str">
        <f>HYPERLINK("https://www.ebi.ac.uk/ols/ontologies/uberon/terms?iri=http://purl.obolibrary.org/obo/UBERON_0006847","cerebellar commissure")</f>
        <v>cerebellar commissure</v>
      </c>
      <c r="G482" s="9" t="s">
        <v>1015</v>
      </c>
      <c r="H482" s="9" t="s">
        <v>18442</v>
      </c>
      <c r="I482" s="9" t="s">
        <v>615</v>
      </c>
      <c r="J482" s="9" t="s">
        <v>616</v>
      </c>
      <c r="K482" s="5" t="s">
        <v>15173</v>
      </c>
      <c r="L482" s="13">
        <v>17754</v>
      </c>
      <c r="M482" t="str">
        <f>VLOOKUP(L482,[1]DevMouse!$B$2:$C$2693,2,FALSE)</f>
        <v>cbc</v>
      </c>
    </row>
    <row r="483" spans="2:13" x14ac:dyDescent="0.25">
      <c r="B483" s="37" t="s">
        <v>25743</v>
      </c>
      <c r="C483" s="20"/>
      <c r="D483" s="25" t="s">
        <v>615</v>
      </c>
      <c r="E483" s="25"/>
      <c r="F483" s="9" t="str">
        <f>HYPERLINK("https://www.ebi.ac.uk/ols/ontologies/uberon/terms?iri=http://purl.obolibrary.org/obo/UBERON_0006847","cerebellar commissure")</f>
        <v>cerebellar commissure</v>
      </c>
      <c r="G483" s="9" t="s">
        <v>1015</v>
      </c>
      <c r="H483" s="9" t="s">
        <v>18442</v>
      </c>
      <c r="I483" s="9" t="s">
        <v>615</v>
      </c>
      <c r="J483" s="9" t="s">
        <v>617</v>
      </c>
      <c r="K483" s="3" t="s">
        <v>15176</v>
      </c>
      <c r="L483" s="13">
        <v>744</v>
      </c>
      <c r="M483" t="str">
        <f>VLOOKUP(L483,[1]Mouse_ARA!$B$2:$C$1328,2,FALSE)</f>
        <v>cbc</v>
      </c>
    </row>
    <row r="484" spans="2:13" x14ac:dyDescent="0.25">
      <c r="B484" s="37" t="s">
        <v>25743</v>
      </c>
      <c r="C484" s="20"/>
      <c r="D484" s="25" t="s">
        <v>1017</v>
      </c>
      <c r="E484" s="25"/>
      <c r="F484" s="9" t="str">
        <f>HYPERLINK("https://www.ebi.ac.uk/ols/ontologies/uberon/terms?iri=http://purl.obolibrary.org/obo/UBERON_0002129","cerebellar cortex")</f>
        <v>cerebellar cortex</v>
      </c>
      <c r="G484" s="9" t="s">
        <v>1016</v>
      </c>
      <c r="H484" s="9" t="s">
        <v>24190</v>
      </c>
      <c r="I484" s="9" t="s">
        <v>1017</v>
      </c>
      <c r="J484" s="9" t="s">
        <v>1018</v>
      </c>
      <c r="K484" s="4" t="s">
        <v>15175</v>
      </c>
      <c r="L484" s="13">
        <v>10657</v>
      </c>
      <c r="M484" t="str">
        <f>VLOOKUP(L484,[1]Human_BrainSpan!$B$2:$C$4000,2,FALSE)</f>
        <v>CBC</v>
      </c>
    </row>
    <row r="485" spans="2:13" x14ac:dyDescent="0.25">
      <c r="B485" s="37" t="s">
        <v>25743</v>
      </c>
      <c r="C485" s="20"/>
      <c r="D485" s="25" t="s">
        <v>1017</v>
      </c>
      <c r="E485" s="25"/>
      <c r="F485" s="9" t="str">
        <f>HYPERLINK("https://www.ebi.ac.uk/ols/ontologies/uberon/terms?iri=http://purl.obolibrary.org/obo/UBERON_0002129","cerebellar cortex")</f>
        <v>cerebellar cortex</v>
      </c>
      <c r="G485" s="9" t="s">
        <v>1016</v>
      </c>
      <c r="H485" s="9" t="s">
        <v>17379</v>
      </c>
      <c r="I485" s="9" t="s">
        <v>1019</v>
      </c>
      <c r="J485" s="9" t="s">
        <v>1020</v>
      </c>
      <c r="K485" s="5" t="s">
        <v>15173</v>
      </c>
      <c r="L485" s="13">
        <v>16939</v>
      </c>
      <c r="M485" t="str">
        <f>VLOOKUP(L485,[1]DevMouse!$B$2:$C$2693,2,FALSE)</f>
        <v>CbHCx</v>
      </c>
    </row>
    <row r="486" spans="2:13" x14ac:dyDescent="0.25">
      <c r="B486" s="37" t="s">
        <v>25743</v>
      </c>
      <c r="C486" s="20"/>
      <c r="D486" s="25" t="s">
        <v>1017</v>
      </c>
      <c r="E486" s="25"/>
      <c r="F486" s="9" t="str">
        <f>HYPERLINK("https://www.ebi.ac.uk/ols/ontologies/uberon/terms?iri=http://purl.obolibrary.org/obo/UBERON_0002129","cerebellar cortex")</f>
        <v>cerebellar cortex</v>
      </c>
      <c r="G486" s="9" t="s">
        <v>1016</v>
      </c>
      <c r="H486" s="9" t="s">
        <v>25336</v>
      </c>
      <c r="I486" s="9" t="s">
        <v>1017</v>
      </c>
      <c r="J486" s="9" t="s">
        <v>1021</v>
      </c>
      <c r="K486" s="7" t="s">
        <v>15171</v>
      </c>
      <c r="L486" s="13">
        <v>4697</v>
      </c>
      <c r="M486" t="str">
        <f>VLOOKUP(L486,[1]HBA!$B$2:$C$4000,2,FALSE)</f>
        <v>CbCx</v>
      </c>
    </row>
    <row r="487" spans="2:13" x14ac:dyDescent="0.25">
      <c r="B487" s="37" t="s">
        <v>25743</v>
      </c>
      <c r="C487" s="20"/>
      <c r="D487" s="25" t="s">
        <v>1017</v>
      </c>
      <c r="E487" s="25"/>
      <c r="F487" s="9" t="str">
        <f>HYPERLINK("https://www.ebi.ac.uk/ols/ontologies/uberon/terms?iri=http://purl.obolibrary.org/obo/UBERON_0002129","cerebellar cortex")</f>
        <v>cerebellar cortex</v>
      </c>
      <c r="G487" s="9" t="s">
        <v>1016</v>
      </c>
      <c r="H487" s="9" t="s">
        <v>20550</v>
      </c>
      <c r="I487" s="9" t="s">
        <v>1017</v>
      </c>
      <c r="J487" s="9" t="s">
        <v>1022</v>
      </c>
      <c r="K487" s="3" t="s">
        <v>15176</v>
      </c>
      <c r="L487" s="13">
        <v>528</v>
      </c>
      <c r="M487" t="str">
        <f>VLOOKUP(L487,[1]Mouse_ARA!$B$2:$C$1328,2,FALSE)</f>
        <v>CBX</v>
      </c>
    </row>
    <row r="488" spans="2:13" x14ac:dyDescent="0.25">
      <c r="B488" s="37" t="s">
        <v>25743</v>
      </c>
      <c r="C488" s="20"/>
      <c r="D488" s="25" t="s">
        <v>1024</v>
      </c>
      <c r="E488" s="25"/>
      <c r="F488" s="9" t="str">
        <f>HYPERLINK("https://www.ebi.ac.uk/ols/ontologies/uberon/terms?iri=http://purl.obolibrary.org/obo/UBERON_0002245","cerebellar hemisphere")</f>
        <v>cerebellar hemisphere</v>
      </c>
      <c r="G488" s="9" t="s">
        <v>1023</v>
      </c>
      <c r="H488" s="9" t="s">
        <v>24209</v>
      </c>
      <c r="I488" s="9" t="s">
        <v>1024</v>
      </c>
      <c r="J488" s="9" t="s">
        <v>1025</v>
      </c>
      <c r="K488" s="4" t="s">
        <v>15175</v>
      </c>
      <c r="L488" s="13">
        <v>10659</v>
      </c>
      <c r="M488" t="str">
        <f>VLOOKUP(L488,[1]Human_BrainSpan!$B$2:$C$4000,2,FALSE)</f>
        <v>CBH</v>
      </c>
    </row>
    <row r="489" spans="2:13" x14ac:dyDescent="0.25">
      <c r="B489" s="37" t="s">
        <v>25743</v>
      </c>
      <c r="C489" s="20"/>
      <c r="D489" s="25" t="s">
        <v>1024</v>
      </c>
      <c r="E489" s="25"/>
      <c r="F489" s="9" t="str">
        <f>HYPERLINK("https://www.ebi.ac.uk/ols/ontologies/uberon/terms?iri=http://purl.obolibrary.org/obo/UBERON_0002245","cerebellar hemisphere")</f>
        <v>cerebellar hemisphere</v>
      </c>
      <c r="G489" s="9" t="s">
        <v>1023</v>
      </c>
      <c r="H489" s="9" t="s">
        <v>17360</v>
      </c>
      <c r="I489" s="9" t="s">
        <v>1024</v>
      </c>
      <c r="J489" s="9" t="s">
        <v>1026</v>
      </c>
      <c r="K489" s="5" t="s">
        <v>15173</v>
      </c>
      <c r="L489" s="13">
        <v>16920</v>
      </c>
      <c r="M489" t="str">
        <f>VLOOKUP(L489,[1]DevMouse!$B$2:$C$2693,2,FALSE)</f>
        <v>CbH</v>
      </c>
    </row>
    <row r="490" spans="2:13" x14ac:dyDescent="0.25">
      <c r="B490" s="37" t="s">
        <v>25743</v>
      </c>
      <c r="C490" s="20"/>
      <c r="D490" s="25" t="s">
        <v>1024</v>
      </c>
      <c r="E490" s="25"/>
      <c r="F490" s="9" t="str">
        <f>HYPERLINK("https://www.ebi.ac.uk/ols/ontologies/uberon/terms?iri=http://purl.obolibrary.org/obo/UBERON_0002245","cerebellar hemisphere")</f>
        <v>cerebellar hemisphere</v>
      </c>
      <c r="G490" s="9" t="s">
        <v>1023</v>
      </c>
      <c r="H490" s="9" t="s">
        <v>17360</v>
      </c>
      <c r="I490" s="9" t="s">
        <v>1027</v>
      </c>
      <c r="J490" s="9" t="s">
        <v>1028</v>
      </c>
      <c r="K490" s="7" t="s">
        <v>15171</v>
      </c>
      <c r="L490" s="13">
        <v>12930</v>
      </c>
      <c r="M490" t="str">
        <f>VLOOKUP(L490,[1]HBA!$B$2:$C$4000,2,FALSE)</f>
        <v>CbH</v>
      </c>
    </row>
    <row r="491" spans="2:13" x14ac:dyDescent="0.25">
      <c r="B491" s="31" t="s">
        <v>25743</v>
      </c>
      <c r="C491" s="20"/>
      <c r="D491" s="25" t="s">
        <v>1024</v>
      </c>
      <c r="E491" s="25"/>
      <c r="F491" s="9" t="str">
        <f>HYPERLINK("https://www.ebi.ac.uk/ols/ontologies/uberon/terms?iri=http://purl.obolibrary.org/obo/UBERON_0002245","cerebellar hemisphere")</f>
        <v>cerebellar hemisphere</v>
      </c>
      <c r="G491" s="9" t="s">
        <v>1023</v>
      </c>
      <c r="H491" s="9" t="s">
        <v>20652</v>
      </c>
      <c r="I491" s="9" t="s">
        <v>1029</v>
      </c>
      <c r="J491" s="9" t="s">
        <v>1030</v>
      </c>
      <c r="K491" s="3" t="s">
        <v>15176</v>
      </c>
      <c r="L491" s="13">
        <v>1073</v>
      </c>
      <c r="M491" t="str">
        <f>VLOOKUP(L491,[1]Mouse_ARA!$B$2:$C$1328,2,FALSE)</f>
        <v>HEM</v>
      </c>
    </row>
    <row r="492" spans="2:13" x14ac:dyDescent="0.25">
      <c r="B492" s="37" t="s">
        <v>25743</v>
      </c>
      <c r="C492" s="20"/>
      <c r="D492" s="25" t="s">
        <v>25835</v>
      </c>
      <c r="E492" s="25"/>
      <c r="F492" s="9" t="str">
        <f>HYPERLINK("https://www.ebi.ac.uk/ols/ontologies/uberon/terms?iri=http://purl.obolibrary.org/obo/UBERON_0002130","cerebellar nuclear complex")</f>
        <v>cerebellar nuclear complex</v>
      </c>
      <c r="G492" s="9" t="s">
        <v>1031</v>
      </c>
      <c r="H492" s="9" t="s">
        <v>24244</v>
      </c>
      <c r="I492" s="9" t="s">
        <v>1032</v>
      </c>
      <c r="J492" s="9" t="s">
        <v>1033</v>
      </c>
      <c r="K492" s="4" t="s">
        <v>15175</v>
      </c>
      <c r="L492" s="13">
        <v>10660</v>
      </c>
      <c r="M492" t="str">
        <f>VLOOKUP(L492,[1]Human_BrainSpan!$B$2:$C$4000,2,FALSE)</f>
        <v>CbDN</v>
      </c>
    </row>
    <row r="493" spans="2:13" x14ac:dyDescent="0.25">
      <c r="B493" s="37" t="s">
        <v>25743</v>
      </c>
      <c r="C493" s="20"/>
      <c r="D493" s="25" t="s">
        <v>25835</v>
      </c>
      <c r="E493" s="25"/>
      <c r="F493" s="9" t="str">
        <f>HYPERLINK("https://www.ebi.ac.uk/ols/ontologies/uberon/terms?iri=http://purl.obolibrary.org/obo/UBERON_0002130","cerebellar nuclear complex")</f>
        <v>cerebellar nuclear complex</v>
      </c>
      <c r="G493" s="9" t="s">
        <v>1031</v>
      </c>
      <c r="H493" s="9" t="s">
        <v>25427</v>
      </c>
      <c r="I493" s="9" t="s">
        <v>1034</v>
      </c>
      <c r="J493" s="9" t="s">
        <v>1035</v>
      </c>
      <c r="K493" s="7" t="s">
        <v>15171</v>
      </c>
      <c r="L493" s="13">
        <v>4780</v>
      </c>
      <c r="M493" t="str">
        <f>VLOOKUP(L493,[1]HBA!$B$2:$C$4000,2,FALSE)</f>
        <v>CbN</v>
      </c>
    </row>
    <row r="494" spans="2:13" x14ac:dyDescent="0.25">
      <c r="B494" s="37" t="s">
        <v>25743</v>
      </c>
      <c r="C494" s="20"/>
      <c r="D494" s="25" t="s">
        <v>25835</v>
      </c>
      <c r="E494" s="25"/>
      <c r="F494" s="9" t="str">
        <f>HYPERLINK("https://www.ebi.ac.uk/ols/ontologies/uberon/terms?iri=http://purl.obolibrary.org/obo/UBERON_0002130","cerebellar nuclear complex")</f>
        <v>cerebellar nuclear complex</v>
      </c>
      <c r="G494" s="9" t="s">
        <v>1031</v>
      </c>
      <c r="H494" s="9" t="s">
        <v>20712</v>
      </c>
      <c r="I494" s="9" t="s">
        <v>1034</v>
      </c>
      <c r="J494" s="9" t="s">
        <v>1036</v>
      </c>
      <c r="K494" s="3" t="s">
        <v>15176</v>
      </c>
      <c r="L494" s="13">
        <v>519</v>
      </c>
      <c r="M494" t="str">
        <f>VLOOKUP(L494,[1]Mouse_ARA!$B$2:$C$1328,2,FALSE)</f>
        <v>CBN</v>
      </c>
    </row>
    <row r="495" spans="2:13" x14ac:dyDescent="0.25">
      <c r="B495" s="37" t="s">
        <v>25743</v>
      </c>
      <c r="C495" s="20"/>
      <c r="D495" s="25" t="s">
        <v>25836</v>
      </c>
      <c r="E495" s="25"/>
      <c r="F495" s="9" t="str">
        <f>HYPERLINK("https://www.ebi.ac.uk/ols/ontologies/uberon/terms?iri=http://purl.obolibrary.org/obo/UBERON_0007416","cerebellar peduncle")</f>
        <v>cerebellar peduncle</v>
      </c>
      <c r="G495" s="9" t="s">
        <v>1037</v>
      </c>
      <c r="H495" s="9" t="s">
        <v>20802</v>
      </c>
      <c r="I495" s="9" t="s">
        <v>1038</v>
      </c>
      <c r="J495" s="9" t="s">
        <v>1039</v>
      </c>
      <c r="K495" s="3" t="s">
        <v>15176</v>
      </c>
      <c r="L495" s="13">
        <v>752</v>
      </c>
      <c r="M495" t="str">
        <f>VLOOKUP(L495,[1]Mouse_ARA!$B$2:$C$1328,2,FALSE)</f>
        <v>cbp</v>
      </c>
    </row>
    <row r="496" spans="2:13" x14ac:dyDescent="0.25">
      <c r="B496" s="37" t="s">
        <v>26303</v>
      </c>
      <c r="C496" s="25" t="s">
        <v>25836</v>
      </c>
      <c r="D496" s="25" t="s">
        <v>25837</v>
      </c>
      <c r="E496" s="25"/>
      <c r="F496" s="9" t="str">
        <f>HYPERLINK("https://www.ebi.ac.uk/ols/ontologies/uberon/terms?iri=http://purl.obolibrary.org/obo/UBERON_0002474","cerebellar peduncular complex")</f>
        <v>cerebellar peduncular complex</v>
      </c>
      <c r="G496" s="9" t="s">
        <v>1040</v>
      </c>
      <c r="H496" s="9" t="s">
        <v>20802</v>
      </c>
      <c r="I496" s="9" t="s">
        <v>1038</v>
      </c>
      <c r="J496" s="9" t="s">
        <v>1039</v>
      </c>
      <c r="K496" s="3" t="s">
        <v>15176</v>
      </c>
      <c r="L496" s="13">
        <v>752</v>
      </c>
      <c r="M496" t="str">
        <f>VLOOKUP(L496,[1]Mouse_ARA!$B$2:$C$1328,2,FALSE)</f>
        <v>cbp</v>
      </c>
    </row>
    <row r="497" spans="2:13" x14ac:dyDescent="0.25">
      <c r="B497" s="37" t="s">
        <v>25743</v>
      </c>
      <c r="C497" s="20"/>
      <c r="D497" s="25" t="s">
        <v>1042</v>
      </c>
      <c r="E497" s="25"/>
      <c r="F497" s="9" t="str">
        <f>HYPERLINK("https://www.ebi.ac.uk/ols/ontologies/uberon/terms?iri=http://purl.obolibrary.org/obo/UBERON_0004008","cerebellar plate")</f>
        <v>cerebellar plate</v>
      </c>
      <c r="G497" s="9" t="s">
        <v>1041</v>
      </c>
      <c r="H497" s="9" t="s">
        <v>24528</v>
      </c>
      <c r="I497" s="9" t="s">
        <v>1042</v>
      </c>
      <c r="J497" s="9" t="s">
        <v>1043</v>
      </c>
      <c r="K497" s="4" t="s">
        <v>15175</v>
      </c>
      <c r="L497" s="13">
        <v>12698</v>
      </c>
      <c r="M497" t="str">
        <f>VLOOKUP(L497,[1]Human_BrainSpan!$B$2:$C$4000,2,FALSE)</f>
        <v>CbP</v>
      </c>
    </row>
    <row r="498" spans="2:13" x14ac:dyDescent="0.25">
      <c r="B498" s="37" t="s">
        <v>25743</v>
      </c>
      <c r="C498" s="20"/>
      <c r="D498" s="25" t="s">
        <v>1045</v>
      </c>
      <c r="E498" s="25"/>
      <c r="F498" s="9" t="str">
        <f>HYPERLINK("https://www.ebi.ac.uk/ols/ontologies/uberon/terms?iri=http://purl.obolibrary.org/obo/UBERON_0004720","cerebellar vermis")</f>
        <v>cerebellar vermis</v>
      </c>
      <c r="G498" s="9" t="s">
        <v>1044</v>
      </c>
      <c r="H498" s="9" t="s">
        <v>24191</v>
      </c>
      <c r="I498" s="9" t="s">
        <v>1045</v>
      </c>
      <c r="J498" s="9" t="s">
        <v>1046</v>
      </c>
      <c r="K498" s="4" t="s">
        <v>15175</v>
      </c>
      <c r="L498" s="13">
        <v>10658</v>
      </c>
      <c r="M498" t="str">
        <f>VLOOKUP(L498,[1]Human_BrainSpan!$B$2:$C$4000,2,FALSE)</f>
        <v>CBV</v>
      </c>
    </row>
    <row r="499" spans="2:13" x14ac:dyDescent="0.25">
      <c r="B499" s="37" t="s">
        <v>25743</v>
      </c>
      <c r="C499" s="20"/>
      <c r="D499" s="25" t="s">
        <v>1045</v>
      </c>
      <c r="E499" s="25"/>
      <c r="F499" s="9" t="str">
        <f>HYPERLINK("https://www.ebi.ac.uk/ols/ontologies/uberon/terms?iri=http://purl.obolibrary.org/obo/UBERON_0004720","cerebellar vermis")</f>
        <v>cerebellar vermis</v>
      </c>
      <c r="G499" s="9" t="s">
        <v>1044</v>
      </c>
      <c r="H499" s="9" t="s">
        <v>17240</v>
      </c>
      <c r="I499" s="9" t="s">
        <v>1045</v>
      </c>
      <c r="J499" s="9" t="s">
        <v>1047</v>
      </c>
      <c r="K499" s="5" t="s">
        <v>15173</v>
      </c>
      <c r="L499" s="13">
        <v>16814</v>
      </c>
      <c r="M499" t="str">
        <f>VLOOKUP(L499,[1]DevMouse!$B$2:$C$2693,2,FALSE)</f>
        <v>CbV</v>
      </c>
    </row>
    <row r="500" spans="2:13" x14ac:dyDescent="0.25">
      <c r="B500" s="37" t="s">
        <v>25743</v>
      </c>
      <c r="C500" s="9"/>
      <c r="D500" s="25" t="s">
        <v>1045</v>
      </c>
      <c r="E500" s="25"/>
      <c r="F500" s="9" t="str">
        <f>HYPERLINK("https://www.ebi.ac.uk/ols/ontologies/uberon/terms?iri=http://purl.obolibrary.org/obo/UBERON_0004720","cerebellar vermis")</f>
        <v>cerebellar vermis</v>
      </c>
      <c r="G500" s="9" t="s">
        <v>1044</v>
      </c>
      <c r="H500" s="9" t="s">
        <v>25337</v>
      </c>
      <c r="I500" s="9" t="s">
        <v>1048</v>
      </c>
      <c r="J500" s="9" t="s">
        <v>1049</v>
      </c>
      <c r="K500" s="7" t="s">
        <v>15171</v>
      </c>
      <c r="L500" s="13">
        <v>4698</v>
      </c>
      <c r="M500" t="str">
        <f>VLOOKUP(L500,[1]HBA!$B$2:$C$4000,2,FALSE)</f>
        <v>Ve</v>
      </c>
    </row>
    <row r="501" spans="2:13" x14ac:dyDescent="0.25">
      <c r="B501" s="31" t="s">
        <v>25743</v>
      </c>
      <c r="C501" s="9"/>
      <c r="D501" s="25" t="s">
        <v>1045</v>
      </c>
      <c r="E501" s="25"/>
      <c r="F501" s="9" t="str">
        <f>HYPERLINK("https://www.ebi.ac.uk/ols/ontologies/uberon/terms?iri=http://purl.obolibrary.org/obo/UBERON_0004720","cerebellar vermis")</f>
        <v>cerebellar vermis</v>
      </c>
      <c r="G501" s="9" t="s">
        <v>1044</v>
      </c>
      <c r="H501" s="9" t="s">
        <v>20558</v>
      </c>
      <c r="I501" s="9" t="s">
        <v>1050</v>
      </c>
      <c r="J501" s="9" t="s">
        <v>1051</v>
      </c>
      <c r="K501" s="3" t="s">
        <v>15176</v>
      </c>
      <c r="L501" s="13">
        <v>645</v>
      </c>
      <c r="M501" t="str">
        <f>VLOOKUP(L501,[1]Mouse_ARA!$B$2:$C$1328,2,FALSE)</f>
        <v>VERM</v>
      </c>
    </row>
    <row r="502" spans="2:13" x14ac:dyDescent="0.25">
      <c r="B502" s="37" t="s">
        <v>25743</v>
      </c>
      <c r="C502" s="20"/>
      <c r="D502" s="25" t="s">
        <v>1053</v>
      </c>
      <c r="E502" s="25"/>
      <c r="F502" s="9" t="str">
        <f>HYPERLINK("https://www.ebi.ac.uk/ols/ontologies/uberon/terms?iri=http://purl.obolibrary.org/obo/UBERON_0002037","cerebellum")</f>
        <v>cerebellum</v>
      </c>
      <c r="G502" s="9" t="s">
        <v>1052</v>
      </c>
      <c r="H502" s="9" t="s">
        <v>20548</v>
      </c>
      <c r="I502" s="9" t="s">
        <v>1053</v>
      </c>
      <c r="J502" s="9" t="s">
        <v>1054</v>
      </c>
      <c r="K502" s="4" t="s">
        <v>15175</v>
      </c>
      <c r="L502" s="13">
        <v>10656</v>
      </c>
      <c r="M502" t="str">
        <f>VLOOKUP(L502,[1]Human_BrainSpan!$B$2:$C$4000,2,FALSE)</f>
        <v>CB</v>
      </c>
    </row>
    <row r="503" spans="2:13" x14ac:dyDescent="0.25">
      <c r="B503" s="37" t="s">
        <v>25743</v>
      </c>
      <c r="C503" s="20"/>
      <c r="D503" s="25" t="s">
        <v>1053</v>
      </c>
      <c r="E503" s="25"/>
      <c r="F503" s="9" t="str">
        <f>HYPERLINK("https://www.ebi.ac.uk/ols/ontologies/uberon/terms?iri=http://purl.obolibrary.org/obo/UBERON_0002037","cerebellum")</f>
        <v>cerebellum</v>
      </c>
      <c r="G503" s="9" t="s">
        <v>1052</v>
      </c>
      <c r="H503" s="9" t="s">
        <v>25335</v>
      </c>
      <c r="I503" s="9" t="s">
        <v>1053</v>
      </c>
      <c r="J503" s="9" t="s">
        <v>1055</v>
      </c>
      <c r="K503" s="7" t="s">
        <v>15171</v>
      </c>
      <c r="L503" s="13">
        <v>4696</v>
      </c>
      <c r="M503" t="str">
        <f>VLOOKUP(L503,[1]HBA!$B$2:$C$4000,2,FALSE)</f>
        <v>Cb</v>
      </c>
    </row>
    <row r="504" spans="2:13" x14ac:dyDescent="0.25">
      <c r="B504" s="37" t="s">
        <v>25743</v>
      </c>
      <c r="C504" s="20"/>
      <c r="D504" s="25" t="s">
        <v>1053</v>
      </c>
      <c r="E504" s="25"/>
      <c r="F504" s="9" t="str">
        <f>HYPERLINK("https://www.ebi.ac.uk/ols/ontologies/uberon/terms?iri=http://purl.obolibrary.org/obo/UBERON_0002037","cerebellum")</f>
        <v>cerebellum</v>
      </c>
      <c r="G504" s="9" t="s">
        <v>1052</v>
      </c>
      <c r="H504" s="9" t="s">
        <v>20548</v>
      </c>
      <c r="I504" s="9" t="s">
        <v>1053</v>
      </c>
      <c r="J504" s="9" t="s">
        <v>1056</v>
      </c>
      <c r="K504" s="3" t="s">
        <v>15176</v>
      </c>
      <c r="L504" s="13">
        <v>512</v>
      </c>
      <c r="M504" t="str">
        <f>VLOOKUP(L504,[1]Mouse_ARA!$B$2:$C$1328,2,FALSE)</f>
        <v>CB</v>
      </c>
    </row>
    <row r="505" spans="2:13" x14ac:dyDescent="0.25">
      <c r="B505" s="37" t="s">
        <v>25743</v>
      </c>
      <c r="C505" s="20"/>
      <c r="D505" s="25" t="s">
        <v>25838</v>
      </c>
      <c r="E505" s="25"/>
      <c r="F505" s="9" t="str">
        <f>HYPERLINK("https://www.ebi.ac.uk/ols/ontologies/uberon/terms?iri=http://purl.obolibrary.org/obo/UBERON_0003941","cerebellum anterior vermis")</f>
        <v>cerebellum anterior vermis</v>
      </c>
      <c r="G505" s="9" t="s">
        <v>1057</v>
      </c>
      <c r="H505" s="9" t="s">
        <v>25338</v>
      </c>
      <c r="I505" s="9" t="s">
        <v>1058</v>
      </c>
      <c r="J505" s="9" t="s">
        <v>1059</v>
      </c>
      <c r="K505" s="7" t="s">
        <v>15171</v>
      </c>
      <c r="L505" s="13">
        <v>4699</v>
      </c>
      <c r="M505" t="str">
        <f>VLOOKUP(L505,[1]HBA!$B$2:$C$4000,2,FALSE)</f>
        <v>ALVCb</v>
      </c>
    </row>
    <row r="506" spans="2:13" x14ac:dyDescent="0.25">
      <c r="B506" s="37" t="s">
        <v>25743</v>
      </c>
      <c r="C506" s="20"/>
      <c r="D506" s="25" t="s">
        <v>25839</v>
      </c>
      <c r="E506" s="25"/>
      <c r="F506" s="9" t="str">
        <f>HYPERLINK("https://www.ebi.ac.uk/ols/ontologies/uberon/terms?iri=http://purl.obolibrary.org/obo/UBERON_0003980","cerebellum fissure")</f>
        <v>cerebellum fissure</v>
      </c>
      <c r="G506" s="9" t="s">
        <v>1060</v>
      </c>
      <c r="H506" s="9" t="s">
        <v>20800</v>
      </c>
      <c r="I506" s="9" t="s">
        <v>1061</v>
      </c>
      <c r="J506" s="9" t="s">
        <v>1062</v>
      </c>
      <c r="K506" s="4" t="s">
        <v>15175</v>
      </c>
      <c r="L506" s="13">
        <v>12828</v>
      </c>
      <c r="M506" t="str">
        <f>VLOOKUP(L506,[1]Human_BrainSpan!$B$2:$C$4000,2,FALSE)</f>
        <v>cbf</v>
      </c>
    </row>
    <row r="507" spans="2:13" x14ac:dyDescent="0.25">
      <c r="B507" s="37" t="s">
        <v>25743</v>
      </c>
      <c r="C507" s="20"/>
      <c r="D507" s="25" t="s">
        <v>25839</v>
      </c>
      <c r="E507" s="25"/>
      <c r="F507" s="9" t="str">
        <f>HYPERLINK("https://www.ebi.ac.uk/ols/ontologies/uberon/terms?iri=http://purl.obolibrary.org/obo/UBERON_0003980","cerebellum fissure")</f>
        <v>cerebellum fissure</v>
      </c>
      <c r="G507" s="9" t="s">
        <v>1060</v>
      </c>
      <c r="H507" s="9" t="s">
        <v>25555</v>
      </c>
      <c r="I507" s="9" t="s">
        <v>1063</v>
      </c>
      <c r="J507" s="9" t="s">
        <v>1064</v>
      </c>
      <c r="K507" s="7" t="s">
        <v>15171</v>
      </c>
      <c r="L507" s="13">
        <v>9406</v>
      </c>
      <c r="M507" t="str">
        <f>VLOOKUP(L507,[1]HBA!$B$2:$C$4000,2,FALSE)</f>
        <v>Cbs</v>
      </c>
    </row>
    <row r="508" spans="2:13" x14ac:dyDescent="0.25">
      <c r="B508" s="31" t="s">
        <v>25743</v>
      </c>
      <c r="C508" s="20"/>
      <c r="D508" s="25" t="s">
        <v>25840</v>
      </c>
      <c r="E508" s="25"/>
      <c r="F508" s="9" t="str">
        <f>HYPERLINK("https://www.ebi.ac.uk/ols/ontologies/uberon/terms?iri=http://purl.obolibrary.org/obo/UBERON_0002613","cerebellum globose nucleus")</f>
        <v>cerebellum globose nucleus</v>
      </c>
      <c r="G508" s="9" t="s">
        <v>1065</v>
      </c>
      <c r="H508" s="9" t="s">
        <v>24248</v>
      </c>
      <c r="I508" s="9" t="s">
        <v>1066</v>
      </c>
      <c r="J508" s="9" t="s">
        <v>1067</v>
      </c>
      <c r="K508" s="4" t="s">
        <v>15175</v>
      </c>
      <c r="L508" s="13">
        <v>12400</v>
      </c>
      <c r="M508" t="str">
        <f>VLOOKUP(L508,[1]Human_BrainSpan!$B$2:$C$4000,2,FALSE)</f>
        <v>InPM</v>
      </c>
    </row>
    <row r="509" spans="2:13" x14ac:dyDescent="0.25">
      <c r="B509" s="31" t="s">
        <v>25743</v>
      </c>
      <c r="C509" s="20"/>
      <c r="D509" s="25" t="s">
        <v>25840</v>
      </c>
      <c r="E509" s="25"/>
      <c r="F509" s="9" t="str">
        <f>HYPERLINK("https://www.ebi.ac.uk/ols/ontologies/uberon/terms?iri=http://purl.obolibrary.org/obo/UBERON_0002613","cerebellum globose nucleus")</f>
        <v>cerebellum globose nucleus</v>
      </c>
      <c r="G509" s="9" t="s">
        <v>1065</v>
      </c>
      <c r="H509" s="9" t="s">
        <v>17372</v>
      </c>
      <c r="I509" s="9" t="s">
        <v>1068</v>
      </c>
      <c r="J509" s="9" t="s">
        <v>1069</v>
      </c>
      <c r="K509" s="5" t="s">
        <v>15173</v>
      </c>
      <c r="L509" s="13">
        <v>16932</v>
      </c>
      <c r="M509" t="str">
        <f>VLOOKUP(L509,[1]DevMouse!$B$2:$C$2693,2,FALSE)</f>
        <v>IntP</v>
      </c>
    </row>
    <row r="510" spans="2:13" x14ac:dyDescent="0.25">
      <c r="B510" s="31" t="s">
        <v>25743</v>
      </c>
      <c r="C510" s="20"/>
      <c r="D510" s="25" t="s">
        <v>25840</v>
      </c>
      <c r="E510" s="25"/>
      <c r="F510" s="9" t="str">
        <f>HYPERLINK("https://www.ebi.ac.uk/ols/ontologies/uberon/terms?iri=http://purl.obolibrary.org/obo/UBERON_0002613","cerebellum globose nucleus")</f>
        <v>cerebellum globose nucleus</v>
      </c>
      <c r="G510" s="9" t="s">
        <v>1065</v>
      </c>
      <c r="H510" s="9" t="s">
        <v>25430</v>
      </c>
      <c r="I510" s="9" t="s">
        <v>1070</v>
      </c>
      <c r="J510" s="9" t="s">
        <v>1071</v>
      </c>
      <c r="K510" s="7" t="s">
        <v>15171</v>
      </c>
      <c r="L510" s="13">
        <v>12949</v>
      </c>
      <c r="M510" t="str">
        <f>VLOOKUP(L510,[1]HBA!$B$2:$C$4000,2,FALSE)</f>
        <v>Glo</v>
      </c>
    </row>
    <row r="511" spans="2:13" x14ac:dyDescent="0.25">
      <c r="B511" s="37" t="s">
        <v>26299</v>
      </c>
      <c r="C511" s="20"/>
      <c r="D511" s="25" t="s">
        <v>25841</v>
      </c>
      <c r="E511" s="25"/>
      <c r="F511" s="9" t="str">
        <f t="shared" ref="F511:F539" si="6">HYPERLINK("https://www.ebi.ac.uk/ols/ontologies/uberon/terms?iri=http://purl.obolibrary.org/obo/UBERON_0004003","cerebellum hemisphere lobule")</f>
        <v>cerebellum hemisphere lobule</v>
      </c>
      <c r="G511" s="9" t="s">
        <v>1072</v>
      </c>
      <c r="H511" s="9" t="s">
        <v>24682</v>
      </c>
      <c r="I511" s="9" t="s">
        <v>1073</v>
      </c>
      <c r="J511" s="9" t="s">
        <v>1074</v>
      </c>
      <c r="K511" s="4" t="s">
        <v>15175</v>
      </c>
      <c r="L511" s="13">
        <v>12841</v>
      </c>
      <c r="M511" t="str">
        <f>VLOOKUP(L511,[1]Human_BrainSpan!$B$2:$C$4000,2,FALSE)</f>
        <v>CbIII</v>
      </c>
    </row>
    <row r="512" spans="2:13" x14ac:dyDescent="0.25">
      <c r="B512" s="37" t="s">
        <v>26299</v>
      </c>
      <c r="C512" s="25" t="s">
        <v>25846</v>
      </c>
      <c r="D512" s="25" t="s">
        <v>25841</v>
      </c>
      <c r="E512" s="25"/>
      <c r="F512" s="9" t="str">
        <f t="shared" si="6"/>
        <v>cerebellum hemisphere lobule</v>
      </c>
      <c r="G512" s="9" t="s">
        <v>1072</v>
      </c>
      <c r="H512" s="9" t="s">
        <v>24683</v>
      </c>
      <c r="I512" s="9" t="s">
        <v>1075</v>
      </c>
      <c r="J512" s="9" t="s">
        <v>1076</v>
      </c>
      <c r="K512" s="4" t="s">
        <v>15175</v>
      </c>
      <c r="L512" s="13">
        <v>12842</v>
      </c>
      <c r="M512" t="str">
        <f>VLOOKUP(L512,[1]Human_BrainSpan!$B$2:$C$4000,2,FALSE)</f>
        <v>CbIV</v>
      </c>
    </row>
    <row r="513" spans="2:13" x14ac:dyDescent="0.25">
      <c r="B513" s="37" t="s">
        <v>26299</v>
      </c>
      <c r="C513" s="25" t="s">
        <v>25846</v>
      </c>
      <c r="D513" s="25" t="s">
        <v>25841</v>
      </c>
      <c r="E513" s="25"/>
      <c r="F513" s="9" t="str">
        <f t="shared" si="6"/>
        <v>cerebellum hemisphere lobule</v>
      </c>
      <c r="G513" s="9" t="s">
        <v>1072</v>
      </c>
      <c r="H513" s="9" t="s">
        <v>17240</v>
      </c>
      <c r="I513" s="9" t="s">
        <v>1077</v>
      </c>
      <c r="J513" s="9" t="s">
        <v>1078</v>
      </c>
      <c r="K513" s="4" t="s">
        <v>15175</v>
      </c>
      <c r="L513" s="13">
        <v>12843</v>
      </c>
      <c r="M513" t="str">
        <f>VLOOKUP(L513,[1]Human_BrainSpan!$B$2:$C$4000,2,FALSE)</f>
        <v>CbV</v>
      </c>
    </row>
    <row r="514" spans="2:13" x14ac:dyDescent="0.25">
      <c r="B514" s="37" t="s">
        <v>26299</v>
      </c>
      <c r="C514" s="20"/>
      <c r="D514" s="25" t="s">
        <v>25841</v>
      </c>
      <c r="E514" s="25"/>
      <c r="F514" s="9" t="str">
        <f t="shared" si="6"/>
        <v>cerebellum hemisphere lobule</v>
      </c>
      <c r="G514" s="9" t="s">
        <v>1072</v>
      </c>
      <c r="H514" s="9" t="s">
        <v>24685</v>
      </c>
      <c r="I514" s="9" t="s">
        <v>1079</v>
      </c>
      <c r="J514" s="9" t="s">
        <v>1080</v>
      </c>
      <c r="K514" s="4" t="s">
        <v>15175</v>
      </c>
      <c r="L514" s="13">
        <v>12845</v>
      </c>
      <c r="M514" t="str">
        <f>VLOOKUP(L514,[1]Human_BrainSpan!$B$2:$C$4000,2,FALSE)</f>
        <v>CbVI</v>
      </c>
    </row>
    <row r="515" spans="2:13" x14ac:dyDescent="0.25">
      <c r="B515" s="37" t="s">
        <v>26299</v>
      </c>
      <c r="C515" s="20"/>
      <c r="D515" s="25" t="s">
        <v>25841</v>
      </c>
      <c r="E515" s="25"/>
      <c r="F515" s="9" t="str">
        <f t="shared" si="6"/>
        <v>cerebellum hemisphere lobule</v>
      </c>
      <c r="G515" s="9" t="s">
        <v>1072</v>
      </c>
      <c r="H515" s="9" t="s">
        <v>24688</v>
      </c>
      <c r="I515" s="9" t="s">
        <v>1081</v>
      </c>
      <c r="J515" s="9" t="s">
        <v>1082</v>
      </c>
      <c r="K515" s="4" t="s">
        <v>15175</v>
      </c>
      <c r="L515" s="13">
        <v>12848</v>
      </c>
      <c r="M515" t="str">
        <f>VLOOKUP(L515,[1]Human_BrainSpan!$B$2:$C$4000,2,FALSE)</f>
        <v>CbVIIb</v>
      </c>
    </row>
    <row r="516" spans="2:13" x14ac:dyDescent="0.25">
      <c r="B516" s="37" t="s">
        <v>26299</v>
      </c>
      <c r="C516" s="20"/>
      <c r="D516" s="25" t="s">
        <v>25841</v>
      </c>
      <c r="E516" s="25"/>
      <c r="F516" s="9" t="str">
        <f t="shared" si="6"/>
        <v>cerebellum hemisphere lobule</v>
      </c>
      <c r="G516" s="9" t="s">
        <v>1072</v>
      </c>
      <c r="H516" s="9" t="s">
        <v>24690</v>
      </c>
      <c r="I516" s="9" t="s">
        <v>1083</v>
      </c>
      <c r="J516" s="9" t="s">
        <v>1084</v>
      </c>
      <c r="K516" s="4" t="s">
        <v>15175</v>
      </c>
      <c r="L516" s="13">
        <v>12850</v>
      </c>
      <c r="M516" t="str">
        <f>VLOOKUP(L516,[1]Human_BrainSpan!$B$2:$C$4000,2,FALSE)</f>
        <v>CbVIIIb</v>
      </c>
    </row>
    <row r="517" spans="2:13" x14ac:dyDescent="0.25">
      <c r="B517" s="37" t="s">
        <v>26299</v>
      </c>
      <c r="C517" s="20"/>
      <c r="D517" s="25" t="s">
        <v>25841</v>
      </c>
      <c r="E517" s="25"/>
      <c r="F517" s="9" t="str">
        <f t="shared" si="6"/>
        <v>cerebellum hemisphere lobule</v>
      </c>
      <c r="G517" s="9" t="s">
        <v>1072</v>
      </c>
      <c r="H517" s="9" t="s">
        <v>24691</v>
      </c>
      <c r="I517" s="9" t="s">
        <v>1085</v>
      </c>
      <c r="J517" s="9" t="s">
        <v>1086</v>
      </c>
      <c r="K517" s="4" t="s">
        <v>15175</v>
      </c>
      <c r="L517" s="13">
        <v>12851</v>
      </c>
      <c r="M517" t="str">
        <f>VLOOKUP(L517,[1]Human_BrainSpan!$B$2:$C$4000,2,FALSE)</f>
        <v>CbIX</v>
      </c>
    </row>
    <row r="518" spans="2:13" x14ac:dyDescent="0.25">
      <c r="B518" s="37" t="s">
        <v>26299</v>
      </c>
      <c r="C518" s="20"/>
      <c r="D518" s="25" t="s">
        <v>25841</v>
      </c>
      <c r="E518" s="25"/>
      <c r="F518" s="9" t="str">
        <f t="shared" si="6"/>
        <v>cerebellum hemisphere lobule</v>
      </c>
      <c r="G518" s="9" t="s">
        <v>1072</v>
      </c>
      <c r="H518" s="9" t="s">
        <v>17383</v>
      </c>
      <c r="I518" s="9" t="s">
        <v>1087</v>
      </c>
      <c r="J518" s="9" t="s">
        <v>1088</v>
      </c>
      <c r="K518" s="5" t="s">
        <v>15173</v>
      </c>
      <c r="L518" s="13">
        <v>16943</v>
      </c>
      <c r="M518" t="str">
        <f>VLOOKUP(L518,[1]DevMouse!$B$2:$C$2693,2,FALSE)</f>
        <v>PM</v>
      </c>
    </row>
    <row r="519" spans="2:13" x14ac:dyDescent="0.25">
      <c r="B519" s="37" t="s">
        <v>26299</v>
      </c>
      <c r="C519" s="25"/>
      <c r="D519" s="25" t="s">
        <v>25841</v>
      </c>
      <c r="E519" s="25"/>
      <c r="F519" s="9" t="str">
        <f t="shared" si="6"/>
        <v>cerebellum hemisphere lobule</v>
      </c>
      <c r="G519" s="9" t="s">
        <v>1072</v>
      </c>
      <c r="H519" s="9" t="s">
        <v>25360</v>
      </c>
      <c r="I519" s="9" t="s">
        <v>1089</v>
      </c>
      <c r="J519" s="9" t="s">
        <v>1090</v>
      </c>
      <c r="K519" s="7" t="s">
        <v>15171</v>
      </c>
      <c r="L519" s="13">
        <v>12933</v>
      </c>
      <c r="M519" t="str">
        <f>VLOOKUP(L519,[1]HBA!$B$2:$C$4000,2,FALSE)</f>
        <v>Cb-III</v>
      </c>
    </row>
    <row r="520" spans="2:13" x14ac:dyDescent="0.25">
      <c r="B520" s="37" t="s">
        <v>26299</v>
      </c>
      <c r="C520" s="25"/>
      <c r="D520" s="25" t="s">
        <v>25841</v>
      </c>
      <c r="E520" s="25"/>
      <c r="F520" s="9" t="str">
        <f t="shared" si="6"/>
        <v>cerebellum hemisphere lobule</v>
      </c>
      <c r="G520" s="9" t="s">
        <v>1072</v>
      </c>
      <c r="H520" s="9" t="s">
        <v>25366</v>
      </c>
      <c r="I520" s="9" t="s">
        <v>1091</v>
      </c>
      <c r="J520" s="9" t="s">
        <v>1092</v>
      </c>
      <c r="K520" s="7" t="s">
        <v>15171</v>
      </c>
      <c r="L520" s="13">
        <v>12934</v>
      </c>
      <c r="M520" t="str">
        <f>VLOOKUP(L520,[1]HBA!$B$2:$C$4000,2,FALSE)</f>
        <v>Cb-IV</v>
      </c>
    </row>
    <row r="521" spans="2:13" x14ac:dyDescent="0.25">
      <c r="B521" s="37" t="s">
        <v>26299</v>
      </c>
      <c r="C521" s="25"/>
      <c r="D521" s="25" t="s">
        <v>25841</v>
      </c>
      <c r="E521" s="25"/>
      <c r="F521" s="9" t="str">
        <f t="shared" si="6"/>
        <v>cerebellum hemisphere lobule</v>
      </c>
      <c r="G521" s="9" t="s">
        <v>1072</v>
      </c>
      <c r="H521" s="9" t="s">
        <v>25372</v>
      </c>
      <c r="I521" s="9" t="s">
        <v>1093</v>
      </c>
      <c r="J521" s="9" t="s">
        <v>1094</v>
      </c>
      <c r="K521" s="7" t="s">
        <v>15171</v>
      </c>
      <c r="L521" s="13">
        <v>12935</v>
      </c>
      <c r="M521" t="str">
        <f>VLOOKUP(L521,[1]HBA!$B$2:$C$4000,2,FALSE)</f>
        <v>Cb-V</v>
      </c>
    </row>
    <row r="522" spans="2:13" x14ac:dyDescent="0.25">
      <c r="B522" s="37" t="s">
        <v>26299</v>
      </c>
      <c r="C522" s="25"/>
      <c r="D522" s="25" t="s">
        <v>25841</v>
      </c>
      <c r="E522" s="25"/>
      <c r="F522" s="9" t="str">
        <f t="shared" si="6"/>
        <v>cerebellum hemisphere lobule</v>
      </c>
      <c r="G522" s="9" t="s">
        <v>1072</v>
      </c>
      <c r="H522" s="9" t="s">
        <v>25379</v>
      </c>
      <c r="I522" s="9" t="s">
        <v>1095</v>
      </c>
      <c r="J522" s="9" t="s">
        <v>1096</v>
      </c>
      <c r="K522" s="7" t="s">
        <v>15171</v>
      </c>
      <c r="L522" s="13">
        <v>12937</v>
      </c>
      <c r="M522" t="str">
        <f>VLOOKUP(L522,[1]HBA!$B$2:$C$4000,2,FALSE)</f>
        <v>Cb-VI</v>
      </c>
    </row>
    <row r="523" spans="2:13" x14ac:dyDescent="0.25">
      <c r="B523" s="37" t="s">
        <v>26299</v>
      </c>
      <c r="C523" s="20"/>
      <c r="D523" s="25" t="s">
        <v>25841</v>
      </c>
      <c r="E523" s="25"/>
      <c r="F523" s="9" t="str">
        <f t="shared" si="6"/>
        <v>cerebellum hemisphere lobule</v>
      </c>
      <c r="G523" s="9" t="s">
        <v>1072</v>
      </c>
      <c r="H523" s="9" t="s">
        <v>25399</v>
      </c>
      <c r="I523" s="9" t="s">
        <v>1097</v>
      </c>
      <c r="J523" s="9" t="s">
        <v>1098</v>
      </c>
      <c r="K523" s="7" t="s">
        <v>15171</v>
      </c>
      <c r="L523" s="13">
        <v>12940</v>
      </c>
      <c r="M523" t="str">
        <f>VLOOKUP(L523,[1]HBA!$B$2:$C$4000,2,FALSE)</f>
        <v>Cb-VIIB</v>
      </c>
    </row>
    <row r="524" spans="2:13" x14ac:dyDescent="0.25">
      <c r="B524" s="37" t="s">
        <v>26299</v>
      </c>
      <c r="C524" s="20"/>
      <c r="D524" s="25" t="s">
        <v>25841</v>
      </c>
      <c r="E524" s="25"/>
      <c r="F524" s="9" t="str">
        <f t="shared" si="6"/>
        <v>cerebellum hemisphere lobule</v>
      </c>
      <c r="G524" s="9" t="s">
        <v>1072</v>
      </c>
      <c r="H524" s="9" t="s">
        <v>25413</v>
      </c>
      <c r="I524" s="9" t="s">
        <v>1099</v>
      </c>
      <c r="J524" s="9" t="s">
        <v>1100</v>
      </c>
      <c r="K524" s="7" t="s">
        <v>15171</v>
      </c>
      <c r="L524" s="13">
        <v>12942</v>
      </c>
      <c r="M524" t="str">
        <f>VLOOKUP(L524,[1]HBA!$B$2:$C$4000,2,FALSE)</f>
        <v>Cb-VIIIB</v>
      </c>
    </row>
    <row r="525" spans="2:13" x14ac:dyDescent="0.25">
      <c r="B525" s="37" t="s">
        <v>26299</v>
      </c>
      <c r="C525" s="20"/>
      <c r="D525" s="25" t="s">
        <v>25841</v>
      </c>
      <c r="E525" s="25"/>
      <c r="F525" s="9" t="str">
        <f t="shared" si="6"/>
        <v>cerebellum hemisphere lobule</v>
      </c>
      <c r="G525" s="9" t="s">
        <v>1072</v>
      </c>
      <c r="H525" s="9" t="s">
        <v>25420</v>
      </c>
      <c r="I525" s="9" t="s">
        <v>1101</v>
      </c>
      <c r="J525" s="9" t="s">
        <v>1102</v>
      </c>
      <c r="K525" s="7" t="s">
        <v>15171</v>
      </c>
      <c r="L525" s="13">
        <v>12943</v>
      </c>
      <c r="M525" t="str">
        <f>VLOOKUP(L525,[1]HBA!$B$2:$C$4000,2,FALSE)</f>
        <v>Cb-IX</v>
      </c>
    </row>
    <row r="526" spans="2:13" x14ac:dyDescent="0.25">
      <c r="B526" s="37" t="s">
        <v>26299</v>
      </c>
      <c r="C526" s="20"/>
      <c r="D526" s="25" t="s">
        <v>25841</v>
      </c>
      <c r="E526" s="25"/>
      <c r="F526" s="9" t="str">
        <f t="shared" si="6"/>
        <v>cerebellum hemisphere lobule</v>
      </c>
      <c r="G526" s="9" t="s">
        <v>1072</v>
      </c>
      <c r="H526" s="9" t="s">
        <v>25347</v>
      </c>
      <c r="I526" s="9" t="s">
        <v>1097</v>
      </c>
      <c r="J526" s="9" t="s">
        <v>1103</v>
      </c>
      <c r="K526" s="7" t="s">
        <v>15171</v>
      </c>
      <c r="L526" s="13">
        <v>4708</v>
      </c>
      <c r="M526" t="str">
        <f>VLOOKUP(L526,[1]HBA!$B$2:$C$4000,2,FALSE)</f>
        <v>Ve-VIIB</v>
      </c>
    </row>
    <row r="527" spans="2:13" x14ac:dyDescent="0.25">
      <c r="B527" s="37" t="s">
        <v>26299</v>
      </c>
      <c r="C527" s="20"/>
      <c r="D527" s="25" t="s">
        <v>25841</v>
      </c>
      <c r="E527" s="25"/>
      <c r="F527" s="9" t="str">
        <f t="shared" si="6"/>
        <v>cerebellum hemisphere lobule</v>
      </c>
      <c r="G527" s="9" t="s">
        <v>1072</v>
      </c>
      <c r="H527" s="9" t="s">
        <v>20596</v>
      </c>
      <c r="I527" s="9" t="s">
        <v>1104</v>
      </c>
      <c r="J527" s="9" t="s">
        <v>1105</v>
      </c>
      <c r="K527" s="3" t="s">
        <v>15176</v>
      </c>
      <c r="L527" s="13">
        <v>1001</v>
      </c>
      <c r="M527" t="str">
        <f>VLOOKUP(L527,[1]Mouse_ARA!$B$2:$C$1328,2,FALSE)</f>
        <v>CUL5</v>
      </c>
    </row>
    <row r="528" spans="2:13" x14ac:dyDescent="0.25">
      <c r="B528" s="37" t="s">
        <v>26299</v>
      </c>
      <c r="C528" s="20"/>
      <c r="D528" s="25" t="s">
        <v>25841</v>
      </c>
      <c r="E528" s="25"/>
      <c r="F528" s="9" t="str">
        <f t="shared" si="6"/>
        <v>cerebellum hemisphere lobule</v>
      </c>
      <c r="G528" s="9" t="s">
        <v>1072</v>
      </c>
      <c r="H528" s="9" t="s">
        <v>20680</v>
      </c>
      <c r="I528" s="9" t="s">
        <v>1087</v>
      </c>
      <c r="J528" s="9" t="s">
        <v>1106</v>
      </c>
      <c r="K528" s="3" t="s">
        <v>15176</v>
      </c>
      <c r="L528" s="13">
        <v>1025</v>
      </c>
      <c r="M528" t="str">
        <f>VLOOKUP(L528,[1]Mouse_ARA!$B$2:$C$1328,2,FALSE)</f>
        <v>PRM</v>
      </c>
    </row>
    <row r="529" spans="2:13" x14ac:dyDescent="0.25">
      <c r="B529" s="37" t="s">
        <v>26299</v>
      </c>
      <c r="C529" s="25" t="s">
        <v>25848</v>
      </c>
      <c r="D529" s="25" t="s">
        <v>25841</v>
      </c>
      <c r="E529" s="25"/>
      <c r="F529" s="9" t="str">
        <f t="shared" si="6"/>
        <v>cerebellum hemisphere lobule</v>
      </c>
      <c r="G529" s="9" t="s">
        <v>1072</v>
      </c>
      <c r="H529" s="9" t="s">
        <v>20560</v>
      </c>
      <c r="I529" s="9" t="s">
        <v>1107</v>
      </c>
      <c r="J529" s="9" t="s">
        <v>1108</v>
      </c>
      <c r="K529" s="3" t="s">
        <v>15176</v>
      </c>
      <c r="L529" s="13">
        <v>912</v>
      </c>
      <c r="M529" t="str">
        <f>VLOOKUP(L529,[1]Mouse_ARA!$B$2:$C$1328,2,FALSE)</f>
        <v>LING</v>
      </c>
    </row>
    <row r="530" spans="2:13" x14ac:dyDescent="0.25">
      <c r="B530" s="37" t="s">
        <v>26299</v>
      </c>
      <c r="C530" s="20"/>
      <c r="D530" s="25" t="s">
        <v>25841</v>
      </c>
      <c r="E530" s="25"/>
      <c r="F530" s="9" t="str">
        <f t="shared" si="6"/>
        <v>cerebellum hemisphere lobule</v>
      </c>
      <c r="G530" s="9" t="s">
        <v>1072</v>
      </c>
      <c r="H530" s="9" t="s">
        <v>20568</v>
      </c>
      <c r="I530" s="9" t="s">
        <v>958</v>
      </c>
      <c r="J530" s="9" t="s">
        <v>959</v>
      </c>
      <c r="K530" s="3" t="s">
        <v>15176</v>
      </c>
      <c r="L530" s="13">
        <v>920</v>
      </c>
      <c r="M530" t="str">
        <f>VLOOKUP(L530,[1]Mouse_ARA!$B$2:$C$1328,2,FALSE)</f>
        <v>CENT</v>
      </c>
    </row>
    <row r="531" spans="2:13" x14ac:dyDescent="0.25">
      <c r="B531" s="37" t="s">
        <v>26299</v>
      </c>
      <c r="C531" s="25" t="s">
        <v>25846</v>
      </c>
      <c r="D531" s="25" t="s">
        <v>25841</v>
      </c>
      <c r="E531" s="25"/>
      <c r="F531" s="9" t="str">
        <f t="shared" si="6"/>
        <v>cerebellum hemisphere lobule</v>
      </c>
      <c r="G531" s="9" t="s">
        <v>1072</v>
      </c>
      <c r="H531" s="9" t="s">
        <v>20586</v>
      </c>
      <c r="I531" s="9" t="s">
        <v>1109</v>
      </c>
      <c r="J531" s="9" t="s">
        <v>1110</v>
      </c>
      <c r="K531" s="3" t="s">
        <v>15176</v>
      </c>
      <c r="L531" s="13">
        <v>928</v>
      </c>
      <c r="M531" t="str">
        <f>VLOOKUP(L531,[1]Mouse_ARA!$B$2:$C$1328,2,FALSE)</f>
        <v>CUL</v>
      </c>
    </row>
    <row r="532" spans="2:13" x14ac:dyDescent="0.25">
      <c r="B532" s="37" t="s">
        <v>26299</v>
      </c>
      <c r="C532" s="20"/>
      <c r="D532" s="25" t="s">
        <v>25841</v>
      </c>
      <c r="E532" s="25"/>
      <c r="F532" s="9" t="str">
        <f t="shared" si="6"/>
        <v>cerebellum hemisphere lobule</v>
      </c>
      <c r="G532" s="9" t="s">
        <v>1072</v>
      </c>
      <c r="H532" s="9" t="s">
        <v>20612</v>
      </c>
      <c r="I532" s="9" t="s">
        <v>1111</v>
      </c>
      <c r="J532" s="9" t="s">
        <v>1112</v>
      </c>
      <c r="K532" s="3" t="s">
        <v>15176</v>
      </c>
      <c r="L532" s="13">
        <v>936</v>
      </c>
      <c r="M532" t="str">
        <f>VLOOKUP(L532,[1]Mouse_ARA!$B$2:$C$1328,2,FALSE)</f>
        <v>DEC</v>
      </c>
    </row>
    <row r="533" spans="2:13" x14ac:dyDescent="0.25">
      <c r="B533" s="37" t="s">
        <v>26303</v>
      </c>
      <c r="C533" s="25" t="s">
        <v>25855</v>
      </c>
      <c r="D533" s="25" t="s">
        <v>25841</v>
      </c>
      <c r="E533" s="25"/>
      <c r="F533" s="9" t="str">
        <f t="shared" si="6"/>
        <v>cerebellum hemisphere lobule</v>
      </c>
      <c r="G533" s="9" t="s">
        <v>1072</v>
      </c>
      <c r="H533" s="9" t="s">
        <v>20620</v>
      </c>
      <c r="I533" s="9" t="s">
        <v>1113</v>
      </c>
      <c r="J533" s="9" t="s">
        <v>1114</v>
      </c>
      <c r="K533" s="3" t="s">
        <v>15176</v>
      </c>
      <c r="L533" s="13">
        <v>944</v>
      </c>
      <c r="M533" t="str">
        <f>VLOOKUP(L533,[1]Mouse_ARA!$B$2:$C$1328,2,FALSE)</f>
        <v>FOTU</v>
      </c>
    </row>
    <row r="534" spans="2:13" x14ac:dyDescent="0.25">
      <c r="B534" s="37" t="s">
        <v>26299</v>
      </c>
      <c r="C534" s="20"/>
      <c r="D534" s="25" t="s">
        <v>25841</v>
      </c>
      <c r="E534" s="25"/>
      <c r="F534" s="9" t="str">
        <f t="shared" si="6"/>
        <v>cerebellum hemisphere lobule</v>
      </c>
      <c r="G534" s="9" t="s">
        <v>1072</v>
      </c>
      <c r="H534" s="9" t="s">
        <v>20628</v>
      </c>
      <c r="I534" s="9" t="s">
        <v>1115</v>
      </c>
      <c r="J534" s="9" t="s">
        <v>1116</v>
      </c>
      <c r="K534" s="3" t="s">
        <v>15176</v>
      </c>
      <c r="L534" s="13">
        <v>951</v>
      </c>
      <c r="M534" t="str">
        <f>VLOOKUP(L534,[1]Mouse_ARA!$B$2:$C$1328,2,FALSE)</f>
        <v>PYR</v>
      </c>
    </row>
    <row r="535" spans="2:13" x14ac:dyDescent="0.25">
      <c r="B535" s="37" t="s">
        <v>26299</v>
      </c>
      <c r="C535" s="20"/>
      <c r="D535" s="25" t="s">
        <v>25841</v>
      </c>
      <c r="E535" s="25"/>
      <c r="F535" s="9" t="str">
        <f t="shared" si="6"/>
        <v>cerebellum hemisphere lobule</v>
      </c>
      <c r="G535" s="9" t="s">
        <v>1072</v>
      </c>
      <c r="H535" s="9" t="s">
        <v>20636</v>
      </c>
      <c r="I535" s="9" t="s">
        <v>1117</v>
      </c>
      <c r="J535" s="9" t="s">
        <v>1118</v>
      </c>
      <c r="K535" s="3" t="s">
        <v>15176</v>
      </c>
      <c r="L535" s="13">
        <v>957</v>
      </c>
      <c r="M535" t="str">
        <f>VLOOKUP(L535,[1]Mouse_ARA!$B$2:$C$1328,2,FALSE)</f>
        <v>UVU</v>
      </c>
    </row>
    <row r="536" spans="2:13" x14ac:dyDescent="0.25">
      <c r="B536" s="37" t="s">
        <v>26299</v>
      </c>
      <c r="C536" s="20"/>
      <c r="D536" s="25" t="s">
        <v>25841</v>
      </c>
      <c r="E536" s="25"/>
      <c r="F536" s="9" t="str">
        <f t="shared" si="6"/>
        <v>cerebellum hemisphere lobule</v>
      </c>
      <c r="G536" s="9" t="s">
        <v>1072</v>
      </c>
      <c r="H536" s="9" t="s">
        <v>20644</v>
      </c>
      <c r="I536" s="9" t="s">
        <v>1119</v>
      </c>
      <c r="J536" s="9" t="s">
        <v>1120</v>
      </c>
      <c r="K536" s="3" t="s">
        <v>15176</v>
      </c>
      <c r="L536" s="13">
        <v>968</v>
      </c>
      <c r="M536" t="str">
        <f>VLOOKUP(L536,[1]Mouse_ARA!$B$2:$C$1328,2,FALSE)</f>
        <v>NOD</v>
      </c>
    </row>
    <row r="537" spans="2:13" x14ac:dyDescent="0.25">
      <c r="B537" s="37" t="s">
        <v>26299</v>
      </c>
      <c r="C537" s="20"/>
      <c r="D537" s="25" t="s">
        <v>25841</v>
      </c>
      <c r="E537" s="25"/>
      <c r="F537" s="9" t="str">
        <f t="shared" si="6"/>
        <v>cerebellum hemisphere lobule</v>
      </c>
      <c r="G537" s="9" t="s">
        <v>1072</v>
      </c>
      <c r="H537" s="9" t="s">
        <v>20570</v>
      </c>
      <c r="I537" s="9" t="s">
        <v>1121</v>
      </c>
      <c r="J537" s="9" t="s">
        <v>1122</v>
      </c>
      <c r="K537" s="3" t="s">
        <v>15176</v>
      </c>
      <c r="L537" s="13">
        <v>976</v>
      </c>
      <c r="M537" t="str">
        <f>VLOOKUP(L537,[1]Mouse_ARA!$B$2:$C$1328,2,FALSE)</f>
        <v>CENT2</v>
      </c>
    </row>
    <row r="538" spans="2:13" x14ac:dyDescent="0.25">
      <c r="B538" s="37" t="s">
        <v>26299</v>
      </c>
      <c r="C538" s="20"/>
      <c r="D538" s="25" t="s">
        <v>25841</v>
      </c>
      <c r="E538" s="25"/>
      <c r="F538" s="9" t="str">
        <f t="shared" si="6"/>
        <v>cerebellum hemisphere lobule</v>
      </c>
      <c r="G538" s="9" t="s">
        <v>1072</v>
      </c>
      <c r="H538" s="9" t="s">
        <v>20578</v>
      </c>
      <c r="I538" s="9" t="s">
        <v>1123</v>
      </c>
      <c r="J538" s="9" t="s">
        <v>1124</v>
      </c>
      <c r="K538" s="3" t="s">
        <v>15176</v>
      </c>
      <c r="L538" s="13">
        <v>984</v>
      </c>
      <c r="M538" t="str">
        <f>VLOOKUP(L538,[1]Mouse_ARA!$B$2:$C$1328,2,FALSE)</f>
        <v>CENT3</v>
      </c>
    </row>
    <row r="539" spans="2:13" x14ac:dyDescent="0.25">
      <c r="B539" s="37" t="s">
        <v>26299</v>
      </c>
      <c r="C539" s="20"/>
      <c r="D539" s="25" t="s">
        <v>25841</v>
      </c>
      <c r="E539" s="25"/>
      <c r="F539" s="9" t="str">
        <f t="shared" si="6"/>
        <v>cerebellum hemisphere lobule</v>
      </c>
      <c r="G539" s="9" t="s">
        <v>1072</v>
      </c>
      <c r="H539" s="9" t="s">
        <v>20588</v>
      </c>
      <c r="I539" s="9" t="s">
        <v>1125</v>
      </c>
      <c r="J539" s="9" t="s">
        <v>1126</v>
      </c>
      <c r="K539" s="3" t="s">
        <v>15176</v>
      </c>
      <c r="L539" s="13">
        <v>992</v>
      </c>
      <c r="M539" t="str">
        <f>VLOOKUP(L539,[1]Mouse_ARA!$B$2:$C$1328,2,FALSE)</f>
        <v>CUL4</v>
      </c>
    </row>
    <row r="540" spans="2:13" x14ac:dyDescent="0.25">
      <c r="B540" s="31" t="s">
        <v>26302</v>
      </c>
      <c r="C540" s="20"/>
      <c r="D540" s="25" t="s">
        <v>25842</v>
      </c>
      <c r="E540" s="20" t="s">
        <v>26300</v>
      </c>
      <c r="F540" s="9" t="str">
        <f>HYPERLINK("https://www.ebi.ac.uk/ols/ontologies/uberon/terms?iri=http://purl.obolibrary.org/obo/UBERON_0004006","cerebellum intermediate zone")</f>
        <v>cerebellum intermediate zone</v>
      </c>
      <c r="G540" s="9" t="s">
        <v>1127</v>
      </c>
      <c r="H540" s="9" t="s">
        <v>25458</v>
      </c>
      <c r="I540" s="9" t="s">
        <v>1128</v>
      </c>
      <c r="J540" s="9" t="s">
        <v>1129</v>
      </c>
      <c r="K540" s="7" t="s">
        <v>15171</v>
      </c>
      <c r="L540" s="13">
        <v>9611</v>
      </c>
      <c r="M540" t="str">
        <f>VLOOKUP(L540,[1]HBA!$B$2:$C$4000,2,FALSE)</f>
        <v>Irt</v>
      </c>
    </row>
    <row r="541" spans="2:13" x14ac:dyDescent="0.25">
      <c r="B541" s="31" t="s">
        <v>26302</v>
      </c>
      <c r="C541" s="20"/>
      <c r="D541" s="25" t="s">
        <v>25842</v>
      </c>
      <c r="E541" s="20" t="s">
        <v>26300</v>
      </c>
      <c r="F541" s="9" t="str">
        <f>HYPERLINK("https://www.ebi.ac.uk/ols/ontologies/uberon/terms?iri=http://purl.obolibrary.org/obo/UBERON_0004006","cerebellum intermediate zone")</f>
        <v>cerebellum intermediate zone</v>
      </c>
      <c r="G541" s="9" t="s">
        <v>1127</v>
      </c>
      <c r="H541" s="9" t="s">
        <v>21463</v>
      </c>
      <c r="I541" s="9" t="s">
        <v>1130</v>
      </c>
      <c r="J541" s="9" t="s">
        <v>1131</v>
      </c>
      <c r="K541" s="6" t="s">
        <v>15174</v>
      </c>
      <c r="L541" s="13">
        <v>294021942</v>
      </c>
      <c r="M541" t="str">
        <f>VLOOKUP(L541,[1]NonHumanPrimate!$B$2:$C$4000,2,FALSE)</f>
        <v>IZ</v>
      </c>
    </row>
    <row r="542" spans="2:13" x14ac:dyDescent="0.25">
      <c r="B542" s="31" t="s">
        <v>26303</v>
      </c>
      <c r="C542" s="25" t="s">
        <v>25843</v>
      </c>
      <c r="D542" s="25" t="s">
        <v>25843</v>
      </c>
      <c r="E542" s="25"/>
      <c r="F542" s="9" t="str">
        <f>HYPERLINK("https://www.ebi.ac.uk/ols/ontologies/uberon/terms?iri=http://purl.obolibrary.org/obo/UBERON_0004073","cerebellum interpositus nucleus")</f>
        <v>cerebellum interpositus nucleus</v>
      </c>
      <c r="G542" s="9" t="s">
        <v>1132</v>
      </c>
      <c r="H542" s="9" t="s">
        <v>24247</v>
      </c>
      <c r="I542" s="9" t="s">
        <v>1133</v>
      </c>
      <c r="J542" s="9" t="s">
        <v>1134</v>
      </c>
      <c r="K542" s="4" t="s">
        <v>15175</v>
      </c>
      <c r="L542" s="13">
        <v>12399</v>
      </c>
      <c r="M542" t="str">
        <f>VLOOKUP(L542,[1]Human_BrainSpan!$B$2:$C$4000,2,FALSE)</f>
        <v>InP</v>
      </c>
    </row>
    <row r="543" spans="2:13" x14ac:dyDescent="0.25">
      <c r="B543" s="31" t="s">
        <v>25743</v>
      </c>
      <c r="C543" s="20"/>
      <c r="D543" s="25" t="s">
        <v>25843</v>
      </c>
      <c r="E543" s="25"/>
      <c r="F543" s="9" t="str">
        <f>HYPERLINK("https://www.ebi.ac.uk/ols/ontologies/uberon/terms?iri=http://purl.obolibrary.org/obo/UBERON_0004073","cerebellum interpositus nucleus")</f>
        <v>cerebellum interpositus nucleus</v>
      </c>
      <c r="G543" s="9" t="s">
        <v>1132</v>
      </c>
      <c r="H543" s="9" t="s">
        <v>16484</v>
      </c>
      <c r="I543" s="9" t="s">
        <v>1135</v>
      </c>
      <c r="J543" s="9" t="s">
        <v>1136</v>
      </c>
      <c r="K543" s="4" t="s">
        <v>15175</v>
      </c>
      <c r="L543" s="13">
        <v>12613</v>
      </c>
      <c r="M543" t="str">
        <f>VLOOKUP(L543,[1]Human_BrainSpan!$B$2:$C$4000,2,FALSE)</f>
        <v>IPo</v>
      </c>
    </row>
    <row r="544" spans="2:13" x14ac:dyDescent="0.25">
      <c r="B544" s="37" t="s">
        <v>25743</v>
      </c>
      <c r="C544" s="20"/>
      <c r="D544" s="25" t="s">
        <v>25843</v>
      </c>
      <c r="E544" s="25"/>
      <c r="F544" s="9" t="str">
        <f>HYPERLINK("https://www.ebi.ac.uk/ols/ontologies/uberon/terms?iri=http://purl.obolibrary.org/obo/UBERON_0004073","cerebellum interpositus nucleus")</f>
        <v>cerebellum interpositus nucleus</v>
      </c>
      <c r="G544" s="9" t="s">
        <v>1132</v>
      </c>
      <c r="H544" s="9" t="s">
        <v>17369</v>
      </c>
      <c r="I544" s="9" t="s">
        <v>718</v>
      </c>
      <c r="J544" s="9" t="s">
        <v>719</v>
      </c>
      <c r="K544" s="5" t="s">
        <v>15173</v>
      </c>
      <c r="L544" s="13">
        <v>16929</v>
      </c>
      <c r="M544" t="str">
        <f>VLOOKUP(L544,[1]DevMouse!$B$2:$C$2693,2,FALSE)</f>
        <v>Int</v>
      </c>
    </row>
    <row r="545" spans="2:13" x14ac:dyDescent="0.25">
      <c r="B545" s="31" t="s">
        <v>25743</v>
      </c>
      <c r="C545" s="20"/>
      <c r="D545" s="25" t="s">
        <v>25843</v>
      </c>
      <c r="E545" s="25"/>
      <c r="F545" s="9" t="str">
        <f>HYPERLINK("https://www.ebi.ac.uk/ols/ontologies/uberon/terms?iri=http://purl.obolibrary.org/obo/UBERON_0004073","cerebellum interpositus nucleus")</f>
        <v>cerebellum interpositus nucleus</v>
      </c>
      <c r="G545" s="9" t="s">
        <v>1132</v>
      </c>
      <c r="H545" s="9" t="s">
        <v>16484</v>
      </c>
      <c r="I545" s="9" t="s">
        <v>1135</v>
      </c>
      <c r="J545" s="9" t="s">
        <v>1137</v>
      </c>
      <c r="K545" s="7" t="s">
        <v>15171</v>
      </c>
      <c r="L545" s="13">
        <v>9578</v>
      </c>
      <c r="M545" t="str">
        <f>VLOOKUP(L545,[1]HBA!$B$2:$C$4000,2,FALSE)</f>
        <v>IPo</v>
      </c>
    </row>
    <row r="546" spans="2:13" x14ac:dyDescent="0.25">
      <c r="B546" s="37" t="s">
        <v>25743</v>
      </c>
      <c r="C546" s="20"/>
      <c r="D546" s="25" t="s">
        <v>25844</v>
      </c>
      <c r="E546" s="25"/>
      <c r="F546" s="9" t="str">
        <f>HYPERLINK("https://www.ebi.ac.uk/ols/ontologies/uberon/terms?iri=http://purl.obolibrary.org/obo/UBERON_0034708","cerebellum marginal layer")</f>
        <v>cerebellum marginal layer</v>
      </c>
      <c r="G546" s="9" t="s">
        <v>1138</v>
      </c>
      <c r="H546" s="9" t="s">
        <v>24573</v>
      </c>
      <c r="I546" s="9" t="s">
        <v>1139</v>
      </c>
      <c r="J546" s="9" t="s">
        <v>1140</v>
      </c>
      <c r="K546" s="4" t="s">
        <v>15175</v>
      </c>
      <c r="L546" s="13">
        <v>12695</v>
      </c>
      <c r="M546" t="str">
        <f>VLOOKUP(L546,[1]Human_BrainSpan!$B$2:$C$4000,2,FALSE)</f>
        <v>MZCB</v>
      </c>
    </row>
    <row r="547" spans="2:13" x14ac:dyDescent="0.25">
      <c r="B547" s="37" t="s">
        <v>25743</v>
      </c>
      <c r="C547" s="20"/>
      <c r="D547" s="25" t="s">
        <v>25845</v>
      </c>
      <c r="E547" s="25"/>
      <c r="F547" s="9" t="str">
        <f>HYPERLINK("https://www.ebi.ac.uk/ols/ontologies/uberon/terms?iri=http://purl.obolibrary.org/obo/UBERON_0004009","cerebellum posterior vermis")</f>
        <v>cerebellum posterior vermis</v>
      </c>
      <c r="G547" s="9" t="s">
        <v>1141</v>
      </c>
      <c r="H547" s="9" t="s">
        <v>25343</v>
      </c>
      <c r="I547" s="9" t="s">
        <v>1142</v>
      </c>
      <c r="J547" s="9" t="s">
        <v>1143</v>
      </c>
      <c r="K547" s="7" t="s">
        <v>15171</v>
      </c>
      <c r="L547" s="13">
        <v>4704</v>
      </c>
      <c r="M547" t="str">
        <f>VLOOKUP(L547,[1]HBA!$B$2:$C$4000,2,FALSE)</f>
        <v>PLVCb</v>
      </c>
    </row>
    <row r="548" spans="2:13" x14ac:dyDescent="0.25">
      <c r="B548" s="37" t="s">
        <v>26299</v>
      </c>
      <c r="C548" s="20"/>
      <c r="D548" s="25" t="s">
        <v>25846</v>
      </c>
      <c r="E548" s="25"/>
      <c r="F548" s="9" t="str">
        <f>HYPERLINK("https://www.ebi.ac.uk/ols/ontologies/uberon/terms?iri=http://purl.obolibrary.org/obo/UBERON_0007763","cerebellum vermis culmen")</f>
        <v>cerebellum vermis culmen</v>
      </c>
      <c r="G548" s="9" t="s">
        <v>1144</v>
      </c>
      <c r="H548" s="9" t="s">
        <v>20586</v>
      </c>
      <c r="I548" s="9" t="s">
        <v>1109</v>
      </c>
      <c r="J548" s="9" t="s">
        <v>1110</v>
      </c>
      <c r="K548" s="3" t="s">
        <v>15176</v>
      </c>
      <c r="L548" s="13">
        <v>928</v>
      </c>
      <c r="M548" t="str">
        <f>VLOOKUP(L548,[1]Mouse_ARA!$B$2:$C$1328,2,FALSE)</f>
        <v>CUL</v>
      </c>
    </row>
    <row r="549" spans="2:13" x14ac:dyDescent="0.25">
      <c r="B549" s="37" t="s">
        <v>26303</v>
      </c>
      <c r="C549" s="25" t="s">
        <v>26099</v>
      </c>
      <c r="D549" s="25" t="s">
        <v>25847</v>
      </c>
      <c r="E549" s="25"/>
      <c r="F549" s="9" t="str">
        <f>HYPERLINK("https://www.ebi.ac.uk/ols/ontologies/uberon/terms?iri=http://purl.obolibrary.org/obo/UBERON_0004070","cerebellum vermis lobule")</f>
        <v>cerebellum vermis lobule</v>
      </c>
      <c r="G549" s="9" t="s">
        <v>1145</v>
      </c>
      <c r="H549" s="9" t="s">
        <v>25361</v>
      </c>
      <c r="I549" s="9" t="s">
        <v>1146</v>
      </c>
      <c r="J549" s="9" t="s">
        <v>1147</v>
      </c>
      <c r="K549" s="7" t="s">
        <v>15171</v>
      </c>
      <c r="L549" s="13">
        <v>4718</v>
      </c>
      <c r="M549" t="str">
        <f>VLOOKUP(L549,[1]HBA!$B$2:$C$4000,2,FALSE)</f>
        <v>PV-III</v>
      </c>
    </row>
    <row r="550" spans="2:13" x14ac:dyDescent="0.25">
      <c r="B550" s="37" t="s">
        <v>26303</v>
      </c>
      <c r="C550" s="25" t="s">
        <v>26100</v>
      </c>
      <c r="D550" s="25" t="s">
        <v>25847</v>
      </c>
      <c r="E550" s="25"/>
      <c r="F550" s="9" t="str">
        <f>HYPERLINK("https://www.ebi.ac.uk/ols/ontologies/uberon/terms?iri=http://purl.obolibrary.org/obo/UBERON_0004070","cerebellum vermis lobule")</f>
        <v>cerebellum vermis lobule</v>
      </c>
      <c r="G550" s="9" t="s">
        <v>1145</v>
      </c>
      <c r="H550" s="9" t="s">
        <v>25367</v>
      </c>
      <c r="I550" s="9" t="s">
        <v>1148</v>
      </c>
      <c r="J550" s="9" t="s">
        <v>1149</v>
      </c>
      <c r="K550" s="7" t="s">
        <v>15171</v>
      </c>
      <c r="L550" s="13">
        <v>4719</v>
      </c>
      <c r="M550" t="str">
        <f>VLOOKUP(L550,[1]HBA!$B$2:$C$4000,2,FALSE)</f>
        <v>PV-IV</v>
      </c>
    </row>
    <row r="551" spans="2:13" x14ac:dyDescent="0.25">
      <c r="B551" s="37" t="s">
        <v>26303</v>
      </c>
      <c r="C551" s="25" t="s">
        <v>26102</v>
      </c>
      <c r="D551" s="25" t="s">
        <v>25847</v>
      </c>
      <c r="E551" s="25"/>
      <c r="F551" s="9" t="str">
        <f>HYPERLINK("https://www.ebi.ac.uk/ols/ontologies/uberon/terms?iri=http://purl.obolibrary.org/obo/UBERON_0004070","cerebellum vermis lobule")</f>
        <v>cerebellum vermis lobule</v>
      </c>
      <c r="G551" s="9" t="s">
        <v>1145</v>
      </c>
      <c r="H551" s="9" t="s">
        <v>25373</v>
      </c>
      <c r="I551" s="9" t="s">
        <v>1150</v>
      </c>
      <c r="J551" s="9" t="s">
        <v>1151</v>
      </c>
      <c r="K551" s="7" t="s">
        <v>15171</v>
      </c>
      <c r="L551" s="13">
        <v>4720</v>
      </c>
      <c r="M551" t="str">
        <f>VLOOKUP(L551,[1]HBA!$B$2:$C$4000,2,FALSE)</f>
        <v>PV-V</v>
      </c>
    </row>
    <row r="552" spans="2:13" x14ac:dyDescent="0.25">
      <c r="B552" s="37" t="s">
        <v>26303</v>
      </c>
      <c r="C552" s="25" t="s">
        <v>26103</v>
      </c>
      <c r="D552" s="25" t="s">
        <v>25847</v>
      </c>
      <c r="E552" s="25"/>
      <c r="F552" s="9" t="str">
        <f>HYPERLINK("https://www.ebi.ac.uk/ols/ontologies/uberon/terms?iri=http://purl.obolibrary.org/obo/UBERON_0004070","cerebellum vermis lobule")</f>
        <v>cerebellum vermis lobule</v>
      </c>
      <c r="G552" s="9" t="s">
        <v>1145</v>
      </c>
      <c r="H552" s="9" t="s">
        <v>25380</v>
      </c>
      <c r="I552" s="9" t="s">
        <v>1152</v>
      </c>
      <c r="J552" s="9" t="s">
        <v>1153</v>
      </c>
      <c r="K552" s="7" t="s">
        <v>15171</v>
      </c>
      <c r="L552" s="13">
        <v>4722</v>
      </c>
      <c r="M552" t="str">
        <f>VLOOKUP(L552,[1]HBA!$B$2:$C$4000,2,FALSE)</f>
        <v>PV-VI</v>
      </c>
    </row>
    <row r="553" spans="2:13" x14ac:dyDescent="0.25">
      <c r="B553" s="37" t="s">
        <v>26303</v>
      </c>
      <c r="C553" s="25" t="s">
        <v>26101</v>
      </c>
      <c r="D553" s="25" t="s">
        <v>25847</v>
      </c>
      <c r="E553" s="25"/>
      <c r="F553" s="9" t="str">
        <f>HYPERLINK("https://www.ebi.ac.uk/ols/ontologies/uberon/terms?iri=http://purl.obolibrary.org/obo/UBERON_0004070","cerebellum vermis lobule")</f>
        <v>cerebellum vermis lobule</v>
      </c>
      <c r="G553" s="9" t="s">
        <v>1145</v>
      </c>
      <c r="H553" s="9" t="s">
        <v>25421</v>
      </c>
      <c r="I553" s="9" t="s">
        <v>1154</v>
      </c>
      <c r="J553" s="9" t="s">
        <v>1155</v>
      </c>
      <c r="K553" s="7" t="s">
        <v>15171</v>
      </c>
      <c r="L553" s="13">
        <v>4728</v>
      </c>
      <c r="M553" t="str">
        <f>VLOOKUP(L553,[1]HBA!$B$2:$C$4000,2,FALSE)</f>
        <v>PV-IX</v>
      </c>
    </row>
    <row r="554" spans="2:13" x14ac:dyDescent="0.25">
      <c r="B554" s="37" t="s">
        <v>26299</v>
      </c>
      <c r="C554" s="20"/>
      <c r="D554" s="25" t="s">
        <v>25848</v>
      </c>
      <c r="E554" s="25"/>
      <c r="F554" s="9" t="str">
        <f>HYPERLINK("https://www.ebi.ac.uk/ols/ontologies/uberon/terms?iri=http://purl.obolibrary.org/obo/UBERON_0004074","cerebellum vermis lobule I")</f>
        <v>cerebellum vermis lobule I</v>
      </c>
      <c r="G554" s="9" t="s">
        <v>1156</v>
      </c>
      <c r="H554" s="9" t="s">
        <v>20560</v>
      </c>
      <c r="I554" s="9" t="s">
        <v>1107</v>
      </c>
      <c r="J554" s="9" t="s">
        <v>1108</v>
      </c>
      <c r="K554" s="3" t="s">
        <v>15176</v>
      </c>
      <c r="L554" s="13">
        <v>912</v>
      </c>
      <c r="M554" t="str">
        <f>VLOOKUP(L554,[1]Mouse_ARA!$B$2:$C$1328,2,FALSE)</f>
        <v>LING</v>
      </c>
    </row>
    <row r="555" spans="2:13" x14ac:dyDescent="0.25">
      <c r="B555" s="37" t="s">
        <v>26299</v>
      </c>
      <c r="C555" s="20"/>
      <c r="D555" s="25" t="s">
        <v>25849</v>
      </c>
      <c r="E555" s="25"/>
      <c r="F555" s="9" t="str">
        <f>HYPERLINK("https://www.ebi.ac.uk/ols/ontologies/uberon/terms?iri=http://purl.obolibrary.org/obo/UBERON_0004075","cerebellum vermis lobule II")</f>
        <v>cerebellum vermis lobule II</v>
      </c>
      <c r="G555" s="9" t="s">
        <v>1157</v>
      </c>
      <c r="H555" s="9" t="s">
        <v>20570</v>
      </c>
      <c r="I555" s="9" t="s">
        <v>1121</v>
      </c>
      <c r="J555" s="9" t="s">
        <v>1122</v>
      </c>
      <c r="K555" s="3" t="s">
        <v>15176</v>
      </c>
      <c r="L555" s="13">
        <v>976</v>
      </c>
      <c r="M555" t="str">
        <f>VLOOKUP(L555,[1]Mouse_ARA!$B$2:$C$1328,2,FALSE)</f>
        <v>CENT2</v>
      </c>
    </row>
    <row r="556" spans="2:13" x14ac:dyDescent="0.25">
      <c r="B556" s="37" t="s">
        <v>26299</v>
      </c>
      <c r="C556" s="20"/>
      <c r="D556" s="25" t="s">
        <v>25850</v>
      </c>
      <c r="E556" s="25"/>
      <c r="F556" s="9" t="str">
        <f>HYPERLINK("https://www.ebi.ac.uk/ols/ontologies/uberon/terms?iri=http://purl.obolibrary.org/obo/UBERON_0004076","cerebellum vermis lobule III")</f>
        <v>cerebellum vermis lobule III</v>
      </c>
      <c r="G556" s="9" t="s">
        <v>1158</v>
      </c>
      <c r="H556" s="9" t="s">
        <v>24682</v>
      </c>
      <c r="I556" s="9" t="s">
        <v>1073</v>
      </c>
      <c r="J556" s="9" t="s">
        <v>1074</v>
      </c>
      <c r="K556" s="4" t="s">
        <v>15175</v>
      </c>
      <c r="L556" s="13">
        <v>12841</v>
      </c>
      <c r="M556" t="str">
        <f>VLOOKUP(L556,[1]Human_BrainSpan!$B$2:$C$4000,2,FALSE)</f>
        <v>CbIII</v>
      </c>
    </row>
    <row r="557" spans="2:13" x14ac:dyDescent="0.25">
      <c r="B557" s="37" t="s">
        <v>26299</v>
      </c>
      <c r="C557" s="20"/>
      <c r="D557" s="25" t="s">
        <v>25850</v>
      </c>
      <c r="E557" s="25"/>
      <c r="F557" s="9" t="str">
        <f>HYPERLINK("https://www.ebi.ac.uk/ols/ontologies/uberon/terms?iri=http://purl.obolibrary.org/obo/UBERON_0004076","cerebellum vermis lobule III")</f>
        <v>cerebellum vermis lobule III</v>
      </c>
      <c r="G557" s="9" t="s">
        <v>1158</v>
      </c>
      <c r="H557" s="9" t="s">
        <v>25360</v>
      </c>
      <c r="I557" s="9" t="s">
        <v>1089</v>
      </c>
      <c r="J557" s="9" t="s">
        <v>1090</v>
      </c>
      <c r="K557" s="7" t="s">
        <v>15171</v>
      </c>
      <c r="L557" s="13">
        <v>12933</v>
      </c>
      <c r="M557" t="str">
        <f>VLOOKUP(L557,[1]HBA!$B$2:$C$4000,2,FALSE)</f>
        <v>Cb-III</v>
      </c>
    </row>
    <row r="558" spans="2:13" x14ac:dyDescent="0.25">
      <c r="B558" s="37" t="s">
        <v>26299</v>
      </c>
      <c r="C558" s="20"/>
      <c r="D558" s="25" t="s">
        <v>25850</v>
      </c>
      <c r="E558" s="25"/>
      <c r="F558" s="9" t="str">
        <f>HYPERLINK("https://www.ebi.ac.uk/ols/ontologies/uberon/terms?iri=http://purl.obolibrary.org/obo/UBERON_0004076","cerebellum vermis lobule III")</f>
        <v>cerebellum vermis lobule III</v>
      </c>
      <c r="G558" s="9" t="s">
        <v>1158</v>
      </c>
      <c r="H558" s="9" t="s">
        <v>20578</v>
      </c>
      <c r="I558" s="9" t="s">
        <v>1123</v>
      </c>
      <c r="J558" s="9" t="s">
        <v>1124</v>
      </c>
      <c r="K558" s="3" t="s">
        <v>15176</v>
      </c>
      <c r="L558" s="13">
        <v>984</v>
      </c>
      <c r="M558" t="str">
        <f>VLOOKUP(L558,[1]Mouse_ARA!$B$2:$C$1328,2,FALSE)</f>
        <v>CENT3</v>
      </c>
    </row>
    <row r="559" spans="2:13" x14ac:dyDescent="0.25">
      <c r="B559" s="37" t="s">
        <v>26299</v>
      </c>
      <c r="C559" s="25" t="s">
        <v>25846</v>
      </c>
      <c r="D559" s="25" t="s">
        <v>25851</v>
      </c>
      <c r="E559" s="25"/>
      <c r="F559" s="9" t="str">
        <f>HYPERLINK("https://www.ebi.ac.uk/ols/ontologies/uberon/terms?iri=http://purl.obolibrary.org/obo/UBERON_0004077","cerebellum vermis lobule IV")</f>
        <v>cerebellum vermis lobule IV</v>
      </c>
      <c r="G559" s="9" t="s">
        <v>1159</v>
      </c>
      <c r="H559" s="9" t="s">
        <v>24683</v>
      </c>
      <c r="I559" s="9" t="s">
        <v>1075</v>
      </c>
      <c r="J559" s="9" t="s">
        <v>1076</v>
      </c>
      <c r="K559" s="4" t="s">
        <v>15175</v>
      </c>
      <c r="L559" s="13">
        <v>12842</v>
      </c>
      <c r="M559" t="str">
        <f>VLOOKUP(L559,[1]Human_BrainSpan!$B$2:$C$4000,2,FALSE)</f>
        <v>CbIV</v>
      </c>
    </row>
    <row r="560" spans="2:13" x14ac:dyDescent="0.25">
      <c r="B560" s="37" t="s">
        <v>26299</v>
      </c>
      <c r="C560" s="20"/>
      <c r="D560" s="25" t="s">
        <v>25851</v>
      </c>
      <c r="E560" s="25"/>
      <c r="F560" s="9" t="str">
        <f>HYPERLINK("https://www.ebi.ac.uk/ols/ontologies/uberon/terms?iri=http://purl.obolibrary.org/obo/UBERON_0004077","cerebellum vermis lobule IV")</f>
        <v>cerebellum vermis lobule IV</v>
      </c>
      <c r="G560" s="9" t="s">
        <v>1159</v>
      </c>
      <c r="H560" s="9" t="s">
        <v>25366</v>
      </c>
      <c r="I560" s="9" t="s">
        <v>1091</v>
      </c>
      <c r="J560" s="9" t="s">
        <v>1092</v>
      </c>
      <c r="K560" s="7" t="s">
        <v>15171</v>
      </c>
      <c r="L560" s="13">
        <v>12934</v>
      </c>
      <c r="M560" t="str">
        <f>VLOOKUP(L560,[1]HBA!$B$2:$C$4000,2,FALSE)</f>
        <v>Cb-IV</v>
      </c>
    </row>
    <row r="561" spans="2:13" x14ac:dyDescent="0.25">
      <c r="B561" s="37" t="s">
        <v>26299</v>
      </c>
      <c r="C561" s="20"/>
      <c r="D561" s="25" t="s">
        <v>25851</v>
      </c>
      <c r="E561" s="25"/>
      <c r="F561" s="9" t="str">
        <f>HYPERLINK("https://www.ebi.ac.uk/ols/ontologies/uberon/terms?iri=http://purl.obolibrary.org/obo/UBERON_0004077","cerebellum vermis lobule IV")</f>
        <v>cerebellum vermis lobule IV</v>
      </c>
      <c r="G561" s="9" t="s">
        <v>1159</v>
      </c>
      <c r="H561" s="9" t="s">
        <v>20588</v>
      </c>
      <c r="I561" s="9" t="s">
        <v>1125</v>
      </c>
      <c r="J561" s="9" t="s">
        <v>1126</v>
      </c>
      <c r="K561" s="3" t="s">
        <v>15176</v>
      </c>
      <c r="L561" s="13">
        <v>992</v>
      </c>
      <c r="M561" t="str">
        <f>VLOOKUP(L561,[1]Mouse_ARA!$B$2:$C$1328,2,FALSE)</f>
        <v>CUL4</v>
      </c>
    </row>
    <row r="562" spans="2:13" x14ac:dyDescent="0.25">
      <c r="B562" s="37" t="s">
        <v>26299</v>
      </c>
      <c r="C562" s="20"/>
      <c r="D562" s="25" t="s">
        <v>25852</v>
      </c>
      <c r="E562" s="25"/>
      <c r="F562" s="9" t="str">
        <f>HYPERLINK("https://www.ebi.ac.uk/ols/ontologies/uberon/terms?iri=http://purl.obolibrary.org/obo/UBERON_0004078","cerebellum vermis lobule IX")</f>
        <v>cerebellum vermis lobule IX</v>
      </c>
      <c r="G562" s="9" t="s">
        <v>1160</v>
      </c>
      <c r="H562" s="9" t="s">
        <v>24691</v>
      </c>
      <c r="I562" s="9" t="s">
        <v>1085</v>
      </c>
      <c r="J562" s="9" t="s">
        <v>1086</v>
      </c>
      <c r="K562" s="4" t="s">
        <v>15175</v>
      </c>
      <c r="L562" s="13">
        <v>12851</v>
      </c>
      <c r="M562" t="str">
        <f>VLOOKUP(L562,[1]Human_BrainSpan!$B$2:$C$4000,2,FALSE)</f>
        <v>CbIX</v>
      </c>
    </row>
    <row r="563" spans="2:13" x14ac:dyDescent="0.25">
      <c r="B563" s="37" t="s">
        <v>26299</v>
      </c>
      <c r="C563" s="20"/>
      <c r="D563" s="25" t="s">
        <v>25852</v>
      </c>
      <c r="E563" s="25"/>
      <c r="F563" s="9" t="str">
        <f>HYPERLINK("https://www.ebi.ac.uk/ols/ontologies/uberon/terms?iri=http://purl.obolibrary.org/obo/UBERON_0004078","cerebellum vermis lobule IX")</f>
        <v>cerebellum vermis lobule IX</v>
      </c>
      <c r="G563" s="9" t="s">
        <v>1160</v>
      </c>
      <c r="H563" s="9" t="s">
        <v>25420</v>
      </c>
      <c r="I563" s="9" t="s">
        <v>1101</v>
      </c>
      <c r="J563" s="9" t="s">
        <v>1102</v>
      </c>
      <c r="K563" s="7" t="s">
        <v>15171</v>
      </c>
      <c r="L563" s="13">
        <v>12943</v>
      </c>
      <c r="M563" t="str">
        <f>VLOOKUP(L563,[1]HBA!$B$2:$C$4000,2,FALSE)</f>
        <v>Cb-IX</v>
      </c>
    </row>
    <row r="564" spans="2:13" x14ac:dyDescent="0.25">
      <c r="B564" s="37" t="s">
        <v>26299</v>
      </c>
      <c r="C564" s="20"/>
      <c r="D564" s="25" t="s">
        <v>25852</v>
      </c>
      <c r="E564" s="25"/>
      <c r="F564" s="9" t="str">
        <f>HYPERLINK("https://www.ebi.ac.uk/ols/ontologies/uberon/terms?iri=http://purl.obolibrary.org/obo/UBERON_0004078","cerebellum vermis lobule IX")</f>
        <v>cerebellum vermis lobule IX</v>
      </c>
      <c r="G564" s="9" t="s">
        <v>1160</v>
      </c>
      <c r="H564" s="9" t="s">
        <v>20636</v>
      </c>
      <c r="I564" s="9" t="s">
        <v>1117</v>
      </c>
      <c r="J564" s="9" t="s">
        <v>1118</v>
      </c>
      <c r="K564" s="3" t="s">
        <v>15176</v>
      </c>
      <c r="L564" s="13">
        <v>957</v>
      </c>
      <c r="M564" t="str">
        <f>VLOOKUP(L564,[1]Mouse_ARA!$B$2:$C$1328,2,FALSE)</f>
        <v>UVU</v>
      </c>
    </row>
    <row r="565" spans="2:13" x14ac:dyDescent="0.25">
      <c r="B565" s="37" t="s">
        <v>26299</v>
      </c>
      <c r="C565" s="25" t="s">
        <v>25846</v>
      </c>
      <c r="D565" s="25" t="s">
        <v>25853</v>
      </c>
      <c r="E565" s="25"/>
      <c r="F565" s="9" t="str">
        <f>HYPERLINK("https://www.ebi.ac.uk/ols/ontologies/uberon/terms?iri=http://purl.obolibrary.org/obo/UBERON_0004079","cerebellum vermis lobule V")</f>
        <v>cerebellum vermis lobule V</v>
      </c>
      <c r="G565" s="9" t="s">
        <v>1161</v>
      </c>
      <c r="H565" s="9" t="s">
        <v>17240</v>
      </c>
      <c r="I565" s="9" t="s">
        <v>1077</v>
      </c>
      <c r="J565" s="9" t="s">
        <v>1078</v>
      </c>
      <c r="K565" s="4" t="s">
        <v>15175</v>
      </c>
      <c r="L565" s="13">
        <v>12843</v>
      </c>
      <c r="M565" t="str">
        <f>VLOOKUP(L565,[1]Human_BrainSpan!$B$2:$C$4000,2,FALSE)</f>
        <v>CbV</v>
      </c>
    </row>
    <row r="566" spans="2:13" x14ac:dyDescent="0.25">
      <c r="B566" s="37" t="s">
        <v>26299</v>
      </c>
      <c r="C566" s="20"/>
      <c r="D566" s="25" t="s">
        <v>25853</v>
      </c>
      <c r="E566" s="25"/>
      <c r="F566" s="9" t="str">
        <f>HYPERLINK("https://www.ebi.ac.uk/ols/ontologies/uberon/terms?iri=http://purl.obolibrary.org/obo/UBERON_0004079","cerebellum vermis lobule V")</f>
        <v>cerebellum vermis lobule V</v>
      </c>
      <c r="G566" s="9" t="s">
        <v>1161</v>
      </c>
      <c r="H566" s="9" t="s">
        <v>25372</v>
      </c>
      <c r="I566" s="9" t="s">
        <v>1093</v>
      </c>
      <c r="J566" s="9" t="s">
        <v>1094</v>
      </c>
      <c r="K566" s="7" t="s">
        <v>15171</v>
      </c>
      <c r="L566" s="13">
        <v>12935</v>
      </c>
      <c r="M566" t="str">
        <f>VLOOKUP(L566,[1]HBA!$B$2:$C$4000,2,FALSE)</f>
        <v>Cb-V</v>
      </c>
    </row>
    <row r="567" spans="2:13" x14ac:dyDescent="0.25">
      <c r="B567" s="37" t="s">
        <v>26299</v>
      </c>
      <c r="C567" s="20"/>
      <c r="D567" s="25" t="s">
        <v>25853</v>
      </c>
      <c r="E567" s="25"/>
      <c r="F567" s="9" t="str">
        <f>HYPERLINK("https://www.ebi.ac.uk/ols/ontologies/uberon/terms?iri=http://purl.obolibrary.org/obo/UBERON_0004079","cerebellum vermis lobule V")</f>
        <v>cerebellum vermis lobule V</v>
      </c>
      <c r="G567" s="9" t="s">
        <v>1161</v>
      </c>
      <c r="H567" s="9" t="s">
        <v>20596</v>
      </c>
      <c r="I567" s="9" t="s">
        <v>1104</v>
      </c>
      <c r="J567" s="9" t="s">
        <v>1105</v>
      </c>
      <c r="K567" s="3" t="s">
        <v>15176</v>
      </c>
      <c r="L567" s="13">
        <v>1001</v>
      </c>
      <c r="M567" t="str">
        <f>VLOOKUP(L567,[1]Mouse_ARA!$B$2:$C$1328,2,FALSE)</f>
        <v>CUL5</v>
      </c>
    </row>
    <row r="568" spans="2:13" x14ac:dyDescent="0.25">
      <c r="B568" s="37" t="s">
        <v>26299</v>
      </c>
      <c r="C568" s="20"/>
      <c r="D568" s="25" t="s">
        <v>25854</v>
      </c>
      <c r="E568" s="25"/>
      <c r="F568" s="9" t="str">
        <f>HYPERLINK("https://www.ebi.ac.uk/ols/ontologies/uberon/terms?iri=http://purl.obolibrary.org/obo/UBERON_0004080","cerebellum vermis lobule VI")</f>
        <v>cerebellum vermis lobule VI</v>
      </c>
      <c r="G568" s="9" t="s">
        <v>1162</v>
      </c>
      <c r="H568" s="9" t="s">
        <v>24685</v>
      </c>
      <c r="I568" s="9" t="s">
        <v>1079</v>
      </c>
      <c r="J568" s="9" t="s">
        <v>1080</v>
      </c>
      <c r="K568" s="4" t="s">
        <v>15175</v>
      </c>
      <c r="L568" s="13">
        <v>12845</v>
      </c>
      <c r="M568" t="str">
        <f>VLOOKUP(L568,[1]Human_BrainSpan!$B$2:$C$4000,2,FALSE)</f>
        <v>CbVI</v>
      </c>
    </row>
    <row r="569" spans="2:13" x14ac:dyDescent="0.25">
      <c r="B569" s="37" t="s">
        <v>26299</v>
      </c>
      <c r="C569" s="20"/>
      <c r="D569" s="25" t="s">
        <v>25854</v>
      </c>
      <c r="E569" s="25"/>
      <c r="F569" s="9" t="str">
        <f>HYPERLINK("https://www.ebi.ac.uk/ols/ontologies/uberon/terms?iri=http://purl.obolibrary.org/obo/UBERON_0004080","cerebellum vermis lobule VI")</f>
        <v>cerebellum vermis lobule VI</v>
      </c>
      <c r="G569" s="9" t="s">
        <v>1162</v>
      </c>
      <c r="H569" s="9" t="s">
        <v>25379</v>
      </c>
      <c r="I569" s="9" t="s">
        <v>1095</v>
      </c>
      <c r="J569" s="9" t="s">
        <v>1096</v>
      </c>
      <c r="K569" s="7" t="s">
        <v>15171</v>
      </c>
      <c r="L569" s="13">
        <v>12937</v>
      </c>
      <c r="M569" t="str">
        <f>VLOOKUP(L569,[1]HBA!$B$2:$C$4000,2,FALSE)</f>
        <v>Cb-VI</v>
      </c>
    </row>
    <row r="570" spans="2:13" x14ac:dyDescent="0.25">
      <c r="B570" s="37" t="s">
        <v>26299</v>
      </c>
      <c r="C570" s="20"/>
      <c r="D570" s="25" t="s">
        <v>25854</v>
      </c>
      <c r="E570" s="25"/>
      <c r="F570" s="9" t="str">
        <f>HYPERLINK("https://www.ebi.ac.uk/ols/ontologies/uberon/terms?iri=http://purl.obolibrary.org/obo/UBERON_0004080","cerebellum vermis lobule VI")</f>
        <v>cerebellum vermis lobule VI</v>
      </c>
      <c r="G570" s="9" t="s">
        <v>1162</v>
      </c>
      <c r="H570" s="9" t="s">
        <v>20612</v>
      </c>
      <c r="I570" s="9" t="s">
        <v>1111</v>
      </c>
      <c r="J570" s="9" t="s">
        <v>1112</v>
      </c>
      <c r="K570" s="3" t="s">
        <v>15176</v>
      </c>
      <c r="L570" s="13">
        <v>936</v>
      </c>
      <c r="M570" t="str">
        <f>VLOOKUP(L570,[1]Mouse_ARA!$B$2:$C$1328,2,FALSE)</f>
        <v>DEC</v>
      </c>
    </row>
    <row r="571" spans="2:13" x14ac:dyDescent="0.25">
      <c r="B571" s="37" t="s">
        <v>26303</v>
      </c>
      <c r="C571" s="25" t="s">
        <v>25855</v>
      </c>
      <c r="D571" s="25" t="s">
        <v>25855</v>
      </c>
      <c r="E571" s="25"/>
      <c r="F571" s="9" t="str">
        <f>HYPERLINK("https://www.ebi.ac.uk/ols/ontologies/uberon/terms?iri=http://purl.obolibrary.org/obo/UBERON_0004081","cerebellum vermis lobule VII")</f>
        <v>cerebellum vermis lobule VII</v>
      </c>
      <c r="G571" s="9" t="s">
        <v>1163</v>
      </c>
      <c r="H571" s="9" t="s">
        <v>20620</v>
      </c>
      <c r="I571" s="9" t="s">
        <v>1113</v>
      </c>
      <c r="J571" s="9" t="s">
        <v>1114</v>
      </c>
      <c r="K571" s="3" t="s">
        <v>15176</v>
      </c>
      <c r="L571" s="13">
        <v>944</v>
      </c>
      <c r="M571" t="str">
        <f>VLOOKUP(L571,[1]Mouse_ARA!$B$2:$C$1328,2,FALSE)</f>
        <v>FOTU</v>
      </c>
    </row>
    <row r="572" spans="2:13" x14ac:dyDescent="0.25">
      <c r="B572" s="37" t="s">
        <v>26299</v>
      </c>
      <c r="C572" s="20"/>
      <c r="D572" s="25" t="s">
        <v>25856</v>
      </c>
      <c r="E572" s="25"/>
      <c r="F572" s="9" t="str">
        <f>HYPERLINK("https://www.ebi.ac.uk/ols/ontologies/uberon/terms?iri=http://purl.obolibrary.org/obo/UBERON_0036044","cerebellum vermis lobule VIIAf")</f>
        <v>cerebellum vermis lobule VIIAf</v>
      </c>
      <c r="G572" s="9" t="s">
        <v>1164</v>
      </c>
      <c r="H572" s="9" t="s">
        <v>24686</v>
      </c>
      <c r="I572" s="9" t="s">
        <v>1165</v>
      </c>
      <c r="J572" s="9" t="s">
        <v>1166</v>
      </c>
      <c r="K572" s="4" t="s">
        <v>15175</v>
      </c>
      <c r="L572" s="13">
        <v>12846</v>
      </c>
      <c r="M572" t="str">
        <f>VLOOKUP(L572,[1]Human_BrainSpan!$B$2:$C$4000,2,FALSE)</f>
        <v>CbVIIa1</v>
      </c>
    </row>
    <row r="573" spans="2:13" x14ac:dyDescent="0.25">
      <c r="B573" s="31" t="s">
        <v>25743</v>
      </c>
      <c r="C573" s="20"/>
      <c r="D573" s="25" t="s">
        <v>25856</v>
      </c>
      <c r="E573" s="25"/>
      <c r="F573" s="9" t="str">
        <f>HYPERLINK("https://www.ebi.ac.uk/ols/ontologies/uberon/terms?iri=http://purl.obolibrary.org/obo/UBERON_0036044","cerebellum vermis lobule VIIAf")</f>
        <v>cerebellum vermis lobule VIIAf</v>
      </c>
      <c r="G573" s="9" t="s">
        <v>1164</v>
      </c>
      <c r="H573" s="9" t="s">
        <v>25345</v>
      </c>
      <c r="I573" s="9" t="s">
        <v>1167</v>
      </c>
      <c r="J573" s="9" t="s">
        <v>1168</v>
      </c>
      <c r="K573" s="7" t="s">
        <v>15171</v>
      </c>
      <c r="L573" s="13">
        <v>4706</v>
      </c>
      <c r="M573" t="str">
        <f>VLOOKUP(L573,[1]HBA!$B$2:$C$4000,2,FALSE)</f>
        <v>Ve-VIIAf</v>
      </c>
    </row>
    <row r="574" spans="2:13" x14ac:dyDescent="0.25">
      <c r="B574" s="37" t="s">
        <v>26299</v>
      </c>
      <c r="C574" s="20"/>
      <c r="D574" s="25" t="s">
        <v>25857</v>
      </c>
      <c r="E574" s="25"/>
      <c r="F574" s="9" t="str">
        <f>HYPERLINK("https://www.ebi.ac.uk/ols/ontologies/uberon/terms?iri=http://purl.obolibrary.org/obo/UBERON_0036065","cerebellum vermis lobule VIIAt")</f>
        <v>cerebellum vermis lobule VIIAt</v>
      </c>
      <c r="G574" s="9" t="s">
        <v>1169</v>
      </c>
      <c r="H574" s="9" t="s">
        <v>24687</v>
      </c>
      <c r="I574" s="9" t="s">
        <v>1170</v>
      </c>
      <c r="J574" s="9" t="s">
        <v>1171</v>
      </c>
      <c r="K574" s="4" t="s">
        <v>15175</v>
      </c>
      <c r="L574" s="13">
        <v>12847</v>
      </c>
      <c r="M574" t="str">
        <f>VLOOKUP(L574,[1]Human_BrainSpan!$B$2:$C$4000,2,FALSE)</f>
        <v>CbVIIa2</v>
      </c>
    </row>
    <row r="575" spans="2:13" x14ac:dyDescent="0.25">
      <c r="B575" s="31" t="s">
        <v>25743</v>
      </c>
      <c r="C575" s="20"/>
      <c r="D575" s="25" t="s">
        <v>25857</v>
      </c>
      <c r="E575" s="25"/>
      <c r="F575" s="9" t="str">
        <f>HYPERLINK("https://www.ebi.ac.uk/ols/ontologies/uberon/terms?iri=http://purl.obolibrary.org/obo/UBERON_0036065","cerebellum vermis lobule VIIAt")</f>
        <v>cerebellum vermis lobule VIIAt</v>
      </c>
      <c r="G575" s="9" t="s">
        <v>1169</v>
      </c>
      <c r="H575" s="9" t="s">
        <v>25346</v>
      </c>
      <c r="I575" s="9" t="s">
        <v>1172</v>
      </c>
      <c r="J575" s="9" t="s">
        <v>1173</v>
      </c>
      <c r="K575" s="7" t="s">
        <v>15171</v>
      </c>
      <c r="L575" s="13">
        <v>4707</v>
      </c>
      <c r="M575" t="str">
        <f>VLOOKUP(L575,[1]HBA!$B$2:$C$4000,2,FALSE)</f>
        <v>Ve-VIIAt</v>
      </c>
    </row>
    <row r="576" spans="2:13" x14ac:dyDescent="0.25">
      <c r="B576" s="37" t="s">
        <v>26299</v>
      </c>
      <c r="C576" s="20"/>
      <c r="D576" s="25" t="s">
        <v>25858</v>
      </c>
      <c r="E576" s="25"/>
      <c r="F576" s="9" t="str">
        <f>HYPERLINK("https://www.ebi.ac.uk/ols/ontologies/uberon/terms?iri=http://purl.obolibrary.org/obo/UBERON_0005346","cerebellum vermis lobule VIIB")</f>
        <v>cerebellum vermis lobule VIIB</v>
      </c>
      <c r="G576" s="9" t="s">
        <v>1174</v>
      </c>
      <c r="H576" s="9" t="s">
        <v>24688</v>
      </c>
      <c r="I576" s="9" t="s">
        <v>1081</v>
      </c>
      <c r="J576" s="9" t="s">
        <v>1082</v>
      </c>
      <c r="K576" s="4" t="s">
        <v>15175</v>
      </c>
      <c r="L576" s="13">
        <v>12848</v>
      </c>
      <c r="M576" t="str">
        <f>VLOOKUP(L576,[1]Human_BrainSpan!$B$2:$C$4000,2,FALSE)</f>
        <v>CbVIIb</v>
      </c>
    </row>
    <row r="577" spans="2:13" x14ac:dyDescent="0.25">
      <c r="B577" s="37" t="s">
        <v>26299</v>
      </c>
      <c r="C577" s="20"/>
      <c r="D577" s="25" t="s">
        <v>25858</v>
      </c>
      <c r="E577" s="25"/>
      <c r="F577" s="9" t="str">
        <f>HYPERLINK("https://www.ebi.ac.uk/ols/ontologies/uberon/terms?iri=http://purl.obolibrary.org/obo/UBERON_0005346","cerebellum vermis lobule VIIB")</f>
        <v>cerebellum vermis lobule VIIB</v>
      </c>
      <c r="G577" s="9" t="s">
        <v>1174</v>
      </c>
      <c r="H577" s="9" t="s">
        <v>25399</v>
      </c>
      <c r="I577" s="9" t="s">
        <v>1097</v>
      </c>
      <c r="J577" s="9" t="s">
        <v>1098</v>
      </c>
      <c r="K577" s="7" t="s">
        <v>15171</v>
      </c>
      <c r="L577" s="13">
        <v>12940</v>
      </c>
      <c r="M577" t="str">
        <f>VLOOKUP(L577,[1]HBA!$B$2:$C$4000,2,FALSE)</f>
        <v>Cb-VIIB</v>
      </c>
    </row>
    <row r="578" spans="2:13" x14ac:dyDescent="0.25">
      <c r="B578" s="37" t="s">
        <v>26299</v>
      </c>
      <c r="C578" s="20"/>
      <c r="D578" s="25" t="s">
        <v>25858</v>
      </c>
      <c r="E578" s="25"/>
      <c r="F578" s="9" t="str">
        <f>HYPERLINK("https://www.ebi.ac.uk/ols/ontologies/uberon/terms?iri=http://purl.obolibrary.org/obo/UBERON_0005346","cerebellum vermis lobule VIIB")</f>
        <v>cerebellum vermis lobule VIIB</v>
      </c>
      <c r="G578" s="9" t="s">
        <v>1174</v>
      </c>
      <c r="H578" s="9" t="s">
        <v>25347</v>
      </c>
      <c r="I578" s="9" t="s">
        <v>1097</v>
      </c>
      <c r="J578" s="9" t="s">
        <v>1103</v>
      </c>
      <c r="K578" s="7" t="s">
        <v>15171</v>
      </c>
      <c r="L578" s="13">
        <v>4708</v>
      </c>
      <c r="M578" t="str">
        <f>VLOOKUP(L578,[1]HBA!$B$2:$C$4000,2,FALSE)</f>
        <v>Ve-VIIB</v>
      </c>
    </row>
    <row r="579" spans="2:13" x14ac:dyDescent="0.25">
      <c r="B579" s="37" t="s">
        <v>26299</v>
      </c>
      <c r="C579" s="20"/>
      <c r="D579" s="25" t="s">
        <v>25859</v>
      </c>
      <c r="E579" s="25"/>
      <c r="F579" s="9" t="str">
        <f>HYPERLINK("https://www.ebi.ac.uk/ols/ontologies/uberon/terms?iri=http://purl.obolibrary.org/obo/UBERON_0004082","cerebellum vermis lobule VIII")</f>
        <v>cerebellum vermis lobule VIII</v>
      </c>
      <c r="G579" s="9" t="s">
        <v>1175</v>
      </c>
      <c r="H579" s="9" t="s">
        <v>20628</v>
      </c>
      <c r="I579" s="9" t="s">
        <v>1115</v>
      </c>
      <c r="J579" s="9" t="s">
        <v>1116</v>
      </c>
      <c r="K579" s="3" t="s">
        <v>15176</v>
      </c>
      <c r="L579" s="13">
        <v>951</v>
      </c>
      <c r="M579" t="str">
        <f>VLOOKUP(L579,[1]Mouse_ARA!$B$2:$C$1328,2,FALSE)</f>
        <v>PYR</v>
      </c>
    </row>
    <row r="580" spans="2:13" x14ac:dyDescent="0.25">
      <c r="B580" s="37" t="s">
        <v>26299</v>
      </c>
      <c r="C580" s="20"/>
      <c r="D580" s="25" t="s">
        <v>25860</v>
      </c>
      <c r="E580" s="25"/>
      <c r="F580" s="9" t="str">
        <f>HYPERLINK("https://www.ebi.ac.uk/ols/ontologies/uberon/terms?iri=http://purl.obolibrary.org/obo/UBERON_0004083","cerebellum vermis lobule X")</f>
        <v>cerebellum vermis lobule X</v>
      </c>
      <c r="G580" s="9" t="s">
        <v>1176</v>
      </c>
      <c r="H580" s="9" t="s">
        <v>25352</v>
      </c>
      <c r="I580" s="9" t="s">
        <v>1177</v>
      </c>
      <c r="J580" s="9" t="s">
        <v>1178</v>
      </c>
      <c r="K580" s="7" t="s">
        <v>15171</v>
      </c>
      <c r="L580" s="13">
        <v>4713</v>
      </c>
      <c r="M580" t="str">
        <f>VLOOKUP(L580,[1]HBA!$B$2:$C$4000,2,FALSE)</f>
        <v>Ve-X</v>
      </c>
    </row>
    <row r="581" spans="2:13" x14ac:dyDescent="0.25">
      <c r="B581" s="37" t="s">
        <v>26299</v>
      </c>
      <c r="C581" s="20"/>
      <c r="D581" s="25" t="s">
        <v>25860</v>
      </c>
      <c r="E581" s="25"/>
      <c r="F581" s="9" t="str">
        <f>HYPERLINK("https://www.ebi.ac.uk/ols/ontologies/uberon/terms?iri=http://purl.obolibrary.org/obo/UBERON_0004083","cerebellum vermis lobule X")</f>
        <v>cerebellum vermis lobule X</v>
      </c>
      <c r="G581" s="9" t="s">
        <v>1176</v>
      </c>
      <c r="H581" s="9" t="s">
        <v>20644</v>
      </c>
      <c r="I581" s="9" t="s">
        <v>1119</v>
      </c>
      <c r="J581" s="9" t="s">
        <v>1120</v>
      </c>
      <c r="K581" s="3" t="s">
        <v>15176</v>
      </c>
      <c r="L581" s="13">
        <v>968</v>
      </c>
      <c r="M581" t="str">
        <f>VLOOKUP(L581,[1]Mouse_ARA!$B$2:$C$1328,2,FALSE)</f>
        <v>NOD</v>
      </c>
    </row>
    <row r="582" spans="2:13" x14ac:dyDescent="0.25">
      <c r="B582" s="31" t="s">
        <v>25743</v>
      </c>
      <c r="C582" s="20"/>
      <c r="D582" s="25" t="s">
        <v>1180</v>
      </c>
      <c r="E582" s="25"/>
      <c r="F582" s="9" t="str">
        <f>HYPERLINK("https://www.ebi.ac.uk/ols/ontologies/uberon/terms?iri=http://purl.obolibrary.org/obo/UBERON_0000956","cerebral cortex")</f>
        <v>cerebral cortex</v>
      </c>
      <c r="G582" s="9" t="s">
        <v>1179</v>
      </c>
      <c r="H582" s="9" t="s">
        <v>22077</v>
      </c>
      <c r="I582" s="9" t="s">
        <v>1180</v>
      </c>
      <c r="J582" s="9" t="s">
        <v>1181</v>
      </c>
      <c r="K582" s="4" t="s">
        <v>15175</v>
      </c>
      <c r="L582" s="13">
        <v>10159</v>
      </c>
      <c r="M582" t="str">
        <f>VLOOKUP(L582,[1]Human_BrainSpan!$B$2:$C$4000,2,FALSE)</f>
        <v>Cx</v>
      </c>
    </row>
    <row r="583" spans="2:13" x14ac:dyDescent="0.25">
      <c r="B583" s="31" t="s">
        <v>25743</v>
      </c>
      <c r="C583" s="20"/>
      <c r="D583" s="25" t="s">
        <v>1180</v>
      </c>
      <c r="E583" s="25"/>
      <c r="F583" s="9" t="str">
        <f>HYPERLINK("https://www.ebi.ac.uk/ols/ontologies/uberon/terms?iri=http://purl.obolibrary.org/obo/UBERON_0000956","cerebral cortex")</f>
        <v>cerebral cortex</v>
      </c>
      <c r="G583" s="9" t="s">
        <v>1179</v>
      </c>
      <c r="H583" s="9" t="s">
        <v>22077</v>
      </c>
      <c r="I583" s="9" t="s">
        <v>1180</v>
      </c>
      <c r="J583" s="9" t="s">
        <v>1182</v>
      </c>
      <c r="K583" s="7" t="s">
        <v>15171</v>
      </c>
      <c r="L583" s="13">
        <v>4008</v>
      </c>
      <c r="M583" t="str">
        <f>VLOOKUP(L583,[1]HBA!$B$2:$C$4000,2,FALSE)</f>
        <v>Cx</v>
      </c>
    </row>
    <row r="584" spans="2:13" x14ac:dyDescent="0.25">
      <c r="B584" s="31" t="s">
        <v>25743</v>
      </c>
      <c r="C584" s="20"/>
      <c r="D584" s="25" t="s">
        <v>1180</v>
      </c>
      <c r="E584" s="25"/>
      <c r="F584" s="9" t="str">
        <f>HYPERLINK("https://www.ebi.ac.uk/ols/ontologies/uberon/terms?iri=http://purl.obolibrary.org/obo/UBERON_0000956","cerebral cortex")</f>
        <v>cerebral cortex</v>
      </c>
      <c r="G584" s="9" t="s">
        <v>1179</v>
      </c>
      <c r="H584" s="9" t="s">
        <v>18650</v>
      </c>
      <c r="I584" s="9" t="s">
        <v>1180</v>
      </c>
      <c r="J584" s="9" t="s">
        <v>1183</v>
      </c>
      <c r="K584" s="3" t="s">
        <v>15176</v>
      </c>
      <c r="L584" s="13">
        <v>688</v>
      </c>
      <c r="M584" t="str">
        <f>VLOOKUP(L584,[1]Mouse_ARA!$B$2:$C$1328,2,FALSE)</f>
        <v>CTX</v>
      </c>
    </row>
    <row r="585" spans="2:13" x14ac:dyDescent="0.25">
      <c r="B585" s="31" t="s">
        <v>25743</v>
      </c>
      <c r="C585" s="20"/>
      <c r="D585" s="25" t="s">
        <v>1180</v>
      </c>
      <c r="E585" s="25"/>
      <c r="F585" s="9" t="str">
        <f>HYPERLINK("https://www.ebi.ac.uk/ols/ontologies/uberon/terms?iri=http://purl.obolibrary.org/obo/UBERON_0000956","cerebral cortex")</f>
        <v>cerebral cortex</v>
      </c>
      <c r="G585" s="9" t="s">
        <v>1179</v>
      </c>
      <c r="H585" s="9" t="s">
        <v>22077</v>
      </c>
      <c r="I585" s="9" t="s">
        <v>1180</v>
      </c>
      <c r="J585" s="9" t="s">
        <v>1184</v>
      </c>
      <c r="K585" s="6" t="s">
        <v>15174</v>
      </c>
      <c r="L585" s="13">
        <v>128011354</v>
      </c>
      <c r="M585" t="str">
        <f>VLOOKUP(L585,[1]NonHumanPrimate!$B$2:$C$4000,2,FALSE)</f>
        <v>Cx</v>
      </c>
    </row>
    <row r="586" spans="2:13" x14ac:dyDescent="0.25">
      <c r="B586" s="31" t="s">
        <v>26299</v>
      </c>
      <c r="C586" s="25" t="s">
        <v>25813</v>
      </c>
      <c r="D586" s="25" t="s">
        <v>25861</v>
      </c>
      <c r="E586" s="25"/>
      <c r="F586" s="9" t="str">
        <f>HYPERLINK("https://www.ebi.ac.uk/ols/ontologies/uberon/terms?iri=http://purl.obolibrary.org/obo/UBERON_0014935","cerebral cortex marginal layer")</f>
        <v>cerebral cortex marginal layer</v>
      </c>
      <c r="G586" s="9" t="s">
        <v>1185</v>
      </c>
      <c r="H586" s="9" t="s">
        <v>21127</v>
      </c>
      <c r="I586" s="9" t="s">
        <v>624</v>
      </c>
      <c r="J586" s="9" t="s">
        <v>1186</v>
      </c>
      <c r="K586" s="6" t="s">
        <v>15174</v>
      </c>
      <c r="L586" s="13">
        <v>294021774</v>
      </c>
      <c r="M586" t="str">
        <f>VLOOKUP(L586,[1]NonHumanPrimate!$B$2:$C$4000,2,FALSE)</f>
        <v>MZ</v>
      </c>
    </row>
    <row r="587" spans="2:13" x14ac:dyDescent="0.25">
      <c r="B587" s="31" t="s">
        <v>25743</v>
      </c>
      <c r="C587" s="20"/>
      <c r="D587" s="25" t="s">
        <v>25862</v>
      </c>
      <c r="E587" s="25"/>
      <c r="F587" s="9" t="str">
        <f>HYPERLINK("https://www.ebi.ac.uk/ols/ontologies/uberon/terms?iri=http://purl.obolibrary.org/obo/UBERON_0014940","cerebral cortex subventricular zone")</f>
        <v>cerebral cortex subventricular zone</v>
      </c>
      <c r="G587" s="9" t="s">
        <v>1187</v>
      </c>
      <c r="H587" s="9" t="s">
        <v>21586</v>
      </c>
      <c r="I587" s="9" t="s">
        <v>1188</v>
      </c>
      <c r="J587" s="9" t="s">
        <v>1189</v>
      </c>
      <c r="K587" s="6" t="s">
        <v>15174</v>
      </c>
      <c r="L587" s="13">
        <v>294021970</v>
      </c>
      <c r="M587" t="str">
        <f>VLOOKUP(L587,[1]NonHumanPrimate!$B$2:$C$4000,2,FALSE)</f>
        <v>SZ</v>
      </c>
    </row>
    <row r="588" spans="2:13" x14ac:dyDescent="0.25">
      <c r="B588" s="31" t="s">
        <v>26299</v>
      </c>
      <c r="C588" s="20"/>
      <c r="D588" s="25" t="s">
        <v>25863</v>
      </c>
      <c r="E588" s="25" t="s">
        <v>26300</v>
      </c>
      <c r="F588" s="9" t="str">
        <f>HYPERLINK("https://www.ebi.ac.uk/ols/ontologies/uberon/terms?iri=http://purl.obolibrary.org/obo/UBERON_0001869","cerebral hemisphere")</f>
        <v>cerebral hemisphere</v>
      </c>
      <c r="G588" s="9" t="s">
        <v>1190</v>
      </c>
      <c r="H588" s="9" t="s">
        <v>15520</v>
      </c>
      <c r="I588" s="9" t="s">
        <v>1191</v>
      </c>
      <c r="J588" s="9" t="s">
        <v>1192</v>
      </c>
      <c r="K588" s="5" t="s">
        <v>15173</v>
      </c>
      <c r="L588" s="13">
        <v>15739</v>
      </c>
      <c r="M588" t="str">
        <f>VLOOKUP(L588,[1]DevMouse!$B$2:$C$2693,2,FALSE)</f>
        <v>Tel</v>
      </c>
    </row>
    <row r="589" spans="2:13" x14ac:dyDescent="0.25">
      <c r="B589" s="31" t="s">
        <v>26303</v>
      </c>
      <c r="C589" s="25" t="s">
        <v>26018</v>
      </c>
      <c r="D589" s="25" t="s">
        <v>25863</v>
      </c>
      <c r="E589" s="25"/>
      <c r="F589" s="9" t="str">
        <f>HYPERLINK("https://www.ebi.ac.uk/ols/ontologies/uberon/terms?iri=http://purl.obolibrary.org/obo/UBERON_0001869","cerebral hemisphere")</f>
        <v>cerebral hemisphere</v>
      </c>
      <c r="G589" s="9" t="s">
        <v>1190</v>
      </c>
      <c r="H589" s="9" t="s">
        <v>19796</v>
      </c>
      <c r="I589" s="9" t="s">
        <v>1193</v>
      </c>
      <c r="J589" s="9" t="s">
        <v>1194</v>
      </c>
      <c r="K589" s="3" t="s">
        <v>15176</v>
      </c>
      <c r="L589" s="13">
        <v>403</v>
      </c>
      <c r="M589" t="str">
        <f>VLOOKUP(L589,[1]Mouse_ARA!$B$2:$C$1328,2,FALSE)</f>
        <v>MEA</v>
      </c>
    </row>
    <row r="590" spans="2:13" x14ac:dyDescent="0.25">
      <c r="B590" s="31" t="s">
        <v>26303</v>
      </c>
      <c r="C590" s="9" t="s">
        <v>1200</v>
      </c>
      <c r="D590" s="25" t="s">
        <v>25864</v>
      </c>
      <c r="E590" s="25"/>
      <c r="F590" s="9" t="str">
        <f>HYPERLINK("https://www.ebi.ac.uk/ols/ontologies/uberon/terms?iri=http://purl.obolibrary.org/obo/UBERON_0005401","cerebral hemisphere gray matter")</f>
        <v>cerebral hemisphere gray matter</v>
      </c>
      <c r="G590" s="9" t="s">
        <v>1195</v>
      </c>
      <c r="H590" s="9" t="s">
        <v>15639</v>
      </c>
      <c r="I590" s="9" t="s">
        <v>1196</v>
      </c>
      <c r="J590" s="9" t="s">
        <v>1197</v>
      </c>
      <c r="K590" s="5" t="s">
        <v>15173</v>
      </c>
      <c r="L590" s="13">
        <v>15851</v>
      </c>
      <c r="M590" t="str">
        <f>VLOOKUP(L590,[1]DevMouse!$B$2:$C$2693,2,FALSE)</f>
        <v>Str</v>
      </c>
    </row>
    <row r="591" spans="2:13" x14ac:dyDescent="0.25">
      <c r="B591" s="31" t="s">
        <v>26303</v>
      </c>
      <c r="C591" s="9" t="s">
        <v>1198</v>
      </c>
      <c r="D591" s="25" t="s">
        <v>25864</v>
      </c>
      <c r="E591" s="25"/>
      <c r="F591" s="9" t="str">
        <f>HYPERLINK("https://www.ebi.ac.uk/ols/ontologies/uberon/terms?iri=http://purl.obolibrary.org/obo/UBERON_0005401","cerebral hemisphere gray matter")</f>
        <v>cerebral hemisphere gray matter</v>
      </c>
      <c r="G591" s="9" t="s">
        <v>1195</v>
      </c>
      <c r="H591" s="9" t="s">
        <v>15646</v>
      </c>
      <c r="I591" s="9" t="s">
        <v>1198</v>
      </c>
      <c r="J591" s="9" t="s">
        <v>1199</v>
      </c>
      <c r="K591" s="5" t="s">
        <v>15173</v>
      </c>
      <c r="L591" s="13">
        <v>15858</v>
      </c>
      <c r="M591" t="str">
        <f>VLOOKUP(L591,[1]DevMouse!$B$2:$C$2693,2,FALSE)</f>
        <v>VStr</v>
      </c>
    </row>
    <row r="592" spans="2:13" x14ac:dyDescent="0.25">
      <c r="B592" s="31" t="s">
        <v>26303</v>
      </c>
      <c r="C592" s="9" t="s">
        <v>1200</v>
      </c>
      <c r="D592" s="25" t="s">
        <v>25864</v>
      </c>
      <c r="E592" s="25"/>
      <c r="F592" s="9" t="str">
        <f>HYPERLINK("https://www.ebi.ac.uk/ols/ontologies/uberon/terms?iri=http://purl.obolibrary.org/obo/UBERON_0005401","cerebral hemisphere gray matter")</f>
        <v>cerebral hemisphere gray matter</v>
      </c>
      <c r="G592" s="9" t="s">
        <v>1195</v>
      </c>
      <c r="H592" s="9" t="s">
        <v>19740</v>
      </c>
      <c r="I592" s="9" t="s">
        <v>1200</v>
      </c>
      <c r="J592" s="9" t="s">
        <v>1201</v>
      </c>
      <c r="K592" s="3" t="s">
        <v>15176</v>
      </c>
      <c r="L592" s="13">
        <v>477</v>
      </c>
      <c r="M592" t="str">
        <f>VLOOKUP(L592,[1]Mouse_ARA!$B$2:$C$1328,2,FALSE)</f>
        <v>STR</v>
      </c>
    </row>
    <row r="593" spans="2:13" x14ac:dyDescent="0.25">
      <c r="B593" s="31" t="s">
        <v>26303</v>
      </c>
      <c r="C593" s="9" t="s">
        <v>1605</v>
      </c>
      <c r="D593" s="25" t="s">
        <v>25864</v>
      </c>
      <c r="E593" s="25"/>
      <c r="F593" s="9" t="str">
        <f>HYPERLINK("https://www.ebi.ac.uk/ols/ontologies/uberon/terms?iri=http://purl.obolibrary.org/obo/UBERON_0005401","cerebral hemisphere gray matter")</f>
        <v>cerebral hemisphere gray matter</v>
      </c>
      <c r="G593" s="9" t="s">
        <v>1195</v>
      </c>
      <c r="H593" s="9" t="s">
        <v>19742</v>
      </c>
      <c r="I593" s="9" t="s">
        <v>1202</v>
      </c>
      <c r="J593" s="9" t="s">
        <v>1203</v>
      </c>
      <c r="K593" s="3" t="s">
        <v>15176</v>
      </c>
      <c r="L593" s="13">
        <v>485</v>
      </c>
      <c r="M593" t="str">
        <f>VLOOKUP(L593,[1]Mouse_ARA!$B$2:$C$1328,2,FALSE)</f>
        <v>STRd</v>
      </c>
    </row>
    <row r="594" spans="2:13" x14ac:dyDescent="0.25">
      <c r="B594" s="31" t="s">
        <v>26303</v>
      </c>
      <c r="C594" s="9" t="s">
        <v>1198</v>
      </c>
      <c r="D594" s="25" t="s">
        <v>25864</v>
      </c>
      <c r="E594" s="25"/>
      <c r="F594" s="9" t="str">
        <f>HYPERLINK("https://www.ebi.ac.uk/ols/ontologies/uberon/terms?iri=http://purl.obolibrary.org/obo/UBERON_0005401","cerebral hemisphere gray matter")</f>
        <v>cerebral hemisphere gray matter</v>
      </c>
      <c r="G594" s="9" t="s">
        <v>1195</v>
      </c>
      <c r="H594" s="9" t="s">
        <v>19746</v>
      </c>
      <c r="I594" s="9" t="s">
        <v>1204</v>
      </c>
      <c r="J594" s="9" t="s">
        <v>1205</v>
      </c>
      <c r="K594" s="3" t="s">
        <v>15176</v>
      </c>
      <c r="L594" s="13">
        <v>493</v>
      </c>
      <c r="M594" t="str">
        <f>VLOOKUP(L594,[1]Mouse_ARA!$B$2:$C$1328,2,FALSE)</f>
        <v>STRv</v>
      </c>
    </row>
    <row r="595" spans="2:13" x14ac:dyDescent="0.25">
      <c r="B595" s="31" t="s">
        <v>26303</v>
      </c>
      <c r="C595" s="25" t="s">
        <v>632</v>
      </c>
      <c r="D595" s="25" t="s">
        <v>25865</v>
      </c>
      <c r="E595" s="25"/>
      <c r="F595" s="9" t="str">
        <f>HYPERLINK("https://www.ebi.ac.uk/ols/ontologies/uberon/terms?iri=http://purl.obolibrary.org/obo/UBERON_0002437","cerebral hemisphere white matter")</f>
        <v>cerebral hemisphere white matter</v>
      </c>
      <c r="G595" s="9" t="s">
        <v>1206</v>
      </c>
      <c r="H595" s="9" t="s">
        <v>25473</v>
      </c>
      <c r="I595" s="9" t="s">
        <v>632</v>
      </c>
      <c r="J595" s="9" t="s">
        <v>1207</v>
      </c>
      <c r="K595" s="6" t="s">
        <v>15174</v>
      </c>
      <c r="L595" s="13">
        <v>294022044</v>
      </c>
      <c r="M595" t="str">
        <f>VLOOKUP(L595,[1]NonHumanPrimate!$B$2:$C$4000,2,FALSE)</f>
        <v>WM</v>
      </c>
    </row>
    <row r="596" spans="2:13" x14ac:dyDescent="0.25">
      <c r="B596" s="31" t="s">
        <v>26302</v>
      </c>
      <c r="C596" s="25" t="s">
        <v>1209</v>
      </c>
      <c r="D596" s="25" t="s">
        <v>25866</v>
      </c>
      <c r="E596" s="25"/>
      <c r="F596" s="9" t="str">
        <f t="shared" ref="F596:F601" si="7">HYPERLINK("https://www.ebi.ac.uk/ols/ontologies/uberon/terms?iri=http://purl.obolibrary.org/obo/UBERON_0022248","cerebral nerve fasciculus")</f>
        <v>cerebral nerve fasciculus</v>
      </c>
      <c r="G596" s="9" t="s">
        <v>1208</v>
      </c>
      <c r="H596" s="9" t="s">
        <v>20909</v>
      </c>
      <c r="I596" s="9" t="s">
        <v>1209</v>
      </c>
      <c r="J596" s="9" t="s">
        <v>1210</v>
      </c>
      <c r="K596" s="4" t="s">
        <v>15175</v>
      </c>
      <c r="L596" s="13">
        <v>10587</v>
      </c>
      <c r="M596" t="str">
        <f>VLOOKUP(L596,[1]Human_BrainSpan!$B$2:$C$4000,2,FALSE)</f>
        <v>mfb</v>
      </c>
    </row>
    <row r="597" spans="2:13" x14ac:dyDescent="0.25">
      <c r="B597" s="31" t="s">
        <v>26299</v>
      </c>
      <c r="C597" s="25" t="s">
        <v>26278</v>
      </c>
      <c r="D597" s="25" t="s">
        <v>25866</v>
      </c>
      <c r="E597" s="25"/>
      <c r="F597" s="9" t="str">
        <f t="shared" si="7"/>
        <v>cerebral nerve fasciculus</v>
      </c>
      <c r="G597" s="9" t="s">
        <v>1208</v>
      </c>
      <c r="H597" s="9" t="s">
        <v>23659</v>
      </c>
      <c r="I597" s="9" t="s">
        <v>1211</v>
      </c>
      <c r="J597" s="9" t="s">
        <v>1212</v>
      </c>
      <c r="K597" s="4" t="s">
        <v>15175</v>
      </c>
      <c r="L597" s="13">
        <v>10593</v>
      </c>
      <c r="M597" t="str">
        <f>VLOOKUP(L597,[1]Human_BrainSpan!$B$2:$C$4000,2,FALSE)</f>
        <v>thf</v>
      </c>
    </row>
    <row r="598" spans="2:13" x14ac:dyDescent="0.25">
      <c r="B598" s="31" t="s">
        <v>26303</v>
      </c>
      <c r="C598" s="25" t="s">
        <v>1213</v>
      </c>
      <c r="D598" s="25" t="s">
        <v>25866</v>
      </c>
      <c r="E598" s="25"/>
      <c r="F598" s="9" t="str">
        <f t="shared" si="7"/>
        <v>cerebral nerve fasciculus</v>
      </c>
      <c r="G598" s="9" t="s">
        <v>1208</v>
      </c>
      <c r="H598" s="9" t="s">
        <v>23649</v>
      </c>
      <c r="I598" s="9" t="s">
        <v>1213</v>
      </c>
      <c r="J598" s="9" t="s">
        <v>1214</v>
      </c>
      <c r="K598" s="4" t="s">
        <v>15175</v>
      </c>
      <c r="L598" s="13">
        <v>12089</v>
      </c>
      <c r="M598" t="str">
        <f>VLOOKUP(L598,[1]Human_BrainSpan!$B$2:$C$4000,2,FALSE)</f>
        <v>sthf</v>
      </c>
    </row>
    <row r="599" spans="2:13" x14ac:dyDescent="0.25">
      <c r="B599" s="31" t="s">
        <v>26302</v>
      </c>
      <c r="C599" s="25" t="s">
        <v>1209</v>
      </c>
      <c r="D599" s="25" t="s">
        <v>25866</v>
      </c>
      <c r="E599" s="25"/>
      <c r="F599" s="9" t="str">
        <f t="shared" si="7"/>
        <v>cerebral nerve fasciculus</v>
      </c>
      <c r="G599" s="9" t="s">
        <v>1208</v>
      </c>
      <c r="H599" s="9" t="s">
        <v>20909</v>
      </c>
      <c r="I599" s="9" t="s">
        <v>1209</v>
      </c>
      <c r="J599" s="9" t="s">
        <v>1215</v>
      </c>
      <c r="K599" s="7" t="s">
        <v>15171</v>
      </c>
      <c r="L599" s="13">
        <v>265505190</v>
      </c>
      <c r="M599" t="str">
        <f>VLOOKUP(L599,[1]HBA!$B$2:$C$4000,2,FALSE)</f>
        <v>mfb</v>
      </c>
    </row>
    <row r="600" spans="2:13" x14ac:dyDescent="0.25">
      <c r="B600" s="31" t="s">
        <v>26303</v>
      </c>
      <c r="C600" s="25" t="s">
        <v>1213</v>
      </c>
      <c r="D600" s="25" t="s">
        <v>25866</v>
      </c>
      <c r="E600" s="25"/>
      <c r="F600" s="9" t="str">
        <f t="shared" si="7"/>
        <v>cerebral nerve fasciculus</v>
      </c>
      <c r="G600" s="9" t="s">
        <v>1208</v>
      </c>
      <c r="H600" s="9" t="s">
        <v>23649</v>
      </c>
      <c r="I600" s="9" t="s">
        <v>1213</v>
      </c>
      <c r="J600" s="9" t="s">
        <v>1216</v>
      </c>
      <c r="K600" s="7" t="s">
        <v>15171</v>
      </c>
      <c r="L600" s="13">
        <v>265505350</v>
      </c>
      <c r="M600" t="str">
        <f>VLOOKUP(L600,[1]HBA!$B$2:$C$4000,2,FALSE)</f>
        <v>sthf</v>
      </c>
    </row>
    <row r="601" spans="2:13" x14ac:dyDescent="0.25">
      <c r="B601" s="31" t="s">
        <v>26299</v>
      </c>
      <c r="C601" s="25" t="s">
        <v>26278</v>
      </c>
      <c r="D601" s="25" t="s">
        <v>25866</v>
      </c>
      <c r="E601" s="25"/>
      <c r="F601" s="9" t="str">
        <f t="shared" si="7"/>
        <v>cerebral nerve fasciculus</v>
      </c>
      <c r="G601" s="9" t="s">
        <v>1208</v>
      </c>
      <c r="H601" s="9" t="s">
        <v>23659</v>
      </c>
      <c r="I601" s="9" t="s">
        <v>1211</v>
      </c>
      <c r="J601" s="9" t="s">
        <v>1217</v>
      </c>
      <c r="K601" s="7" t="s">
        <v>15171</v>
      </c>
      <c r="L601" s="13">
        <v>265505374</v>
      </c>
      <c r="M601" t="str">
        <f>VLOOKUP(L601,[1]HBA!$B$2:$C$4000,2,FALSE)</f>
        <v>thf</v>
      </c>
    </row>
    <row r="602" spans="2:13" x14ac:dyDescent="0.25">
      <c r="B602" s="31" t="s">
        <v>25743</v>
      </c>
      <c r="C602" s="20"/>
      <c r="D602" s="25" t="s">
        <v>25867</v>
      </c>
      <c r="E602" s="25"/>
      <c r="F602" s="9" t="str">
        <f>HYPERLINK("https://www.ebi.ac.uk/ols/ontologies/uberon/terms?iri=http://purl.obolibrary.org/obo/UBERON_0002623","cerebral peduncle")</f>
        <v>cerebral peduncle</v>
      </c>
      <c r="G602" s="9" t="s">
        <v>1218</v>
      </c>
      <c r="H602" s="9" t="s">
        <v>20829</v>
      </c>
      <c r="I602" s="9" t="s">
        <v>1219</v>
      </c>
      <c r="J602" s="9" t="s">
        <v>1220</v>
      </c>
      <c r="K602" s="3" t="s">
        <v>15176</v>
      </c>
      <c r="L602" s="13">
        <v>924</v>
      </c>
      <c r="M602" t="str">
        <f>VLOOKUP(L602,[1]Mouse_ARA!$B$2:$C$1328,2,FALSE)</f>
        <v>cpd</v>
      </c>
    </row>
    <row r="603" spans="2:13" x14ac:dyDescent="0.25">
      <c r="B603" s="37" t="s">
        <v>25743</v>
      </c>
      <c r="C603" s="20"/>
      <c r="D603" s="25" t="s">
        <v>25868</v>
      </c>
      <c r="E603" s="25"/>
      <c r="F603" s="9" t="str">
        <f>HYPERLINK("https://www.ebi.ac.uk/ols/ontologies/uberon/terms?iri=http://purl.obolibrary.org/obo/UBERON_0014644","cerebrocerebellum")</f>
        <v>cerebrocerebellum</v>
      </c>
      <c r="G603" s="9" t="s">
        <v>1221</v>
      </c>
      <c r="H603" s="9" t="s">
        <v>24226</v>
      </c>
      <c r="I603" s="9" t="s">
        <v>1222</v>
      </c>
      <c r="J603" s="9" t="s">
        <v>1223</v>
      </c>
      <c r="K603" s="4" t="s">
        <v>15175</v>
      </c>
      <c r="L603" s="13">
        <v>12390</v>
      </c>
      <c r="M603" t="str">
        <f>VLOOKUP(L603,[1]Human_BrainSpan!$B$2:$C$4000,2,FALSE)</f>
        <v>CBL</v>
      </c>
    </row>
    <row r="604" spans="2:13" x14ac:dyDescent="0.25">
      <c r="B604" s="31" t="s">
        <v>25743</v>
      </c>
      <c r="C604" s="20"/>
      <c r="D604" s="25" t="s">
        <v>1225</v>
      </c>
      <c r="E604" s="25"/>
      <c r="F604" s="9" t="str">
        <f>HYPERLINK("https://www.ebi.ac.uk/ols/ontologies/uberon/terms?iri=http://purl.obolibrary.org/obo/UBERON_0001886","choroid plexus")</f>
        <v>choroid plexus</v>
      </c>
      <c r="G604" s="9" t="s">
        <v>1224</v>
      </c>
      <c r="H604" s="9" t="s">
        <v>20955</v>
      </c>
      <c r="I604" s="9" t="s">
        <v>1225</v>
      </c>
      <c r="J604" s="9" t="s">
        <v>1226</v>
      </c>
      <c r="K604" s="3" t="s">
        <v>15176</v>
      </c>
      <c r="L604" s="13">
        <v>108</v>
      </c>
      <c r="M604" t="str">
        <f>VLOOKUP(L604,[1]Mouse_ARA!$B$2:$C$1328,2,FALSE)</f>
        <v>chpl</v>
      </c>
    </row>
    <row r="605" spans="2:13" x14ac:dyDescent="0.25">
      <c r="B605" s="31" t="s">
        <v>25743</v>
      </c>
      <c r="C605" s="20"/>
      <c r="D605" s="25" t="s">
        <v>25869</v>
      </c>
      <c r="E605" s="25"/>
      <c r="F605" s="9" t="str">
        <f>HYPERLINK("https://www.ebi.ac.uk/ols/ontologies/uberon/terms?iri=http://purl.obolibrary.org/obo/UBERON_0002290","choroid plexus of fourth ventricle")</f>
        <v>choroid plexus of fourth ventricle</v>
      </c>
      <c r="G605" s="9" t="s">
        <v>1227</v>
      </c>
      <c r="H605" s="9" t="s">
        <v>24708</v>
      </c>
      <c r="I605" s="9" t="s">
        <v>1228</v>
      </c>
      <c r="J605" s="9" t="s">
        <v>1229</v>
      </c>
      <c r="K605" s="4" t="s">
        <v>15175</v>
      </c>
      <c r="L605" s="13">
        <v>12808</v>
      </c>
      <c r="M605" t="str">
        <f>VLOOKUP(L605,[1]Human_BrainSpan!$B$2:$C$4000,2,FALSE)</f>
        <v>Cho4V</v>
      </c>
    </row>
    <row r="606" spans="2:13" x14ac:dyDescent="0.25">
      <c r="B606" s="31" t="s">
        <v>25743</v>
      </c>
      <c r="C606" s="20"/>
      <c r="D606" s="25" t="s">
        <v>25869</v>
      </c>
      <c r="E606" s="25"/>
      <c r="F606" s="9" t="str">
        <f>HYPERLINK("https://www.ebi.ac.uk/ols/ontologies/uberon/terms?iri=http://purl.obolibrary.org/obo/UBERON_0002290","choroid plexus of fourth ventricle")</f>
        <v>choroid plexus of fourth ventricle</v>
      </c>
      <c r="G606" s="9" t="s">
        <v>1227</v>
      </c>
      <c r="H606" s="9" t="s">
        <v>25567</v>
      </c>
      <c r="I606" s="9" t="s">
        <v>1228</v>
      </c>
      <c r="J606" s="9" t="s">
        <v>1230</v>
      </c>
      <c r="K606" s="7" t="s">
        <v>15171</v>
      </c>
      <c r="L606" s="13">
        <v>9710</v>
      </c>
      <c r="M606" t="str">
        <f>VLOOKUP(L606,[1]HBA!$B$2:$C$4000,2,FALSE)</f>
        <v>CP4V</v>
      </c>
    </row>
    <row r="607" spans="2:13" x14ac:dyDescent="0.25">
      <c r="B607" s="31" t="s">
        <v>25743</v>
      </c>
      <c r="C607" s="20"/>
      <c r="D607" s="25" t="s">
        <v>1232</v>
      </c>
      <c r="E607" s="25"/>
      <c r="F607" s="9" t="str">
        <f>HYPERLINK("https://www.ebi.ac.uk/ols/ontologies/uberon/terms?iri=http://purl.obolibrary.org/obo/UBERON_0002307","choroid plexus of lateral ventricle")</f>
        <v>choroid plexus of lateral ventricle</v>
      </c>
      <c r="G607" s="9" t="s">
        <v>1231</v>
      </c>
      <c r="H607" s="9" t="s">
        <v>23883</v>
      </c>
      <c r="I607" s="9" t="s">
        <v>1232</v>
      </c>
      <c r="J607" s="9" t="s">
        <v>1233</v>
      </c>
      <c r="K607" s="4" t="s">
        <v>15175</v>
      </c>
      <c r="L607" s="13">
        <v>10601</v>
      </c>
      <c r="M607" t="str">
        <f>VLOOKUP(L607,[1]Human_BrainSpan!$B$2:$C$4000,2,FALSE)</f>
        <v>ChoLV</v>
      </c>
    </row>
    <row r="608" spans="2:13" x14ac:dyDescent="0.25">
      <c r="B608" s="31" t="s">
        <v>25743</v>
      </c>
      <c r="C608" s="20"/>
      <c r="D608" s="25" t="s">
        <v>1232</v>
      </c>
      <c r="E608" s="25"/>
      <c r="F608" s="9" t="str">
        <f>HYPERLINK("https://www.ebi.ac.uk/ols/ontologies/uberon/terms?iri=http://purl.obolibrary.org/obo/UBERON_0002307","choroid plexus of lateral ventricle")</f>
        <v>choroid plexus of lateral ventricle</v>
      </c>
      <c r="G608" s="9" t="s">
        <v>1231</v>
      </c>
      <c r="H608" s="9" t="s">
        <v>25565</v>
      </c>
      <c r="I608" s="9" t="s">
        <v>1234</v>
      </c>
      <c r="J608" s="9" t="s">
        <v>1235</v>
      </c>
      <c r="K608" s="7" t="s">
        <v>15171</v>
      </c>
      <c r="L608" s="13">
        <v>9708</v>
      </c>
      <c r="M608" t="str">
        <f>VLOOKUP(L608,[1]HBA!$B$2:$C$4000,2,FALSE)</f>
        <v>CPLV</v>
      </c>
    </row>
    <row r="609" spans="2:13" x14ac:dyDescent="0.25">
      <c r="B609" s="31" t="s">
        <v>26302</v>
      </c>
      <c r="C609" s="25" t="s">
        <v>1225</v>
      </c>
      <c r="D609" s="25" t="s">
        <v>1232</v>
      </c>
      <c r="E609" s="25"/>
      <c r="F609" s="9" t="str">
        <f>HYPERLINK("https://www.ebi.ac.uk/ols/ontologies/uberon/terms?iri=http://purl.obolibrary.org/obo/UBERON_0002307","choroid plexus of lateral ventricle")</f>
        <v>choroid plexus of lateral ventricle</v>
      </c>
      <c r="G609" s="9" t="s">
        <v>1231</v>
      </c>
      <c r="H609" s="9" t="s">
        <v>20955</v>
      </c>
      <c r="I609" s="9" t="s">
        <v>1225</v>
      </c>
      <c r="J609" s="9" t="s">
        <v>1226</v>
      </c>
      <c r="K609" s="3" t="s">
        <v>15176</v>
      </c>
      <c r="L609" s="13">
        <v>108</v>
      </c>
      <c r="M609" t="str">
        <f>VLOOKUP(L609,[1]Mouse_ARA!$B$2:$C$1328,2,FALSE)</f>
        <v>chpl</v>
      </c>
    </row>
    <row r="610" spans="2:13" x14ac:dyDescent="0.25">
      <c r="B610" s="31" t="s">
        <v>25743</v>
      </c>
      <c r="C610" s="20"/>
      <c r="D610" s="25" t="s">
        <v>25870</v>
      </c>
      <c r="E610" s="25"/>
      <c r="F610" s="9" t="str">
        <f>HYPERLINK("https://www.ebi.ac.uk/ols/ontologies/uberon/terms?iri=http://purl.obolibrary.org/obo/UBERON_0002288","choroid plexus of third ventricle")</f>
        <v>choroid plexus of third ventricle</v>
      </c>
      <c r="G610" s="9" t="s">
        <v>1236</v>
      </c>
      <c r="H610" s="9" t="s">
        <v>25566</v>
      </c>
      <c r="I610" s="9" t="s">
        <v>1237</v>
      </c>
      <c r="J610" s="9" t="s">
        <v>1238</v>
      </c>
      <c r="K610" s="7" t="s">
        <v>15171</v>
      </c>
      <c r="L610" s="13">
        <v>9709</v>
      </c>
      <c r="M610" t="str">
        <f>VLOOKUP(L610,[1]HBA!$B$2:$C$4000,2,FALSE)</f>
        <v>CP3V</v>
      </c>
    </row>
    <row r="611" spans="2:13" x14ac:dyDescent="0.25">
      <c r="B611" s="31" t="s">
        <v>25743</v>
      </c>
      <c r="C611" s="20"/>
      <c r="D611" s="25" t="s">
        <v>1242</v>
      </c>
      <c r="E611" s="25"/>
      <c r="F611" s="9" t="str">
        <f>HYPERLINK("https://www.ebi.ac.uk/ols/ontologies/uberon/terms?iri=http://purl.obolibrary.org/obo/UBERON_0003027","cingulate cortex")</f>
        <v>cingulate cortex</v>
      </c>
      <c r="G611" s="9" t="s">
        <v>1239</v>
      </c>
      <c r="H611" s="9" t="s">
        <v>15867</v>
      </c>
      <c r="I611" s="9" t="s">
        <v>1240</v>
      </c>
      <c r="J611" s="9" t="s">
        <v>1241</v>
      </c>
      <c r="K611" s="4" t="s">
        <v>15175</v>
      </c>
      <c r="L611" s="13">
        <v>10277</v>
      </c>
      <c r="M611" t="str">
        <f>VLOOKUP(L611,[1]Human_BrainSpan!$B$2:$C$4000,2,FALSE)</f>
        <v>CCx</v>
      </c>
    </row>
    <row r="612" spans="2:13" x14ac:dyDescent="0.25">
      <c r="B612" s="31" t="s">
        <v>25743</v>
      </c>
      <c r="C612" s="20"/>
      <c r="D612" s="25" t="s">
        <v>1242</v>
      </c>
      <c r="E612" s="25"/>
      <c r="F612" s="9" t="str">
        <f>HYPERLINK("https://www.ebi.ac.uk/ols/ontologies/uberon/terms?iri=http://purl.obolibrary.org/obo/UBERON_0003027","cingulate cortex")</f>
        <v>cingulate cortex</v>
      </c>
      <c r="G612" s="9" t="s">
        <v>1239</v>
      </c>
      <c r="H612" s="9" t="s">
        <v>15867</v>
      </c>
      <c r="I612" s="9" t="s">
        <v>1242</v>
      </c>
      <c r="J612" s="9" t="s">
        <v>1243</v>
      </c>
      <c r="K612" s="5" t="s">
        <v>15173</v>
      </c>
      <c r="L612" s="13">
        <v>16072</v>
      </c>
      <c r="M612" t="str">
        <f>VLOOKUP(L612,[1]DevMouse!$B$2:$C$2693,2,FALSE)</f>
        <v>CCx</v>
      </c>
    </row>
    <row r="613" spans="2:13" x14ac:dyDescent="0.25">
      <c r="B613" s="31" t="s">
        <v>25743</v>
      </c>
      <c r="C613" s="20"/>
      <c r="D613" s="25" t="s">
        <v>25871</v>
      </c>
      <c r="E613" s="25"/>
      <c r="F613" s="9" t="str">
        <f>HYPERLINK("https://www.ebi.ac.uk/ols/ontologies/uberon/terms?iri=http://purl.obolibrary.org/obo/UBERON_0022428","cingulate cortex cingulum")</f>
        <v>cingulate cortex cingulum</v>
      </c>
      <c r="G613" s="9" t="s">
        <v>1244</v>
      </c>
      <c r="H613" s="9" t="s">
        <v>23557</v>
      </c>
      <c r="I613" s="9" t="s">
        <v>1245</v>
      </c>
      <c r="J613" s="9" t="s">
        <v>1246</v>
      </c>
      <c r="K613" s="4" t="s">
        <v>15175</v>
      </c>
      <c r="L613" s="13">
        <v>15539</v>
      </c>
      <c r="M613" t="str">
        <f>VLOOKUP(L613,[1]Human_BrainSpan!$B$2:$C$4000,2,FALSE)</f>
        <v>cb-cx</v>
      </c>
    </row>
    <row r="614" spans="2:13" x14ac:dyDescent="0.25">
      <c r="B614" s="31" t="s">
        <v>25743</v>
      </c>
      <c r="C614" s="20"/>
      <c r="D614" s="25" t="s">
        <v>1248</v>
      </c>
      <c r="E614" s="25"/>
      <c r="F614" s="9" t="str">
        <f>HYPERLINK("https://www.ebi.ac.uk/ols/ontologies/uberon/terms?iri=http://purl.obolibrary.org/obo/UBERON_0002967","cingulate gyrus")</f>
        <v>cingulate gyrus</v>
      </c>
      <c r="G614" s="9" t="s">
        <v>1247</v>
      </c>
      <c r="H614" s="9" t="s">
        <v>23847</v>
      </c>
      <c r="I614" s="9" t="s">
        <v>1248</v>
      </c>
      <c r="J614" s="9" t="s">
        <v>1249</v>
      </c>
      <c r="K614" s="4" t="s">
        <v>15175</v>
      </c>
      <c r="L614" s="13">
        <v>12156</v>
      </c>
      <c r="M614" t="str">
        <f>VLOOKUP(L614,[1]Human_BrainSpan!$B$2:$C$4000,2,FALSE)</f>
        <v>CgG</v>
      </c>
    </row>
    <row r="615" spans="2:13" x14ac:dyDescent="0.25">
      <c r="B615" s="31" t="s">
        <v>25743</v>
      </c>
      <c r="C615" s="20"/>
      <c r="D615" s="25" t="s">
        <v>1248</v>
      </c>
      <c r="E615" s="25"/>
      <c r="F615" s="9" t="str">
        <f>HYPERLINK("https://www.ebi.ac.uk/ols/ontologies/uberon/terms?iri=http://purl.obolibrary.org/obo/UBERON_0002967","cingulate gyrus")</f>
        <v>cingulate gyrus</v>
      </c>
      <c r="G615" s="9" t="s">
        <v>1247</v>
      </c>
      <c r="H615" s="9" t="s">
        <v>23847</v>
      </c>
      <c r="I615" s="9" t="s">
        <v>1248</v>
      </c>
      <c r="J615" s="9" t="s">
        <v>1250</v>
      </c>
      <c r="K615" s="7" t="s">
        <v>15171</v>
      </c>
      <c r="L615" s="13">
        <v>4220</v>
      </c>
      <c r="M615" t="str">
        <f>VLOOKUP(L615,[1]HBA!$B$2:$C$4000,2,FALSE)</f>
        <v>CgG</v>
      </c>
    </row>
    <row r="616" spans="2:13" x14ac:dyDescent="0.25">
      <c r="B616" s="31" t="s">
        <v>25743</v>
      </c>
      <c r="C616" s="20"/>
      <c r="D616" s="25" t="s">
        <v>1252</v>
      </c>
      <c r="E616" s="25"/>
      <c r="F616" s="9" t="str">
        <f>HYPERLINK("https://www.ebi.ac.uk/ols/ontologies/uberon/terms?iri=http://purl.obolibrary.org/obo/UBERON_0002710","cingulate sulcus")</f>
        <v>cingulate sulcus</v>
      </c>
      <c r="G616" s="9" t="s">
        <v>1251</v>
      </c>
      <c r="H616" s="9" t="s">
        <v>23700</v>
      </c>
      <c r="I616" s="9" t="s">
        <v>1252</v>
      </c>
      <c r="J616" s="9" t="s">
        <v>1253</v>
      </c>
      <c r="K616" s="4" t="s">
        <v>15175</v>
      </c>
      <c r="L616" s="13">
        <v>10615</v>
      </c>
      <c r="M616" t="str">
        <f>VLOOKUP(L616,[1]Human_BrainSpan!$B$2:$C$4000,2,FALSE)</f>
        <v>cis</v>
      </c>
    </row>
    <row r="617" spans="2:13" x14ac:dyDescent="0.25">
      <c r="B617" s="31" t="s">
        <v>25743</v>
      </c>
      <c r="C617" s="20"/>
      <c r="D617" s="25" t="s">
        <v>1252</v>
      </c>
      <c r="E617" s="25"/>
      <c r="F617" s="9" t="str">
        <f>HYPERLINK("https://www.ebi.ac.uk/ols/ontologies/uberon/terms?iri=http://purl.obolibrary.org/obo/UBERON_0002710","cingulate sulcus")</f>
        <v>cingulate sulcus</v>
      </c>
      <c r="G617" s="9" t="s">
        <v>1251</v>
      </c>
      <c r="H617" s="9" t="s">
        <v>25521</v>
      </c>
      <c r="I617" s="9" t="s">
        <v>1252</v>
      </c>
      <c r="J617" s="9" t="s">
        <v>1254</v>
      </c>
      <c r="K617" s="7" t="s">
        <v>15171</v>
      </c>
      <c r="L617" s="13">
        <v>9364</v>
      </c>
      <c r="M617" t="str">
        <f>VLOOKUP(L617,[1]HBA!$B$2:$C$4000,2,FALSE)</f>
        <v>cgs</v>
      </c>
    </row>
    <row r="618" spans="2:13" x14ac:dyDescent="0.25">
      <c r="B618" s="31" t="s">
        <v>25743</v>
      </c>
      <c r="C618" s="20"/>
      <c r="D618" s="25" t="s">
        <v>25872</v>
      </c>
      <c r="E618" s="25"/>
      <c r="F618" s="9" t="str">
        <f>HYPERLINK("https://www.ebi.ac.uk/ols/ontologies/uberon/terms?iri=http://purl.obolibrary.org/obo/UBERON_0003961","cingulum of brain")</f>
        <v>cingulum of brain</v>
      </c>
      <c r="G618" s="9" t="s">
        <v>1255</v>
      </c>
      <c r="H618" s="9" t="s">
        <v>23556</v>
      </c>
      <c r="I618" s="9" t="s">
        <v>1256</v>
      </c>
      <c r="J618" s="9" t="s">
        <v>1257</v>
      </c>
      <c r="K618" s="4" t="s">
        <v>15175</v>
      </c>
      <c r="L618" s="13">
        <v>10572</v>
      </c>
      <c r="M618" t="str">
        <f>VLOOKUP(L618,[1]Human_BrainSpan!$B$2:$C$4000,2,FALSE)</f>
        <v>cb</v>
      </c>
    </row>
    <row r="619" spans="2:13" x14ac:dyDescent="0.25">
      <c r="B619" s="31" t="s">
        <v>25743</v>
      </c>
      <c r="C619" s="20"/>
      <c r="D619" s="25" t="s">
        <v>25872</v>
      </c>
      <c r="E619" s="25"/>
      <c r="F619" s="9" t="str">
        <f>HYPERLINK("https://www.ebi.ac.uk/ols/ontologies/uberon/terms?iri=http://purl.obolibrary.org/obo/UBERON_0003961","cingulum of brain")</f>
        <v>cingulum of brain</v>
      </c>
      <c r="G619" s="9" t="s">
        <v>1255</v>
      </c>
      <c r="H619" s="9" t="s">
        <v>25483</v>
      </c>
      <c r="I619" s="9" t="s">
        <v>1256</v>
      </c>
      <c r="J619" s="9" t="s">
        <v>1258</v>
      </c>
      <c r="K619" s="7" t="s">
        <v>15171</v>
      </c>
      <c r="L619" s="13">
        <v>9240</v>
      </c>
      <c r="M619" t="str">
        <f>VLOOKUP(L619,[1]HBA!$B$2:$C$4000,2,FALSE)</f>
        <v>cgb</v>
      </c>
    </row>
    <row r="620" spans="2:13" x14ac:dyDescent="0.25">
      <c r="B620" s="31" t="s">
        <v>25743</v>
      </c>
      <c r="C620" s="20"/>
      <c r="D620" s="25" t="s">
        <v>25872</v>
      </c>
      <c r="E620" s="25"/>
      <c r="F620" s="9" t="str">
        <f>HYPERLINK("https://www.ebi.ac.uk/ols/ontologies/uberon/terms?iri=http://purl.obolibrary.org/obo/UBERON_0003961","cingulum of brain")</f>
        <v>cingulum of brain</v>
      </c>
      <c r="G620" s="9" t="s">
        <v>1255</v>
      </c>
      <c r="H620" s="9" t="s">
        <v>20886</v>
      </c>
      <c r="I620" s="9" t="s">
        <v>1256</v>
      </c>
      <c r="J620" s="9" t="s">
        <v>1259</v>
      </c>
      <c r="K620" s="3" t="s">
        <v>15176</v>
      </c>
      <c r="L620" s="13">
        <v>940</v>
      </c>
      <c r="M620" t="str">
        <f>VLOOKUP(L620,[1]Mouse_ARA!$B$2:$C$1328,2,FALSE)</f>
        <v>cing</v>
      </c>
    </row>
    <row r="621" spans="2:13" x14ac:dyDescent="0.25">
      <c r="B621" s="31" t="s">
        <v>25743</v>
      </c>
      <c r="C621" s="20"/>
      <c r="D621" s="25" t="s">
        <v>25873</v>
      </c>
      <c r="E621" s="25"/>
      <c r="F621" s="9" t="str">
        <f>HYPERLINK("https://www.ebi.ac.uk/ols/ontologies/uberon/terms?iri=http://purl.obolibrary.org/obo/UBERON_0035596","circular nucleus of antherior hypothalamic nucleus")</f>
        <v>circular nucleus of antherior hypothalamic nucleus</v>
      </c>
      <c r="G621" s="9" t="s">
        <v>1260</v>
      </c>
      <c r="H621" s="9" t="s">
        <v>20003</v>
      </c>
      <c r="I621" s="9" t="s">
        <v>784</v>
      </c>
      <c r="J621" s="9" t="s">
        <v>785</v>
      </c>
      <c r="K621" s="3" t="s">
        <v>15176</v>
      </c>
      <c r="L621" s="13">
        <v>432</v>
      </c>
      <c r="M621" t="str">
        <f>VLOOKUP(L621,[1]Mouse_ARA!$B$2:$C$1328,2,FALSE)</f>
        <v>NC</v>
      </c>
    </row>
    <row r="622" spans="2:13" x14ac:dyDescent="0.25">
      <c r="B622" s="31" t="s">
        <v>25743</v>
      </c>
      <c r="C622" s="20"/>
      <c r="D622" s="25" t="s">
        <v>25874</v>
      </c>
      <c r="E622" s="25"/>
      <c r="F622" s="9" t="str">
        <f>HYPERLINK("https://www.ebi.ac.uk/ols/ontologies/uberon/terms?iri=http://purl.obolibrary.org/obo/UBERON_0002713","circular sulcus of insula")</f>
        <v>circular sulcus of insula</v>
      </c>
      <c r="G622" s="9" t="s">
        <v>1261</v>
      </c>
      <c r="H622" s="9" t="s">
        <v>25532</v>
      </c>
      <c r="I622" s="9" t="s">
        <v>1262</v>
      </c>
      <c r="J622" s="9" t="s">
        <v>1263</v>
      </c>
      <c r="K622" s="7" t="s">
        <v>15171</v>
      </c>
      <c r="L622" s="13">
        <v>9398</v>
      </c>
      <c r="M622" t="str">
        <f>VLOOKUP(L622,[1]HBA!$B$2:$C$4000,2,FALSE)</f>
        <v>crs</v>
      </c>
    </row>
    <row r="623" spans="2:13" x14ac:dyDescent="0.25">
      <c r="B623" s="31" t="s">
        <v>25743</v>
      </c>
      <c r="C623" s="20"/>
      <c r="D623" s="25" t="s">
        <v>25875</v>
      </c>
      <c r="E623" s="25"/>
      <c r="F623" s="9" t="str">
        <f>HYPERLINK("https://www.ebi.ac.uk/ols/ontologies/uberon/terms?iri=http://purl.obolibrary.org/obo/UBERON_0002729","claustral amygdaloid area")</f>
        <v>claustral amygdaloid area</v>
      </c>
      <c r="G623" s="9" t="s">
        <v>1264</v>
      </c>
      <c r="H623" s="9" t="s">
        <v>23274</v>
      </c>
      <c r="I623" s="9" t="s">
        <v>1265</v>
      </c>
      <c r="J623" s="9" t="s">
        <v>1266</v>
      </c>
      <c r="K623" s="4" t="s">
        <v>15175</v>
      </c>
      <c r="L623" s="13">
        <v>10348</v>
      </c>
      <c r="M623" t="str">
        <f>VLOOKUP(L623,[1]Human_BrainSpan!$B$2:$C$4000,2,FALSE)</f>
        <v>CLv</v>
      </c>
    </row>
    <row r="624" spans="2:13" x14ac:dyDescent="0.25">
      <c r="B624" s="31" t="s">
        <v>25743</v>
      </c>
      <c r="C624" s="20"/>
      <c r="D624" s="25" t="s">
        <v>25876</v>
      </c>
      <c r="E624" s="25"/>
      <c r="F624" s="9" t="str">
        <f>HYPERLINK("https://www.ebi.ac.uk/ols/ontologies/uberon/terms?iri=http://purl.obolibrary.org/obo/UBERON_0002023","claustrum of brain")</f>
        <v>claustrum of brain</v>
      </c>
      <c r="G624" s="9" t="s">
        <v>1267</v>
      </c>
      <c r="H624" s="9" t="s">
        <v>23272</v>
      </c>
      <c r="I624" s="9" t="s">
        <v>1268</v>
      </c>
      <c r="J624" s="9" t="s">
        <v>1269</v>
      </c>
      <c r="K624" s="4" t="s">
        <v>15175</v>
      </c>
      <c r="L624" s="13">
        <v>10346</v>
      </c>
      <c r="M624" t="str">
        <f>VLOOKUP(L624,[1]Human_BrainSpan!$B$2:$C$4000,2,FALSE)</f>
        <v>Cla</v>
      </c>
    </row>
    <row r="625" spans="2:13" x14ac:dyDescent="0.25">
      <c r="B625" s="31" t="s">
        <v>25743</v>
      </c>
      <c r="C625" s="20"/>
      <c r="D625" s="25" t="s">
        <v>25876</v>
      </c>
      <c r="E625" s="25"/>
      <c r="F625" s="9" t="str">
        <f>HYPERLINK("https://www.ebi.ac.uk/ols/ontologies/uberon/terms?iri=http://purl.obolibrary.org/obo/UBERON_0002023","claustrum of brain")</f>
        <v>claustrum of brain</v>
      </c>
      <c r="G625" s="9" t="s">
        <v>1267</v>
      </c>
      <c r="H625" s="9" t="s">
        <v>15774</v>
      </c>
      <c r="I625" s="9" t="s">
        <v>1268</v>
      </c>
      <c r="J625" s="9" t="s">
        <v>1270</v>
      </c>
      <c r="K625" s="5" t="s">
        <v>15173</v>
      </c>
      <c r="L625" s="13">
        <v>15984</v>
      </c>
      <c r="M625" t="str">
        <f>VLOOKUP(L625,[1]DevMouse!$B$2:$C$2693,2,FALSE)</f>
        <v>Cl</v>
      </c>
    </row>
    <row r="626" spans="2:13" x14ac:dyDescent="0.25">
      <c r="B626" s="31" t="s">
        <v>25743</v>
      </c>
      <c r="C626" s="20"/>
      <c r="D626" s="25" t="s">
        <v>25876</v>
      </c>
      <c r="E626" s="25"/>
      <c r="F626" s="9" t="str">
        <f>HYPERLINK("https://www.ebi.ac.uk/ols/ontologies/uberon/terms?iri=http://purl.obolibrary.org/obo/UBERON_0002023","claustrum of brain")</f>
        <v>claustrum of brain</v>
      </c>
      <c r="G626" s="9" t="s">
        <v>1267</v>
      </c>
      <c r="H626" s="9" t="s">
        <v>15774</v>
      </c>
      <c r="I626" s="9" t="s">
        <v>1268</v>
      </c>
      <c r="J626" s="9" t="s">
        <v>1271</v>
      </c>
      <c r="K626" s="7" t="s">
        <v>15171</v>
      </c>
      <c r="L626" s="13">
        <v>4321</v>
      </c>
      <c r="M626" t="str">
        <f>VLOOKUP(L626,[1]HBA!$B$2:$C$4000,2,FALSE)</f>
        <v>Cl</v>
      </c>
    </row>
    <row r="627" spans="2:13" x14ac:dyDescent="0.25">
      <c r="B627" s="31" t="s">
        <v>25743</v>
      </c>
      <c r="C627" s="20"/>
      <c r="D627" s="25" t="s">
        <v>25876</v>
      </c>
      <c r="E627" s="25"/>
      <c r="F627" s="9" t="str">
        <f>HYPERLINK("https://www.ebi.ac.uk/ols/ontologies/uberon/terms?iri=http://purl.obolibrary.org/obo/UBERON_0002023","claustrum of brain")</f>
        <v>claustrum of brain</v>
      </c>
      <c r="G627" s="9" t="s">
        <v>1267</v>
      </c>
      <c r="H627" s="9" t="s">
        <v>19715</v>
      </c>
      <c r="I627" s="9" t="s">
        <v>1268</v>
      </c>
      <c r="J627" s="9" t="s">
        <v>1272</v>
      </c>
      <c r="K627" s="3" t="s">
        <v>15176</v>
      </c>
      <c r="L627" s="13">
        <v>583</v>
      </c>
      <c r="M627" t="str">
        <f>VLOOKUP(L627,[1]Mouse_ARA!$B$2:$C$1328,2,FALSE)</f>
        <v>CLA</v>
      </c>
    </row>
    <row r="628" spans="2:13" x14ac:dyDescent="0.25">
      <c r="B628" s="31" t="s">
        <v>25743</v>
      </c>
      <c r="C628" s="20"/>
      <c r="D628" s="25" t="s">
        <v>25876</v>
      </c>
      <c r="E628" s="25"/>
      <c r="F628" s="9" t="str">
        <f>HYPERLINK("https://www.ebi.ac.uk/ols/ontologies/uberon/terms?iri=http://purl.obolibrary.org/obo/UBERON_0002023","claustrum of brain")</f>
        <v>claustrum of brain</v>
      </c>
      <c r="G628" s="9" t="s">
        <v>1267</v>
      </c>
      <c r="H628" s="9" t="s">
        <v>23272</v>
      </c>
      <c r="I628" s="9" t="s">
        <v>1268</v>
      </c>
      <c r="J628" s="9" t="s">
        <v>1273</v>
      </c>
      <c r="K628" s="6" t="s">
        <v>15174</v>
      </c>
      <c r="L628" s="13">
        <v>128012960</v>
      </c>
      <c r="M628" t="str">
        <f>VLOOKUP(L628,[1]NonHumanPrimate!$B$2:$C$4000,2,FALSE)</f>
        <v>Cla</v>
      </c>
    </row>
    <row r="629" spans="2:13" x14ac:dyDescent="0.25">
      <c r="B629" s="31" t="s">
        <v>25743</v>
      </c>
      <c r="C629" s="20"/>
      <c r="D629" s="25" t="s">
        <v>983</v>
      </c>
      <c r="E629" s="25"/>
      <c r="F629" s="9" t="str">
        <f>HYPERLINK("https://www.ebi.ac.uk/ols/ontologies/uberon/terms?iri=http://purl.obolibrary.org/obo/UBERON_0004727","cochlear nerve")</f>
        <v>cochlear nerve</v>
      </c>
      <c r="G629" s="9" t="s">
        <v>1274</v>
      </c>
      <c r="H629" s="9" t="s">
        <v>20755</v>
      </c>
      <c r="I629" s="9" t="s">
        <v>983</v>
      </c>
      <c r="J629" s="9" t="s">
        <v>984</v>
      </c>
      <c r="K629" s="3" t="s">
        <v>15176</v>
      </c>
      <c r="L629" s="13">
        <v>948</v>
      </c>
      <c r="M629" t="str">
        <f>VLOOKUP(L629,[1]Mouse_ARA!$B$2:$C$1328,2,FALSE)</f>
        <v>cVIIIn</v>
      </c>
    </row>
    <row r="630" spans="2:13" x14ac:dyDescent="0.25">
      <c r="B630" s="31" t="s">
        <v>25743</v>
      </c>
      <c r="C630" s="20"/>
      <c r="D630" s="25" t="s">
        <v>25877</v>
      </c>
      <c r="E630" s="25"/>
      <c r="F630" s="9" t="str">
        <f>HYPERLINK("https://www.ebi.ac.uk/ols/ontologies/uberon/terms?iri=http://purl.obolibrary.org/obo/UBERON_0002610","cochlear nuclear complex")</f>
        <v>cochlear nuclear complex</v>
      </c>
      <c r="G630" s="9" t="s">
        <v>1275</v>
      </c>
      <c r="H630" s="9" t="s">
        <v>24283</v>
      </c>
      <c r="I630" s="9" t="s">
        <v>1276</v>
      </c>
      <c r="J630" s="9" t="s">
        <v>1277</v>
      </c>
      <c r="K630" s="4" t="s">
        <v>15175</v>
      </c>
      <c r="L630" s="13">
        <v>12437</v>
      </c>
      <c r="M630" t="str">
        <f>VLOOKUP(L630,[1]Human_BrainSpan!$B$2:$C$4000,2,FALSE)</f>
        <v>8Co</v>
      </c>
    </row>
    <row r="631" spans="2:13" x14ac:dyDescent="0.25">
      <c r="B631" s="31" t="s">
        <v>25743</v>
      </c>
      <c r="C631" s="20"/>
      <c r="D631" s="25" t="s">
        <v>25877</v>
      </c>
      <c r="E631" s="25"/>
      <c r="F631" s="9" t="str">
        <f>HYPERLINK("https://www.ebi.ac.uk/ols/ontologies/uberon/terms?iri=http://purl.obolibrary.org/obo/UBERON_0002610","cochlear nuclear complex")</f>
        <v>cochlear nuclear complex</v>
      </c>
      <c r="G631" s="9" t="s">
        <v>1275</v>
      </c>
      <c r="H631" s="9" t="s">
        <v>24283</v>
      </c>
      <c r="I631" s="9" t="s">
        <v>1276</v>
      </c>
      <c r="J631" s="9" t="s">
        <v>1278</v>
      </c>
      <c r="K631" s="7" t="s">
        <v>15171</v>
      </c>
      <c r="L631" s="13">
        <v>9528</v>
      </c>
      <c r="M631" t="str">
        <f>VLOOKUP(L631,[1]HBA!$B$2:$C$4000,2,FALSE)</f>
        <v>8Co</v>
      </c>
    </row>
    <row r="632" spans="2:13" x14ac:dyDescent="0.25">
      <c r="B632" s="31" t="s">
        <v>25743</v>
      </c>
      <c r="C632" s="20"/>
      <c r="D632" s="25" t="s">
        <v>25877</v>
      </c>
      <c r="E632" s="25"/>
      <c r="F632" s="9" t="str">
        <f>HYPERLINK("https://www.ebi.ac.uk/ols/ontologies/uberon/terms?iri=http://purl.obolibrary.org/obo/UBERON_0002610","cochlear nuclear complex")</f>
        <v>cochlear nuclear complex</v>
      </c>
      <c r="G632" s="9" t="s">
        <v>1275</v>
      </c>
      <c r="H632" s="9" t="s">
        <v>20397</v>
      </c>
      <c r="I632" s="9" t="s">
        <v>1276</v>
      </c>
      <c r="J632" s="9" t="s">
        <v>1279</v>
      </c>
      <c r="K632" s="3" t="s">
        <v>15176</v>
      </c>
      <c r="L632" s="13">
        <v>607</v>
      </c>
      <c r="M632" t="str">
        <f>VLOOKUP(L632,[1]Mouse_ARA!$B$2:$C$1328,2,FALSE)</f>
        <v>CN</v>
      </c>
    </row>
    <row r="633" spans="2:13" x14ac:dyDescent="0.25">
      <c r="B633" s="31" t="s">
        <v>25743</v>
      </c>
      <c r="C633" s="20"/>
      <c r="D633" s="25" t="s">
        <v>1281</v>
      </c>
      <c r="E633" s="25"/>
      <c r="F633" s="9" t="str">
        <f>HYPERLINK("https://www.ebi.ac.uk/ols/ontologies/uberon/terms?iri=http://purl.obolibrary.org/obo/UBERON_0002716","collateral sulcus")</f>
        <v>collateral sulcus</v>
      </c>
      <c r="G633" s="9" t="s">
        <v>1280</v>
      </c>
      <c r="H633" s="9" t="s">
        <v>23708</v>
      </c>
      <c r="I633" s="9" t="s">
        <v>1281</v>
      </c>
      <c r="J633" s="9" t="s">
        <v>1282</v>
      </c>
      <c r="K633" s="4" t="s">
        <v>15175</v>
      </c>
      <c r="L633" s="13">
        <v>10618</v>
      </c>
      <c r="M633" t="str">
        <f>VLOOKUP(L633,[1]Human_BrainSpan!$B$2:$C$4000,2,FALSE)</f>
        <v>cols</v>
      </c>
    </row>
    <row r="634" spans="2:13" x14ac:dyDescent="0.25">
      <c r="B634" s="31" t="s">
        <v>25743</v>
      </c>
      <c r="C634" s="20"/>
      <c r="D634" s="25" t="s">
        <v>1281</v>
      </c>
      <c r="E634" s="25"/>
      <c r="F634" s="9" t="str">
        <f>HYPERLINK("https://www.ebi.ac.uk/ols/ontologies/uberon/terms?iri=http://purl.obolibrary.org/obo/UBERON_0002716","collateral sulcus")</f>
        <v>collateral sulcus</v>
      </c>
      <c r="G634" s="9" t="s">
        <v>1280</v>
      </c>
      <c r="H634" s="9" t="s">
        <v>25548</v>
      </c>
      <c r="I634" s="9" t="s">
        <v>1281</v>
      </c>
      <c r="J634" s="9" t="s">
        <v>1283</v>
      </c>
      <c r="K634" s="7" t="s">
        <v>15171</v>
      </c>
      <c r="L634" s="13">
        <v>9380</v>
      </c>
      <c r="M634" t="str">
        <f>VLOOKUP(L634,[1]HBA!$B$2:$C$4000,2,FALSE)</f>
        <v>cos</v>
      </c>
    </row>
    <row r="635" spans="2:13" x14ac:dyDescent="0.25">
      <c r="B635" s="31" t="s">
        <v>26302</v>
      </c>
      <c r="C635" s="20"/>
      <c r="D635" s="25" t="s">
        <v>25878</v>
      </c>
      <c r="E635" s="20" t="s">
        <v>26300</v>
      </c>
      <c r="F635" s="9" t="str">
        <f t="shared" ref="F635:F640" si="8">HYPERLINK("https://www.ebi.ac.uk/ols/ontologies/uberon/terms?iri=http://purl.obolibrary.org/obo/UBERON_0010011","collection of basal ganglia")</f>
        <v>collection of basal ganglia</v>
      </c>
      <c r="G635" s="9" t="s">
        <v>1284</v>
      </c>
      <c r="H635" s="9" t="s">
        <v>20397</v>
      </c>
      <c r="I635" s="9" t="s">
        <v>1285</v>
      </c>
      <c r="J635" s="9" t="s">
        <v>1286</v>
      </c>
      <c r="K635" s="4" t="s">
        <v>15175</v>
      </c>
      <c r="L635" s="13">
        <v>10331</v>
      </c>
      <c r="M635" t="str">
        <f>VLOOKUP(L635,[1]Human_BrainSpan!$B$2:$C$4000,2,FALSE)</f>
        <v>CN</v>
      </c>
    </row>
    <row r="636" spans="2:13" x14ac:dyDescent="0.25">
      <c r="B636" s="31" t="s">
        <v>26302</v>
      </c>
      <c r="C636" s="20"/>
      <c r="D636" s="25" t="s">
        <v>25878</v>
      </c>
      <c r="E636" s="20" t="s">
        <v>26300</v>
      </c>
      <c r="F636" s="9" t="str">
        <f t="shared" si="8"/>
        <v>collection of basal ganglia</v>
      </c>
      <c r="G636" s="9" t="s">
        <v>1284</v>
      </c>
      <c r="H636" s="9" t="s">
        <v>24840</v>
      </c>
      <c r="I636" s="9" t="s">
        <v>1285</v>
      </c>
      <c r="J636" s="9" t="s">
        <v>1287</v>
      </c>
      <c r="K636" s="7" t="s">
        <v>15171</v>
      </c>
      <c r="L636" s="13">
        <v>4275</v>
      </c>
      <c r="M636" t="str">
        <f>VLOOKUP(L636,[1]HBA!$B$2:$C$4000,2,FALSE)</f>
        <v>CxN</v>
      </c>
    </row>
    <row r="637" spans="2:13" x14ac:dyDescent="0.25">
      <c r="B637" s="31" t="s">
        <v>26303</v>
      </c>
      <c r="C637" s="25" t="s">
        <v>25805</v>
      </c>
      <c r="D637" s="25" t="s">
        <v>25878</v>
      </c>
      <c r="E637" s="25"/>
      <c r="F637" s="9" t="str">
        <f t="shared" si="8"/>
        <v>collection of basal ganglia</v>
      </c>
      <c r="G637" s="9" t="s">
        <v>1284</v>
      </c>
      <c r="H637" s="9" t="s">
        <v>23858</v>
      </c>
      <c r="I637" s="9" t="s">
        <v>1288</v>
      </c>
      <c r="J637" s="9" t="s">
        <v>1289</v>
      </c>
      <c r="K637" s="7" t="s">
        <v>15171</v>
      </c>
      <c r="L637" s="13">
        <v>4276</v>
      </c>
      <c r="M637" t="str">
        <f>VLOOKUP(L637,[1]HBA!$B$2:$C$4000,2,FALSE)</f>
        <v>BG</v>
      </c>
    </row>
    <row r="638" spans="2:13" x14ac:dyDescent="0.25">
      <c r="B638" s="31" t="s">
        <v>26302</v>
      </c>
      <c r="C638" s="20"/>
      <c r="D638" s="25" t="s">
        <v>25878</v>
      </c>
      <c r="E638" s="20" t="s">
        <v>26300</v>
      </c>
      <c r="F638" s="9" t="str">
        <f t="shared" si="8"/>
        <v>collection of basal ganglia</v>
      </c>
      <c r="G638" s="9" t="s">
        <v>1284</v>
      </c>
      <c r="H638" s="9" t="s">
        <v>19738</v>
      </c>
      <c r="I638" s="9" t="s">
        <v>1285</v>
      </c>
      <c r="J638" s="9" t="s">
        <v>1290</v>
      </c>
      <c r="K638" s="3" t="s">
        <v>15176</v>
      </c>
      <c r="L638" s="13">
        <v>623</v>
      </c>
      <c r="M638" t="str">
        <f>VLOOKUP(L638,[1]Mouse_ARA!$B$2:$C$1328,2,FALSE)</f>
        <v>CNU</v>
      </c>
    </row>
    <row r="639" spans="2:13" x14ac:dyDescent="0.25">
      <c r="B639" s="31" t="s">
        <v>26302</v>
      </c>
      <c r="C639" s="20"/>
      <c r="D639" s="25" t="s">
        <v>25878</v>
      </c>
      <c r="E639" s="20" t="s">
        <v>26300</v>
      </c>
      <c r="F639" s="9" t="str">
        <f t="shared" si="8"/>
        <v>collection of basal ganglia</v>
      </c>
      <c r="G639" s="9" t="s">
        <v>1284</v>
      </c>
      <c r="H639" s="9" t="s">
        <v>24840</v>
      </c>
      <c r="I639" s="9" t="s">
        <v>1285</v>
      </c>
      <c r="J639" s="9" t="s">
        <v>1291</v>
      </c>
      <c r="K639" s="6" t="s">
        <v>15174</v>
      </c>
      <c r="L639" s="13">
        <v>128012596</v>
      </c>
      <c r="M639" t="str">
        <f>VLOOKUP(L639,[1]NonHumanPrimate!$B$2:$C$4000,2,FALSE)</f>
        <v>CxN</v>
      </c>
    </row>
    <row r="640" spans="2:13" x14ac:dyDescent="0.25">
      <c r="B640" s="31" t="s">
        <v>26303</v>
      </c>
      <c r="C640" s="25" t="s">
        <v>25805</v>
      </c>
      <c r="D640" s="25" t="s">
        <v>25878</v>
      </c>
      <c r="E640" s="25"/>
      <c r="F640" s="9" t="str">
        <f t="shared" si="8"/>
        <v>collection of basal ganglia</v>
      </c>
      <c r="G640" s="9" t="s">
        <v>1284</v>
      </c>
      <c r="H640" s="9" t="s">
        <v>23240</v>
      </c>
      <c r="I640" s="9" t="s">
        <v>539</v>
      </c>
      <c r="J640" s="9" t="s">
        <v>1292</v>
      </c>
      <c r="K640" s="6" t="s">
        <v>15174</v>
      </c>
      <c r="L640" s="13">
        <v>4001</v>
      </c>
      <c r="M640" t="str">
        <f>VLOOKUP(L640,[1]NonHumanPrimate!$B$2:$C$4000,2,FALSE)</f>
        <v>BN</v>
      </c>
    </row>
    <row r="641" spans="2:13" x14ac:dyDescent="0.25">
      <c r="B641" s="31" t="s">
        <v>25743</v>
      </c>
      <c r="C641" s="20"/>
      <c r="D641" s="25" t="s">
        <v>1294</v>
      </c>
      <c r="E641" s="25"/>
      <c r="F641" s="9" t="str">
        <f>HYPERLINK("https://www.ebi.ac.uk/ols/ontologies/uberon/terms?iri=http://purl.obolibrary.org/obo/UBERON_0003028","commissure of inferior colliculus")</f>
        <v>commissure of inferior colliculus</v>
      </c>
      <c r="G641" s="9" t="s">
        <v>1293</v>
      </c>
      <c r="H641" s="9" t="s">
        <v>24115</v>
      </c>
      <c r="I641" s="9" t="s">
        <v>1294</v>
      </c>
      <c r="J641" s="9" t="s">
        <v>1295</v>
      </c>
      <c r="K641" s="4" t="s">
        <v>15175</v>
      </c>
      <c r="L641" s="13">
        <v>12333</v>
      </c>
      <c r="M641" t="str">
        <f>VLOOKUP(L641,[1]Human_BrainSpan!$B$2:$C$4000,2,FALSE)</f>
        <v>cmic</v>
      </c>
    </row>
    <row r="642" spans="2:13" x14ac:dyDescent="0.25">
      <c r="B642" s="31" t="s">
        <v>25743</v>
      </c>
      <c r="C642" s="20"/>
      <c r="D642" s="25" t="s">
        <v>1294</v>
      </c>
      <c r="E642" s="25"/>
      <c r="F642" s="9" t="str">
        <f>HYPERLINK("https://www.ebi.ac.uk/ols/ontologies/uberon/terms?iri=http://purl.obolibrary.org/obo/UBERON_0003028","commissure of inferior colliculus")</f>
        <v>commissure of inferior colliculus</v>
      </c>
      <c r="G642" s="9" t="s">
        <v>1293</v>
      </c>
      <c r="H642" s="9" t="s">
        <v>24115</v>
      </c>
      <c r="I642" s="9" t="s">
        <v>1296</v>
      </c>
      <c r="J642" s="9" t="s">
        <v>1297</v>
      </c>
      <c r="K642" s="7" t="s">
        <v>15171</v>
      </c>
      <c r="L642" s="13">
        <v>265505434</v>
      </c>
      <c r="M642" t="str">
        <f>VLOOKUP(L642,[1]HBA!$B$2:$C$4000,2,FALSE)</f>
        <v>cmic</v>
      </c>
    </row>
    <row r="643" spans="2:13" x14ac:dyDescent="0.25">
      <c r="B643" s="31" t="s">
        <v>25743</v>
      </c>
      <c r="C643" s="20"/>
      <c r="D643" s="25" t="s">
        <v>1294</v>
      </c>
      <c r="E643" s="25"/>
      <c r="F643" s="9" t="str">
        <f>HYPERLINK("https://www.ebi.ac.uk/ols/ontologies/uberon/terms?iri=http://purl.obolibrary.org/obo/UBERON_0003028","commissure of inferior colliculus")</f>
        <v>commissure of inferior colliculus</v>
      </c>
      <c r="G643" s="9" t="s">
        <v>1293</v>
      </c>
      <c r="H643" s="9" t="s">
        <v>20759</v>
      </c>
      <c r="I643" s="9" t="s">
        <v>1298</v>
      </c>
      <c r="J643" s="9" t="s">
        <v>1299</v>
      </c>
      <c r="K643" s="3" t="s">
        <v>15176</v>
      </c>
      <c r="L643" s="13">
        <v>633</v>
      </c>
      <c r="M643" t="str">
        <f>VLOOKUP(L643,[1]Mouse_ARA!$B$2:$C$1328,2,FALSE)</f>
        <v>cic</v>
      </c>
    </row>
    <row r="644" spans="2:13" x14ac:dyDescent="0.25">
      <c r="B644" s="31" t="s">
        <v>25743</v>
      </c>
      <c r="C644" s="20"/>
      <c r="D644" s="25" t="s">
        <v>25879</v>
      </c>
      <c r="E644" s="25"/>
      <c r="F644" s="9" t="str">
        <f>HYPERLINK("https://www.ebi.ac.uk/ols/ontologies/uberon/terms?iri=http://purl.obolibrary.org/obo/UBERON_0002583","commissure of superior colliculus")</f>
        <v>commissure of superior colliculus</v>
      </c>
      <c r="G644" s="9" t="s">
        <v>1300</v>
      </c>
      <c r="H644" s="9" t="s">
        <v>20738</v>
      </c>
      <c r="I644" s="9" t="s">
        <v>1301</v>
      </c>
      <c r="J644" s="9" t="s">
        <v>1302</v>
      </c>
      <c r="K644" s="3" t="s">
        <v>15176</v>
      </c>
      <c r="L644" s="13">
        <v>336</v>
      </c>
      <c r="M644" t="str">
        <f>VLOOKUP(L644,[1]Mouse_ARA!$B$2:$C$1328,2,FALSE)</f>
        <v>csc</v>
      </c>
    </row>
    <row r="645" spans="2:13" x14ac:dyDescent="0.25">
      <c r="B645" s="31" t="s">
        <v>25743</v>
      </c>
      <c r="C645" s="20"/>
      <c r="D645" s="25" t="s">
        <v>25880</v>
      </c>
      <c r="E645" s="25"/>
      <c r="F645" s="9" t="str">
        <f>HYPERLINK("https://www.ebi.ac.uk/ols/ontologies/uberon/terms?iri=http://purl.obolibrary.org/obo/UBERON_0019294","commissure of telencephalon")</f>
        <v>commissure of telencephalon</v>
      </c>
      <c r="G645" s="9" t="s">
        <v>1303</v>
      </c>
      <c r="H645" s="9" t="s">
        <v>25475</v>
      </c>
      <c r="I645" s="9" t="s">
        <v>1304</v>
      </c>
      <c r="J645" s="9" t="s">
        <v>1305</v>
      </c>
      <c r="K645" s="7" t="s">
        <v>15171</v>
      </c>
      <c r="L645" s="13">
        <v>9220</v>
      </c>
      <c r="M645" t="str">
        <f>VLOOKUP(L645,[1]HBA!$B$2:$C$4000,2,FALSE)</f>
        <v>TELCom</v>
      </c>
    </row>
    <row r="646" spans="2:13" x14ac:dyDescent="0.25">
      <c r="B646" s="31" t="s">
        <v>25743</v>
      </c>
      <c r="C646" s="20"/>
      <c r="D646" s="25" t="s">
        <v>1307</v>
      </c>
      <c r="E646" s="25"/>
      <c r="F646" s="9" t="str">
        <f>HYPERLINK("https://www.ebi.ac.uk/ols/ontologies/uberon/terms?iri=http://purl.obolibrary.org/obo/UBERON_0005347","copula pyramidis")</f>
        <v>copula pyramidis</v>
      </c>
      <c r="G646" s="9" t="s">
        <v>1306</v>
      </c>
      <c r="H646" s="9" t="s">
        <v>20688</v>
      </c>
      <c r="I646" s="9" t="s">
        <v>1307</v>
      </c>
      <c r="J646" s="9" t="s">
        <v>1308</v>
      </c>
      <c r="K646" s="3" t="s">
        <v>15176</v>
      </c>
      <c r="L646" s="13">
        <v>1033</v>
      </c>
      <c r="M646" t="str">
        <f>VLOOKUP(L646,[1]Mouse_ARA!$B$2:$C$1328,2,FALSE)</f>
        <v>COPY</v>
      </c>
    </row>
    <row r="647" spans="2:13" x14ac:dyDescent="0.25">
      <c r="B647" s="31" t="s">
        <v>25743</v>
      </c>
      <c r="C647" s="20"/>
      <c r="D647" s="25" t="s">
        <v>1310</v>
      </c>
      <c r="E647" s="25"/>
      <c r="F647" s="9" t="str">
        <f>HYPERLINK("https://www.ebi.ac.uk/ols/ontologies/uberon/terms?iri=http://purl.obolibrary.org/obo/UBERON_0012170","core of nucleus accumbens")</f>
        <v>core of nucleus accumbens</v>
      </c>
      <c r="G647" s="9" t="s">
        <v>1309</v>
      </c>
      <c r="H647" s="9" t="s">
        <v>23260</v>
      </c>
      <c r="I647" s="9" t="s">
        <v>1310</v>
      </c>
      <c r="J647" s="9" t="s">
        <v>1311</v>
      </c>
      <c r="K647" s="4" t="s">
        <v>15175</v>
      </c>
      <c r="L647" s="13">
        <v>10340</v>
      </c>
      <c r="M647" t="str">
        <f>VLOOKUP(L647,[1]Human_BrainSpan!$B$2:$C$4000,2,FALSE)</f>
        <v>NACc</v>
      </c>
    </row>
    <row r="648" spans="2:13" x14ac:dyDescent="0.25">
      <c r="B648" s="31" t="s">
        <v>25743</v>
      </c>
      <c r="C648" s="20"/>
      <c r="D648" s="25" t="s">
        <v>1310</v>
      </c>
      <c r="E648" s="25"/>
      <c r="F648" s="9" t="str">
        <f>HYPERLINK("https://www.ebi.ac.uk/ols/ontologies/uberon/terms?iri=http://purl.obolibrary.org/obo/UBERON_0012170","core of nucleus accumbens")</f>
        <v>core of nucleus accumbens</v>
      </c>
      <c r="G648" s="9" t="s">
        <v>1309</v>
      </c>
      <c r="H648" s="9" t="s">
        <v>23260</v>
      </c>
      <c r="I648" s="9" t="s">
        <v>1310</v>
      </c>
      <c r="J648" s="9" t="s">
        <v>1312</v>
      </c>
      <c r="K648" s="6" t="s">
        <v>15174</v>
      </c>
      <c r="L648" s="13">
        <v>10093</v>
      </c>
      <c r="M648" t="str">
        <f>VLOOKUP(L648,[1]NonHumanPrimate!$B$2:$C$4000,2,FALSE)</f>
        <v>NACc</v>
      </c>
    </row>
    <row r="649" spans="2:13" x14ac:dyDescent="0.25">
      <c r="B649" s="31" t="s">
        <v>25743</v>
      </c>
      <c r="C649" s="20"/>
      <c r="D649" s="25" t="s">
        <v>25881</v>
      </c>
      <c r="E649" s="25"/>
      <c r="F649" s="9" t="str">
        <f>HYPERLINK("https://www.ebi.ac.uk/ols/ontologies/uberon/terms?iri=http://purl.obolibrary.org/obo/UBERON_0004682","corona radiata of neuraxis")</f>
        <v>corona radiata of neuraxis</v>
      </c>
      <c r="G649" s="9" t="s">
        <v>1313</v>
      </c>
      <c r="H649" s="9" t="s">
        <v>23560</v>
      </c>
      <c r="I649" s="9" t="s">
        <v>1314</v>
      </c>
      <c r="J649" s="9" t="s">
        <v>1315</v>
      </c>
      <c r="K649" s="4" t="s">
        <v>15175</v>
      </c>
      <c r="L649" s="13">
        <v>12030</v>
      </c>
      <c r="M649" t="str">
        <f>VLOOKUP(L649,[1]Human_BrainSpan!$B$2:$C$4000,2,FALSE)</f>
        <v>cor</v>
      </c>
    </row>
    <row r="650" spans="2:13" x14ac:dyDescent="0.25">
      <c r="B650" s="31" t="s">
        <v>25743</v>
      </c>
      <c r="C650" s="20"/>
      <c r="D650" s="25" t="s">
        <v>25881</v>
      </c>
      <c r="E650" s="25"/>
      <c r="F650" s="9" t="str">
        <f>HYPERLINK("https://www.ebi.ac.uk/ols/ontologies/uberon/terms?iri=http://purl.obolibrary.org/obo/UBERON_0004682","corona radiata of neuraxis")</f>
        <v>corona radiata of neuraxis</v>
      </c>
      <c r="G650" s="9" t="s">
        <v>1313</v>
      </c>
      <c r="H650" s="9" t="s">
        <v>23560</v>
      </c>
      <c r="I650" s="9" t="s">
        <v>1314</v>
      </c>
      <c r="J650" s="9" t="s">
        <v>1316</v>
      </c>
      <c r="K650" s="7" t="s">
        <v>15171</v>
      </c>
      <c r="L650" s="13">
        <v>265505046</v>
      </c>
      <c r="M650" t="str">
        <f>VLOOKUP(L650,[1]HBA!$B$2:$C$4000,2,FALSE)</f>
        <v>cor</v>
      </c>
    </row>
    <row r="651" spans="2:13" x14ac:dyDescent="0.25">
      <c r="B651" s="31" t="s">
        <v>25743</v>
      </c>
      <c r="C651" s="20"/>
      <c r="D651" s="25" t="s">
        <v>25882</v>
      </c>
      <c r="E651" s="25"/>
      <c r="F651" s="9" t="str">
        <f>HYPERLINK("https://www.ebi.ac.uk/ols/ontologies/uberon/terms?iri=http://purl.obolibrary.org/obo/UBERON_0002259","corpora quadrigemina")</f>
        <v>corpora quadrigemina</v>
      </c>
      <c r="G651" s="9" t="s">
        <v>1317</v>
      </c>
      <c r="H651" s="9" t="s">
        <v>24183</v>
      </c>
      <c r="I651" s="9" t="s">
        <v>1318</v>
      </c>
      <c r="J651" s="9" t="s">
        <v>1319</v>
      </c>
      <c r="K651" s="4" t="s">
        <v>15175</v>
      </c>
      <c r="L651" s="13">
        <v>12375</v>
      </c>
      <c r="M651" t="str">
        <f>VLOOKUP(L651,[1]Human_BrainSpan!$B$2:$C$4000,2,FALSE)</f>
        <v>qgb</v>
      </c>
    </row>
    <row r="652" spans="2:13" x14ac:dyDescent="0.25">
      <c r="B652" s="31" t="s">
        <v>25743</v>
      </c>
      <c r="C652" s="20"/>
      <c r="D652" s="25" t="s">
        <v>1321</v>
      </c>
      <c r="E652" s="25"/>
      <c r="F652" s="9" t="str">
        <f>HYPERLINK("https://www.ebi.ac.uk/ols/ontologies/uberon/terms?iri=http://purl.obolibrary.org/obo/UBERON_0002336","corpus callosum")</f>
        <v>corpus callosum</v>
      </c>
      <c r="G652" s="9" t="s">
        <v>1320</v>
      </c>
      <c r="H652" s="9" t="s">
        <v>18443</v>
      </c>
      <c r="I652" s="9" t="s">
        <v>1321</v>
      </c>
      <c r="J652" s="9" t="s">
        <v>1322</v>
      </c>
      <c r="K652" s="4" t="s">
        <v>15175</v>
      </c>
      <c r="L652" s="13">
        <v>10561</v>
      </c>
      <c r="M652" t="str">
        <f>VLOOKUP(L652,[1]Human_BrainSpan!$B$2:$C$4000,2,FALSE)</f>
        <v>cc</v>
      </c>
    </row>
    <row r="653" spans="2:13" x14ac:dyDescent="0.25">
      <c r="B653" s="31" t="s">
        <v>25743</v>
      </c>
      <c r="C653" s="20"/>
      <c r="D653" s="25" t="s">
        <v>1321</v>
      </c>
      <c r="E653" s="25"/>
      <c r="F653" s="9" t="str">
        <f>HYPERLINK("https://www.ebi.ac.uk/ols/ontologies/uberon/terms?iri=http://purl.obolibrary.org/obo/UBERON_0002336","corpus callosum")</f>
        <v>corpus callosum</v>
      </c>
      <c r="G653" s="9" t="s">
        <v>1320</v>
      </c>
      <c r="H653" s="9" t="s">
        <v>18443</v>
      </c>
      <c r="I653" s="9" t="s">
        <v>1321</v>
      </c>
      <c r="J653" s="9" t="s">
        <v>1323</v>
      </c>
      <c r="K653" s="7" t="s">
        <v>15171</v>
      </c>
      <c r="L653" s="13">
        <v>9222</v>
      </c>
      <c r="M653" t="str">
        <f>VLOOKUP(L653,[1]HBA!$B$2:$C$4000,2,FALSE)</f>
        <v>cc</v>
      </c>
    </row>
    <row r="654" spans="2:13" x14ac:dyDescent="0.25">
      <c r="B654" s="31" t="s">
        <v>25743</v>
      </c>
      <c r="C654" s="20"/>
      <c r="D654" s="25" t="s">
        <v>1321</v>
      </c>
      <c r="E654" s="25"/>
      <c r="F654" s="9" t="str">
        <f>HYPERLINK("https://www.ebi.ac.uk/ols/ontologies/uberon/terms?iri=http://purl.obolibrary.org/obo/UBERON_0002336","corpus callosum")</f>
        <v>corpus callosum</v>
      </c>
      <c r="G654" s="9" t="s">
        <v>1320</v>
      </c>
      <c r="H654" s="9" t="s">
        <v>18443</v>
      </c>
      <c r="I654" s="9" t="s">
        <v>1321</v>
      </c>
      <c r="J654" s="9" t="s">
        <v>1324</v>
      </c>
      <c r="K654" s="3" t="s">
        <v>15176</v>
      </c>
      <c r="L654" s="13">
        <v>776</v>
      </c>
      <c r="M654" t="str">
        <f>VLOOKUP(L654,[1]Mouse_ARA!$B$2:$C$1328,2,FALSE)</f>
        <v>cc</v>
      </c>
    </row>
    <row r="655" spans="2:13" x14ac:dyDescent="0.25">
      <c r="B655" s="31" t="s">
        <v>26299</v>
      </c>
      <c r="C655" s="20"/>
      <c r="D655" s="25" t="s">
        <v>25883</v>
      </c>
      <c r="E655" s="25"/>
      <c r="F655" s="9" t="str">
        <f>HYPERLINK("https://www.ebi.ac.uk/ols/ontologies/uberon/terms?iri=http://purl.obolibrary.org/obo/UBERON_0002891","cortical amygdaloid nucleus")</f>
        <v>cortical amygdaloid nucleus</v>
      </c>
      <c r="G655" s="9" t="s">
        <v>1325</v>
      </c>
      <c r="H655" s="9" t="s">
        <v>19485</v>
      </c>
      <c r="I655" s="9" t="s">
        <v>1326</v>
      </c>
      <c r="J655" s="9" t="s">
        <v>1327</v>
      </c>
      <c r="K655" s="3" t="s">
        <v>15176</v>
      </c>
      <c r="L655" s="13">
        <v>631</v>
      </c>
      <c r="M655" t="str">
        <f>VLOOKUP(L655,[1]Mouse_ARA!$B$2:$C$1328,2,FALSE)</f>
        <v>COA</v>
      </c>
    </row>
    <row r="656" spans="2:13" x14ac:dyDescent="0.25">
      <c r="B656" s="31" t="s">
        <v>25743</v>
      </c>
      <c r="C656" s="20"/>
      <c r="D656" s="25" t="s">
        <v>25884</v>
      </c>
      <c r="E656" s="25"/>
      <c r="F656" s="9" t="str">
        <f>HYPERLINK("https://www.ebi.ac.uk/ols/ontologies/uberon/terms?iri=http://purl.obolibrary.org/obo/UBERON_0005390","cortical layer I")</f>
        <v>cortical layer I</v>
      </c>
      <c r="G656" s="9" t="s">
        <v>1328</v>
      </c>
      <c r="H656" s="9" t="s">
        <v>25580</v>
      </c>
      <c r="I656" s="9" t="s">
        <v>1329</v>
      </c>
      <c r="J656" s="9" t="s">
        <v>1330</v>
      </c>
      <c r="K656" s="6" t="s">
        <v>15174</v>
      </c>
      <c r="L656" s="13">
        <v>294021786</v>
      </c>
      <c r="M656" t="str">
        <f>VLOOKUP(L656,[1]NonHumanPrimate!$B$2:$C$4000,2,FALSE)</f>
        <v>L1</v>
      </c>
    </row>
    <row r="657" spans="2:13" x14ac:dyDescent="0.25">
      <c r="B657" s="31" t="s">
        <v>25743</v>
      </c>
      <c r="C657" s="20"/>
      <c r="D657" s="25" t="s">
        <v>25885</v>
      </c>
      <c r="E657" s="25"/>
      <c r="F657" s="9" t="str">
        <f>HYPERLINK("https://www.ebi.ac.uk/ols/ontologies/uberon/terms?iri=http://purl.obolibrary.org/obo/UBERON_0005391","cortical layer II")</f>
        <v>cortical layer II</v>
      </c>
      <c r="G657" s="9" t="s">
        <v>1331</v>
      </c>
      <c r="H657" s="9" t="s">
        <v>25584</v>
      </c>
      <c r="I657" s="9" t="s">
        <v>1332</v>
      </c>
      <c r="J657" s="9" t="s">
        <v>1333</v>
      </c>
      <c r="K657" s="6" t="s">
        <v>15174</v>
      </c>
      <c r="L657" s="13">
        <v>294021800</v>
      </c>
      <c r="M657" t="str">
        <f>VLOOKUP(L657,[1]NonHumanPrimate!$B$2:$C$4000,2,FALSE)</f>
        <v>L2</v>
      </c>
    </row>
    <row r="658" spans="2:13" x14ac:dyDescent="0.25">
      <c r="B658" s="31" t="s">
        <v>25743</v>
      </c>
      <c r="C658" s="20"/>
      <c r="D658" s="25" t="s">
        <v>25886</v>
      </c>
      <c r="E658" s="25"/>
      <c r="F658" s="9" t="str">
        <f>HYPERLINK("https://www.ebi.ac.uk/ols/ontologies/uberon/terms?iri=http://purl.obolibrary.org/obo/UBERON_0005392","cortical layer III")</f>
        <v>cortical layer III</v>
      </c>
      <c r="G658" s="9" t="s">
        <v>1334</v>
      </c>
      <c r="H658" s="9" t="s">
        <v>25592</v>
      </c>
      <c r="I658" s="9" t="s">
        <v>1335</v>
      </c>
      <c r="J658" s="9" t="s">
        <v>1336</v>
      </c>
      <c r="K658" s="6" t="s">
        <v>15174</v>
      </c>
      <c r="L658" s="13">
        <v>294021824</v>
      </c>
      <c r="M658" t="str">
        <f>VLOOKUP(L658,[1]NonHumanPrimate!$B$2:$C$4000,2,FALSE)</f>
        <v>L3</v>
      </c>
    </row>
    <row r="659" spans="2:13" x14ac:dyDescent="0.25">
      <c r="B659" s="31" t="s">
        <v>25743</v>
      </c>
      <c r="C659" s="20"/>
      <c r="D659" s="25" t="s">
        <v>25887</v>
      </c>
      <c r="E659" s="25"/>
      <c r="F659" s="9" t="str">
        <f>HYPERLINK("https://www.ebi.ac.uk/ols/ontologies/uberon/terms?iri=http://purl.obolibrary.org/obo/UBERON_0005393","cortical layer IV")</f>
        <v>cortical layer IV</v>
      </c>
      <c r="G659" s="9" t="s">
        <v>1337</v>
      </c>
      <c r="H659" s="9" t="s">
        <v>25602</v>
      </c>
      <c r="I659" s="9" t="s">
        <v>1338</v>
      </c>
      <c r="J659" s="9" t="s">
        <v>1339</v>
      </c>
      <c r="K659" s="6" t="s">
        <v>15174</v>
      </c>
      <c r="L659" s="13">
        <v>294021852</v>
      </c>
      <c r="M659" t="str">
        <f>VLOOKUP(L659,[1]NonHumanPrimate!$B$2:$C$4000,2,FALSE)</f>
        <v>L4</v>
      </c>
    </row>
    <row r="660" spans="2:13" x14ac:dyDescent="0.25">
      <c r="B660" s="31" t="s">
        <v>25743</v>
      </c>
      <c r="C660" s="20"/>
      <c r="D660" s="25" t="s">
        <v>25888</v>
      </c>
      <c r="E660" s="25"/>
      <c r="F660" s="9" t="str">
        <f>HYPERLINK("https://www.ebi.ac.uk/ols/ontologies/uberon/terms?iri=http://purl.obolibrary.org/obo/UBERON_0005394","cortical layer V")</f>
        <v>cortical layer V</v>
      </c>
      <c r="G660" s="9" t="s">
        <v>1340</v>
      </c>
      <c r="H660" s="9" t="s">
        <v>25610</v>
      </c>
      <c r="I660" s="9" t="s">
        <v>1341</v>
      </c>
      <c r="J660" s="9" t="s">
        <v>1342</v>
      </c>
      <c r="K660" s="6" t="s">
        <v>15174</v>
      </c>
      <c r="L660" s="13">
        <v>294021878</v>
      </c>
      <c r="M660" t="str">
        <f>VLOOKUP(L660,[1]NonHumanPrimate!$B$2:$C$4000,2,FALSE)</f>
        <v>L5</v>
      </c>
    </row>
    <row r="661" spans="2:13" x14ac:dyDescent="0.25">
      <c r="B661" s="31" t="s">
        <v>25743</v>
      </c>
      <c r="C661" s="20"/>
      <c r="D661" s="25" t="s">
        <v>25889</v>
      </c>
      <c r="E661" s="25"/>
      <c r="F661" s="9" t="str">
        <f>HYPERLINK("https://www.ebi.ac.uk/ols/ontologies/uberon/terms?iri=http://purl.obolibrary.org/obo/UBERON_0005395","cortical layer VI")</f>
        <v>cortical layer VI</v>
      </c>
      <c r="G661" s="9" t="s">
        <v>1343</v>
      </c>
      <c r="H661" s="9" t="s">
        <v>25617</v>
      </c>
      <c r="I661" s="9" t="s">
        <v>1344</v>
      </c>
      <c r="J661" s="9" t="s">
        <v>1345</v>
      </c>
      <c r="K661" s="6" t="s">
        <v>15174</v>
      </c>
      <c r="L661" s="13">
        <v>294021896</v>
      </c>
      <c r="M661" t="str">
        <f>VLOOKUP(L661,[1]NonHumanPrimate!$B$2:$C$4000,2,FALSE)</f>
        <v>L6</v>
      </c>
    </row>
    <row r="662" spans="2:13" x14ac:dyDescent="0.25">
      <c r="B662" s="31" t="s">
        <v>25743</v>
      </c>
      <c r="C662" s="20"/>
      <c r="D662" s="25" t="s">
        <v>1347</v>
      </c>
      <c r="E662" s="25"/>
      <c r="F662" s="9" t="str">
        <f>HYPERLINK("https://www.ebi.ac.uk/ols/ontologies/uberon/terms?iri=http://purl.obolibrary.org/obo/UBERON_0005343","cortical plate")</f>
        <v>cortical plate</v>
      </c>
      <c r="G662" s="9" t="s">
        <v>1346</v>
      </c>
      <c r="H662" s="9" t="s">
        <v>19744</v>
      </c>
      <c r="I662" s="9" t="s">
        <v>1347</v>
      </c>
      <c r="J662" s="9" t="s">
        <v>1348</v>
      </c>
      <c r="K662" s="4" t="s">
        <v>15175</v>
      </c>
      <c r="L662" s="13">
        <v>10515</v>
      </c>
      <c r="M662" t="str">
        <f>VLOOKUP(L662,[1]Human_BrainSpan!$B$2:$C$4000,2,FALSE)</f>
        <v>CP</v>
      </c>
    </row>
    <row r="663" spans="2:13" x14ac:dyDescent="0.25">
      <c r="B663" s="31" t="s">
        <v>25743</v>
      </c>
      <c r="C663" s="20"/>
      <c r="D663" s="25" t="s">
        <v>1347</v>
      </c>
      <c r="E663" s="25"/>
      <c r="F663" s="9" t="str">
        <f>HYPERLINK("https://www.ebi.ac.uk/ols/ontologies/uberon/terms?iri=http://purl.obolibrary.org/obo/UBERON_0005343","cortical plate")</f>
        <v>cortical plate</v>
      </c>
      <c r="G663" s="9" t="s">
        <v>1346</v>
      </c>
      <c r="H663" s="9" t="s">
        <v>18652</v>
      </c>
      <c r="I663" s="9" t="s">
        <v>1347</v>
      </c>
      <c r="J663" s="9" t="s">
        <v>1349</v>
      </c>
      <c r="K663" s="3" t="s">
        <v>15176</v>
      </c>
      <c r="L663" s="13">
        <v>695</v>
      </c>
      <c r="M663" t="str">
        <f>VLOOKUP(L663,[1]Mouse_ARA!$B$2:$C$1328,2,FALSE)</f>
        <v>CTXpl</v>
      </c>
    </row>
    <row r="664" spans="2:13" x14ac:dyDescent="0.25">
      <c r="B664" s="31" t="s">
        <v>25743</v>
      </c>
      <c r="C664" s="20"/>
      <c r="D664" s="25" t="s">
        <v>1347</v>
      </c>
      <c r="E664" s="25"/>
      <c r="F664" s="9" t="str">
        <f>HYPERLINK("https://www.ebi.ac.uk/ols/ontologies/uberon/terms?iri=http://purl.obolibrary.org/obo/UBERON_0005343","cortical plate")</f>
        <v>cortical plate</v>
      </c>
      <c r="G664" s="9" t="s">
        <v>1346</v>
      </c>
      <c r="H664" s="9" t="s">
        <v>19744</v>
      </c>
      <c r="I664" s="9" t="s">
        <v>1347</v>
      </c>
      <c r="J664" s="9" t="s">
        <v>1350</v>
      </c>
      <c r="K664" s="6" t="s">
        <v>15174</v>
      </c>
      <c r="L664" s="13">
        <v>294021914</v>
      </c>
      <c r="M664" t="str">
        <f>VLOOKUP(L664,[1]NonHumanPrimate!$B$2:$C$4000,2,FALSE)</f>
        <v>CP</v>
      </c>
    </row>
    <row r="665" spans="2:13" x14ac:dyDescent="0.25">
      <c r="B665" s="31" t="s">
        <v>25743</v>
      </c>
      <c r="C665" s="20"/>
      <c r="D665" s="25" t="s">
        <v>14107</v>
      </c>
      <c r="E665" s="25"/>
      <c r="F665" s="9" t="str">
        <f>HYPERLINK("https://www.ebi.ac.uk/ols/ontologies/uberon/terms?iri=http://purl.obolibrary.org/obo/UBERON_0004035","cortical subplate")</f>
        <v>cortical subplate</v>
      </c>
      <c r="G665" s="9" t="s">
        <v>1351</v>
      </c>
      <c r="H665" s="9" t="s">
        <v>15193</v>
      </c>
      <c r="I665" s="9" t="s">
        <v>1352</v>
      </c>
      <c r="J665" s="9" t="s">
        <v>1353</v>
      </c>
      <c r="K665" s="4" t="s">
        <v>15175</v>
      </c>
      <c r="L665" s="13">
        <v>10522</v>
      </c>
      <c r="M665" t="str">
        <f>VLOOKUP(L665,[1]Human_BrainSpan!$B$2:$C$4000,2,FALSE)</f>
        <v>SP</v>
      </c>
    </row>
    <row r="666" spans="2:13" x14ac:dyDescent="0.25">
      <c r="B666" s="31" t="s">
        <v>25743</v>
      </c>
      <c r="C666" s="20"/>
      <c r="D666" s="25" t="s">
        <v>14107</v>
      </c>
      <c r="E666" s="25"/>
      <c r="F666" s="9" t="str">
        <f>HYPERLINK("https://www.ebi.ac.uk/ols/ontologies/uberon/terms?iri=http://purl.obolibrary.org/obo/UBERON_0004035","cortical subplate")</f>
        <v>cortical subplate</v>
      </c>
      <c r="G666" s="9" t="s">
        <v>1351</v>
      </c>
      <c r="H666" s="9" t="s">
        <v>15193</v>
      </c>
      <c r="I666" s="9" t="s">
        <v>1354</v>
      </c>
      <c r="J666" s="9" t="s">
        <v>1355</v>
      </c>
      <c r="K666" s="6" t="s">
        <v>15174</v>
      </c>
      <c r="L666" s="13">
        <v>294021932</v>
      </c>
      <c r="M666" t="str">
        <f>VLOOKUP(L666,[1]NonHumanPrimate!$B$2:$C$4000,2,FALSE)</f>
        <v>SP</v>
      </c>
    </row>
    <row r="667" spans="2:13" x14ac:dyDescent="0.25">
      <c r="B667" s="31" t="s">
        <v>25743</v>
      </c>
      <c r="C667" s="20"/>
      <c r="D667" s="25" t="s">
        <v>1357</v>
      </c>
      <c r="E667" s="25"/>
      <c r="F667" s="9" t="str">
        <f>HYPERLINK("https://www.ebi.ac.uk/ols/ontologies/uberon/terms?iri=http://purl.obolibrary.org/obo/UBERON_0022272","corticobulbar tract")</f>
        <v>corticobulbar tract</v>
      </c>
      <c r="G667" s="9" t="s">
        <v>1356</v>
      </c>
      <c r="H667" s="9" t="s">
        <v>24634</v>
      </c>
      <c r="I667" s="9" t="s">
        <v>1357</v>
      </c>
      <c r="J667" s="9" t="s">
        <v>1358</v>
      </c>
      <c r="K667" s="4" t="s">
        <v>15175</v>
      </c>
      <c r="L667" s="13">
        <v>12774</v>
      </c>
      <c r="M667" t="str">
        <f>VLOOKUP(L667,[1]Human_BrainSpan!$B$2:$C$4000,2,FALSE)</f>
        <v>cbu-h</v>
      </c>
    </row>
    <row r="668" spans="2:13" x14ac:dyDescent="0.25">
      <c r="B668" s="31" t="s">
        <v>25743</v>
      </c>
      <c r="C668" s="20"/>
      <c r="D668" s="25" t="s">
        <v>1357</v>
      </c>
      <c r="E668" s="25"/>
      <c r="F668" s="9" t="str">
        <f>HYPERLINK("https://www.ebi.ac.uk/ols/ontologies/uberon/terms?iri=http://purl.obolibrary.org/obo/UBERON_0022272","corticobulbar tract")</f>
        <v>corticobulbar tract</v>
      </c>
      <c r="G668" s="9" t="s">
        <v>1356</v>
      </c>
      <c r="H668" s="9" t="s">
        <v>25484</v>
      </c>
      <c r="I668" s="9" t="s">
        <v>1357</v>
      </c>
      <c r="J668" s="9" t="s">
        <v>1359</v>
      </c>
      <c r="K668" s="7" t="s">
        <v>15171</v>
      </c>
      <c r="L668" s="13">
        <v>265505058</v>
      </c>
      <c r="M668" t="str">
        <f>VLOOKUP(L668,[1]HBA!$B$2:$C$4000,2,FALSE)</f>
        <v>cbu</v>
      </c>
    </row>
    <row r="669" spans="2:13" x14ac:dyDescent="0.25">
      <c r="B669" s="31" t="s">
        <v>25743</v>
      </c>
      <c r="C669" s="20"/>
      <c r="D669" s="25" t="s">
        <v>1357</v>
      </c>
      <c r="E669" s="25"/>
      <c r="F669" s="9" t="str">
        <f>HYPERLINK("https://www.ebi.ac.uk/ols/ontologies/uberon/terms?iri=http://purl.obolibrary.org/obo/UBERON_0022272","corticobulbar tract")</f>
        <v>corticobulbar tract</v>
      </c>
      <c r="G669" s="9" t="s">
        <v>1356</v>
      </c>
      <c r="H669" s="9" t="s">
        <v>20835</v>
      </c>
      <c r="I669" s="9" t="s">
        <v>1357</v>
      </c>
      <c r="J669" s="9" t="s">
        <v>1360</v>
      </c>
      <c r="K669" s="3" t="s">
        <v>15176</v>
      </c>
      <c r="L669" s="13">
        <v>994</v>
      </c>
      <c r="M669" t="str">
        <f>VLOOKUP(L669,[1]Mouse_ARA!$B$2:$C$1328,2,FALSE)</f>
        <v>cbt</v>
      </c>
    </row>
    <row r="670" spans="2:13" x14ac:dyDescent="0.25">
      <c r="B670" s="31" t="s">
        <v>25743</v>
      </c>
      <c r="C670" s="20"/>
      <c r="D670" s="25" t="s">
        <v>25890</v>
      </c>
      <c r="E670" s="25"/>
      <c r="F670" s="9" t="str">
        <f>HYPERLINK("https://www.ebi.ac.uk/ols/ontologies/uberon/terms?iri=http://purl.obolibrary.org/obo/UBERON_0006108","corticomedial nuclear complex")</f>
        <v>corticomedial nuclear complex</v>
      </c>
      <c r="G670" s="9" t="s">
        <v>1361</v>
      </c>
      <c r="H670" s="9" t="s">
        <v>23161</v>
      </c>
      <c r="I670" s="9" t="s">
        <v>1362</v>
      </c>
      <c r="J670" s="9" t="s">
        <v>1363</v>
      </c>
      <c r="K670" s="4" t="s">
        <v>15175</v>
      </c>
      <c r="L670" s="13">
        <v>10372</v>
      </c>
      <c r="M670" t="str">
        <f>VLOOKUP(L670,[1]Human_BrainSpan!$B$2:$C$4000,2,FALSE)</f>
        <v>CMN</v>
      </c>
    </row>
    <row r="671" spans="2:13" x14ac:dyDescent="0.25">
      <c r="B671" s="31" t="s">
        <v>25743</v>
      </c>
      <c r="C671" s="20"/>
      <c r="D671" s="25" t="s">
        <v>25891</v>
      </c>
      <c r="E671" s="25"/>
      <c r="F671" s="9" t="str">
        <f>HYPERLINK("https://www.ebi.ac.uk/ols/ontologies/uberon/terms?iri=http://purl.obolibrary.org/obo/UBERON_0022271","corticopontine fibers")</f>
        <v>corticopontine fibers</v>
      </c>
      <c r="G671" s="9" t="s">
        <v>1364</v>
      </c>
      <c r="H671" s="9" t="s">
        <v>24601</v>
      </c>
      <c r="I671" s="9" t="s">
        <v>1365</v>
      </c>
      <c r="J671" s="9" t="s">
        <v>1366</v>
      </c>
      <c r="K671" s="4" t="s">
        <v>15175</v>
      </c>
      <c r="L671" s="13">
        <v>266441721</v>
      </c>
      <c r="M671" t="str">
        <f>VLOOKUP(L671,[1]Human_BrainSpan!$B$2:$C$4000,2,FALSE)</f>
        <v>cpn</v>
      </c>
    </row>
    <row r="672" spans="2:13" x14ac:dyDescent="0.25">
      <c r="B672" s="31" t="s">
        <v>25743</v>
      </c>
      <c r="C672" s="20"/>
      <c r="D672" s="25" t="s">
        <v>25891</v>
      </c>
      <c r="E672" s="25"/>
      <c r="F672" s="9" t="str">
        <f>HYPERLINK("https://www.ebi.ac.uk/ols/ontologies/uberon/terms?iri=http://purl.obolibrary.org/obo/UBERON_0022271","corticopontine fibers")</f>
        <v>corticopontine fibers</v>
      </c>
      <c r="G672" s="9" t="s">
        <v>1364</v>
      </c>
      <c r="H672" s="9" t="s">
        <v>24601</v>
      </c>
      <c r="I672" s="9" t="s">
        <v>1367</v>
      </c>
      <c r="J672" s="9" t="s">
        <v>1368</v>
      </c>
      <c r="K672" s="7" t="s">
        <v>15171</v>
      </c>
      <c r="L672" s="13">
        <v>265505490</v>
      </c>
      <c r="M672" t="str">
        <f>VLOOKUP(L672,[1]HBA!$B$2:$C$4000,2,FALSE)</f>
        <v>cpn</v>
      </c>
    </row>
    <row r="673" spans="2:13" x14ac:dyDescent="0.25">
      <c r="B673" s="31" t="s">
        <v>25743</v>
      </c>
      <c r="C673" s="20"/>
      <c r="D673" s="25" t="s">
        <v>1370</v>
      </c>
      <c r="E673" s="25"/>
      <c r="F673" s="9" t="str">
        <f>HYPERLINK("https://www.ebi.ac.uk/ols/ontologies/uberon/terms?iri=http://purl.obolibrary.org/obo/UBERON_0002707","corticospinal tract")</f>
        <v>corticospinal tract</v>
      </c>
      <c r="G673" s="9" t="s">
        <v>1369</v>
      </c>
      <c r="H673" s="9" t="s">
        <v>24636</v>
      </c>
      <c r="I673" s="9" t="s">
        <v>1370</v>
      </c>
      <c r="J673" s="9" t="s">
        <v>1371</v>
      </c>
      <c r="K673" s="4" t="s">
        <v>15175</v>
      </c>
      <c r="L673" s="13">
        <v>12776</v>
      </c>
      <c r="M673" t="str">
        <f>VLOOKUP(L673,[1]Human_BrainSpan!$B$2:$C$4000,2,FALSE)</f>
        <v>csp-h</v>
      </c>
    </row>
    <row r="674" spans="2:13" x14ac:dyDescent="0.25">
      <c r="B674" s="31" t="s">
        <v>25743</v>
      </c>
      <c r="C674" s="20"/>
      <c r="D674" s="25" t="s">
        <v>1370</v>
      </c>
      <c r="E674" s="25"/>
      <c r="F674" s="9" t="str">
        <f>HYPERLINK("https://www.ebi.ac.uk/ols/ontologies/uberon/terms?iri=http://purl.obolibrary.org/obo/UBERON_0002707","corticospinal tract")</f>
        <v>corticospinal tract</v>
      </c>
      <c r="G674" s="9" t="s">
        <v>1369</v>
      </c>
      <c r="H674" s="9" t="s">
        <v>18445</v>
      </c>
      <c r="I674" s="9" t="s">
        <v>1370</v>
      </c>
      <c r="J674" s="9" t="s">
        <v>1372</v>
      </c>
      <c r="K674" s="5" t="s">
        <v>15173</v>
      </c>
      <c r="L674" s="13">
        <v>17756</v>
      </c>
      <c r="M674" t="str">
        <f>VLOOKUP(L674,[1]DevMouse!$B$2:$C$2693,2,FALSE)</f>
        <v>csp</v>
      </c>
    </row>
    <row r="675" spans="2:13" x14ac:dyDescent="0.25">
      <c r="B675" s="31" t="s">
        <v>25743</v>
      </c>
      <c r="C675" s="20"/>
      <c r="D675" s="25" t="s">
        <v>1370</v>
      </c>
      <c r="E675" s="25"/>
      <c r="F675" s="9" t="str">
        <f>HYPERLINK("https://www.ebi.ac.uk/ols/ontologies/uberon/terms?iri=http://purl.obolibrary.org/obo/UBERON_0002707","corticospinal tract")</f>
        <v>corticospinal tract</v>
      </c>
      <c r="G675" s="9" t="s">
        <v>1369</v>
      </c>
      <c r="H675" s="9" t="s">
        <v>18445</v>
      </c>
      <c r="I675" s="9" t="s">
        <v>1370</v>
      </c>
      <c r="J675" s="9" t="s">
        <v>1373</v>
      </c>
      <c r="K675" s="7" t="s">
        <v>15171</v>
      </c>
      <c r="L675" s="13">
        <v>265505574</v>
      </c>
      <c r="M675" t="str">
        <f>VLOOKUP(L675,[1]HBA!$B$2:$C$4000,2,FALSE)</f>
        <v>csp</v>
      </c>
    </row>
    <row r="676" spans="2:13" x14ac:dyDescent="0.25">
      <c r="B676" s="31" t="s">
        <v>25743</v>
      </c>
      <c r="C676" s="20"/>
      <c r="D676" s="25" t="s">
        <v>1370</v>
      </c>
      <c r="E676" s="25"/>
      <c r="F676" s="9" t="str">
        <f>HYPERLINK("https://www.ebi.ac.uk/ols/ontologies/uberon/terms?iri=http://purl.obolibrary.org/obo/UBERON_0002707","corticospinal tract")</f>
        <v>corticospinal tract</v>
      </c>
      <c r="G676" s="9" t="s">
        <v>1369</v>
      </c>
      <c r="H676" s="9" t="s">
        <v>18489</v>
      </c>
      <c r="I676" s="9" t="s">
        <v>1374</v>
      </c>
      <c r="J676" s="9" t="s">
        <v>1375</v>
      </c>
      <c r="K676" s="3" t="s">
        <v>15176</v>
      </c>
      <c r="L676" s="13">
        <v>190</v>
      </c>
      <c r="M676" t="str">
        <f>VLOOKUP(L676,[1]Mouse_ARA!$B$2:$C$1328,2,FALSE)</f>
        <v>py</v>
      </c>
    </row>
    <row r="677" spans="2:13" x14ac:dyDescent="0.25">
      <c r="B677" s="31" t="s">
        <v>25743</v>
      </c>
      <c r="C677" s="20"/>
      <c r="D677" s="25" t="s">
        <v>1370</v>
      </c>
      <c r="E677" s="25"/>
      <c r="F677" s="9" t="str">
        <f>HYPERLINK("https://www.ebi.ac.uk/ols/ontologies/uberon/terms?iri=http://purl.obolibrary.org/obo/UBERON_0002707","corticospinal tract")</f>
        <v>corticospinal tract</v>
      </c>
      <c r="G677" s="9" t="s">
        <v>1369</v>
      </c>
      <c r="H677" s="9" t="s">
        <v>20827</v>
      </c>
      <c r="I677" s="9" t="s">
        <v>1370</v>
      </c>
      <c r="J677" s="9" t="s">
        <v>1376</v>
      </c>
      <c r="K677" s="3" t="s">
        <v>15176</v>
      </c>
      <c r="L677" s="13">
        <v>784</v>
      </c>
      <c r="M677" t="str">
        <f>VLOOKUP(L677,[1]Mouse_ARA!$B$2:$C$1328,2,FALSE)</f>
        <v>cst</v>
      </c>
    </row>
    <row r="678" spans="2:13" x14ac:dyDescent="0.25">
      <c r="B678" s="31" t="s">
        <v>25743</v>
      </c>
      <c r="C678" s="20"/>
      <c r="D678" s="25" t="s">
        <v>1380</v>
      </c>
      <c r="E678" s="25"/>
      <c r="F678" s="9" t="str">
        <f>HYPERLINK("https://www.ebi.ac.uk/ols/ontologies/uberon/terms?iri=http://purl.obolibrary.org/obo/UBERON_0002556","corticotectal tract")</f>
        <v>corticotectal tract</v>
      </c>
      <c r="G678" s="9" t="s">
        <v>1377</v>
      </c>
      <c r="H678" s="9" t="s">
        <v>20830</v>
      </c>
      <c r="I678" s="9" t="s">
        <v>1378</v>
      </c>
      <c r="J678" s="9" t="s">
        <v>1379</v>
      </c>
      <c r="K678" s="4" t="s">
        <v>15175</v>
      </c>
      <c r="L678" s="13">
        <v>12050</v>
      </c>
      <c r="M678" t="str">
        <f>VLOOKUP(L678,[1]Human_BrainSpan!$B$2:$C$4000,2,FALSE)</f>
        <v>cte</v>
      </c>
    </row>
    <row r="679" spans="2:13" x14ac:dyDescent="0.25">
      <c r="B679" s="31" t="s">
        <v>25743</v>
      </c>
      <c r="C679" s="20"/>
      <c r="D679" s="25" t="s">
        <v>1380</v>
      </c>
      <c r="E679" s="25"/>
      <c r="F679" s="9" t="str">
        <f>HYPERLINK("https://www.ebi.ac.uk/ols/ontologies/uberon/terms?iri=http://purl.obolibrary.org/obo/UBERON_0002556","corticotectal tract")</f>
        <v>corticotectal tract</v>
      </c>
      <c r="G679" s="9" t="s">
        <v>1377</v>
      </c>
      <c r="H679" s="9" t="s">
        <v>20830</v>
      </c>
      <c r="I679" s="9" t="s">
        <v>1380</v>
      </c>
      <c r="J679" s="9" t="s">
        <v>1381</v>
      </c>
      <c r="K679" s="3" t="s">
        <v>15176</v>
      </c>
      <c r="L679" s="13">
        <v>1036</v>
      </c>
      <c r="M679" t="str">
        <f>VLOOKUP(L679,[1]Mouse_ARA!$B$2:$C$1328,2,FALSE)</f>
        <v>cte</v>
      </c>
    </row>
    <row r="680" spans="2:13" x14ac:dyDescent="0.25">
      <c r="B680" s="31" t="s">
        <v>25743</v>
      </c>
      <c r="C680" s="20"/>
      <c r="D680" s="25" t="s">
        <v>25892</v>
      </c>
      <c r="E680" s="25"/>
      <c r="F680" s="9" t="str">
        <f>HYPERLINK("https://www.ebi.ac.uk/ols/ontologies/uberon/terms?iri=http://purl.obolibrary.org/obo/UBERON_0001785","cranial nerve")</f>
        <v>cranial nerve</v>
      </c>
      <c r="G680" s="9" t="s">
        <v>1382</v>
      </c>
      <c r="H680" s="9" t="s">
        <v>20397</v>
      </c>
      <c r="I680" s="9" t="s">
        <v>979</v>
      </c>
      <c r="J680" s="9" t="s">
        <v>980</v>
      </c>
      <c r="K680" s="7" t="s">
        <v>15171</v>
      </c>
      <c r="L680" s="13">
        <v>9299</v>
      </c>
      <c r="M680" t="str">
        <f>VLOOKUP(L680,[1]HBA!$B$2:$C$4000,2,FALSE)</f>
        <v>CN</v>
      </c>
    </row>
    <row r="681" spans="2:13" x14ac:dyDescent="0.25">
      <c r="B681" s="31" t="s">
        <v>25743</v>
      </c>
      <c r="C681" s="20"/>
      <c r="D681" s="25" t="s">
        <v>25892</v>
      </c>
      <c r="E681" s="25"/>
      <c r="F681" s="9" t="str">
        <f>HYPERLINK("https://www.ebi.ac.uk/ols/ontologies/uberon/terms?iri=http://purl.obolibrary.org/obo/UBERON_0001785","cranial nerve")</f>
        <v>cranial nerve</v>
      </c>
      <c r="G681" s="9" t="s">
        <v>1382</v>
      </c>
      <c r="H681" s="9" t="s">
        <v>20723</v>
      </c>
      <c r="I681" s="9" t="s">
        <v>979</v>
      </c>
      <c r="J681" s="9" t="s">
        <v>985</v>
      </c>
      <c r="K681" s="3" t="s">
        <v>15176</v>
      </c>
      <c r="L681" s="13">
        <v>967</v>
      </c>
      <c r="M681" t="str">
        <f>VLOOKUP(L681,[1]Mouse_ARA!$B$2:$C$1328,2,FALSE)</f>
        <v>cm</v>
      </c>
    </row>
    <row r="682" spans="2:13" x14ac:dyDescent="0.25">
      <c r="B682" s="31" t="s">
        <v>25743</v>
      </c>
      <c r="C682" s="20"/>
      <c r="D682" s="25" t="s">
        <v>25893</v>
      </c>
      <c r="E682" s="25"/>
      <c r="F682" s="9" t="str">
        <f>HYPERLINK("https://www.ebi.ac.uk/ols/ontologies/uberon/terms?iri=http://purl.obolibrary.org/obo/UBERON_0000941","cranial nerve II")</f>
        <v>cranial nerve II</v>
      </c>
      <c r="G682" s="9" t="s">
        <v>1383</v>
      </c>
      <c r="H682" s="9" t="s">
        <v>18481</v>
      </c>
      <c r="I682" s="9" t="s">
        <v>1384</v>
      </c>
      <c r="J682" s="9" t="s">
        <v>1385</v>
      </c>
      <c r="K682" s="4" t="s">
        <v>15175</v>
      </c>
      <c r="L682" s="13">
        <v>15544</v>
      </c>
      <c r="M682" t="str">
        <f>VLOOKUP(L682,[1]Human_BrainSpan!$B$2:$C$4000,2,FALSE)</f>
        <v>on</v>
      </c>
    </row>
    <row r="683" spans="2:13" x14ac:dyDescent="0.25">
      <c r="B683" s="31" t="s">
        <v>25743</v>
      </c>
      <c r="C683" s="20"/>
      <c r="D683" s="25" t="s">
        <v>25893</v>
      </c>
      <c r="E683" s="25"/>
      <c r="F683" s="9" t="str">
        <f>HYPERLINK("https://www.ebi.ac.uk/ols/ontologies/uberon/terms?iri=http://purl.obolibrary.org/obo/UBERON_0000941","cranial nerve II")</f>
        <v>cranial nerve II</v>
      </c>
      <c r="G683" s="9" t="s">
        <v>1383</v>
      </c>
      <c r="H683" s="9" t="s">
        <v>25511</v>
      </c>
      <c r="I683" s="9" t="s">
        <v>1384</v>
      </c>
      <c r="J683" s="9" t="s">
        <v>1386</v>
      </c>
      <c r="K683" s="7" t="s">
        <v>15171</v>
      </c>
      <c r="L683" s="13">
        <v>9307</v>
      </c>
      <c r="M683" t="str">
        <f>VLOOKUP(L683,[1]HBA!$B$2:$C$4000,2,FALSE)</f>
        <v>2n</v>
      </c>
    </row>
    <row r="684" spans="2:13" x14ac:dyDescent="0.25">
      <c r="B684" s="31" t="s">
        <v>25743</v>
      </c>
      <c r="C684" s="20"/>
      <c r="D684" s="25" t="s">
        <v>25893</v>
      </c>
      <c r="E684" s="25"/>
      <c r="F684" s="9" t="str">
        <f>HYPERLINK("https://www.ebi.ac.uk/ols/ontologies/uberon/terms?iri=http://purl.obolibrary.org/obo/UBERON_0000941","cranial nerve II")</f>
        <v>cranial nerve II</v>
      </c>
      <c r="G684" s="9" t="s">
        <v>1383</v>
      </c>
      <c r="H684" s="9" t="s">
        <v>20735</v>
      </c>
      <c r="I684" s="9" t="s">
        <v>1384</v>
      </c>
      <c r="J684" s="9" t="s">
        <v>1387</v>
      </c>
      <c r="K684" s="3" t="s">
        <v>15176</v>
      </c>
      <c r="L684" s="13">
        <v>848</v>
      </c>
      <c r="M684" t="str">
        <f>VLOOKUP(L684,[1]Mouse_ARA!$B$2:$C$1328,2,FALSE)</f>
        <v>IIn</v>
      </c>
    </row>
    <row r="685" spans="2:13" x14ac:dyDescent="0.25">
      <c r="B685" s="31" t="s">
        <v>25743</v>
      </c>
      <c r="C685" s="20"/>
      <c r="D685" s="25" t="s">
        <v>1389</v>
      </c>
      <c r="E685" s="25"/>
      <c r="F685" s="9" t="str">
        <f>HYPERLINK("https://www.ebi.ac.uk/ols/ontologies/uberon/terms?iri=http://purl.obolibrary.org/obo/UBERON_0005832","cuneate fasciculus")</f>
        <v>cuneate fasciculus</v>
      </c>
      <c r="G685" s="9" t="s">
        <v>1388</v>
      </c>
      <c r="H685" s="9" t="s">
        <v>20778</v>
      </c>
      <c r="I685" s="9" t="s">
        <v>1389</v>
      </c>
      <c r="J685" s="9" t="s">
        <v>1390</v>
      </c>
      <c r="K685" s="4" t="s">
        <v>15175</v>
      </c>
      <c r="L685" s="13">
        <v>12731</v>
      </c>
      <c r="M685" t="str">
        <f>VLOOKUP(L685,[1]Human_BrainSpan!$B$2:$C$4000,2,FALSE)</f>
        <v>cuf</v>
      </c>
    </row>
    <row r="686" spans="2:13" x14ac:dyDescent="0.25">
      <c r="B686" s="31" t="s">
        <v>25743</v>
      </c>
      <c r="C686" s="20"/>
      <c r="D686" s="25" t="s">
        <v>1389</v>
      </c>
      <c r="E686" s="25"/>
      <c r="F686" s="9" t="str">
        <f>HYPERLINK("https://www.ebi.ac.uk/ols/ontologies/uberon/terms?iri=http://purl.obolibrary.org/obo/UBERON_0005832","cuneate fasciculus")</f>
        <v>cuneate fasciculus</v>
      </c>
      <c r="G686" s="9" t="s">
        <v>1388</v>
      </c>
      <c r="H686" s="9" t="s">
        <v>20778</v>
      </c>
      <c r="I686" s="9" t="s">
        <v>1389</v>
      </c>
      <c r="J686" s="9" t="s">
        <v>1391</v>
      </c>
      <c r="K686" s="7" t="s">
        <v>15171</v>
      </c>
      <c r="L686" s="13">
        <v>265505550</v>
      </c>
      <c r="M686" t="str">
        <f>VLOOKUP(L686,[1]HBA!$B$2:$C$4000,2,FALSE)</f>
        <v>cuf</v>
      </c>
    </row>
    <row r="687" spans="2:13" x14ac:dyDescent="0.25">
      <c r="B687" s="31" t="s">
        <v>25743</v>
      </c>
      <c r="C687" s="20"/>
      <c r="D687" s="25" t="s">
        <v>1389</v>
      </c>
      <c r="E687" s="25"/>
      <c r="F687" s="9" t="str">
        <f>HYPERLINK("https://www.ebi.ac.uk/ols/ontologies/uberon/terms?iri=http://purl.obolibrary.org/obo/UBERON_0005832","cuneate fasciculus")</f>
        <v>cuneate fasciculus</v>
      </c>
      <c r="G687" s="9" t="s">
        <v>1388</v>
      </c>
      <c r="H687" s="9" t="s">
        <v>20778</v>
      </c>
      <c r="I687" s="9" t="s">
        <v>1392</v>
      </c>
      <c r="J687" s="9" t="s">
        <v>1393</v>
      </c>
      <c r="K687" s="3" t="s">
        <v>15176</v>
      </c>
      <c r="L687" s="13">
        <v>380</v>
      </c>
      <c r="M687" t="str">
        <f>VLOOKUP(L687,[1]Mouse_ARA!$B$2:$C$1328,2,FALSE)</f>
        <v>cuf</v>
      </c>
    </row>
    <row r="688" spans="2:13" x14ac:dyDescent="0.25">
      <c r="B688" s="31" t="s">
        <v>26299</v>
      </c>
      <c r="C688" s="25" t="s">
        <v>1389</v>
      </c>
      <c r="D688" s="25" t="s">
        <v>25894</v>
      </c>
      <c r="E688" s="25"/>
      <c r="F688" s="9" t="str">
        <f>HYPERLINK("https://www.ebi.ac.uk/ols/ontologies/uberon/terms?iri=http://purl.obolibrary.org/obo/UBERON_0005835","cuneate fasciculus of spinal cord")</f>
        <v>cuneate fasciculus of spinal cord</v>
      </c>
      <c r="G688" s="9" t="s">
        <v>1394</v>
      </c>
      <c r="H688" s="9" t="s">
        <v>20778</v>
      </c>
      <c r="I688" s="9" t="s">
        <v>1392</v>
      </c>
      <c r="J688" s="9" t="s">
        <v>1393</v>
      </c>
      <c r="K688" s="3" t="s">
        <v>15176</v>
      </c>
      <c r="L688" s="13">
        <v>380</v>
      </c>
      <c r="M688" t="str">
        <f>VLOOKUP(L688,[1]Mouse_ARA!$B$2:$C$1328,2,FALSE)</f>
        <v>cuf</v>
      </c>
    </row>
    <row r="689" spans="2:13" x14ac:dyDescent="0.25">
      <c r="B689" s="31" t="s">
        <v>25743</v>
      </c>
      <c r="C689" s="20"/>
      <c r="D689" s="25" t="s">
        <v>1396</v>
      </c>
      <c r="E689" s="25"/>
      <c r="F689" s="9" t="str">
        <f>HYPERLINK("https://www.ebi.ac.uk/ols/ontologies/uberon/terms?iri=http://purl.obolibrary.org/obo/UBERON_0002045","cuneate nucleus")</f>
        <v>cuneate nucleus</v>
      </c>
      <c r="G689" s="9" t="s">
        <v>1395</v>
      </c>
      <c r="H689" s="9" t="s">
        <v>24421</v>
      </c>
      <c r="I689" s="9" t="s">
        <v>1396</v>
      </c>
      <c r="J689" s="9" t="s">
        <v>1397</v>
      </c>
      <c r="K689" s="4" t="s">
        <v>15175</v>
      </c>
      <c r="L689" s="13">
        <v>12589</v>
      </c>
      <c r="M689" t="str">
        <f>VLOOKUP(L689,[1]Human_BrainSpan!$B$2:$C$4000,2,FALSE)</f>
        <v>Cu</v>
      </c>
    </row>
    <row r="690" spans="2:13" x14ac:dyDescent="0.25">
      <c r="B690" s="31" t="s">
        <v>25743</v>
      </c>
      <c r="C690" s="20"/>
      <c r="D690" s="25" t="s">
        <v>1396</v>
      </c>
      <c r="E690" s="25"/>
      <c r="F690" s="9" t="str">
        <f>HYPERLINK("https://www.ebi.ac.uk/ols/ontologies/uberon/terms?iri=http://purl.obolibrary.org/obo/UBERON_0002045","cuneate nucleus")</f>
        <v>cuneate nucleus</v>
      </c>
      <c r="G690" s="9" t="s">
        <v>1395</v>
      </c>
      <c r="H690" s="9" t="s">
        <v>24421</v>
      </c>
      <c r="I690" s="9" t="s">
        <v>1396</v>
      </c>
      <c r="J690" s="9" t="s">
        <v>1398</v>
      </c>
      <c r="K690" s="7" t="s">
        <v>15171</v>
      </c>
      <c r="L690" s="13">
        <v>9542</v>
      </c>
      <c r="M690" t="str">
        <f>VLOOKUP(L690,[1]HBA!$B$2:$C$4000,2,FALSE)</f>
        <v>Cu</v>
      </c>
    </row>
    <row r="691" spans="2:13" x14ac:dyDescent="0.25">
      <c r="B691" s="31" t="s">
        <v>25743</v>
      </c>
      <c r="C691" s="20"/>
      <c r="D691" s="25" t="s">
        <v>1396</v>
      </c>
      <c r="E691" s="25"/>
      <c r="F691" s="9" t="str">
        <f>HYPERLINK("https://www.ebi.ac.uk/ols/ontologies/uberon/terms?iri=http://purl.obolibrary.org/obo/UBERON_0002045","cuneate nucleus")</f>
        <v>cuneate nucleus</v>
      </c>
      <c r="G691" s="9" t="s">
        <v>1395</v>
      </c>
      <c r="H691" s="9" t="s">
        <v>20409</v>
      </c>
      <c r="I691" s="9" t="s">
        <v>1396</v>
      </c>
      <c r="J691" s="9" t="s">
        <v>1399</v>
      </c>
      <c r="K691" s="3" t="s">
        <v>15176</v>
      </c>
      <c r="L691" s="13">
        <v>711</v>
      </c>
      <c r="M691" t="str">
        <f>VLOOKUP(L691,[1]Mouse_ARA!$B$2:$C$1328,2,FALSE)</f>
        <v>CU</v>
      </c>
    </row>
    <row r="692" spans="2:13" x14ac:dyDescent="0.25">
      <c r="B692" s="31" t="s">
        <v>25743</v>
      </c>
      <c r="C692" s="20"/>
      <c r="D692" s="25" t="s">
        <v>1401</v>
      </c>
      <c r="E692" s="25"/>
      <c r="F692" s="9" t="str">
        <f>HYPERLINK("https://www.ebi.ac.uk/ols/ontologies/uberon/terms?iri=http://purl.obolibrary.org/obo/UBERON_0002696","cuneiform nucleus")</f>
        <v>cuneiform nucleus</v>
      </c>
      <c r="G692" s="9" t="s">
        <v>1400</v>
      </c>
      <c r="H692" s="9" t="s">
        <v>17161</v>
      </c>
      <c r="I692" s="9" t="s">
        <v>1401</v>
      </c>
      <c r="J692" s="9" t="s">
        <v>1402</v>
      </c>
      <c r="K692" s="4" t="s">
        <v>15175</v>
      </c>
      <c r="L692" s="13">
        <v>12240</v>
      </c>
      <c r="M692" t="str">
        <f>VLOOKUP(L692,[1]Human_BrainSpan!$B$2:$C$4000,2,FALSE)</f>
        <v>CnF</v>
      </c>
    </row>
    <row r="693" spans="2:13" x14ac:dyDescent="0.25">
      <c r="B693" s="31" t="s">
        <v>25743</v>
      </c>
      <c r="C693" s="20"/>
      <c r="D693" s="25" t="s">
        <v>1401</v>
      </c>
      <c r="E693" s="25"/>
      <c r="F693" s="9" t="str">
        <f>HYPERLINK("https://www.ebi.ac.uk/ols/ontologies/uberon/terms?iri=http://purl.obolibrary.org/obo/UBERON_0002696","cuneiform nucleus")</f>
        <v>cuneiform nucleus</v>
      </c>
      <c r="G693" s="9" t="s">
        <v>1400</v>
      </c>
      <c r="H693" s="9" t="s">
        <v>17161</v>
      </c>
      <c r="I693" s="9" t="s">
        <v>1401</v>
      </c>
      <c r="J693" s="9" t="s">
        <v>1403</v>
      </c>
      <c r="K693" s="5" t="s">
        <v>15173</v>
      </c>
      <c r="L693" s="13">
        <v>16777</v>
      </c>
      <c r="M693" t="str">
        <f>VLOOKUP(L693,[1]DevMouse!$B$2:$C$2693,2,FALSE)</f>
        <v>CnF</v>
      </c>
    </row>
    <row r="694" spans="2:13" x14ac:dyDescent="0.25">
      <c r="B694" s="31" t="s">
        <v>25743</v>
      </c>
      <c r="C694" s="20"/>
      <c r="D694" s="25" t="s">
        <v>1401</v>
      </c>
      <c r="E694" s="25"/>
      <c r="F694" s="9" t="str">
        <f>HYPERLINK("https://www.ebi.ac.uk/ols/ontologies/uberon/terms?iri=http://purl.obolibrary.org/obo/UBERON_0002696","cuneiform nucleus")</f>
        <v>cuneiform nucleus</v>
      </c>
      <c r="G694" s="9" t="s">
        <v>1400</v>
      </c>
      <c r="H694" s="9" t="s">
        <v>17161</v>
      </c>
      <c r="I694" s="9" t="s">
        <v>1404</v>
      </c>
      <c r="J694" s="9" t="s">
        <v>1405</v>
      </c>
      <c r="K694" s="7" t="s">
        <v>15171</v>
      </c>
      <c r="L694" s="13">
        <v>9020</v>
      </c>
      <c r="M694" t="str">
        <f>VLOOKUP(L694,[1]HBA!$B$2:$C$4000,2,FALSE)</f>
        <v>CnF</v>
      </c>
    </row>
    <row r="695" spans="2:13" x14ac:dyDescent="0.25">
      <c r="B695" s="31" t="s">
        <v>25743</v>
      </c>
      <c r="C695" s="20"/>
      <c r="D695" s="25" t="s">
        <v>1401</v>
      </c>
      <c r="E695" s="25"/>
      <c r="F695" s="9" t="str">
        <f>HYPERLINK("https://www.ebi.ac.uk/ols/ontologies/uberon/terms?iri=http://purl.obolibrary.org/obo/UBERON_0002696","cuneiform nucleus")</f>
        <v>cuneiform nucleus</v>
      </c>
      <c r="G695" s="9" t="s">
        <v>1400</v>
      </c>
      <c r="H695" s="9" t="s">
        <v>20246</v>
      </c>
      <c r="I695" s="9" t="s">
        <v>1401</v>
      </c>
      <c r="J695" s="9" t="s">
        <v>1406</v>
      </c>
      <c r="K695" s="3" t="s">
        <v>15176</v>
      </c>
      <c r="L695" s="13">
        <v>616</v>
      </c>
      <c r="M695" t="str">
        <f>VLOOKUP(L695,[1]Mouse_ARA!$B$2:$C$1328,2,FALSE)</f>
        <v>CUN</v>
      </c>
    </row>
    <row r="696" spans="2:13" x14ac:dyDescent="0.25">
      <c r="B696" s="37" t="s">
        <v>25743</v>
      </c>
      <c r="C696" s="20"/>
      <c r="D696" s="25" t="s">
        <v>1408</v>
      </c>
      <c r="E696" s="25"/>
      <c r="F696" s="9" t="str">
        <f>HYPERLINK("https://www.ebi.ac.uk/ols/ontologies/uberon/terms?iri=http://purl.obolibrary.org/obo/UBERON_0002640","cuneocerebellar tract")</f>
        <v>cuneocerebellar tract</v>
      </c>
      <c r="G696" s="9" t="s">
        <v>1407</v>
      </c>
      <c r="H696" s="9" t="s">
        <v>24614</v>
      </c>
      <c r="I696" s="9" t="s">
        <v>1408</v>
      </c>
      <c r="J696" s="9" t="s">
        <v>1409</v>
      </c>
      <c r="K696" s="4" t="s">
        <v>15175</v>
      </c>
      <c r="L696" s="13">
        <v>12745</v>
      </c>
      <c r="M696" t="str">
        <f>VLOOKUP(L696,[1]Human_BrainSpan!$B$2:$C$4000,2,FALSE)</f>
        <v>cucb</v>
      </c>
    </row>
    <row r="697" spans="2:13" x14ac:dyDescent="0.25">
      <c r="B697" s="37" t="s">
        <v>25743</v>
      </c>
      <c r="C697" s="20"/>
      <c r="D697" s="25" t="s">
        <v>1408</v>
      </c>
      <c r="E697" s="25"/>
      <c r="F697" s="9" t="str">
        <f>HYPERLINK("https://www.ebi.ac.uk/ols/ontologies/uberon/terms?iri=http://purl.obolibrary.org/obo/UBERON_0002640","cuneocerebellar tract")</f>
        <v>cuneocerebellar tract</v>
      </c>
      <c r="G697" s="9" t="s">
        <v>1407</v>
      </c>
      <c r="H697" s="9" t="s">
        <v>20807</v>
      </c>
      <c r="I697" s="9" t="s">
        <v>1408</v>
      </c>
      <c r="J697" s="9" t="s">
        <v>1410</v>
      </c>
      <c r="K697" s="3" t="s">
        <v>15176</v>
      </c>
      <c r="L697" s="13">
        <v>499</v>
      </c>
      <c r="M697" t="str">
        <f>VLOOKUP(L697,[1]Mouse_ARA!$B$2:$C$1328,2,FALSE)</f>
        <v>cct</v>
      </c>
    </row>
    <row r="698" spans="2:13" x14ac:dyDescent="0.25">
      <c r="B698" s="31" t="s">
        <v>25743</v>
      </c>
      <c r="C698" s="20"/>
      <c r="D698" s="25" t="s">
        <v>25895</v>
      </c>
      <c r="E698" s="25"/>
      <c r="F698" s="9" t="str">
        <f>HYPERLINK("https://www.ebi.ac.uk/ols/ontologies/uberon/terms?iri=http://purl.obolibrary.org/obo/UBERON_0006092","cuneus cortex")</f>
        <v>cuneus cortex</v>
      </c>
      <c r="G698" s="9" t="s">
        <v>1411</v>
      </c>
      <c r="H698" s="9" t="s">
        <v>23838</v>
      </c>
      <c r="I698" s="9" t="s">
        <v>1412</v>
      </c>
      <c r="J698" s="9" t="s">
        <v>1413</v>
      </c>
      <c r="K698" s="4" t="s">
        <v>15175</v>
      </c>
      <c r="L698" s="13">
        <v>12150</v>
      </c>
      <c r="M698" t="str">
        <f>VLOOKUP(L698,[1]Human_BrainSpan!$B$2:$C$4000,2,FALSE)</f>
        <v>Cun</v>
      </c>
    </row>
    <row r="699" spans="2:13" x14ac:dyDescent="0.25">
      <c r="B699" s="31" t="s">
        <v>25743</v>
      </c>
      <c r="C699" s="20"/>
      <c r="D699" s="25" t="s">
        <v>25895</v>
      </c>
      <c r="E699" s="25"/>
      <c r="F699" s="9" t="str">
        <f>HYPERLINK("https://www.ebi.ac.uk/ols/ontologies/uberon/terms?iri=http://purl.obolibrary.org/obo/UBERON_0006092","cuneus cortex")</f>
        <v>cuneus cortex</v>
      </c>
      <c r="G699" s="9" t="s">
        <v>1411</v>
      </c>
      <c r="H699" s="9" t="s">
        <v>23838</v>
      </c>
      <c r="I699" s="9" t="s">
        <v>1412</v>
      </c>
      <c r="J699" s="9" t="s">
        <v>1414</v>
      </c>
      <c r="K699" s="7" t="s">
        <v>15171</v>
      </c>
      <c r="L699" s="13">
        <v>4184</v>
      </c>
      <c r="M699" t="str">
        <f>VLOOKUP(L699,[1]HBA!$B$2:$C$4000,2,FALSE)</f>
        <v>Cun</v>
      </c>
    </row>
    <row r="700" spans="2:13" x14ac:dyDescent="0.25">
      <c r="B700" s="31" t="s">
        <v>25743</v>
      </c>
      <c r="C700" s="20"/>
      <c r="D700" s="25" t="s">
        <v>1416</v>
      </c>
      <c r="E700" s="25"/>
      <c r="F700" s="9" t="str">
        <f>HYPERLINK("https://www.ebi.ac.uk/ols/ontologies/uberon/terms?iri=http://purl.obolibrary.org/obo/UBERON_0002643","decussation of medial lemniscus")</f>
        <v>decussation of medial lemniscus</v>
      </c>
      <c r="G700" s="9" t="s">
        <v>1415</v>
      </c>
      <c r="H700" s="9" t="s">
        <v>24602</v>
      </c>
      <c r="I700" s="9" t="s">
        <v>1416</v>
      </c>
      <c r="J700" s="9" t="s">
        <v>1417</v>
      </c>
      <c r="K700" s="4" t="s">
        <v>15175</v>
      </c>
      <c r="L700" s="13">
        <v>12732</v>
      </c>
      <c r="M700" t="str">
        <f>VLOOKUP(L700,[1]Human_BrainSpan!$B$2:$C$4000,2,FALSE)</f>
        <v>xml</v>
      </c>
    </row>
    <row r="701" spans="2:13" x14ac:dyDescent="0.25">
      <c r="B701" s="31" t="s">
        <v>25743</v>
      </c>
      <c r="C701" s="20"/>
      <c r="D701" s="25" t="s">
        <v>1416</v>
      </c>
      <c r="E701" s="25"/>
      <c r="F701" s="9" t="str">
        <f>HYPERLINK("https://www.ebi.ac.uk/ols/ontologies/uberon/terms?iri=http://purl.obolibrary.org/obo/UBERON_0002643","decussation of medial lemniscus")</f>
        <v>decussation of medial lemniscus</v>
      </c>
      <c r="G701" s="9" t="s">
        <v>1415</v>
      </c>
      <c r="H701" s="9" t="s">
        <v>18473</v>
      </c>
      <c r="I701" s="9" t="s">
        <v>1416</v>
      </c>
      <c r="J701" s="9" t="s">
        <v>1418</v>
      </c>
      <c r="K701" s="5" t="s">
        <v>15173</v>
      </c>
      <c r="L701" s="13">
        <v>17777</v>
      </c>
      <c r="M701" t="str">
        <f>VLOOKUP(L701,[1]DevMouse!$B$2:$C$2693,2,FALSE)</f>
        <v>dml</v>
      </c>
    </row>
    <row r="702" spans="2:13" x14ac:dyDescent="0.25">
      <c r="B702" s="31" t="s">
        <v>25743</v>
      </c>
      <c r="C702" s="20"/>
      <c r="D702" s="25" t="s">
        <v>1416</v>
      </c>
      <c r="E702" s="25"/>
      <c r="F702" s="9" t="str">
        <f>HYPERLINK("https://www.ebi.ac.uk/ols/ontologies/uberon/terms?iri=http://purl.obolibrary.org/obo/UBERON_0002643","decussation of medial lemniscus")</f>
        <v>decussation of medial lemniscus</v>
      </c>
      <c r="G702" s="9" t="s">
        <v>1415</v>
      </c>
      <c r="H702" s="9" t="s">
        <v>24602</v>
      </c>
      <c r="I702" s="9" t="s">
        <v>1416</v>
      </c>
      <c r="J702" s="9" t="s">
        <v>1419</v>
      </c>
      <c r="K702" s="7" t="s">
        <v>15171</v>
      </c>
      <c r="L702" s="13">
        <v>265505622</v>
      </c>
      <c r="M702" t="str">
        <f>VLOOKUP(L702,[1]HBA!$B$2:$C$4000,2,FALSE)</f>
        <v>xml</v>
      </c>
    </row>
    <row r="703" spans="2:13" x14ac:dyDescent="0.25">
      <c r="B703" s="37" t="s">
        <v>25743</v>
      </c>
      <c r="C703" s="20"/>
      <c r="D703" s="25" t="s">
        <v>1421</v>
      </c>
      <c r="E703" s="25"/>
      <c r="F703" s="9" t="str">
        <f>HYPERLINK("https://www.ebi.ac.uk/ols/ontologies/uberon/terms?iri=http://purl.obolibrary.org/obo/UBERON_0002588","decussation of superior cerebellar peduncle")</f>
        <v>decussation of superior cerebellar peduncle</v>
      </c>
      <c r="G703" s="9" t="s">
        <v>1420</v>
      </c>
      <c r="H703" s="9" t="s">
        <v>24120</v>
      </c>
      <c r="I703" s="9" t="s">
        <v>1421</v>
      </c>
      <c r="J703" s="9" t="s">
        <v>1422</v>
      </c>
      <c r="K703" s="4" t="s">
        <v>15175</v>
      </c>
      <c r="L703" s="13">
        <v>12337</v>
      </c>
      <c r="M703" t="str">
        <f>VLOOKUP(L703,[1]Human_BrainSpan!$B$2:$C$4000,2,FALSE)</f>
        <v>xscp</v>
      </c>
    </row>
    <row r="704" spans="2:13" x14ac:dyDescent="0.25">
      <c r="B704" s="37" t="s">
        <v>25743</v>
      </c>
      <c r="C704" s="20"/>
      <c r="D704" s="25" t="s">
        <v>1421</v>
      </c>
      <c r="E704" s="25"/>
      <c r="F704" s="9" t="str">
        <f>HYPERLINK("https://www.ebi.ac.uk/ols/ontologies/uberon/terms?iri=http://purl.obolibrary.org/obo/UBERON_0002588","decussation of superior cerebellar peduncle")</f>
        <v>decussation of superior cerebellar peduncle</v>
      </c>
      <c r="G704" s="9" t="s">
        <v>1420</v>
      </c>
      <c r="H704" s="9" t="s">
        <v>24120</v>
      </c>
      <c r="I704" s="9" t="s">
        <v>1423</v>
      </c>
      <c r="J704" s="9" t="s">
        <v>1424</v>
      </c>
      <c r="K704" s="7" t="s">
        <v>15171</v>
      </c>
      <c r="L704" s="13">
        <v>265505482</v>
      </c>
      <c r="M704" t="str">
        <f>VLOOKUP(L704,[1]HBA!$B$2:$C$4000,2,FALSE)</f>
        <v>xscp</v>
      </c>
    </row>
    <row r="705" spans="2:13" x14ac:dyDescent="0.25">
      <c r="B705" s="37" t="s">
        <v>25743</v>
      </c>
      <c r="C705" s="20"/>
      <c r="D705" s="25" t="s">
        <v>1421</v>
      </c>
      <c r="E705" s="25"/>
      <c r="F705" s="9" t="str">
        <f>HYPERLINK("https://www.ebi.ac.uk/ols/ontologies/uberon/terms?iri=http://purl.obolibrary.org/obo/UBERON_0002588","decussation of superior cerebellar peduncle")</f>
        <v>decussation of superior cerebellar peduncle</v>
      </c>
      <c r="G705" s="9" t="s">
        <v>1420</v>
      </c>
      <c r="H705" s="9" t="s">
        <v>18453</v>
      </c>
      <c r="I705" s="9" t="s">
        <v>1425</v>
      </c>
      <c r="J705" s="9" t="s">
        <v>1426</v>
      </c>
      <c r="K705" s="3" t="s">
        <v>15176</v>
      </c>
      <c r="L705" s="13">
        <v>812</v>
      </c>
      <c r="M705" t="str">
        <f>VLOOKUP(L705,[1]Mouse_ARA!$B$2:$C$1328,2,FALSE)</f>
        <v>dscp</v>
      </c>
    </row>
    <row r="706" spans="2:13" x14ac:dyDescent="0.25">
      <c r="B706" s="31" t="s">
        <v>25743</v>
      </c>
      <c r="C706" s="20"/>
      <c r="D706" s="25" t="s">
        <v>25896</v>
      </c>
      <c r="E706" s="25"/>
      <c r="F706" s="9" t="str">
        <f>HYPERLINK("https://www.ebi.ac.uk/ols/ontologies/uberon/terms?iri=http://purl.obolibrary.org/obo/UBERON_0002787","decussation of trochlear nerve")</f>
        <v>decussation of trochlear nerve</v>
      </c>
      <c r="G706" s="9" t="s">
        <v>1427</v>
      </c>
      <c r="H706" s="9" t="s">
        <v>24121</v>
      </c>
      <c r="I706" s="9" t="s">
        <v>1428</v>
      </c>
      <c r="J706" s="9" t="s">
        <v>1429</v>
      </c>
      <c r="K706" s="4" t="s">
        <v>15175</v>
      </c>
      <c r="L706" s="13">
        <v>12338</v>
      </c>
      <c r="M706" t="str">
        <f>VLOOKUP(L706,[1]Human_BrainSpan!$B$2:$C$4000,2,FALSE)</f>
        <v>x4</v>
      </c>
    </row>
    <row r="707" spans="2:13" x14ac:dyDescent="0.25">
      <c r="B707" s="31" t="s">
        <v>25743</v>
      </c>
      <c r="C707" s="20"/>
      <c r="D707" s="25" t="s">
        <v>25896</v>
      </c>
      <c r="E707" s="25"/>
      <c r="F707" s="9" t="str">
        <f>HYPERLINK("https://www.ebi.ac.uk/ols/ontologies/uberon/terms?iri=http://purl.obolibrary.org/obo/UBERON_0002787","decussation of trochlear nerve")</f>
        <v>decussation of trochlear nerve</v>
      </c>
      <c r="G707" s="9" t="s">
        <v>1427</v>
      </c>
      <c r="H707" s="9" t="s">
        <v>20742</v>
      </c>
      <c r="I707" s="9" t="s">
        <v>1430</v>
      </c>
      <c r="J707" s="9" t="s">
        <v>1431</v>
      </c>
      <c r="K707" s="3" t="s">
        <v>15176</v>
      </c>
      <c r="L707" s="13">
        <v>384</v>
      </c>
      <c r="M707" t="str">
        <f>VLOOKUP(L707,[1]Mouse_ARA!$B$2:$C$1328,2,FALSE)</f>
        <v>IVd</v>
      </c>
    </row>
    <row r="708" spans="2:13" x14ac:dyDescent="0.25">
      <c r="B708" s="31" t="s">
        <v>25743</v>
      </c>
      <c r="C708" s="20"/>
      <c r="D708" s="25" t="s">
        <v>1433</v>
      </c>
      <c r="E708" s="25"/>
      <c r="F708" s="9" t="str">
        <f>HYPERLINK("https://www.ebi.ac.uk/ols/ontologies/uberon/terms?iri=http://purl.obolibrary.org/obo/UBERON_0006789","deep gray layer of superior colliculus")</f>
        <v>deep gray layer of superior colliculus</v>
      </c>
      <c r="G708" s="9" t="s">
        <v>1432</v>
      </c>
      <c r="H708" s="9" t="s">
        <v>24063</v>
      </c>
      <c r="I708" s="9" t="s">
        <v>1433</v>
      </c>
      <c r="J708" s="9" t="s">
        <v>1434</v>
      </c>
      <c r="K708" s="4" t="s">
        <v>15175</v>
      </c>
      <c r="L708" s="13">
        <v>12302</v>
      </c>
      <c r="M708" t="str">
        <f>VLOOKUP(L708,[1]Human_BrainSpan!$B$2:$C$4000,2,FALSE)</f>
        <v>SCDg</v>
      </c>
    </row>
    <row r="709" spans="2:13" x14ac:dyDescent="0.25">
      <c r="B709" s="31" t="s">
        <v>25743</v>
      </c>
      <c r="C709" s="20"/>
      <c r="D709" s="25" t="s">
        <v>1433</v>
      </c>
      <c r="E709" s="25"/>
      <c r="F709" s="9" t="str">
        <f>HYPERLINK("https://www.ebi.ac.uk/ols/ontologies/uberon/terms?iri=http://purl.obolibrary.org/obo/UBERON_0006789","deep gray layer of superior colliculus")</f>
        <v>deep gray layer of superior colliculus</v>
      </c>
      <c r="G709" s="9" t="s">
        <v>1432</v>
      </c>
      <c r="H709" s="9" t="s">
        <v>16964</v>
      </c>
      <c r="I709" s="9" t="s">
        <v>1435</v>
      </c>
      <c r="J709" s="9" t="s">
        <v>1436</v>
      </c>
      <c r="K709" s="7" t="s">
        <v>15171</v>
      </c>
      <c r="L709" s="13">
        <v>9117</v>
      </c>
      <c r="M709" t="str">
        <f>VLOOKUP(L709,[1]HBA!$B$2:$C$4000,2,FALSE)</f>
        <v>DpG</v>
      </c>
    </row>
    <row r="710" spans="2:13" x14ac:dyDescent="0.25">
      <c r="B710" s="31" t="s">
        <v>25743</v>
      </c>
      <c r="C710" s="20"/>
      <c r="D710" s="25" t="s">
        <v>25897</v>
      </c>
      <c r="E710" s="25"/>
      <c r="F710" s="9" t="str">
        <f>HYPERLINK("https://www.ebi.ac.uk/ols/ontologies/uberon/terms?iri=http://purl.obolibrary.org/obo/UBERON_0006793","deep layer of superior colliculus")</f>
        <v>deep layer of superior colliculus</v>
      </c>
      <c r="G710" s="9" t="s">
        <v>1437</v>
      </c>
      <c r="H710" s="9" t="s">
        <v>24062</v>
      </c>
      <c r="I710" s="9" t="s">
        <v>1438</v>
      </c>
      <c r="J710" s="9" t="s">
        <v>1439</v>
      </c>
      <c r="K710" s="4" t="s">
        <v>15175</v>
      </c>
      <c r="L710" s="13">
        <v>12301</v>
      </c>
      <c r="M710" t="str">
        <f>VLOOKUP(L710,[1]Human_BrainSpan!$B$2:$C$4000,2,FALSE)</f>
        <v>SCD</v>
      </c>
    </row>
    <row r="711" spans="2:13" x14ac:dyDescent="0.25">
      <c r="B711" s="31" t="s">
        <v>25743</v>
      </c>
      <c r="C711" s="20"/>
      <c r="D711" s="25" t="s">
        <v>1441</v>
      </c>
      <c r="E711" s="25"/>
      <c r="F711" s="9" t="str">
        <f>HYPERLINK("https://www.ebi.ac.uk/ols/ontologies/uberon/terms?iri=http://purl.obolibrary.org/obo/UBERON_0006790","deep white layer of superior colliculus")</f>
        <v>deep white layer of superior colliculus</v>
      </c>
      <c r="G711" s="9" t="s">
        <v>1440</v>
      </c>
      <c r="H711" s="9" t="s">
        <v>24064</v>
      </c>
      <c r="I711" s="9" t="s">
        <v>1441</v>
      </c>
      <c r="J711" s="9" t="s">
        <v>1442</v>
      </c>
      <c r="K711" s="4" t="s">
        <v>15175</v>
      </c>
      <c r="L711" s="13">
        <v>12303</v>
      </c>
      <c r="M711" t="str">
        <f>VLOOKUP(L711,[1]Human_BrainSpan!$B$2:$C$4000,2,FALSE)</f>
        <v>SCDw</v>
      </c>
    </row>
    <row r="712" spans="2:13" x14ac:dyDescent="0.25">
      <c r="B712" s="31" t="s">
        <v>25743</v>
      </c>
      <c r="C712" s="20"/>
      <c r="D712" s="25" t="s">
        <v>1441</v>
      </c>
      <c r="E712" s="25"/>
      <c r="F712" s="9" t="str">
        <f>HYPERLINK("https://www.ebi.ac.uk/ols/ontologies/uberon/terms?iri=http://purl.obolibrary.org/obo/UBERON_0006790","deep white layer of superior colliculus")</f>
        <v>deep white layer of superior colliculus</v>
      </c>
      <c r="G712" s="9" t="s">
        <v>1440</v>
      </c>
      <c r="H712" s="9" t="s">
        <v>16960</v>
      </c>
      <c r="I712" s="9" t="s">
        <v>1443</v>
      </c>
      <c r="J712" s="9" t="s">
        <v>1444</v>
      </c>
      <c r="K712" s="7" t="s">
        <v>15171</v>
      </c>
      <c r="L712" s="13">
        <v>9118</v>
      </c>
      <c r="M712" t="str">
        <f>VLOOKUP(L712,[1]HBA!$B$2:$C$4000,2,FALSE)</f>
        <v>DpWh</v>
      </c>
    </row>
    <row r="713" spans="2:13" x14ac:dyDescent="0.25">
      <c r="B713" s="31" t="s">
        <v>25743</v>
      </c>
      <c r="C713" s="20"/>
      <c r="D713" s="25" t="s">
        <v>25898</v>
      </c>
      <c r="E713" s="25"/>
      <c r="F713" s="9" t="str">
        <f>HYPERLINK("https://www.ebi.ac.uk/ols/ontologies/uberon/terms?iri=http://purl.obolibrary.org/obo/UBERON_0002645","densocellular part of medial dorsal nucleus")</f>
        <v>densocellular part of medial dorsal nucleus</v>
      </c>
      <c r="G713" s="9" t="s">
        <v>1445</v>
      </c>
      <c r="H713" s="9" t="s">
        <v>23303</v>
      </c>
      <c r="I713" s="9" t="s">
        <v>1446</v>
      </c>
      <c r="J713" s="9" t="s">
        <v>1447</v>
      </c>
      <c r="K713" s="4" t="s">
        <v>15175</v>
      </c>
      <c r="L713" s="13">
        <v>10399</v>
      </c>
      <c r="M713" t="str">
        <f>VLOOKUP(L713,[1]Human_BrainSpan!$B$2:$C$4000,2,FALSE)</f>
        <v>MDd</v>
      </c>
    </row>
    <row r="714" spans="2:13" x14ac:dyDescent="0.25">
      <c r="B714" s="31" t="s">
        <v>25743</v>
      </c>
      <c r="C714" s="20"/>
      <c r="D714" s="25" t="s">
        <v>25898</v>
      </c>
      <c r="E714" s="25"/>
      <c r="F714" s="9" t="str">
        <f>HYPERLINK("https://www.ebi.ac.uk/ols/ontologies/uberon/terms?iri=http://purl.obolibrary.org/obo/UBERON_0002645","densocellular part of medial dorsal nucleus")</f>
        <v>densocellular part of medial dorsal nucleus</v>
      </c>
      <c r="G714" s="9" t="s">
        <v>1445</v>
      </c>
      <c r="H714" s="9" t="s">
        <v>23303</v>
      </c>
      <c r="I714" s="9" t="s">
        <v>1448</v>
      </c>
      <c r="J714" s="9" t="s">
        <v>1449</v>
      </c>
      <c r="K714" s="7" t="s">
        <v>15171</v>
      </c>
      <c r="L714" s="13">
        <v>4404</v>
      </c>
      <c r="M714" t="str">
        <f>VLOOKUP(L714,[1]HBA!$B$2:$C$4000,2,FALSE)</f>
        <v>MDd</v>
      </c>
    </row>
    <row r="715" spans="2:13" x14ac:dyDescent="0.25">
      <c r="B715" s="31" t="s">
        <v>25743</v>
      </c>
      <c r="C715" s="20"/>
      <c r="D715" s="25" t="s">
        <v>25899</v>
      </c>
      <c r="E715" s="25"/>
      <c r="F715" s="9" t="str">
        <f>HYPERLINK("https://www.ebi.ac.uk/ols/ontologies/uberon/terms?iri=http://purl.obolibrary.org/obo/UBERON_0005381","dentate gyrus granule cell layer")</f>
        <v>dentate gyrus granule cell layer</v>
      </c>
      <c r="G715" s="9" t="s">
        <v>1450</v>
      </c>
      <c r="H715" s="9" t="s">
        <v>15922</v>
      </c>
      <c r="I715" s="9" t="s">
        <v>1451</v>
      </c>
      <c r="J715" s="9" t="s">
        <v>1452</v>
      </c>
      <c r="K715" s="5" t="s">
        <v>15173</v>
      </c>
      <c r="L715" s="13">
        <v>16122</v>
      </c>
      <c r="M715" t="str">
        <f>VLOOKUP(L715,[1]DevMouse!$B$2:$C$2693,2,FALSE)</f>
        <v>DGGran</v>
      </c>
    </row>
    <row r="716" spans="2:13" x14ac:dyDescent="0.25">
      <c r="B716" s="31" t="s">
        <v>25743</v>
      </c>
      <c r="C716" s="20"/>
      <c r="D716" s="25" t="s">
        <v>25899</v>
      </c>
      <c r="E716" s="25"/>
      <c r="F716" s="9" t="str">
        <f>HYPERLINK("https://www.ebi.ac.uk/ols/ontologies/uberon/terms?iri=http://purl.obolibrary.org/obo/UBERON_0005381","dentate gyrus granule cell layer")</f>
        <v>dentate gyrus granule cell layer</v>
      </c>
      <c r="G716" s="9" t="s">
        <v>1450</v>
      </c>
      <c r="H716" s="9" t="s">
        <v>19554</v>
      </c>
      <c r="I716" s="9" t="s">
        <v>1453</v>
      </c>
      <c r="J716" s="9" t="s">
        <v>1454</v>
      </c>
      <c r="K716" s="3" t="s">
        <v>15176</v>
      </c>
      <c r="L716" s="13">
        <v>632</v>
      </c>
      <c r="M716" t="str">
        <f>VLOOKUP(L716,[1]Mouse_ARA!$B$2:$C$1328,2,FALSE)</f>
        <v>DG-sg</v>
      </c>
    </row>
    <row r="717" spans="2:13" x14ac:dyDescent="0.25">
      <c r="B717" s="31" t="s">
        <v>25743</v>
      </c>
      <c r="C717" s="20"/>
      <c r="D717" s="25" t="s">
        <v>25900</v>
      </c>
      <c r="E717" s="25"/>
      <c r="F717" s="9" t="str">
        <f>HYPERLINK("https://www.ebi.ac.uk/ols/ontologies/uberon/terms?iri=http://purl.obolibrary.org/obo/UBERON_0004679","dentate gyrus molecular layer")</f>
        <v>dentate gyrus molecular layer</v>
      </c>
      <c r="G717" s="9" t="s">
        <v>1455</v>
      </c>
      <c r="H717" s="9" t="s">
        <v>19550</v>
      </c>
      <c r="I717" s="9" t="s">
        <v>1456</v>
      </c>
      <c r="J717" s="9" t="s">
        <v>1457</v>
      </c>
      <c r="K717" s="3" t="s">
        <v>15176</v>
      </c>
      <c r="L717" s="13">
        <v>10703</v>
      </c>
      <c r="M717" t="str">
        <f>VLOOKUP(L717,[1]Mouse_ARA!$B$2:$C$1328,2,FALSE)</f>
        <v>DG-mo</v>
      </c>
    </row>
    <row r="718" spans="2:13" x14ac:dyDescent="0.25">
      <c r="B718" s="31" t="s">
        <v>25743</v>
      </c>
      <c r="C718" s="20"/>
      <c r="D718" s="25" t="s">
        <v>25901</v>
      </c>
      <c r="E718" s="25"/>
      <c r="F718" s="9" t="str">
        <f>HYPERLINK("https://www.ebi.ac.uk/ols/ontologies/uberon/terms?iri=http://purl.obolibrary.org/obo/UBERON_0001885","dentate gyrus of hippocampal formation")</f>
        <v>dentate gyrus of hippocampal formation</v>
      </c>
      <c r="G718" s="9" t="s">
        <v>1458</v>
      </c>
      <c r="H718" s="9" t="s">
        <v>15915</v>
      </c>
      <c r="I718" s="9" t="s">
        <v>1459</v>
      </c>
      <c r="J718" s="9" t="s">
        <v>1460</v>
      </c>
      <c r="K718" s="4" t="s">
        <v>15175</v>
      </c>
      <c r="L718" s="13">
        <v>10295</v>
      </c>
      <c r="M718" t="str">
        <f>VLOOKUP(L718,[1]Human_BrainSpan!$B$2:$C$4000,2,FALSE)</f>
        <v>DG</v>
      </c>
    </row>
    <row r="719" spans="2:13" x14ac:dyDescent="0.25">
      <c r="B719" s="31" t="s">
        <v>25743</v>
      </c>
      <c r="C719" s="20"/>
      <c r="D719" s="25" t="s">
        <v>25901</v>
      </c>
      <c r="E719" s="25"/>
      <c r="F719" s="9" t="str">
        <f>HYPERLINK("https://www.ebi.ac.uk/ols/ontologies/uberon/terms?iri=http://purl.obolibrary.org/obo/UBERON_0001885","dentate gyrus of hippocampal formation")</f>
        <v>dentate gyrus of hippocampal formation</v>
      </c>
      <c r="G719" s="9" t="s">
        <v>1458</v>
      </c>
      <c r="H719" s="9" t="s">
        <v>15915</v>
      </c>
      <c r="I719" s="9" t="s">
        <v>1461</v>
      </c>
      <c r="J719" s="9" t="s">
        <v>1462</v>
      </c>
      <c r="K719" s="5" t="s">
        <v>15173</v>
      </c>
      <c r="L719" s="13">
        <v>16115</v>
      </c>
      <c r="M719" t="str">
        <f>VLOOKUP(L719,[1]DevMouse!$B$2:$C$2693,2,FALSE)</f>
        <v>DG</v>
      </c>
    </row>
    <row r="720" spans="2:13" x14ac:dyDescent="0.25">
      <c r="B720" s="31" t="s">
        <v>25743</v>
      </c>
      <c r="C720" s="20"/>
      <c r="D720" s="25" t="s">
        <v>25901</v>
      </c>
      <c r="E720" s="25"/>
      <c r="F720" s="9" t="str">
        <f>HYPERLINK("https://www.ebi.ac.uk/ols/ontologies/uberon/terms?iri=http://purl.obolibrary.org/obo/UBERON_0001885","dentate gyrus of hippocampal formation")</f>
        <v>dentate gyrus of hippocampal formation</v>
      </c>
      <c r="G720" s="9" t="s">
        <v>1458</v>
      </c>
      <c r="H720" s="9" t="s">
        <v>15915</v>
      </c>
      <c r="I720" s="9" t="s">
        <v>1461</v>
      </c>
      <c r="J720" s="9" t="s">
        <v>1463</v>
      </c>
      <c r="K720" s="7" t="s">
        <v>15171</v>
      </c>
      <c r="L720" s="13">
        <v>12891</v>
      </c>
      <c r="M720" t="str">
        <f>VLOOKUP(L720,[1]HBA!$B$2:$C$4000,2,FALSE)</f>
        <v>DG</v>
      </c>
    </row>
    <row r="721" spans="2:13" x14ac:dyDescent="0.25">
      <c r="B721" s="31" t="s">
        <v>25743</v>
      </c>
      <c r="C721" s="20"/>
      <c r="D721" s="25" t="s">
        <v>25901</v>
      </c>
      <c r="E721" s="25"/>
      <c r="F721" s="9" t="str">
        <f>HYPERLINK("https://www.ebi.ac.uk/ols/ontologies/uberon/terms?iri=http://purl.obolibrary.org/obo/UBERON_0001885","dentate gyrus of hippocampal formation")</f>
        <v>dentate gyrus of hippocampal formation</v>
      </c>
      <c r="G721" s="9" t="s">
        <v>1458</v>
      </c>
      <c r="H721" s="9" t="s">
        <v>15915</v>
      </c>
      <c r="I721" s="9" t="s">
        <v>1461</v>
      </c>
      <c r="J721" s="9" t="s">
        <v>1464</v>
      </c>
      <c r="K721" s="3" t="s">
        <v>15176</v>
      </c>
      <c r="L721" s="13">
        <v>726</v>
      </c>
      <c r="M721" t="str">
        <f>VLOOKUP(L721,[1]Mouse_ARA!$B$2:$C$1328,2,FALSE)</f>
        <v>DG</v>
      </c>
    </row>
    <row r="722" spans="2:13" x14ac:dyDescent="0.25">
      <c r="B722" s="31" t="s">
        <v>25743</v>
      </c>
      <c r="C722" s="20"/>
      <c r="D722" s="25" t="s">
        <v>25902</v>
      </c>
      <c r="E722" s="25"/>
      <c r="F722" s="9" t="str">
        <f>HYPERLINK("https://www.ebi.ac.uk/ols/ontologies/uberon/terms?iri=http://purl.obolibrary.org/obo/UBERON_0002928","dentate gyrus polymorphic layer")</f>
        <v>dentate gyrus polymorphic layer</v>
      </c>
      <c r="G722" s="9" t="s">
        <v>1465</v>
      </c>
      <c r="H722" s="9" t="s">
        <v>19552</v>
      </c>
      <c r="I722" s="9" t="s">
        <v>1466</v>
      </c>
      <c r="J722" s="9" t="s">
        <v>1467</v>
      </c>
      <c r="K722" s="3" t="s">
        <v>15176</v>
      </c>
      <c r="L722" s="13">
        <v>10704</v>
      </c>
      <c r="M722" t="str">
        <f>VLOOKUP(L722,[1]Mouse_ARA!$B$2:$C$1328,2,FALSE)</f>
        <v>DG-po</v>
      </c>
    </row>
    <row r="723" spans="2:13" x14ac:dyDescent="0.25">
      <c r="B723" s="31" t="s">
        <v>25743</v>
      </c>
      <c r="C723" s="20"/>
      <c r="D723" s="25" t="s">
        <v>25903</v>
      </c>
      <c r="E723" s="25"/>
      <c r="F723" s="9" t="str">
        <f>HYPERLINK("https://www.ebi.ac.uk/ols/ontologies/uberon/terms?iri=http://purl.obolibrary.org/obo/UBERON_0009952","dentate gyrus subgranular zone")</f>
        <v>dentate gyrus subgranular zone</v>
      </c>
      <c r="G723" s="9" t="s">
        <v>1468</v>
      </c>
      <c r="H723" s="9" t="s">
        <v>19556</v>
      </c>
      <c r="I723" s="9" t="s">
        <v>1469</v>
      </c>
      <c r="J723" s="9" t="s">
        <v>1470</v>
      </c>
      <c r="K723" s="3" t="s">
        <v>15176</v>
      </c>
      <c r="L723" s="13">
        <v>10702</v>
      </c>
      <c r="M723" t="str">
        <f>VLOOKUP(L723,[1]Mouse_ARA!$B$2:$C$1328,2,FALSE)</f>
        <v>DG-sgz</v>
      </c>
    </row>
    <row r="724" spans="2:13" x14ac:dyDescent="0.25">
      <c r="B724" s="31" t="s">
        <v>25743</v>
      </c>
      <c r="C724" s="20"/>
      <c r="D724" s="25" t="s">
        <v>1472</v>
      </c>
      <c r="E724" s="25"/>
      <c r="F724" s="9" t="str">
        <f>HYPERLINK("https://www.ebi.ac.uk/ols/ontologies/uberon/terms?iri=http://purl.obolibrary.org/obo/UBERON_0002132","dentate nucleus")</f>
        <v>dentate nucleus</v>
      </c>
      <c r="G724" s="9" t="s">
        <v>1471</v>
      </c>
      <c r="H724" s="9" t="s">
        <v>25428</v>
      </c>
      <c r="I724" s="9" t="s">
        <v>1472</v>
      </c>
      <c r="J724" s="9" t="s">
        <v>1473</v>
      </c>
      <c r="K724" s="7" t="s">
        <v>15171</v>
      </c>
      <c r="L724" s="13">
        <v>12946</v>
      </c>
      <c r="M724" t="str">
        <f>VLOOKUP(L724,[1]HBA!$B$2:$C$4000,2,FALSE)</f>
        <v>Dt</v>
      </c>
    </row>
    <row r="725" spans="2:13" x14ac:dyDescent="0.25">
      <c r="B725" s="31" t="s">
        <v>25743</v>
      </c>
      <c r="C725" s="20"/>
      <c r="D725" s="25" t="s">
        <v>1472</v>
      </c>
      <c r="E725" s="25"/>
      <c r="F725" s="9" t="str">
        <f>HYPERLINK("https://www.ebi.ac.uk/ols/ontologies/uberon/terms?iri=http://purl.obolibrary.org/obo/UBERON_0002132","dentate nucleus")</f>
        <v>dentate nucleus</v>
      </c>
      <c r="G725" s="9" t="s">
        <v>1471</v>
      </c>
      <c r="H725" s="9" t="s">
        <v>20718</v>
      </c>
      <c r="I725" s="9" t="s">
        <v>1472</v>
      </c>
      <c r="J725" s="9" t="s">
        <v>1474</v>
      </c>
      <c r="K725" s="3" t="s">
        <v>15176</v>
      </c>
      <c r="L725" s="13">
        <v>846</v>
      </c>
      <c r="M725" t="str">
        <f>VLOOKUP(L725,[1]Mouse_ARA!$B$2:$C$1328,2,FALSE)</f>
        <v>DN</v>
      </c>
    </row>
    <row r="726" spans="2:13" x14ac:dyDescent="0.25">
      <c r="B726" s="31" t="s">
        <v>25743</v>
      </c>
      <c r="C726" s="20"/>
      <c r="D726" s="25" t="s">
        <v>1476</v>
      </c>
      <c r="E726" s="25"/>
      <c r="F726" s="9" t="str">
        <f>HYPERLINK("https://www.ebi.ac.uk/ols/ontologies/uberon/terms?iri=http://purl.obolibrary.org/obo/UBERON_0002594","dentatothalamic tract")</f>
        <v>dentatothalamic tract</v>
      </c>
      <c r="G726" s="9" t="s">
        <v>1475</v>
      </c>
      <c r="H726" s="9" t="s">
        <v>24154</v>
      </c>
      <c r="I726" s="9" t="s">
        <v>1476</v>
      </c>
      <c r="J726" s="9" t="s">
        <v>1477</v>
      </c>
      <c r="K726" s="4" t="s">
        <v>15175</v>
      </c>
      <c r="L726" s="13">
        <v>12357</v>
      </c>
      <c r="M726" t="str">
        <f>VLOOKUP(L726,[1]Human_BrainSpan!$B$2:$C$4000,2,FALSE)</f>
        <v>dtth</v>
      </c>
    </row>
    <row r="727" spans="2:13" x14ac:dyDescent="0.25">
      <c r="B727" s="31" t="s">
        <v>26299</v>
      </c>
      <c r="C727" s="20"/>
      <c r="D727" s="25" t="s">
        <v>25904</v>
      </c>
      <c r="E727" s="25"/>
      <c r="F727" s="9" t="str">
        <f>HYPERLINK("https://www.ebi.ac.uk/ols/ontologies/uberon/terms?iri=http://purl.obolibrary.org/obo/UBERON_0002741","diagonal band of Broca")</f>
        <v>diagonal band of Broca</v>
      </c>
      <c r="G727" s="9" t="s">
        <v>1478</v>
      </c>
      <c r="H727" s="9" t="s">
        <v>23570</v>
      </c>
      <c r="I727" s="9" t="s">
        <v>1479</v>
      </c>
      <c r="J727" s="9" t="s">
        <v>1480</v>
      </c>
      <c r="K727" s="4" t="s">
        <v>15175</v>
      </c>
      <c r="L727" s="13">
        <v>12034</v>
      </c>
      <c r="M727" t="str">
        <f>VLOOKUP(L727,[1]Human_BrainSpan!$B$2:$C$4000,2,FALSE)</f>
        <v>dib</v>
      </c>
    </row>
    <row r="728" spans="2:13" x14ac:dyDescent="0.25">
      <c r="B728" s="31" t="s">
        <v>26303</v>
      </c>
      <c r="C728" s="25" t="s">
        <v>702</v>
      </c>
      <c r="D728" s="25" t="s">
        <v>25905</v>
      </c>
      <c r="E728" s="25"/>
      <c r="F728" s="9" t="str">
        <f t="shared" ref="F728:F738" si="9">HYPERLINK("https://www.ebi.ac.uk/ols/ontologies/uberon/terms?iri=http://purl.obolibrary.org/obo/UBERON_0006569","diencephalic nucleus")</f>
        <v>diencephalic nucleus</v>
      </c>
      <c r="G728" s="9" t="s">
        <v>1481</v>
      </c>
      <c r="H728" s="9" t="s">
        <v>16764</v>
      </c>
      <c r="I728" s="9" t="s">
        <v>702</v>
      </c>
      <c r="J728" s="9" t="s">
        <v>703</v>
      </c>
      <c r="K728" s="5" t="s">
        <v>15173</v>
      </c>
      <c r="L728" s="13">
        <v>16585</v>
      </c>
      <c r="M728" t="str">
        <f>VLOOKUP(L728,[1]DevMouse!$B$2:$C$2693,2,FALSE)</f>
        <v>MPT</v>
      </c>
    </row>
    <row r="729" spans="2:13" x14ac:dyDescent="0.25">
      <c r="B729" s="31" t="s">
        <v>26303</v>
      </c>
      <c r="C729" s="25" t="s">
        <v>702</v>
      </c>
      <c r="D729" s="25" t="s">
        <v>25905</v>
      </c>
      <c r="E729" s="25"/>
      <c r="F729" s="9" t="str">
        <f t="shared" si="9"/>
        <v>diencephalic nucleus</v>
      </c>
      <c r="G729" s="9" t="s">
        <v>1481</v>
      </c>
      <c r="H729" s="9" t="s">
        <v>16765</v>
      </c>
      <c r="I729" s="9" t="s">
        <v>704</v>
      </c>
      <c r="J729" s="9" t="s">
        <v>705</v>
      </c>
      <c r="K729" s="5" t="s">
        <v>15173</v>
      </c>
      <c r="L729" s="13">
        <v>16586</v>
      </c>
      <c r="M729" t="str">
        <f>VLOOKUP(L729,[1]DevMouse!$B$2:$C$2693,2,FALSE)</f>
        <v>PrPT</v>
      </c>
    </row>
    <row r="730" spans="2:13" x14ac:dyDescent="0.25">
      <c r="B730" s="31" t="s">
        <v>26303</v>
      </c>
      <c r="C730" s="25" t="s">
        <v>706</v>
      </c>
      <c r="D730" s="25" t="s">
        <v>25905</v>
      </c>
      <c r="E730" s="25"/>
      <c r="F730" s="9" t="str">
        <f t="shared" si="9"/>
        <v>diencephalic nucleus</v>
      </c>
      <c r="G730" s="9" t="s">
        <v>1481</v>
      </c>
      <c r="H730" s="9" t="s">
        <v>16770</v>
      </c>
      <c r="I730" s="9" t="s">
        <v>706</v>
      </c>
      <c r="J730" s="9" t="s">
        <v>707</v>
      </c>
      <c r="K730" s="5" t="s">
        <v>15173</v>
      </c>
      <c r="L730" s="13">
        <v>16589</v>
      </c>
      <c r="M730" t="str">
        <f>VLOOKUP(L730,[1]DevMouse!$B$2:$C$2693,2,FALSE)</f>
        <v>OPT</v>
      </c>
    </row>
    <row r="731" spans="2:13" x14ac:dyDescent="0.25">
      <c r="B731" s="31" t="s">
        <v>26303</v>
      </c>
      <c r="C731" s="25" t="s">
        <v>25908</v>
      </c>
      <c r="D731" s="25" t="s">
        <v>25905</v>
      </c>
      <c r="E731" s="25"/>
      <c r="F731" s="9" t="str">
        <f t="shared" si="9"/>
        <v>diencephalic nucleus</v>
      </c>
      <c r="G731" s="9" t="s">
        <v>1481</v>
      </c>
      <c r="H731" s="9" t="s">
        <v>16771</v>
      </c>
      <c r="I731" s="9" t="s">
        <v>708</v>
      </c>
      <c r="J731" s="9" t="s">
        <v>709</v>
      </c>
      <c r="K731" s="5" t="s">
        <v>15173</v>
      </c>
      <c r="L731" s="13">
        <v>16590</v>
      </c>
      <c r="M731" t="str">
        <f>VLOOKUP(L731,[1]DevMouse!$B$2:$C$2693,2,FALSE)</f>
        <v>DT</v>
      </c>
    </row>
    <row r="732" spans="2:13" x14ac:dyDescent="0.25">
      <c r="B732" s="31" t="s">
        <v>26303</v>
      </c>
      <c r="C732" s="25" t="s">
        <v>710</v>
      </c>
      <c r="D732" s="25" t="s">
        <v>25905</v>
      </c>
      <c r="E732" s="25"/>
      <c r="F732" s="9" t="str">
        <f t="shared" si="9"/>
        <v>diencephalic nucleus</v>
      </c>
      <c r="G732" s="9" t="s">
        <v>1481</v>
      </c>
      <c r="H732" s="9" t="s">
        <v>16786</v>
      </c>
      <c r="I732" s="9" t="s">
        <v>710</v>
      </c>
      <c r="J732" s="9" t="s">
        <v>711</v>
      </c>
      <c r="K732" s="5" t="s">
        <v>15173</v>
      </c>
      <c r="L732" s="13">
        <v>16598</v>
      </c>
      <c r="M732" t="str">
        <f>VLOOKUP(L732,[1]DevMouse!$B$2:$C$2693,2,FALSE)</f>
        <v>IPT</v>
      </c>
    </row>
    <row r="733" spans="2:13" x14ac:dyDescent="0.25">
      <c r="B733" s="31" t="s">
        <v>26303</v>
      </c>
      <c r="C733" s="25" t="s">
        <v>26273</v>
      </c>
      <c r="D733" s="25" t="s">
        <v>25905</v>
      </c>
      <c r="E733" s="25"/>
      <c r="F733" s="9" t="str">
        <f t="shared" si="9"/>
        <v>diencephalic nucleus</v>
      </c>
      <c r="G733" s="9" t="s">
        <v>1481</v>
      </c>
      <c r="H733" s="9" t="s">
        <v>16849</v>
      </c>
      <c r="I733" s="9" t="s">
        <v>1482</v>
      </c>
      <c r="J733" s="9" t="s">
        <v>1483</v>
      </c>
      <c r="K733" s="5" t="s">
        <v>15173</v>
      </c>
      <c r="L733" s="13">
        <v>16629</v>
      </c>
      <c r="M733" t="str">
        <f>VLOOKUP(L733,[1]DevMouse!$B$2:$C$2693,2,FALSE)</f>
        <v>Dk</v>
      </c>
    </row>
    <row r="734" spans="2:13" x14ac:dyDescent="0.25">
      <c r="B734" s="31" t="s">
        <v>26303</v>
      </c>
      <c r="C734" s="25" t="s">
        <v>26273</v>
      </c>
      <c r="D734" s="25" t="s">
        <v>25905</v>
      </c>
      <c r="E734" s="25"/>
      <c r="F734" s="9" t="str">
        <f t="shared" si="9"/>
        <v>diencephalic nucleus</v>
      </c>
      <c r="G734" s="9" t="s">
        <v>1481</v>
      </c>
      <c r="H734" s="9" t="s">
        <v>20225</v>
      </c>
      <c r="I734" s="9" t="s">
        <v>1482</v>
      </c>
      <c r="J734" s="9" t="s">
        <v>1484</v>
      </c>
      <c r="K734" s="3" t="s">
        <v>15176</v>
      </c>
      <c r="L734" s="13">
        <v>587</v>
      </c>
      <c r="M734" t="str">
        <f>VLOOKUP(L734,[1]Mouse_ARA!$B$2:$C$1328,2,FALSE)</f>
        <v>ND</v>
      </c>
    </row>
    <row r="735" spans="2:13" x14ac:dyDescent="0.25">
      <c r="B735" s="31" t="s">
        <v>26303</v>
      </c>
      <c r="C735" s="25" t="s">
        <v>26058</v>
      </c>
      <c r="D735" s="25" t="s">
        <v>25905</v>
      </c>
      <c r="E735" s="25"/>
      <c r="F735" s="9" t="str">
        <f t="shared" si="9"/>
        <v>diencephalic nucleus</v>
      </c>
      <c r="G735" s="9" t="s">
        <v>1481</v>
      </c>
      <c r="H735" s="9" t="s">
        <v>20234</v>
      </c>
      <c r="I735" s="9" t="s">
        <v>812</v>
      </c>
      <c r="J735" s="9" t="s">
        <v>813</v>
      </c>
      <c r="K735" s="3" t="s">
        <v>15176</v>
      </c>
      <c r="L735" s="13">
        <v>628</v>
      </c>
      <c r="M735" t="str">
        <f>VLOOKUP(L735,[1]Mouse_ARA!$B$2:$C$1328,2,FALSE)</f>
        <v>NOT</v>
      </c>
    </row>
    <row r="736" spans="2:13" x14ac:dyDescent="0.25">
      <c r="B736" s="31" t="s">
        <v>25743</v>
      </c>
      <c r="C736" s="20"/>
      <c r="D736" s="25" t="s">
        <v>25905</v>
      </c>
      <c r="E736" s="25"/>
      <c r="F736" s="9" t="str">
        <f t="shared" si="9"/>
        <v>diencephalic nucleus</v>
      </c>
      <c r="G736" s="9" t="s">
        <v>1481</v>
      </c>
      <c r="H736" s="9" t="s">
        <v>20236</v>
      </c>
      <c r="I736" s="9" t="s">
        <v>1485</v>
      </c>
      <c r="J736" s="9" t="s">
        <v>1486</v>
      </c>
      <c r="K736" s="3" t="s">
        <v>15176</v>
      </c>
      <c r="L736" s="13">
        <v>634</v>
      </c>
      <c r="M736" t="str">
        <f>VLOOKUP(L736,[1]Mouse_ARA!$B$2:$C$1328,2,FALSE)</f>
        <v>NPC</v>
      </c>
    </row>
    <row r="737" spans="2:13" x14ac:dyDescent="0.25">
      <c r="B737" s="31" t="s">
        <v>26303</v>
      </c>
      <c r="C737" s="25" t="s">
        <v>706</v>
      </c>
      <c r="D737" s="25" t="s">
        <v>25905</v>
      </c>
      <c r="E737" s="25"/>
      <c r="F737" s="9" t="str">
        <f t="shared" si="9"/>
        <v>diencephalic nucleus</v>
      </c>
      <c r="G737" s="9" t="s">
        <v>1481</v>
      </c>
      <c r="H737" s="9" t="s">
        <v>20238</v>
      </c>
      <c r="I737" s="9" t="s">
        <v>706</v>
      </c>
      <c r="J737" s="9" t="s">
        <v>819</v>
      </c>
      <c r="K737" s="3" t="s">
        <v>15176</v>
      </c>
      <c r="L737" s="13">
        <v>706</v>
      </c>
      <c r="M737" t="str">
        <f>VLOOKUP(L737,[1]Mouse_ARA!$B$2:$C$1328,2,FALSE)</f>
        <v>OP</v>
      </c>
    </row>
    <row r="738" spans="2:13" x14ac:dyDescent="0.25">
      <c r="B738" s="31" t="s">
        <v>26303</v>
      </c>
      <c r="C738" s="25" t="s">
        <v>25908</v>
      </c>
      <c r="D738" s="25" t="s">
        <v>25905</v>
      </c>
      <c r="E738" s="25"/>
      <c r="F738" s="9" t="str">
        <f t="shared" si="9"/>
        <v>diencephalic nucleus</v>
      </c>
      <c r="G738" s="9" t="s">
        <v>1481</v>
      </c>
      <c r="H738" s="9" t="s">
        <v>16771</v>
      </c>
      <c r="I738" s="9" t="s">
        <v>708</v>
      </c>
      <c r="J738" s="9" t="s">
        <v>826</v>
      </c>
      <c r="K738" s="3" t="s">
        <v>15176</v>
      </c>
      <c r="L738" s="13">
        <v>75</v>
      </c>
      <c r="M738" t="str">
        <f>VLOOKUP(L738,[1]Mouse_ARA!$B$2:$C$1328,2,FALSE)</f>
        <v>DT</v>
      </c>
    </row>
    <row r="739" spans="2:13" x14ac:dyDescent="0.25">
      <c r="B739" s="31" t="s">
        <v>25743</v>
      </c>
      <c r="C739" s="20"/>
      <c r="D739" s="25" t="s">
        <v>1488</v>
      </c>
      <c r="E739" s="25"/>
      <c r="F739" s="9" t="str">
        <f>HYPERLINK("https://www.ebi.ac.uk/ols/ontologies/uberon/terms?iri=http://purl.obolibrary.org/obo/UBERON_0001894","diencephalon")</f>
        <v>diencephalon</v>
      </c>
      <c r="G739" s="9" t="s">
        <v>1487</v>
      </c>
      <c r="H739" s="9" t="s">
        <v>23297</v>
      </c>
      <c r="I739" s="9" t="s">
        <v>1488</v>
      </c>
      <c r="J739" s="9" t="s">
        <v>1489</v>
      </c>
      <c r="K739" s="4" t="s">
        <v>15175</v>
      </c>
      <c r="L739" s="13">
        <v>10389</v>
      </c>
      <c r="M739" t="str">
        <f>VLOOKUP(L739,[1]Human_BrainSpan!$B$2:$C$4000,2,FALSE)</f>
        <v>Die</v>
      </c>
    </row>
    <row r="740" spans="2:13" x14ac:dyDescent="0.25">
      <c r="B740" s="31" t="s">
        <v>25743</v>
      </c>
      <c r="C740" s="20"/>
      <c r="D740" s="25" t="s">
        <v>1488</v>
      </c>
      <c r="E740" s="25"/>
      <c r="F740" s="9" t="str">
        <f>HYPERLINK("https://www.ebi.ac.uk/ols/ontologies/uberon/terms?iri=http://purl.obolibrary.org/obo/UBERON_0001894","diencephalon")</f>
        <v>diencephalon</v>
      </c>
      <c r="G740" s="9" t="s">
        <v>1487</v>
      </c>
      <c r="H740" s="9" t="s">
        <v>16210</v>
      </c>
      <c r="I740" s="9" t="s">
        <v>1488</v>
      </c>
      <c r="J740" s="9" t="s">
        <v>1490</v>
      </c>
      <c r="K740" s="5" t="s">
        <v>15173</v>
      </c>
      <c r="L740" s="13">
        <v>16308</v>
      </c>
      <c r="M740" t="str">
        <f>VLOOKUP(L740,[1]DevMouse!$B$2:$C$2693,2,FALSE)</f>
        <v>D</v>
      </c>
    </row>
    <row r="741" spans="2:13" x14ac:dyDescent="0.25">
      <c r="B741" s="31" t="s">
        <v>25743</v>
      </c>
      <c r="C741" s="20"/>
      <c r="D741" s="25" t="s">
        <v>1488</v>
      </c>
      <c r="E741" s="25"/>
      <c r="F741" s="9" t="str">
        <f>HYPERLINK("https://www.ebi.ac.uk/ols/ontologies/uberon/terms?iri=http://purl.obolibrary.org/obo/UBERON_0001894","diencephalon")</f>
        <v>diencephalon</v>
      </c>
      <c r="G741" s="9" t="s">
        <v>1487</v>
      </c>
      <c r="H741" s="9" t="s">
        <v>24906</v>
      </c>
      <c r="I741" s="9" t="s">
        <v>1488</v>
      </c>
      <c r="J741" s="9" t="s">
        <v>1491</v>
      </c>
      <c r="K741" s="7" t="s">
        <v>15171</v>
      </c>
      <c r="L741" s="13">
        <v>4391</v>
      </c>
      <c r="M741" t="str">
        <f>VLOOKUP(L741,[1]HBA!$B$2:$C$4000,2,FALSE)</f>
        <v>DiE</v>
      </c>
    </row>
    <row r="742" spans="2:13" x14ac:dyDescent="0.25">
      <c r="B742" s="31" t="s">
        <v>25743</v>
      </c>
      <c r="C742" s="20"/>
      <c r="D742" s="25" t="s">
        <v>1488</v>
      </c>
      <c r="E742" s="25"/>
      <c r="F742" s="9" t="str">
        <f>HYPERLINK("https://www.ebi.ac.uk/ols/ontologies/uberon/terms?iri=http://purl.obolibrary.org/obo/UBERON_0001894","diencephalon")</f>
        <v>diencephalon</v>
      </c>
      <c r="G742" s="9" t="s">
        <v>1487</v>
      </c>
      <c r="H742" s="9" t="s">
        <v>18331</v>
      </c>
      <c r="I742" s="9" t="s">
        <v>1492</v>
      </c>
      <c r="J742" s="9" t="s">
        <v>1493</v>
      </c>
      <c r="K742" s="3" t="s">
        <v>15176</v>
      </c>
      <c r="L742" s="13">
        <v>1129</v>
      </c>
      <c r="M742" t="str">
        <f>VLOOKUP(L742,[1]Mouse_ARA!$B$2:$C$1328,2,FALSE)</f>
        <v>IB</v>
      </c>
    </row>
    <row r="743" spans="2:13" x14ac:dyDescent="0.25">
      <c r="B743" s="31" t="s">
        <v>25743</v>
      </c>
      <c r="C743" s="20"/>
      <c r="D743" s="25" t="s">
        <v>1488</v>
      </c>
      <c r="E743" s="25"/>
      <c r="F743" s="9" t="str">
        <f>HYPERLINK("https://www.ebi.ac.uk/ols/ontologies/uberon/terms?iri=http://purl.obolibrary.org/obo/UBERON_0001894","diencephalon")</f>
        <v>diencephalon</v>
      </c>
      <c r="G743" s="9" t="s">
        <v>1487</v>
      </c>
      <c r="H743" s="9" t="s">
        <v>23297</v>
      </c>
      <c r="I743" s="9" t="s">
        <v>1488</v>
      </c>
      <c r="J743" s="9" t="s">
        <v>1494</v>
      </c>
      <c r="K743" s="6" t="s">
        <v>15174</v>
      </c>
      <c r="L743" s="13">
        <v>128013010</v>
      </c>
      <c r="M743" t="str">
        <f>VLOOKUP(L743,[1]NonHumanPrimate!$B$2:$C$4000,2,FALSE)</f>
        <v>Die</v>
      </c>
    </row>
    <row r="744" spans="2:13" x14ac:dyDescent="0.25">
      <c r="B744" s="31" t="s">
        <v>25743</v>
      </c>
      <c r="C744" s="20"/>
      <c r="D744" s="25" t="s">
        <v>25906</v>
      </c>
      <c r="E744" s="25"/>
      <c r="F744" s="9" t="str">
        <f>HYPERLINK("https://www.ebi.ac.uk/ols/ontologies/uberon/terms?iri=http://purl.obolibrary.org/obo/UBERON_0002869","diffuse reticular nucleus")</f>
        <v>diffuse reticular nucleus</v>
      </c>
      <c r="G744" s="9" t="s">
        <v>1495</v>
      </c>
      <c r="H744" s="9" t="s">
        <v>24330</v>
      </c>
      <c r="I744" s="9" t="s">
        <v>1496</v>
      </c>
      <c r="J744" s="9" t="s">
        <v>1497</v>
      </c>
      <c r="K744" s="4" t="s">
        <v>15175</v>
      </c>
      <c r="L744" s="13">
        <v>12491</v>
      </c>
      <c r="M744" t="str">
        <f>VLOOKUP(L744,[1]Human_BrainSpan!$B$2:$C$4000,2,FALSE)</f>
        <v>SPB</v>
      </c>
    </row>
    <row r="745" spans="2:13" x14ac:dyDescent="0.25">
      <c r="B745" s="31" t="s">
        <v>25743</v>
      </c>
      <c r="C745" s="20"/>
      <c r="D745" s="25" t="s">
        <v>25906</v>
      </c>
      <c r="E745" s="25"/>
      <c r="F745" s="9" t="str">
        <f>HYPERLINK("https://www.ebi.ac.uk/ols/ontologies/uberon/terms?iri=http://purl.obolibrary.org/obo/UBERON_0002869","diffuse reticular nucleus")</f>
        <v>diffuse reticular nucleus</v>
      </c>
      <c r="G745" s="9" t="s">
        <v>1495</v>
      </c>
      <c r="H745" s="9" t="s">
        <v>17284</v>
      </c>
      <c r="I745" s="9" t="s">
        <v>1498</v>
      </c>
      <c r="J745" s="9" t="s">
        <v>1499</v>
      </c>
      <c r="K745" s="4" t="s">
        <v>15175</v>
      </c>
      <c r="L745" s="13">
        <v>12518</v>
      </c>
      <c r="M745" t="str">
        <f>VLOOKUP(L745,[1]Human_BrainSpan!$B$2:$C$4000,2,FALSE)</f>
        <v>KF</v>
      </c>
    </row>
    <row r="746" spans="2:13" x14ac:dyDescent="0.25">
      <c r="B746" s="31" t="s">
        <v>25743</v>
      </c>
      <c r="C746" s="20"/>
      <c r="D746" s="25" t="s">
        <v>25906</v>
      </c>
      <c r="E746" s="25"/>
      <c r="F746" s="9" t="str">
        <f>HYPERLINK("https://www.ebi.ac.uk/ols/ontologies/uberon/terms?iri=http://purl.obolibrary.org/obo/UBERON_0002869","diffuse reticular nucleus")</f>
        <v>diffuse reticular nucleus</v>
      </c>
      <c r="G746" s="9" t="s">
        <v>1495</v>
      </c>
      <c r="H746" s="9" t="s">
        <v>17284</v>
      </c>
      <c r="I746" s="9" t="s">
        <v>1498</v>
      </c>
      <c r="J746" s="9" t="s">
        <v>1500</v>
      </c>
      <c r="K746" s="5" t="s">
        <v>15173</v>
      </c>
      <c r="L746" s="13">
        <v>16853</v>
      </c>
      <c r="M746" t="str">
        <f>VLOOKUP(L746,[1]DevMouse!$B$2:$C$2693,2,FALSE)</f>
        <v>KF</v>
      </c>
    </row>
    <row r="747" spans="2:13" x14ac:dyDescent="0.25">
      <c r="B747" s="31" t="s">
        <v>25743</v>
      </c>
      <c r="C747" s="20"/>
      <c r="D747" s="25" t="s">
        <v>25907</v>
      </c>
      <c r="E747" s="25"/>
      <c r="F747" s="9" t="str">
        <f>HYPERLINK("https://www.ebi.ac.uk/ols/ontologies/uberon/terms?iri=http://purl.obolibrary.org/obo/UBERON_0007249","dorsal accessory inferior olivary nucleus")</f>
        <v>dorsal accessory inferior olivary nucleus</v>
      </c>
      <c r="G747" s="9" t="s">
        <v>1501</v>
      </c>
      <c r="H747" s="9" t="s">
        <v>24434</v>
      </c>
      <c r="I747" s="9" t="s">
        <v>1502</v>
      </c>
      <c r="J747" s="9" t="s">
        <v>1503</v>
      </c>
      <c r="K747" s="4" t="s">
        <v>15175</v>
      </c>
      <c r="L747" s="13">
        <v>12603</v>
      </c>
      <c r="M747" t="str">
        <f>VLOOKUP(L747,[1]Human_BrainSpan!$B$2:$C$4000,2,FALSE)</f>
        <v>IOD</v>
      </c>
    </row>
    <row r="748" spans="2:13" x14ac:dyDescent="0.25">
      <c r="B748" s="31" t="s">
        <v>25743</v>
      </c>
      <c r="C748" s="20"/>
      <c r="D748" s="25" t="s">
        <v>25907</v>
      </c>
      <c r="E748" s="25"/>
      <c r="F748" s="9" t="str">
        <f>HYPERLINK("https://www.ebi.ac.uk/ols/ontologies/uberon/terms?iri=http://purl.obolibrary.org/obo/UBERON_0007249","dorsal accessory inferior olivary nucleus")</f>
        <v>dorsal accessory inferior olivary nucleus</v>
      </c>
      <c r="G748" s="9" t="s">
        <v>1501</v>
      </c>
      <c r="H748" s="9" t="s">
        <v>25448</v>
      </c>
      <c r="I748" s="9" t="s">
        <v>1504</v>
      </c>
      <c r="J748" s="9" t="s">
        <v>1505</v>
      </c>
      <c r="K748" s="7" t="s">
        <v>15171</v>
      </c>
      <c r="L748" s="13">
        <v>9562</v>
      </c>
      <c r="M748" t="str">
        <f>VLOOKUP(L748,[1]HBA!$B$2:$C$4000,2,FALSE)</f>
        <v>DIO</v>
      </c>
    </row>
    <row r="749" spans="2:13" x14ac:dyDescent="0.25">
      <c r="B749" s="31" t="s">
        <v>25743</v>
      </c>
      <c r="C749" s="20"/>
      <c r="D749" s="25" t="s">
        <v>25908</v>
      </c>
      <c r="E749" s="25"/>
      <c r="F749" s="9" t="str">
        <f>HYPERLINK("https://www.ebi.ac.uk/ols/ontologies/uberon/terms?iri=http://purl.obolibrary.org/obo/UBERON_0013599","dorsal accessory nucleus of optic tract")</f>
        <v>dorsal accessory nucleus of optic tract</v>
      </c>
      <c r="G749" s="9" t="s">
        <v>1506</v>
      </c>
      <c r="H749" s="9" t="s">
        <v>16771</v>
      </c>
      <c r="I749" s="9" t="s">
        <v>708</v>
      </c>
      <c r="J749" s="9" t="s">
        <v>709</v>
      </c>
      <c r="K749" s="5" t="s">
        <v>15173</v>
      </c>
      <c r="L749" s="13">
        <v>16590</v>
      </c>
      <c r="M749" t="str">
        <f>VLOOKUP(L749,[1]DevMouse!$B$2:$C$2693,2,FALSE)</f>
        <v>DT</v>
      </c>
    </row>
    <row r="750" spans="2:13" x14ac:dyDescent="0.25">
      <c r="B750" s="31" t="s">
        <v>25743</v>
      </c>
      <c r="C750" s="20"/>
      <c r="D750" s="25" t="s">
        <v>25908</v>
      </c>
      <c r="E750" s="25"/>
      <c r="F750" s="9" t="str">
        <f>HYPERLINK("https://www.ebi.ac.uk/ols/ontologies/uberon/terms?iri=http://purl.obolibrary.org/obo/UBERON_0013599","dorsal accessory nucleus of optic tract")</f>
        <v>dorsal accessory nucleus of optic tract</v>
      </c>
      <c r="G750" s="9" t="s">
        <v>1506</v>
      </c>
      <c r="H750" s="9" t="s">
        <v>16771</v>
      </c>
      <c r="I750" s="9" t="s">
        <v>708</v>
      </c>
      <c r="J750" s="9" t="s">
        <v>826</v>
      </c>
      <c r="K750" s="3" t="s">
        <v>15176</v>
      </c>
      <c r="L750" s="13">
        <v>75</v>
      </c>
      <c r="M750" t="str">
        <f>VLOOKUP(L750,[1]Mouse_ARA!$B$2:$C$1328,2,FALSE)</f>
        <v>DT</v>
      </c>
    </row>
    <row r="751" spans="2:13" x14ac:dyDescent="0.25">
      <c r="B751" s="31" t="s">
        <v>25743</v>
      </c>
      <c r="C751" s="20"/>
      <c r="D751" s="25" t="s">
        <v>1508</v>
      </c>
      <c r="E751" s="25"/>
      <c r="F751" s="9" t="str">
        <f>HYPERLINK("https://www.ebi.ac.uk/ols/ontologies/uberon/terms?iri=http://purl.obolibrary.org/obo/UBERON_0002790","dorsal acoustic stria")</f>
        <v>dorsal acoustic stria</v>
      </c>
      <c r="G751" s="9" t="s">
        <v>1507</v>
      </c>
      <c r="H751" s="9" t="s">
        <v>20758</v>
      </c>
      <c r="I751" s="9" t="s">
        <v>1508</v>
      </c>
      <c r="J751" s="9" t="s">
        <v>1509</v>
      </c>
      <c r="K751" s="4" t="s">
        <v>15175</v>
      </c>
      <c r="L751" s="13">
        <v>12733</v>
      </c>
      <c r="M751" t="str">
        <f>VLOOKUP(L751,[1]Human_BrainSpan!$B$2:$C$4000,2,FALSE)</f>
        <v>das</v>
      </c>
    </row>
    <row r="752" spans="2:13" x14ac:dyDescent="0.25">
      <c r="B752" s="31" t="s">
        <v>25743</v>
      </c>
      <c r="C752" s="20"/>
      <c r="D752" s="25" t="s">
        <v>1508</v>
      </c>
      <c r="E752" s="25"/>
      <c r="F752" s="9" t="str">
        <f>HYPERLINK("https://www.ebi.ac.uk/ols/ontologies/uberon/terms?iri=http://purl.obolibrary.org/obo/UBERON_0002790","dorsal acoustic stria")</f>
        <v>dorsal acoustic stria</v>
      </c>
      <c r="G752" s="9" t="s">
        <v>1507</v>
      </c>
      <c r="H752" s="9" t="s">
        <v>20758</v>
      </c>
      <c r="I752" s="9" t="s">
        <v>1508</v>
      </c>
      <c r="J752" s="9" t="s">
        <v>1510</v>
      </c>
      <c r="K752" s="3" t="s">
        <v>15176</v>
      </c>
      <c r="L752" s="13">
        <v>506</v>
      </c>
      <c r="M752" t="str">
        <f>VLOOKUP(L752,[1]Mouse_ARA!$B$2:$C$1328,2,FALSE)</f>
        <v>das</v>
      </c>
    </row>
    <row r="753" spans="2:13" x14ac:dyDescent="0.25">
      <c r="B753" s="31" t="s">
        <v>25743</v>
      </c>
      <c r="C753" s="20"/>
      <c r="D753" s="25" t="s">
        <v>1512</v>
      </c>
      <c r="E753" s="25"/>
      <c r="F753" s="9" t="str">
        <f>HYPERLINK("https://www.ebi.ac.uk/ols/ontologies/uberon/terms?iri=http://purl.obolibrary.org/obo/UBERON_0035885","dorsal auditory area")</f>
        <v>dorsal auditory area</v>
      </c>
      <c r="G753" s="9" t="s">
        <v>1511</v>
      </c>
      <c r="H753" s="9" t="s">
        <v>18886</v>
      </c>
      <c r="I753" s="9" t="s">
        <v>1512</v>
      </c>
      <c r="J753" s="9" t="s">
        <v>1513</v>
      </c>
      <c r="K753" s="3" t="s">
        <v>15176</v>
      </c>
      <c r="L753" s="13">
        <v>1011</v>
      </c>
      <c r="M753" t="str">
        <f>VLOOKUP(L753,[1]Mouse_ARA!$B$2:$C$1328,2,FALSE)</f>
        <v>AUDd</v>
      </c>
    </row>
    <row r="754" spans="2:13" x14ac:dyDescent="0.25">
      <c r="B754" s="31" t="s">
        <v>25743</v>
      </c>
      <c r="C754" s="20"/>
      <c r="D754" s="25" t="s">
        <v>1515</v>
      </c>
      <c r="E754" s="25" t="s">
        <v>26306</v>
      </c>
      <c r="F754" s="9" t="str">
        <f>HYPERLINK("https://www.ebi.ac.uk/ols/ontologies/uberon/terms?iri=http://purl.obolibrary.org/obo/UBERON_0035917","dorsal auditory area, layer 4")</f>
        <v>dorsal auditory area, layer 4</v>
      </c>
      <c r="G754" s="9" t="s">
        <v>1514</v>
      </c>
      <c r="H754" s="9" t="s">
        <v>18892</v>
      </c>
      <c r="I754" s="9" t="s">
        <v>1515</v>
      </c>
      <c r="J754" s="9" t="s">
        <v>1516</v>
      </c>
      <c r="K754" s="3" t="s">
        <v>15176</v>
      </c>
      <c r="L754" s="13">
        <v>678</v>
      </c>
      <c r="M754" t="str">
        <f>VLOOKUP(L754,[1]Mouse_ARA!$B$2:$C$1328,2,FALSE)</f>
        <v>AUDd4</v>
      </c>
    </row>
    <row r="755" spans="2:13" x14ac:dyDescent="0.25">
      <c r="B755" s="31" t="s">
        <v>25743</v>
      </c>
      <c r="C755" s="20"/>
      <c r="D755" s="25" t="s">
        <v>1518</v>
      </c>
      <c r="E755" s="25"/>
      <c r="F755" s="9" t="str">
        <f>HYPERLINK("https://www.ebi.ac.uk/ols/ontologies/uberon/terms?iri=http://purl.obolibrary.org/obo/UBERON_0002829","dorsal cochlear nucleus")</f>
        <v>dorsal cochlear nucleus</v>
      </c>
      <c r="G755" s="9" t="s">
        <v>1517</v>
      </c>
      <c r="H755" s="9" t="s">
        <v>24284</v>
      </c>
      <c r="I755" s="9" t="s">
        <v>1518</v>
      </c>
      <c r="J755" s="9" t="s">
        <v>1519</v>
      </c>
      <c r="K755" s="4" t="s">
        <v>15175</v>
      </c>
      <c r="L755" s="13">
        <v>12438</v>
      </c>
      <c r="M755" t="str">
        <f>VLOOKUP(L755,[1]Human_BrainSpan!$B$2:$C$4000,2,FALSE)</f>
        <v>DCo</v>
      </c>
    </row>
    <row r="756" spans="2:13" x14ac:dyDescent="0.25">
      <c r="B756" s="31" t="s">
        <v>25743</v>
      </c>
      <c r="C756" s="20"/>
      <c r="D756" s="25" t="s">
        <v>1518</v>
      </c>
      <c r="E756" s="25"/>
      <c r="F756" s="9" t="str">
        <f>HYPERLINK("https://www.ebi.ac.uk/ols/ontologies/uberon/terms?iri=http://purl.obolibrary.org/obo/UBERON_0002829","dorsal cochlear nucleus")</f>
        <v>dorsal cochlear nucleus</v>
      </c>
      <c r="G756" s="9" t="s">
        <v>1517</v>
      </c>
      <c r="H756" s="9" t="s">
        <v>24284</v>
      </c>
      <c r="I756" s="9" t="s">
        <v>1520</v>
      </c>
      <c r="J756" s="9" t="s">
        <v>1521</v>
      </c>
      <c r="K756" s="7" t="s">
        <v>15171</v>
      </c>
      <c r="L756" s="13">
        <v>9530</v>
      </c>
      <c r="M756" t="str">
        <f>VLOOKUP(L756,[1]HBA!$B$2:$C$4000,2,FALSE)</f>
        <v>DCo</v>
      </c>
    </row>
    <row r="757" spans="2:13" x14ac:dyDescent="0.25">
      <c r="B757" s="31" t="s">
        <v>25743</v>
      </c>
      <c r="C757" s="20"/>
      <c r="D757" s="25" t="s">
        <v>1518</v>
      </c>
      <c r="E757" s="25"/>
      <c r="F757" s="9" t="str">
        <f>HYPERLINK("https://www.ebi.ac.uk/ols/ontologies/uberon/terms?iri=http://purl.obolibrary.org/obo/UBERON_0002829","dorsal cochlear nucleus")</f>
        <v>dorsal cochlear nucleus</v>
      </c>
      <c r="G757" s="9" t="s">
        <v>1517</v>
      </c>
      <c r="H757" s="9" t="s">
        <v>20403</v>
      </c>
      <c r="I757" s="9" t="s">
        <v>1518</v>
      </c>
      <c r="J757" s="9" t="s">
        <v>1522</v>
      </c>
      <c r="K757" s="3" t="s">
        <v>15176</v>
      </c>
      <c r="L757" s="13">
        <v>96</v>
      </c>
      <c r="M757" t="str">
        <f>VLOOKUP(L757,[1]Mouse_ARA!$B$2:$C$1328,2,FALSE)</f>
        <v>DCO</v>
      </c>
    </row>
    <row r="758" spans="2:13" x14ac:dyDescent="0.25">
      <c r="B758" s="31" t="s">
        <v>25743</v>
      </c>
      <c r="C758" s="20"/>
      <c r="D758" s="25" t="s">
        <v>25909</v>
      </c>
      <c r="E758" s="25"/>
      <c r="F758" s="9" t="str">
        <f>HYPERLINK("https://www.ebi.ac.uk/ols/ontologies/uberon/terms?iri=http://purl.obolibrary.org/obo/UBERON_0018238","dorsal column nucleus")</f>
        <v>dorsal column nucleus</v>
      </c>
      <c r="G758" s="9" t="s">
        <v>1523</v>
      </c>
      <c r="H758" s="9" t="s">
        <v>20407</v>
      </c>
      <c r="I758" s="9" t="s">
        <v>1524</v>
      </c>
      <c r="J758" s="9" t="s">
        <v>1525</v>
      </c>
      <c r="K758" s="3" t="s">
        <v>15176</v>
      </c>
      <c r="L758" s="13">
        <v>720</v>
      </c>
      <c r="M758" t="str">
        <f>VLOOKUP(L758,[1]Mouse_ARA!$B$2:$C$1328,2,FALSE)</f>
        <v>DCN</v>
      </c>
    </row>
    <row r="759" spans="2:13" x14ac:dyDescent="0.25">
      <c r="B759" s="31" t="s">
        <v>26303</v>
      </c>
      <c r="C759" s="25" t="s">
        <v>26221</v>
      </c>
      <c r="D759" s="25" t="s">
        <v>25910</v>
      </c>
      <c r="E759" s="25"/>
      <c r="F759" s="9" t="str">
        <f>HYPERLINK("https://www.ebi.ac.uk/ols/ontologies/uberon/terms?iri=http://purl.obolibrary.org/obo/UBERON_0018237","dorsal column-medial lemniscus pathway")</f>
        <v>dorsal column-medial lemniscus pathway</v>
      </c>
      <c r="G759" s="9" t="s">
        <v>1526</v>
      </c>
      <c r="H759" s="9" t="s">
        <v>18450</v>
      </c>
      <c r="I759" s="9" t="s">
        <v>977</v>
      </c>
      <c r="J759" s="9" t="s">
        <v>978</v>
      </c>
      <c r="K759" s="5" t="s">
        <v>15173</v>
      </c>
      <c r="L759" s="13">
        <v>17759</v>
      </c>
      <c r="M759" t="str">
        <f>VLOOKUP(L759,[1]DevMouse!$B$2:$C$2693,2,FALSE)</f>
        <v>dc</v>
      </c>
    </row>
    <row r="760" spans="2:13" x14ac:dyDescent="0.25">
      <c r="B760" s="31" t="s">
        <v>25743</v>
      </c>
      <c r="C760" s="20"/>
      <c r="D760" s="25" t="s">
        <v>25911</v>
      </c>
      <c r="E760" s="25"/>
      <c r="F760" s="9" t="str">
        <f>HYPERLINK("https://www.ebi.ac.uk/ols/ontologies/uberon/terms?iri=http://purl.obolibrary.org/obo/UBERON_0006089","dorsal external arcuate fiber bundle")</f>
        <v>dorsal external arcuate fiber bundle</v>
      </c>
      <c r="G760" s="9" t="s">
        <v>1527</v>
      </c>
      <c r="H760" s="9" t="s">
        <v>24606</v>
      </c>
      <c r="I760" s="9" t="s">
        <v>1528</v>
      </c>
      <c r="J760" s="9" t="s">
        <v>1529</v>
      </c>
      <c r="K760" s="4" t="s">
        <v>15175</v>
      </c>
      <c r="L760" s="13">
        <v>12737</v>
      </c>
      <c r="M760" t="str">
        <f>VLOOKUP(L760,[1]Human_BrainSpan!$B$2:$C$4000,2,FALSE)</f>
        <v>eaf</v>
      </c>
    </row>
    <row r="761" spans="2:13" x14ac:dyDescent="0.25">
      <c r="B761" s="31" t="s">
        <v>25743</v>
      </c>
      <c r="C761" s="20"/>
      <c r="D761" s="25" t="s">
        <v>1531</v>
      </c>
      <c r="E761" s="25"/>
      <c r="F761" s="9" t="str">
        <f>HYPERLINK("https://www.ebi.ac.uk/ols/ontologies/uberon/terms?iri=http://purl.obolibrary.org/obo/UBERON_0002954","dorsal hypothalamic area")</f>
        <v>dorsal hypothalamic area</v>
      </c>
      <c r="G761" s="9" t="s">
        <v>1530</v>
      </c>
      <c r="H761" s="9" t="s">
        <v>23492</v>
      </c>
      <c r="I761" s="9" t="s">
        <v>1531</v>
      </c>
      <c r="J761" s="9" t="s">
        <v>1532</v>
      </c>
      <c r="K761" s="4" t="s">
        <v>15175</v>
      </c>
      <c r="L761" s="13">
        <v>13335</v>
      </c>
      <c r="M761" t="str">
        <f>VLOOKUP(L761,[1]Human_BrainSpan!$B$2:$C$4000,2,FALSE)</f>
        <v>DHA</v>
      </c>
    </row>
    <row r="762" spans="2:13" x14ac:dyDescent="0.25">
      <c r="B762" s="31" t="s">
        <v>25743</v>
      </c>
      <c r="C762" s="20"/>
      <c r="D762" s="25" t="s">
        <v>694</v>
      </c>
      <c r="E762" s="25"/>
      <c r="F762" s="9" t="str">
        <f>HYPERLINK("https://www.ebi.ac.uk/ols/ontologies/uberon/terms?iri=http://purl.obolibrary.org/obo/UBERON_0002479","dorsal lateral geniculate nucleus")</f>
        <v>dorsal lateral geniculate nucleus</v>
      </c>
      <c r="G762" s="9" t="s">
        <v>1533</v>
      </c>
      <c r="H762" s="9" t="s">
        <v>16457</v>
      </c>
      <c r="I762" s="9" t="s">
        <v>694</v>
      </c>
      <c r="J762" s="9" t="s">
        <v>1534</v>
      </c>
      <c r="K762" s="4" t="s">
        <v>15175</v>
      </c>
      <c r="L762" s="13">
        <v>10430</v>
      </c>
      <c r="M762" t="str">
        <f>VLOOKUP(L762,[1]Human_BrainSpan!$B$2:$C$4000,2,FALSE)</f>
        <v>DLG</v>
      </c>
    </row>
    <row r="763" spans="2:13" x14ac:dyDescent="0.25">
      <c r="B763" s="31" t="s">
        <v>25743</v>
      </c>
      <c r="C763" s="20"/>
      <c r="D763" s="25" t="s">
        <v>694</v>
      </c>
      <c r="E763" s="25"/>
      <c r="F763" s="9" t="str">
        <f>HYPERLINK("https://www.ebi.ac.uk/ols/ontologies/uberon/terms?iri=http://purl.obolibrary.org/obo/UBERON_0002479","dorsal lateral geniculate nucleus")</f>
        <v>dorsal lateral geniculate nucleus</v>
      </c>
      <c r="G763" s="9" t="s">
        <v>1533</v>
      </c>
      <c r="H763" s="9" t="s">
        <v>16457</v>
      </c>
      <c r="I763" s="9" t="s">
        <v>694</v>
      </c>
      <c r="J763" s="9" t="s">
        <v>695</v>
      </c>
      <c r="K763" s="5" t="s">
        <v>15173</v>
      </c>
      <c r="L763" s="13">
        <v>16436</v>
      </c>
      <c r="M763" t="str">
        <f>VLOOKUP(L763,[1]DevMouse!$B$2:$C$2693,2,FALSE)</f>
        <v>DLG</v>
      </c>
    </row>
    <row r="764" spans="2:13" x14ac:dyDescent="0.25">
      <c r="B764" s="31" t="s">
        <v>25743</v>
      </c>
      <c r="C764" s="20"/>
      <c r="D764" s="25" t="s">
        <v>694</v>
      </c>
      <c r="E764" s="25"/>
      <c r="F764" s="9" t="str">
        <f>HYPERLINK("https://www.ebi.ac.uk/ols/ontologies/uberon/terms?iri=http://purl.obolibrary.org/obo/UBERON_0002479","dorsal lateral geniculate nucleus")</f>
        <v>dorsal lateral geniculate nucleus</v>
      </c>
      <c r="G764" s="9" t="s">
        <v>1533</v>
      </c>
      <c r="H764" s="9" t="s">
        <v>19911</v>
      </c>
      <c r="I764" s="9" t="s">
        <v>1535</v>
      </c>
      <c r="J764" s="9" t="s">
        <v>1536</v>
      </c>
      <c r="K764" s="7" t="s">
        <v>15171</v>
      </c>
      <c r="L764" s="13">
        <v>4440</v>
      </c>
      <c r="M764" t="str">
        <f>VLOOKUP(L764,[1]HBA!$B$2:$C$4000,2,FALSE)</f>
        <v>LGd</v>
      </c>
    </row>
    <row r="765" spans="2:13" x14ac:dyDescent="0.25">
      <c r="B765" s="31" t="s">
        <v>25743</v>
      </c>
      <c r="C765" s="20"/>
      <c r="D765" s="25" t="s">
        <v>694</v>
      </c>
      <c r="E765" s="25"/>
      <c r="F765" s="9" t="str">
        <f>HYPERLINK("https://www.ebi.ac.uk/ols/ontologies/uberon/terms?iri=http://purl.obolibrary.org/obo/UBERON_0002479","dorsal lateral geniculate nucleus")</f>
        <v>dorsal lateral geniculate nucleus</v>
      </c>
      <c r="G765" s="9" t="s">
        <v>1533</v>
      </c>
      <c r="H765" s="9" t="s">
        <v>19911</v>
      </c>
      <c r="I765" s="9" t="s">
        <v>755</v>
      </c>
      <c r="J765" s="9" t="s">
        <v>756</v>
      </c>
      <c r="K765" s="3" t="s">
        <v>15176</v>
      </c>
      <c r="L765" s="13">
        <v>170</v>
      </c>
      <c r="M765" t="str">
        <f>VLOOKUP(L765,[1]Mouse_ARA!$B$2:$C$1328,2,FALSE)</f>
        <v>LGd</v>
      </c>
    </row>
    <row r="766" spans="2:13" x14ac:dyDescent="0.25">
      <c r="B766" s="31" t="s">
        <v>25743</v>
      </c>
      <c r="C766" s="20"/>
      <c r="D766" s="25" t="s">
        <v>694</v>
      </c>
      <c r="E766" s="25"/>
      <c r="F766" s="9" t="str">
        <f>HYPERLINK("https://www.ebi.ac.uk/ols/ontologies/uberon/terms?iri=http://purl.obolibrary.org/obo/UBERON_0002479","dorsal lateral geniculate nucleus")</f>
        <v>dorsal lateral geniculate nucleus</v>
      </c>
      <c r="G766" s="9" t="s">
        <v>1533</v>
      </c>
      <c r="H766" s="9" t="s">
        <v>16457</v>
      </c>
      <c r="I766" s="9" t="s">
        <v>694</v>
      </c>
      <c r="J766" s="9" t="s">
        <v>1537</v>
      </c>
      <c r="K766" s="6" t="s">
        <v>15174</v>
      </c>
      <c r="L766" s="13">
        <v>128013074</v>
      </c>
      <c r="M766" t="str">
        <f>VLOOKUP(L766,[1]NonHumanPrimate!$B$2:$C$4000,2,FALSE)</f>
        <v>DLG</v>
      </c>
    </row>
    <row r="767" spans="2:13" x14ac:dyDescent="0.25">
      <c r="B767" s="31" t="s">
        <v>25743</v>
      </c>
      <c r="C767" s="20"/>
      <c r="D767" s="25" t="s">
        <v>1539</v>
      </c>
      <c r="E767" s="25"/>
      <c r="F767" s="9" t="str">
        <f>HYPERLINK("https://www.ebi.ac.uk/ols/ontologies/uberon/terms?iri=http://purl.obolibrary.org/obo/UBERON_0003045","dorsal longitudinal fasciculus")</f>
        <v>dorsal longitudinal fasciculus</v>
      </c>
      <c r="G767" s="9" t="s">
        <v>1538</v>
      </c>
      <c r="H767" s="9" t="s">
        <v>20949</v>
      </c>
      <c r="I767" s="9" t="s">
        <v>1539</v>
      </c>
      <c r="J767" s="9" t="s">
        <v>1540</v>
      </c>
      <c r="K767" s="4" t="s">
        <v>15175</v>
      </c>
      <c r="L767" s="13">
        <v>12035</v>
      </c>
      <c r="M767" t="str">
        <f>VLOOKUP(L767,[1]Human_BrainSpan!$B$2:$C$4000,2,FALSE)</f>
        <v>dlf</v>
      </c>
    </row>
    <row r="768" spans="2:13" x14ac:dyDescent="0.25">
      <c r="B768" s="31" t="s">
        <v>25743</v>
      </c>
      <c r="C768" s="20"/>
      <c r="D768" s="25" t="s">
        <v>1539</v>
      </c>
      <c r="E768" s="25"/>
      <c r="F768" s="9" t="str">
        <f>HYPERLINK("https://www.ebi.ac.uk/ols/ontologies/uberon/terms?iri=http://purl.obolibrary.org/obo/UBERON_0003045","dorsal longitudinal fasciculus")</f>
        <v>dorsal longitudinal fasciculus</v>
      </c>
      <c r="G768" s="9" t="s">
        <v>1538</v>
      </c>
      <c r="H768" s="9" t="s">
        <v>20949</v>
      </c>
      <c r="I768" s="9" t="s">
        <v>1541</v>
      </c>
      <c r="J768" s="9" t="s">
        <v>1542</v>
      </c>
      <c r="K768" s="7" t="s">
        <v>15171</v>
      </c>
      <c r="L768" s="13">
        <v>9348</v>
      </c>
      <c r="M768" t="str">
        <f>VLOOKUP(L768,[1]HBA!$B$2:$C$4000,2,FALSE)</f>
        <v>dlf</v>
      </c>
    </row>
    <row r="769" spans="2:13" x14ac:dyDescent="0.25">
      <c r="B769" s="31" t="s">
        <v>25743</v>
      </c>
      <c r="C769" s="20"/>
      <c r="D769" s="25" t="s">
        <v>1539</v>
      </c>
      <c r="E769" s="25"/>
      <c r="F769" s="9" t="str">
        <f>HYPERLINK("https://www.ebi.ac.uk/ols/ontologies/uberon/terms?iri=http://purl.obolibrary.org/obo/UBERON_0003045","dorsal longitudinal fasciculus")</f>
        <v>dorsal longitudinal fasciculus</v>
      </c>
      <c r="G769" s="9" t="s">
        <v>1538</v>
      </c>
      <c r="H769" s="9" t="s">
        <v>20949</v>
      </c>
      <c r="I769" s="9" t="s">
        <v>1543</v>
      </c>
      <c r="J769" s="9" t="s">
        <v>1544</v>
      </c>
      <c r="K769" s="3" t="s">
        <v>15176</v>
      </c>
      <c r="L769" s="13">
        <v>547</v>
      </c>
      <c r="M769" t="str">
        <f>VLOOKUP(L769,[1]Mouse_ARA!$B$2:$C$1328,2,FALSE)</f>
        <v>dlf</v>
      </c>
    </row>
    <row r="770" spans="2:13" x14ac:dyDescent="0.25">
      <c r="B770" s="31" t="s">
        <v>25743</v>
      </c>
      <c r="C770" s="20"/>
      <c r="D770" s="25" t="s">
        <v>25912</v>
      </c>
      <c r="E770" s="25"/>
      <c r="F770" s="9" t="str">
        <f>HYPERLINK("https://www.ebi.ac.uk/ols/ontologies/uberon/terms?iri=http://purl.obolibrary.org/obo/UBERON_0002870","dorsal motor nucleus of vagus nerve")</f>
        <v>dorsal motor nucleus of vagus nerve</v>
      </c>
      <c r="G770" s="9" t="s">
        <v>1545</v>
      </c>
      <c r="H770" s="9" t="s">
        <v>24381</v>
      </c>
      <c r="I770" s="9" t="s">
        <v>1546</v>
      </c>
      <c r="J770" s="9" t="s">
        <v>1547</v>
      </c>
      <c r="K770" s="4" t="s">
        <v>15175</v>
      </c>
      <c r="L770" s="13">
        <v>12550</v>
      </c>
      <c r="M770" t="str">
        <f>VLOOKUP(L770,[1]Human_BrainSpan!$B$2:$C$4000,2,FALSE)</f>
        <v>10N</v>
      </c>
    </row>
    <row r="771" spans="2:13" x14ac:dyDescent="0.25">
      <c r="B771" s="31" t="s">
        <v>25743</v>
      </c>
      <c r="C771" s="20"/>
      <c r="D771" s="25" t="s">
        <v>25912</v>
      </c>
      <c r="E771" s="25"/>
      <c r="F771" s="9" t="str">
        <f>HYPERLINK("https://www.ebi.ac.uk/ols/ontologies/uberon/terms?iri=http://purl.obolibrary.org/obo/UBERON_0002870","dorsal motor nucleus of vagus nerve")</f>
        <v>dorsal motor nucleus of vagus nerve</v>
      </c>
      <c r="G771" s="9" t="s">
        <v>1545</v>
      </c>
      <c r="H771" s="9">
        <v>10</v>
      </c>
      <c r="I771" s="9" t="s">
        <v>1548</v>
      </c>
      <c r="J771" s="9" t="s">
        <v>1549</v>
      </c>
      <c r="K771" s="7" t="s">
        <v>15171</v>
      </c>
      <c r="L771" s="13">
        <v>9545</v>
      </c>
      <c r="M771">
        <f>VLOOKUP(L771,[1]HBA!$B$2:$C$4000,2,FALSE)</f>
        <v>10</v>
      </c>
    </row>
    <row r="772" spans="2:13" x14ac:dyDescent="0.25">
      <c r="B772" s="31" t="s">
        <v>25743</v>
      </c>
      <c r="C772" s="20"/>
      <c r="D772" s="25" t="s">
        <v>25912</v>
      </c>
      <c r="E772" s="25"/>
      <c r="F772" s="9" t="str">
        <f>HYPERLINK("https://www.ebi.ac.uk/ols/ontologies/uberon/terms?iri=http://purl.obolibrary.org/obo/UBERON_0002870","dorsal motor nucleus of vagus nerve")</f>
        <v>dorsal motor nucleus of vagus nerve</v>
      </c>
      <c r="G772" s="9" t="s">
        <v>1545</v>
      </c>
      <c r="H772" s="9" t="s">
        <v>20466</v>
      </c>
      <c r="I772" s="9" t="s">
        <v>1550</v>
      </c>
      <c r="J772" s="9" t="s">
        <v>1551</v>
      </c>
      <c r="K772" s="3" t="s">
        <v>15176</v>
      </c>
      <c r="L772" s="13">
        <v>839</v>
      </c>
      <c r="M772" t="str">
        <f>VLOOKUP(L772,[1]Mouse_ARA!$B$2:$C$1328,2,FALSE)</f>
        <v>DMX</v>
      </c>
    </row>
    <row r="773" spans="2:13" x14ac:dyDescent="0.25">
      <c r="B773" s="31" t="s">
        <v>25743</v>
      </c>
      <c r="C773" s="20"/>
      <c r="D773" s="25" t="s">
        <v>1553</v>
      </c>
      <c r="E773" s="25"/>
      <c r="F773" s="9" t="str">
        <f>HYPERLINK("https://www.ebi.ac.uk/ols/ontologies/uberon/terms?iri=http://purl.obolibrary.org/obo/UBERON_0003006","dorsal nucleus of lateral lemniscus")</f>
        <v>dorsal nucleus of lateral lemniscus</v>
      </c>
      <c r="G773" s="9" t="s">
        <v>1552</v>
      </c>
      <c r="H773" s="9" t="s">
        <v>17291</v>
      </c>
      <c r="I773" s="9" t="s">
        <v>1553</v>
      </c>
      <c r="J773" s="9" t="s">
        <v>1554</v>
      </c>
      <c r="K773" s="4" t="s">
        <v>15175</v>
      </c>
      <c r="L773" s="13">
        <v>12455</v>
      </c>
      <c r="M773" t="str">
        <f>VLOOKUP(L773,[1]Human_BrainSpan!$B$2:$C$4000,2,FALSE)</f>
        <v>DLL</v>
      </c>
    </row>
    <row r="774" spans="2:13" x14ac:dyDescent="0.25">
      <c r="B774" s="31" t="s">
        <v>25743</v>
      </c>
      <c r="C774" s="20"/>
      <c r="D774" s="25" t="s">
        <v>1553</v>
      </c>
      <c r="E774" s="25"/>
      <c r="F774" s="9" t="str">
        <f>HYPERLINK("https://www.ebi.ac.uk/ols/ontologies/uberon/terms?iri=http://purl.obolibrary.org/obo/UBERON_0003006","dorsal nucleus of lateral lemniscus")</f>
        <v>dorsal nucleus of lateral lemniscus</v>
      </c>
      <c r="G774" s="9" t="s">
        <v>1552</v>
      </c>
      <c r="H774" s="9" t="s">
        <v>17291</v>
      </c>
      <c r="I774" s="9" t="s">
        <v>1555</v>
      </c>
      <c r="J774" s="9" t="s">
        <v>1556</v>
      </c>
      <c r="K774" s="5" t="s">
        <v>15173</v>
      </c>
      <c r="L774" s="13">
        <v>16860</v>
      </c>
      <c r="M774" t="str">
        <f>VLOOKUP(L774,[1]DevMouse!$B$2:$C$2693,2,FALSE)</f>
        <v>DLL</v>
      </c>
    </row>
    <row r="775" spans="2:13" x14ac:dyDescent="0.25">
      <c r="B775" s="31" t="s">
        <v>25743</v>
      </c>
      <c r="C775" s="20"/>
      <c r="D775" s="25" t="s">
        <v>1553</v>
      </c>
      <c r="E775" s="25"/>
      <c r="F775" s="9" t="str">
        <f>HYPERLINK("https://www.ebi.ac.uk/ols/ontologies/uberon/terms?iri=http://purl.obolibrary.org/obo/UBERON_0003006","dorsal nucleus of lateral lemniscus")</f>
        <v>dorsal nucleus of lateral lemniscus</v>
      </c>
      <c r="G775" s="9" t="s">
        <v>1552</v>
      </c>
      <c r="H775" s="9" t="s">
        <v>17291</v>
      </c>
      <c r="I775" s="9" t="s">
        <v>1553</v>
      </c>
      <c r="J775" s="9" t="s">
        <v>1557</v>
      </c>
      <c r="K775" s="7" t="s">
        <v>15171</v>
      </c>
      <c r="L775" s="13">
        <v>9139</v>
      </c>
      <c r="M775" t="str">
        <f>VLOOKUP(L775,[1]HBA!$B$2:$C$4000,2,FALSE)</f>
        <v>DLL</v>
      </c>
    </row>
    <row r="776" spans="2:13" x14ac:dyDescent="0.25">
      <c r="B776" s="31" t="s">
        <v>25743</v>
      </c>
      <c r="C776" s="20"/>
      <c r="D776" s="25" t="s">
        <v>1553</v>
      </c>
      <c r="E776" s="25"/>
      <c r="F776" s="9" t="str">
        <f>HYPERLINK("https://www.ebi.ac.uk/ols/ontologies/uberon/terms?iri=http://purl.obolibrary.org/obo/UBERON_0003006","dorsal nucleus of lateral lemniscus")</f>
        <v>dorsal nucleus of lateral lemniscus</v>
      </c>
      <c r="G776" s="9" t="s">
        <v>1552</v>
      </c>
      <c r="H776" s="9" t="s">
        <v>20301</v>
      </c>
      <c r="I776" s="9" t="s">
        <v>1558</v>
      </c>
      <c r="J776" s="9" t="s">
        <v>1559</v>
      </c>
      <c r="K776" s="3" t="s">
        <v>15176</v>
      </c>
      <c r="L776" s="13">
        <v>82</v>
      </c>
      <c r="M776" t="str">
        <f>VLOOKUP(L776,[1]Mouse_ARA!$B$2:$C$1328,2,FALSE)</f>
        <v>NLLd</v>
      </c>
    </row>
    <row r="777" spans="2:13" x14ac:dyDescent="0.25">
      <c r="B777" s="31" t="s">
        <v>25743</v>
      </c>
      <c r="C777" s="25"/>
      <c r="D777" s="25" t="s">
        <v>25913</v>
      </c>
      <c r="E777" s="25"/>
      <c r="F777" s="9" t="str">
        <f>HYPERLINK("https://www.ebi.ac.uk/ols/ontologies/uberon/terms?iri=http://purl.obolibrary.org/obo/UBERON_0002758","dorsal nucleus of medial geniculate body")</f>
        <v>dorsal nucleus of medial geniculate body</v>
      </c>
      <c r="G777" s="9" t="s">
        <v>1560</v>
      </c>
      <c r="H777" s="9" t="s">
        <v>23365</v>
      </c>
      <c r="I777" s="9" t="s">
        <v>1561</v>
      </c>
      <c r="J777" s="9" t="s">
        <v>1562</v>
      </c>
      <c r="K777" s="4" t="s">
        <v>15175</v>
      </c>
      <c r="L777" s="13">
        <v>10435</v>
      </c>
      <c r="M777" t="str">
        <f>VLOOKUP(L777,[1]Human_BrainSpan!$B$2:$C$4000,2,FALSE)</f>
        <v>DMG</v>
      </c>
    </row>
    <row r="778" spans="2:13" x14ac:dyDescent="0.25">
      <c r="B778" s="31" t="s">
        <v>25743</v>
      </c>
      <c r="C778" s="20"/>
      <c r="D778" s="25" t="s">
        <v>25913</v>
      </c>
      <c r="E778" s="25"/>
      <c r="F778" s="9" t="str">
        <f>HYPERLINK("https://www.ebi.ac.uk/ols/ontologies/uberon/terms?iri=http://purl.obolibrary.org/obo/UBERON_0002758","dorsal nucleus of medial geniculate body")</f>
        <v>dorsal nucleus of medial geniculate body</v>
      </c>
      <c r="G778" s="9" t="s">
        <v>1560</v>
      </c>
      <c r="H778" s="9" t="s">
        <v>19905</v>
      </c>
      <c r="I778" s="9" t="s">
        <v>1563</v>
      </c>
      <c r="J778" s="9" t="s">
        <v>1564</v>
      </c>
      <c r="K778" s="7" t="s">
        <v>15171</v>
      </c>
      <c r="L778" s="13">
        <v>265504828</v>
      </c>
      <c r="M778" t="str">
        <f>VLOOKUP(L778,[1]HBA!$B$2:$C$4000,2,FALSE)</f>
        <v>MGd</v>
      </c>
    </row>
    <row r="779" spans="2:13" x14ac:dyDescent="0.25">
      <c r="B779" s="31" t="s">
        <v>25743</v>
      </c>
      <c r="C779" s="20"/>
      <c r="D779" s="25" t="s">
        <v>25913</v>
      </c>
      <c r="E779" s="25"/>
      <c r="F779" s="9" t="str">
        <f>HYPERLINK("https://www.ebi.ac.uk/ols/ontologies/uberon/terms?iri=http://purl.obolibrary.org/obo/UBERON_0002758","dorsal nucleus of medial geniculate body")</f>
        <v>dorsal nucleus of medial geniculate body</v>
      </c>
      <c r="G779" s="9" t="s">
        <v>1560</v>
      </c>
      <c r="H779" s="9" t="s">
        <v>19905</v>
      </c>
      <c r="I779" s="9" t="s">
        <v>733</v>
      </c>
      <c r="J779" s="9" t="s">
        <v>734</v>
      </c>
      <c r="K779" s="3" t="s">
        <v>15176</v>
      </c>
      <c r="L779" s="13">
        <v>1072</v>
      </c>
      <c r="M779" t="str">
        <f>VLOOKUP(L779,[1]Mouse_ARA!$B$2:$C$1328,2,FALSE)</f>
        <v>MGd</v>
      </c>
    </row>
    <row r="780" spans="2:13" x14ac:dyDescent="0.25">
      <c r="B780" s="31" t="s">
        <v>25743</v>
      </c>
      <c r="C780" s="20"/>
      <c r="D780" s="25" t="s">
        <v>1566</v>
      </c>
      <c r="E780" s="25"/>
      <c r="F780" s="9" t="str">
        <f>HYPERLINK("https://www.ebi.ac.uk/ols/ontologies/uberon/terms?iri=http://purl.obolibrary.org/obo/UBERON_0002964","dorsal oculomotor nucleus")</f>
        <v>dorsal oculomotor nucleus</v>
      </c>
      <c r="G780" s="9" t="s">
        <v>1565</v>
      </c>
      <c r="H780" s="9" t="s">
        <v>23928</v>
      </c>
      <c r="I780" s="9" t="s">
        <v>1566</v>
      </c>
      <c r="J780" s="9" t="s">
        <v>1567</v>
      </c>
      <c r="K780" s="4" t="s">
        <v>15175</v>
      </c>
      <c r="L780" s="13">
        <v>12202</v>
      </c>
      <c r="M780" t="str">
        <f>VLOOKUP(L780,[1]Human_BrainSpan!$B$2:$C$4000,2,FALSE)</f>
        <v>3D</v>
      </c>
    </row>
    <row r="781" spans="2:13" x14ac:dyDescent="0.25">
      <c r="B781" s="31" t="s">
        <v>25743</v>
      </c>
      <c r="C781" s="20"/>
      <c r="D781" s="25" t="s">
        <v>1566</v>
      </c>
      <c r="E781" s="25"/>
      <c r="F781" s="9" t="str">
        <f>HYPERLINK("https://www.ebi.ac.uk/ols/ontologies/uberon/terms?iri=http://purl.obolibrary.org/obo/UBERON_0002964","dorsal oculomotor nucleus")</f>
        <v>dorsal oculomotor nucleus</v>
      </c>
      <c r="G781" s="9" t="s">
        <v>1565</v>
      </c>
      <c r="H781" s="9" t="s">
        <v>25286</v>
      </c>
      <c r="I781" s="9" t="s">
        <v>1568</v>
      </c>
      <c r="J781" s="9" t="s">
        <v>1569</v>
      </c>
      <c r="K781" s="7" t="s">
        <v>15171</v>
      </c>
      <c r="L781" s="13">
        <v>9035</v>
      </c>
      <c r="M781" t="str">
        <f>VLOOKUP(L781,[1]HBA!$B$2:$C$4000,2,FALSE)</f>
        <v>D3</v>
      </c>
    </row>
    <row r="782" spans="2:13" x14ac:dyDescent="0.25">
      <c r="B782" s="31" t="s">
        <v>25743</v>
      </c>
      <c r="C782" s="20"/>
      <c r="D782" s="25" t="s">
        <v>25914</v>
      </c>
      <c r="E782" s="25"/>
      <c r="F782" s="9" t="str">
        <f>HYPERLINK("https://www.ebi.ac.uk/ols/ontologies/uberon/terms?iri=http://purl.obolibrary.org/obo/UBERON_0006516","dorsal pallidum")</f>
        <v>dorsal pallidum</v>
      </c>
      <c r="G782" s="9" t="s">
        <v>1570</v>
      </c>
      <c r="H782" s="9" t="s">
        <v>19814</v>
      </c>
      <c r="I782" s="9" t="s">
        <v>1571</v>
      </c>
      <c r="J782" s="9" t="s">
        <v>1572</v>
      </c>
      <c r="K782" s="3" t="s">
        <v>15176</v>
      </c>
      <c r="L782" s="13">
        <v>818</v>
      </c>
      <c r="M782" t="str">
        <f>VLOOKUP(L782,[1]Mouse_ARA!$B$2:$C$1328,2,FALSE)</f>
        <v>PALd</v>
      </c>
    </row>
    <row r="783" spans="2:13" x14ac:dyDescent="0.25">
      <c r="B783" s="31" t="s">
        <v>25743</v>
      </c>
      <c r="C783" s="20"/>
      <c r="D783" s="25" t="s">
        <v>1574</v>
      </c>
      <c r="E783" s="25"/>
      <c r="F783" s="9" t="str">
        <f>HYPERLINK("https://www.ebi.ac.uk/ols/ontologies/uberon/terms?iri=http://purl.obolibrary.org/obo/UBERON_0016825","dorsal paragigantocellular nucleus")</f>
        <v>dorsal paragigantocellular nucleus</v>
      </c>
      <c r="G783" s="9" t="s">
        <v>1573</v>
      </c>
      <c r="H783" s="9" t="s">
        <v>24457</v>
      </c>
      <c r="I783" s="9" t="s">
        <v>1574</v>
      </c>
      <c r="J783" s="9" t="s">
        <v>1575</v>
      </c>
      <c r="K783" s="4" t="s">
        <v>15175</v>
      </c>
      <c r="L783" s="13">
        <v>12628</v>
      </c>
      <c r="M783" t="str">
        <f>VLOOKUP(L783,[1]Human_BrainSpan!$B$2:$C$4000,2,FALSE)</f>
        <v>DPGi</v>
      </c>
    </row>
    <row r="784" spans="2:13" x14ac:dyDescent="0.25">
      <c r="B784" s="31" t="s">
        <v>25743</v>
      </c>
      <c r="C784" s="20"/>
      <c r="D784" s="25" t="s">
        <v>1574</v>
      </c>
      <c r="E784" s="25"/>
      <c r="F784" s="9" t="str">
        <f>HYPERLINK("https://www.ebi.ac.uk/ols/ontologies/uberon/terms?iri=http://purl.obolibrary.org/obo/UBERON_0016825","dorsal paragigantocellular nucleus")</f>
        <v>dorsal paragigantocellular nucleus</v>
      </c>
      <c r="G784" s="9" t="s">
        <v>1573</v>
      </c>
      <c r="H784" s="9" t="s">
        <v>24457</v>
      </c>
      <c r="I784" s="9" t="s">
        <v>1576</v>
      </c>
      <c r="J784" s="9" t="s">
        <v>1577</v>
      </c>
      <c r="K784" s="7" t="s">
        <v>15171</v>
      </c>
      <c r="L784" s="13">
        <v>9600</v>
      </c>
      <c r="M784" t="str">
        <f>VLOOKUP(L784,[1]HBA!$B$2:$C$4000,2,FALSE)</f>
        <v>DPGi</v>
      </c>
    </row>
    <row r="785" spans="2:13" x14ac:dyDescent="0.25">
      <c r="B785" s="31" t="s">
        <v>25743</v>
      </c>
      <c r="C785" s="20"/>
      <c r="D785" s="25" t="s">
        <v>1574</v>
      </c>
      <c r="E785" s="25"/>
      <c r="F785" s="9" t="str">
        <f>HYPERLINK("https://www.ebi.ac.uk/ols/ontologies/uberon/terms?iri=http://purl.obolibrary.org/obo/UBERON_0016825","dorsal paragigantocellular nucleus")</f>
        <v>dorsal paragigantocellular nucleus</v>
      </c>
      <c r="G785" s="9" t="s">
        <v>1573</v>
      </c>
      <c r="H785" s="9" t="s">
        <v>20502</v>
      </c>
      <c r="I785" s="9" t="s">
        <v>1578</v>
      </c>
      <c r="J785" s="9" t="s">
        <v>1579</v>
      </c>
      <c r="K785" s="3" t="s">
        <v>15176</v>
      </c>
      <c r="L785" s="13">
        <v>970</v>
      </c>
      <c r="M785" t="str">
        <f>VLOOKUP(L785,[1]Mouse_ARA!$B$2:$C$1328,2,FALSE)</f>
        <v>PGRNd</v>
      </c>
    </row>
    <row r="786" spans="2:13" x14ac:dyDescent="0.25">
      <c r="B786" s="31" t="s">
        <v>25743</v>
      </c>
      <c r="C786" s="20"/>
      <c r="D786" s="25" t="s">
        <v>25915</v>
      </c>
      <c r="E786" s="25"/>
      <c r="F786" s="9" t="str">
        <f>HYPERLINK("https://www.ebi.ac.uk/ols/ontologies/uberon/terms?iri=http://purl.obolibrary.org/obo/UBERON_0016827","dorsal paramedian reticular nucleus")</f>
        <v>dorsal paramedian reticular nucleus</v>
      </c>
      <c r="G786" s="9" t="s">
        <v>1580</v>
      </c>
      <c r="H786" s="9" t="s">
        <v>24429</v>
      </c>
      <c r="I786" s="9" t="s">
        <v>1581</v>
      </c>
      <c r="J786" s="9" t="s">
        <v>1582</v>
      </c>
      <c r="K786" s="4" t="s">
        <v>15175</v>
      </c>
      <c r="L786" s="13">
        <v>12597</v>
      </c>
      <c r="M786" t="str">
        <f>VLOOKUP(L786,[1]Human_BrainSpan!$B$2:$C$4000,2,FALSE)</f>
        <v>DPMn</v>
      </c>
    </row>
    <row r="787" spans="2:13" x14ac:dyDescent="0.25">
      <c r="B787" s="31" t="s">
        <v>25743</v>
      </c>
      <c r="C787" s="20"/>
      <c r="D787" s="25" t="s">
        <v>1584</v>
      </c>
      <c r="E787" s="25"/>
      <c r="F787" s="9" t="str">
        <f>HYPERLINK("https://www.ebi.ac.uk/ols/ontologies/uberon/terms?iri=http://purl.obolibrary.org/obo/UBERON_0022437","dorsal periolivary nucleus")</f>
        <v>dorsal periolivary nucleus</v>
      </c>
      <c r="G787" s="9" t="s">
        <v>1583</v>
      </c>
      <c r="H787" s="9" t="s">
        <v>24479</v>
      </c>
      <c r="I787" s="9" t="s">
        <v>1584</v>
      </c>
      <c r="J787" s="9" t="s">
        <v>1585</v>
      </c>
      <c r="K787" s="4" t="s">
        <v>15175</v>
      </c>
      <c r="L787" s="13">
        <v>15561</v>
      </c>
      <c r="M787" t="str">
        <f>VLOOKUP(L787,[1]Human_BrainSpan!$B$2:$C$4000,2,FALSE)</f>
        <v>DPO</v>
      </c>
    </row>
    <row r="788" spans="2:13" x14ac:dyDescent="0.25">
      <c r="B788" s="31" t="s">
        <v>25743</v>
      </c>
      <c r="C788" s="20"/>
      <c r="D788" s="25" t="s">
        <v>1584</v>
      </c>
      <c r="E788" s="25"/>
      <c r="F788" s="9" t="str">
        <f>HYPERLINK("https://www.ebi.ac.uk/ols/ontologies/uberon/terms?iri=http://purl.obolibrary.org/obo/UBERON_0022437","dorsal periolivary nucleus")</f>
        <v>dorsal periolivary nucleus</v>
      </c>
      <c r="G788" s="9" t="s">
        <v>1583</v>
      </c>
      <c r="H788" s="9" t="s">
        <v>17804</v>
      </c>
      <c r="I788" s="9" t="s">
        <v>1584</v>
      </c>
      <c r="J788" s="9" t="s">
        <v>1586</v>
      </c>
      <c r="K788" s="5" t="s">
        <v>15173</v>
      </c>
      <c r="L788" s="13">
        <v>17260</v>
      </c>
      <c r="M788" t="str">
        <f>VLOOKUP(L788,[1]DevMouse!$B$2:$C$2693,2,FALSE)</f>
        <v>DPeO</v>
      </c>
    </row>
    <row r="789" spans="2:13" x14ac:dyDescent="0.25">
      <c r="B789" s="31" t="s">
        <v>25743</v>
      </c>
      <c r="C789" s="20"/>
      <c r="D789" s="25" t="s">
        <v>25916</v>
      </c>
      <c r="E789" s="25"/>
      <c r="F789" s="9" t="str">
        <f>HYPERLINK("https://www.ebi.ac.uk/ols/ontologies/uberon/terms?iri=http://purl.obolibrary.org/obo/UBERON_0001897","dorsal plus ventral thalamus")</f>
        <v>dorsal plus ventral thalamus</v>
      </c>
      <c r="G789" s="9" t="s">
        <v>1587</v>
      </c>
      <c r="H789" s="9" t="s">
        <v>23298</v>
      </c>
      <c r="I789" s="9" t="s">
        <v>1588</v>
      </c>
      <c r="J789" s="9" t="s">
        <v>1589</v>
      </c>
      <c r="K789" s="4" t="s">
        <v>15175</v>
      </c>
      <c r="L789" s="13">
        <v>10390</v>
      </c>
      <c r="M789" t="str">
        <f>VLOOKUP(L789,[1]Human_BrainSpan!$B$2:$C$4000,2,FALSE)</f>
        <v>THM</v>
      </c>
    </row>
    <row r="790" spans="2:13" x14ac:dyDescent="0.25">
      <c r="B790" s="31" t="s">
        <v>25743</v>
      </c>
      <c r="C790" s="20"/>
      <c r="D790" s="25" t="s">
        <v>25916</v>
      </c>
      <c r="E790" s="25"/>
      <c r="F790" s="9" t="str">
        <f>HYPERLINK("https://www.ebi.ac.uk/ols/ontologies/uberon/terms?iri=http://purl.obolibrary.org/obo/UBERON_0001897","dorsal plus ventral thalamus")</f>
        <v>dorsal plus ventral thalamus</v>
      </c>
      <c r="G790" s="9" t="s">
        <v>1587</v>
      </c>
      <c r="H790" s="9" t="s">
        <v>16349</v>
      </c>
      <c r="I790" s="9" t="s">
        <v>1588</v>
      </c>
      <c r="J790" s="9" t="s">
        <v>1590</v>
      </c>
      <c r="K790" s="5" t="s">
        <v>15173</v>
      </c>
      <c r="L790" s="13">
        <v>16376</v>
      </c>
      <c r="M790" t="str">
        <f>VLOOKUP(L790,[1]DevMouse!$B$2:$C$2693,2,FALSE)</f>
        <v>Th</v>
      </c>
    </row>
    <row r="791" spans="2:13" x14ac:dyDescent="0.25">
      <c r="B791" s="31" t="s">
        <v>25743</v>
      </c>
      <c r="C791" s="20"/>
      <c r="D791" s="25" t="s">
        <v>25916</v>
      </c>
      <c r="E791" s="25"/>
      <c r="F791" s="9" t="str">
        <f>HYPERLINK("https://www.ebi.ac.uk/ols/ontologies/uberon/terms?iri=http://purl.obolibrary.org/obo/UBERON_0001897","dorsal plus ventral thalamus")</f>
        <v>dorsal plus ventral thalamus</v>
      </c>
      <c r="G791" s="9" t="s">
        <v>1587</v>
      </c>
      <c r="H791" s="9" t="s">
        <v>19875</v>
      </c>
      <c r="I791" s="9" t="s">
        <v>1588</v>
      </c>
      <c r="J791" s="9" t="s">
        <v>1591</v>
      </c>
      <c r="K791" s="7" t="s">
        <v>15171</v>
      </c>
      <c r="L791" s="13">
        <v>4392</v>
      </c>
      <c r="M791" t="str">
        <f>VLOOKUP(L791,[1]HBA!$B$2:$C$4000,2,FALSE)</f>
        <v>TH</v>
      </c>
    </row>
    <row r="792" spans="2:13" x14ac:dyDescent="0.25">
      <c r="B792" s="31" t="s">
        <v>25743</v>
      </c>
      <c r="C792" s="20"/>
      <c r="D792" s="25" t="s">
        <v>25916</v>
      </c>
      <c r="E792" s="25"/>
      <c r="F792" s="9" t="str">
        <f>HYPERLINK("https://www.ebi.ac.uk/ols/ontologies/uberon/terms?iri=http://purl.obolibrary.org/obo/UBERON_0001897","dorsal plus ventral thalamus")</f>
        <v>dorsal plus ventral thalamus</v>
      </c>
      <c r="G792" s="9" t="s">
        <v>1587</v>
      </c>
      <c r="H792" s="9" t="s">
        <v>19875</v>
      </c>
      <c r="I792" s="9" t="s">
        <v>1588</v>
      </c>
      <c r="J792" s="9" t="s">
        <v>1592</v>
      </c>
      <c r="K792" s="3" t="s">
        <v>15176</v>
      </c>
      <c r="L792" s="13">
        <v>549</v>
      </c>
      <c r="M792" t="str">
        <f>VLOOKUP(L792,[1]Mouse_ARA!$B$2:$C$1328,2,FALSE)</f>
        <v>TH</v>
      </c>
    </row>
    <row r="793" spans="2:13" x14ac:dyDescent="0.25">
      <c r="B793" s="31" t="s">
        <v>25743</v>
      </c>
      <c r="C793" s="20"/>
      <c r="D793" s="25" t="s">
        <v>25916</v>
      </c>
      <c r="E793" s="25"/>
      <c r="F793" s="9" t="str">
        <f>HYPERLINK("https://www.ebi.ac.uk/ols/ontologies/uberon/terms?iri=http://purl.obolibrary.org/obo/UBERON_0001897","dorsal plus ventral thalamus")</f>
        <v>dorsal plus ventral thalamus</v>
      </c>
      <c r="G793" s="9" t="s">
        <v>1587</v>
      </c>
      <c r="H793" s="9" t="s">
        <v>25736</v>
      </c>
      <c r="I793" s="9" t="s">
        <v>1588</v>
      </c>
      <c r="J793" s="9" t="s">
        <v>1593</v>
      </c>
      <c r="K793" s="6" t="s">
        <v>15174</v>
      </c>
      <c r="L793" s="13">
        <v>128013014</v>
      </c>
      <c r="M793" t="str">
        <f>VLOOKUP(L793,[1]NonHumanPrimate!$B$2:$C$4000,2,FALSE)</f>
        <v>Thal</v>
      </c>
    </row>
    <row r="794" spans="2:13" x14ac:dyDescent="0.25">
      <c r="B794" s="31" t="s">
        <v>25743</v>
      </c>
      <c r="C794" s="20"/>
      <c r="D794" s="25" t="s">
        <v>658</v>
      </c>
      <c r="E794" s="25"/>
      <c r="F794" s="9" t="str">
        <f>HYPERLINK("https://www.ebi.ac.uk/ols/ontologies/uberon/terms?iri=http://purl.obolibrary.org/obo/UBERON_0007767","dorsal premammillary nucleus")</f>
        <v>dorsal premammillary nucleus</v>
      </c>
      <c r="G794" s="9" t="s">
        <v>1594</v>
      </c>
      <c r="H794" s="9" t="s">
        <v>15486</v>
      </c>
      <c r="I794" s="9" t="s">
        <v>658</v>
      </c>
      <c r="J794" s="9" t="s">
        <v>659</v>
      </c>
      <c r="K794" s="5" t="s">
        <v>15173</v>
      </c>
      <c r="L794" s="13">
        <v>15719</v>
      </c>
      <c r="M794" t="str">
        <f>VLOOKUP(L794,[1]DevMouse!$B$2:$C$2693,2,FALSE)</f>
        <v>PMD</v>
      </c>
    </row>
    <row r="795" spans="2:13" x14ac:dyDescent="0.25">
      <c r="B795" s="31" t="s">
        <v>25743</v>
      </c>
      <c r="C795" s="20"/>
      <c r="D795" s="25" t="s">
        <v>658</v>
      </c>
      <c r="E795" s="25"/>
      <c r="F795" s="9" t="str">
        <f>HYPERLINK("https://www.ebi.ac.uk/ols/ontologies/uberon/terms?iri=http://purl.obolibrary.org/obo/UBERON_0007767","dorsal premammillary nucleus")</f>
        <v>dorsal premammillary nucleus</v>
      </c>
      <c r="G795" s="9" t="s">
        <v>1594</v>
      </c>
      <c r="H795" s="9" t="s">
        <v>15486</v>
      </c>
      <c r="I795" s="9" t="s">
        <v>1595</v>
      </c>
      <c r="J795" s="9" t="s">
        <v>1596</v>
      </c>
      <c r="K795" s="7" t="s">
        <v>15171</v>
      </c>
      <c r="L795" s="13">
        <v>4677</v>
      </c>
      <c r="M795" t="str">
        <f>VLOOKUP(L795,[1]HBA!$B$2:$C$4000,2,FALSE)</f>
        <v>PMD</v>
      </c>
    </row>
    <row r="796" spans="2:13" x14ac:dyDescent="0.25">
      <c r="B796" s="31" t="s">
        <v>25743</v>
      </c>
      <c r="C796" s="20"/>
      <c r="D796" s="25" t="s">
        <v>658</v>
      </c>
      <c r="E796" s="25"/>
      <c r="F796" s="9" t="str">
        <f>HYPERLINK("https://www.ebi.ac.uk/ols/ontologies/uberon/terms?iri=http://purl.obolibrary.org/obo/UBERON_0007767","dorsal premammillary nucleus")</f>
        <v>dorsal premammillary nucleus</v>
      </c>
      <c r="G796" s="9" t="s">
        <v>1594</v>
      </c>
      <c r="H796" s="9" t="s">
        <v>20115</v>
      </c>
      <c r="I796" s="9" t="s">
        <v>658</v>
      </c>
      <c r="J796" s="9" t="s">
        <v>842</v>
      </c>
      <c r="K796" s="3" t="s">
        <v>15176</v>
      </c>
      <c r="L796" s="13">
        <v>980</v>
      </c>
      <c r="M796" t="str">
        <f>VLOOKUP(L796,[1]Mouse_ARA!$B$2:$C$1328,2,FALSE)</f>
        <v>PMd</v>
      </c>
    </row>
    <row r="797" spans="2:13" x14ac:dyDescent="0.25">
      <c r="B797" s="31" t="s">
        <v>25743</v>
      </c>
      <c r="C797" s="20"/>
      <c r="D797" s="25" t="s">
        <v>1598</v>
      </c>
      <c r="E797" s="25"/>
      <c r="F797" s="9" t="str">
        <f>HYPERLINK("https://www.ebi.ac.uk/ols/ontologies/uberon/terms?iri=http://purl.obolibrary.org/obo/UBERON_0002043","dorsal raphe nucleus")</f>
        <v>dorsal raphe nucleus</v>
      </c>
      <c r="G797" s="9" t="s">
        <v>1597</v>
      </c>
      <c r="H797" s="9" t="s">
        <v>20291</v>
      </c>
      <c r="I797" s="9" t="s">
        <v>1598</v>
      </c>
      <c r="J797" s="9" t="s">
        <v>1599</v>
      </c>
      <c r="K797" s="4" t="s">
        <v>15175</v>
      </c>
      <c r="L797" s="13">
        <v>12223</v>
      </c>
      <c r="M797" t="str">
        <f>VLOOKUP(L797,[1]Human_BrainSpan!$B$2:$C$4000,2,FALSE)</f>
        <v>DR</v>
      </c>
    </row>
    <row r="798" spans="2:13" x14ac:dyDescent="0.25">
      <c r="B798" s="31" t="s">
        <v>25743</v>
      </c>
      <c r="C798" s="20"/>
      <c r="D798" s="25" t="s">
        <v>1598</v>
      </c>
      <c r="E798" s="25"/>
      <c r="F798" s="9" t="str">
        <f>HYPERLINK("https://www.ebi.ac.uk/ols/ontologies/uberon/terms?iri=http://purl.obolibrary.org/obo/UBERON_0002043","dorsal raphe nucleus")</f>
        <v>dorsal raphe nucleus</v>
      </c>
      <c r="G798" s="9" t="s">
        <v>1597</v>
      </c>
      <c r="H798" s="9" t="s">
        <v>20291</v>
      </c>
      <c r="I798" s="9" t="s">
        <v>1600</v>
      </c>
      <c r="J798" s="9" t="s">
        <v>1601</v>
      </c>
      <c r="K798" s="7" t="s">
        <v>15171</v>
      </c>
      <c r="L798" s="13">
        <v>9457</v>
      </c>
      <c r="M798" t="str">
        <f>VLOOKUP(L798,[1]HBA!$B$2:$C$4000,2,FALSE)</f>
        <v>DR</v>
      </c>
    </row>
    <row r="799" spans="2:13" x14ac:dyDescent="0.25">
      <c r="B799" s="31" t="s">
        <v>25743</v>
      </c>
      <c r="C799" s="20"/>
      <c r="D799" s="25" t="s">
        <v>1598</v>
      </c>
      <c r="E799" s="25"/>
      <c r="F799" s="9" t="str">
        <f>HYPERLINK("https://www.ebi.ac.uk/ols/ontologies/uberon/terms?iri=http://purl.obolibrary.org/obo/UBERON_0002043","dorsal raphe nucleus")</f>
        <v>dorsal raphe nucleus</v>
      </c>
      <c r="G799" s="9" t="s">
        <v>1597</v>
      </c>
      <c r="H799" s="9" t="s">
        <v>20291</v>
      </c>
      <c r="I799" s="9" t="s">
        <v>1602</v>
      </c>
      <c r="J799" s="9" t="s">
        <v>1603</v>
      </c>
      <c r="K799" s="3" t="s">
        <v>15176</v>
      </c>
      <c r="L799" s="13">
        <v>872</v>
      </c>
      <c r="M799" t="str">
        <f>VLOOKUP(L799,[1]Mouse_ARA!$B$2:$C$1328,2,FALSE)</f>
        <v>DR</v>
      </c>
    </row>
    <row r="800" spans="2:13" x14ac:dyDescent="0.25">
      <c r="B800" s="31" t="s">
        <v>25743</v>
      </c>
      <c r="C800" s="9"/>
      <c r="D800" s="25" t="s">
        <v>1605</v>
      </c>
      <c r="E800" s="25"/>
      <c r="F800" s="9" t="str">
        <f>HYPERLINK("https://www.ebi.ac.uk/ols/ontologies/uberon/terms?iri=http://purl.obolibrary.org/obo/UBERON_0005382","dorsal striatum")</f>
        <v>dorsal striatum</v>
      </c>
      <c r="G800" s="9" t="s">
        <v>1604</v>
      </c>
      <c r="H800" s="9" t="s">
        <v>19742</v>
      </c>
      <c r="I800" s="9" t="s">
        <v>1202</v>
      </c>
      <c r="J800" s="9" t="s">
        <v>1203</v>
      </c>
      <c r="K800" s="3" t="s">
        <v>15176</v>
      </c>
      <c r="L800" s="13">
        <v>485</v>
      </c>
      <c r="M800" t="str">
        <f>VLOOKUP(L800,[1]Mouse_ARA!$B$2:$C$1328,2,FALSE)</f>
        <v>STRd</v>
      </c>
    </row>
    <row r="801" spans="2:13" x14ac:dyDescent="0.25">
      <c r="B801" s="31" t="s">
        <v>25743</v>
      </c>
      <c r="C801" s="9"/>
      <c r="D801" s="25" t="s">
        <v>1605</v>
      </c>
      <c r="E801" s="25"/>
      <c r="F801" s="9" t="str">
        <f>HYPERLINK("https://www.ebi.ac.uk/ols/ontologies/uberon/terms?iri=http://purl.obolibrary.org/obo/UBERON_0005382","dorsal striatum")</f>
        <v>dorsal striatum</v>
      </c>
      <c r="G801" s="9" t="s">
        <v>1604</v>
      </c>
      <c r="H801" s="9" t="s">
        <v>25734</v>
      </c>
      <c r="I801" s="9" t="s">
        <v>1605</v>
      </c>
      <c r="J801" s="9" t="s">
        <v>1606</v>
      </c>
      <c r="K801" s="6" t="s">
        <v>15174</v>
      </c>
      <c r="L801" s="13">
        <v>10081</v>
      </c>
      <c r="M801" t="str">
        <f>VLOOKUP(L801,[1]NonHumanPrimate!$B$2:$C$4000,2,FALSE)</f>
        <v>dSTR</v>
      </c>
    </row>
    <row r="802" spans="2:13" x14ac:dyDescent="0.25">
      <c r="B802" s="31" t="s">
        <v>25743</v>
      </c>
      <c r="C802" s="20"/>
      <c r="D802" s="25" t="s">
        <v>25917</v>
      </c>
      <c r="E802" s="25"/>
      <c r="F802" s="9" t="str">
        <f>HYPERLINK("https://www.ebi.ac.uk/ols/ontologies/uberon/terms?iri=http://purl.obolibrary.org/obo/UBERON_0002697","dorsal supraoptic decussation")</f>
        <v>dorsal supraoptic decussation</v>
      </c>
      <c r="G802" s="9" t="s">
        <v>1607</v>
      </c>
      <c r="H802" s="9" t="s">
        <v>20917</v>
      </c>
      <c r="I802" s="9" t="s">
        <v>1608</v>
      </c>
      <c r="J802" s="9" t="s">
        <v>1609</v>
      </c>
      <c r="K802" s="3" t="s">
        <v>15176</v>
      </c>
      <c r="L802" s="13">
        <v>825</v>
      </c>
      <c r="M802" t="str">
        <f>VLOOKUP(L802,[1]Mouse_ARA!$B$2:$C$1328,2,FALSE)</f>
        <v>supd</v>
      </c>
    </row>
    <row r="803" spans="2:13" x14ac:dyDescent="0.25">
      <c r="B803" s="31" t="s">
        <v>25743</v>
      </c>
      <c r="C803" s="20"/>
      <c r="D803" s="25" t="s">
        <v>1611</v>
      </c>
      <c r="E803" s="25"/>
      <c r="F803" s="9" t="str">
        <f>HYPERLINK("https://www.ebi.ac.uk/ols/ontologies/uberon/terms?iri=http://purl.obolibrary.org/obo/UBERON_0003009","dorsal tegmental decussation")</f>
        <v>dorsal tegmental decussation</v>
      </c>
      <c r="G803" s="9" t="s">
        <v>1610</v>
      </c>
      <c r="H803" s="9" t="s">
        <v>24124</v>
      </c>
      <c r="I803" s="9" t="s">
        <v>1611</v>
      </c>
      <c r="J803" s="9" t="s">
        <v>1612</v>
      </c>
      <c r="K803" s="4" t="s">
        <v>15175</v>
      </c>
      <c r="L803" s="13">
        <v>12340</v>
      </c>
      <c r="M803" t="str">
        <f>VLOOKUP(L803,[1]Human_BrainSpan!$B$2:$C$4000,2,FALSE)</f>
        <v>xdtg</v>
      </c>
    </row>
    <row r="804" spans="2:13" x14ac:dyDescent="0.25">
      <c r="B804" s="31" t="s">
        <v>25743</v>
      </c>
      <c r="C804" s="20"/>
      <c r="D804" s="25" t="s">
        <v>1614</v>
      </c>
      <c r="E804" s="25"/>
      <c r="F804" s="9" t="str">
        <f>HYPERLINK("https://www.ebi.ac.uk/ols/ontologies/uberon/terms?iri=http://purl.obolibrary.org/obo/UBERON_0002143","dorsal tegmental nucleus")</f>
        <v>dorsal tegmental nucleus</v>
      </c>
      <c r="G804" s="9" t="s">
        <v>1613</v>
      </c>
      <c r="H804" s="9" t="s">
        <v>17455</v>
      </c>
      <c r="I804" s="9" t="s">
        <v>1614</v>
      </c>
      <c r="J804" s="9" t="s">
        <v>1615</v>
      </c>
      <c r="K804" s="4" t="s">
        <v>15175</v>
      </c>
      <c r="L804" s="13">
        <v>12508</v>
      </c>
      <c r="M804" t="str">
        <f>VLOOKUP(L804,[1]Human_BrainSpan!$B$2:$C$4000,2,FALSE)</f>
        <v>DTg</v>
      </c>
    </row>
    <row r="805" spans="2:13" x14ac:dyDescent="0.25">
      <c r="B805" s="31" t="s">
        <v>25743</v>
      </c>
      <c r="C805" s="20"/>
      <c r="D805" s="25" t="s">
        <v>1614</v>
      </c>
      <c r="E805" s="25"/>
      <c r="F805" s="9" t="str">
        <f>HYPERLINK("https://www.ebi.ac.uk/ols/ontologies/uberon/terms?iri=http://purl.obolibrary.org/obo/UBERON_0002143","dorsal tegmental nucleus")</f>
        <v>dorsal tegmental nucleus</v>
      </c>
      <c r="G805" s="9" t="s">
        <v>1613</v>
      </c>
      <c r="H805" s="9" t="s">
        <v>17455</v>
      </c>
      <c r="I805" s="9" t="s">
        <v>1614</v>
      </c>
      <c r="J805" s="9" t="s">
        <v>1616</v>
      </c>
      <c r="K805" s="5" t="s">
        <v>15173</v>
      </c>
      <c r="L805" s="13">
        <v>17000</v>
      </c>
      <c r="M805" t="str">
        <f>VLOOKUP(L805,[1]DevMouse!$B$2:$C$2693,2,FALSE)</f>
        <v>DTg</v>
      </c>
    </row>
    <row r="806" spans="2:13" x14ac:dyDescent="0.25">
      <c r="B806" s="31" t="s">
        <v>25743</v>
      </c>
      <c r="C806" s="20"/>
      <c r="D806" s="25" t="s">
        <v>1614</v>
      </c>
      <c r="E806" s="25"/>
      <c r="F806" s="9" t="str">
        <f>HYPERLINK("https://www.ebi.ac.uk/ols/ontologies/uberon/terms?iri=http://purl.obolibrary.org/obo/UBERON_0002143","dorsal tegmental nucleus")</f>
        <v>dorsal tegmental nucleus</v>
      </c>
      <c r="G806" s="9" t="s">
        <v>1613</v>
      </c>
      <c r="H806" s="9" t="s">
        <v>17455</v>
      </c>
      <c r="I806" s="9" t="s">
        <v>1614</v>
      </c>
      <c r="J806" s="9" t="s">
        <v>1617</v>
      </c>
      <c r="K806" s="7" t="s">
        <v>15171</v>
      </c>
      <c r="L806" s="13">
        <v>265504876</v>
      </c>
      <c r="M806" t="str">
        <f>VLOOKUP(L806,[1]HBA!$B$2:$C$4000,2,FALSE)</f>
        <v>DTg</v>
      </c>
    </row>
    <row r="807" spans="2:13" x14ac:dyDescent="0.25">
      <c r="B807" s="31" t="s">
        <v>25743</v>
      </c>
      <c r="C807" s="20"/>
      <c r="D807" s="25" t="s">
        <v>1614</v>
      </c>
      <c r="E807" s="25"/>
      <c r="F807" s="9" t="str">
        <f>HYPERLINK("https://www.ebi.ac.uk/ols/ontologies/uberon/terms?iri=http://purl.obolibrary.org/obo/UBERON_0002143","dorsal tegmental nucleus")</f>
        <v>dorsal tegmental nucleus</v>
      </c>
      <c r="G807" s="9" t="s">
        <v>1613</v>
      </c>
      <c r="H807" s="9" t="s">
        <v>20341</v>
      </c>
      <c r="I807" s="9" t="s">
        <v>1614</v>
      </c>
      <c r="J807" s="9" t="s">
        <v>1618</v>
      </c>
      <c r="K807" s="3" t="s">
        <v>15176</v>
      </c>
      <c r="L807" s="13">
        <v>880</v>
      </c>
      <c r="M807" t="str">
        <f>VLOOKUP(L807,[1]Mouse_ARA!$B$2:$C$1328,2,FALSE)</f>
        <v>DTN</v>
      </c>
    </row>
    <row r="808" spans="2:13" x14ac:dyDescent="0.25">
      <c r="B808" s="31" t="s">
        <v>25743</v>
      </c>
      <c r="C808" s="20"/>
      <c r="D808" s="25" t="s">
        <v>1620</v>
      </c>
      <c r="E808" s="25"/>
      <c r="F808" s="9" t="str">
        <f>HYPERLINK("https://www.ebi.ac.uk/ols/ontologies/uberon/terms?iri=http://purl.obolibrary.org/obo/UBERON_0004703","dorsal thalamus")</f>
        <v>dorsal thalamus</v>
      </c>
      <c r="G808" s="9" t="s">
        <v>1619</v>
      </c>
      <c r="H808" s="9" t="s">
        <v>23299</v>
      </c>
      <c r="I808" s="9" t="s">
        <v>1620</v>
      </c>
      <c r="J808" s="9" t="s">
        <v>1621</v>
      </c>
      <c r="K808" s="4" t="s">
        <v>15175</v>
      </c>
      <c r="L808" s="13">
        <v>10391</v>
      </c>
      <c r="M808" t="str">
        <f>VLOOKUP(L808,[1]Human_BrainSpan!$B$2:$C$4000,2,FALSE)</f>
        <v>DTH</v>
      </c>
    </row>
    <row r="809" spans="2:13" x14ac:dyDescent="0.25">
      <c r="B809" s="31" t="s">
        <v>26299</v>
      </c>
      <c r="C809" s="20"/>
      <c r="D809" s="25" t="s">
        <v>1620</v>
      </c>
      <c r="E809" s="25"/>
      <c r="F809" s="9" t="str">
        <f>HYPERLINK("https://www.ebi.ac.uk/ols/ontologies/uberon/terms?iri=http://purl.obolibrary.org/obo/UBERON_0004703","dorsal thalamus")</f>
        <v>dorsal thalamus</v>
      </c>
      <c r="G809" s="9" t="s">
        <v>1619</v>
      </c>
      <c r="H809" s="9" t="s">
        <v>16395</v>
      </c>
      <c r="I809" s="9" t="s">
        <v>1622</v>
      </c>
      <c r="J809" s="9" t="s">
        <v>1623</v>
      </c>
      <c r="K809" s="5" t="s">
        <v>15173</v>
      </c>
      <c r="L809" s="13">
        <v>16396</v>
      </c>
      <c r="M809" t="str">
        <f>VLOOKUP(L809,[1]DevMouse!$B$2:$C$2693,2,FALSE)</f>
        <v>DTTh</v>
      </c>
    </row>
    <row r="810" spans="2:13" x14ac:dyDescent="0.25">
      <c r="B810" s="31" t="s">
        <v>25743</v>
      </c>
      <c r="C810" s="20"/>
      <c r="D810" s="25" t="s">
        <v>1620</v>
      </c>
      <c r="E810" s="25"/>
      <c r="F810" s="9" t="str">
        <f>HYPERLINK("https://www.ebi.ac.uk/ols/ontologies/uberon/terms?iri=http://purl.obolibrary.org/obo/UBERON_0004703","dorsal thalamus")</f>
        <v>dorsal thalamus</v>
      </c>
      <c r="G810" s="9" t="s">
        <v>1619</v>
      </c>
      <c r="H810" s="9" t="s">
        <v>16771</v>
      </c>
      <c r="I810" s="9" t="s">
        <v>1620</v>
      </c>
      <c r="J810" s="9" t="s">
        <v>1624</v>
      </c>
      <c r="K810" s="7" t="s">
        <v>15171</v>
      </c>
      <c r="L810" s="13">
        <v>4393</v>
      </c>
      <c r="M810" t="str">
        <f>VLOOKUP(L810,[1]HBA!$B$2:$C$4000,2,FALSE)</f>
        <v>DT</v>
      </c>
    </row>
    <row r="811" spans="2:13" x14ac:dyDescent="0.25">
      <c r="B811" s="31" t="s">
        <v>25743</v>
      </c>
      <c r="C811" s="20"/>
      <c r="D811" s="25" t="s">
        <v>1620</v>
      </c>
      <c r="E811" s="25"/>
      <c r="F811" s="9" t="str">
        <f>HYPERLINK("https://www.ebi.ac.uk/ols/ontologies/uberon/terms?iri=http://purl.obolibrary.org/obo/UBERON_0004703","dorsal thalamus")</f>
        <v>dorsal thalamus</v>
      </c>
      <c r="G811" s="9" t="s">
        <v>1619</v>
      </c>
      <c r="H811" s="9" t="s">
        <v>25737</v>
      </c>
      <c r="I811" s="9" t="s">
        <v>1620</v>
      </c>
      <c r="J811" s="9" t="s">
        <v>1625</v>
      </c>
      <c r="K811" s="6" t="s">
        <v>15174</v>
      </c>
      <c r="L811" s="13">
        <v>128013018</v>
      </c>
      <c r="M811" t="str">
        <f>VLOOKUP(L811,[1]NonHumanPrimate!$B$2:$C$4000,2,FALSE)</f>
        <v>DTh</v>
      </c>
    </row>
    <row r="812" spans="2:13" x14ac:dyDescent="0.25">
      <c r="B812" s="31" t="s">
        <v>25743</v>
      </c>
      <c r="C812" s="20"/>
      <c r="D812" s="25" t="s">
        <v>25918</v>
      </c>
      <c r="E812" s="25"/>
      <c r="F812" s="9" t="str">
        <f>HYPERLINK("https://www.ebi.ac.uk/ols/ontologies/uberon/terms?iri=http://purl.obolibrary.org/obo/UBERON_0002797","dorsal trigeminal tract")</f>
        <v>dorsal trigeminal tract</v>
      </c>
      <c r="G812" s="9" t="s">
        <v>1626</v>
      </c>
      <c r="H812" s="9" t="s">
        <v>24605</v>
      </c>
      <c r="I812" s="9" t="s">
        <v>1627</v>
      </c>
      <c r="J812" s="9" t="s">
        <v>1628</v>
      </c>
      <c r="K812" s="4" t="s">
        <v>15175</v>
      </c>
      <c r="L812" s="13">
        <v>12736</v>
      </c>
      <c r="M812" t="str">
        <f>VLOOKUP(L812,[1]Human_BrainSpan!$B$2:$C$4000,2,FALSE)</f>
        <v>dtgth</v>
      </c>
    </row>
    <row r="813" spans="2:13" x14ac:dyDescent="0.25">
      <c r="B813" s="31" t="s">
        <v>25743</v>
      </c>
      <c r="C813" s="20"/>
      <c r="D813" s="25" t="s">
        <v>25919</v>
      </c>
      <c r="E813" s="25"/>
      <c r="F813" s="9" t="str">
        <f>HYPERLINK("https://www.ebi.ac.uk/ols/ontologies/uberon/terms?iri=http://purl.obolibrary.org/obo/UBERON_0018262","dorsal zone of medial entorhinal cortex")</f>
        <v>dorsal zone of medial entorhinal cortex</v>
      </c>
      <c r="G813" s="9" t="s">
        <v>1629</v>
      </c>
      <c r="H813" s="9" t="s">
        <v>19615</v>
      </c>
      <c r="I813" s="9" t="s">
        <v>1630</v>
      </c>
      <c r="J813" s="9" t="s">
        <v>1631</v>
      </c>
      <c r="K813" s="3" t="s">
        <v>15176</v>
      </c>
      <c r="L813" s="13">
        <v>926</v>
      </c>
      <c r="M813" t="str">
        <f>VLOOKUP(L813,[1]Mouse_ARA!$B$2:$C$1328,2,FALSE)</f>
        <v>ENTm</v>
      </c>
    </row>
    <row r="814" spans="2:13" x14ac:dyDescent="0.25">
      <c r="B814" s="31" t="s">
        <v>25743</v>
      </c>
      <c r="C814" s="20"/>
      <c r="D814" s="25" t="s">
        <v>25920</v>
      </c>
      <c r="E814" s="25"/>
      <c r="F814" s="9" t="str">
        <f>HYPERLINK("https://www.ebi.ac.uk/ols/ontologies/uberon/terms?iri=http://purl.obolibrary.org/obo/UBERON_0035928","dorsolateral part of supraoptic nucleus")</f>
        <v>dorsolateral part of supraoptic nucleus</v>
      </c>
      <c r="G814" s="9" t="s">
        <v>1632</v>
      </c>
      <c r="H814" s="9" t="s">
        <v>24965</v>
      </c>
      <c r="I814" s="9" t="s">
        <v>1633</v>
      </c>
      <c r="J814" s="9" t="s">
        <v>1634</v>
      </c>
      <c r="K814" s="7" t="s">
        <v>15171</v>
      </c>
      <c r="L814" s="13">
        <v>4594</v>
      </c>
      <c r="M814" t="str">
        <f>VLOOKUP(L814,[1]HBA!$B$2:$C$4000,2,FALSE)</f>
        <v>SODL</v>
      </c>
    </row>
    <row r="815" spans="2:13" x14ac:dyDescent="0.25">
      <c r="B815" s="31" t="s">
        <v>25743</v>
      </c>
      <c r="C815" s="20"/>
      <c r="D815" s="25" t="s">
        <v>1636</v>
      </c>
      <c r="E815" s="25"/>
      <c r="F815" s="9" t="str">
        <f>HYPERLINK("https://www.ebi.ac.uk/ols/ontologies/uberon/terms?iri=http://purl.obolibrary.org/obo/UBERON_0009834","dorsolateral prefrontal cortex")</f>
        <v>dorsolateral prefrontal cortex</v>
      </c>
      <c r="G815" s="9" t="s">
        <v>1635</v>
      </c>
      <c r="H815" s="9" t="s">
        <v>22102</v>
      </c>
      <c r="I815" s="9" t="s">
        <v>1636</v>
      </c>
      <c r="J815" s="9" t="s">
        <v>1637</v>
      </c>
      <c r="K815" s="4" t="s">
        <v>15175</v>
      </c>
      <c r="L815" s="13">
        <v>10173</v>
      </c>
      <c r="M815" t="str">
        <f>VLOOKUP(L815,[1]Human_BrainSpan!$B$2:$C$4000,2,FALSE)</f>
        <v>DFC</v>
      </c>
    </row>
    <row r="816" spans="2:13" x14ac:dyDescent="0.25">
      <c r="B816" s="31" t="s">
        <v>25743</v>
      </c>
      <c r="C816" s="20"/>
      <c r="D816" s="25" t="s">
        <v>25921</v>
      </c>
      <c r="E816" s="25"/>
      <c r="F816" s="9" t="str">
        <f>HYPERLINK("https://www.ebi.ac.uk/ols/ontologies/uberon/terms?iri=http://purl.obolibrary.org/obo/UBERON_0035154","dorsolateral prefrontal cortex layer 2")</f>
        <v>dorsolateral prefrontal cortex layer 2</v>
      </c>
      <c r="G816" s="9" t="s">
        <v>1638</v>
      </c>
      <c r="H816" s="9" t="s">
        <v>25586</v>
      </c>
      <c r="I816" s="9" t="s">
        <v>1639</v>
      </c>
      <c r="J816" s="9" t="s">
        <v>1640</v>
      </c>
      <c r="K816" s="6" t="s">
        <v>15174</v>
      </c>
      <c r="L816" s="13">
        <v>12986</v>
      </c>
      <c r="M816" t="str">
        <f>VLOOKUP(L816,[1]NonHumanPrimate!$B$2:$C$4000,2,FALSE)</f>
        <v>dlPF2</v>
      </c>
    </row>
    <row r="817" spans="2:13" x14ac:dyDescent="0.25">
      <c r="B817" s="31" t="s">
        <v>25743</v>
      </c>
      <c r="C817" s="20"/>
      <c r="D817" s="25" t="s">
        <v>25922</v>
      </c>
      <c r="E817" s="25"/>
      <c r="F817" s="9" t="str">
        <f>HYPERLINK("https://www.ebi.ac.uk/ols/ontologies/uberon/terms?iri=http://purl.obolibrary.org/obo/UBERON_0035155","dorsolateral prefrontal cortex layer 3")</f>
        <v>dorsolateral prefrontal cortex layer 3</v>
      </c>
      <c r="G817" s="9" t="s">
        <v>1641</v>
      </c>
      <c r="H817" s="9" t="s">
        <v>25594</v>
      </c>
      <c r="I817" s="9" t="s">
        <v>1642</v>
      </c>
      <c r="J817" s="9" t="s">
        <v>1643</v>
      </c>
      <c r="K817" s="6" t="s">
        <v>15174</v>
      </c>
      <c r="L817" s="13">
        <v>12987</v>
      </c>
      <c r="M817" t="str">
        <f>VLOOKUP(L817,[1]NonHumanPrimate!$B$2:$C$4000,2,FALSE)</f>
        <v>dlPF3</v>
      </c>
    </row>
    <row r="818" spans="2:13" x14ac:dyDescent="0.25">
      <c r="B818" s="31" t="s">
        <v>25743</v>
      </c>
      <c r="C818" s="20"/>
      <c r="D818" s="25" t="s">
        <v>25923</v>
      </c>
      <c r="E818" s="25"/>
      <c r="F818" s="9" t="str">
        <f>HYPERLINK("https://www.ebi.ac.uk/ols/ontologies/uberon/terms?iri=http://purl.obolibrary.org/obo/UBERON_0035156","dorsolateral prefrontal cortex layer 4")</f>
        <v>dorsolateral prefrontal cortex layer 4</v>
      </c>
      <c r="G818" s="9" t="s">
        <v>1644</v>
      </c>
      <c r="H818" s="9" t="s">
        <v>25604</v>
      </c>
      <c r="I818" s="9" t="s">
        <v>1645</v>
      </c>
      <c r="J818" s="9" t="s">
        <v>1646</v>
      </c>
      <c r="K818" s="6" t="s">
        <v>15174</v>
      </c>
      <c r="L818" s="13">
        <v>12988</v>
      </c>
      <c r="M818" t="str">
        <f>VLOOKUP(L818,[1]NonHumanPrimate!$B$2:$C$4000,2,FALSE)</f>
        <v>dlPF4</v>
      </c>
    </row>
    <row r="819" spans="2:13" x14ac:dyDescent="0.25">
      <c r="B819" s="31" t="s">
        <v>25743</v>
      </c>
      <c r="C819" s="20"/>
      <c r="D819" s="25" t="s">
        <v>25924</v>
      </c>
      <c r="E819" s="25"/>
      <c r="F819" s="9" t="str">
        <f>HYPERLINK("https://www.ebi.ac.uk/ols/ontologies/uberon/terms?iri=http://purl.obolibrary.org/obo/UBERON_0035157","dorsolateral prefrontal cortex layer 5")</f>
        <v>dorsolateral prefrontal cortex layer 5</v>
      </c>
      <c r="G819" s="9" t="s">
        <v>1647</v>
      </c>
      <c r="H819" s="9" t="s">
        <v>25612</v>
      </c>
      <c r="I819" s="9" t="s">
        <v>1648</v>
      </c>
      <c r="J819" s="9" t="s">
        <v>1649</v>
      </c>
      <c r="K819" s="6" t="s">
        <v>15174</v>
      </c>
      <c r="L819" s="13">
        <v>12989</v>
      </c>
      <c r="M819" t="str">
        <f>VLOOKUP(L819,[1]NonHumanPrimate!$B$2:$C$4000,2,FALSE)</f>
        <v>dlPF5</v>
      </c>
    </row>
    <row r="820" spans="2:13" x14ac:dyDescent="0.25">
      <c r="B820" s="31" t="s">
        <v>25743</v>
      </c>
      <c r="C820" s="20"/>
      <c r="D820" s="25" t="s">
        <v>25925</v>
      </c>
      <c r="E820" s="25"/>
      <c r="F820" s="9" t="str">
        <f>HYPERLINK("https://www.ebi.ac.uk/ols/ontologies/uberon/terms?iri=http://purl.obolibrary.org/obo/UBERON_0035158","dorsolateral prefrontal cortex layer 6")</f>
        <v>dorsolateral prefrontal cortex layer 6</v>
      </c>
      <c r="G820" s="9" t="s">
        <v>1650</v>
      </c>
      <c r="H820" s="9" t="s">
        <v>25619</v>
      </c>
      <c r="I820" s="9" t="s">
        <v>1651</v>
      </c>
      <c r="J820" s="9" t="s">
        <v>1652</v>
      </c>
      <c r="K820" s="6" t="s">
        <v>15174</v>
      </c>
      <c r="L820" s="13">
        <v>12990</v>
      </c>
      <c r="M820" t="str">
        <f>VLOOKUP(L820,[1]NonHumanPrimate!$B$2:$C$4000,2,FALSE)</f>
        <v>dlPF6</v>
      </c>
    </row>
    <row r="821" spans="2:13" x14ac:dyDescent="0.25">
      <c r="B821" s="31" t="s">
        <v>25743</v>
      </c>
      <c r="C821" s="20"/>
      <c r="D821" s="25" t="s">
        <v>25926</v>
      </c>
      <c r="E821" s="25"/>
      <c r="F821" s="9" t="str">
        <f>HYPERLINK("https://www.ebi.ac.uk/ols/ontologies/uberon/terms?iri=http://purl.obolibrary.org/obo/UBERON_0001934","dorsomedial nucleus of hypothalamus")</f>
        <v>dorsomedial nucleus of hypothalamus</v>
      </c>
      <c r="G821" s="9" t="s">
        <v>1653</v>
      </c>
      <c r="H821" s="9" t="s">
        <v>20043</v>
      </c>
      <c r="I821" s="9" t="s">
        <v>1654</v>
      </c>
      <c r="J821" s="9" t="s">
        <v>1655</v>
      </c>
      <c r="K821" s="4" t="s">
        <v>15175</v>
      </c>
      <c r="L821" s="13">
        <v>10485</v>
      </c>
      <c r="M821" t="str">
        <f>VLOOKUP(L821,[1]Human_BrainSpan!$B$2:$C$4000,2,FALSE)</f>
        <v>DMH</v>
      </c>
    </row>
    <row r="822" spans="2:13" x14ac:dyDescent="0.25">
      <c r="B822" s="31" t="s">
        <v>25743</v>
      </c>
      <c r="C822" s="20"/>
      <c r="D822" s="25" t="s">
        <v>25926</v>
      </c>
      <c r="E822" s="25"/>
      <c r="F822" s="9" t="str">
        <f>HYPERLINK("https://www.ebi.ac.uk/ols/ontologies/uberon/terms?iri=http://purl.obolibrary.org/obo/UBERON_0001934","dorsomedial nucleus of hypothalamus")</f>
        <v>dorsomedial nucleus of hypothalamus</v>
      </c>
      <c r="G822" s="9" t="s">
        <v>1653</v>
      </c>
      <c r="H822" s="9" t="s">
        <v>20043</v>
      </c>
      <c r="I822" s="9" t="s">
        <v>1654</v>
      </c>
      <c r="J822" s="9" t="s">
        <v>1656</v>
      </c>
      <c r="K822" s="7" t="s">
        <v>15171</v>
      </c>
      <c r="L822" s="13">
        <v>12914</v>
      </c>
      <c r="M822" t="str">
        <f>VLOOKUP(L822,[1]HBA!$B$2:$C$4000,2,FALSE)</f>
        <v>DMH</v>
      </c>
    </row>
    <row r="823" spans="2:13" x14ac:dyDescent="0.25">
      <c r="B823" s="31" t="s">
        <v>25743</v>
      </c>
      <c r="C823" s="20"/>
      <c r="D823" s="25" t="s">
        <v>25926</v>
      </c>
      <c r="E823" s="25"/>
      <c r="F823" s="9" t="str">
        <f>HYPERLINK("https://www.ebi.ac.uk/ols/ontologies/uberon/terms?iri=http://purl.obolibrary.org/obo/UBERON_0001934","dorsomedial nucleus of hypothalamus")</f>
        <v>dorsomedial nucleus of hypothalamus</v>
      </c>
      <c r="G823" s="9" t="s">
        <v>1653</v>
      </c>
      <c r="H823" s="9" t="s">
        <v>20043</v>
      </c>
      <c r="I823" s="9" t="s">
        <v>835</v>
      </c>
      <c r="J823" s="9" t="s">
        <v>836</v>
      </c>
      <c r="K823" s="3" t="s">
        <v>15176</v>
      </c>
      <c r="L823" s="13">
        <v>830</v>
      </c>
      <c r="M823" t="str">
        <f>VLOOKUP(L823,[1]Mouse_ARA!$B$2:$C$1328,2,FALSE)</f>
        <v>DMH</v>
      </c>
    </row>
    <row r="824" spans="2:13" x14ac:dyDescent="0.25">
      <c r="B824" s="31" t="s">
        <v>26302</v>
      </c>
      <c r="C824" s="25" t="s">
        <v>26256</v>
      </c>
      <c r="D824" s="25" t="s">
        <v>25927</v>
      </c>
      <c r="E824" s="25"/>
      <c r="F824" s="9" t="str">
        <f>HYPERLINK("https://www.ebi.ac.uk/ols/ontologies/uberon/terms?iri=http://purl.obolibrary.org/obo/UBERON_0006284","early prosencephalic vesicle")</f>
        <v>early prosencephalic vesicle</v>
      </c>
      <c r="G824" s="9" t="s">
        <v>1657</v>
      </c>
      <c r="H824" s="9" t="s">
        <v>23669</v>
      </c>
      <c r="I824" s="9" t="s">
        <v>1658</v>
      </c>
      <c r="J824" s="9" t="s">
        <v>1659</v>
      </c>
      <c r="K824" s="4" t="s">
        <v>15175</v>
      </c>
      <c r="L824" s="13">
        <v>10595</v>
      </c>
      <c r="M824" t="str">
        <f>VLOOKUP(L824,[1]Human_BrainSpan!$B$2:$C$4000,2,FALSE)</f>
        <v>FV</v>
      </c>
    </row>
    <row r="825" spans="2:13" x14ac:dyDescent="0.25">
      <c r="B825" s="31" t="s">
        <v>25743</v>
      </c>
      <c r="C825" s="20"/>
      <c r="D825" s="25" t="s">
        <v>1665</v>
      </c>
      <c r="E825" s="25"/>
      <c r="F825" s="9" t="str">
        <f>HYPERLINK("https://www.ebi.ac.uk/ols/ontologies/uberon/terms?iri=http://purl.obolibrary.org/obo/UBERON_0002602","emboliform nucleus")</f>
        <v>emboliform nucleus</v>
      </c>
      <c r="G825" s="9" t="s">
        <v>1660</v>
      </c>
      <c r="H825" s="9" t="s">
        <v>24249</v>
      </c>
      <c r="I825" s="9" t="s">
        <v>1661</v>
      </c>
      <c r="J825" s="9" t="s">
        <v>1662</v>
      </c>
      <c r="K825" s="4" t="s">
        <v>15175</v>
      </c>
      <c r="L825" s="13">
        <v>12401</v>
      </c>
      <c r="M825" t="str">
        <f>VLOOKUP(L825,[1]Human_BrainSpan!$B$2:$C$4000,2,FALSE)</f>
        <v>InPL</v>
      </c>
    </row>
    <row r="826" spans="2:13" x14ac:dyDescent="0.25">
      <c r="B826" s="31" t="s">
        <v>26302</v>
      </c>
      <c r="C826" s="20"/>
      <c r="D826" s="25" t="s">
        <v>1665</v>
      </c>
      <c r="E826" s="20" t="s">
        <v>26300</v>
      </c>
      <c r="F826" s="9" t="str">
        <f>HYPERLINK("https://www.ebi.ac.uk/ols/ontologies/uberon/terms?iri=http://purl.obolibrary.org/obo/UBERON_0002602","emboliform nucleus")</f>
        <v>emboliform nucleus</v>
      </c>
      <c r="G826" s="9" t="s">
        <v>1660</v>
      </c>
      <c r="H826" s="9" t="s">
        <v>17370</v>
      </c>
      <c r="I826" s="9" t="s">
        <v>1663</v>
      </c>
      <c r="J826" s="9" t="s">
        <v>1664</v>
      </c>
      <c r="K826" s="5" t="s">
        <v>15173</v>
      </c>
      <c r="L826" s="13">
        <v>16930</v>
      </c>
      <c r="M826" t="str">
        <f>VLOOKUP(L826,[1]DevMouse!$B$2:$C$2693,2,FALSE)</f>
        <v>IntA</v>
      </c>
    </row>
    <row r="827" spans="2:13" x14ac:dyDescent="0.25">
      <c r="B827" s="31" t="s">
        <v>25743</v>
      </c>
      <c r="C827" s="20"/>
      <c r="D827" s="25" t="s">
        <v>1665</v>
      </c>
      <c r="E827" s="25"/>
      <c r="F827" s="9" t="str">
        <f>HYPERLINK("https://www.ebi.ac.uk/ols/ontologies/uberon/terms?iri=http://purl.obolibrary.org/obo/UBERON_0002602","emboliform nucleus")</f>
        <v>emboliform nucleus</v>
      </c>
      <c r="G827" s="9" t="s">
        <v>1660</v>
      </c>
      <c r="H827" s="9" t="s">
        <v>25429</v>
      </c>
      <c r="I827" s="9" t="s">
        <v>1665</v>
      </c>
      <c r="J827" s="9" t="s">
        <v>1666</v>
      </c>
      <c r="K827" s="7" t="s">
        <v>15171</v>
      </c>
      <c r="L827" s="13">
        <v>12947</v>
      </c>
      <c r="M827" t="str">
        <f>VLOOKUP(L827,[1]HBA!$B$2:$C$4000,2,FALSE)</f>
        <v>Emb</v>
      </c>
    </row>
    <row r="828" spans="2:13" x14ac:dyDescent="0.25">
      <c r="B828" s="31" t="s">
        <v>26303</v>
      </c>
      <c r="C828" s="25" t="s">
        <v>25813</v>
      </c>
      <c r="D828" s="25" t="s">
        <v>25928</v>
      </c>
      <c r="E828" s="25"/>
      <c r="F828" s="9" t="str">
        <f>HYPERLINK("https://www.ebi.ac.uk/ols/ontologies/uberon/terms?iri=http://purl.obolibrary.org/obo/UBERON_0002050","embryonic structure")</f>
        <v>embryonic structure</v>
      </c>
      <c r="G828" s="9" t="s">
        <v>1667</v>
      </c>
      <c r="H828" s="9" t="s">
        <v>21127</v>
      </c>
      <c r="I828" s="9" t="s">
        <v>624</v>
      </c>
      <c r="J828" s="9" t="s">
        <v>625</v>
      </c>
      <c r="K828" s="4" t="s">
        <v>15175</v>
      </c>
      <c r="L828" s="13">
        <v>10508</v>
      </c>
      <c r="M828" t="str">
        <f>VLOOKUP(L828,[1]Human_BrainSpan!$B$2:$C$4000,2,FALSE)</f>
        <v>MZ</v>
      </c>
    </row>
    <row r="829" spans="2:13" x14ac:dyDescent="0.25">
      <c r="B829" s="31" t="s">
        <v>26303</v>
      </c>
      <c r="C829" s="25" t="s">
        <v>14107</v>
      </c>
      <c r="D829" s="25" t="s">
        <v>25928</v>
      </c>
      <c r="E829" s="25"/>
      <c r="F829" s="9" t="str">
        <f>HYPERLINK("https://www.ebi.ac.uk/ols/ontologies/uberon/terms?iri=http://purl.obolibrary.org/obo/UBERON_0002050","embryonic structure")</f>
        <v>embryonic structure</v>
      </c>
      <c r="G829" s="9" t="s">
        <v>1667</v>
      </c>
      <c r="H829" s="9" t="s">
        <v>15193</v>
      </c>
      <c r="I829" s="9" t="s">
        <v>1352</v>
      </c>
      <c r="J829" s="9" t="s">
        <v>1353</v>
      </c>
      <c r="K829" s="4" t="s">
        <v>15175</v>
      </c>
      <c r="L829" s="13">
        <v>10522</v>
      </c>
      <c r="M829" t="str">
        <f>VLOOKUP(L829,[1]Human_BrainSpan!$B$2:$C$4000,2,FALSE)</f>
        <v>SP</v>
      </c>
    </row>
    <row r="830" spans="2:13" x14ac:dyDescent="0.25">
      <c r="B830" s="31" t="s">
        <v>26303</v>
      </c>
      <c r="C830" s="25" t="s">
        <v>25960</v>
      </c>
      <c r="D830" s="25" t="s">
        <v>25928</v>
      </c>
      <c r="E830" s="25"/>
      <c r="F830" s="9" t="str">
        <f>HYPERLINK("https://www.ebi.ac.uk/ols/ontologies/uberon/terms?iri=http://purl.obolibrary.org/obo/UBERON_0002050","embryonic structure")</f>
        <v>embryonic structure</v>
      </c>
      <c r="G830" s="9" t="s">
        <v>1667</v>
      </c>
      <c r="H830" s="9" t="s">
        <v>24576</v>
      </c>
      <c r="I830" s="9" t="s">
        <v>1668</v>
      </c>
      <c r="J830" s="9" t="s">
        <v>1669</v>
      </c>
      <c r="K830" s="4" t="s">
        <v>15175</v>
      </c>
      <c r="L830" s="13">
        <v>12682</v>
      </c>
      <c r="M830" t="str">
        <f>VLOOKUP(L830,[1]Human_BrainSpan!$B$2:$C$4000,2,FALSE)</f>
        <v>IZH</v>
      </c>
    </row>
    <row r="831" spans="2:13" x14ac:dyDescent="0.25">
      <c r="B831" s="31" t="s">
        <v>26303</v>
      </c>
      <c r="C831" s="20" t="s">
        <v>25750</v>
      </c>
      <c r="D831" s="25" t="s">
        <v>25929</v>
      </c>
      <c r="E831" s="25"/>
      <c r="F831" s="9" t="str">
        <f t="shared" ref="F831:F874" si="10">HYPERLINK("https://www.ebi.ac.uk/ols/ontologies/uberon/terms?iri=http://purl.obolibrary.org/obo/UBERON_0005291","embryonic tissue")</f>
        <v>embryonic tissue</v>
      </c>
      <c r="G831" s="9" t="s">
        <v>1670</v>
      </c>
      <c r="H831" s="9" t="s">
        <v>23033</v>
      </c>
      <c r="I831" s="9" t="s">
        <v>1671</v>
      </c>
      <c r="J831" s="9" t="s">
        <v>1672</v>
      </c>
      <c r="K831" s="4" t="s">
        <v>15175</v>
      </c>
      <c r="L831" s="13">
        <v>11276</v>
      </c>
      <c r="M831" t="str">
        <f>VLOOKUP(L831,[1]Human_BrainSpan!$B$2:$C$4000,2,FALSE)</f>
        <v>CA1Rslm</v>
      </c>
    </row>
    <row r="832" spans="2:13" x14ac:dyDescent="0.25">
      <c r="B832" s="31" t="s">
        <v>26303</v>
      </c>
      <c r="C832" s="20" t="s">
        <v>25752</v>
      </c>
      <c r="D832" s="25" t="s">
        <v>25929</v>
      </c>
      <c r="E832" s="25"/>
      <c r="F832" s="9" t="str">
        <f t="shared" si="10"/>
        <v>embryonic tissue</v>
      </c>
      <c r="G832" s="9" t="s">
        <v>1670</v>
      </c>
      <c r="H832" s="9" t="s">
        <v>23036</v>
      </c>
      <c r="I832" s="9" t="s">
        <v>1673</v>
      </c>
      <c r="J832" s="9" t="s">
        <v>1674</v>
      </c>
      <c r="K832" s="4" t="s">
        <v>15175</v>
      </c>
      <c r="L832" s="13">
        <v>11277</v>
      </c>
      <c r="M832" t="str">
        <f>VLOOKUP(L832,[1]Human_BrainSpan!$B$2:$C$4000,2,FALSE)</f>
        <v>CA1Rsr</v>
      </c>
    </row>
    <row r="833" spans="2:13" x14ac:dyDescent="0.25">
      <c r="B833" s="31" t="s">
        <v>26303</v>
      </c>
      <c r="C833" s="20" t="s">
        <v>26180</v>
      </c>
      <c r="D833" s="25" t="s">
        <v>25929</v>
      </c>
      <c r="E833"/>
      <c r="F833" s="9" t="str">
        <f t="shared" si="10"/>
        <v>embryonic tissue</v>
      </c>
      <c r="G833" s="9" t="s">
        <v>1670</v>
      </c>
      <c r="H833" s="9" t="s">
        <v>23037</v>
      </c>
      <c r="I833" s="9" t="s">
        <v>1675</v>
      </c>
      <c r="J833" s="9" t="s">
        <v>1676</v>
      </c>
      <c r="K833" s="4" t="s">
        <v>15175</v>
      </c>
      <c r="L833" s="13">
        <v>11278</v>
      </c>
      <c r="M833" t="str">
        <f>VLOOKUP(L833,[1]Human_BrainSpan!$B$2:$C$4000,2,FALSE)</f>
        <v>CA1Rsp</v>
      </c>
    </row>
    <row r="834" spans="2:13" x14ac:dyDescent="0.25">
      <c r="B834" s="31" t="s">
        <v>26303</v>
      </c>
      <c r="C834" s="25" t="s">
        <v>1677</v>
      </c>
      <c r="D834" s="25" t="s">
        <v>25929</v>
      </c>
      <c r="E834" s="25"/>
      <c r="F834" s="9" t="str">
        <f t="shared" si="10"/>
        <v>embryonic tissue</v>
      </c>
      <c r="G834" s="9" t="s">
        <v>1670</v>
      </c>
      <c r="H834" s="9" t="s">
        <v>23038</v>
      </c>
      <c r="I834" s="9" t="s">
        <v>1677</v>
      </c>
      <c r="J834" s="9" t="s">
        <v>1678</v>
      </c>
      <c r="K834" s="4" t="s">
        <v>15175</v>
      </c>
      <c r="L834" s="13">
        <v>11279</v>
      </c>
      <c r="M834" t="str">
        <f>VLOOKUP(L834,[1]Human_BrainSpan!$B$2:$C$4000,2,FALSE)</f>
        <v>CA1Rso</v>
      </c>
    </row>
    <row r="835" spans="2:13" x14ac:dyDescent="0.25">
      <c r="B835" s="31" t="s">
        <v>26303</v>
      </c>
      <c r="C835" s="20" t="s">
        <v>25750</v>
      </c>
      <c r="D835" s="25" t="s">
        <v>25929</v>
      </c>
      <c r="E835" s="25"/>
      <c r="F835" s="9" t="str">
        <f t="shared" si="10"/>
        <v>embryonic tissue</v>
      </c>
      <c r="G835" s="9" t="s">
        <v>1670</v>
      </c>
      <c r="H835" s="9" t="s">
        <v>23040</v>
      </c>
      <c r="I835" s="9" t="s">
        <v>1679</v>
      </c>
      <c r="J835" s="9" t="s">
        <v>1680</v>
      </c>
      <c r="K835" s="4" t="s">
        <v>15175</v>
      </c>
      <c r="L835" s="13">
        <v>11281</v>
      </c>
      <c r="M835" t="str">
        <f>VLOOKUP(L835,[1]Human_BrainSpan!$B$2:$C$4000,2,FALSE)</f>
        <v>CA1Cslm</v>
      </c>
    </row>
    <row r="836" spans="2:13" x14ac:dyDescent="0.25">
      <c r="B836" s="31" t="s">
        <v>26303</v>
      </c>
      <c r="C836" s="20" t="s">
        <v>25752</v>
      </c>
      <c r="D836" s="25" t="s">
        <v>25929</v>
      </c>
      <c r="E836" s="25"/>
      <c r="F836" s="9" t="str">
        <f t="shared" si="10"/>
        <v>embryonic tissue</v>
      </c>
      <c r="G836" s="9" t="s">
        <v>1670</v>
      </c>
      <c r="H836" s="9" t="s">
        <v>23043</v>
      </c>
      <c r="I836" s="9" t="s">
        <v>1681</v>
      </c>
      <c r="J836" s="9" t="s">
        <v>1682</v>
      </c>
      <c r="K836" s="4" t="s">
        <v>15175</v>
      </c>
      <c r="L836" s="13">
        <v>11282</v>
      </c>
      <c r="M836" t="str">
        <f>VLOOKUP(L836,[1]Human_BrainSpan!$B$2:$C$4000,2,FALSE)</f>
        <v>CA1Csr</v>
      </c>
    </row>
    <row r="837" spans="2:13" x14ac:dyDescent="0.25">
      <c r="B837" s="31" t="s">
        <v>26303</v>
      </c>
      <c r="C837" s="20" t="s">
        <v>26180</v>
      </c>
      <c r="D837" s="25" t="s">
        <v>25929</v>
      </c>
      <c r="E837"/>
      <c r="F837" s="9" t="str">
        <f t="shared" si="10"/>
        <v>embryonic tissue</v>
      </c>
      <c r="G837" s="9" t="s">
        <v>1670</v>
      </c>
      <c r="H837" s="9" t="s">
        <v>23044</v>
      </c>
      <c r="I837" s="9" t="s">
        <v>1683</v>
      </c>
      <c r="J837" s="9" t="s">
        <v>1684</v>
      </c>
      <c r="K837" s="4" t="s">
        <v>15175</v>
      </c>
      <c r="L837" s="13">
        <v>11283</v>
      </c>
      <c r="M837" t="str">
        <f>VLOOKUP(L837,[1]Human_BrainSpan!$B$2:$C$4000,2,FALSE)</f>
        <v>CA1Csp</v>
      </c>
    </row>
    <row r="838" spans="2:13" x14ac:dyDescent="0.25">
      <c r="B838" s="31" t="s">
        <v>26303</v>
      </c>
      <c r="C838" s="25" t="s">
        <v>1685</v>
      </c>
      <c r="D838" s="25" t="s">
        <v>25929</v>
      </c>
      <c r="E838" s="25"/>
      <c r="F838" s="9" t="str">
        <f t="shared" si="10"/>
        <v>embryonic tissue</v>
      </c>
      <c r="G838" s="9" t="s">
        <v>1670</v>
      </c>
      <c r="H838" s="9" t="s">
        <v>23045</v>
      </c>
      <c r="I838" s="9" t="s">
        <v>1685</v>
      </c>
      <c r="J838" s="9" t="s">
        <v>1686</v>
      </c>
      <c r="K838" s="4" t="s">
        <v>15175</v>
      </c>
      <c r="L838" s="13">
        <v>11284</v>
      </c>
      <c r="M838" t="str">
        <f>VLOOKUP(L838,[1]Human_BrainSpan!$B$2:$C$4000,2,FALSE)</f>
        <v>CA1Cso</v>
      </c>
    </row>
    <row r="839" spans="2:13" x14ac:dyDescent="0.25">
      <c r="B839" s="31" t="s">
        <v>26303</v>
      </c>
      <c r="C839" s="20" t="s">
        <v>25754</v>
      </c>
      <c r="D839" s="25" t="s">
        <v>25929</v>
      </c>
      <c r="E839" s="25"/>
      <c r="F839" s="9" t="str">
        <f t="shared" si="10"/>
        <v>embryonic tissue</v>
      </c>
      <c r="G839" s="9" t="s">
        <v>1670</v>
      </c>
      <c r="H839" s="9" t="s">
        <v>23054</v>
      </c>
      <c r="I839" s="9" t="s">
        <v>1687</v>
      </c>
      <c r="J839" s="9" t="s">
        <v>1688</v>
      </c>
      <c r="K839" s="4" t="s">
        <v>15175</v>
      </c>
      <c r="L839" s="13">
        <v>11286</v>
      </c>
      <c r="M839" t="str">
        <f>VLOOKUP(L839,[1]Human_BrainSpan!$B$2:$C$4000,2,FALSE)</f>
        <v>CA2Rslm</v>
      </c>
    </row>
    <row r="840" spans="2:13" x14ac:dyDescent="0.25">
      <c r="B840" s="31" t="s">
        <v>26303</v>
      </c>
      <c r="C840" s="20" t="s">
        <v>25756</v>
      </c>
      <c r="D840" s="25" t="s">
        <v>25929</v>
      </c>
      <c r="E840" s="25"/>
      <c r="F840" s="9" t="str">
        <f t="shared" si="10"/>
        <v>embryonic tissue</v>
      </c>
      <c r="G840" s="9" t="s">
        <v>1670</v>
      </c>
      <c r="H840" s="9" t="s">
        <v>23057</v>
      </c>
      <c r="I840" s="9" t="s">
        <v>1689</v>
      </c>
      <c r="J840" s="9" t="s">
        <v>1690</v>
      </c>
      <c r="K840" s="4" t="s">
        <v>15175</v>
      </c>
      <c r="L840" s="13">
        <v>11287</v>
      </c>
      <c r="M840" t="str">
        <f>VLOOKUP(L840,[1]Human_BrainSpan!$B$2:$C$4000,2,FALSE)</f>
        <v>CA2Rsr</v>
      </c>
    </row>
    <row r="841" spans="2:13" x14ac:dyDescent="0.25">
      <c r="B841" s="31" t="s">
        <v>26303</v>
      </c>
      <c r="C841" s="20" t="s">
        <v>26181</v>
      </c>
      <c r="D841" s="25" t="s">
        <v>25929</v>
      </c>
      <c r="E841"/>
      <c r="F841" s="9" t="str">
        <f t="shared" si="10"/>
        <v>embryonic tissue</v>
      </c>
      <c r="G841" s="9" t="s">
        <v>1670</v>
      </c>
      <c r="H841" s="9" t="s">
        <v>23058</v>
      </c>
      <c r="I841" s="9" t="s">
        <v>1691</v>
      </c>
      <c r="J841" s="9" t="s">
        <v>1692</v>
      </c>
      <c r="K841" s="4" t="s">
        <v>15175</v>
      </c>
      <c r="L841" s="13">
        <v>11288</v>
      </c>
      <c r="M841" t="str">
        <f>VLOOKUP(L841,[1]Human_BrainSpan!$B$2:$C$4000,2,FALSE)</f>
        <v>CA2Rsp</v>
      </c>
    </row>
    <row r="842" spans="2:13" x14ac:dyDescent="0.25">
      <c r="B842" s="31" t="s">
        <v>26303</v>
      </c>
      <c r="C842" s="25" t="s">
        <v>1693</v>
      </c>
      <c r="D842" s="25" t="s">
        <v>25929</v>
      </c>
      <c r="E842" s="25"/>
      <c r="F842" s="9" t="str">
        <f t="shared" si="10"/>
        <v>embryonic tissue</v>
      </c>
      <c r="G842" s="9" t="s">
        <v>1670</v>
      </c>
      <c r="H842" s="9" t="s">
        <v>23059</v>
      </c>
      <c r="I842" s="9" t="s">
        <v>1693</v>
      </c>
      <c r="J842" s="9" t="s">
        <v>1694</v>
      </c>
      <c r="K842" s="4" t="s">
        <v>15175</v>
      </c>
      <c r="L842" s="13">
        <v>11289</v>
      </c>
      <c r="M842" t="str">
        <f>VLOOKUP(L842,[1]Human_BrainSpan!$B$2:$C$4000,2,FALSE)</f>
        <v>CA2Rso</v>
      </c>
    </row>
    <row r="843" spans="2:13" x14ac:dyDescent="0.25">
      <c r="B843" s="31" t="s">
        <v>26303</v>
      </c>
      <c r="C843" s="20" t="s">
        <v>25754</v>
      </c>
      <c r="D843" s="25" t="s">
        <v>25929</v>
      </c>
      <c r="E843" s="25"/>
      <c r="F843" s="9" t="str">
        <f t="shared" si="10"/>
        <v>embryonic tissue</v>
      </c>
      <c r="G843" s="9" t="s">
        <v>1670</v>
      </c>
      <c r="H843" s="9" t="s">
        <v>23061</v>
      </c>
      <c r="I843" s="9" t="s">
        <v>1695</v>
      </c>
      <c r="J843" s="9" t="s">
        <v>1696</v>
      </c>
      <c r="K843" s="4" t="s">
        <v>15175</v>
      </c>
      <c r="L843" s="13">
        <v>11291</v>
      </c>
      <c r="M843" t="str">
        <f>VLOOKUP(L843,[1]Human_BrainSpan!$B$2:$C$4000,2,FALSE)</f>
        <v>CA2Cslm</v>
      </c>
    </row>
    <row r="844" spans="2:13" x14ac:dyDescent="0.25">
      <c r="B844" s="31" t="s">
        <v>26303</v>
      </c>
      <c r="C844" s="20" t="s">
        <v>25756</v>
      </c>
      <c r="D844" s="25" t="s">
        <v>25929</v>
      </c>
      <c r="E844" s="25"/>
      <c r="F844" s="9" t="str">
        <f t="shared" si="10"/>
        <v>embryonic tissue</v>
      </c>
      <c r="G844" s="9" t="s">
        <v>1670</v>
      </c>
      <c r="H844" s="9" t="s">
        <v>23064</v>
      </c>
      <c r="I844" s="9" t="s">
        <v>1697</v>
      </c>
      <c r="J844" s="9" t="s">
        <v>1698</v>
      </c>
      <c r="K844" s="4" t="s">
        <v>15175</v>
      </c>
      <c r="L844" s="13">
        <v>11292</v>
      </c>
      <c r="M844" t="str">
        <f>VLOOKUP(L844,[1]Human_BrainSpan!$B$2:$C$4000,2,FALSE)</f>
        <v>CA2Csr</v>
      </c>
    </row>
    <row r="845" spans="2:13" x14ac:dyDescent="0.25">
      <c r="B845" s="31" t="s">
        <v>26303</v>
      </c>
      <c r="C845" s="20" t="s">
        <v>26181</v>
      </c>
      <c r="D845" s="25" t="s">
        <v>25929</v>
      </c>
      <c r="E845"/>
      <c r="F845" s="9" t="str">
        <f t="shared" si="10"/>
        <v>embryonic tissue</v>
      </c>
      <c r="G845" s="9" t="s">
        <v>1670</v>
      </c>
      <c r="H845" s="9" t="s">
        <v>23065</v>
      </c>
      <c r="I845" s="9" t="s">
        <v>1699</v>
      </c>
      <c r="J845" s="9" t="s">
        <v>1700</v>
      </c>
      <c r="K845" s="4" t="s">
        <v>15175</v>
      </c>
      <c r="L845" s="13">
        <v>11293</v>
      </c>
      <c r="M845" t="str">
        <f>VLOOKUP(L845,[1]Human_BrainSpan!$B$2:$C$4000,2,FALSE)</f>
        <v>CA2Csp</v>
      </c>
    </row>
    <row r="846" spans="2:13" x14ac:dyDescent="0.25">
      <c r="B846" s="31" t="s">
        <v>26303</v>
      </c>
      <c r="C846" s="25" t="s">
        <v>1701</v>
      </c>
      <c r="D846" s="25" t="s">
        <v>25929</v>
      </c>
      <c r="E846" s="25"/>
      <c r="F846" s="9" t="str">
        <f t="shared" si="10"/>
        <v>embryonic tissue</v>
      </c>
      <c r="G846" s="9" t="s">
        <v>1670</v>
      </c>
      <c r="H846" s="9" t="s">
        <v>23066</v>
      </c>
      <c r="I846" s="9" t="s">
        <v>1701</v>
      </c>
      <c r="J846" s="9" t="s">
        <v>1702</v>
      </c>
      <c r="K846" s="4" t="s">
        <v>15175</v>
      </c>
      <c r="L846" s="13">
        <v>11294</v>
      </c>
      <c r="M846" t="str">
        <f>VLOOKUP(L846,[1]Human_BrainSpan!$B$2:$C$4000,2,FALSE)</f>
        <v>CA2Cso</v>
      </c>
    </row>
    <row r="847" spans="2:13" x14ac:dyDescent="0.25">
      <c r="B847" s="31" t="s">
        <v>26303</v>
      </c>
      <c r="C847" s="20" t="s">
        <v>25758</v>
      </c>
      <c r="D847" s="25" t="s">
        <v>25929</v>
      </c>
      <c r="E847" s="25"/>
      <c r="F847" s="9" t="str">
        <f t="shared" si="10"/>
        <v>embryonic tissue</v>
      </c>
      <c r="G847" s="9" t="s">
        <v>1670</v>
      </c>
      <c r="H847" s="9" t="s">
        <v>23076</v>
      </c>
      <c r="I847" s="9" t="s">
        <v>1703</v>
      </c>
      <c r="J847" s="9" t="s">
        <v>1704</v>
      </c>
      <c r="K847" s="4" t="s">
        <v>15175</v>
      </c>
      <c r="L847" s="13">
        <v>11296</v>
      </c>
      <c r="M847" t="str">
        <f>VLOOKUP(L847,[1]Human_BrainSpan!$B$2:$C$4000,2,FALSE)</f>
        <v>CA3Rslm</v>
      </c>
    </row>
    <row r="848" spans="2:13" x14ac:dyDescent="0.25">
      <c r="B848" s="31" t="s">
        <v>26303</v>
      </c>
      <c r="C848" s="20" t="s">
        <v>25761</v>
      </c>
      <c r="D848" s="25" t="s">
        <v>25929</v>
      </c>
      <c r="E848" s="25"/>
      <c r="F848" s="9" t="str">
        <f t="shared" si="10"/>
        <v>embryonic tissue</v>
      </c>
      <c r="G848" s="9" t="s">
        <v>1670</v>
      </c>
      <c r="H848" s="9" t="s">
        <v>23079</v>
      </c>
      <c r="I848" s="9" t="s">
        <v>1705</v>
      </c>
      <c r="J848" s="9" t="s">
        <v>1706</v>
      </c>
      <c r="K848" s="4" t="s">
        <v>15175</v>
      </c>
      <c r="L848" s="13">
        <v>11297</v>
      </c>
      <c r="M848" t="str">
        <f>VLOOKUP(L848,[1]Human_BrainSpan!$B$2:$C$4000,2,FALSE)</f>
        <v>CA3Rsr</v>
      </c>
    </row>
    <row r="849" spans="2:13" x14ac:dyDescent="0.25">
      <c r="B849" s="31" t="s">
        <v>26303</v>
      </c>
      <c r="C849" s="25" t="s">
        <v>26228</v>
      </c>
      <c r="D849" s="25" t="s">
        <v>25929</v>
      </c>
      <c r="E849" s="25"/>
      <c r="F849" s="9" t="str">
        <f t="shared" si="10"/>
        <v>embryonic tissue</v>
      </c>
      <c r="G849" s="9" t="s">
        <v>1670</v>
      </c>
      <c r="H849" s="9" t="s">
        <v>23080</v>
      </c>
      <c r="I849" s="9" t="s">
        <v>1707</v>
      </c>
      <c r="J849" s="9" t="s">
        <v>1708</v>
      </c>
      <c r="K849" s="4" t="s">
        <v>15175</v>
      </c>
      <c r="L849" s="13">
        <v>11298</v>
      </c>
      <c r="M849" t="str">
        <f>VLOOKUP(L849,[1]Human_BrainSpan!$B$2:$C$4000,2,FALSE)</f>
        <v>CA3Rsl</v>
      </c>
    </row>
    <row r="850" spans="2:13" x14ac:dyDescent="0.25">
      <c r="B850" s="31" t="s">
        <v>26303</v>
      </c>
      <c r="C850" s="20" t="s">
        <v>26182</v>
      </c>
      <c r="D850" s="25" t="s">
        <v>25929</v>
      </c>
      <c r="E850"/>
      <c r="F850" s="9" t="str">
        <f t="shared" si="10"/>
        <v>embryonic tissue</v>
      </c>
      <c r="G850" s="9" t="s">
        <v>1670</v>
      </c>
      <c r="H850" s="9" t="s">
        <v>23081</v>
      </c>
      <c r="I850" s="9" t="s">
        <v>1709</v>
      </c>
      <c r="J850" s="9" t="s">
        <v>1710</v>
      </c>
      <c r="K850" s="4" t="s">
        <v>15175</v>
      </c>
      <c r="L850" s="13">
        <v>11299</v>
      </c>
      <c r="M850" t="str">
        <f>VLOOKUP(L850,[1]Human_BrainSpan!$B$2:$C$4000,2,FALSE)</f>
        <v>CA3Rsp</v>
      </c>
    </row>
    <row r="851" spans="2:13" x14ac:dyDescent="0.25">
      <c r="B851" s="31" t="s">
        <v>26303</v>
      </c>
      <c r="C851" s="25" t="s">
        <v>1711</v>
      </c>
      <c r="D851" s="25" t="s">
        <v>25929</v>
      </c>
      <c r="E851" s="25"/>
      <c r="F851" s="9" t="str">
        <f t="shared" si="10"/>
        <v>embryonic tissue</v>
      </c>
      <c r="G851" s="9" t="s">
        <v>1670</v>
      </c>
      <c r="H851" s="9" t="s">
        <v>23082</v>
      </c>
      <c r="I851" s="9" t="s">
        <v>1711</v>
      </c>
      <c r="J851" s="9" t="s">
        <v>1712</v>
      </c>
      <c r="K851" s="4" t="s">
        <v>15175</v>
      </c>
      <c r="L851" s="13">
        <v>11300</v>
      </c>
      <c r="M851" t="str">
        <f>VLOOKUP(L851,[1]Human_BrainSpan!$B$2:$C$4000,2,FALSE)</f>
        <v>CA3Rso</v>
      </c>
    </row>
    <row r="852" spans="2:13" x14ac:dyDescent="0.25">
      <c r="B852" s="31" t="s">
        <v>26303</v>
      </c>
      <c r="C852" s="20" t="s">
        <v>25758</v>
      </c>
      <c r="D852" s="25" t="s">
        <v>25929</v>
      </c>
      <c r="E852" s="25"/>
      <c r="F852" s="9" t="str">
        <f t="shared" si="10"/>
        <v>embryonic tissue</v>
      </c>
      <c r="G852" s="9" t="s">
        <v>1670</v>
      </c>
      <c r="H852" s="9" t="s">
        <v>23084</v>
      </c>
      <c r="I852" s="9" t="s">
        <v>1713</v>
      </c>
      <c r="J852" s="9" t="s">
        <v>1714</v>
      </c>
      <c r="K852" s="4" t="s">
        <v>15175</v>
      </c>
      <c r="L852" s="13">
        <v>11302</v>
      </c>
      <c r="M852" t="str">
        <f>VLOOKUP(L852,[1]Human_BrainSpan!$B$2:$C$4000,2,FALSE)</f>
        <v>CA3Cslm</v>
      </c>
    </row>
    <row r="853" spans="2:13" x14ac:dyDescent="0.25">
      <c r="B853" s="31" t="s">
        <v>26303</v>
      </c>
      <c r="C853" s="20" t="s">
        <v>25761</v>
      </c>
      <c r="D853" s="25" t="s">
        <v>25929</v>
      </c>
      <c r="E853" s="25"/>
      <c r="F853" s="9" t="str">
        <f t="shared" si="10"/>
        <v>embryonic tissue</v>
      </c>
      <c r="G853" s="9" t="s">
        <v>1670</v>
      </c>
      <c r="H853" s="9" t="s">
        <v>23087</v>
      </c>
      <c r="I853" s="9" t="s">
        <v>1715</v>
      </c>
      <c r="J853" s="9" t="s">
        <v>1716</v>
      </c>
      <c r="K853" s="4" t="s">
        <v>15175</v>
      </c>
      <c r="L853" s="13">
        <v>11303</v>
      </c>
      <c r="M853" t="str">
        <f>VLOOKUP(L853,[1]Human_BrainSpan!$B$2:$C$4000,2,FALSE)</f>
        <v>CA3Csr</v>
      </c>
    </row>
    <row r="854" spans="2:13" x14ac:dyDescent="0.25">
      <c r="B854" s="31" t="s">
        <v>26303</v>
      </c>
      <c r="C854" s="25" t="s">
        <v>26229</v>
      </c>
      <c r="D854" s="25" t="s">
        <v>25929</v>
      </c>
      <c r="E854" s="25"/>
      <c r="F854" s="9" t="str">
        <f t="shared" si="10"/>
        <v>embryonic tissue</v>
      </c>
      <c r="G854" s="9" t="s">
        <v>1670</v>
      </c>
      <c r="H854" s="9" t="s">
        <v>23088</v>
      </c>
      <c r="I854" s="9" t="s">
        <v>1717</v>
      </c>
      <c r="J854" s="9" t="s">
        <v>1718</v>
      </c>
      <c r="K854" s="4" t="s">
        <v>15175</v>
      </c>
      <c r="L854" s="13">
        <v>11304</v>
      </c>
      <c r="M854" t="str">
        <f>VLOOKUP(L854,[1]Human_BrainSpan!$B$2:$C$4000,2,FALSE)</f>
        <v>CA3Csl</v>
      </c>
    </row>
    <row r="855" spans="2:13" x14ac:dyDescent="0.25">
      <c r="B855" s="31" t="s">
        <v>26303</v>
      </c>
      <c r="C855" s="20" t="s">
        <v>26182</v>
      </c>
      <c r="D855" s="25" t="s">
        <v>25929</v>
      </c>
      <c r="E855"/>
      <c r="F855" s="9" t="str">
        <f t="shared" si="10"/>
        <v>embryonic tissue</v>
      </c>
      <c r="G855" s="9" t="s">
        <v>1670</v>
      </c>
      <c r="H855" s="9" t="s">
        <v>23089</v>
      </c>
      <c r="I855" s="9" t="s">
        <v>1719</v>
      </c>
      <c r="J855" s="9" t="s">
        <v>1720</v>
      </c>
      <c r="K855" s="4" t="s">
        <v>15175</v>
      </c>
      <c r="L855" s="13">
        <v>11305</v>
      </c>
      <c r="M855" t="str">
        <f>VLOOKUP(L855,[1]Human_BrainSpan!$B$2:$C$4000,2,FALSE)</f>
        <v>CA3Csp</v>
      </c>
    </row>
    <row r="856" spans="2:13" x14ac:dyDescent="0.25">
      <c r="B856" s="31" t="s">
        <v>26303</v>
      </c>
      <c r="C856" s="25" t="s">
        <v>1721</v>
      </c>
      <c r="D856" s="25" t="s">
        <v>25929</v>
      </c>
      <c r="E856" s="25"/>
      <c r="F856" s="9" t="str">
        <f t="shared" si="10"/>
        <v>embryonic tissue</v>
      </c>
      <c r="G856" s="9" t="s">
        <v>1670</v>
      </c>
      <c r="H856" s="9" t="s">
        <v>23090</v>
      </c>
      <c r="I856" s="9" t="s">
        <v>1721</v>
      </c>
      <c r="J856" s="9" t="s">
        <v>1722</v>
      </c>
      <c r="K856" s="4" t="s">
        <v>15175</v>
      </c>
      <c r="L856" s="13">
        <v>11306</v>
      </c>
      <c r="M856" t="str">
        <f>VLOOKUP(L856,[1]Human_BrainSpan!$B$2:$C$4000,2,FALSE)</f>
        <v>CA3Cso</v>
      </c>
    </row>
    <row r="857" spans="2:13" x14ac:dyDescent="0.25">
      <c r="B857" s="31" t="s">
        <v>26303</v>
      </c>
      <c r="C857" s="25" t="s">
        <v>1723</v>
      </c>
      <c r="D857" s="25" t="s">
        <v>25929</v>
      </c>
      <c r="E857" s="25"/>
      <c r="F857" s="9" t="str">
        <f t="shared" si="10"/>
        <v>embryonic tissue</v>
      </c>
      <c r="G857" s="9" t="s">
        <v>1670</v>
      </c>
      <c r="H857" s="9" t="s">
        <v>23897</v>
      </c>
      <c r="I857" s="9" t="s">
        <v>1723</v>
      </c>
      <c r="J857" s="9" t="s">
        <v>1724</v>
      </c>
      <c r="K857" s="4" t="s">
        <v>15175</v>
      </c>
      <c r="L857" s="13">
        <v>12098</v>
      </c>
      <c r="M857" t="str">
        <f>VLOOKUP(L857,[1]Human_BrainSpan!$B$2:$C$4000,2,FALSE)</f>
        <v>Pell</v>
      </c>
    </row>
    <row r="858" spans="2:13" x14ac:dyDescent="0.25">
      <c r="B858" s="31" t="s">
        <v>26303</v>
      </c>
      <c r="C858" s="20" t="s">
        <v>25750</v>
      </c>
      <c r="D858" s="25" t="s">
        <v>25929</v>
      </c>
      <c r="E858" s="25"/>
      <c r="F858" s="9" t="str">
        <f t="shared" si="10"/>
        <v>embryonic tissue</v>
      </c>
      <c r="G858" s="9" t="s">
        <v>1670</v>
      </c>
      <c r="H858" s="9" t="s">
        <v>23026</v>
      </c>
      <c r="I858" s="9" t="s">
        <v>1725</v>
      </c>
      <c r="J858" s="9" t="s">
        <v>1726</v>
      </c>
      <c r="K858" s="4" t="s">
        <v>15175</v>
      </c>
      <c r="L858" s="13">
        <v>266441271</v>
      </c>
      <c r="M858" t="str">
        <f>VLOOKUP(L858,[1]Human_BrainSpan!$B$2:$C$4000,2,FALSE)</f>
        <v>CA1Uslm</v>
      </c>
    </row>
    <row r="859" spans="2:13" x14ac:dyDescent="0.25">
      <c r="B859" s="31" t="s">
        <v>26303</v>
      </c>
      <c r="C859" s="20" t="s">
        <v>25752</v>
      </c>
      <c r="D859" s="25" t="s">
        <v>25929</v>
      </c>
      <c r="E859" s="25"/>
      <c r="F859" s="9" t="str">
        <f t="shared" si="10"/>
        <v>embryonic tissue</v>
      </c>
      <c r="G859" s="9" t="s">
        <v>1670</v>
      </c>
      <c r="H859" s="9" t="s">
        <v>23029</v>
      </c>
      <c r="I859" s="9" t="s">
        <v>1727</v>
      </c>
      <c r="J859" s="9" t="s">
        <v>1728</v>
      </c>
      <c r="K859" s="4" t="s">
        <v>15175</v>
      </c>
      <c r="L859" s="13">
        <v>266441283</v>
      </c>
      <c r="M859" t="str">
        <f>VLOOKUP(L859,[1]Human_BrainSpan!$B$2:$C$4000,2,FALSE)</f>
        <v>CA1Usr</v>
      </c>
    </row>
    <row r="860" spans="2:13" x14ac:dyDescent="0.25">
      <c r="B860" s="31" t="s">
        <v>26303</v>
      </c>
      <c r="C860" s="20" t="s">
        <v>26180</v>
      </c>
      <c r="D860" s="25" t="s">
        <v>25929</v>
      </c>
      <c r="E860"/>
      <c r="F860" s="9" t="str">
        <f t="shared" si="10"/>
        <v>embryonic tissue</v>
      </c>
      <c r="G860" s="9" t="s">
        <v>1670</v>
      </c>
      <c r="H860" s="9" t="s">
        <v>23030</v>
      </c>
      <c r="I860" s="9" t="s">
        <v>1729</v>
      </c>
      <c r="J860" s="9" t="s">
        <v>1730</v>
      </c>
      <c r="K860" s="4" t="s">
        <v>15175</v>
      </c>
      <c r="L860" s="13">
        <v>266441287</v>
      </c>
      <c r="M860" t="str">
        <f>VLOOKUP(L860,[1]Human_BrainSpan!$B$2:$C$4000,2,FALSE)</f>
        <v>CA1Usp</v>
      </c>
    </row>
    <row r="861" spans="2:13" x14ac:dyDescent="0.25">
      <c r="B861" s="31" t="s">
        <v>26303</v>
      </c>
      <c r="C861" s="25" t="s">
        <v>1731</v>
      </c>
      <c r="D861" s="25" t="s">
        <v>25929</v>
      </c>
      <c r="E861" s="25"/>
      <c r="F861" s="9" t="str">
        <f t="shared" si="10"/>
        <v>embryonic tissue</v>
      </c>
      <c r="G861" s="9" t="s">
        <v>1670</v>
      </c>
      <c r="H861" s="9" t="s">
        <v>23031</v>
      </c>
      <c r="I861" s="9" t="s">
        <v>1731</v>
      </c>
      <c r="J861" s="9" t="s">
        <v>1732</v>
      </c>
      <c r="K861" s="4" t="s">
        <v>15175</v>
      </c>
      <c r="L861" s="13">
        <v>266441291</v>
      </c>
      <c r="M861" t="str">
        <f>VLOOKUP(L861,[1]Human_BrainSpan!$B$2:$C$4000,2,FALSE)</f>
        <v>CA1Uso</v>
      </c>
    </row>
    <row r="862" spans="2:13" x14ac:dyDescent="0.25">
      <c r="B862" s="31" t="s">
        <v>26303</v>
      </c>
      <c r="C862" s="20" t="s">
        <v>25754</v>
      </c>
      <c r="D862" s="25" t="s">
        <v>25929</v>
      </c>
      <c r="E862" s="25"/>
      <c r="F862" s="9" t="str">
        <f t="shared" si="10"/>
        <v>embryonic tissue</v>
      </c>
      <c r="G862" s="9" t="s">
        <v>1670</v>
      </c>
      <c r="H862" s="9" t="s">
        <v>23047</v>
      </c>
      <c r="I862" s="9" t="s">
        <v>1733</v>
      </c>
      <c r="J862" s="9" t="s">
        <v>1734</v>
      </c>
      <c r="K862" s="4" t="s">
        <v>15175</v>
      </c>
      <c r="L862" s="13">
        <v>266441315</v>
      </c>
      <c r="M862" t="str">
        <f>VLOOKUP(L862,[1]Human_BrainSpan!$B$2:$C$4000,2,FALSE)</f>
        <v>CA2Uslm</v>
      </c>
    </row>
    <row r="863" spans="2:13" x14ac:dyDescent="0.25">
      <c r="B863" s="31" t="s">
        <v>26303</v>
      </c>
      <c r="C863" s="20" t="s">
        <v>25756</v>
      </c>
      <c r="D863" s="25" t="s">
        <v>25929</v>
      </c>
      <c r="E863" s="25"/>
      <c r="F863" s="9" t="str">
        <f t="shared" si="10"/>
        <v>embryonic tissue</v>
      </c>
      <c r="G863" s="9" t="s">
        <v>1670</v>
      </c>
      <c r="H863" s="9" t="s">
        <v>23050</v>
      </c>
      <c r="I863" s="9" t="s">
        <v>1735</v>
      </c>
      <c r="J863" s="9" t="s">
        <v>1736</v>
      </c>
      <c r="K863" s="4" t="s">
        <v>15175</v>
      </c>
      <c r="L863" s="13">
        <v>266441327</v>
      </c>
      <c r="M863" t="str">
        <f>VLOOKUP(L863,[1]Human_BrainSpan!$B$2:$C$4000,2,FALSE)</f>
        <v>CA2Usr</v>
      </c>
    </row>
    <row r="864" spans="2:13" x14ac:dyDescent="0.25">
      <c r="B864" s="31" t="s">
        <v>26303</v>
      </c>
      <c r="C864" s="20" t="s">
        <v>26181</v>
      </c>
      <c r="D864" s="25" t="s">
        <v>25929</v>
      </c>
      <c r="E864"/>
      <c r="F864" s="9" t="str">
        <f t="shared" si="10"/>
        <v>embryonic tissue</v>
      </c>
      <c r="G864" s="9" t="s">
        <v>1670</v>
      </c>
      <c r="H864" s="9" t="s">
        <v>23051</v>
      </c>
      <c r="I864" s="9" t="s">
        <v>1737</v>
      </c>
      <c r="J864" s="9" t="s">
        <v>1738</v>
      </c>
      <c r="K864" s="4" t="s">
        <v>15175</v>
      </c>
      <c r="L864" s="13">
        <v>266441331</v>
      </c>
      <c r="M864" t="str">
        <f>VLOOKUP(L864,[1]Human_BrainSpan!$B$2:$C$4000,2,FALSE)</f>
        <v>CA2Usp</v>
      </c>
    </row>
    <row r="865" spans="2:13" x14ac:dyDescent="0.25">
      <c r="B865" s="31" t="s">
        <v>26303</v>
      </c>
      <c r="C865" s="25" t="s">
        <v>1739</v>
      </c>
      <c r="D865" s="25" t="s">
        <v>25929</v>
      </c>
      <c r="E865" s="25"/>
      <c r="F865" s="9" t="str">
        <f t="shared" si="10"/>
        <v>embryonic tissue</v>
      </c>
      <c r="G865" s="9" t="s">
        <v>1670</v>
      </c>
      <c r="H865" s="9" t="s">
        <v>23052</v>
      </c>
      <c r="I865" s="9" t="s">
        <v>1739</v>
      </c>
      <c r="J865" s="9" t="s">
        <v>1740</v>
      </c>
      <c r="K865" s="4" t="s">
        <v>15175</v>
      </c>
      <c r="L865" s="13">
        <v>266441335</v>
      </c>
      <c r="M865" t="str">
        <f>VLOOKUP(L865,[1]Human_BrainSpan!$B$2:$C$4000,2,FALSE)</f>
        <v>CA2Uso</v>
      </c>
    </row>
    <row r="866" spans="2:13" x14ac:dyDescent="0.25">
      <c r="B866" s="31" t="s">
        <v>26303</v>
      </c>
      <c r="C866" s="20" t="s">
        <v>25762</v>
      </c>
      <c r="D866" s="25" t="s">
        <v>25929</v>
      </c>
      <c r="E866" s="25"/>
      <c r="F866" s="9" t="str">
        <f t="shared" si="10"/>
        <v>embryonic tissue</v>
      </c>
      <c r="G866" s="9" t="s">
        <v>1670</v>
      </c>
      <c r="H866" s="9" t="s">
        <v>23068</v>
      </c>
      <c r="I866" s="9" t="s">
        <v>1741</v>
      </c>
      <c r="J866" s="9" t="s">
        <v>1742</v>
      </c>
      <c r="K866" s="4" t="s">
        <v>15175</v>
      </c>
      <c r="L866" s="13">
        <v>266441359</v>
      </c>
      <c r="M866" t="str">
        <f>VLOOKUP(L866,[1]Human_BrainSpan!$B$2:$C$4000,2,FALSE)</f>
        <v>CA3Uslm</v>
      </c>
    </row>
    <row r="867" spans="2:13" x14ac:dyDescent="0.25">
      <c r="B867" s="31" t="s">
        <v>26303</v>
      </c>
      <c r="C867" s="20" t="s">
        <v>25758</v>
      </c>
      <c r="D867" s="25" t="s">
        <v>25929</v>
      </c>
      <c r="E867" s="25"/>
      <c r="F867" s="9" t="str">
        <f t="shared" si="10"/>
        <v>embryonic tissue</v>
      </c>
      <c r="G867" s="9" t="s">
        <v>1670</v>
      </c>
      <c r="H867" s="9" t="s">
        <v>23071</v>
      </c>
      <c r="I867" s="9" t="s">
        <v>1743</v>
      </c>
      <c r="J867" s="9" t="s">
        <v>1744</v>
      </c>
      <c r="K867" s="4" t="s">
        <v>15175</v>
      </c>
      <c r="L867" s="13">
        <v>266441371</v>
      </c>
      <c r="M867" t="str">
        <f>VLOOKUP(L867,[1]Human_BrainSpan!$B$2:$C$4000,2,FALSE)</f>
        <v>CA3Usr</v>
      </c>
    </row>
    <row r="868" spans="2:13" x14ac:dyDescent="0.25">
      <c r="B868" s="31" t="s">
        <v>26303</v>
      </c>
      <c r="C868" s="25" t="s">
        <v>26230</v>
      </c>
      <c r="D868" s="25" t="s">
        <v>25929</v>
      </c>
      <c r="E868" s="25"/>
      <c r="F868" s="9" t="str">
        <f t="shared" si="10"/>
        <v>embryonic tissue</v>
      </c>
      <c r="G868" s="9" t="s">
        <v>1670</v>
      </c>
      <c r="H868" s="9" t="s">
        <v>23072</v>
      </c>
      <c r="I868" s="9" t="s">
        <v>1745</v>
      </c>
      <c r="J868" s="9" t="s">
        <v>1746</v>
      </c>
      <c r="K868" s="4" t="s">
        <v>15175</v>
      </c>
      <c r="L868" s="13">
        <v>266441375</v>
      </c>
      <c r="M868" t="str">
        <f>VLOOKUP(L868,[1]Human_BrainSpan!$B$2:$C$4000,2,FALSE)</f>
        <v>CA3Usl</v>
      </c>
    </row>
    <row r="869" spans="2:13" x14ac:dyDescent="0.25">
      <c r="B869" s="31" t="s">
        <v>26303</v>
      </c>
      <c r="C869" s="20" t="s">
        <v>25759</v>
      </c>
      <c r="D869" s="25" t="s">
        <v>25929</v>
      </c>
      <c r="E869" s="25"/>
      <c r="F869" s="9" t="str">
        <f t="shared" si="10"/>
        <v>embryonic tissue</v>
      </c>
      <c r="G869" s="9" t="s">
        <v>1670</v>
      </c>
      <c r="H869" s="9" t="s">
        <v>23073</v>
      </c>
      <c r="I869" s="9" t="s">
        <v>1747</v>
      </c>
      <c r="J869" s="9" t="s">
        <v>1748</v>
      </c>
      <c r="K869" s="4" t="s">
        <v>15175</v>
      </c>
      <c r="L869" s="13">
        <v>266441379</v>
      </c>
      <c r="M869" t="str">
        <f>VLOOKUP(L869,[1]Human_BrainSpan!$B$2:$C$4000,2,FALSE)</f>
        <v>CA3Usp</v>
      </c>
    </row>
    <row r="870" spans="2:13" x14ac:dyDescent="0.25">
      <c r="B870" s="31" t="s">
        <v>26303</v>
      </c>
      <c r="C870" s="25" t="s">
        <v>1749</v>
      </c>
      <c r="D870" s="25" t="s">
        <v>25929</v>
      </c>
      <c r="E870"/>
      <c r="F870" s="9" t="str">
        <f t="shared" si="10"/>
        <v>embryonic tissue</v>
      </c>
      <c r="G870" s="9" t="s">
        <v>1670</v>
      </c>
      <c r="H870" s="9" t="s">
        <v>23074</v>
      </c>
      <c r="I870" s="9" t="s">
        <v>1749</v>
      </c>
      <c r="J870" s="9" t="s">
        <v>1750</v>
      </c>
      <c r="K870" s="4" t="s">
        <v>15175</v>
      </c>
      <c r="L870" s="13">
        <v>266441383</v>
      </c>
      <c r="M870" t="str">
        <f>VLOOKUP(L870,[1]Human_BrainSpan!$B$2:$C$4000,2,FALSE)</f>
        <v>CA3Uso</v>
      </c>
    </row>
    <row r="871" spans="2:13" x14ac:dyDescent="0.25">
      <c r="B871" s="31" t="s">
        <v>26303</v>
      </c>
      <c r="C871" s="20" t="s">
        <v>25759</v>
      </c>
      <c r="D871" s="25" t="s">
        <v>25929</v>
      </c>
      <c r="E871" s="25"/>
      <c r="F871" s="9" t="str">
        <f t="shared" si="10"/>
        <v>embryonic tissue</v>
      </c>
      <c r="G871" s="9" t="s">
        <v>1670</v>
      </c>
      <c r="H871" s="9" t="s">
        <v>15943</v>
      </c>
      <c r="I871" s="9" t="s">
        <v>122</v>
      </c>
      <c r="J871" s="9" t="s">
        <v>123</v>
      </c>
      <c r="K871" s="5" t="s">
        <v>15173</v>
      </c>
      <c r="L871" s="13">
        <v>16144</v>
      </c>
      <c r="M871" t="str">
        <f>VLOOKUP(L871,[1]DevMouse!$B$2:$C$2693,2,FALSE)</f>
        <v>CA3slu</v>
      </c>
    </row>
    <row r="872" spans="2:13" x14ac:dyDescent="0.25">
      <c r="B872" s="31" t="s">
        <v>26303</v>
      </c>
      <c r="C872" s="25" t="s">
        <v>25996</v>
      </c>
      <c r="D872" s="25" t="s">
        <v>25929</v>
      </c>
      <c r="E872" s="25"/>
      <c r="F872" s="9" t="str">
        <f t="shared" si="10"/>
        <v>embryonic tissue</v>
      </c>
      <c r="G872" s="9" t="s">
        <v>1670</v>
      </c>
      <c r="H872" s="9" t="s">
        <v>25115</v>
      </c>
      <c r="I872" s="9" t="s">
        <v>1751</v>
      </c>
      <c r="J872" s="9" t="s">
        <v>1752</v>
      </c>
      <c r="K872" s="7" t="s">
        <v>15171</v>
      </c>
      <c r="L872" s="13">
        <v>4413</v>
      </c>
      <c r="M872" t="str">
        <f>VLOOKUP(L872,[1]HBA!$B$2:$C$4000,2,FALSE)</f>
        <v>Pll</v>
      </c>
    </row>
    <row r="873" spans="2:13" x14ac:dyDescent="0.25">
      <c r="B873" s="31" t="s">
        <v>26303</v>
      </c>
      <c r="C873" s="25" t="s">
        <v>25903</v>
      </c>
      <c r="D873" s="25" t="s">
        <v>25929</v>
      </c>
      <c r="E873" s="25"/>
      <c r="F873" s="9" t="str">
        <f t="shared" si="10"/>
        <v>embryonic tissue</v>
      </c>
      <c r="G873" s="9" t="s">
        <v>1670</v>
      </c>
      <c r="H873" s="9" t="s">
        <v>19556</v>
      </c>
      <c r="I873" s="9" t="s">
        <v>1469</v>
      </c>
      <c r="J873" s="9" t="s">
        <v>1470</v>
      </c>
      <c r="K873" s="3" t="s">
        <v>15176</v>
      </c>
      <c r="L873" s="13">
        <v>10702</v>
      </c>
      <c r="M873" t="str">
        <f>VLOOKUP(L873,[1]Mouse_ARA!$B$2:$C$1328,2,FALSE)</f>
        <v>DG-sgz</v>
      </c>
    </row>
    <row r="874" spans="2:13" x14ac:dyDescent="0.25">
      <c r="B874" s="31" t="s">
        <v>26303</v>
      </c>
      <c r="C874" s="20" t="s">
        <v>25759</v>
      </c>
      <c r="D874" s="25" t="s">
        <v>25929</v>
      </c>
      <c r="E874" s="25"/>
      <c r="F874" s="9" t="str">
        <f t="shared" si="10"/>
        <v>embryonic tissue</v>
      </c>
      <c r="G874" s="9" t="s">
        <v>1670</v>
      </c>
      <c r="H874" s="9" t="s">
        <v>15943</v>
      </c>
      <c r="I874" s="9" t="s">
        <v>124</v>
      </c>
      <c r="J874" s="9" t="s">
        <v>125</v>
      </c>
      <c r="K874" s="3" t="s">
        <v>15176</v>
      </c>
      <c r="L874" s="13">
        <v>479</v>
      </c>
      <c r="M874" t="str">
        <f>VLOOKUP(L874,[1]Mouse_ARA!$B$2:$C$1328,2,FALSE)</f>
        <v>CA3slu</v>
      </c>
    </row>
    <row r="875" spans="2:13" x14ac:dyDescent="0.25">
      <c r="B875" s="31" t="s">
        <v>25743</v>
      </c>
      <c r="C875" s="20"/>
      <c r="D875" s="25" t="s">
        <v>1754</v>
      </c>
      <c r="E875" s="25"/>
      <c r="F875" s="9" t="str">
        <f>HYPERLINK("https://www.ebi.ac.uk/ols/ontologies/uberon/terms?iri=http://purl.obolibrary.org/obo/UBERON_0022258","endolemniscal nucleus")</f>
        <v>endolemniscal nucleus</v>
      </c>
      <c r="G875" s="9" t="s">
        <v>1753</v>
      </c>
      <c r="H875" s="9" t="s">
        <v>24481</v>
      </c>
      <c r="I875" s="9" t="s">
        <v>1754</v>
      </c>
      <c r="J875" s="9" t="s">
        <v>1755</v>
      </c>
      <c r="K875" s="4" t="s">
        <v>15175</v>
      </c>
      <c r="L875" s="13">
        <v>12648</v>
      </c>
      <c r="M875" t="str">
        <f>VLOOKUP(L875,[1]Human_BrainSpan!$B$2:$C$4000,2,FALSE)</f>
        <v>EL</v>
      </c>
    </row>
    <row r="876" spans="2:13" x14ac:dyDescent="0.25">
      <c r="B876" s="31" t="s">
        <v>25743</v>
      </c>
      <c r="C876" s="20"/>
      <c r="D876" s="25" t="s">
        <v>1754</v>
      </c>
      <c r="E876" s="25"/>
      <c r="F876" s="9" t="str">
        <f>HYPERLINK("https://www.ebi.ac.uk/ols/ontologies/uberon/terms?iri=http://purl.obolibrary.org/obo/UBERON_0022258","endolemniscal nucleus")</f>
        <v>endolemniscal nucleus</v>
      </c>
      <c r="G876" s="9" t="s">
        <v>1753</v>
      </c>
      <c r="H876" s="9" t="s">
        <v>24481</v>
      </c>
      <c r="I876" s="9" t="s">
        <v>1754</v>
      </c>
      <c r="J876" s="9" t="s">
        <v>1756</v>
      </c>
      <c r="K876" s="7" t="s">
        <v>15171</v>
      </c>
      <c r="L876" s="13">
        <v>9548</v>
      </c>
      <c r="M876" t="str">
        <f>VLOOKUP(L876,[1]HBA!$B$2:$C$4000,2,FALSE)</f>
        <v>EL</v>
      </c>
    </row>
    <row r="877" spans="2:13" x14ac:dyDescent="0.25">
      <c r="B877" s="31" t="s">
        <v>25743</v>
      </c>
      <c r="C877" s="20"/>
      <c r="D877" s="25" t="s">
        <v>1758</v>
      </c>
      <c r="E877" s="25"/>
      <c r="F877" s="9" t="str">
        <f>HYPERLINK("https://www.ebi.ac.uk/ols/ontologies/uberon/terms?iri=http://purl.obolibrary.org/obo/UBERON_0000432","endopeduncular nucleus")</f>
        <v>endopeduncular nucleus</v>
      </c>
      <c r="G877" s="9" t="s">
        <v>1757</v>
      </c>
      <c r="H877" s="9" t="s">
        <v>23428</v>
      </c>
      <c r="I877" s="9" t="s">
        <v>1758</v>
      </c>
      <c r="J877" s="9" t="s">
        <v>1759</v>
      </c>
      <c r="K877" s="4" t="s">
        <v>15175</v>
      </c>
      <c r="L877" s="13">
        <v>13057</v>
      </c>
      <c r="M877" t="str">
        <f>VLOOKUP(L877,[1]Human_BrainSpan!$B$2:$C$4000,2,FALSE)</f>
        <v>EnP</v>
      </c>
    </row>
    <row r="878" spans="2:13" x14ac:dyDescent="0.25">
      <c r="B878" s="31" t="s">
        <v>25743</v>
      </c>
      <c r="C878" s="20"/>
      <c r="D878" s="25" t="s">
        <v>1761</v>
      </c>
      <c r="E878" s="25"/>
      <c r="F878" s="9" t="str">
        <f>HYPERLINK("https://www.ebi.ac.uk/ols/ontologies/uberon/terms?iri=http://purl.obolibrary.org/obo/UBERON_0014284","endopiriform nucleus")</f>
        <v>endopiriform nucleus</v>
      </c>
      <c r="G878" s="9" t="s">
        <v>1760</v>
      </c>
      <c r="H878" s="9" t="s">
        <v>23205</v>
      </c>
      <c r="I878" s="9" t="s">
        <v>1761</v>
      </c>
      <c r="J878" s="9" t="s">
        <v>1762</v>
      </c>
      <c r="K878" s="4" t="s">
        <v>15175</v>
      </c>
      <c r="L878" s="13">
        <v>10371</v>
      </c>
      <c r="M878" t="str">
        <f>VLOOKUP(L878,[1]Human_BrainSpan!$B$2:$C$4000,2,FALSE)</f>
        <v>En</v>
      </c>
    </row>
    <row r="879" spans="2:13" x14ac:dyDescent="0.25">
      <c r="B879" s="31" t="s">
        <v>25743</v>
      </c>
      <c r="C879" s="20"/>
      <c r="D879" s="25" t="s">
        <v>1761</v>
      </c>
      <c r="E879" s="25"/>
      <c r="F879" s="9" t="str">
        <f>HYPERLINK("https://www.ebi.ac.uk/ols/ontologies/uberon/terms?iri=http://purl.obolibrary.org/obo/UBERON_0014284","endopiriform nucleus")</f>
        <v>endopiriform nucleus</v>
      </c>
      <c r="G879" s="9" t="s">
        <v>1760</v>
      </c>
      <c r="H879" s="9" t="s">
        <v>19717</v>
      </c>
      <c r="I879" s="9" t="s">
        <v>1761</v>
      </c>
      <c r="J879" s="9" t="s">
        <v>1763</v>
      </c>
      <c r="K879" s="3" t="s">
        <v>15176</v>
      </c>
      <c r="L879" s="13">
        <v>942</v>
      </c>
      <c r="M879" t="str">
        <f>VLOOKUP(L879,[1]Mouse_ARA!$B$2:$C$1328,2,FALSE)</f>
        <v>EP</v>
      </c>
    </row>
    <row r="880" spans="2:13" x14ac:dyDescent="0.25">
      <c r="B880" s="31" t="s">
        <v>25743</v>
      </c>
      <c r="C880" s="20"/>
      <c r="D880" s="25" t="s">
        <v>1765</v>
      </c>
      <c r="E880" s="25"/>
      <c r="F880" s="9" t="str">
        <f>HYPERLINK("https://www.ebi.ac.uk/ols/ontologies/uberon/terms?iri=http://purl.obolibrary.org/obo/UBERON_0002728","entorhinal cortex")</f>
        <v>entorhinal cortex</v>
      </c>
      <c r="G880" s="9" t="s">
        <v>1764</v>
      </c>
      <c r="H880" s="9" t="s">
        <v>22858</v>
      </c>
      <c r="I880" s="9" t="s">
        <v>1765</v>
      </c>
      <c r="J880" s="9" t="s">
        <v>1766</v>
      </c>
      <c r="K880" s="4" t="s">
        <v>15175</v>
      </c>
      <c r="L880" s="13">
        <v>10317</v>
      </c>
      <c r="M880" t="str">
        <f>VLOOKUP(L880,[1]Human_BrainSpan!$B$2:$C$4000,2,FALSE)</f>
        <v>EC</v>
      </c>
    </row>
    <row r="881" spans="2:13" x14ac:dyDescent="0.25">
      <c r="B881" s="31" t="s">
        <v>25743</v>
      </c>
      <c r="C881" s="20"/>
      <c r="D881" s="25" t="s">
        <v>1765</v>
      </c>
      <c r="E881" s="25"/>
      <c r="F881" s="9" t="str">
        <f>HYPERLINK("https://www.ebi.ac.uk/ols/ontologies/uberon/terms?iri=http://purl.obolibrary.org/obo/UBERON_0002728","entorhinal cortex")</f>
        <v>entorhinal cortex</v>
      </c>
      <c r="G881" s="9" t="s">
        <v>1764</v>
      </c>
      <c r="H881" s="9" t="s">
        <v>15897</v>
      </c>
      <c r="I881" s="9" t="s">
        <v>1765</v>
      </c>
      <c r="J881" s="9" t="s">
        <v>1767</v>
      </c>
      <c r="K881" s="5" t="s">
        <v>15173</v>
      </c>
      <c r="L881" s="13">
        <v>16102</v>
      </c>
      <c r="M881" t="str">
        <f>VLOOKUP(L881,[1]DevMouse!$B$2:$C$2693,2,FALSE)</f>
        <v>ERCx</v>
      </c>
    </row>
    <row r="882" spans="2:13" x14ac:dyDescent="0.25">
      <c r="B882" s="31" t="s">
        <v>25743</v>
      </c>
      <c r="C882" s="20"/>
      <c r="D882" s="25" t="s">
        <v>1765</v>
      </c>
      <c r="E882" s="25"/>
      <c r="F882" s="9" t="str">
        <f>HYPERLINK("https://www.ebi.ac.uk/ols/ontologies/uberon/terms?iri=http://purl.obolibrary.org/obo/UBERON_0002728","entorhinal cortex")</f>
        <v>entorhinal cortex</v>
      </c>
      <c r="G882" s="9" t="s">
        <v>1764</v>
      </c>
      <c r="H882" s="9" t="s">
        <v>19587</v>
      </c>
      <c r="I882" s="9" t="s">
        <v>1768</v>
      </c>
      <c r="J882" s="9" t="s">
        <v>1769</v>
      </c>
      <c r="K882" s="3" t="s">
        <v>15176</v>
      </c>
      <c r="L882" s="13">
        <v>909</v>
      </c>
      <c r="M882" t="str">
        <f>VLOOKUP(L882,[1]Mouse_ARA!$B$2:$C$1328,2,FALSE)</f>
        <v>ENT</v>
      </c>
    </row>
    <row r="883" spans="2:13" x14ac:dyDescent="0.25">
      <c r="B883" s="31" t="s">
        <v>25743</v>
      </c>
      <c r="C883" s="20"/>
      <c r="D883" s="25" t="s">
        <v>1765</v>
      </c>
      <c r="E883" s="25"/>
      <c r="F883" s="9" t="str">
        <f>HYPERLINK("https://www.ebi.ac.uk/ols/ontologies/uberon/terms?iri=http://purl.obolibrary.org/obo/UBERON_0002728","entorhinal cortex")</f>
        <v>entorhinal cortex</v>
      </c>
      <c r="G883" s="9" t="s">
        <v>1764</v>
      </c>
      <c r="H883" s="9" t="s">
        <v>25711</v>
      </c>
      <c r="I883" s="9" t="s">
        <v>1765</v>
      </c>
      <c r="J883" s="9" t="s">
        <v>1770</v>
      </c>
      <c r="K883" s="6" t="s">
        <v>15174</v>
      </c>
      <c r="L883" s="13">
        <v>294022158</v>
      </c>
      <c r="M883" t="str">
        <f>VLOOKUP(L883,[1]NonHumanPrimate!$B$2:$C$4000,2,FALSE)</f>
        <v>ECx</v>
      </c>
    </row>
    <row r="884" spans="2:13" x14ac:dyDescent="0.25">
      <c r="B884" s="31" t="s">
        <v>25743</v>
      </c>
      <c r="C884" s="20"/>
      <c r="D884" s="25" t="s">
        <v>1772</v>
      </c>
      <c r="E884" s="25"/>
      <c r="F884" s="9" t="str">
        <f>HYPERLINK("https://www.ebi.ac.uk/ols/ontologies/uberon/terms?iri=http://purl.obolibrary.org/obo/UBERON_0019314","epifascicular nucleus")</f>
        <v>epifascicular nucleus</v>
      </c>
      <c r="G884" s="9" t="s">
        <v>1771</v>
      </c>
      <c r="H884" s="9" t="s">
        <v>24482</v>
      </c>
      <c r="I884" s="9" t="s">
        <v>1772</v>
      </c>
      <c r="J884" s="9" t="s">
        <v>1773</v>
      </c>
      <c r="K884" s="4" t="s">
        <v>15175</v>
      </c>
      <c r="L884" s="13">
        <v>12649</v>
      </c>
      <c r="M884" t="str">
        <f>VLOOKUP(L884,[1]Human_BrainSpan!$B$2:$C$4000,2,FALSE)</f>
        <v>EF</v>
      </c>
    </row>
    <row r="885" spans="2:13" x14ac:dyDescent="0.25">
      <c r="B885" s="31" t="s">
        <v>25743</v>
      </c>
      <c r="C885" s="20"/>
      <c r="D885" s="25" t="s">
        <v>1772</v>
      </c>
      <c r="E885" s="25"/>
      <c r="F885" s="9" t="str">
        <f>HYPERLINK("https://www.ebi.ac.uk/ols/ontologies/uberon/terms?iri=http://purl.obolibrary.org/obo/UBERON_0019314","epifascicular nucleus")</f>
        <v>epifascicular nucleus</v>
      </c>
      <c r="G885" s="9" t="s">
        <v>1771</v>
      </c>
      <c r="H885" s="9" t="s">
        <v>24482</v>
      </c>
      <c r="I885" s="9" t="s">
        <v>1772</v>
      </c>
      <c r="J885" s="9" t="s">
        <v>1774</v>
      </c>
      <c r="K885" s="7" t="s">
        <v>15171</v>
      </c>
      <c r="L885" s="13">
        <v>9551</v>
      </c>
      <c r="M885" t="str">
        <f>VLOOKUP(L885,[1]HBA!$B$2:$C$4000,2,FALSE)</f>
        <v>EF</v>
      </c>
    </row>
    <row r="886" spans="2:13" x14ac:dyDescent="0.25">
      <c r="B886" s="31" t="s">
        <v>25743</v>
      </c>
      <c r="C886" s="20"/>
      <c r="D886" s="25" t="s">
        <v>1776</v>
      </c>
      <c r="E886" s="25"/>
      <c r="F886" s="9" t="str">
        <f>HYPERLINK("https://www.ebi.ac.uk/ols/ontologies/uberon/terms?iri=http://purl.obolibrary.org/obo/UBERON_0001899","epithalamus")</f>
        <v>epithalamus</v>
      </c>
      <c r="G886" s="9" t="s">
        <v>1775</v>
      </c>
      <c r="H886" s="9" t="s">
        <v>23408</v>
      </c>
      <c r="I886" s="9" t="s">
        <v>1776</v>
      </c>
      <c r="J886" s="9" t="s">
        <v>1777</v>
      </c>
      <c r="K886" s="4" t="s">
        <v>15175</v>
      </c>
      <c r="L886" s="13">
        <v>10451</v>
      </c>
      <c r="M886" t="str">
        <f>VLOOKUP(L886,[1]Human_BrainSpan!$B$2:$C$4000,2,FALSE)</f>
        <v>ETH</v>
      </c>
    </row>
    <row r="887" spans="2:13" x14ac:dyDescent="0.25">
      <c r="B887" s="31" t="s">
        <v>25743</v>
      </c>
      <c r="C887" s="20"/>
      <c r="D887" s="25" t="s">
        <v>1776</v>
      </c>
      <c r="E887" s="25"/>
      <c r="F887" s="9" t="str">
        <f>HYPERLINK("https://www.ebi.ac.uk/ols/ontologies/uberon/terms?iri=http://purl.obolibrary.org/obo/UBERON_0001899","epithalamus")</f>
        <v>epithalamus</v>
      </c>
      <c r="G887" s="9" t="s">
        <v>1775</v>
      </c>
      <c r="H887" s="9" t="s">
        <v>24907</v>
      </c>
      <c r="I887" s="9" t="s">
        <v>1776</v>
      </c>
      <c r="J887" s="9" t="s">
        <v>1778</v>
      </c>
      <c r="K887" s="7" t="s">
        <v>15171</v>
      </c>
      <c r="L887" s="13">
        <v>4520</v>
      </c>
      <c r="M887" t="str">
        <f>VLOOKUP(L887,[1]HBA!$B$2:$C$4000,2,FALSE)</f>
        <v>ET</v>
      </c>
    </row>
    <row r="888" spans="2:13" x14ac:dyDescent="0.25">
      <c r="B888" s="31" t="s">
        <v>25743</v>
      </c>
      <c r="C888" s="20"/>
      <c r="D888" s="25" t="s">
        <v>1776</v>
      </c>
      <c r="E888" s="25"/>
      <c r="F888" s="9" t="str">
        <f>HYPERLINK("https://www.ebi.ac.uk/ols/ontologies/uberon/terms?iri=http://purl.obolibrary.org/obo/UBERON_0001899","epithalamus")</f>
        <v>epithalamus</v>
      </c>
      <c r="G888" s="9" t="s">
        <v>1775</v>
      </c>
      <c r="H888" s="9" t="s">
        <v>19989</v>
      </c>
      <c r="I888" s="9" t="s">
        <v>1776</v>
      </c>
      <c r="J888" s="9" t="s">
        <v>1779</v>
      </c>
      <c r="K888" s="3" t="s">
        <v>15176</v>
      </c>
      <c r="L888" s="13">
        <v>958</v>
      </c>
      <c r="M888" t="str">
        <f>VLOOKUP(L888,[1]Mouse_ARA!$B$2:$C$1328,2,FALSE)</f>
        <v>EPI</v>
      </c>
    </row>
    <row r="889" spans="2:13" x14ac:dyDescent="0.25">
      <c r="B889" s="31" t="s">
        <v>25743</v>
      </c>
      <c r="C889" s="20"/>
      <c r="D889" s="25" t="s">
        <v>1776</v>
      </c>
      <c r="E889" s="25"/>
      <c r="F889" s="9" t="str">
        <f>HYPERLINK("https://www.ebi.ac.uk/ols/ontologies/uberon/terms?iri=http://purl.obolibrary.org/obo/UBERON_0001899","epithalamus")</f>
        <v>epithalamus</v>
      </c>
      <c r="G889" s="9" t="s">
        <v>1775</v>
      </c>
      <c r="H889" s="9" t="s">
        <v>25741</v>
      </c>
      <c r="I889" s="9" t="s">
        <v>1776</v>
      </c>
      <c r="J889" s="9" t="s">
        <v>1780</v>
      </c>
      <c r="K889" s="6" t="s">
        <v>15174</v>
      </c>
      <c r="L889" s="13">
        <v>128013147</v>
      </c>
      <c r="M889" t="str">
        <f>VLOOKUP(L889,[1]NonHumanPrimate!$B$2:$C$4000,2,FALSE)</f>
        <v>ETh</v>
      </c>
    </row>
    <row r="890" spans="2:13" x14ac:dyDescent="0.25">
      <c r="B890" s="31" t="s">
        <v>25743</v>
      </c>
      <c r="C890" s="20"/>
      <c r="D890" s="25" t="s">
        <v>25930</v>
      </c>
      <c r="E890" s="25"/>
      <c r="F890" s="9" t="str">
        <f>HYPERLINK("https://www.ebi.ac.uk/ols/ontologies/uberon/terms?iri=http://purl.obolibrary.org/obo/UBERON_0004545","external capsule of telencephalon")</f>
        <v>external capsule of telencephalon</v>
      </c>
      <c r="G890" s="9" t="s">
        <v>1781</v>
      </c>
      <c r="H890" s="9" t="s">
        <v>23573</v>
      </c>
      <c r="I890" s="9" t="s">
        <v>1782</v>
      </c>
      <c r="J890" s="9" t="s">
        <v>1783</v>
      </c>
      <c r="K890" s="4" t="s">
        <v>15175</v>
      </c>
      <c r="L890" s="13">
        <v>10573</v>
      </c>
      <c r="M890" t="str">
        <f>VLOOKUP(L890,[1]Human_BrainSpan!$B$2:$C$4000,2,FALSE)</f>
        <v>extC</v>
      </c>
    </row>
    <row r="891" spans="2:13" x14ac:dyDescent="0.25">
      <c r="B891" s="31" t="s">
        <v>25743</v>
      </c>
      <c r="C891" s="20"/>
      <c r="D891" s="25" t="s">
        <v>25930</v>
      </c>
      <c r="E891" s="25"/>
      <c r="F891" s="9" t="str">
        <f>HYPERLINK("https://www.ebi.ac.uk/ols/ontologies/uberon/terms?iri=http://purl.obolibrary.org/obo/UBERON_0004545","external capsule of telencephalon")</f>
        <v>external capsule of telencephalon</v>
      </c>
      <c r="G891" s="9" t="s">
        <v>1781</v>
      </c>
      <c r="H891" s="9" t="s">
        <v>18459</v>
      </c>
      <c r="I891" s="9" t="s">
        <v>1782</v>
      </c>
      <c r="J891" s="9" t="s">
        <v>1784</v>
      </c>
      <c r="K891" s="5" t="s">
        <v>15173</v>
      </c>
      <c r="L891" s="13">
        <v>17765</v>
      </c>
      <c r="M891" t="str">
        <f>VLOOKUP(L891,[1]DevMouse!$B$2:$C$2693,2,FALSE)</f>
        <v>ec</v>
      </c>
    </row>
    <row r="892" spans="2:13" x14ac:dyDescent="0.25">
      <c r="B892" s="31" t="s">
        <v>25743</v>
      </c>
      <c r="C892" s="20"/>
      <c r="D892" s="25" t="s">
        <v>25930</v>
      </c>
      <c r="E892" s="25"/>
      <c r="F892" s="9" t="str">
        <f>HYPERLINK("https://www.ebi.ac.uk/ols/ontologies/uberon/terms?iri=http://purl.obolibrary.org/obo/UBERON_0004545","external capsule of telencephalon")</f>
        <v>external capsule of telencephalon</v>
      </c>
      <c r="G892" s="9" t="s">
        <v>1781</v>
      </c>
      <c r="H892" s="9" t="s">
        <v>18459</v>
      </c>
      <c r="I892" s="9" t="s">
        <v>1782</v>
      </c>
      <c r="J892" s="9" t="s">
        <v>1785</v>
      </c>
      <c r="K892" s="7" t="s">
        <v>15171</v>
      </c>
      <c r="L892" s="13">
        <v>9243</v>
      </c>
      <c r="M892" t="str">
        <f>VLOOKUP(L892,[1]HBA!$B$2:$C$4000,2,FALSE)</f>
        <v>ec</v>
      </c>
    </row>
    <row r="893" spans="2:13" x14ac:dyDescent="0.25">
      <c r="B893" s="31" t="s">
        <v>25743</v>
      </c>
      <c r="C893" s="20"/>
      <c r="D893" s="25" t="s">
        <v>25930</v>
      </c>
      <c r="E893" s="25"/>
      <c r="F893" s="9" t="str">
        <f>HYPERLINK("https://www.ebi.ac.uk/ols/ontologies/uberon/terms?iri=http://purl.obolibrary.org/obo/UBERON_0004545","external capsule of telencephalon")</f>
        <v>external capsule of telencephalon</v>
      </c>
      <c r="G893" s="9" t="s">
        <v>1781</v>
      </c>
      <c r="H893" s="9" t="s">
        <v>18459</v>
      </c>
      <c r="I893" s="9" t="s">
        <v>1782</v>
      </c>
      <c r="J893" s="9" t="s">
        <v>1786</v>
      </c>
      <c r="K893" s="3" t="s">
        <v>15176</v>
      </c>
      <c r="L893" s="13">
        <v>579</v>
      </c>
      <c r="M893" t="str">
        <f>VLOOKUP(L893,[1]Mouse_ARA!$B$2:$C$1328,2,FALSE)</f>
        <v>ec</v>
      </c>
    </row>
    <row r="894" spans="2:13" x14ac:dyDescent="0.25">
      <c r="B894" s="31" t="s">
        <v>25743</v>
      </c>
      <c r="C894" s="20"/>
      <c r="D894" s="25" t="s">
        <v>1788</v>
      </c>
      <c r="E894" s="25"/>
      <c r="F894" s="9" t="str">
        <f>HYPERLINK("https://www.ebi.ac.uk/ols/ontologies/uberon/terms?iri=http://purl.obolibrary.org/obo/UBERON_0014534","external medullary lamina of thalamus")</f>
        <v>external medullary lamina of thalamus</v>
      </c>
      <c r="G894" s="9" t="s">
        <v>1787</v>
      </c>
      <c r="H894" s="9" t="s">
        <v>23575</v>
      </c>
      <c r="I894" s="9" t="s">
        <v>1788</v>
      </c>
      <c r="J894" s="9" t="s">
        <v>1789</v>
      </c>
      <c r="K894" s="4" t="s">
        <v>15175</v>
      </c>
      <c r="L894" s="13">
        <v>12038</v>
      </c>
      <c r="M894" t="str">
        <f>VLOOKUP(L894,[1]Human_BrainSpan!$B$2:$C$4000,2,FALSE)</f>
        <v>emlth</v>
      </c>
    </row>
    <row r="895" spans="2:13" x14ac:dyDescent="0.25">
      <c r="B895" s="31" t="s">
        <v>25743</v>
      </c>
      <c r="C895" s="20"/>
      <c r="D895" s="25" t="s">
        <v>1788</v>
      </c>
      <c r="E895" s="25"/>
      <c r="F895" s="9" t="str">
        <f>HYPERLINK("https://www.ebi.ac.uk/ols/ontologies/uberon/terms?iri=http://purl.obolibrary.org/obo/UBERON_0014534","external medullary lamina of thalamus")</f>
        <v>external medullary lamina of thalamus</v>
      </c>
      <c r="G895" s="9" t="s">
        <v>1787</v>
      </c>
      <c r="H895" s="9" t="s">
        <v>23575</v>
      </c>
      <c r="I895" s="9" t="s">
        <v>1788</v>
      </c>
      <c r="J895" s="9" t="s">
        <v>1790</v>
      </c>
      <c r="K895" s="7" t="s">
        <v>15171</v>
      </c>
      <c r="L895" s="13">
        <v>265505098</v>
      </c>
      <c r="M895" t="str">
        <f>VLOOKUP(L895,[1]HBA!$B$2:$C$4000,2,FALSE)</f>
        <v>emlth</v>
      </c>
    </row>
    <row r="896" spans="2:13" x14ac:dyDescent="0.25">
      <c r="B896" s="31" t="s">
        <v>25743</v>
      </c>
      <c r="C896" s="20"/>
      <c r="D896" s="25" t="s">
        <v>1788</v>
      </c>
      <c r="E896" s="25"/>
      <c r="F896" s="9" t="str">
        <f>HYPERLINK("https://www.ebi.ac.uk/ols/ontologies/uberon/terms?iri=http://purl.obolibrary.org/obo/UBERON_0014534","external medullary lamina of thalamus")</f>
        <v>external medullary lamina of thalamus</v>
      </c>
      <c r="G896" s="9" t="s">
        <v>1787</v>
      </c>
      <c r="H896" s="9" t="s">
        <v>20841</v>
      </c>
      <c r="I896" s="9" t="s">
        <v>1791</v>
      </c>
      <c r="J896" s="9" t="s">
        <v>1792</v>
      </c>
      <c r="K896" s="3" t="s">
        <v>15176</v>
      </c>
      <c r="L896" s="13">
        <v>1092</v>
      </c>
      <c r="M896" t="str">
        <f>VLOOKUP(L896,[1]Mouse_ARA!$B$2:$C$1328,2,FALSE)</f>
        <v>em</v>
      </c>
    </row>
    <row r="897" spans="2:13" x14ac:dyDescent="0.25">
      <c r="B897" s="31" t="s">
        <v>25743</v>
      </c>
      <c r="C897" s="20"/>
      <c r="D897" s="25" t="s">
        <v>25931</v>
      </c>
      <c r="E897" s="25"/>
      <c r="F897" s="9" t="str">
        <f>HYPERLINK("https://www.ebi.ac.uk/ols/ontologies/uberon/terms?iri=http://purl.obolibrary.org/obo/UBERON_0002571","external nucleus of inferior colliculus")</f>
        <v>external nucleus of inferior colliculus</v>
      </c>
      <c r="G897" s="9" t="s">
        <v>1793</v>
      </c>
      <c r="H897" s="9" t="s">
        <v>24070</v>
      </c>
      <c r="I897" s="9" t="s">
        <v>1794</v>
      </c>
      <c r="J897" s="9" t="s">
        <v>1795</v>
      </c>
      <c r="K897" s="4" t="s">
        <v>15175</v>
      </c>
      <c r="L897" s="13">
        <v>12308</v>
      </c>
      <c r="M897" t="str">
        <f>VLOOKUP(L897,[1]Human_BrainSpan!$B$2:$C$4000,2,FALSE)</f>
        <v>CICe</v>
      </c>
    </row>
    <row r="898" spans="2:13" x14ac:dyDescent="0.25">
      <c r="B898" s="31" t="s">
        <v>25743</v>
      </c>
      <c r="C898" s="20"/>
      <c r="D898" s="25" t="s">
        <v>25931</v>
      </c>
      <c r="E898" s="25"/>
      <c r="F898" s="9" t="str">
        <f>HYPERLINK("https://www.ebi.ac.uk/ols/ontologies/uberon/terms?iri=http://purl.obolibrary.org/obo/UBERON_0002571","external nucleus of inferior colliculus")</f>
        <v>external nucleus of inferior colliculus</v>
      </c>
      <c r="G898" s="9" t="s">
        <v>1793</v>
      </c>
      <c r="H898" s="9" t="s">
        <v>25200</v>
      </c>
      <c r="I898" s="9" t="s">
        <v>1796</v>
      </c>
      <c r="J898" s="9" t="s">
        <v>1797</v>
      </c>
      <c r="K898" s="7" t="s">
        <v>15171</v>
      </c>
      <c r="L898" s="13">
        <v>9105</v>
      </c>
      <c r="M898" t="str">
        <f>VLOOKUP(L898,[1]HBA!$B$2:$C$4000,2,FALSE)</f>
        <v>EIC</v>
      </c>
    </row>
    <row r="899" spans="2:13" x14ac:dyDescent="0.25">
      <c r="B899" s="31" t="s">
        <v>25743</v>
      </c>
      <c r="C899" s="20"/>
      <c r="D899" s="25" t="s">
        <v>25931</v>
      </c>
      <c r="E899" s="25"/>
      <c r="F899" s="9" t="str">
        <f>HYPERLINK("https://www.ebi.ac.uk/ols/ontologies/uberon/terms?iri=http://purl.obolibrary.org/obo/UBERON_0002571","external nucleus of inferior colliculus")</f>
        <v>external nucleus of inferior colliculus</v>
      </c>
      <c r="G899" s="9" t="s">
        <v>1793</v>
      </c>
      <c r="H899" s="9" t="s">
        <v>20177</v>
      </c>
      <c r="I899" s="9" t="s">
        <v>833</v>
      </c>
      <c r="J899" s="9" t="s">
        <v>834</v>
      </c>
      <c r="K899" s="3" t="s">
        <v>15176</v>
      </c>
      <c r="L899" s="13">
        <v>828</v>
      </c>
      <c r="M899" t="str">
        <f>VLOOKUP(L899,[1]Mouse_ARA!$B$2:$C$1328,2,FALSE)</f>
        <v>ICe</v>
      </c>
    </row>
    <row r="900" spans="2:13" x14ac:dyDescent="0.25">
      <c r="B900" s="31" t="s">
        <v>25743</v>
      </c>
      <c r="C900" s="20"/>
      <c r="D900" s="25" t="s">
        <v>25932</v>
      </c>
      <c r="E900" s="25"/>
      <c r="F900" s="9" t="str">
        <f>HYPERLINK("https://www.ebi.ac.uk/ols/ontologies/uberon/terms?iri=http://purl.obolibrary.org/obo/UBERON_0035803","extrapyramidal tract system")</f>
        <v>extrapyramidal tract system</v>
      </c>
      <c r="G900" s="9" t="s">
        <v>1798</v>
      </c>
      <c r="H900" s="9" t="s">
        <v>20848</v>
      </c>
      <c r="I900" s="9" t="s">
        <v>1799</v>
      </c>
      <c r="J900" s="9" t="s">
        <v>1800</v>
      </c>
      <c r="K900" s="3" t="s">
        <v>15176</v>
      </c>
      <c r="L900" s="13">
        <v>1000</v>
      </c>
      <c r="M900" t="str">
        <f>VLOOKUP(L900,[1]Mouse_ARA!$B$2:$C$1328,2,FALSE)</f>
        <v>eps</v>
      </c>
    </row>
    <row r="901" spans="2:13" x14ac:dyDescent="0.25">
      <c r="B901" s="31" t="s">
        <v>25743</v>
      </c>
      <c r="C901" s="20"/>
      <c r="D901" s="25" t="s">
        <v>25933</v>
      </c>
      <c r="E901" s="25"/>
      <c r="F901" s="9" t="str">
        <f>HYPERLINK("https://www.ebi.ac.uk/ols/ontologies/uberon/terms?iri=http://purl.obolibrary.org/obo/UBERON_0014370","extrastriate cortex")</f>
        <v>extrastriate cortex</v>
      </c>
      <c r="G901" s="9" t="s">
        <v>1801</v>
      </c>
      <c r="H901" s="9" t="s">
        <v>22689</v>
      </c>
      <c r="I901" s="9" t="s">
        <v>1802</v>
      </c>
      <c r="J901" s="9" t="s">
        <v>1803</v>
      </c>
      <c r="K901" s="4" t="s">
        <v>15175</v>
      </c>
      <c r="L901" s="13">
        <v>10270</v>
      </c>
      <c r="M901" t="str">
        <f>VLOOKUP(L901,[1]Human_BrainSpan!$B$2:$C$4000,2,FALSE)</f>
        <v>ESOC</v>
      </c>
    </row>
    <row r="902" spans="2:13" x14ac:dyDescent="0.25">
      <c r="B902" s="31" t="s">
        <v>25743</v>
      </c>
      <c r="C902" s="20"/>
      <c r="D902" s="25" t="s">
        <v>1805</v>
      </c>
      <c r="E902" s="25"/>
      <c r="F902" s="9" t="str">
        <f>HYPERLINK("https://www.ebi.ac.uk/ols/ontologies/uberon/terms?iri=http://purl.obolibrary.org/obo/UBERON_0014528","extreme capsule")</f>
        <v>extreme capsule</v>
      </c>
      <c r="G902" s="9" t="s">
        <v>1804</v>
      </c>
      <c r="H902" s="9" t="s">
        <v>23576</v>
      </c>
      <c r="I902" s="9" t="s">
        <v>1805</v>
      </c>
      <c r="J902" s="9" t="s">
        <v>1806</v>
      </c>
      <c r="K902" s="4" t="s">
        <v>15175</v>
      </c>
      <c r="L902" s="13">
        <v>10574</v>
      </c>
      <c r="M902" t="str">
        <f>VLOOKUP(L902,[1]Human_BrainSpan!$B$2:$C$4000,2,FALSE)</f>
        <v>extrC</v>
      </c>
    </row>
    <row r="903" spans="2:13" x14ac:dyDescent="0.25">
      <c r="B903" s="31" t="s">
        <v>25743</v>
      </c>
      <c r="C903" s="20"/>
      <c r="D903" s="25" t="s">
        <v>1805</v>
      </c>
      <c r="E903" s="25"/>
      <c r="F903" s="9" t="str">
        <f>HYPERLINK("https://www.ebi.ac.uk/ols/ontologies/uberon/terms?iri=http://purl.obolibrary.org/obo/UBERON_0014528","extreme capsule")</f>
        <v>extreme capsule</v>
      </c>
      <c r="G903" s="9" t="s">
        <v>1804</v>
      </c>
      <c r="H903" s="9" t="s">
        <v>25485</v>
      </c>
      <c r="I903" s="9" t="s">
        <v>1805</v>
      </c>
      <c r="J903" s="9" t="s">
        <v>1807</v>
      </c>
      <c r="K903" s="7" t="s">
        <v>15171</v>
      </c>
      <c r="L903" s="13">
        <v>9246</v>
      </c>
      <c r="M903" t="str">
        <f>VLOOKUP(L903,[1]HBA!$B$2:$C$4000,2,FALSE)</f>
        <v>exc</v>
      </c>
    </row>
    <row r="904" spans="2:13" x14ac:dyDescent="0.25">
      <c r="B904" s="31" t="s">
        <v>25743</v>
      </c>
      <c r="C904" s="20"/>
      <c r="D904" s="25" t="s">
        <v>1809</v>
      </c>
      <c r="E904" s="25"/>
      <c r="F904" s="9" t="str">
        <f>HYPERLINK("https://www.ebi.ac.uk/ols/ontologies/uberon/terms?iri=http://purl.obolibrary.org/obo/UBERON_0003011","facial motor nucleus")</f>
        <v>facial motor nucleus</v>
      </c>
      <c r="G904" s="9" t="s">
        <v>1808</v>
      </c>
      <c r="H904" s="9" t="s">
        <v>17880</v>
      </c>
      <c r="I904" s="9" t="s">
        <v>1809</v>
      </c>
      <c r="J904" s="9" t="s">
        <v>1810</v>
      </c>
      <c r="K904" s="5" t="s">
        <v>15173</v>
      </c>
      <c r="L904" s="13">
        <v>17317</v>
      </c>
      <c r="M904" t="str">
        <f>VLOOKUP(L904,[1]DevMouse!$B$2:$C$2693,2,FALSE)</f>
        <v>7M</v>
      </c>
    </row>
    <row r="905" spans="2:13" x14ac:dyDescent="0.25">
      <c r="B905" s="31" t="s">
        <v>25743</v>
      </c>
      <c r="C905" s="20"/>
      <c r="D905" s="25" t="s">
        <v>1809</v>
      </c>
      <c r="E905" s="25"/>
      <c r="F905" s="9" t="str">
        <f>HYPERLINK("https://www.ebi.ac.uk/ols/ontologies/uberon/terms?iri=http://purl.obolibrary.org/obo/UBERON_0003011","facial motor nucleus")</f>
        <v>facial motor nucleus</v>
      </c>
      <c r="G905" s="9" t="s">
        <v>1808</v>
      </c>
      <c r="H905" s="9">
        <v>7</v>
      </c>
      <c r="I905" s="9" t="s">
        <v>1809</v>
      </c>
      <c r="J905" s="9" t="s">
        <v>1811</v>
      </c>
      <c r="K905" s="7" t="s">
        <v>15171</v>
      </c>
      <c r="L905" s="13">
        <v>9142</v>
      </c>
      <c r="M905">
        <f>VLOOKUP(L905,[1]HBA!$B$2:$C$4000,2,FALSE)</f>
        <v>7</v>
      </c>
    </row>
    <row r="906" spans="2:13" x14ac:dyDescent="0.25">
      <c r="B906" s="31" t="s">
        <v>25743</v>
      </c>
      <c r="C906" s="20"/>
      <c r="D906" s="25" t="s">
        <v>1809</v>
      </c>
      <c r="E906" s="25"/>
      <c r="F906" s="9" t="str">
        <f>HYPERLINK("https://www.ebi.ac.uk/ols/ontologies/uberon/terms?iri=http://purl.obolibrary.org/obo/UBERON_0003011","facial motor nucleus")</f>
        <v>facial motor nucleus</v>
      </c>
      <c r="G906" s="9" t="s">
        <v>1808</v>
      </c>
      <c r="H906" s="9" t="s">
        <v>20454</v>
      </c>
      <c r="I906" s="9" t="s">
        <v>1809</v>
      </c>
      <c r="J906" s="9" t="s">
        <v>1812</v>
      </c>
      <c r="K906" s="3" t="s">
        <v>15176</v>
      </c>
      <c r="L906" s="13">
        <v>661</v>
      </c>
      <c r="M906" t="str">
        <f>VLOOKUP(L906,[1]Mouse_ARA!$B$2:$C$1328,2,FALSE)</f>
        <v>VII</v>
      </c>
    </row>
    <row r="907" spans="2:13" x14ac:dyDescent="0.25">
      <c r="B907" s="31" t="s">
        <v>25743</v>
      </c>
      <c r="C907" s="20"/>
      <c r="D907" s="25" t="s">
        <v>1814</v>
      </c>
      <c r="E907" s="25"/>
      <c r="F907" s="9" t="str">
        <f>HYPERLINK("https://www.ebi.ac.uk/ols/ontologies/uberon/terms?iri=http://purl.obolibrary.org/obo/UBERON_0001647","facial nerve")</f>
        <v>facial nerve</v>
      </c>
      <c r="G907" s="9" t="s">
        <v>1813</v>
      </c>
      <c r="H907" s="9" t="s">
        <v>18422</v>
      </c>
      <c r="I907" s="9" t="s">
        <v>1814</v>
      </c>
      <c r="J907" s="9" t="s">
        <v>1815</v>
      </c>
      <c r="K907" s="7" t="s">
        <v>15171</v>
      </c>
      <c r="L907" s="13">
        <v>9328</v>
      </c>
      <c r="M907" t="str">
        <f>VLOOKUP(L907,[1]HBA!$B$2:$C$4000,2,FALSE)</f>
        <v>7n</v>
      </c>
    </row>
    <row r="908" spans="2:13" x14ac:dyDescent="0.25">
      <c r="B908" s="31" t="s">
        <v>25743</v>
      </c>
      <c r="C908" s="20"/>
      <c r="D908" s="25" t="s">
        <v>1814</v>
      </c>
      <c r="E908" s="25"/>
      <c r="F908" s="9" t="str">
        <f>HYPERLINK("https://www.ebi.ac.uk/ols/ontologies/uberon/terms?iri=http://purl.obolibrary.org/obo/UBERON_0001647","facial nerve")</f>
        <v>facial nerve</v>
      </c>
      <c r="G908" s="9" t="s">
        <v>1813</v>
      </c>
      <c r="H908" s="9" t="s">
        <v>20749</v>
      </c>
      <c r="I908" s="9" t="s">
        <v>1814</v>
      </c>
      <c r="J908" s="9" t="s">
        <v>1816</v>
      </c>
      <c r="K908" s="3" t="s">
        <v>15176</v>
      </c>
      <c r="L908" s="13">
        <v>798</v>
      </c>
      <c r="M908" t="str">
        <f>VLOOKUP(L908,[1]Mouse_ARA!$B$2:$C$1328,2,FALSE)</f>
        <v>VIIn</v>
      </c>
    </row>
    <row r="909" spans="2:13" x14ac:dyDescent="0.25">
      <c r="B909" s="31" t="s">
        <v>25743</v>
      </c>
      <c r="C909" s="20"/>
      <c r="D909" s="25" t="s">
        <v>1820</v>
      </c>
      <c r="E909" s="25"/>
      <c r="F909" s="9" t="str">
        <f>HYPERLINK("https://www.ebi.ac.uk/ols/ontologies/uberon/terms?iri=http://purl.obolibrary.org/obo/UBERON_0004674","facial nerve root")</f>
        <v>facial nerve root</v>
      </c>
      <c r="G909" s="9" t="s">
        <v>1817</v>
      </c>
      <c r="H909" s="9" t="s">
        <v>17923</v>
      </c>
      <c r="I909" s="9" t="s">
        <v>1818</v>
      </c>
      <c r="J909" s="9" t="s">
        <v>1819</v>
      </c>
      <c r="K909" s="4" t="s">
        <v>15175</v>
      </c>
      <c r="L909" s="13">
        <v>12862</v>
      </c>
      <c r="M909" t="str">
        <f>VLOOKUP(L909,[1]Human_BrainSpan!$B$2:$C$4000,2,FALSE)</f>
        <v>r7</v>
      </c>
    </row>
    <row r="910" spans="2:13" x14ac:dyDescent="0.25">
      <c r="B910" s="31" t="s">
        <v>25743</v>
      </c>
      <c r="C910" s="20"/>
      <c r="D910" s="25" t="s">
        <v>1820</v>
      </c>
      <c r="E910" s="25"/>
      <c r="F910" s="9" t="str">
        <f>HYPERLINK("https://www.ebi.ac.uk/ols/ontologies/uberon/terms?iri=http://purl.obolibrary.org/obo/UBERON_0004674","facial nerve root")</f>
        <v>facial nerve root</v>
      </c>
      <c r="G910" s="9" t="s">
        <v>1817</v>
      </c>
      <c r="H910" s="9" t="s">
        <v>18422</v>
      </c>
      <c r="I910" s="9" t="s">
        <v>1820</v>
      </c>
      <c r="J910" s="9" t="s">
        <v>1821</v>
      </c>
      <c r="K910" s="5" t="s">
        <v>15173</v>
      </c>
      <c r="L910" s="13">
        <v>17742</v>
      </c>
      <c r="M910" t="str">
        <f>VLOOKUP(L910,[1]DevMouse!$B$2:$C$2693,2,FALSE)</f>
        <v>7n</v>
      </c>
    </row>
    <row r="911" spans="2:13" x14ac:dyDescent="0.25">
      <c r="B911" s="31" t="s">
        <v>25743</v>
      </c>
      <c r="C911" s="20"/>
      <c r="D911" s="25" t="s">
        <v>1823</v>
      </c>
      <c r="E911" s="25"/>
      <c r="F911" s="9" t="str">
        <f>HYPERLINK("https://www.ebi.ac.uk/ols/ontologies/uberon/terms?iri=http://purl.obolibrary.org/obo/UBERON_0000127","facial nucleus")</f>
        <v>facial nucleus</v>
      </c>
      <c r="G911" s="9" t="s">
        <v>1822</v>
      </c>
      <c r="H911" s="9" t="s">
        <v>24268</v>
      </c>
      <c r="I911" s="9" t="s">
        <v>1823</v>
      </c>
      <c r="J911" s="9" t="s">
        <v>1824</v>
      </c>
      <c r="K911" s="4" t="s">
        <v>15175</v>
      </c>
      <c r="L911" s="13">
        <v>12420</v>
      </c>
      <c r="M911" t="str">
        <f>VLOOKUP(L911,[1]Human_BrainSpan!$B$2:$C$4000,2,FALSE)</f>
        <v>7N</v>
      </c>
    </row>
    <row r="912" spans="2:13" x14ac:dyDescent="0.25">
      <c r="B912" s="31" t="s">
        <v>26303</v>
      </c>
      <c r="C912" s="25" t="s">
        <v>1389</v>
      </c>
      <c r="D912" s="25" t="s">
        <v>25934</v>
      </c>
      <c r="E912" s="25"/>
      <c r="F912" s="9" t="str">
        <f t="shared" ref="F912:F917" si="11">HYPERLINK("https://www.ebi.ac.uk/ols/ontologies/uberon/terms?iri=http://purl.obolibrary.org/obo/UBERON_0005838","fasciculus of brain")</f>
        <v>fasciculus of brain</v>
      </c>
      <c r="G912" s="9" t="s">
        <v>1825</v>
      </c>
      <c r="H912" s="9" t="s">
        <v>20778</v>
      </c>
      <c r="I912" s="9" t="s">
        <v>1389</v>
      </c>
      <c r="J912" s="9" t="s">
        <v>1390</v>
      </c>
      <c r="K912" s="4" t="s">
        <v>15175</v>
      </c>
      <c r="L912" s="13">
        <v>12731</v>
      </c>
      <c r="M912" t="str">
        <f>VLOOKUP(L912,[1]Human_BrainSpan!$B$2:$C$4000,2,FALSE)</f>
        <v>cuf</v>
      </c>
    </row>
    <row r="913" spans="2:13" x14ac:dyDescent="0.25">
      <c r="B913" s="31" t="s">
        <v>26303</v>
      </c>
      <c r="C913" s="25" t="s">
        <v>1826</v>
      </c>
      <c r="D913" s="25" t="s">
        <v>25934</v>
      </c>
      <c r="E913" s="25"/>
      <c r="F913" s="9" t="str">
        <f t="shared" si="11"/>
        <v>fasciculus of brain</v>
      </c>
      <c r="G913" s="9" t="s">
        <v>1825</v>
      </c>
      <c r="H913" s="9" t="s">
        <v>24608</v>
      </c>
      <c r="I913" s="9" t="s">
        <v>1826</v>
      </c>
      <c r="J913" s="9" t="s">
        <v>1827</v>
      </c>
      <c r="K913" s="4" t="s">
        <v>15175</v>
      </c>
      <c r="L913" s="13">
        <v>12739</v>
      </c>
      <c r="M913" t="str">
        <f>VLOOKUP(L913,[1]Human_BrainSpan!$B$2:$C$4000,2,FALSE)</f>
        <v>gr</v>
      </c>
    </row>
    <row r="914" spans="2:13" x14ac:dyDescent="0.25">
      <c r="B914" s="31" t="s">
        <v>26303</v>
      </c>
      <c r="C914" s="25" t="s">
        <v>1389</v>
      </c>
      <c r="D914" s="25" t="s">
        <v>25934</v>
      </c>
      <c r="E914" s="25"/>
      <c r="F914" s="9" t="str">
        <f t="shared" si="11"/>
        <v>fasciculus of brain</v>
      </c>
      <c r="G914" s="9" t="s">
        <v>1825</v>
      </c>
      <c r="H914" s="9" t="s">
        <v>20778</v>
      </c>
      <c r="I914" s="9" t="s">
        <v>1389</v>
      </c>
      <c r="J914" s="9" t="s">
        <v>1391</v>
      </c>
      <c r="K914" s="7" t="s">
        <v>15171</v>
      </c>
      <c r="L914" s="13">
        <v>265505550</v>
      </c>
      <c r="M914" t="str">
        <f>VLOOKUP(L914,[1]HBA!$B$2:$C$4000,2,FALSE)</f>
        <v>cuf</v>
      </c>
    </row>
    <row r="915" spans="2:13" x14ac:dyDescent="0.25">
      <c r="B915" s="31" t="s">
        <v>26303</v>
      </c>
      <c r="C915" s="25" t="s">
        <v>1826</v>
      </c>
      <c r="D915" s="25" t="s">
        <v>25934</v>
      </c>
      <c r="E915" s="25"/>
      <c r="F915" s="9" t="str">
        <f t="shared" si="11"/>
        <v>fasciculus of brain</v>
      </c>
      <c r="G915" s="9" t="s">
        <v>1825</v>
      </c>
      <c r="H915" s="9" t="s">
        <v>24608</v>
      </c>
      <c r="I915" s="9" t="s">
        <v>1826</v>
      </c>
      <c r="J915" s="9" t="s">
        <v>1828</v>
      </c>
      <c r="K915" s="7" t="s">
        <v>15171</v>
      </c>
      <c r="L915" s="13">
        <v>265505586</v>
      </c>
      <c r="M915" t="str">
        <f>VLOOKUP(L915,[1]HBA!$B$2:$C$4000,2,FALSE)</f>
        <v>gr</v>
      </c>
    </row>
    <row r="916" spans="2:13" x14ac:dyDescent="0.25">
      <c r="B916" s="31" t="s">
        <v>26303</v>
      </c>
      <c r="C916" s="25" t="s">
        <v>1389</v>
      </c>
      <c r="D916" s="25" t="s">
        <v>25934</v>
      </c>
      <c r="E916" s="25"/>
      <c r="F916" s="9" t="str">
        <f t="shared" si="11"/>
        <v>fasciculus of brain</v>
      </c>
      <c r="G916" s="9" t="s">
        <v>1825</v>
      </c>
      <c r="H916" s="9" t="s">
        <v>20778</v>
      </c>
      <c r="I916" s="9" t="s">
        <v>1392</v>
      </c>
      <c r="J916" s="9" t="s">
        <v>1393</v>
      </c>
      <c r="K916" s="3" t="s">
        <v>15176</v>
      </c>
      <c r="L916" s="13">
        <v>380</v>
      </c>
      <c r="M916" t="str">
        <f>VLOOKUP(L916,[1]Mouse_ARA!$B$2:$C$1328,2,FALSE)</f>
        <v>cuf</v>
      </c>
    </row>
    <row r="917" spans="2:13" x14ac:dyDescent="0.25">
      <c r="B917" s="31" t="s">
        <v>26303</v>
      </c>
      <c r="C917" s="25" t="s">
        <v>1826</v>
      </c>
      <c r="D917" s="25" t="s">
        <v>25934</v>
      </c>
      <c r="E917" s="25"/>
      <c r="F917" s="9" t="str">
        <f t="shared" si="11"/>
        <v>fasciculus of brain</v>
      </c>
      <c r="G917" s="9" t="s">
        <v>1825</v>
      </c>
      <c r="H917" s="9" t="s">
        <v>20779</v>
      </c>
      <c r="I917" s="9" t="s">
        <v>1829</v>
      </c>
      <c r="J917" s="9" t="s">
        <v>1830</v>
      </c>
      <c r="K917" s="3" t="s">
        <v>15176</v>
      </c>
      <c r="L917" s="13">
        <v>388</v>
      </c>
      <c r="M917" t="str">
        <f>VLOOKUP(L917,[1]Mouse_ARA!$B$2:$C$1328,2,FALSE)</f>
        <v>grf</v>
      </c>
    </row>
    <row r="918" spans="2:13" x14ac:dyDescent="0.25">
      <c r="B918" s="31" t="s">
        <v>25743</v>
      </c>
      <c r="C918" s="20"/>
      <c r="D918" s="25" t="s">
        <v>1832</v>
      </c>
      <c r="E918" s="25"/>
      <c r="F918" s="9" t="str">
        <f>HYPERLINK("https://www.ebi.ac.uk/ols/ontologies/uberon/terms?iri=http://purl.obolibrary.org/obo/UBERON_0002601","fasciolar gyrus")</f>
        <v>fasciolar gyrus</v>
      </c>
      <c r="G918" s="9" t="s">
        <v>1831</v>
      </c>
      <c r="H918" s="9" t="s">
        <v>23866</v>
      </c>
      <c r="I918" s="9" t="s">
        <v>1832</v>
      </c>
      <c r="J918" s="9" t="s">
        <v>1833</v>
      </c>
      <c r="K918" s="4" t="s">
        <v>15175</v>
      </c>
      <c r="L918" s="13">
        <v>12175</v>
      </c>
      <c r="M918" t="str">
        <f>VLOOKUP(L918,[1]Human_BrainSpan!$B$2:$C$4000,2,FALSE)</f>
        <v>FaG</v>
      </c>
    </row>
    <row r="919" spans="2:13" x14ac:dyDescent="0.25">
      <c r="B919" s="31" t="s">
        <v>26302</v>
      </c>
      <c r="C919" s="20"/>
      <c r="D919" s="25" t="s">
        <v>1832</v>
      </c>
      <c r="E919" s="20" t="s">
        <v>26300</v>
      </c>
      <c r="F919" s="9" t="str">
        <f>HYPERLINK("https://www.ebi.ac.uk/ols/ontologies/uberon/terms?iri=http://purl.obolibrary.org/obo/UBERON_0002601","fasciolar gyrus")</f>
        <v>fasciolar gyrus</v>
      </c>
      <c r="G919" s="9" t="s">
        <v>1831</v>
      </c>
      <c r="H919" s="9" t="s">
        <v>15998</v>
      </c>
      <c r="I919" s="9" t="s">
        <v>1834</v>
      </c>
      <c r="J919" s="9" t="s">
        <v>1835</v>
      </c>
      <c r="K919" s="5" t="s">
        <v>15173</v>
      </c>
      <c r="L919" s="13">
        <v>112892265</v>
      </c>
      <c r="M919" t="str">
        <f>VLOOKUP(L919,[1]DevMouse!$B$2:$C$2693,2,FALSE)</f>
        <v>Fc</v>
      </c>
    </row>
    <row r="920" spans="2:13" x14ac:dyDescent="0.25">
      <c r="B920" s="31" t="s">
        <v>26302</v>
      </c>
      <c r="C920" s="20"/>
      <c r="D920" s="25" t="s">
        <v>1832</v>
      </c>
      <c r="E920" s="20" t="s">
        <v>26300</v>
      </c>
      <c r="F920" s="9" t="str">
        <f>HYPERLINK("https://www.ebi.ac.uk/ols/ontologies/uberon/terms?iri=http://purl.obolibrary.org/obo/UBERON_0002601","fasciolar gyrus")</f>
        <v>fasciolar gyrus</v>
      </c>
      <c r="G920" s="9" t="s">
        <v>1831</v>
      </c>
      <c r="H920" s="9" t="s">
        <v>19582</v>
      </c>
      <c r="I920" s="9" t="s">
        <v>1834</v>
      </c>
      <c r="J920" s="9" t="s">
        <v>1836</v>
      </c>
      <c r="K920" s="3" t="s">
        <v>15176</v>
      </c>
      <c r="L920" s="13">
        <v>982</v>
      </c>
      <c r="M920" t="str">
        <f>VLOOKUP(L920,[1]Mouse_ARA!$B$2:$C$1328,2,FALSE)</f>
        <v>FC</v>
      </c>
    </row>
    <row r="921" spans="2:13" x14ac:dyDescent="0.25">
      <c r="B921" s="31" t="s">
        <v>25743</v>
      </c>
      <c r="C921" s="20"/>
      <c r="D921" s="25" t="s">
        <v>843</v>
      </c>
      <c r="E921" s="25"/>
      <c r="F921" s="9" t="str">
        <f>HYPERLINK("https://www.ebi.ac.uk/ols/ontologies/uberon/terms?iri=http://purl.obolibrary.org/obo/UBERON_0002153","fastigial nucleus")</f>
        <v>fastigial nucleus</v>
      </c>
      <c r="G921" s="9" t="s">
        <v>1837</v>
      </c>
      <c r="H921" s="9" t="s">
        <v>24250</v>
      </c>
      <c r="I921" s="9" t="s">
        <v>1838</v>
      </c>
      <c r="J921" s="9" t="s">
        <v>1839</v>
      </c>
      <c r="K921" s="4" t="s">
        <v>15175</v>
      </c>
      <c r="L921" s="13">
        <v>12402</v>
      </c>
      <c r="M921" t="str">
        <f>VLOOKUP(L921,[1]Human_BrainSpan!$B$2:$C$4000,2,FALSE)</f>
        <v>Fas</v>
      </c>
    </row>
    <row r="922" spans="2:13" x14ac:dyDescent="0.25">
      <c r="B922" s="37" t="s">
        <v>25743</v>
      </c>
      <c r="C922" s="20"/>
      <c r="D922" s="25" t="s">
        <v>843</v>
      </c>
      <c r="E922" s="25"/>
      <c r="F922" s="9" t="str">
        <f>HYPERLINK("https://www.ebi.ac.uk/ols/ontologies/uberon/terms?iri=http://purl.obolibrary.org/obo/UBERON_0002153","fastigial nucleus")</f>
        <v>fastigial nucleus</v>
      </c>
      <c r="G922" s="9" t="s">
        <v>1837</v>
      </c>
      <c r="H922" s="9" t="s">
        <v>17249</v>
      </c>
      <c r="I922" s="9" t="s">
        <v>714</v>
      </c>
      <c r="J922" s="9" t="s">
        <v>715</v>
      </c>
      <c r="K922" s="5" t="s">
        <v>15173</v>
      </c>
      <c r="L922" s="13">
        <v>16823</v>
      </c>
      <c r="M922" t="str">
        <f>VLOOKUP(L922,[1]DevMouse!$B$2:$C$2693,2,FALSE)</f>
        <v>Med</v>
      </c>
    </row>
    <row r="923" spans="2:13" x14ac:dyDescent="0.25">
      <c r="B923" s="31" t="s">
        <v>25743</v>
      </c>
      <c r="C923" s="20"/>
      <c r="D923" s="25" t="s">
        <v>843</v>
      </c>
      <c r="E923" s="25"/>
      <c r="F923" s="9" t="str">
        <f>HYPERLINK("https://www.ebi.ac.uk/ols/ontologies/uberon/terms?iri=http://purl.obolibrary.org/obo/UBERON_0002153","fastigial nucleus")</f>
        <v>fastigial nucleus</v>
      </c>
      <c r="G923" s="9" t="s">
        <v>1837</v>
      </c>
      <c r="H923" s="9" t="s">
        <v>24250</v>
      </c>
      <c r="I923" s="9" t="s">
        <v>843</v>
      </c>
      <c r="J923" s="9" t="s">
        <v>1840</v>
      </c>
      <c r="K923" s="7" t="s">
        <v>15171</v>
      </c>
      <c r="L923" s="13">
        <v>12948</v>
      </c>
      <c r="M923" t="str">
        <f>VLOOKUP(L923,[1]HBA!$B$2:$C$4000,2,FALSE)</f>
        <v>Fas</v>
      </c>
    </row>
    <row r="924" spans="2:13" x14ac:dyDescent="0.25">
      <c r="B924" s="31" t="s">
        <v>25743</v>
      </c>
      <c r="C924" s="20"/>
      <c r="D924" s="25" t="s">
        <v>843</v>
      </c>
      <c r="E924" s="25"/>
      <c r="F924" s="9" t="str">
        <f>HYPERLINK("https://www.ebi.ac.uk/ols/ontologies/uberon/terms?iri=http://purl.obolibrary.org/obo/UBERON_0002153","fastigial nucleus")</f>
        <v>fastigial nucleus</v>
      </c>
      <c r="G924" s="9" t="s">
        <v>1837</v>
      </c>
      <c r="H924" s="9" t="s">
        <v>20714</v>
      </c>
      <c r="I924" s="9" t="s">
        <v>843</v>
      </c>
      <c r="J924" s="9" t="s">
        <v>844</v>
      </c>
      <c r="K924" s="3" t="s">
        <v>15176</v>
      </c>
      <c r="L924" s="13">
        <v>989</v>
      </c>
      <c r="M924" t="str">
        <f>VLOOKUP(L924,[1]Mouse_ARA!$B$2:$C$1328,2,FALSE)</f>
        <v>FN</v>
      </c>
    </row>
    <row r="925" spans="2:13" x14ac:dyDescent="0.25">
      <c r="B925" s="31" t="s">
        <v>25743</v>
      </c>
      <c r="C925" s="20"/>
      <c r="D925" s="25" t="s">
        <v>1842</v>
      </c>
      <c r="E925" s="25"/>
      <c r="F925" s="9" t="str">
        <f>HYPERLINK("https://www.ebi.ac.uk/ols/ontologies/uberon/terms?iri=http://purl.obolibrary.org/obo/UBERON_0003012","flocculonodular lobe")</f>
        <v>flocculonodular lobe</v>
      </c>
      <c r="G925" s="9" t="s">
        <v>1841</v>
      </c>
      <c r="H925" s="9" t="s">
        <v>24692</v>
      </c>
      <c r="I925" s="9" t="s">
        <v>1842</v>
      </c>
      <c r="J925" s="9" t="s">
        <v>1843</v>
      </c>
      <c r="K925" s="4" t="s">
        <v>15175</v>
      </c>
      <c r="L925" s="13">
        <v>12852</v>
      </c>
      <c r="M925" t="str">
        <f>VLOOKUP(L925,[1]Human_BrainSpan!$B$2:$C$4000,2,FALSE)</f>
        <v>FNCb</v>
      </c>
    </row>
    <row r="926" spans="2:13" x14ac:dyDescent="0.25">
      <c r="B926" s="31" t="s">
        <v>25743</v>
      </c>
      <c r="C926" s="20"/>
      <c r="D926" s="25" t="s">
        <v>1842</v>
      </c>
      <c r="E926" s="25"/>
      <c r="F926" s="9" t="str">
        <f>HYPERLINK("https://www.ebi.ac.uk/ols/ontologies/uberon/terms?iri=http://purl.obolibrary.org/obo/UBERON_0003012","flocculonodular lobe")</f>
        <v>flocculonodular lobe</v>
      </c>
      <c r="G926" s="9" t="s">
        <v>1841</v>
      </c>
      <c r="H926" s="9" t="s">
        <v>25423</v>
      </c>
      <c r="I926" s="9" t="s">
        <v>1842</v>
      </c>
      <c r="J926" s="9" t="s">
        <v>1844</v>
      </c>
      <c r="K926" s="7" t="s">
        <v>15171</v>
      </c>
      <c r="L926" s="13">
        <v>12944</v>
      </c>
      <c r="M926" t="str">
        <f>VLOOKUP(L926,[1]HBA!$B$2:$C$4000,2,FALSE)</f>
        <v>Cb-FNL</v>
      </c>
    </row>
    <row r="927" spans="2:13" x14ac:dyDescent="0.25">
      <c r="B927" s="37"/>
      <c r="C927" s="20"/>
      <c r="D927" s="25" t="s">
        <v>25935</v>
      </c>
      <c r="E927" s="25"/>
      <c r="F927" s="9" t="str">
        <f t="shared" ref="F927:F953" si="12">HYPERLINK("https://www.ebi.ac.uk/ols/ontologies/uberon/terms?iri=http://purl.obolibrary.org/obo/UBERON_0027331","flocculonodular lobe, hemisphere portion")</f>
        <v>flocculonodular lobe, hemisphere portion</v>
      </c>
      <c r="G927" s="9" t="s">
        <v>1845</v>
      </c>
      <c r="H927" s="9" t="s">
        <v>24691</v>
      </c>
      <c r="I927" s="9" t="s">
        <v>1085</v>
      </c>
      <c r="J927" s="9" t="s">
        <v>1086</v>
      </c>
      <c r="K927" s="4" t="s">
        <v>15175</v>
      </c>
      <c r="L927" s="13">
        <v>12851</v>
      </c>
      <c r="M927" t="str">
        <f>VLOOKUP(L927,[1]Human_BrainSpan!$B$2:$C$4000,2,FALSE)</f>
        <v>CbIX</v>
      </c>
    </row>
    <row r="928" spans="2:13" x14ac:dyDescent="0.25">
      <c r="B928" s="37"/>
      <c r="C928" s="20"/>
      <c r="D928" s="25" t="s">
        <v>25935</v>
      </c>
      <c r="E928" s="25"/>
      <c r="F928" s="9" t="str">
        <f t="shared" si="12"/>
        <v>flocculonodular lobe, hemisphere portion</v>
      </c>
      <c r="G928" s="9" t="s">
        <v>1845</v>
      </c>
      <c r="H928" s="9" t="s">
        <v>24693</v>
      </c>
      <c r="I928" s="9" t="s">
        <v>1846</v>
      </c>
      <c r="J928" s="9" t="s">
        <v>1847</v>
      </c>
      <c r="K928" s="4" t="s">
        <v>15175</v>
      </c>
      <c r="L928" s="13">
        <v>12853</v>
      </c>
      <c r="M928" t="str">
        <f>VLOOKUP(L928,[1]Human_BrainSpan!$B$2:$C$4000,2,FALSE)</f>
        <v>CbX</v>
      </c>
    </row>
    <row r="929" spans="2:13" x14ac:dyDescent="0.25">
      <c r="B929" s="37"/>
      <c r="C929" s="20"/>
      <c r="D929" s="25" t="s">
        <v>25935</v>
      </c>
      <c r="E929" s="25" t="s">
        <v>26306</v>
      </c>
      <c r="F929" s="9" t="str">
        <f t="shared" si="12"/>
        <v>flocculonodular lobe, hemisphere portion</v>
      </c>
      <c r="G929" s="9" t="s">
        <v>1845</v>
      </c>
      <c r="H929" s="9" t="s">
        <v>24223</v>
      </c>
      <c r="I929" s="9" t="s">
        <v>1848</v>
      </c>
      <c r="J929" s="9" t="s">
        <v>1849</v>
      </c>
      <c r="K929" s="4" t="s">
        <v>15175</v>
      </c>
      <c r="L929" s="13">
        <v>13258</v>
      </c>
      <c r="M929" t="str">
        <f>VLOOKUP(L929,[1]Human_BrainSpan!$B$2:$C$4000,2,FALSE)</f>
        <v>PVFm</v>
      </c>
    </row>
    <row r="930" spans="2:13" x14ac:dyDescent="0.25">
      <c r="B930" s="37"/>
      <c r="C930" s="25"/>
      <c r="D930" s="25" t="s">
        <v>25935</v>
      </c>
      <c r="E930" s="25" t="s">
        <v>26306</v>
      </c>
      <c r="F930" s="9" t="str">
        <f t="shared" si="12"/>
        <v>flocculonodular lobe, hemisphere portion</v>
      </c>
      <c r="G930" s="9" t="s">
        <v>1845</v>
      </c>
      <c r="H930" s="9" t="s">
        <v>24224</v>
      </c>
      <c r="I930" s="9" t="s">
        <v>1850</v>
      </c>
      <c r="J930" s="9" t="s">
        <v>1851</v>
      </c>
      <c r="K930" s="4" t="s">
        <v>15175</v>
      </c>
      <c r="L930" s="13">
        <v>13259</v>
      </c>
      <c r="M930" t="str">
        <f>VLOOKUP(L930,[1]Human_BrainSpan!$B$2:$C$4000,2,FALSE)</f>
        <v>PVFp</v>
      </c>
    </row>
    <row r="931" spans="2:13" x14ac:dyDescent="0.25">
      <c r="B931" s="37"/>
      <c r="C931" s="20"/>
      <c r="D931" s="25" t="s">
        <v>25935</v>
      </c>
      <c r="E931" s="25" t="s">
        <v>26306</v>
      </c>
      <c r="F931" s="9" t="str">
        <f t="shared" si="12"/>
        <v>flocculonodular lobe, hemisphere portion</v>
      </c>
      <c r="G931" s="9" t="s">
        <v>1845</v>
      </c>
      <c r="H931" s="9" t="s">
        <v>24225</v>
      </c>
      <c r="I931" s="9" t="s">
        <v>1852</v>
      </c>
      <c r="J931" s="9" t="s">
        <v>1853</v>
      </c>
      <c r="K931" s="4" t="s">
        <v>15175</v>
      </c>
      <c r="L931" s="13">
        <v>13260</v>
      </c>
      <c r="M931" t="str">
        <f>VLOOKUP(L931,[1]Human_BrainSpan!$B$2:$C$4000,2,FALSE)</f>
        <v>PVFg</v>
      </c>
    </row>
    <row r="932" spans="2:13" x14ac:dyDescent="0.25">
      <c r="B932" s="37"/>
      <c r="C932" s="20"/>
      <c r="D932" s="25" t="s">
        <v>25935</v>
      </c>
      <c r="E932" s="25"/>
      <c r="F932" s="9" t="str">
        <f t="shared" si="12"/>
        <v>flocculonodular lobe, hemisphere portion</v>
      </c>
      <c r="G932" s="9" t="s">
        <v>1845</v>
      </c>
      <c r="H932" s="9" t="s">
        <v>25420</v>
      </c>
      <c r="I932" s="9" t="s">
        <v>1101</v>
      </c>
      <c r="J932" s="9" t="s">
        <v>1102</v>
      </c>
      <c r="K932" s="7" t="s">
        <v>15171</v>
      </c>
      <c r="L932" s="13">
        <v>12943</v>
      </c>
      <c r="M932" t="str">
        <f>VLOOKUP(L932,[1]HBA!$B$2:$C$4000,2,FALSE)</f>
        <v>Cb-IX</v>
      </c>
    </row>
    <row r="933" spans="2:13" x14ac:dyDescent="0.25">
      <c r="B933" s="37"/>
      <c r="C933" s="25" t="s">
        <v>26101</v>
      </c>
      <c r="D933" s="25" t="s">
        <v>25935</v>
      </c>
      <c r="E933" s="25"/>
      <c r="F933" s="9" t="str">
        <f t="shared" si="12"/>
        <v>flocculonodular lobe, hemisphere portion</v>
      </c>
      <c r="G933" s="9" t="s">
        <v>1845</v>
      </c>
      <c r="H933" s="9" t="s">
        <v>25421</v>
      </c>
      <c r="I933" s="9" t="s">
        <v>1154</v>
      </c>
      <c r="J933" s="9" t="s">
        <v>1155</v>
      </c>
      <c r="K933" s="7" t="s">
        <v>15171</v>
      </c>
      <c r="L933" s="13">
        <v>4728</v>
      </c>
      <c r="M933" t="str">
        <f>VLOOKUP(L933,[1]HBA!$B$2:$C$4000,2,FALSE)</f>
        <v>PV-IX</v>
      </c>
    </row>
    <row r="934" spans="2:13" x14ac:dyDescent="0.25">
      <c r="B934" s="37" t="s">
        <v>25743</v>
      </c>
      <c r="C934" s="20"/>
      <c r="D934" s="25" t="s">
        <v>25935</v>
      </c>
      <c r="E934" s="25"/>
      <c r="F934" s="9" t="str">
        <f t="shared" si="12"/>
        <v>flocculonodular lobe, hemisphere portion</v>
      </c>
      <c r="G934" s="9" t="s">
        <v>1845</v>
      </c>
      <c r="H934" s="9" t="s">
        <v>25422</v>
      </c>
      <c r="I934" s="9" t="s">
        <v>1854</v>
      </c>
      <c r="J934" s="9" t="s">
        <v>1855</v>
      </c>
      <c r="K934" s="7" t="s">
        <v>15171</v>
      </c>
      <c r="L934" s="13">
        <v>4744</v>
      </c>
      <c r="M934" t="str">
        <f>VLOOKUP(L934,[1]HBA!$B$2:$C$4000,2,FALSE)</f>
        <v>He-IX</v>
      </c>
    </row>
    <row r="935" spans="2:13" x14ac:dyDescent="0.25">
      <c r="B935" s="37" t="s">
        <v>25743</v>
      </c>
      <c r="C935" s="20"/>
      <c r="D935" s="25" t="s">
        <v>25935</v>
      </c>
      <c r="E935" s="25"/>
      <c r="F935" s="9" t="str">
        <f t="shared" si="12"/>
        <v>flocculonodular lobe, hemisphere portion</v>
      </c>
      <c r="G935" s="9" t="s">
        <v>1845</v>
      </c>
      <c r="H935" s="9" t="s">
        <v>25426</v>
      </c>
      <c r="I935" s="9" t="s">
        <v>1856</v>
      </c>
      <c r="J935" s="9" t="s">
        <v>1857</v>
      </c>
      <c r="K935" s="7" t="s">
        <v>15171</v>
      </c>
      <c r="L935" s="13">
        <v>4746</v>
      </c>
      <c r="M935" t="str">
        <f>VLOOKUP(L935,[1]HBA!$B$2:$C$4000,2,FALSE)</f>
        <v>He-X</v>
      </c>
    </row>
    <row r="936" spans="2:13" x14ac:dyDescent="0.25">
      <c r="B936" s="37"/>
      <c r="C936" s="25" t="s">
        <v>26101</v>
      </c>
      <c r="D936" s="25" t="s">
        <v>25935</v>
      </c>
      <c r="E936" s="25"/>
      <c r="F936" s="9" t="str">
        <f t="shared" si="12"/>
        <v>flocculonodular lobe, hemisphere portion</v>
      </c>
      <c r="G936" s="9" t="s">
        <v>1845</v>
      </c>
      <c r="H936" s="9" t="s">
        <v>25421</v>
      </c>
      <c r="I936" s="9" t="s">
        <v>1858</v>
      </c>
      <c r="J936" s="9" t="s">
        <v>1859</v>
      </c>
      <c r="K936" s="7" t="s">
        <v>15171</v>
      </c>
      <c r="L936" s="13">
        <v>4761</v>
      </c>
      <c r="M936" t="str">
        <f>VLOOKUP(L936,[1]HBA!$B$2:$C$4000,2,FALSE)</f>
        <v>PV-IX</v>
      </c>
    </row>
    <row r="937" spans="2:13" x14ac:dyDescent="0.25">
      <c r="B937" s="37"/>
      <c r="C937" s="25" t="s">
        <v>26104</v>
      </c>
      <c r="D937" s="25" t="s">
        <v>25935</v>
      </c>
      <c r="E937" s="25"/>
      <c r="F937" s="9" t="str">
        <f t="shared" si="12"/>
        <v>flocculonodular lobe, hemisphere portion</v>
      </c>
      <c r="G937" s="9" t="s">
        <v>1845</v>
      </c>
      <c r="H937" s="9" t="s">
        <v>25425</v>
      </c>
      <c r="I937" s="9" t="s">
        <v>1860</v>
      </c>
      <c r="J937" s="9" t="s">
        <v>1861</v>
      </c>
      <c r="K937" s="7" t="s">
        <v>15171</v>
      </c>
      <c r="L937" s="13">
        <v>4763</v>
      </c>
      <c r="M937" t="str">
        <f>VLOOKUP(L937,[1]HBA!$B$2:$C$4000,2,FALSE)</f>
        <v>PV-X</v>
      </c>
    </row>
    <row r="938" spans="2:13" x14ac:dyDescent="0.25">
      <c r="B938" s="37" t="s">
        <v>25743</v>
      </c>
      <c r="C938" s="20"/>
      <c r="D938" s="25" t="s">
        <v>25935</v>
      </c>
      <c r="E938" s="25"/>
      <c r="F938" s="9" t="str">
        <f t="shared" si="12"/>
        <v>flocculonodular lobe, hemisphere portion</v>
      </c>
      <c r="G938" s="9" t="s">
        <v>1845</v>
      </c>
      <c r="H938" s="9" t="s">
        <v>25422</v>
      </c>
      <c r="I938" s="9" t="s">
        <v>1862</v>
      </c>
      <c r="J938" s="9" t="s">
        <v>1863</v>
      </c>
      <c r="K938" s="7" t="s">
        <v>15171</v>
      </c>
      <c r="L938" s="13">
        <v>4777</v>
      </c>
      <c r="M938" t="str">
        <f>VLOOKUP(L938,[1]HBA!$B$2:$C$4000,2,FALSE)</f>
        <v>He-IX</v>
      </c>
    </row>
    <row r="939" spans="2:13" x14ac:dyDescent="0.25">
      <c r="B939" s="37" t="s">
        <v>25743</v>
      </c>
      <c r="C939" s="20"/>
      <c r="D939" s="25" t="s">
        <v>25935</v>
      </c>
      <c r="E939" s="25"/>
      <c r="F939" s="9" t="str">
        <f t="shared" si="12"/>
        <v>flocculonodular lobe, hemisphere portion</v>
      </c>
      <c r="G939" s="9" t="s">
        <v>1845</v>
      </c>
      <c r="H939" s="9" t="s">
        <v>25426</v>
      </c>
      <c r="I939" s="9" t="s">
        <v>1864</v>
      </c>
      <c r="J939" s="9" t="s">
        <v>1865</v>
      </c>
      <c r="K939" s="7" t="s">
        <v>15171</v>
      </c>
      <c r="L939" s="13">
        <v>4779</v>
      </c>
      <c r="M939" t="str">
        <f>VLOOKUP(L939,[1]HBA!$B$2:$C$4000,2,FALSE)</f>
        <v>He-X</v>
      </c>
    </row>
    <row r="940" spans="2:13" x14ac:dyDescent="0.25">
      <c r="B940" s="37"/>
      <c r="C940" s="25" t="s">
        <v>3587</v>
      </c>
      <c r="D940" s="25" t="s">
        <v>25935</v>
      </c>
      <c r="E940" s="25" t="s">
        <v>26306</v>
      </c>
      <c r="F940" s="9" t="str">
        <f t="shared" si="12"/>
        <v>flocculonodular lobe, hemisphere portion</v>
      </c>
      <c r="G940" s="9" t="s">
        <v>1845</v>
      </c>
      <c r="H940" s="9" t="s">
        <v>20702</v>
      </c>
      <c r="I940" s="9" t="s">
        <v>1866</v>
      </c>
      <c r="J940" s="9" t="s">
        <v>1867</v>
      </c>
      <c r="K940" s="3" t="s">
        <v>15176</v>
      </c>
      <c r="L940" s="13">
        <v>10687</v>
      </c>
      <c r="M940" t="str">
        <f>VLOOKUP(L940,[1]Mouse_ARA!$B$2:$C$1328,2,FALSE)</f>
        <v>PFLgr</v>
      </c>
    </row>
    <row r="941" spans="2:13" x14ac:dyDescent="0.25">
      <c r="B941" s="37"/>
      <c r="C941" s="25" t="s">
        <v>3587</v>
      </c>
      <c r="D941" s="25" t="s">
        <v>25935</v>
      </c>
      <c r="E941" s="25" t="s">
        <v>26306</v>
      </c>
      <c r="F941" s="9" t="str">
        <f t="shared" si="12"/>
        <v>flocculonodular lobe, hemisphere portion</v>
      </c>
      <c r="G941" s="9" t="s">
        <v>1845</v>
      </c>
      <c r="H941" s="9" t="s">
        <v>20700</v>
      </c>
      <c r="I941" s="9" t="s">
        <v>1868</v>
      </c>
      <c r="J941" s="9" t="s">
        <v>1869</v>
      </c>
      <c r="K941" s="3" t="s">
        <v>15176</v>
      </c>
      <c r="L941" s="13">
        <v>10688</v>
      </c>
      <c r="M941" t="str">
        <f>VLOOKUP(L941,[1]Mouse_ARA!$B$2:$C$1328,2,FALSE)</f>
        <v>PFLpu</v>
      </c>
    </row>
    <row r="942" spans="2:13" x14ac:dyDescent="0.25">
      <c r="B942" s="37"/>
      <c r="C942" s="25" t="s">
        <v>3587</v>
      </c>
      <c r="D942" s="25" t="s">
        <v>25935</v>
      </c>
      <c r="E942" s="25" t="s">
        <v>26306</v>
      </c>
      <c r="F942" s="9" t="str">
        <f t="shared" si="12"/>
        <v>flocculonodular lobe, hemisphere portion</v>
      </c>
      <c r="G942" s="9" t="s">
        <v>1845</v>
      </c>
      <c r="H942" s="9" t="s">
        <v>20698</v>
      </c>
      <c r="I942" s="9" t="s">
        <v>1870</v>
      </c>
      <c r="J942" s="9" t="s">
        <v>1871</v>
      </c>
      <c r="K942" s="3" t="s">
        <v>15176</v>
      </c>
      <c r="L942" s="13">
        <v>10689</v>
      </c>
      <c r="M942" t="str">
        <f>VLOOKUP(L942,[1]Mouse_ARA!$B$2:$C$1328,2,FALSE)</f>
        <v>PFLmo</v>
      </c>
    </row>
    <row r="943" spans="2:13" x14ac:dyDescent="0.25">
      <c r="B943" s="37"/>
      <c r="C943" s="25" t="s">
        <v>1891</v>
      </c>
      <c r="D943" s="25" t="s">
        <v>25935</v>
      </c>
      <c r="E943" s="25" t="s">
        <v>26306</v>
      </c>
      <c r="F943" s="9" t="str">
        <f t="shared" si="12"/>
        <v>flocculonodular lobe, hemisphere portion</v>
      </c>
      <c r="G943" s="9" t="s">
        <v>1845</v>
      </c>
      <c r="H943" s="9" t="s">
        <v>20710</v>
      </c>
      <c r="I943" s="9" t="s">
        <v>1872</v>
      </c>
      <c r="J943" s="9" t="s">
        <v>1873</v>
      </c>
      <c r="K943" s="3" t="s">
        <v>15176</v>
      </c>
      <c r="L943" s="13">
        <v>10690</v>
      </c>
      <c r="M943" t="str">
        <f>VLOOKUP(L943,[1]Mouse_ARA!$B$2:$C$1328,2,FALSE)</f>
        <v>FLgr</v>
      </c>
    </row>
    <row r="944" spans="2:13" x14ac:dyDescent="0.25">
      <c r="B944" s="37"/>
      <c r="C944" s="25" t="s">
        <v>1891</v>
      </c>
      <c r="D944" s="25" t="s">
        <v>25935</v>
      </c>
      <c r="E944" s="25" t="s">
        <v>26306</v>
      </c>
      <c r="F944" s="9" t="str">
        <f t="shared" si="12"/>
        <v>flocculonodular lobe, hemisphere portion</v>
      </c>
      <c r="G944" s="9" t="s">
        <v>1845</v>
      </c>
      <c r="H944" s="9" t="s">
        <v>20708</v>
      </c>
      <c r="I944" s="9" t="s">
        <v>1874</v>
      </c>
      <c r="J944" s="9" t="s">
        <v>1875</v>
      </c>
      <c r="K944" s="3" t="s">
        <v>15176</v>
      </c>
      <c r="L944" s="13">
        <v>10691</v>
      </c>
      <c r="M944" t="str">
        <f>VLOOKUP(L944,[1]Mouse_ARA!$B$2:$C$1328,2,FALSE)</f>
        <v>FLpu</v>
      </c>
    </row>
    <row r="945" spans="2:13" x14ac:dyDescent="0.25">
      <c r="B945" s="37"/>
      <c r="C945" s="25" t="s">
        <v>1891</v>
      </c>
      <c r="D945" s="25" t="s">
        <v>25935</v>
      </c>
      <c r="E945" s="25" t="s">
        <v>26306</v>
      </c>
      <c r="F945" s="9" t="str">
        <f t="shared" si="12"/>
        <v>flocculonodular lobe, hemisphere portion</v>
      </c>
      <c r="G945" s="9" t="s">
        <v>1845</v>
      </c>
      <c r="H945" s="9" t="s">
        <v>20706</v>
      </c>
      <c r="I945" s="9" t="s">
        <v>1876</v>
      </c>
      <c r="J945" s="9" t="s">
        <v>1877</v>
      </c>
      <c r="K945" s="3" t="s">
        <v>15176</v>
      </c>
      <c r="L945" s="13">
        <v>10692</v>
      </c>
      <c r="M945" t="str">
        <f>VLOOKUP(L945,[1]Mouse_ARA!$B$2:$C$1328,2,FALSE)</f>
        <v>FLmo</v>
      </c>
    </row>
    <row r="946" spans="2:13" x14ac:dyDescent="0.25">
      <c r="B946" s="37"/>
      <c r="C946" s="20"/>
      <c r="D946" s="25" t="s">
        <v>25935</v>
      </c>
      <c r="E946" s="25" t="s">
        <v>26306</v>
      </c>
      <c r="F946" s="9" t="str">
        <f t="shared" si="12"/>
        <v>flocculonodular lobe, hemisphere portion</v>
      </c>
      <c r="G946" s="9" t="s">
        <v>1845</v>
      </c>
      <c r="H946" s="9" t="s">
        <v>20642</v>
      </c>
      <c r="I946" s="9" t="s">
        <v>1878</v>
      </c>
      <c r="J946" s="9" t="s">
        <v>1879</v>
      </c>
      <c r="K946" s="3" t="s">
        <v>15176</v>
      </c>
      <c r="L946" s="13">
        <v>10732</v>
      </c>
      <c r="M946" t="str">
        <f>VLOOKUP(L946,[1]Mouse_ARA!$B$2:$C$1328,2,FALSE)</f>
        <v>UVUgr</v>
      </c>
    </row>
    <row r="947" spans="2:13" x14ac:dyDescent="0.25">
      <c r="B947" s="37"/>
      <c r="C947" s="25"/>
      <c r="D947" s="25" t="s">
        <v>25935</v>
      </c>
      <c r="E947" s="25" t="s">
        <v>26306</v>
      </c>
      <c r="F947" s="9" t="str">
        <f t="shared" si="12"/>
        <v>flocculonodular lobe, hemisphere portion</v>
      </c>
      <c r="G947" s="9" t="s">
        <v>1845</v>
      </c>
      <c r="H947" s="9" t="s">
        <v>20640</v>
      </c>
      <c r="I947" s="9" t="s">
        <v>1880</v>
      </c>
      <c r="J947" s="9" t="s">
        <v>1881</v>
      </c>
      <c r="K947" s="3" t="s">
        <v>15176</v>
      </c>
      <c r="L947" s="13">
        <v>10733</v>
      </c>
      <c r="M947" t="str">
        <f>VLOOKUP(L947,[1]Mouse_ARA!$B$2:$C$1328,2,FALSE)</f>
        <v>UVUpu</v>
      </c>
    </row>
    <row r="948" spans="2:13" x14ac:dyDescent="0.25">
      <c r="B948" s="37"/>
      <c r="C948" s="20"/>
      <c r="D948" s="25" t="s">
        <v>25935</v>
      </c>
      <c r="E948" s="25" t="s">
        <v>26306</v>
      </c>
      <c r="F948" s="9" t="str">
        <f t="shared" si="12"/>
        <v>flocculonodular lobe, hemisphere portion</v>
      </c>
      <c r="G948" s="9" t="s">
        <v>1845</v>
      </c>
      <c r="H948" s="9" t="s">
        <v>20638</v>
      </c>
      <c r="I948" s="9" t="s">
        <v>1882</v>
      </c>
      <c r="J948" s="9" t="s">
        <v>1883</v>
      </c>
      <c r="K948" s="3" t="s">
        <v>15176</v>
      </c>
      <c r="L948" s="13">
        <v>10734</v>
      </c>
      <c r="M948" t="str">
        <f>VLOOKUP(L948,[1]Mouse_ARA!$B$2:$C$1328,2,FALSE)</f>
        <v>UVUmo</v>
      </c>
    </row>
    <row r="949" spans="2:13" x14ac:dyDescent="0.25">
      <c r="B949" s="37"/>
      <c r="C949" s="20"/>
      <c r="D949" s="25" t="s">
        <v>25935</v>
      </c>
      <c r="E949" s="25" t="s">
        <v>26306</v>
      </c>
      <c r="F949" s="9" t="str">
        <f t="shared" si="12"/>
        <v>flocculonodular lobe, hemisphere portion</v>
      </c>
      <c r="G949" s="9" t="s">
        <v>1845</v>
      </c>
      <c r="H949" s="9" t="s">
        <v>20650</v>
      </c>
      <c r="I949" s="9" t="s">
        <v>1884</v>
      </c>
      <c r="J949" s="9" t="s">
        <v>1885</v>
      </c>
      <c r="K949" s="3" t="s">
        <v>15176</v>
      </c>
      <c r="L949" s="13">
        <v>10735</v>
      </c>
      <c r="M949" t="str">
        <f>VLOOKUP(L949,[1]Mouse_ARA!$B$2:$C$1328,2,FALSE)</f>
        <v>NODgr</v>
      </c>
    </row>
    <row r="950" spans="2:13" x14ac:dyDescent="0.25">
      <c r="B950" s="37"/>
      <c r="C950" s="25"/>
      <c r="D950" s="25" t="s">
        <v>25935</v>
      </c>
      <c r="E950" s="25" t="s">
        <v>26306</v>
      </c>
      <c r="F950" s="9" t="str">
        <f t="shared" si="12"/>
        <v>flocculonodular lobe, hemisphere portion</v>
      </c>
      <c r="G950" s="9" t="s">
        <v>1845</v>
      </c>
      <c r="H950" s="9" t="s">
        <v>20648</v>
      </c>
      <c r="I950" s="9" t="s">
        <v>1886</v>
      </c>
      <c r="J950" s="9" t="s">
        <v>1887</v>
      </c>
      <c r="K950" s="3" t="s">
        <v>15176</v>
      </c>
      <c r="L950" s="13">
        <v>10736</v>
      </c>
      <c r="M950" t="str">
        <f>VLOOKUP(L950,[1]Mouse_ARA!$B$2:$C$1328,2,FALSE)</f>
        <v>NODpu</v>
      </c>
    </row>
    <row r="951" spans="2:13" x14ac:dyDescent="0.25">
      <c r="B951" s="37"/>
      <c r="C951" s="20"/>
      <c r="D951" s="25" t="s">
        <v>25935</v>
      </c>
      <c r="E951" s="25" t="s">
        <v>26306</v>
      </c>
      <c r="F951" s="9" t="str">
        <f t="shared" si="12"/>
        <v>flocculonodular lobe, hemisphere portion</v>
      </c>
      <c r="G951" s="9" t="s">
        <v>1845</v>
      </c>
      <c r="H951" s="9" t="s">
        <v>20646</v>
      </c>
      <c r="I951" s="9" t="s">
        <v>1888</v>
      </c>
      <c r="J951" s="9" t="s">
        <v>1889</v>
      </c>
      <c r="K951" s="3" t="s">
        <v>15176</v>
      </c>
      <c r="L951" s="13">
        <v>10737</v>
      </c>
      <c r="M951" t="str">
        <f>VLOOKUP(L951,[1]Mouse_ARA!$B$2:$C$1328,2,FALSE)</f>
        <v>NODmo</v>
      </c>
    </row>
    <row r="952" spans="2:13" x14ac:dyDescent="0.25">
      <c r="B952" s="37"/>
      <c r="C952" s="20"/>
      <c r="D952" s="25" t="s">
        <v>25935</v>
      </c>
      <c r="E952" s="25"/>
      <c r="F952" s="9" t="str">
        <f t="shared" si="12"/>
        <v>flocculonodular lobe, hemisphere portion</v>
      </c>
      <c r="G952" s="9" t="s">
        <v>1845</v>
      </c>
      <c r="H952" s="9" t="s">
        <v>20636</v>
      </c>
      <c r="I952" s="9" t="s">
        <v>1117</v>
      </c>
      <c r="J952" s="9" t="s">
        <v>1118</v>
      </c>
      <c r="K952" s="3" t="s">
        <v>15176</v>
      </c>
      <c r="L952" s="13">
        <v>957</v>
      </c>
      <c r="M952" t="str">
        <f>VLOOKUP(L952,[1]Mouse_ARA!$B$2:$C$1328,2,FALSE)</f>
        <v>UVU</v>
      </c>
    </row>
    <row r="953" spans="2:13" x14ac:dyDescent="0.25">
      <c r="B953" s="37"/>
      <c r="C953" s="20"/>
      <c r="D953" s="25" t="s">
        <v>25935</v>
      </c>
      <c r="E953" s="25"/>
      <c r="F953" s="9" t="str">
        <f t="shared" si="12"/>
        <v>flocculonodular lobe, hemisphere portion</v>
      </c>
      <c r="G953" s="9" t="s">
        <v>1845</v>
      </c>
      <c r="H953" s="9" t="s">
        <v>20644</v>
      </c>
      <c r="I953" s="9" t="s">
        <v>1119</v>
      </c>
      <c r="J953" s="9" t="s">
        <v>1120</v>
      </c>
      <c r="K953" s="3" t="s">
        <v>15176</v>
      </c>
      <c r="L953" s="13">
        <v>968</v>
      </c>
      <c r="M953" t="str">
        <f>VLOOKUP(L953,[1]Mouse_ARA!$B$2:$C$1328,2,FALSE)</f>
        <v>NOD</v>
      </c>
    </row>
    <row r="954" spans="2:13" x14ac:dyDescent="0.25">
      <c r="B954" s="31" t="s">
        <v>25743</v>
      </c>
      <c r="C954" s="20"/>
      <c r="D954" s="25" t="s">
        <v>1891</v>
      </c>
      <c r="E954" s="25"/>
      <c r="F954" s="9" t="str">
        <f>HYPERLINK("https://www.ebi.ac.uk/ols/ontologies/uberon/terms?iri=http://purl.obolibrary.org/obo/UBERON_0001063","flocculus")</f>
        <v>flocculus</v>
      </c>
      <c r="G954" s="9" t="s">
        <v>1890</v>
      </c>
      <c r="H954" s="9" t="s">
        <v>17386</v>
      </c>
      <c r="I954" s="9" t="s">
        <v>1891</v>
      </c>
      <c r="J954" s="9" t="s">
        <v>1892</v>
      </c>
      <c r="K954" s="5" t="s">
        <v>15173</v>
      </c>
      <c r="L954" s="13">
        <v>16946</v>
      </c>
      <c r="M954" t="str">
        <f>VLOOKUP(L954,[1]DevMouse!$B$2:$C$2693,2,FALSE)</f>
        <v>Fl</v>
      </c>
    </row>
    <row r="955" spans="2:13" x14ac:dyDescent="0.25">
      <c r="B955" s="31" t="s">
        <v>25743</v>
      </c>
      <c r="C955" s="20"/>
      <c r="D955" s="25" t="s">
        <v>1891</v>
      </c>
      <c r="E955" s="25"/>
      <c r="F955" s="9" t="str">
        <f>HYPERLINK("https://www.ebi.ac.uk/ols/ontologies/uberon/terms?iri=http://purl.obolibrary.org/obo/UBERON_0001063","flocculus")</f>
        <v>flocculus</v>
      </c>
      <c r="G955" s="9" t="s">
        <v>1890</v>
      </c>
      <c r="H955" s="9" t="s">
        <v>25424</v>
      </c>
      <c r="I955" s="9" t="s">
        <v>1177</v>
      </c>
      <c r="J955" s="9" t="s">
        <v>1893</v>
      </c>
      <c r="K955" s="7" t="s">
        <v>15171</v>
      </c>
      <c r="L955" s="13">
        <v>12945</v>
      </c>
      <c r="M955" t="str">
        <f>VLOOKUP(L955,[1]HBA!$B$2:$C$4000,2,FALSE)</f>
        <v>Cb-X</v>
      </c>
    </row>
    <row r="956" spans="2:13" x14ac:dyDescent="0.25">
      <c r="B956" s="31" t="s">
        <v>25743</v>
      </c>
      <c r="C956" s="20"/>
      <c r="D956" s="25" t="s">
        <v>1891</v>
      </c>
      <c r="E956" s="25"/>
      <c r="F956" s="9" t="str">
        <f>HYPERLINK("https://www.ebi.ac.uk/ols/ontologies/uberon/terms?iri=http://purl.obolibrary.org/obo/UBERON_0001063","flocculus")</f>
        <v>flocculus</v>
      </c>
      <c r="G956" s="9" t="s">
        <v>1890</v>
      </c>
      <c r="H956" s="9" t="s">
        <v>20704</v>
      </c>
      <c r="I956" s="9" t="s">
        <v>1891</v>
      </c>
      <c r="J956" s="9" t="s">
        <v>1894</v>
      </c>
      <c r="K956" s="3" t="s">
        <v>15176</v>
      </c>
      <c r="L956" s="13">
        <v>1049</v>
      </c>
      <c r="M956" t="str">
        <f>VLOOKUP(L956,[1]Mouse_ARA!$B$2:$C$1328,2,FALSE)</f>
        <v>FL</v>
      </c>
    </row>
    <row r="957" spans="2:13" x14ac:dyDescent="0.25">
      <c r="B957" s="36"/>
      <c r="C957" s="20"/>
      <c r="D957" s="25" t="s">
        <v>25936</v>
      </c>
      <c r="E957" s="25" t="s">
        <v>26306</v>
      </c>
      <c r="F957" s="9" t="str">
        <f t="shared" ref="F957:F966" si="13">HYPERLINK("https://www.ebi.ac.uk/ols/ontologies/uberon/terms?iri=http://purl.obolibrary.org/obo/UBERON_0003311","floor plate of medulla oblongata")</f>
        <v>floor plate of medulla oblongata</v>
      </c>
      <c r="G957" s="9" t="s">
        <v>1895</v>
      </c>
      <c r="H957" s="9" t="s">
        <v>18002</v>
      </c>
      <c r="I957" s="9" t="s">
        <v>1896</v>
      </c>
      <c r="J957" s="9" t="s">
        <v>1897</v>
      </c>
      <c r="K957" s="5" t="s">
        <v>15173</v>
      </c>
      <c r="L957" s="13">
        <v>112892383</v>
      </c>
      <c r="M957" t="str">
        <f>VLOOKUP(L957,[1]DevMouse!$B$2:$C$2693,2,FALSE)</f>
        <v>r7Fv</v>
      </c>
    </row>
    <row r="958" spans="2:13" x14ac:dyDescent="0.25">
      <c r="B958" s="36"/>
      <c r="C958" s="20"/>
      <c r="D958" s="25" t="s">
        <v>25936</v>
      </c>
      <c r="E958" s="25" t="s">
        <v>26306</v>
      </c>
      <c r="F958" s="9" t="str">
        <f t="shared" si="13"/>
        <v>floor plate of medulla oblongata</v>
      </c>
      <c r="G958" s="9" t="s">
        <v>1895</v>
      </c>
      <c r="H958" s="9" t="s">
        <v>18003</v>
      </c>
      <c r="I958" s="9" t="s">
        <v>1898</v>
      </c>
      <c r="J958" s="9" t="s">
        <v>1899</v>
      </c>
      <c r="K958" s="5" t="s">
        <v>15173</v>
      </c>
      <c r="L958" s="13">
        <v>112892385</v>
      </c>
      <c r="M958" t="str">
        <f>VLOOKUP(L958,[1]DevMouse!$B$2:$C$2693,2,FALSE)</f>
        <v>r7Fm</v>
      </c>
    </row>
    <row r="959" spans="2:13" x14ac:dyDescent="0.25">
      <c r="B959" s="36"/>
      <c r="C959" s="20"/>
      <c r="D959" s="25" t="s">
        <v>25936</v>
      </c>
      <c r="E959" s="25" t="s">
        <v>26306</v>
      </c>
      <c r="F959" s="9" t="str">
        <f t="shared" si="13"/>
        <v>floor plate of medulla oblongata</v>
      </c>
      <c r="G959" s="9" t="s">
        <v>1895</v>
      </c>
      <c r="H959" s="9" t="s">
        <v>18004</v>
      </c>
      <c r="I959" s="9" t="s">
        <v>1900</v>
      </c>
      <c r="J959" s="9" t="s">
        <v>1901</v>
      </c>
      <c r="K959" s="5" t="s">
        <v>15173</v>
      </c>
      <c r="L959" s="13">
        <v>112892387</v>
      </c>
      <c r="M959" t="str">
        <f>VLOOKUP(L959,[1]DevMouse!$B$2:$C$2693,2,FALSE)</f>
        <v>r7Fp</v>
      </c>
    </row>
    <row r="960" spans="2:13" x14ac:dyDescent="0.25">
      <c r="B960" s="36"/>
      <c r="C960" s="20"/>
      <c r="D960" s="25" t="s">
        <v>25936</v>
      </c>
      <c r="E960" s="25" t="s">
        <v>26306</v>
      </c>
      <c r="F960" s="9" t="str">
        <f t="shared" si="13"/>
        <v>floor plate of medulla oblongata</v>
      </c>
      <c r="G960" s="9" t="s">
        <v>1895</v>
      </c>
      <c r="H960" s="9" t="s">
        <v>18005</v>
      </c>
      <c r="I960" s="9" t="s">
        <v>1902</v>
      </c>
      <c r="J960" s="9" t="s">
        <v>1903</v>
      </c>
      <c r="K960" s="5" t="s">
        <v>15173</v>
      </c>
      <c r="L960" s="13">
        <v>112892389</v>
      </c>
      <c r="M960" t="str">
        <f>VLOOKUP(L960,[1]DevMouse!$B$2:$C$2693,2,FALSE)</f>
        <v>r7Fi</v>
      </c>
    </row>
    <row r="961" spans="2:13" x14ac:dyDescent="0.25">
      <c r="B961" s="36"/>
      <c r="C961" s="20"/>
      <c r="D961" s="25" t="s">
        <v>25936</v>
      </c>
      <c r="E961" s="25" t="s">
        <v>26306</v>
      </c>
      <c r="F961" s="9" t="str">
        <f t="shared" si="13"/>
        <v>floor plate of medulla oblongata</v>
      </c>
      <c r="G961" s="9" t="s">
        <v>1895</v>
      </c>
      <c r="H961" s="9" t="s">
        <v>18006</v>
      </c>
      <c r="I961" s="9" t="s">
        <v>1904</v>
      </c>
      <c r="J961" s="9" t="s">
        <v>1905</v>
      </c>
      <c r="K961" s="5" t="s">
        <v>15173</v>
      </c>
      <c r="L961" s="13">
        <v>112892391</v>
      </c>
      <c r="M961" t="str">
        <f>VLOOKUP(L961,[1]DevMouse!$B$2:$C$2693,2,FALSE)</f>
        <v>r7Fs</v>
      </c>
    </row>
    <row r="962" spans="2:13" x14ac:dyDescent="0.25">
      <c r="B962" s="36"/>
      <c r="C962" s="20"/>
      <c r="D962" s="25" t="s">
        <v>25936</v>
      </c>
      <c r="E962" s="25" t="s">
        <v>26306</v>
      </c>
      <c r="F962" s="9" t="str">
        <f t="shared" si="13"/>
        <v>floor plate of medulla oblongata</v>
      </c>
      <c r="G962" s="9" t="s">
        <v>1895</v>
      </c>
      <c r="H962" s="9" t="s">
        <v>18081</v>
      </c>
      <c r="I962" s="9" t="s">
        <v>1906</v>
      </c>
      <c r="J962" s="9" t="s">
        <v>1907</v>
      </c>
      <c r="K962" s="5" t="s">
        <v>15173</v>
      </c>
      <c r="L962" s="13">
        <v>112892395</v>
      </c>
      <c r="M962" t="str">
        <f>VLOOKUP(L962,[1]DevMouse!$B$2:$C$2693,2,FALSE)</f>
        <v>r8Fv</v>
      </c>
    </row>
    <row r="963" spans="2:13" x14ac:dyDescent="0.25">
      <c r="B963" s="36"/>
      <c r="C963" s="20"/>
      <c r="D963" s="25" t="s">
        <v>25936</v>
      </c>
      <c r="E963" s="25" t="s">
        <v>26306</v>
      </c>
      <c r="F963" s="9" t="str">
        <f t="shared" si="13"/>
        <v>floor plate of medulla oblongata</v>
      </c>
      <c r="G963" s="9" t="s">
        <v>1895</v>
      </c>
      <c r="H963" s="9" t="s">
        <v>18082</v>
      </c>
      <c r="I963" s="9" t="s">
        <v>1908</v>
      </c>
      <c r="J963" s="9" t="s">
        <v>1909</v>
      </c>
      <c r="K963" s="5" t="s">
        <v>15173</v>
      </c>
      <c r="L963" s="13">
        <v>112892397</v>
      </c>
      <c r="M963" t="str">
        <f>VLOOKUP(L963,[1]DevMouse!$B$2:$C$2693,2,FALSE)</f>
        <v>r8Fm</v>
      </c>
    </row>
    <row r="964" spans="2:13" x14ac:dyDescent="0.25">
      <c r="B964" s="36"/>
      <c r="C964" s="20"/>
      <c r="D964" s="25" t="s">
        <v>25936</v>
      </c>
      <c r="E964" s="25" t="s">
        <v>26306</v>
      </c>
      <c r="F964" s="9" t="str">
        <f t="shared" si="13"/>
        <v>floor plate of medulla oblongata</v>
      </c>
      <c r="G964" s="9" t="s">
        <v>1895</v>
      </c>
      <c r="H964" s="9" t="s">
        <v>18083</v>
      </c>
      <c r="I964" s="9" t="s">
        <v>1910</v>
      </c>
      <c r="J964" s="9" t="s">
        <v>1911</v>
      </c>
      <c r="K964" s="5" t="s">
        <v>15173</v>
      </c>
      <c r="L964" s="13">
        <v>112892399</v>
      </c>
      <c r="M964" t="str">
        <f>VLOOKUP(L964,[1]DevMouse!$B$2:$C$2693,2,FALSE)</f>
        <v>r8Fp</v>
      </c>
    </row>
    <row r="965" spans="2:13" x14ac:dyDescent="0.25">
      <c r="B965" s="36"/>
      <c r="C965" s="20"/>
      <c r="D965" s="25" t="s">
        <v>25936</v>
      </c>
      <c r="E965" s="25" t="s">
        <v>26306</v>
      </c>
      <c r="F965" s="9" t="str">
        <f t="shared" si="13"/>
        <v>floor plate of medulla oblongata</v>
      </c>
      <c r="G965" s="9" t="s">
        <v>1895</v>
      </c>
      <c r="H965" s="9" t="s">
        <v>18084</v>
      </c>
      <c r="I965" s="9" t="s">
        <v>1912</v>
      </c>
      <c r="J965" s="9" t="s">
        <v>1913</v>
      </c>
      <c r="K965" s="5" t="s">
        <v>15173</v>
      </c>
      <c r="L965" s="13">
        <v>112892401</v>
      </c>
      <c r="M965" t="str">
        <f>VLOOKUP(L965,[1]DevMouse!$B$2:$C$2693,2,FALSE)</f>
        <v>r8Fi</v>
      </c>
    </row>
    <row r="966" spans="2:13" x14ac:dyDescent="0.25">
      <c r="B966" s="36"/>
      <c r="C966" s="20"/>
      <c r="D966" s="25" t="s">
        <v>25936</v>
      </c>
      <c r="E966" s="25" t="s">
        <v>26306</v>
      </c>
      <c r="F966" s="9" t="str">
        <f t="shared" si="13"/>
        <v>floor plate of medulla oblongata</v>
      </c>
      <c r="G966" s="9" t="s">
        <v>1895</v>
      </c>
      <c r="H966" s="9" t="s">
        <v>18085</v>
      </c>
      <c r="I966" s="9" t="s">
        <v>1914</v>
      </c>
      <c r="J966" s="9" t="s">
        <v>1915</v>
      </c>
      <c r="K966" s="5" t="s">
        <v>15173</v>
      </c>
      <c r="L966" s="13">
        <v>112892403</v>
      </c>
      <c r="M966" t="str">
        <f>VLOOKUP(L966,[1]DevMouse!$B$2:$C$2693,2,FALSE)</f>
        <v>r8Fs</v>
      </c>
    </row>
    <row r="967" spans="2:13" x14ac:dyDescent="0.25">
      <c r="B967" s="31" t="s">
        <v>25743</v>
      </c>
      <c r="C967" s="20"/>
      <c r="D967" s="25" t="s">
        <v>1917</v>
      </c>
      <c r="E967" s="25"/>
      <c r="F967" s="9" t="str">
        <f>HYPERLINK("https://www.ebi.ac.uk/ols/ontologies/uberon/terms?iri=http://purl.obolibrary.org/obo/UBERON_0003307","floor plate of midbrain")</f>
        <v>floor plate of midbrain</v>
      </c>
      <c r="G967" s="9" t="s">
        <v>1916</v>
      </c>
      <c r="H967" s="9" t="s">
        <v>24098</v>
      </c>
      <c r="I967" s="9" t="s">
        <v>1917</v>
      </c>
      <c r="J967" s="9" t="s">
        <v>1918</v>
      </c>
      <c r="K967" s="4" t="s">
        <v>15175</v>
      </c>
      <c r="L967" s="13">
        <v>12325</v>
      </c>
      <c r="M967" t="str">
        <f>VLOOKUP(L967,[1]Human_BrainSpan!$B$2:$C$4000,2,FALSE)</f>
        <v>IZMfl</v>
      </c>
    </row>
    <row r="968" spans="2:13" x14ac:dyDescent="0.25">
      <c r="B968" s="36"/>
      <c r="C968" s="20"/>
      <c r="D968" s="25" t="s">
        <v>25937</v>
      </c>
      <c r="E968" s="25" t="s">
        <v>26306</v>
      </c>
      <c r="F968" s="9" t="str">
        <f t="shared" ref="F968:F999" si="14">HYPERLINK("https://www.ebi.ac.uk/ols/ontologies/uberon/terms?iri=http://purl.obolibrary.org/obo/UBERON_0003306","floor plate of neural tube")</f>
        <v>floor plate of neural tube</v>
      </c>
      <c r="G968" s="9" t="s">
        <v>1919</v>
      </c>
      <c r="H968" s="9" t="s">
        <v>17478</v>
      </c>
      <c r="I968" s="9" t="s">
        <v>1920</v>
      </c>
      <c r="J968" s="9" t="s">
        <v>1921</v>
      </c>
      <c r="K968" s="5" t="s">
        <v>15173</v>
      </c>
      <c r="L968" s="13">
        <v>112892323</v>
      </c>
      <c r="M968" t="str">
        <f>VLOOKUP(L968,[1]DevMouse!$B$2:$C$2693,2,FALSE)</f>
        <v>r1Fv</v>
      </c>
    </row>
    <row r="969" spans="2:13" x14ac:dyDescent="0.25">
      <c r="B969" s="36"/>
      <c r="C969" s="20"/>
      <c r="D969" s="25" t="s">
        <v>25937</v>
      </c>
      <c r="E969" s="25" t="s">
        <v>26306</v>
      </c>
      <c r="F969" s="9" t="str">
        <f t="shared" si="14"/>
        <v>floor plate of neural tube</v>
      </c>
      <c r="G969" s="9" t="s">
        <v>1919</v>
      </c>
      <c r="H969" s="9" t="s">
        <v>17479</v>
      </c>
      <c r="I969" s="9" t="s">
        <v>1922</v>
      </c>
      <c r="J969" s="9" t="s">
        <v>1923</v>
      </c>
      <c r="K969" s="5" t="s">
        <v>15173</v>
      </c>
      <c r="L969" s="13">
        <v>112892325</v>
      </c>
      <c r="M969" t="str">
        <f>VLOOKUP(L969,[1]DevMouse!$B$2:$C$2693,2,FALSE)</f>
        <v>r1Fm</v>
      </c>
    </row>
    <row r="970" spans="2:13" x14ac:dyDescent="0.25">
      <c r="B970" s="36"/>
      <c r="C970" s="20"/>
      <c r="D970" s="25" t="s">
        <v>25937</v>
      </c>
      <c r="E970" s="25" t="s">
        <v>26306</v>
      </c>
      <c r="F970" s="9" t="str">
        <f t="shared" si="14"/>
        <v>floor plate of neural tube</v>
      </c>
      <c r="G970" s="9" t="s">
        <v>1919</v>
      </c>
      <c r="H970" s="9" t="s">
        <v>17480</v>
      </c>
      <c r="I970" s="9" t="s">
        <v>1924</v>
      </c>
      <c r="J970" s="9" t="s">
        <v>1925</v>
      </c>
      <c r="K970" s="5" t="s">
        <v>15173</v>
      </c>
      <c r="L970" s="13">
        <v>112892327</v>
      </c>
      <c r="M970" t="str">
        <f>VLOOKUP(L970,[1]DevMouse!$B$2:$C$2693,2,FALSE)</f>
        <v>r1Fp</v>
      </c>
    </row>
    <row r="971" spans="2:13" x14ac:dyDescent="0.25">
      <c r="B971" s="36"/>
      <c r="C971" s="20"/>
      <c r="D971" s="25" t="s">
        <v>25937</v>
      </c>
      <c r="E971" s="25" t="s">
        <v>26306</v>
      </c>
      <c r="F971" s="9" t="str">
        <f t="shared" si="14"/>
        <v>floor plate of neural tube</v>
      </c>
      <c r="G971" s="9" t="s">
        <v>1919</v>
      </c>
      <c r="H971" s="9" t="s">
        <v>17481</v>
      </c>
      <c r="I971" s="9" t="s">
        <v>1926</v>
      </c>
      <c r="J971" s="9" t="s">
        <v>1927</v>
      </c>
      <c r="K971" s="5" t="s">
        <v>15173</v>
      </c>
      <c r="L971" s="13">
        <v>112892329</v>
      </c>
      <c r="M971" t="str">
        <f>VLOOKUP(L971,[1]DevMouse!$B$2:$C$2693,2,FALSE)</f>
        <v>r1Fi</v>
      </c>
    </row>
    <row r="972" spans="2:13" x14ac:dyDescent="0.25">
      <c r="B972" s="36"/>
      <c r="C972" s="20"/>
      <c r="D972" s="25" t="s">
        <v>25937</v>
      </c>
      <c r="E972" s="25" t="s">
        <v>26306</v>
      </c>
      <c r="F972" s="9" t="str">
        <f t="shared" si="14"/>
        <v>floor plate of neural tube</v>
      </c>
      <c r="G972" s="9" t="s">
        <v>1919</v>
      </c>
      <c r="H972" s="9" t="s">
        <v>17482</v>
      </c>
      <c r="I972" s="9" t="s">
        <v>1928</v>
      </c>
      <c r="J972" s="9" t="s">
        <v>1929</v>
      </c>
      <c r="K972" s="5" t="s">
        <v>15173</v>
      </c>
      <c r="L972" s="13">
        <v>112892331</v>
      </c>
      <c r="M972" t="str">
        <f>VLOOKUP(L972,[1]DevMouse!$B$2:$C$2693,2,FALSE)</f>
        <v>r1Fs</v>
      </c>
    </row>
    <row r="973" spans="2:13" x14ac:dyDescent="0.25">
      <c r="B973" s="36"/>
      <c r="C973" s="20"/>
      <c r="D973" s="25" t="s">
        <v>25937</v>
      </c>
      <c r="E973" s="25" t="s">
        <v>26306</v>
      </c>
      <c r="F973" s="9" t="str">
        <f t="shared" si="14"/>
        <v>floor plate of neural tube</v>
      </c>
      <c r="G973" s="9" t="s">
        <v>1919</v>
      </c>
      <c r="H973" s="9" t="s">
        <v>17572</v>
      </c>
      <c r="I973" s="9" t="s">
        <v>1930</v>
      </c>
      <c r="J973" s="9" t="s">
        <v>1931</v>
      </c>
      <c r="K973" s="5" t="s">
        <v>15173</v>
      </c>
      <c r="L973" s="13">
        <v>112892333</v>
      </c>
      <c r="M973" t="str">
        <f>VLOOKUP(L973,[1]DevMouse!$B$2:$C$2693,2,FALSE)</f>
        <v>r2Fv</v>
      </c>
    </row>
    <row r="974" spans="2:13" x14ac:dyDescent="0.25">
      <c r="B974" s="36"/>
      <c r="C974" s="20"/>
      <c r="D974" s="25" t="s">
        <v>25937</v>
      </c>
      <c r="E974" s="25" t="s">
        <v>26306</v>
      </c>
      <c r="F974" s="9" t="str">
        <f t="shared" si="14"/>
        <v>floor plate of neural tube</v>
      </c>
      <c r="G974" s="9" t="s">
        <v>1919</v>
      </c>
      <c r="H974" s="9" t="s">
        <v>17573</v>
      </c>
      <c r="I974" s="9" t="s">
        <v>1932</v>
      </c>
      <c r="J974" s="9" t="s">
        <v>1933</v>
      </c>
      <c r="K974" s="5" t="s">
        <v>15173</v>
      </c>
      <c r="L974" s="13">
        <v>112892335</v>
      </c>
      <c r="M974" t="str">
        <f>VLOOKUP(L974,[1]DevMouse!$B$2:$C$2693,2,FALSE)</f>
        <v>r2Fm</v>
      </c>
    </row>
    <row r="975" spans="2:13" x14ac:dyDescent="0.25">
      <c r="B975" s="36"/>
      <c r="C975" s="20"/>
      <c r="D975" s="25" t="s">
        <v>25937</v>
      </c>
      <c r="E975" s="25" t="s">
        <v>26306</v>
      </c>
      <c r="F975" s="9" t="str">
        <f t="shared" si="14"/>
        <v>floor plate of neural tube</v>
      </c>
      <c r="G975" s="9" t="s">
        <v>1919</v>
      </c>
      <c r="H975" s="9" t="s">
        <v>17574</v>
      </c>
      <c r="I975" s="9" t="s">
        <v>1934</v>
      </c>
      <c r="J975" s="9" t="s">
        <v>1935</v>
      </c>
      <c r="K975" s="5" t="s">
        <v>15173</v>
      </c>
      <c r="L975" s="13">
        <v>112892337</v>
      </c>
      <c r="M975" t="str">
        <f>VLOOKUP(L975,[1]DevMouse!$B$2:$C$2693,2,FALSE)</f>
        <v>r2Fp</v>
      </c>
    </row>
    <row r="976" spans="2:13" x14ac:dyDescent="0.25">
      <c r="B976" s="36"/>
      <c r="C976" s="20"/>
      <c r="D976" s="25" t="s">
        <v>25937</v>
      </c>
      <c r="E976" s="25" t="s">
        <v>26306</v>
      </c>
      <c r="F976" s="9" t="str">
        <f t="shared" si="14"/>
        <v>floor plate of neural tube</v>
      </c>
      <c r="G976" s="9" t="s">
        <v>1919</v>
      </c>
      <c r="H976" s="9" t="s">
        <v>17575</v>
      </c>
      <c r="I976" s="9" t="s">
        <v>1936</v>
      </c>
      <c r="J976" s="9" t="s">
        <v>1937</v>
      </c>
      <c r="K976" s="5" t="s">
        <v>15173</v>
      </c>
      <c r="L976" s="13">
        <v>112892339</v>
      </c>
      <c r="M976" t="str">
        <f>VLOOKUP(L976,[1]DevMouse!$B$2:$C$2693,2,FALSE)</f>
        <v>r2Fi</v>
      </c>
    </row>
    <row r="977" spans="2:13" x14ac:dyDescent="0.25">
      <c r="B977" s="36"/>
      <c r="C977" s="20"/>
      <c r="D977" s="25" t="s">
        <v>25937</v>
      </c>
      <c r="E977" s="25" t="s">
        <v>26306</v>
      </c>
      <c r="F977" s="9" t="str">
        <f t="shared" si="14"/>
        <v>floor plate of neural tube</v>
      </c>
      <c r="G977" s="9" t="s">
        <v>1919</v>
      </c>
      <c r="H977" s="9" t="s">
        <v>17576</v>
      </c>
      <c r="I977" s="9" t="s">
        <v>1938</v>
      </c>
      <c r="J977" s="9" t="s">
        <v>1939</v>
      </c>
      <c r="K977" s="5" t="s">
        <v>15173</v>
      </c>
      <c r="L977" s="13">
        <v>112892341</v>
      </c>
      <c r="M977" t="str">
        <f>VLOOKUP(L977,[1]DevMouse!$B$2:$C$2693,2,FALSE)</f>
        <v>r2Fs</v>
      </c>
    </row>
    <row r="978" spans="2:13" x14ac:dyDescent="0.25">
      <c r="B978" s="36"/>
      <c r="C978" s="20"/>
      <c r="D978" s="25" t="s">
        <v>25937</v>
      </c>
      <c r="E978" s="25" t="s">
        <v>26306</v>
      </c>
      <c r="F978" s="9" t="str">
        <f t="shared" si="14"/>
        <v>floor plate of neural tube</v>
      </c>
      <c r="G978" s="9" t="s">
        <v>1919</v>
      </c>
      <c r="H978" s="9" t="s">
        <v>17658</v>
      </c>
      <c r="I978" s="9" t="s">
        <v>1940</v>
      </c>
      <c r="J978" s="9" t="s">
        <v>1941</v>
      </c>
      <c r="K978" s="5" t="s">
        <v>15173</v>
      </c>
      <c r="L978" s="13">
        <v>112892343</v>
      </c>
      <c r="M978" t="str">
        <f>VLOOKUP(L978,[1]DevMouse!$B$2:$C$2693,2,FALSE)</f>
        <v>r3Fv</v>
      </c>
    </row>
    <row r="979" spans="2:13" x14ac:dyDescent="0.25">
      <c r="B979" s="36"/>
      <c r="C979" s="20"/>
      <c r="D979" s="25" t="s">
        <v>25937</v>
      </c>
      <c r="E979" s="25" t="s">
        <v>26306</v>
      </c>
      <c r="F979" s="9" t="str">
        <f t="shared" si="14"/>
        <v>floor plate of neural tube</v>
      </c>
      <c r="G979" s="9" t="s">
        <v>1919</v>
      </c>
      <c r="H979" s="9" t="s">
        <v>17659</v>
      </c>
      <c r="I979" s="9" t="s">
        <v>1942</v>
      </c>
      <c r="J979" s="9" t="s">
        <v>1943</v>
      </c>
      <c r="K979" s="5" t="s">
        <v>15173</v>
      </c>
      <c r="L979" s="13">
        <v>112892345</v>
      </c>
      <c r="M979" t="str">
        <f>VLOOKUP(L979,[1]DevMouse!$B$2:$C$2693,2,FALSE)</f>
        <v>r3Fm</v>
      </c>
    </row>
    <row r="980" spans="2:13" x14ac:dyDescent="0.25">
      <c r="B980" s="36"/>
      <c r="C980" s="20"/>
      <c r="D980" s="25" t="s">
        <v>25937</v>
      </c>
      <c r="E980" s="25" t="s">
        <v>26306</v>
      </c>
      <c r="F980" s="9" t="str">
        <f t="shared" si="14"/>
        <v>floor plate of neural tube</v>
      </c>
      <c r="G980" s="9" t="s">
        <v>1919</v>
      </c>
      <c r="H980" s="9" t="s">
        <v>17660</v>
      </c>
      <c r="I980" s="9" t="s">
        <v>1944</v>
      </c>
      <c r="J980" s="9" t="s">
        <v>1945</v>
      </c>
      <c r="K980" s="5" t="s">
        <v>15173</v>
      </c>
      <c r="L980" s="13">
        <v>112892347</v>
      </c>
      <c r="M980" t="str">
        <f>VLOOKUP(L980,[1]DevMouse!$B$2:$C$2693,2,FALSE)</f>
        <v>r3Fp</v>
      </c>
    </row>
    <row r="981" spans="2:13" x14ac:dyDescent="0.25">
      <c r="B981" s="36"/>
      <c r="C981" s="20"/>
      <c r="D981" s="25" t="s">
        <v>25937</v>
      </c>
      <c r="E981" s="25" t="s">
        <v>26306</v>
      </c>
      <c r="F981" s="9" t="str">
        <f t="shared" si="14"/>
        <v>floor plate of neural tube</v>
      </c>
      <c r="G981" s="9" t="s">
        <v>1919</v>
      </c>
      <c r="H981" s="9" t="s">
        <v>17661</v>
      </c>
      <c r="I981" s="9" t="s">
        <v>1946</v>
      </c>
      <c r="J981" s="9" t="s">
        <v>1947</v>
      </c>
      <c r="K981" s="5" t="s">
        <v>15173</v>
      </c>
      <c r="L981" s="13">
        <v>112892349</v>
      </c>
      <c r="M981" t="str">
        <f>VLOOKUP(L981,[1]DevMouse!$B$2:$C$2693,2,FALSE)</f>
        <v>r3Fi</v>
      </c>
    </row>
    <row r="982" spans="2:13" x14ac:dyDescent="0.25">
      <c r="B982" s="36"/>
      <c r="C982" s="20"/>
      <c r="D982" s="25" t="s">
        <v>25937</v>
      </c>
      <c r="E982" s="25" t="s">
        <v>26306</v>
      </c>
      <c r="F982" s="9" t="str">
        <f t="shared" si="14"/>
        <v>floor plate of neural tube</v>
      </c>
      <c r="G982" s="9" t="s">
        <v>1919</v>
      </c>
      <c r="H982" s="9" t="s">
        <v>17662</v>
      </c>
      <c r="I982" s="9" t="s">
        <v>1948</v>
      </c>
      <c r="J982" s="9" t="s">
        <v>1949</v>
      </c>
      <c r="K982" s="5" t="s">
        <v>15173</v>
      </c>
      <c r="L982" s="13">
        <v>112892351</v>
      </c>
      <c r="M982" t="str">
        <f>VLOOKUP(L982,[1]DevMouse!$B$2:$C$2693,2,FALSE)</f>
        <v>r3Fs</v>
      </c>
    </row>
    <row r="983" spans="2:13" x14ac:dyDescent="0.25">
      <c r="B983" s="36"/>
      <c r="C983" s="20"/>
      <c r="D983" s="25" t="s">
        <v>25937</v>
      </c>
      <c r="E983" s="25" t="s">
        <v>26306</v>
      </c>
      <c r="F983" s="9" t="str">
        <f t="shared" si="14"/>
        <v>floor plate of neural tube</v>
      </c>
      <c r="G983" s="9" t="s">
        <v>1919</v>
      </c>
      <c r="H983" s="9" t="s">
        <v>17742</v>
      </c>
      <c r="I983" s="9" t="s">
        <v>1950</v>
      </c>
      <c r="J983" s="9" t="s">
        <v>1951</v>
      </c>
      <c r="K983" s="5" t="s">
        <v>15173</v>
      </c>
      <c r="L983" s="13">
        <v>112892353</v>
      </c>
      <c r="M983" t="str">
        <f>VLOOKUP(L983,[1]DevMouse!$B$2:$C$2693,2,FALSE)</f>
        <v>r4Fv</v>
      </c>
    </row>
    <row r="984" spans="2:13" x14ac:dyDescent="0.25">
      <c r="B984" s="36"/>
      <c r="C984" s="20"/>
      <c r="D984" s="25" t="s">
        <v>25937</v>
      </c>
      <c r="E984" s="25" t="s">
        <v>26306</v>
      </c>
      <c r="F984" s="9" t="str">
        <f t="shared" si="14"/>
        <v>floor plate of neural tube</v>
      </c>
      <c r="G984" s="9" t="s">
        <v>1919</v>
      </c>
      <c r="H984" s="9" t="s">
        <v>17743</v>
      </c>
      <c r="I984" s="9" t="s">
        <v>1952</v>
      </c>
      <c r="J984" s="9" t="s">
        <v>1953</v>
      </c>
      <c r="K984" s="5" t="s">
        <v>15173</v>
      </c>
      <c r="L984" s="13">
        <v>112892355</v>
      </c>
      <c r="M984" t="str">
        <f>VLOOKUP(L984,[1]DevMouse!$B$2:$C$2693,2,FALSE)</f>
        <v>r4Fm</v>
      </c>
    </row>
    <row r="985" spans="2:13" x14ac:dyDescent="0.25">
      <c r="B985" s="36"/>
      <c r="C985" s="20"/>
      <c r="D985" s="25" t="s">
        <v>25937</v>
      </c>
      <c r="E985" s="25" t="s">
        <v>26306</v>
      </c>
      <c r="F985" s="9" t="str">
        <f t="shared" si="14"/>
        <v>floor plate of neural tube</v>
      </c>
      <c r="G985" s="9" t="s">
        <v>1919</v>
      </c>
      <c r="H985" s="9" t="s">
        <v>17744</v>
      </c>
      <c r="I985" s="9" t="s">
        <v>1954</v>
      </c>
      <c r="J985" s="9" t="s">
        <v>1955</v>
      </c>
      <c r="K985" s="5" t="s">
        <v>15173</v>
      </c>
      <c r="L985" s="13">
        <v>112892357</v>
      </c>
      <c r="M985" t="str">
        <f>VLOOKUP(L985,[1]DevMouse!$B$2:$C$2693,2,FALSE)</f>
        <v>r4Fp</v>
      </c>
    </row>
    <row r="986" spans="2:13" x14ac:dyDescent="0.25">
      <c r="B986" s="36"/>
      <c r="C986" s="20"/>
      <c r="D986" s="25" t="s">
        <v>25937</v>
      </c>
      <c r="E986" s="25" t="s">
        <v>26306</v>
      </c>
      <c r="F986" s="9" t="str">
        <f t="shared" si="14"/>
        <v>floor plate of neural tube</v>
      </c>
      <c r="G986" s="9" t="s">
        <v>1919</v>
      </c>
      <c r="H986" s="9" t="s">
        <v>17745</v>
      </c>
      <c r="I986" s="9" t="s">
        <v>1956</v>
      </c>
      <c r="J986" s="9" t="s">
        <v>1957</v>
      </c>
      <c r="K986" s="5" t="s">
        <v>15173</v>
      </c>
      <c r="L986" s="13">
        <v>112892359</v>
      </c>
      <c r="M986" t="str">
        <f>VLOOKUP(L986,[1]DevMouse!$B$2:$C$2693,2,FALSE)</f>
        <v>r4Fi</v>
      </c>
    </row>
    <row r="987" spans="2:13" x14ac:dyDescent="0.25">
      <c r="B987" s="36"/>
      <c r="C987" s="20"/>
      <c r="D987" s="25" t="s">
        <v>25937</v>
      </c>
      <c r="E987" s="25" t="s">
        <v>26306</v>
      </c>
      <c r="F987" s="9" t="str">
        <f t="shared" si="14"/>
        <v>floor plate of neural tube</v>
      </c>
      <c r="G987" s="9" t="s">
        <v>1919</v>
      </c>
      <c r="H987" s="9" t="s">
        <v>17746</v>
      </c>
      <c r="I987" s="9" t="s">
        <v>1958</v>
      </c>
      <c r="J987" s="9" t="s">
        <v>1959</v>
      </c>
      <c r="K987" s="5" t="s">
        <v>15173</v>
      </c>
      <c r="L987" s="13">
        <v>112892361</v>
      </c>
      <c r="M987" t="str">
        <f>VLOOKUP(L987,[1]DevMouse!$B$2:$C$2693,2,FALSE)</f>
        <v>r4Fs</v>
      </c>
    </row>
    <row r="988" spans="2:13" x14ac:dyDescent="0.25">
      <c r="B988" s="36"/>
      <c r="C988" s="20"/>
      <c r="D988" s="25" t="s">
        <v>25937</v>
      </c>
      <c r="E988" s="25" t="s">
        <v>26306</v>
      </c>
      <c r="F988" s="9" t="str">
        <f t="shared" si="14"/>
        <v>floor plate of neural tube</v>
      </c>
      <c r="G988" s="9" t="s">
        <v>1919</v>
      </c>
      <c r="H988" s="9" t="s">
        <v>17834</v>
      </c>
      <c r="I988" s="9" t="s">
        <v>1960</v>
      </c>
      <c r="J988" s="9" t="s">
        <v>1961</v>
      </c>
      <c r="K988" s="5" t="s">
        <v>15173</v>
      </c>
      <c r="L988" s="13">
        <v>112892363</v>
      </c>
      <c r="M988" t="str">
        <f>VLOOKUP(L988,[1]DevMouse!$B$2:$C$2693,2,FALSE)</f>
        <v>r5Fv</v>
      </c>
    </row>
    <row r="989" spans="2:13" x14ac:dyDescent="0.25">
      <c r="B989" s="36"/>
      <c r="C989" s="20"/>
      <c r="D989" s="25" t="s">
        <v>25937</v>
      </c>
      <c r="E989" s="25" t="s">
        <v>26306</v>
      </c>
      <c r="F989" s="9" t="str">
        <f t="shared" si="14"/>
        <v>floor plate of neural tube</v>
      </c>
      <c r="G989" s="9" t="s">
        <v>1919</v>
      </c>
      <c r="H989" s="9" t="s">
        <v>17835</v>
      </c>
      <c r="I989" s="9" t="s">
        <v>1962</v>
      </c>
      <c r="J989" s="9" t="s">
        <v>1963</v>
      </c>
      <c r="K989" s="5" t="s">
        <v>15173</v>
      </c>
      <c r="L989" s="13">
        <v>112892365</v>
      </c>
      <c r="M989" t="str">
        <f>VLOOKUP(L989,[1]DevMouse!$B$2:$C$2693,2,FALSE)</f>
        <v>r5Fm</v>
      </c>
    </row>
    <row r="990" spans="2:13" x14ac:dyDescent="0.25">
      <c r="B990" s="36"/>
      <c r="C990" s="20"/>
      <c r="D990" s="25" t="s">
        <v>25937</v>
      </c>
      <c r="E990" s="25" t="s">
        <v>26306</v>
      </c>
      <c r="F990" s="9" t="str">
        <f t="shared" si="14"/>
        <v>floor plate of neural tube</v>
      </c>
      <c r="G990" s="9" t="s">
        <v>1919</v>
      </c>
      <c r="H990" s="9" t="s">
        <v>17836</v>
      </c>
      <c r="I990" s="9" t="s">
        <v>1964</v>
      </c>
      <c r="J990" s="9" t="s">
        <v>1965</v>
      </c>
      <c r="K990" s="5" t="s">
        <v>15173</v>
      </c>
      <c r="L990" s="13">
        <v>112892367</v>
      </c>
      <c r="M990" t="str">
        <f>VLOOKUP(L990,[1]DevMouse!$B$2:$C$2693,2,FALSE)</f>
        <v>r5Fp</v>
      </c>
    </row>
    <row r="991" spans="2:13" x14ac:dyDescent="0.25">
      <c r="B991" s="36"/>
      <c r="C991" s="20"/>
      <c r="D991" s="25" t="s">
        <v>25937</v>
      </c>
      <c r="E991" s="25" t="s">
        <v>26306</v>
      </c>
      <c r="F991" s="9" t="str">
        <f t="shared" si="14"/>
        <v>floor plate of neural tube</v>
      </c>
      <c r="G991" s="9" t="s">
        <v>1919</v>
      </c>
      <c r="H991" s="9" t="s">
        <v>17837</v>
      </c>
      <c r="I991" s="9" t="s">
        <v>1966</v>
      </c>
      <c r="J991" s="9" t="s">
        <v>1967</v>
      </c>
      <c r="K991" s="5" t="s">
        <v>15173</v>
      </c>
      <c r="L991" s="13">
        <v>112892369</v>
      </c>
      <c r="M991" t="str">
        <f>VLOOKUP(L991,[1]DevMouse!$B$2:$C$2693,2,FALSE)</f>
        <v>r5Fi</v>
      </c>
    </row>
    <row r="992" spans="2:13" x14ac:dyDescent="0.25">
      <c r="B992" s="36"/>
      <c r="C992" s="20"/>
      <c r="D992" s="25" t="s">
        <v>25937</v>
      </c>
      <c r="E992" s="25" t="s">
        <v>26306</v>
      </c>
      <c r="F992" s="9" t="str">
        <f t="shared" si="14"/>
        <v>floor plate of neural tube</v>
      </c>
      <c r="G992" s="9" t="s">
        <v>1919</v>
      </c>
      <c r="H992" s="9" t="s">
        <v>17838</v>
      </c>
      <c r="I992" s="9" t="s">
        <v>1968</v>
      </c>
      <c r="J992" s="9" t="s">
        <v>1969</v>
      </c>
      <c r="K992" s="5" t="s">
        <v>15173</v>
      </c>
      <c r="L992" s="13">
        <v>112892371</v>
      </c>
      <c r="M992" t="str">
        <f>VLOOKUP(L992,[1]DevMouse!$B$2:$C$2693,2,FALSE)</f>
        <v>r5Fs</v>
      </c>
    </row>
    <row r="993" spans="2:13" x14ac:dyDescent="0.25">
      <c r="B993" s="36"/>
      <c r="C993" s="20"/>
      <c r="D993" s="25" t="s">
        <v>25937</v>
      </c>
      <c r="E993" s="25" t="s">
        <v>26306</v>
      </c>
      <c r="F993" s="9" t="str">
        <f t="shared" si="14"/>
        <v>floor plate of neural tube</v>
      </c>
      <c r="G993" s="9" t="s">
        <v>1919</v>
      </c>
      <c r="H993" s="9" t="s">
        <v>17917</v>
      </c>
      <c r="I993" s="9" t="s">
        <v>1970</v>
      </c>
      <c r="J993" s="9" t="s">
        <v>1971</v>
      </c>
      <c r="K993" s="5" t="s">
        <v>15173</v>
      </c>
      <c r="L993" s="13">
        <v>112892373</v>
      </c>
      <c r="M993" t="str">
        <f>VLOOKUP(L993,[1]DevMouse!$B$2:$C$2693,2,FALSE)</f>
        <v>r6Fv</v>
      </c>
    </row>
    <row r="994" spans="2:13" x14ac:dyDescent="0.25">
      <c r="B994" s="36"/>
      <c r="C994" s="20"/>
      <c r="D994" s="25" t="s">
        <v>25937</v>
      </c>
      <c r="E994" s="25" t="s">
        <v>26306</v>
      </c>
      <c r="F994" s="9" t="str">
        <f t="shared" si="14"/>
        <v>floor plate of neural tube</v>
      </c>
      <c r="G994" s="9" t="s">
        <v>1919</v>
      </c>
      <c r="H994" s="9" t="s">
        <v>17918</v>
      </c>
      <c r="I994" s="9" t="s">
        <v>1972</v>
      </c>
      <c r="J994" s="9" t="s">
        <v>1973</v>
      </c>
      <c r="K994" s="5" t="s">
        <v>15173</v>
      </c>
      <c r="L994" s="13">
        <v>112892375</v>
      </c>
      <c r="M994" t="str">
        <f>VLOOKUP(L994,[1]DevMouse!$B$2:$C$2693,2,FALSE)</f>
        <v>r6Fm</v>
      </c>
    </row>
    <row r="995" spans="2:13" x14ac:dyDescent="0.25">
      <c r="B995" s="36"/>
      <c r="C995" s="20"/>
      <c r="D995" s="25" t="s">
        <v>25937</v>
      </c>
      <c r="E995" s="25" t="s">
        <v>26306</v>
      </c>
      <c r="F995" s="9" t="str">
        <f t="shared" si="14"/>
        <v>floor plate of neural tube</v>
      </c>
      <c r="G995" s="9" t="s">
        <v>1919</v>
      </c>
      <c r="H995" s="9" t="s">
        <v>17919</v>
      </c>
      <c r="I995" s="9" t="s">
        <v>1974</v>
      </c>
      <c r="J995" s="9" t="s">
        <v>1975</v>
      </c>
      <c r="K995" s="5" t="s">
        <v>15173</v>
      </c>
      <c r="L995" s="13">
        <v>112892377</v>
      </c>
      <c r="M995" t="str">
        <f>VLOOKUP(L995,[1]DevMouse!$B$2:$C$2693,2,FALSE)</f>
        <v>r6Fp</v>
      </c>
    </row>
    <row r="996" spans="2:13" x14ac:dyDescent="0.25">
      <c r="B996" s="36"/>
      <c r="C996" s="20"/>
      <c r="D996" s="25" t="s">
        <v>25937</v>
      </c>
      <c r="E996" s="25" t="s">
        <v>26306</v>
      </c>
      <c r="F996" s="9" t="str">
        <f t="shared" si="14"/>
        <v>floor plate of neural tube</v>
      </c>
      <c r="G996" s="9" t="s">
        <v>1919</v>
      </c>
      <c r="H996" s="9" t="s">
        <v>17920</v>
      </c>
      <c r="I996" s="9" t="s">
        <v>1976</v>
      </c>
      <c r="J996" s="9" t="s">
        <v>1977</v>
      </c>
      <c r="K996" s="5" t="s">
        <v>15173</v>
      </c>
      <c r="L996" s="13">
        <v>112892379</v>
      </c>
      <c r="M996" t="str">
        <f>VLOOKUP(L996,[1]DevMouse!$B$2:$C$2693,2,FALSE)</f>
        <v>r6Fi</v>
      </c>
    </row>
    <row r="997" spans="2:13" x14ac:dyDescent="0.25">
      <c r="B997" s="36"/>
      <c r="C997" s="20"/>
      <c r="D997" s="25" t="s">
        <v>25937</v>
      </c>
      <c r="E997" s="25" t="s">
        <v>26306</v>
      </c>
      <c r="F997" s="9" t="str">
        <f t="shared" si="14"/>
        <v>floor plate of neural tube</v>
      </c>
      <c r="G997" s="9" t="s">
        <v>1919</v>
      </c>
      <c r="H997" s="9" t="s">
        <v>17921</v>
      </c>
      <c r="I997" s="9" t="s">
        <v>1978</v>
      </c>
      <c r="J997" s="9" t="s">
        <v>1979</v>
      </c>
      <c r="K997" s="5" t="s">
        <v>15173</v>
      </c>
      <c r="L997" s="13">
        <v>112892381</v>
      </c>
      <c r="M997" t="str">
        <f>VLOOKUP(L997,[1]DevMouse!$B$2:$C$2693,2,FALSE)</f>
        <v>r6Fs</v>
      </c>
    </row>
    <row r="998" spans="2:13" x14ac:dyDescent="0.25">
      <c r="B998" s="36"/>
      <c r="C998" s="20"/>
      <c r="D998" s="25" t="s">
        <v>25937</v>
      </c>
      <c r="E998" s="25"/>
      <c r="F998" s="9" t="str">
        <f t="shared" si="14"/>
        <v>floor plate of neural tube</v>
      </c>
      <c r="G998" s="9" t="s">
        <v>1919</v>
      </c>
      <c r="H998" s="9" t="s">
        <v>17483</v>
      </c>
      <c r="I998" s="9" t="s">
        <v>1980</v>
      </c>
      <c r="J998" s="9" t="s">
        <v>1981</v>
      </c>
      <c r="K998" s="5" t="s">
        <v>15173</v>
      </c>
      <c r="L998" s="13">
        <v>124372444</v>
      </c>
      <c r="M998" t="str">
        <f>VLOOKUP(L998,[1]DevMouse!$B$2:$C$2693,2,FALSE)</f>
        <v>MnIPR</v>
      </c>
    </row>
    <row r="999" spans="2:13" x14ac:dyDescent="0.25">
      <c r="B999" s="36"/>
      <c r="C999" s="20"/>
      <c r="D999" s="25" t="s">
        <v>25937</v>
      </c>
      <c r="E999" s="25"/>
      <c r="F999" s="9" t="str">
        <f t="shared" si="14"/>
        <v>floor plate of neural tube</v>
      </c>
      <c r="G999" s="9" t="s">
        <v>1919</v>
      </c>
      <c r="H999" s="9" t="s">
        <v>17484</v>
      </c>
      <c r="I999" s="9" t="s">
        <v>1982</v>
      </c>
      <c r="J999" s="9" t="s">
        <v>1983</v>
      </c>
      <c r="K999" s="5" t="s">
        <v>15173</v>
      </c>
      <c r="L999" s="13">
        <v>124372448</v>
      </c>
      <c r="M999" t="str">
        <f>VLOOKUP(L999,[1]DevMouse!$B$2:$C$2693,2,FALSE)</f>
        <v>MnIPC</v>
      </c>
    </row>
    <row r="1000" spans="2:13" x14ac:dyDescent="0.25">
      <c r="B1000" s="31" t="s">
        <v>25743</v>
      </c>
      <c r="C1000" s="20"/>
      <c r="D1000" s="25" t="s">
        <v>25938</v>
      </c>
      <c r="E1000" s="25"/>
      <c r="F1000" s="9" t="str">
        <f>HYPERLINK("https://www.ebi.ac.uk/ols/ontologies/uberon/terms?iri=http://purl.obolibrary.org/obo/UBERON_0034676","forceps major of corpus callosum")</f>
        <v>forceps major of corpus callosum</v>
      </c>
      <c r="G1000" s="9" t="s">
        <v>1984</v>
      </c>
      <c r="H1000" s="9" t="s">
        <v>23540</v>
      </c>
      <c r="I1000" s="9" t="s">
        <v>1985</v>
      </c>
      <c r="J1000" s="9" t="s">
        <v>1986</v>
      </c>
      <c r="K1000" s="4" t="s">
        <v>15175</v>
      </c>
      <c r="L1000" s="13">
        <v>12025</v>
      </c>
      <c r="M1000" t="str">
        <f>VLOOKUP(L1000,[1]Human_BrainSpan!$B$2:$C$4000,2,FALSE)</f>
        <v>ccs-ma</v>
      </c>
    </row>
    <row r="1001" spans="2:13" x14ac:dyDescent="0.25">
      <c r="B1001" s="31" t="s">
        <v>25743</v>
      </c>
      <c r="C1001" s="20"/>
      <c r="D1001" s="25" t="s">
        <v>25939</v>
      </c>
      <c r="E1001" s="25"/>
      <c r="F1001" s="9" t="str">
        <f>HYPERLINK("https://www.ebi.ac.uk/ols/ontologies/uberon/terms?iri=http://purl.obolibrary.org/obo/UBERON_0034678","forceps minor of corpus callosum")</f>
        <v>forceps minor of corpus callosum</v>
      </c>
      <c r="G1001" s="9" t="s">
        <v>1987</v>
      </c>
      <c r="H1001" s="9" t="s">
        <v>23535</v>
      </c>
      <c r="I1001" s="9" t="s">
        <v>1988</v>
      </c>
      <c r="J1001" s="9" t="s">
        <v>1989</v>
      </c>
      <c r="K1001" s="4" t="s">
        <v>15175</v>
      </c>
      <c r="L1001" s="13">
        <v>12024</v>
      </c>
      <c r="M1001" t="str">
        <f>VLOOKUP(L1001,[1]Human_BrainSpan!$B$2:$C$4000,2,FALSE)</f>
        <v>ccg-mi</v>
      </c>
    </row>
    <row r="1002" spans="2:13" x14ac:dyDescent="0.25">
      <c r="B1002" s="31" t="s">
        <v>25743</v>
      </c>
      <c r="C1002" s="20"/>
      <c r="D1002" s="25" t="s">
        <v>1993</v>
      </c>
      <c r="E1002" s="25"/>
      <c r="F1002" s="9" t="str">
        <f>HYPERLINK("https://www.ebi.ac.uk/ols/ontologies/uberon/terms?iri=http://purl.obolibrary.org/obo/UBERON_0001890","forebrain")</f>
        <v>forebrain</v>
      </c>
      <c r="G1002" s="9" t="s">
        <v>1990</v>
      </c>
      <c r="H1002" s="9" t="s">
        <v>15192</v>
      </c>
      <c r="I1002" s="9" t="s">
        <v>1991</v>
      </c>
      <c r="J1002" s="9" t="s">
        <v>1992</v>
      </c>
      <c r="K1002" s="4" t="s">
        <v>15175</v>
      </c>
      <c r="L1002" s="13">
        <v>10156</v>
      </c>
      <c r="M1002" t="str">
        <f>VLOOKUP(L1002,[1]Human_BrainSpan!$B$2:$C$4000,2,FALSE)</f>
        <v>F</v>
      </c>
    </row>
    <row r="1003" spans="2:13" x14ac:dyDescent="0.25">
      <c r="B1003" s="31" t="s">
        <v>25743</v>
      </c>
      <c r="C1003" s="20"/>
      <c r="D1003" s="25" t="s">
        <v>1993</v>
      </c>
      <c r="E1003" s="25"/>
      <c r="F1003" s="9" t="str">
        <f>HYPERLINK("https://www.ebi.ac.uk/ols/ontologies/uberon/terms?iri=http://purl.obolibrary.org/obo/UBERON_0001890","forebrain")</f>
        <v>forebrain</v>
      </c>
      <c r="G1003" s="9" t="s">
        <v>1990</v>
      </c>
      <c r="H1003" s="9" t="s">
        <v>15192</v>
      </c>
      <c r="I1003" s="9" t="s">
        <v>1993</v>
      </c>
      <c r="J1003" s="9" t="s">
        <v>1994</v>
      </c>
      <c r="K1003" s="5" t="s">
        <v>15173</v>
      </c>
      <c r="L1003" s="13">
        <v>15566</v>
      </c>
      <c r="M1003" t="str">
        <f>VLOOKUP(L1003,[1]DevMouse!$B$2:$C$2693,2,FALSE)</f>
        <v>F</v>
      </c>
    </row>
    <row r="1004" spans="2:13" x14ac:dyDescent="0.25">
      <c r="B1004" s="31" t="s">
        <v>25743</v>
      </c>
      <c r="C1004" s="20"/>
      <c r="D1004" s="25" t="s">
        <v>1996</v>
      </c>
      <c r="E1004" s="25"/>
      <c r="F1004" s="9" t="str">
        <f>HYPERLINK("https://www.ebi.ac.uk/ols/ontologies/uberon/terms?iri=http://purl.obolibrary.org/obo/UBERON_0022247","forebrain ipsilateral fiber tracts")</f>
        <v>forebrain ipsilateral fiber tracts</v>
      </c>
      <c r="G1004" s="9" t="s">
        <v>1995</v>
      </c>
      <c r="H1004" s="9" t="s">
        <v>23549</v>
      </c>
      <c r="I1004" s="9" t="s">
        <v>1996</v>
      </c>
      <c r="J1004" s="9" t="s">
        <v>1997</v>
      </c>
      <c r="K1004" s="4" t="s">
        <v>15175</v>
      </c>
      <c r="L1004" s="13">
        <v>10568</v>
      </c>
      <c r="M1004" t="str">
        <f>VLOOKUP(L1004,[1]Human_BrainSpan!$B$2:$C$4000,2,FALSE)</f>
        <v>FIFT</v>
      </c>
    </row>
    <row r="1005" spans="2:13" x14ac:dyDescent="0.25">
      <c r="B1005" s="31" t="s">
        <v>25743</v>
      </c>
      <c r="C1005" s="20"/>
      <c r="D1005" s="25" t="s">
        <v>25940</v>
      </c>
      <c r="E1005" s="25"/>
      <c r="F1005" s="9" t="str">
        <f>HYPERLINK("https://www.ebi.ac.uk/ols/ontologies/uberon/terms?iri=http://purl.obolibrary.org/obo/UBERON_0000052","fornix of brain")</f>
        <v>fornix of brain</v>
      </c>
      <c r="G1005" s="9" t="s">
        <v>1998</v>
      </c>
      <c r="H1005" s="9" t="s">
        <v>18461</v>
      </c>
      <c r="I1005" s="9" t="s">
        <v>1999</v>
      </c>
      <c r="J1005" s="9" t="s">
        <v>2000</v>
      </c>
      <c r="K1005" s="4" t="s">
        <v>15175</v>
      </c>
      <c r="L1005" s="13">
        <v>10576</v>
      </c>
      <c r="M1005" t="str">
        <f>VLOOKUP(L1005,[1]Human_BrainSpan!$B$2:$C$4000,2,FALSE)</f>
        <v>fx</v>
      </c>
    </row>
    <row r="1006" spans="2:13" x14ac:dyDescent="0.25">
      <c r="B1006" s="31" t="s">
        <v>25743</v>
      </c>
      <c r="C1006" s="20"/>
      <c r="D1006" s="25" t="s">
        <v>25940</v>
      </c>
      <c r="E1006" s="25"/>
      <c r="F1006" s="9" t="str">
        <f>HYPERLINK("https://www.ebi.ac.uk/ols/ontologies/uberon/terms?iri=http://purl.obolibrary.org/obo/UBERON_0000052","fornix of brain")</f>
        <v>fornix of brain</v>
      </c>
      <c r="G1006" s="9" t="s">
        <v>1998</v>
      </c>
      <c r="H1006" s="9" t="s">
        <v>18461</v>
      </c>
      <c r="I1006" s="9" t="s">
        <v>2001</v>
      </c>
      <c r="J1006" s="9" t="s">
        <v>2002</v>
      </c>
      <c r="K1006" s="5" t="s">
        <v>15173</v>
      </c>
      <c r="L1006" s="13">
        <v>17767</v>
      </c>
      <c r="M1006" t="str">
        <f>VLOOKUP(L1006,[1]DevMouse!$B$2:$C$2693,2,FALSE)</f>
        <v>fx</v>
      </c>
    </row>
    <row r="1007" spans="2:13" x14ac:dyDescent="0.25">
      <c r="B1007" s="31" t="s">
        <v>25743</v>
      </c>
      <c r="C1007" s="20"/>
      <c r="D1007" s="25" t="s">
        <v>25940</v>
      </c>
      <c r="E1007" s="25"/>
      <c r="F1007" s="9" t="str">
        <f>HYPERLINK("https://www.ebi.ac.uk/ols/ontologies/uberon/terms?iri=http://purl.obolibrary.org/obo/UBERON_0000052","fornix of brain")</f>
        <v>fornix of brain</v>
      </c>
      <c r="G1007" s="9" t="s">
        <v>1998</v>
      </c>
      <c r="H1007" s="9" t="s">
        <v>18461</v>
      </c>
      <c r="I1007" s="9" t="s">
        <v>1999</v>
      </c>
      <c r="J1007" s="9" t="s">
        <v>2003</v>
      </c>
      <c r="K1007" s="7" t="s">
        <v>15171</v>
      </c>
      <c r="L1007" s="13">
        <v>9249</v>
      </c>
      <c r="M1007" t="str">
        <f>VLOOKUP(L1007,[1]HBA!$B$2:$C$4000,2,FALSE)</f>
        <v>fx</v>
      </c>
    </row>
    <row r="1008" spans="2:13" x14ac:dyDescent="0.25">
      <c r="B1008" s="31" t="s">
        <v>25743</v>
      </c>
      <c r="C1008" s="20"/>
      <c r="D1008" s="25" t="s">
        <v>2007</v>
      </c>
      <c r="E1008" s="25"/>
      <c r="F1008" s="9" t="str">
        <f>HYPERLINK("https://www.ebi.ac.uk/ols/ontologies/uberon/terms?iri=http://purl.obolibrary.org/obo/UBERON_0002422","fourth ventricle")</f>
        <v>fourth ventricle</v>
      </c>
      <c r="G1008" s="9" t="s">
        <v>2004</v>
      </c>
      <c r="H1008" s="9" t="s">
        <v>24662</v>
      </c>
      <c r="I1008" s="9" t="s">
        <v>2005</v>
      </c>
      <c r="J1008" s="9" t="s">
        <v>2006</v>
      </c>
      <c r="K1008" s="4" t="s">
        <v>15175</v>
      </c>
      <c r="L1008" s="13">
        <v>10669</v>
      </c>
      <c r="M1008" t="str">
        <f>VLOOKUP(L1008,[1]Human_BrainSpan!$B$2:$C$4000,2,FALSE)</f>
        <v>HV</v>
      </c>
    </row>
    <row r="1009" spans="2:13" x14ac:dyDescent="0.25">
      <c r="B1009" s="31" t="s">
        <v>25743</v>
      </c>
      <c r="C1009" s="20"/>
      <c r="D1009" s="25" t="s">
        <v>2007</v>
      </c>
      <c r="E1009" s="25"/>
      <c r="F1009" s="9" t="str">
        <f>HYPERLINK("https://www.ebi.ac.uk/ols/ontologies/uberon/terms?iri=http://purl.obolibrary.org/obo/UBERON_0002422","fourth ventricle")</f>
        <v>fourth ventricle</v>
      </c>
      <c r="G1009" s="9" t="s">
        <v>2004</v>
      </c>
      <c r="H1009" s="9" t="s">
        <v>24663</v>
      </c>
      <c r="I1009" s="9" t="s">
        <v>2007</v>
      </c>
      <c r="J1009" s="9" t="s">
        <v>2008</v>
      </c>
      <c r="K1009" s="4" t="s">
        <v>15175</v>
      </c>
      <c r="L1009" s="13">
        <v>12805</v>
      </c>
      <c r="M1009" t="str">
        <f>VLOOKUP(L1009,[1]Human_BrainSpan!$B$2:$C$4000,2,FALSE)</f>
        <v>4V</v>
      </c>
    </row>
    <row r="1010" spans="2:13" x14ac:dyDescent="0.25">
      <c r="B1010" s="31" t="s">
        <v>25743</v>
      </c>
      <c r="C1010" s="20"/>
      <c r="D1010" s="25" t="s">
        <v>2007</v>
      </c>
      <c r="E1010" s="25"/>
      <c r="F1010" s="9" t="str">
        <f>HYPERLINK("https://www.ebi.ac.uk/ols/ontologies/uberon/terms?iri=http://purl.obolibrary.org/obo/UBERON_0002422","fourth ventricle")</f>
        <v>fourth ventricle</v>
      </c>
      <c r="G1010" s="9" t="s">
        <v>2004</v>
      </c>
      <c r="H1010" s="9" t="s">
        <v>18576</v>
      </c>
      <c r="I1010" s="9" t="s">
        <v>2009</v>
      </c>
      <c r="J1010" s="9" t="s">
        <v>2010</v>
      </c>
      <c r="K1010" s="5" t="s">
        <v>15173</v>
      </c>
      <c r="L1010" s="13">
        <v>126651782</v>
      </c>
      <c r="M1010" t="str">
        <f>VLOOKUP(L1010,[1]DevMouse!$B$2:$C$2693,2,FALSE)</f>
        <v>v_H</v>
      </c>
    </row>
    <row r="1011" spans="2:13" x14ac:dyDescent="0.25">
      <c r="B1011" s="31" t="s">
        <v>25743</v>
      </c>
      <c r="C1011" s="20"/>
      <c r="D1011" s="25" t="s">
        <v>2007</v>
      </c>
      <c r="E1011" s="25"/>
      <c r="F1011" s="9" t="str">
        <f>HYPERLINK("https://www.ebi.ac.uk/ols/ontologies/uberon/terms?iri=http://purl.obolibrary.org/obo/UBERON_0002422","fourth ventricle")</f>
        <v>fourth ventricle</v>
      </c>
      <c r="G1011" s="9" t="s">
        <v>2004</v>
      </c>
      <c r="H1011" s="9" t="s">
        <v>24663</v>
      </c>
      <c r="I1011" s="9" t="s">
        <v>2007</v>
      </c>
      <c r="J1011" s="9" t="s">
        <v>2011</v>
      </c>
      <c r="K1011" s="7" t="s">
        <v>15171</v>
      </c>
      <c r="L1011" s="13">
        <v>9421</v>
      </c>
      <c r="M1011" t="str">
        <f>VLOOKUP(L1011,[1]HBA!$B$2:$C$4000,2,FALSE)</f>
        <v>4V</v>
      </c>
    </row>
    <row r="1012" spans="2:13" x14ac:dyDescent="0.25">
      <c r="B1012" s="31" t="s">
        <v>25743</v>
      </c>
      <c r="C1012" s="20"/>
      <c r="D1012" s="25" t="s">
        <v>2007</v>
      </c>
      <c r="E1012" s="25"/>
      <c r="F1012" s="9" t="str">
        <f>HYPERLINK("https://www.ebi.ac.uk/ols/ontologies/uberon/terms?iri=http://purl.obolibrary.org/obo/UBERON_0002422","fourth ventricle")</f>
        <v>fourth ventricle</v>
      </c>
      <c r="G1012" s="9" t="s">
        <v>2004</v>
      </c>
      <c r="H1012" s="9" t="s">
        <v>20960</v>
      </c>
      <c r="I1012" s="9" t="s">
        <v>2007</v>
      </c>
      <c r="J1012" s="9" t="s">
        <v>2012</v>
      </c>
      <c r="K1012" s="3" t="s">
        <v>15176</v>
      </c>
      <c r="L1012" s="13">
        <v>145</v>
      </c>
      <c r="M1012" t="str">
        <f>VLOOKUP(L1012,[1]Mouse_ARA!$B$2:$C$1328,2,FALSE)</f>
        <v>V4</v>
      </c>
    </row>
    <row r="1013" spans="2:13" x14ac:dyDescent="0.25">
      <c r="B1013" s="31" t="s">
        <v>25743</v>
      </c>
      <c r="C1013" s="20"/>
      <c r="D1013" s="25" t="s">
        <v>2016</v>
      </c>
      <c r="E1013" s="25"/>
      <c r="F1013" s="9" t="str">
        <f>HYPERLINK("https://www.ebi.ac.uk/ols/ontologies/uberon/terms?iri=http://purl.obolibrary.org/obo/UBERON_0001870","frontal cortex")</f>
        <v>frontal cortex</v>
      </c>
      <c r="G1013" s="9" t="s">
        <v>2013</v>
      </c>
      <c r="H1013" s="9" t="s">
        <v>15797</v>
      </c>
      <c r="I1013" s="9" t="s">
        <v>2014</v>
      </c>
      <c r="J1013" s="9" t="s">
        <v>2015</v>
      </c>
      <c r="K1013" s="4" t="s">
        <v>15175</v>
      </c>
      <c r="L1013" s="13">
        <v>10161</v>
      </c>
      <c r="M1013" t="str">
        <f>VLOOKUP(L1013,[1]Human_BrainSpan!$B$2:$C$4000,2,FALSE)</f>
        <v>FCx</v>
      </c>
    </row>
    <row r="1014" spans="2:13" x14ac:dyDescent="0.25">
      <c r="B1014" s="31" t="s">
        <v>25743</v>
      </c>
      <c r="C1014" s="20"/>
      <c r="D1014" s="25" t="s">
        <v>2016</v>
      </c>
      <c r="E1014" s="25"/>
      <c r="F1014" s="9" t="str">
        <f>HYPERLINK("https://www.ebi.ac.uk/ols/ontologies/uberon/terms?iri=http://purl.obolibrary.org/obo/UBERON_0001870","frontal cortex")</f>
        <v>frontal cortex</v>
      </c>
      <c r="G1014" s="9" t="s">
        <v>2013</v>
      </c>
      <c r="H1014" s="9" t="s">
        <v>15797</v>
      </c>
      <c r="I1014" s="9" t="s">
        <v>2016</v>
      </c>
      <c r="J1014" s="9" t="s">
        <v>2017</v>
      </c>
      <c r="K1014" s="5" t="s">
        <v>15173</v>
      </c>
      <c r="L1014" s="13">
        <v>16002</v>
      </c>
      <c r="M1014" t="str">
        <f>VLOOKUP(L1014,[1]DevMouse!$B$2:$C$2693,2,FALSE)</f>
        <v>FCx</v>
      </c>
    </row>
    <row r="1015" spans="2:13" x14ac:dyDescent="0.25">
      <c r="B1015" s="31" t="s">
        <v>25743</v>
      </c>
      <c r="C1015" s="20"/>
      <c r="D1015" s="25" t="s">
        <v>2019</v>
      </c>
      <c r="E1015" s="25"/>
      <c r="F1015" s="9" t="str">
        <f>HYPERLINK("https://www.ebi.ac.uk/ols/ontologies/uberon/terms?iri=http://purl.obolibrary.org/obo/UBERON_0016525","frontal lobe")</f>
        <v>frontal lobe</v>
      </c>
      <c r="G1015" s="9" t="s">
        <v>2018</v>
      </c>
      <c r="H1015" s="9" t="s">
        <v>23791</v>
      </c>
      <c r="I1015" s="9" t="s">
        <v>2019</v>
      </c>
      <c r="J1015" s="9" t="s">
        <v>2020</v>
      </c>
      <c r="K1015" s="4" t="s">
        <v>15175</v>
      </c>
      <c r="L1015" s="13">
        <v>12113</v>
      </c>
      <c r="M1015" t="str">
        <f>VLOOKUP(L1015,[1]Human_BrainSpan!$B$2:$C$4000,2,FALSE)</f>
        <v>FroL</v>
      </c>
    </row>
    <row r="1016" spans="2:13" x14ac:dyDescent="0.25">
      <c r="B1016" s="31" t="s">
        <v>25743</v>
      </c>
      <c r="C1016" s="20"/>
      <c r="D1016" s="25" t="s">
        <v>2019</v>
      </c>
      <c r="E1016" s="25"/>
      <c r="F1016" s="9" t="str">
        <f>HYPERLINK("https://www.ebi.ac.uk/ols/ontologies/uberon/terms?iri=http://purl.obolibrary.org/obo/UBERON_0016525","frontal lobe")</f>
        <v>frontal lobe</v>
      </c>
      <c r="G1016" s="9" t="s">
        <v>2018</v>
      </c>
      <c r="H1016" s="9" t="s">
        <v>20704</v>
      </c>
      <c r="I1016" s="9" t="s">
        <v>2019</v>
      </c>
      <c r="J1016" s="9" t="s">
        <v>2021</v>
      </c>
      <c r="K1016" s="7" t="s">
        <v>15171</v>
      </c>
      <c r="L1016" s="13">
        <v>4009</v>
      </c>
      <c r="M1016" t="str">
        <f>VLOOKUP(L1016,[1]HBA!$B$2:$C$4000,2,FALSE)</f>
        <v>FL</v>
      </c>
    </row>
    <row r="1017" spans="2:13" x14ac:dyDescent="0.25">
      <c r="B1017" s="31" t="s">
        <v>25743</v>
      </c>
      <c r="C1017" s="20"/>
      <c r="D1017" s="25" t="s">
        <v>2023</v>
      </c>
      <c r="E1017" s="25"/>
      <c r="F1017" s="9" t="str">
        <f>HYPERLINK("https://www.ebi.ac.uk/ols/ontologies/uberon/terms?iri=http://purl.obolibrary.org/obo/UBERON_0002947","frontal operculum")</f>
        <v>frontal operculum</v>
      </c>
      <c r="G1017" s="9" t="s">
        <v>2022</v>
      </c>
      <c r="H1017" s="9" t="s">
        <v>23806</v>
      </c>
      <c r="I1017" s="9" t="s">
        <v>2023</v>
      </c>
      <c r="J1017" s="9" t="s">
        <v>2024</v>
      </c>
      <c r="K1017" s="4" t="s">
        <v>15175</v>
      </c>
      <c r="L1017" s="13">
        <v>12127</v>
      </c>
      <c r="M1017" t="str">
        <f>VLOOKUP(L1017,[1]Human_BrainSpan!$B$2:$C$4000,2,FALSE)</f>
        <v>FrO</v>
      </c>
    </row>
    <row r="1018" spans="2:13" x14ac:dyDescent="0.25">
      <c r="B1018" s="31" t="s">
        <v>25743</v>
      </c>
      <c r="C1018" s="20"/>
      <c r="D1018" s="25" t="s">
        <v>2023</v>
      </c>
      <c r="E1018" s="25"/>
      <c r="F1018" s="9" t="str">
        <f>HYPERLINK("https://www.ebi.ac.uk/ols/ontologies/uberon/terms?iri=http://purl.obolibrary.org/obo/UBERON_0002947","frontal operculum")</f>
        <v>frontal operculum</v>
      </c>
      <c r="G1018" s="9" t="s">
        <v>2022</v>
      </c>
      <c r="H1018" s="9" t="s">
        <v>24759</v>
      </c>
      <c r="I1018" s="9" t="s">
        <v>2023</v>
      </c>
      <c r="J1018" s="9" t="s">
        <v>2025</v>
      </c>
      <c r="K1018" s="7" t="s">
        <v>15171</v>
      </c>
      <c r="L1018" s="13">
        <v>4078</v>
      </c>
      <c r="M1018" t="str">
        <f>VLOOKUP(L1018,[1]HBA!$B$2:$C$4000,2,FALSE)</f>
        <v>fro</v>
      </c>
    </row>
    <row r="1019" spans="2:13" x14ac:dyDescent="0.25">
      <c r="B1019" s="31" t="s">
        <v>25743</v>
      </c>
      <c r="C1019" s="20"/>
      <c r="D1019" s="25" t="s">
        <v>2027</v>
      </c>
      <c r="E1019" s="25"/>
      <c r="F1019" s="9" t="str">
        <f>HYPERLINK("https://www.ebi.ac.uk/ols/ontologies/uberon/terms?iri=http://purl.obolibrary.org/obo/UBERON_0002795","frontal pole")</f>
        <v>frontal pole</v>
      </c>
      <c r="G1019" s="9" t="s">
        <v>2026</v>
      </c>
      <c r="H1019" s="9" t="s">
        <v>23813</v>
      </c>
      <c r="I1019" s="9" t="s">
        <v>2027</v>
      </c>
      <c r="J1019" s="9" t="s">
        <v>2028</v>
      </c>
      <c r="K1019" s="4" t="s">
        <v>15175</v>
      </c>
      <c r="L1019" s="13">
        <v>146034888</v>
      </c>
      <c r="M1019" t="str">
        <f>VLOOKUP(L1019,[1]Human_BrainSpan!$B$2:$C$4000,2,FALSE)</f>
        <v>FP</v>
      </c>
    </row>
    <row r="1020" spans="2:13" x14ac:dyDescent="0.25">
      <c r="B1020" s="31" t="s">
        <v>25743</v>
      </c>
      <c r="C1020" s="20"/>
      <c r="D1020" s="25" t="s">
        <v>2027</v>
      </c>
      <c r="E1020" s="25"/>
      <c r="F1020" s="9" t="str">
        <f>HYPERLINK("https://www.ebi.ac.uk/ols/ontologies/uberon/terms?iri=http://purl.obolibrary.org/obo/UBERON_0002795","frontal pole")</f>
        <v>frontal pole</v>
      </c>
      <c r="G1020" s="9" t="s">
        <v>2026</v>
      </c>
      <c r="H1020" s="9" t="s">
        <v>23813</v>
      </c>
      <c r="I1020" s="9" t="s">
        <v>2027</v>
      </c>
      <c r="J1020" s="9" t="s">
        <v>2029</v>
      </c>
      <c r="K1020" s="7" t="s">
        <v>15171</v>
      </c>
      <c r="L1020" s="13">
        <v>4888</v>
      </c>
      <c r="M1020" t="str">
        <f>VLOOKUP(L1020,[1]HBA!$B$2:$C$4000,2,FALSE)</f>
        <v>FP</v>
      </c>
    </row>
    <row r="1021" spans="2:13" x14ac:dyDescent="0.25">
      <c r="B1021" s="31" t="s">
        <v>25743</v>
      </c>
      <c r="C1021" s="20"/>
      <c r="D1021" s="25" t="s">
        <v>2027</v>
      </c>
      <c r="E1021" s="25"/>
      <c r="F1021" s="9" t="str">
        <f>HYPERLINK("https://www.ebi.ac.uk/ols/ontologies/uberon/terms?iri=http://purl.obolibrary.org/obo/UBERON_0002795","frontal pole")</f>
        <v>frontal pole</v>
      </c>
      <c r="G1021" s="9" t="s">
        <v>2026</v>
      </c>
      <c r="H1021" s="9" t="s">
        <v>18655</v>
      </c>
      <c r="I1021" s="9" t="s">
        <v>2030</v>
      </c>
      <c r="J1021" s="9" t="s">
        <v>2031</v>
      </c>
      <c r="K1021" s="3" t="s">
        <v>15176</v>
      </c>
      <c r="L1021" s="13">
        <v>184</v>
      </c>
      <c r="M1021" t="str">
        <f>VLOOKUP(L1021,[1]Mouse_ARA!$B$2:$C$1328,2,FALSE)</f>
        <v>FRP</v>
      </c>
    </row>
    <row r="1022" spans="2:13" x14ac:dyDescent="0.25">
      <c r="B1022" s="31" t="s">
        <v>25743</v>
      </c>
      <c r="C1022" s="20"/>
      <c r="D1022" s="25" t="s">
        <v>25941</v>
      </c>
      <c r="E1022" s="25"/>
      <c r="F1022" s="9" t="str">
        <f>HYPERLINK("https://www.ebi.ac.uk/ols/ontologies/uberon/terms?iri=http://purl.obolibrary.org/obo/UBERON_0014639","frontal sulcus")</f>
        <v>frontal sulcus</v>
      </c>
      <c r="G1022" s="9" t="s">
        <v>2032</v>
      </c>
      <c r="H1022" s="9" t="s">
        <v>25519</v>
      </c>
      <c r="I1022" s="9" t="s">
        <v>2033</v>
      </c>
      <c r="J1022" s="9" t="s">
        <v>2034</v>
      </c>
      <c r="K1022" s="7" t="s">
        <v>15171</v>
      </c>
      <c r="L1022" s="13">
        <v>9354</v>
      </c>
      <c r="M1022" t="str">
        <f>VLOOKUP(L1022,[1]HBA!$B$2:$C$4000,2,FALSE)</f>
        <v>FLs</v>
      </c>
    </row>
    <row r="1023" spans="2:13" x14ac:dyDescent="0.25">
      <c r="B1023" s="31" t="s">
        <v>25743</v>
      </c>
      <c r="C1023" s="20"/>
      <c r="D1023" s="25" t="s">
        <v>2036</v>
      </c>
      <c r="E1023" s="25"/>
      <c r="F1023" s="9" t="str">
        <f>HYPERLINK("https://www.ebi.ac.uk/ols/ontologies/uberon/terms?iri=http://purl.obolibrary.org/obo/UBERON_0002799","fronto-orbital sulcus")</f>
        <v>fronto-orbital sulcus</v>
      </c>
      <c r="G1023" s="9" t="s">
        <v>2035</v>
      </c>
      <c r="H1023" s="9" t="s">
        <v>25522</v>
      </c>
      <c r="I1023" s="9" t="s">
        <v>2036</v>
      </c>
      <c r="J1023" s="9" t="s">
        <v>2037</v>
      </c>
      <c r="K1023" s="7" t="s">
        <v>15171</v>
      </c>
      <c r="L1023" s="13">
        <v>9362</v>
      </c>
      <c r="M1023" t="str">
        <f>VLOOKUP(L1023,[1]HBA!$B$2:$C$4000,2,FALSE)</f>
        <v>fros</v>
      </c>
    </row>
    <row r="1024" spans="2:13" x14ac:dyDescent="0.25">
      <c r="B1024" s="31" t="s">
        <v>25743</v>
      </c>
      <c r="C1024" s="20"/>
      <c r="D1024" s="25" t="s">
        <v>2039</v>
      </c>
      <c r="E1024" s="25"/>
      <c r="F1024" s="9" t="str">
        <f>HYPERLINK("https://www.ebi.ac.uk/ols/ontologies/uberon/terms?iri=http://purl.obolibrary.org/obo/UBERON_0014544","frontomarginal sulcus")</f>
        <v>frontomarginal sulcus</v>
      </c>
      <c r="G1024" s="9" t="s">
        <v>2038</v>
      </c>
      <c r="H1024" s="9" t="s">
        <v>23738</v>
      </c>
      <c r="I1024" s="9" t="s">
        <v>2039</v>
      </c>
      <c r="J1024" s="9" t="s">
        <v>2040</v>
      </c>
      <c r="K1024" s="4" t="s">
        <v>15175</v>
      </c>
      <c r="L1024" s="13">
        <v>146034792</v>
      </c>
      <c r="M1024" t="str">
        <f>VLOOKUP(L1024,[1]Human_BrainSpan!$B$2:$C$4000,2,FALSE)</f>
        <v>fms</v>
      </c>
    </row>
    <row r="1025" spans="2:13" x14ac:dyDescent="0.25">
      <c r="B1025" s="31" t="s">
        <v>25743</v>
      </c>
      <c r="C1025" s="20"/>
      <c r="D1025" s="25" t="s">
        <v>2039</v>
      </c>
      <c r="E1025" s="25"/>
      <c r="F1025" s="9" t="str">
        <f>HYPERLINK("https://www.ebi.ac.uk/ols/ontologies/uberon/terms?iri=http://purl.obolibrary.org/obo/UBERON_0014544","frontomarginal sulcus")</f>
        <v>frontomarginal sulcus</v>
      </c>
      <c r="G1025" s="9" t="s">
        <v>2038</v>
      </c>
      <c r="H1025" s="9" t="s">
        <v>23738</v>
      </c>
      <c r="I1025" s="9" t="s">
        <v>2039</v>
      </c>
      <c r="J1025" s="9" t="s">
        <v>2041</v>
      </c>
      <c r="K1025" s="7" t="s">
        <v>15171</v>
      </c>
      <c r="L1025" s="13">
        <v>9363</v>
      </c>
      <c r="M1025" t="str">
        <f>VLOOKUP(L1025,[1]HBA!$B$2:$C$4000,2,FALSE)</f>
        <v>fms</v>
      </c>
    </row>
    <row r="1026" spans="2:13" x14ac:dyDescent="0.25">
      <c r="B1026" s="31" t="s">
        <v>25743</v>
      </c>
      <c r="C1026" s="9"/>
      <c r="D1026" s="25" t="s">
        <v>25942</v>
      </c>
      <c r="E1026" s="25"/>
      <c r="F1026" s="9" t="str">
        <f>HYPERLINK("https://www.ebi.ac.uk/ols/ontologies/uberon/terms?iri=http://purl.obolibrary.org/obo/UBERON_0014605","fundus striati")</f>
        <v>fundus striati</v>
      </c>
      <c r="G1026" s="9" t="s">
        <v>2042</v>
      </c>
      <c r="H1026" s="9" t="s">
        <v>19750</v>
      </c>
      <c r="I1026" s="9" t="s">
        <v>2043</v>
      </c>
      <c r="J1026" s="9" t="s">
        <v>2044</v>
      </c>
      <c r="K1026" s="3" t="s">
        <v>15176</v>
      </c>
      <c r="L1026" s="13">
        <v>998</v>
      </c>
      <c r="M1026" t="str">
        <f>VLOOKUP(L1026,[1]Mouse_ARA!$B$2:$C$1328,2,FALSE)</f>
        <v>FS</v>
      </c>
    </row>
    <row r="1027" spans="2:13" x14ac:dyDescent="0.25">
      <c r="B1027" s="31" t="s">
        <v>25743</v>
      </c>
      <c r="C1027" s="20"/>
      <c r="D1027" s="25" t="s">
        <v>2046</v>
      </c>
      <c r="E1027" s="25"/>
      <c r="F1027" s="9" t="str">
        <f>HYPERLINK("https://www.ebi.ac.uk/ols/ontologies/uberon/terms?iri=http://purl.obolibrary.org/obo/UBERON_0002766","fusiform gyrus")</f>
        <v>fusiform gyrus</v>
      </c>
      <c r="G1027" s="9" t="s">
        <v>2045</v>
      </c>
      <c r="H1027" s="9" t="s">
        <v>24825</v>
      </c>
      <c r="I1027" s="9" t="s">
        <v>2046</v>
      </c>
      <c r="J1027" s="9" t="s">
        <v>2047</v>
      </c>
      <c r="K1027" s="7" t="s">
        <v>15171</v>
      </c>
      <c r="L1027" s="13">
        <v>4156</v>
      </c>
      <c r="M1027" t="str">
        <f>VLOOKUP(L1027,[1]HBA!$B$2:$C$4000,2,FALSE)</f>
        <v>FuG</v>
      </c>
    </row>
    <row r="1028" spans="2:13" x14ac:dyDescent="0.25">
      <c r="B1028" s="31" t="s">
        <v>25743</v>
      </c>
      <c r="C1028" s="20"/>
      <c r="D1028" s="25" t="s">
        <v>25943</v>
      </c>
      <c r="E1028" s="25"/>
      <c r="F1028" s="9" t="str">
        <f>HYPERLINK("https://www.ebi.ac.uk/ols/ontologies/uberon/terms?iri=http://purl.obolibrary.org/obo/UBERON_0011175","fusiform nucleus of stria terminalis")</f>
        <v>fusiform nucleus of stria terminalis</v>
      </c>
      <c r="G1028" s="9" t="s">
        <v>2048</v>
      </c>
      <c r="H1028" s="9" t="s">
        <v>19847</v>
      </c>
      <c r="I1028" s="9" t="s">
        <v>2049</v>
      </c>
      <c r="J1028" s="9" t="s">
        <v>2050</v>
      </c>
      <c r="K1028" s="3" t="s">
        <v>15176</v>
      </c>
      <c r="L1028" s="13">
        <v>513</v>
      </c>
      <c r="M1028" t="str">
        <f>VLOOKUP(L1028,[1]Mouse_ARA!$B$2:$C$1328,2,FALSE)</f>
        <v>BSTfu</v>
      </c>
    </row>
    <row r="1029" spans="2:13" x14ac:dyDescent="0.25">
      <c r="B1029" s="31" t="s">
        <v>25743</v>
      </c>
      <c r="C1029" s="20"/>
      <c r="D1029" s="25" t="s">
        <v>25944</v>
      </c>
      <c r="E1029" s="25"/>
      <c r="F1029" s="9" t="str">
        <f>HYPERLINK("https://www.ebi.ac.uk/ols/ontologies/uberon/terms?iri=http://purl.obolibrary.org/obo/UBERON_0004023","ganglionic eminence")</f>
        <v>ganglionic eminence</v>
      </c>
      <c r="G1029" s="9" t="s">
        <v>2051</v>
      </c>
      <c r="H1029" s="9" t="s">
        <v>22020</v>
      </c>
      <c r="I1029" s="9" t="s">
        <v>2052</v>
      </c>
      <c r="J1029" s="9" t="s">
        <v>2053</v>
      </c>
      <c r="K1029" s="4" t="s">
        <v>15175</v>
      </c>
      <c r="L1029" s="13">
        <v>10549</v>
      </c>
      <c r="M1029" t="str">
        <f>VLOOKUP(L1029,[1]Human_BrainSpan!$B$2:$C$4000,2,FALSE)</f>
        <v>GE</v>
      </c>
    </row>
    <row r="1030" spans="2:13" x14ac:dyDescent="0.25">
      <c r="B1030" s="31" t="s">
        <v>25743</v>
      </c>
      <c r="C1030" s="20"/>
      <c r="D1030" s="25" t="s">
        <v>25944</v>
      </c>
      <c r="E1030" s="25"/>
      <c r="F1030" s="9" t="str">
        <f>HYPERLINK("https://www.ebi.ac.uk/ols/ontologies/uberon/terms?iri=http://purl.obolibrary.org/obo/UBERON_0004023","ganglionic eminence")</f>
        <v>ganglionic eminence</v>
      </c>
      <c r="G1030" s="9" t="s">
        <v>2051</v>
      </c>
      <c r="H1030" s="9" t="s">
        <v>22020</v>
      </c>
      <c r="I1030" s="9" t="s">
        <v>2054</v>
      </c>
      <c r="J1030" s="9" t="s">
        <v>2055</v>
      </c>
      <c r="K1030" s="6" t="s">
        <v>15174</v>
      </c>
      <c r="L1030" s="13">
        <v>128012818</v>
      </c>
      <c r="M1030" t="str">
        <f>VLOOKUP(L1030,[1]NonHumanPrimate!$B$2:$C$4000,2,FALSE)</f>
        <v>GE</v>
      </c>
    </row>
    <row r="1031" spans="2:13" x14ac:dyDescent="0.25">
      <c r="B1031" s="31" t="s">
        <v>25743</v>
      </c>
      <c r="C1031" s="20"/>
      <c r="D1031" s="25" t="s">
        <v>25945</v>
      </c>
      <c r="E1031" s="25"/>
      <c r="F1031" s="9" t="str">
        <f>HYPERLINK("https://www.ebi.ac.uk/ols/ontologies/uberon/terms?iri=http://purl.obolibrary.org/obo/UBERON_0009051","gelatinous nucleus of solitary tract")</f>
        <v>gelatinous nucleus of solitary tract</v>
      </c>
      <c r="G1031" s="9" t="s">
        <v>2056</v>
      </c>
      <c r="H1031" s="9" t="s">
        <v>20423</v>
      </c>
      <c r="I1031" s="9" t="s">
        <v>2057</v>
      </c>
      <c r="J1031" s="9" t="s">
        <v>2058</v>
      </c>
      <c r="K1031" s="3" t="s">
        <v>15176</v>
      </c>
      <c r="L1031" s="13">
        <v>674</v>
      </c>
      <c r="M1031" t="str">
        <f>VLOOKUP(L1031,[1]Mouse_ARA!$B$2:$C$1328,2,FALSE)</f>
        <v>NTSge</v>
      </c>
    </row>
    <row r="1032" spans="2:13" x14ac:dyDescent="0.25">
      <c r="B1032" s="31" t="s">
        <v>25743</v>
      </c>
      <c r="C1032" s="20"/>
      <c r="D1032" s="25" t="s">
        <v>2060</v>
      </c>
      <c r="E1032" s="25"/>
      <c r="F1032" s="9" t="str">
        <f>HYPERLINK("https://www.ebi.ac.uk/ols/ontologies/uberon/terms?iri=http://purl.obolibrary.org/obo/UBERON_0015599","genu of corpus callosum")</f>
        <v>genu of corpus callosum</v>
      </c>
      <c r="G1032" s="9" t="s">
        <v>2059</v>
      </c>
      <c r="H1032" s="9" t="s">
        <v>20821</v>
      </c>
      <c r="I1032" s="9" t="s">
        <v>2060</v>
      </c>
      <c r="J1032" s="9" t="s">
        <v>2061</v>
      </c>
      <c r="K1032" s="4" t="s">
        <v>15175</v>
      </c>
      <c r="L1032" s="13">
        <v>10563</v>
      </c>
      <c r="M1032" t="str">
        <f>VLOOKUP(L1032,[1]Human_BrainSpan!$B$2:$C$4000,2,FALSE)</f>
        <v>ccg</v>
      </c>
    </row>
    <row r="1033" spans="2:13" x14ac:dyDescent="0.25">
      <c r="B1033" s="31" t="s">
        <v>25743</v>
      </c>
      <c r="C1033" s="20"/>
      <c r="D1033" s="25" t="s">
        <v>2060</v>
      </c>
      <c r="E1033" s="25"/>
      <c r="F1033" s="9" t="str">
        <f>HYPERLINK("https://www.ebi.ac.uk/ols/ontologies/uberon/terms?iri=http://purl.obolibrary.org/obo/UBERON_0015599","genu of corpus callosum")</f>
        <v>genu of corpus callosum</v>
      </c>
      <c r="G1033" s="9" t="s">
        <v>2059</v>
      </c>
      <c r="H1033" s="9" t="s">
        <v>25477</v>
      </c>
      <c r="I1033" s="9" t="s">
        <v>2062</v>
      </c>
      <c r="J1033" s="9" t="s">
        <v>2063</v>
      </c>
      <c r="K1033" s="7" t="s">
        <v>15171</v>
      </c>
      <c r="L1033" s="13">
        <v>9223</v>
      </c>
      <c r="M1033" t="str">
        <f>VLOOKUP(L1033,[1]HBA!$B$2:$C$4000,2,FALSE)</f>
        <v>gcc</v>
      </c>
    </row>
    <row r="1034" spans="2:13" x14ac:dyDescent="0.25">
      <c r="B1034" s="31" t="s">
        <v>25743</v>
      </c>
      <c r="C1034" s="20"/>
      <c r="D1034" s="25" t="s">
        <v>2060</v>
      </c>
      <c r="E1034" s="25"/>
      <c r="F1034" s="9" t="str">
        <f>HYPERLINK("https://www.ebi.ac.uk/ols/ontologies/uberon/terms?iri=http://purl.obolibrary.org/obo/UBERON_0015599","genu of corpus callosum")</f>
        <v>genu of corpus callosum</v>
      </c>
      <c r="G1034" s="9" t="s">
        <v>2059</v>
      </c>
      <c r="H1034" s="9" t="s">
        <v>20821</v>
      </c>
      <c r="I1034" s="9" t="s">
        <v>2060</v>
      </c>
      <c r="J1034" s="9" t="s">
        <v>2064</v>
      </c>
      <c r="K1034" s="3" t="s">
        <v>15176</v>
      </c>
      <c r="L1034" s="13">
        <v>1108</v>
      </c>
      <c r="M1034" t="str">
        <f>VLOOKUP(L1034,[1]Mouse_ARA!$B$2:$C$1328,2,FALSE)</f>
        <v>ccg</v>
      </c>
    </row>
    <row r="1035" spans="2:13" x14ac:dyDescent="0.25">
      <c r="B1035" s="31" t="s">
        <v>25743</v>
      </c>
      <c r="C1035" s="20"/>
      <c r="D1035" s="25" t="s">
        <v>25946</v>
      </c>
      <c r="E1035" s="25"/>
      <c r="F1035" s="9" t="str">
        <f>HYPERLINK("https://www.ebi.ac.uk/ols/ontologies/uberon/terms?iri=http://purl.obolibrary.org/obo/UBERON_0014915","genu of facial nerve")</f>
        <v>genu of facial nerve</v>
      </c>
      <c r="G1035" s="9" t="s">
        <v>2065</v>
      </c>
      <c r="H1035" s="9" t="s">
        <v>24607</v>
      </c>
      <c r="I1035" s="9" t="s">
        <v>2066</v>
      </c>
      <c r="J1035" s="9" t="s">
        <v>2067</v>
      </c>
      <c r="K1035" s="4" t="s">
        <v>15175</v>
      </c>
      <c r="L1035" s="13">
        <v>12738</v>
      </c>
      <c r="M1035" t="str">
        <f>VLOOKUP(L1035,[1]Human_BrainSpan!$B$2:$C$4000,2,FALSE)</f>
        <v>g7</v>
      </c>
    </row>
    <row r="1036" spans="2:13" x14ac:dyDescent="0.25">
      <c r="B1036" s="31" t="s">
        <v>25743</v>
      </c>
      <c r="C1036" s="20"/>
      <c r="D1036" s="25" t="s">
        <v>25946</v>
      </c>
      <c r="E1036" s="25"/>
      <c r="F1036" s="9" t="str">
        <f>HYPERLINK("https://www.ebi.ac.uk/ols/ontologies/uberon/terms?iri=http://purl.obolibrary.org/obo/UBERON_0014915","genu of facial nerve")</f>
        <v>genu of facial nerve</v>
      </c>
      <c r="G1036" s="9" t="s">
        <v>2065</v>
      </c>
      <c r="H1036" s="9" t="s">
        <v>20751</v>
      </c>
      <c r="I1036" s="9" t="s">
        <v>2066</v>
      </c>
      <c r="J1036" s="9" t="s">
        <v>2068</v>
      </c>
      <c r="K1036" s="3" t="s">
        <v>15176</v>
      </c>
      <c r="L1036" s="13">
        <v>1116</v>
      </c>
      <c r="M1036" t="str">
        <f>VLOOKUP(L1036,[1]Mouse_ARA!$B$2:$C$1328,2,FALSE)</f>
        <v>gVIIn</v>
      </c>
    </row>
    <row r="1037" spans="2:13" x14ac:dyDescent="0.25">
      <c r="B1037" s="31" t="s">
        <v>25743</v>
      </c>
      <c r="C1037" s="20"/>
      <c r="D1037" s="25" t="s">
        <v>25947</v>
      </c>
      <c r="E1037" s="25"/>
      <c r="F1037" s="9" t="str">
        <f>HYPERLINK("https://www.ebi.ac.uk/ols/ontologies/uberon/terms?iri=http://purl.obolibrary.org/obo/UBERON_0002155","gigantocellular nucleus")</f>
        <v>gigantocellular nucleus</v>
      </c>
      <c r="G1037" s="9" t="s">
        <v>2069</v>
      </c>
      <c r="H1037" s="9" t="s">
        <v>24452</v>
      </c>
      <c r="I1037" s="9" t="s">
        <v>2070</v>
      </c>
      <c r="J1037" s="9" t="s">
        <v>2071</v>
      </c>
      <c r="K1037" s="4" t="s">
        <v>15175</v>
      </c>
      <c r="L1037" s="13">
        <v>12625</v>
      </c>
      <c r="M1037" t="str">
        <f>VLOOKUP(L1037,[1]Human_BrainSpan!$B$2:$C$4000,2,FALSE)</f>
        <v>GiRt</v>
      </c>
    </row>
    <row r="1038" spans="2:13" x14ac:dyDescent="0.25">
      <c r="B1038" s="31" t="s">
        <v>25743</v>
      </c>
      <c r="C1038" s="20"/>
      <c r="D1038" s="25" t="s">
        <v>25947</v>
      </c>
      <c r="E1038" s="25"/>
      <c r="F1038" s="9" t="str">
        <f>HYPERLINK("https://www.ebi.ac.uk/ols/ontologies/uberon/terms?iri=http://purl.obolibrary.org/obo/UBERON_0002155","gigantocellular nucleus")</f>
        <v>gigantocellular nucleus</v>
      </c>
      <c r="G1038" s="9" t="s">
        <v>2069</v>
      </c>
      <c r="H1038" s="9" t="s">
        <v>24452</v>
      </c>
      <c r="I1038" s="9" t="s">
        <v>2072</v>
      </c>
      <c r="J1038" s="9" t="s">
        <v>2073</v>
      </c>
      <c r="K1038" s="7" t="s">
        <v>15171</v>
      </c>
      <c r="L1038" s="13">
        <v>9597</v>
      </c>
      <c r="M1038" t="str">
        <f>VLOOKUP(L1038,[1]HBA!$B$2:$C$4000,2,FALSE)</f>
        <v>GiRt</v>
      </c>
    </row>
    <row r="1039" spans="2:13" x14ac:dyDescent="0.25">
      <c r="B1039" s="31" t="s">
        <v>25743</v>
      </c>
      <c r="C1039" s="20"/>
      <c r="D1039" s="25" t="s">
        <v>25947</v>
      </c>
      <c r="E1039" s="25"/>
      <c r="F1039" s="9" t="str">
        <f>HYPERLINK("https://www.ebi.ac.uk/ols/ontologies/uberon/terms?iri=http://purl.obolibrary.org/obo/UBERON_0002155","gigantocellular nucleus")</f>
        <v>gigantocellular nucleus</v>
      </c>
      <c r="G1039" s="9" t="s">
        <v>2069</v>
      </c>
      <c r="H1039" s="9" t="s">
        <v>25459</v>
      </c>
      <c r="I1039" s="9" t="s">
        <v>2074</v>
      </c>
      <c r="J1039" s="9" t="s">
        <v>2075</v>
      </c>
      <c r="K1039" s="7" t="s">
        <v>15171</v>
      </c>
      <c r="L1039" s="13">
        <v>9602</v>
      </c>
      <c r="M1039" t="str">
        <f>VLOOKUP(L1039,[1]HBA!$B$2:$C$4000,2,FALSE)</f>
        <v>Gi</v>
      </c>
    </row>
    <row r="1040" spans="2:13" x14ac:dyDescent="0.25">
      <c r="B1040" s="31" t="s">
        <v>25743</v>
      </c>
      <c r="C1040" s="20"/>
      <c r="D1040" s="25" t="s">
        <v>25947</v>
      </c>
      <c r="E1040" s="25"/>
      <c r="F1040" s="9" t="str">
        <f>HYPERLINK("https://www.ebi.ac.uk/ols/ontologies/uberon/terms?iri=http://purl.obolibrary.org/obo/UBERON_0002155","gigantocellular nucleus")</f>
        <v>gigantocellular nucleus</v>
      </c>
      <c r="G1040" s="9" t="s">
        <v>2069</v>
      </c>
      <c r="H1040" s="9" t="s">
        <v>20470</v>
      </c>
      <c r="I1040" s="9" t="s">
        <v>2076</v>
      </c>
      <c r="J1040" s="9" t="s">
        <v>2077</v>
      </c>
      <c r="K1040" s="3" t="s">
        <v>15176</v>
      </c>
      <c r="L1040" s="13">
        <v>1048</v>
      </c>
      <c r="M1040" t="str">
        <f>VLOOKUP(L1040,[1]Mouse_ARA!$B$2:$C$1328,2,FALSE)</f>
        <v>GRN</v>
      </c>
    </row>
    <row r="1041" spans="2:13" x14ac:dyDescent="0.25">
      <c r="B1041" s="31" t="s">
        <v>26302</v>
      </c>
      <c r="C1041" s="25" t="s">
        <v>2079</v>
      </c>
      <c r="D1041" s="25" t="s">
        <v>25948</v>
      </c>
      <c r="E1041" s="25"/>
      <c r="F1041" s="9" t="str">
        <f>HYPERLINK("https://www.ebi.ac.uk/ols/ontologies/uberon/terms?iri=http://purl.obolibrary.org/obo/UBERON_0003296","gland of diencephalon")</f>
        <v>gland of diencephalon</v>
      </c>
      <c r="G1041" s="9" t="s">
        <v>2078</v>
      </c>
      <c r="H1041" s="9" t="s">
        <v>16611</v>
      </c>
      <c r="I1041" s="9" t="s">
        <v>2079</v>
      </c>
      <c r="J1041" s="9" t="s">
        <v>2080</v>
      </c>
      <c r="K1041" s="5" t="s">
        <v>15173</v>
      </c>
      <c r="L1041" s="13">
        <v>16514</v>
      </c>
      <c r="M1041" t="str">
        <f>VLOOKUP(L1041,[1]DevMouse!$B$2:$C$2693,2,FALSE)</f>
        <v>SCO</v>
      </c>
    </row>
    <row r="1042" spans="2:13" x14ac:dyDescent="0.25">
      <c r="B1042" s="31" t="s">
        <v>25743</v>
      </c>
      <c r="C1042" s="20"/>
      <c r="D1042" s="25" t="s">
        <v>2082</v>
      </c>
      <c r="E1042" s="25"/>
      <c r="F1042" s="9" t="str">
        <f>HYPERLINK("https://www.ebi.ac.uk/ols/ontologies/uberon/terms?iri=http://purl.obolibrary.org/obo/UBERON_0001875","globus pallidus")</f>
        <v>globus pallidus</v>
      </c>
      <c r="G1042" s="9" t="s">
        <v>2081</v>
      </c>
      <c r="H1042" s="9" t="s">
        <v>23267</v>
      </c>
      <c r="I1042" s="9" t="s">
        <v>2082</v>
      </c>
      <c r="J1042" s="9" t="s">
        <v>2083</v>
      </c>
      <c r="K1042" s="4" t="s">
        <v>15175</v>
      </c>
      <c r="L1042" s="13">
        <v>10342</v>
      </c>
      <c r="M1042" t="str">
        <f>VLOOKUP(L1042,[1]Human_BrainSpan!$B$2:$C$4000,2,FALSE)</f>
        <v>GP</v>
      </c>
    </row>
    <row r="1043" spans="2:13" x14ac:dyDescent="0.25">
      <c r="B1043" s="31" t="s">
        <v>25743</v>
      </c>
      <c r="C1043" s="20"/>
      <c r="D1043" s="25" t="s">
        <v>2082</v>
      </c>
      <c r="E1043" s="25"/>
      <c r="F1043" s="9" t="str">
        <f>HYPERLINK("https://www.ebi.ac.uk/ols/ontologies/uberon/terms?iri=http://purl.obolibrary.org/obo/UBERON_0001875","globus pallidus")</f>
        <v>globus pallidus</v>
      </c>
      <c r="G1043" s="9" t="s">
        <v>2081</v>
      </c>
      <c r="H1043" s="9" t="s">
        <v>23267</v>
      </c>
      <c r="I1043" s="9" t="s">
        <v>2082</v>
      </c>
      <c r="J1043" s="9" t="s">
        <v>2084</v>
      </c>
      <c r="K1043" s="7" t="s">
        <v>15171</v>
      </c>
      <c r="L1043" s="13">
        <v>4293</v>
      </c>
      <c r="M1043" t="str">
        <f>VLOOKUP(L1043,[1]HBA!$B$2:$C$4000,2,FALSE)</f>
        <v>GP</v>
      </c>
    </row>
    <row r="1044" spans="2:13" x14ac:dyDescent="0.25">
      <c r="B1044" s="31" t="s">
        <v>25743</v>
      </c>
      <c r="C1044" s="20"/>
      <c r="D1044" s="25" t="s">
        <v>2082</v>
      </c>
      <c r="E1044" s="25"/>
      <c r="F1044" s="9" t="str">
        <f>HYPERLINK("https://www.ebi.ac.uk/ols/ontologies/uberon/terms?iri=http://purl.obolibrary.org/obo/UBERON_0001875","globus pallidus")</f>
        <v>globus pallidus</v>
      </c>
      <c r="G1044" s="9" t="s">
        <v>2081</v>
      </c>
      <c r="H1044" s="9" t="s">
        <v>23267</v>
      </c>
      <c r="I1044" s="9" t="s">
        <v>2082</v>
      </c>
      <c r="J1044" s="9" t="s">
        <v>2085</v>
      </c>
      <c r="K1044" s="6" t="s">
        <v>15174</v>
      </c>
      <c r="L1044" s="13">
        <v>10097</v>
      </c>
      <c r="M1044" t="str">
        <f>VLOOKUP(L1044,[1]NonHumanPrimate!$B$2:$C$4000,2,FALSE)</f>
        <v>GP</v>
      </c>
    </row>
    <row r="1045" spans="2:13" x14ac:dyDescent="0.25">
      <c r="B1045" s="31" t="s">
        <v>25743</v>
      </c>
      <c r="C1045" s="20"/>
      <c r="D1045" s="25" t="s">
        <v>2087</v>
      </c>
      <c r="E1045" s="25"/>
      <c r="F1045" s="9" t="str">
        <f>HYPERLINK("https://www.ebi.ac.uk/ols/ontologies/uberon/terms?iri=http://purl.obolibrary.org/obo/UBERON_0001649","glossopharyngeal nerve")</f>
        <v>glossopharyngeal nerve</v>
      </c>
      <c r="G1045" s="9" t="s">
        <v>2086</v>
      </c>
      <c r="H1045" s="9" t="s">
        <v>18430</v>
      </c>
      <c r="I1045" s="9" t="s">
        <v>2087</v>
      </c>
      <c r="J1045" s="9" t="s">
        <v>2088</v>
      </c>
      <c r="K1045" s="7" t="s">
        <v>15171</v>
      </c>
      <c r="L1045" s="13">
        <v>9334</v>
      </c>
      <c r="M1045" t="str">
        <f>VLOOKUP(L1045,[1]HBA!$B$2:$C$4000,2,FALSE)</f>
        <v>9n</v>
      </c>
    </row>
    <row r="1046" spans="2:13" x14ac:dyDescent="0.25">
      <c r="B1046" s="31" t="s">
        <v>25743</v>
      </c>
      <c r="C1046" s="20"/>
      <c r="D1046" s="25" t="s">
        <v>2087</v>
      </c>
      <c r="E1046" s="25"/>
      <c r="F1046" s="9" t="str">
        <f>HYPERLINK("https://www.ebi.ac.uk/ols/ontologies/uberon/terms?iri=http://purl.obolibrary.org/obo/UBERON_0001649","glossopharyngeal nerve")</f>
        <v>glossopharyngeal nerve</v>
      </c>
      <c r="G1046" s="9" t="s">
        <v>2086</v>
      </c>
      <c r="H1046" s="9" t="s">
        <v>20760</v>
      </c>
      <c r="I1046" s="9" t="s">
        <v>2087</v>
      </c>
      <c r="J1046" s="9" t="s">
        <v>2089</v>
      </c>
      <c r="K1046" s="3" t="s">
        <v>15176</v>
      </c>
      <c r="L1046" s="13">
        <v>808</v>
      </c>
      <c r="M1046" t="str">
        <f>VLOOKUP(L1046,[1]Mouse_ARA!$B$2:$C$1328,2,FALSE)</f>
        <v>IXn</v>
      </c>
    </row>
    <row r="1047" spans="2:13" x14ac:dyDescent="0.25">
      <c r="B1047" s="31" t="s">
        <v>25743</v>
      </c>
      <c r="C1047" s="20"/>
      <c r="D1047" s="25" t="s">
        <v>2093</v>
      </c>
      <c r="E1047" s="25"/>
      <c r="F1047" s="9" t="str">
        <f>HYPERLINK("https://www.ebi.ac.uk/ols/ontologies/uberon/terms?iri=http://purl.obolibrary.org/obo/UBERON_0019310","glossopharyngeal nerve root")</f>
        <v>glossopharyngeal nerve root</v>
      </c>
      <c r="G1047" s="9" t="s">
        <v>2090</v>
      </c>
      <c r="H1047" s="9" t="s">
        <v>18086</v>
      </c>
      <c r="I1047" s="9" t="s">
        <v>2091</v>
      </c>
      <c r="J1047" s="9" t="s">
        <v>2092</v>
      </c>
      <c r="K1047" s="4" t="s">
        <v>15175</v>
      </c>
      <c r="L1047" s="13">
        <v>12887</v>
      </c>
      <c r="M1047" t="str">
        <f>VLOOKUP(L1047,[1]Human_BrainSpan!$B$2:$C$4000,2,FALSE)</f>
        <v>r9</v>
      </c>
    </row>
    <row r="1048" spans="2:13" x14ac:dyDescent="0.25">
      <c r="B1048" s="31" t="s">
        <v>25743</v>
      </c>
      <c r="C1048" s="20"/>
      <c r="D1048" s="25" t="s">
        <v>2093</v>
      </c>
      <c r="E1048" s="25"/>
      <c r="F1048" s="9" t="str">
        <f>HYPERLINK("https://www.ebi.ac.uk/ols/ontologies/uberon/terms?iri=http://purl.obolibrary.org/obo/UBERON_0019310","glossopharyngeal nerve root")</f>
        <v>glossopharyngeal nerve root</v>
      </c>
      <c r="G1048" s="9" t="s">
        <v>2090</v>
      </c>
      <c r="H1048" s="9" t="s">
        <v>18430</v>
      </c>
      <c r="I1048" s="9" t="s">
        <v>2093</v>
      </c>
      <c r="J1048" s="9" t="s">
        <v>2094</v>
      </c>
      <c r="K1048" s="5" t="s">
        <v>15173</v>
      </c>
      <c r="L1048" s="13">
        <v>17747</v>
      </c>
      <c r="M1048" t="str">
        <f>VLOOKUP(L1048,[1]DevMouse!$B$2:$C$2693,2,FALSE)</f>
        <v>9n</v>
      </c>
    </row>
    <row r="1049" spans="2:13" x14ac:dyDescent="0.25">
      <c r="B1049" s="31" t="s">
        <v>25743</v>
      </c>
      <c r="C1049" s="20"/>
      <c r="D1049" s="25" t="s">
        <v>1826</v>
      </c>
      <c r="E1049" s="25"/>
      <c r="F1049" s="9" t="str">
        <f>HYPERLINK("https://www.ebi.ac.uk/ols/ontologies/uberon/terms?iri=http://purl.obolibrary.org/obo/UBERON_0005821","gracile fasciculus")</f>
        <v>gracile fasciculus</v>
      </c>
      <c r="G1049" s="9" t="s">
        <v>2095</v>
      </c>
      <c r="H1049" s="9" t="s">
        <v>24608</v>
      </c>
      <c r="I1049" s="9" t="s">
        <v>1826</v>
      </c>
      <c r="J1049" s="9" t="s">
        <v>1827</v>
      </c>
      <c r="K1049" s="4" t="s">
        <v>15175</v>
      </c>
      <c r="L1049" s="13">
        <v>12739</v>
      </c>
      <c r="M1049" t="str">
        <f>VLOOKUP(L1049,[1]Human_BrainSpan!$B$2:$C$4000,2,FALSE)</f>
        <v>gr</v>
      </c>
    </row>
    <row r="1050" spans="2:13" x14ac:dyDescent="0.25">
      <c r="B1050" s="31" t="s">
        <v>25743</v>
      </c>
      <c r="C1050" s="20"/>
      <c r="D1050" s="25" t="s">
        <v>1826</v>
      </c>
      <c r="E1050" s="25"/>
      <c r="F1050" s="9" t="str">
        <f>HYPERLINK("https://www.ebi.ac.uk/ols/ontologies/uberon/terms?iri=http://purl.obolibrary.org/obo/UBERON_0005821","gracile fasciculus")</f>
        <v>gracile fasciculus</v>
      </c>
      <c r="G1050" s="9" t="s">
        <v>2095</v>
      </c>
      <c r="H1050" s="9" t="s">
        <v>24608</v>
      </c>
      <c r="I1050" s="9" t="s">
        <v>1826</v>
      </c>
      <c r="J1050" s="9" t="s">
        <v>1828</v>
      </c>
      <c r="K1050" s="7" t="s">
        <v>15171</v>
      </c>
      <c r="L1050" s="13">
        <v>265505586</v>
      </c>
      <c r="M1050" t="str">
        <f>VLOOKUP(L1050,[1]HBA!$B$2:$C$4000,2,FALSE)</f>
        <v>gr</v>
      </c>
    </row>
    <row r="1051" spans="2:13" x14ac:dyDescent="0.25">
      <c r="B1051" s="31" t="s">
        <v>25743</v>
      </c>
      <c r="C1051" s="20"/>
      <c r="D1051" s="25" t="s">
        <v>1826</v>
      </c>
      <c r="E1051" s="25"/>
      <c r="F1051" s="9" t="str">
        <f>HYPERLINK("https://www.ebi.ac.uk/ols/ontologies/uberon/terms?iri=http://purl.obolibrary.org/obo/UBERON_0005821","gracile fasciculus")</f>
        <v>gracile fasciculus</v>
      </c>
      <c r="G1051" s="9" t="s">
        <v>2095</v>
      </c>
      <c r="H1051" s="9" t="s">
        <v>20779</v>
      </c>
      <c r="I1051" s="9" t="s">
        <v>1829</v>
      </c>
      <c r="J1051" s="9" t="s">
        <v>1830</v>
      </c>
      <c r="K1051" s="3" t="s">
        <v>15176</v>
      </c>
      <c r="L1051" s="13">
        <v>388</v>
      </c>
      <c r="M1051" t="str">
        <f>VLOOKUP(L1051,[1]Mouse_ARA!$B$2:$C$1328,2,FALSE)</f>
        <v>grf</v>
      </c>
    </row>
    <row r="1052" spans="2:13" x14ac:dyDescent="0.25">
      <c r="B1052" s="31" t="s">
        <v>26303</v>
      </c>
      <c r="C1052" s="25" t="s">
        <v>1826</v>
      </c>
      <c r="D1052" s="25" t="s">
        <v>25949</v>
      </c>
      <c r="E1052" s="25"/>
      <c r="F1052" s="9" t="str">
        <f>HYPERLINK("https://www.ebi.ac.uk/ols/ontologies/uberon/terms?iri=http://purl.obolibrary.org/obo/UBERON_0005826","gracile fasciculus of spinal cord")</f>
        <v>gracile fasciculus of spinal cord</v>
      </c>
      <c r="G1052" s="9" t="s">
        <v>2096</v>
      </c>
      <c r="H1052" s="9" t="s">
        <v>20779</v>
      </c>
      <c r="I1052" s="9" t="s">
        <v>1829</v>
      </c>
      <c r="J1052" s="9" t="s">
        <v>1830</v>
      </c>
      <c r="K1052" s="3" t="s">
        <v>15176</v>
      </c>
      <c r="L1052" s="13">
        <v>388</v>
      </c>
      <c r="M1052" t="str">
        <f>VLOOKUP(L1052,[1]Mouse_ARA!$B$2:$C$1328,2,FALSE)</f>
        <v>grf</v>
      </c>
    </row>
    <row r="1053" spans="2:13" x14ac:dyDescent="0.25">
      <c r="B1053" s="31" t="s">
        <v>25743</v>
      </c>
      <c r="C1053" s="20"/>
      <c r="D1053" s="25" t="s">
        <v>2098</v>
      </c>
      <c r="E1053" s="25"/>
      <c r="F1053" s="9" t="str">
        <f>HYPERLINK("https://www.ebi.ac.uk/ols/ontologies/uberon/terms?iri=http://purl.obolibrary.org/obo/UBERON_0002161","gracile nucleus")</f>
        <v>gracile nucleus</v>
      </c>
      <c r="G1053" s="9" t="s">
        <v>2097</v>
      </c>
      <c r="H1053" s="9" t="s">
        <v>24424</v>
      </c>
      <c r="I1053" s="9" t="s">
        <v>2098</v>
      </c>
      <c r="J1053" s="9" t="s">
        <v>2099</v>
      </c>
      <c r="K1053" s="4" t="s">
        <v>15175</v>
      </c>
      <c r="L1053" s="13">
        <v>12592</v>
      </c>
      <c r="M1053" t="str">
        <f>VLOOKUP(L1053,[1]Human_BrainSpan!$B$2:$C$4000,2,FALSE)</f>
        <v>Gr</v>
      </c>
    </row>
    <row r="1054" spans="2:13" x14ac:dyDescent="0.25">
      <c r="B1054" s="31" t="s">
        <v>25743</v>
      </c>
      <c r="C1054" s="20"/>
      <c r="D1054" s="25" t="s">
        <v>2098</v>
      </c>
      <c r="E1054" s="25"/>
      <c r="F1054" s="9" t="str">
        <f>HYPERLINK("https://www.ebi.ac.uk/ols/ontologies/uberon/terms?iri=http://purl.obolibrary.org/obo/UBERON_0002161","gracile nucleus")</f>
        <v>gracile nucleus</v>
      </c>
      <c r="G1054" s="9" t="s">
        <v>2097</v>
      </c>
      <c r="H1054" s="9" t="s">
        <v>24424</v>
      </c>
      <c r="I1054" s="9" t="s">
        <v>2098</v>
      </c>
      <c r="J1054" s="9" t="s">
        <v>2100</v>
      </c>
      <c r="K1054" s="7" t="s">
        <v>15171</v>
      </c>
      <c r="L1054" s="13">
        <v>9554</v>
      </c>
      <c r="M1054" t="str">
        <f>VLOOKUP(L1054,[1]HBA!$B$2:$C$4000,2,FALSE)</f>
        <v>Gr</v>
      </c>
    </row>
    <row r="1055" spans="2:13" x14ac:dyDescent="0.25">
      <c r="B1055" s="31" t="s">
        <v>25743</v>
      </c>
      <c r="C1055" s="20"/>
      <c r="D1055" s="25" t="s">
        <v>2098</v>
      </c>
      <c r="E1055" s="25"/>
      <c r="F1055" s="9" t="str">
        <f>HYPERLINK("https://www.ebi.ac.uk/ols/ontologies/uberon/terms?iri=http://purl.obolibrary.org/obo/UBERON_0002161","gracile nucleus")</f>
        <v>gracile nucleus</v>
      </c>
      <c r="G1055" s="9" t="s">
        <v>2097</v>
      </c>
      <c r="H1055" s="9" t="s">
        <v>20411</v>
      </c>
      <c r="I1055" s="9" t="s">
        <v>2098</v>
      </c>
      <c r="J1055" s="9" t="s">
        <v>2101</v>
      </c>
      <c r="K1055" s="3" t="s">
        <v>15176</v>
      </c>
      <c r="L1055" s="13">
        <v>1039</v>
      </c>
      <c r="M1055" t="str">
        <f>VLOOKUP(L1055,[1]Mouse_ARA!$B$2:$C$1328,2,FALSE)</f>
        <v>GR</v>
      </c>
    </row>
    <row r="1056" spans="2:13" x14ac:dyDescent="0.25">
      <c r="B1056" s="31" t="s">
        <v>25743</v>
      </c>
      <c r="C1056" s="20"/>
      <c r="D1056" s="25" t="s">
        <v>2103</v>
      </c>
      <c r="E1056" s="25"/>
      <c r="F1056" s="9" t="str">
        <f>HYPERLINK("https://www.ebi.ac.uk/ols/ontologies/uberon/terms?iri=http://purl.obolibrary.org/obo/UBERON_0034892","granular insular cortex")</f>
        <v>granular insular cortex</v>
      </c>
      <c r="G1056" s="9" t="s">
        <v>2102</v>
      </c>
      <c r="H1056" s="9" t="s">
        <v>22771</v>
      </c>
      <c r="I1056" s="9" t="s">
        <v>2103</v>
      </c>
      <c r="J1056" s="9" t="s">
        <v>2104</v>
      </c>
      <c r="K1056" s="4" t="s">
        <v>15175</v>
      </c>
      <c r="L1056" s="13">
        <v>10290</v>
      </c>
      <c r="M1056" t="str">
        <f>VLOOKUP(L1056,[1]Human_BrainSpan!$B$2:$C$4000,2,FALSE)</f>
        <v>Ig</v>
      </c>
    </row>
    <row r="1057" spans="2:13" x14ac:dyDescent="0.25">
      <c r="B1057" s="37" t="s">
        <v>25743</v>
      </c>
      <c r="C1057" s="20"/>
      <c r="D1057" s="25" t="s">
        <v>25950</v>
      </c>
      <c r="E1057" s="25"/>
      <c r="F1057" s="9" t="str">
        <f>HYPERLINK("https://www.ebi.ac.uk/ols/ontologies/uberon/terms?iri=http://purl.obolibrary.org/obo/UBERON_0002956","granular layer of cerebellar cortex")</f>
        <v>granular layer of cerebellar cortex</v>
      </c>
      <c r="G1057" s="9" t="s">
        <v>2105</v>
      </c>
      <c r="H1057" s="9" t="s">
        <v>20556</v>
      </c>
      <c r="I1057" s="9" t="s">
        <v>2106</v>
      </c>
      <c r="J1057" s="9" t="s">
        <v>2107</v>
      </c>
      <c r="K1057" s="3" t="s">
        <v>15176</v>
      </c>
      <c r="L1057" s="13">
        <v>1143</v>
      </c>
      <c r="M1057" t="str">
        <f>VLOOKUP(L1057,[1]Mouse_ARA!$B$2:$C$1328,2,FALSE)</f>
        <v>CBXgr</v>
      </c>
    </row>
    <row r="1058" spans="2:13" x14ac:dyDescent="0.25">
      <c r="B1058" s="31" t="s">
        <v>26303</v>
      </c>
      <c r="C1058" s="25" t="s">
        <v>25812</v>
      </c>
      <c r="D1058" s="25" t="s">
        <v>621</v>
      </c>
      <c r="E1058" s="25"/>
      <c r="F1058" s="9" t="str">
        <f>HYPERLINK("https://www.ebi.ac.uk/ols/ontologies/uberon/terms?iri=http://purl.obolibrary.org/obo/UBERON_0002020","gray matter")</f>
        <v>gray matter</v>
      </c>
      <c r="G1058" s="9" t="s">
        <v>2108</v>
      </c>
      <c r="H1058" s="9" t="s">
        <v>24758</v>
      </c>
      <c r="I1058" s="9" t="s">
        <v>621</v>
      </c>
      <c r="J1058" s="9" t="s">
        <v>622</v>
      </c>
      <c r="K1058" s="7" t="s">
        <v>15171</v>
      </c>
      <c r="L1058" s="13">
        <v>4006</v>
      </c>
      <c r="M1058" t="str">
        <f>VLOOKUP(L1058,[1]HBA!$B$2:$C$4000,2,FALSE)</f>
        <v>GM</v>
      </c>
    </row>
    <row r="1059" spans="2:13" x14ac:dyDescent="0.25">
      <c r="B1059" s="31" t="s">
        <v>26303</v>
      </c>
      <c r="C1059" s="25" t="s">
        <v>2114</v>
      </c>
      <c r="D1059" s="25" t="s">
        <v>25951</v>
      </c>
      <c r="E1059" s="25"/>
      <c r="F1059" s="9" t="str">
        <f>HYPERLINK("https://www.ebi.ac.uk/ols/ontologies/uberon/terms?iri=http://purl.obolibrary.org/obo/UBERON_0019269","gray matter of diencephalon")</f>
        <v>gray matter of diencephalon</v>
      </c>
      <c r="G1059" s="9" t="s">
        <v>2109</v>
      </c>
      <c r="H1059" s="9" t="s">
        <v>16604</v>
      </c>
      <c r="I1059" s="9" t="s">
        <v>2110</v>
      </c>
      <c r="J1059" s="9" t="s">
        <v>2111</v>
      </c>
      <c r="K1059" s="5" t="s">
        <v>15173</v>
      </c>
      <c r="L1059" s="13">
        <v>16510</v>
      </c>
      <c r="M1059" t="str">
        <f>VLOOKUP(L1059,[1]DevMouse!$B$2:$C$2693,2,FALSE)</f>
        <v>Pt</v>
      </c>
    </row>
    <row r="1060" spans="2:13" x14ac:dyDescent="0.25">
      <c r="B1060" s="31" t="s">
        <v>26303</v>
      </c>
      <c r="C1060" s="25" t="s">
        <v>26113</v>
      </c>
      <c r="D1060" s="25" t="s">
        <v>25951</v>
      </c>
      <c r="E1060" s="25"/>
      <c r="F1060" s="9" t="str">
        <f>HYPERLINK("https://www.ebi.ac.uk/ols/ontologies/uberon/terms?iri=http://purl.obolibrary.org/obo/UBERON_0019269","gray matter of diencephalon")</f>
        <v>gray matter of diencephalon</v>
      </c>
      <c r="G1060" s="9" t="s">
        <v>2109</v>
      </c>
      <c r="H1060" s="9" t="s">
        <v>16858</v>
      </c>
      <c r="I1060" s="9" t="s">
        <v>2112</v>
      </c>
      <c r="J1060" s="9" t="s">
        <v>2113</v>
      </c>
      <c r="K1060" s="5" t="s">
        <v>15173</v>
      </c>
      <c r="L1060" s="13">
        <v>16633</v>
      </c>
      <c r="M1060" t="str">
        <f>VLOOKUP(L1060,[1]DevMouse!$B$2:$C$2693,2,FALSE)</f>
        <v>RPC</v>
      </c>
    </row>
    <row r="1061" spans="2:13" x14ac:dyDescent="0.25">
      <c r="B1061" s="31" t="s">
        <v>26303</v>
      </c>
      <c r="C1061" s="25" t="s">
        <v>2114</v>
      </c>
      <c r="D1061" s="25" t="s">
        <v>25951</v>
      </c>
      <c r="E1061" s="25"/>
      <c r="F1061" s="9" t="str">
        <f>HYPERLINK("https://www.ebi.ac.uk/ols/ontologies/uberon/terms?iri=http://purl.obolibrary.org/obo/UBERON_0019269","gray matter of diencephalon")</f>
        <v>gray matter of diencephalon</v>
      </c>
      <c r="G1061" s="9" t="s">
        <v>2109</v>
      </c>
      <c r="H1061" s="9" t="s">
        <v>20229</v>
      </c>
      <c r="I1061" s="9" t="s">
        <v>2114</v>
      </c>
      <c r="J1061" s="9" t="s">
        <v>2115</v>
      </c>
      <c r="K1061" s="3" t="s">
        <v>15176</v>
      </c>
      <c r="L1061" s="13">
        <v>1100</v>
      </c>
      <c r="M1061" t="str">
        <f>VLOOKUP(L1061,[1]Mouse_ARA!$B$2:$C$1328,2,FALSE)</f>
        <v>PRT</v>
      </c>
    </row>
    <row r="1062" spans="2:13" x14ac:dyDescent="0.25">
      <c r="B1062" s="31" t="s">
        <v>26303</v>
      </c>
      <c r="C1062" s="25" t="s">
        <v>237</v>
      </c>
      <c r="D1062" s="25" t="s">
        <v>25951</v>
      </c>
      <c r="E1062" s="25"/>
      <c r="F1062" s="9" t="str">
        <f>HYPERLINK("https://www.ebi.ac.uk/ols/ontologies/uberon/terms?iri=http://purl.obolibrary.org/obo/UBERON_0019269","gray matter of diencephalon")</f>
        <v>gray matter of diencephalon</v>
      </c>
      <c r="G1062" s="9" t="s">
        <v>2109</v>
      </c>
      <c r="H1062" s="9" t="s">
        <v>20037</v>
      </c>
      <c r="I1062" s="9" t="s">
        <v>237</v>
      </c>
      <c r="J1062" s="9" t="s">
        <v>242</v>
      </c>
      <c r="K1062" s="6" t="s">
        <v>15174</v>
      </c>
      <c r="L1062" s="13">
        <v>10135</v>
      </c>
      <c r="M1062" t="str">
        <f>VLOOKUP(L1062,[1]NonHumanPrimate!$B$2:$C$4000,2,FALSE)</f>
        <v>AHA</v>
      </c>
    </row>
    <row r="1063" spans="2:13" x14ac:dyDescent="0.25">
      <c r="B1063" s="31" t="s">
        <v>25743</v>
      </c>
      <c r="C1063" s="20"/>
      <c r="D1063" s="25" t="s">
        <v>2117</v>
      </c>
      <c r="E1063" s="25"/>
      <c r="F1063" s="9" t="str">
        <f>HYPERLINK("https://www.ebi.ac.uk/ols/ontologies/uberon/terms?iri=http://purl.obolibrary.org/obo/UBERON_0019264","gray matter of forebrain")</f>
        <v>gray matter of forebrain</v>
      </c>
      <c r="G1063" s="9" t="s">
        <v>2116</v>
      </c>
      <c r="H1063" s="9" t="s">
        <v>20997</v>
      </c>
      <c r="I1063" s="9" t="s">
        <v>2117</v>
      </c>
      <c r="J1063" s="9" t="s">
        <v>2118</v>
      </c>
      <c r="K1063" s="4" t="s">
        <v>15175</v>
      </c>
      <c r="L1063" s="13">
        <v>10157</v>
      </c>
      <c r="M1063" t="str">
        <f>VLOOKUP(L1063,[1]Human_BrainSpan!$B$2:$C$4000,2,FALSE)</f>
        <v>FGM</v>
      </c>
    </row>
    <row r="1064" spans="2:13" x14ac:dyDescent="0.25">
      <c r="B1064" s="31" t="s">
        <v>25743</v>
      </c>
      <c r="C1064" s="20"/>
      <c r="D1064" s="25" t="s">
        <v>25952</v>
      </c>
      <c r="E1064" s="25"/>
      <c r="F1064" s="9" t="str">
        <f>HYPERLINK("https://www.ebi.ac.uk/ols/ontologies/uberon/terms?iri=http://purl.obolibrary.org/obo/UBERON_0019263","gray matter of hindbrain")</f>
        <v>gray matter of hindbrain</v>
      </c>
      <c r="G1064" s="9" t="s">
        <v>2119</v>
      </c>
      <c r="H1064" s="9" t="s">
        <v>24188</v>
      </c>
      <c r="I1064" s="9" t="s">
        <v>2120</v>
      </c>
      <c r="J1064" s="9" t="s">
        <v>2121</v>
      </c>
      <c r="K1064" s="4" t="s">
        <v>15175</v>
      </c>
      <c r="L1064" s="13">
        <v>10654</v>
      </c>
      <c r="M1064" t="str">
        <f>VLOOKUP(L1064,[1]Human_BrainSpan!$B$2:$C$4000,2,FALSE)</f>
        <v>HGM</v>
      </c>
    </row>
    <row r="1065" spans="2:13" x14ac:dyDescent="0.25">
      <c r="B1065" s="31" t="s">
        <v>25743</v>
      </c>
      <c r="C1065" s="20"/>
      <c r="D1065" s="25" t="s">
        <v>2123</v>
      </c>
      <c r="E1065" s="25"/>
      <c r="F1065" s="9" t="str">
        <f>HYPERLINK("https://www.ebi.ac.uk/ols/ontologies/uberon/terms?iri=http://purl.obolibrary.org/obo/UBERON_0019267","gray matter of midbrain")</f>
        <v>gray matter of midbrain</v>
      </c>
      <c r="G1065" s="9" t="s">
        <v>2122</v>
      </c>
      <c r="H1065" s="9" t="s">
        <v>16510</v>
      </c>
      <c r="I1065" s="9" t="s">
        <v>2123</v>
      </c>
      <c r="J1065" s="9" t="s">
        <v>2124</v>
      </c>
      <c r="K1065" s="4" t="s">
        <v>15175</v>
      </c>
      <c r="L1065" s="13">
        <v>10649</v>
      </c>
      <c r="M1065" t="str">
        <f>VLOOKUP(L1065,[1]Human_BrainSpan!$B$2:$C$4000,2,FALSE)</f>
        <v>MGM</v>
      </c>
    </row>
    <row r="1066" spans="2:13" x14ac:dyDescent="0.25">
      <c r="B1066" s="31" t="s">
        <v>26303</v>
      </c>
      <c r="C1066" s="25" t="s">
        <v>2114</v>
      </c>
      <c r="D1066" s="25" t="s">
        <v>2123</v>
      </c>
      <c r="E1066" s="25"/>
      <c r="F1066" s="9" t="str">
        <f>HYPERLINK("https://www.ebi.ac.uk/ols/ontologies/uberon/terms?iri=http://purl.obolibrary.org/obo/UBERON_0019267","gray matter of midbrain")</f>
        <v>gray matter of midbrain</v>
      </c>
      <c r="G1066" s="9" t="s">
        <v>2122</v>
      </c>
      <c r="H1066" s="9" t="s">
        <v>16604</v>
      </c>
      <c r="I1066" s="9" t="s">
        <v>2110</v>
      </c>
      <c r="J1066" s="9" t="s">
        <v>2111</v>
      </c>
      <c r="K1066" s="5" t="s">
        <v>15173</v>
      </c>
      <c r="L1066" s="13">
        <v>16510</v>
      </c>
      <c r="M1066" t="str">
        <f>VLOOKUP(L1066,[1]DevMouse!$B$2:$C$2693,2,FALSE)</f>
        <v>Pt</v>
      </c>
    </row>
    <row r="1067" spans="2:13" x14ac:dyDescent="0.25">
      <c r="B1067" s="31" t="s">
        <v>26303</v>
      </c>
      <c r="C1067" s="25" t="s">
        <v>2114</v>
      </c>
      <c r="D1067" s="25" t="s">
        <v>2123</v>
      </c>
      <c r="E1067" s="25"/>
      <c r="F1067" s="9" t="str">
        <f>HYPERLINK("https://www.ebi.ac.uk/ols/ontologies/uberon/terms?iri=http://purl.obolibrary.org/obo/UBERON_0019267","gray matter of midbrain")</f>
        <v>gray matter of midbrain</v>
      </c>
      <c r="G1067" s="9" t="s">
        <v>2122</v>
      </c>
      <c r="H1067" s="9" t="s">
        <v>20229</v>
      </c>
      <c r="I1067" s="9" t="s">
        <v>2114</v>
      </c>
      <c r="J1067" s="9" t="s">
        <v>2115</v>
      </c>
      <c r="K1067" s="3" t="s">
        <v>15176</v>
      </c>
      <c r="L1067" s="13">
        <v>1100</v>
      </c>
      <c r="M1067" t="str">
        <f>VLOOKUP(L1067,[1]Mouse_ARA!$B$2:$C$1328,2,FALSE)</f>
        <v>PRT</v>
      </c>
    </row>
    <row r="1068" spans="2:13" x14ac:dyDescent="0.25">
      <c r="B1068" s="31" t="s">
        <v>25743</v>
      </c>
      <c r="C1068" s="20"/>
      <c r="D1068" s="25" t="s">
        <v>2126</v>
      </c>
      <c r="E1068" s="25"/>
      <c r="F1068" s="9" t="str">
        <f>HYPERLINK("https://www.ebi.ac.uk/ols/ontologies/uberon/terms?iri=http://purl.obolibrary.org/obo/UBERON_0002315","gray matter of spinal cord")</f>
        <v>gray matter of spinal cord</v>
      </c>
      <c r="G1068" s="9" t="s">
        <v>2125</v>
      </c>
      <c r="H1068" s="9" t="s">
        <v>24738</v>
      </c>
      <c r="I1068" s="9" t="s">
        <v>2126</v>
      </c>
      <c r="J1068" s="9" t="s">
        <v>2127</v>
      </c>
      <c r="K1068" s="4" t="s">
        <v>15175</v>
      </c>
      <c r="L1068" s="13">
        <v>146035048</v>
      </c>
      <c r="M1068" t="str">
        <f>VLOOKUP(L1068,[1]Human_BrainSpan!$B$2:$C$4000,2,FALSE)</f>
        <v>SGM</v>
      </c>
    </row>
    <row r="1069" spans="2:13" x14ac:dyDescent="0.25">
      <c r="B1069" s="31" t="s">
        <v>26303</v>
      </c>
      <c r="C1069" s="25" t="s">
        <v>25805</v>
      </c>
      <c r="D1069" s="25" t="s">
        <v>25953</v>
      </c>
      <c r="E1069" s="25"/>
      <c r="F1069" s="9" t="str">
        <f>HYPERLINK("https://www.ebi.ac.uk/ols/ontologies/uberon/terms?iri=http://purl.obolibrary.org/obo/UBERON_0011300","gray matter of telencephalon")</f>
        <v>gray matter of telencephalon</v>
      </c>
      <c r="G1069" s="9" t="s">
        <v>2128</v>
      </c>
      <c r="H1069" s="9" t="s">
        <v>23240</v>
      </c>
      <c r="I1069" s="9" t="s">
        <v>539</v>
      </c>
      <c r="J1069" s="9" t="s">
        <v>540</v>
      </c>
      <c r="K1069" s="4" t="s">
        <v>15175</v>
      </c>
      <c r="L1069" s="13">
        <v>10332</v>
      </c>
      <c r="M1069" t="str">
        <f>VLOOKUP(L1069,[1]Human_BrainSpan!$B$2:$C$4000,2,FALSE)</f>
        <v>BN</v>
      </c>
    </row>
    <row r="1070" spans="2:13" x14ac:dyDescent="0.25">
      <c r="B1070" s="31" t="s">
        <v>26303</v>
      </c>
      <c r="C1070" s="25" t="s">
        <v>2129</v>
      </c>
      <c r="D1070" s="25" t="s">
        <v>25953</v>
      </c>
      <c r="E1070" s="25"/>
      <c r="F1070" s="9" t="str">
        <f>HYPERLINK("https://www.ebi.ac.uk/ols/ontologies/uberon/terms?iri=http://purl.obolibrary.org/obo/UBERON_0011300","gray matter of telencephalon")</f>
        <v>gray matter of telencephalon</v>
      </c>
      <c r="G1070" s="9" t="s">
        <v>2128</v>
      </c>
      <c r="H1070" s="9" t="s">
        <v>19812</v>
      </c>
      <c r="I1070" s="9" t="s">
        <v>2129</v>
      </c>
      <c r="J1070" s="9" t="s">
        <v>2130</v>
      </c>
      <c r="K1070" s="3" t="s">
        <v>15176</v>
      </c>
      <c r="L1070" s="13">
        <v>803</v>
      </c>
      <c r="M1070" t="str">
        <f>VLOOKUP(L1070,[1]Mouse_ARA!$B$2:$C$1328,2,FALSE)</f>
        <v>PAL</v>
      </c>
    </row>
    <row r="1071" spans="2:13" x14ac:dyDescent="0.25">
      <c r="B1071" s="31" t="s">
        <v>25743</v>
      </c>
      <c r="C1071" s="20"/>
      <c r="D1071" s="25" t="s">
        <v>2132</v>
      </c>
      <c r="E1071" s="25"/>
      <c r="F1071" s="9" t="str">
        <f>HYPERLINK("https://www.ebi.ac.uk/ols/ontologies/uberon/terms?iri=http://purl.obolibrary.org/obo/UBERON_0004671","gyrus rectus")</f>
        <v>gyrus rectus</v>
      </c>
      <c r="G1071" s="9" t="s">
        <v>2131</v>
      </c>
      <c r="H1071" s="9" t="s">
        <v>24763</v>
      </c>
      <c r="I1071" s="9" t="s">
        <v>2132</v>
      </c>
      <c r="J1071" s="9" t="s">
        <v>2133</v>
      </c>
      <c r="K1071" s="7" t="s">
        <v>15171</v>
      </c>
      <c r="L1071" s="13">
        <v>4047</v>
      </c>
      <c r="M1071" t="str">
        <f>VLOOKUP(L1071,[1]HBA!$B$2:$C$4000,2,FALSE)</f>
        <v>GRe</v>
      </c>
    </row>
    <row r="1072" spans="2:13" x14ac:dyDescent="0.25">
      <c r="B1072" s="31" t="s">
        <v>25743</v>
      </c>
      <c r="C1072" s="20"/>
      <c r="D1072" s="25" t="s">
        <v>25954</v>
      </c>
      <c r="E1072" s="25"/>
      <c r="F1072" s="9" t="str">
        <f>HYPERLINK("https://www.ebi.ac.uk/ols/ontologies/uberon/terms?iri=http://purl.obolibrary.org/obo/UBERON_0001904","habenula")</f>
        <v>habenula</v>
      </c>
      <c r="G1072" s="9" t="s">
        <v>2134</v>
      </c>
      <c r="H1072" s="9" t="s">
        <v>16368</v>
      </c>
      <c r="I1072" s="9" t="s">
        <v>2135</v>
      </c>
      <c r="J1072" s="9" t="s">
        <v>2136</v>
      </c>
      <c r="K1072" s="7" t="s">
        <v>15171</v>
      </c>
      <c r="L1072" s="13">
        <v>4522</v>
      </c>
      <c r="M1072" t="str">
        <f>VLOOKUP(L1072,[1]HBA!$B$2:$C$4000,2,FALSE)</f>
        <v>Hb</v>
      </c>
    </row>
    <row r="1073" spans="2:13" x14ac:dyDescent="0.25">
      <c r="B1073" s="31" t="s">
        <v>25743</v>
      </c>
      <c r="C1073" s="20"/>
      <c r="D1073" s="25" t="s">
        <v>2138</v>
      </c>
      <c r="E1073" s="25"/>
      <c r="F1073" s="9" t="str">
        <f>HYPERLINK("https://www.ebi.ac.uk/ols/ontologies/uberon/terms?iri=http://purl.obolibrary.org/obo/UBERON_0001909","habenular commissure")</f>
        <v>habenular commissure</v>
      </c>
      <c r="G1073" s="9" t="s">
        <v>2137</v>
      </c>
      <c r="H1073" s="9" t="s">
        <v>23544</v>
      </c>
      <c r="I1073" s="9" t="s">
        <v>2138</v>
      </c>
      <c r="J1073" s="9" t="s">
        <v>2139</v>
      </c>
      <c r="K1073" s="4" t="s">
        <v>15175</v>
      </c>
      <c r="L1073" s="13">
        <v>10566</v>
      </c>
      <c r="M1073" t="str">
        <f>VLOOKUP(L1073,[1]Human_BrainSpan!$B$2:$C$4000,2,FALSE)</f>
        <v>hac</v>
      </c>
    </row>
    <row r="1074" spans="2:13" x14ac:dyDescent="0.25">
      <c r="B1074" s="31" t="s">
        <v>25743</v>
      </c>
      <c r="C1074" s="20"/>
      <c r="D1074" s="25" t="s">
        <v>2138</v>
      </c>
      <c r="E1074" s="25"/>
      <c r="F1074" s="9" t="str">
        <f>HYPERLINK("https://www.ebi.ac.uk/ols/ontologies/uberon/terms?iri=http://purl.obolibrary.org/obo/UBERON_0001909","habenular commissure")</f>
        <v>habenular commissure</v>
      </c>
      <c r="G1074" s="9" t="s">
        <v>2137</v>
      </c>
      <c r="H1074" s="9" t="s">
        <v>18462</v>
      </c>
      <c r="I1074" s="9" t="s">
        <v>2138</v>
      </c>
      <c r="J1074" s="9" t="s">
        <v>2140</v>
      </c>
      <c r="K1074" s="5" t="s">
        <v>15173</v>
      </c>
      <c r="L1074" s="13">
        <v>17768</v>
      </c>
      <c r="M1074" t="str">
        <f>VLOOKUP(L1074,[1]DevMouse!$B$2:$C$2693,2,FALSE)</f>
        <v>hbc</v>
      </c>
    </row>
    <row r="1075" spans="2:13" x14ac:dyDescent="0.25">
      <c r="B1075" s="31" t="s">
        <v>25743</v>
      </c>
      <c r="C1075" s="20"/>
      <c r="D1075" s="25" t="s">
        <v>2138</v>
      </c>
      <c r="E1075" s="25"/>
      <c r="F1075" s="9" t="str">
        <f>HYPERLINK("https://www.ebi.ac.uk/ols/ontologies/uberon/terms?iri=http://purl.obolibrary.org/obo/UBERON_0001909","habenular commissure")</f>
        <v>habenular commissure</v>
      </c>
      <c r="G1075" s="9" t="s">
        <v>2137</v>
      </c>
      <c r="H1075" s="9" t="s">
        <v>18462</v>
      </c>
      <c r="I1075" s="9" t="s">
        <v>2138</v>
      </c>
      <c r="J1075" s="9" t="s">
        <v>2141</v>
      </c>
      <c r="K1075" s="7" t="s">
        <v>15171</v>
      </c>
      <c r="L1075" s="13">
        <v>9227</v>
      </c>
      <c r="M1075" t="str">
        <f>VLOOKUP(L1075,[1]HBA!$B$2:$C$4000,2,FALSE)</f>
        <v>hbc</v>
      </c>
    </row>
    <row r="1076" spans="2:13" x14ac:dyDescent="0.25">
      <c r="B1076" s="31" t="s">
        <v>25743</v>
      </c>
      <c r="C1076" s="20"/>
      <c r="D1076" s="25" t="s">
        <v>2138</v>
      </c>
      <c r="E1076" s="25"/>
      <c r="F1076" s="9" t="str">
        <f>HYPERLINK("https://www.ebi.ac.uk/ols/ontologies/uberon/terms?iri=http://purl.obolibrary.org/obo/UBERON_0001909","habenular commissure")</f>
        <v>habenular commissure</v>
      </c>
      <c r="G1076" s="9" t="s">
        <v>2137</v>
      </c>
      <c r="H1076" s="9" t="s">
        <v>18462</v>
      </c>
      <c r="I1076" s="9" t="s">
        <v>2138</v>
      </c>
      <c r="J1076" s="9" t="s">
        <v>2142</v>
      </c>
      <c r="K1076" s="3" t="s">
        <v>15176</v>
      </c>
      <c r="L1076" s="13">
        <v>611</v>
      </c>
      <c r="M1076" t="str">
        <f>VLOOKUP(L1076,[1]Mouse_ARA!$B$2:$C$1328,2,FALSE)</f>
        <v>hbc</v>
      </c>
    </row>
    <row r="1077" spans="2:13" x14ac:dyDescent="0.25">
      <c r="B1077" s="31" t="s">
        <v>25743</v>
      </c>
      <c r="C1077" s="20"/>
      <c r="D1077" s="25" t="s">
        <v>25955</v>
      </c>
      <c r="E1077" s="25"/>
      <c r="F1077" s="9" t="str">
        <f>HYPERLINK("https://www.ebi.ac.uk/ols/ontologies/uberon/terms?iri=http://purl.obolibrary.org/obo/UBERON_0008993","habenular nucleus")</f>
        <v>habenular nucleus</v>
      </c>
      <c r="G1077" s="9" t="s">
        <v>2143</v>
      </c>
      <c r="H1077" s="9" t="s">
        <v>23409</v>
      </c>
      <c r="I1077" s="9" t="s">
        <v>2144</v>
      </c>
      <c r="J1077" s="9" t="s">
        <v>2145</v>
      </c>
      <c r="K1077" s="4" t="s">
        <v>15175</v>
      </c>
      <c r="L1077" s="13">
        <v>10452</v>
      </c>
      <c r="M1077" t="str">
        <f>VLOOKUP(L1077,[1]Human_BrainSpan!$B$2:$C$4000,2,FALSE)</f>
        <v>HN</v>
      </c>
    </row>
    <row r="1078" spans="2:13" x14ac:dyDescent="0.25">
      <c r="B1078" s="31" t="s">
        <v>25743</v>
      </c>
      <c r="C1078" s="20"/>
      <c r="D1078" s="25" t="s">
        <v>25955</v>
      </c>
      <c r="E1078" s="25"/>
      <c r="F1078" s="9" t="str">
        <f>HYPERLINK("https://www.ebi.ac.uk/ols/ontologies/uberon/terms?iri=http://purl.obolibrary.org/obo/UBERON_0008993","habenular nucleus")</f>
        <v>habenular nucleus</v>
      </c>
      <c r="G1078" s="9" t="s">
        <v>2143</v>
      </c>
      <c r="H1078" s="9" t="s">
        <v>16368</v>
      </c>
      <c r="I1078" s="9" t="s">
        <v>2144</v>
      </c>
      <c r="J1078" s="9" t="s">
        <v>2146</v>
      </c>
      <c r="K1078" s="7" t="s">
        <v>15171</v>
      </c>
      <c r="L1078" s="13">
        <v>4521</v>
      </c>
      <c r="M1078" t="str">
        <f>VLOOKUP(L1078,[1]HBA!$B$2:$C$4000,2,FALSE)</f>
        <v>Hb</v>
      </c>
    </row>
    <row r="1079" spans="2:13" x14ac:dyDescent="0.25">
      <c r="B1079" s="31" t="s">
        <v>25743</v>
      </c>
      <c r="C1079" s="20"/>
      <c r="D1079" s="25" t="s">
        <v>25956</v>
      </c>
      <c r="E1079" s="25"/>
      <c r="F1079" s="9" t="str">
        <f>HYPERLINK("https://www.ebi.ac.uk/ols/ontologies/uberon/terms?iri=http://purl.obolibrary.org/obo/UBERON_0002138","habenulo-interpeduncular tract")</f>
        <v>habenulo-interpeduncular tract</v>
      </c>
      <c r="G1079" s="9" t="s">
        <v>2147</v>
      </c>
      <c r="H1079" s="9" t="s">
        <v>18491</v>
      </c>
      <c r="I1079" s="9" t="s">
        <v>2148</v>
      </c>
      <c r="J1079" s="9" t="s">
        <v>2149</v>
      </c>
      <c r="K1079" s="5" t="s">
        <v>15173</v>
      </c>
      <c r="L1079" s="13">
        <v>17790</v>
      </c>
      <c r="M1079" t="str">
        <f>VLOOKUP(L1079,[1]DevMouse!$B$2:$C$2693,2,FALSE)</f>
        <v>rf</v>
      </c>
    </row>
    <row r="1080" spans="2:13" x14ac:dyDescent="0.25">
      <c r="B1080" s="31" t="s">
        <v>25743</v>
      </c>
      <c r="C1080" s="20"/>
      <c r="D1080" s="25" t="s">
        <v>25956</v>
      </c>
      <c r="E1080" s="25"/>
      <c r="F1080" s="9" t="str">
        <f>HYPERLINK("https://www.ebi.ac.uk/ols/ontologies/uberon/terms?iri=http://purl.obolibrary.org/obo/UBERON_0002138","habenulo-interpeduncular tract")</f>
        <v>habenulo-interpeduncular tract</v>
      </c>
      <c r="G1080" s="9" t="s">
        <v>2147</v>
      </c>
      <c r="H1080" s="9" t="s">
        <v>20945</v>
      </c>
      <c r="I1080" s="9" t="s">
        <v>2150</v>
      </c>
      <c r="J1080" s="9" t="s">
        <v>2151</v>
      </c>
      <c r="K1080" s="7" t="s">
        <v>15171</v>
      </c>
      <c r="L1080" s="13">
        <v>12953</v>
      </c>
      <c r="M1080" t="str">
        <f>VLOOKUP(L1080,[1]HBA!$B$2:$C$4000,2,FALSE)</f>
        <v>fr</v>
      </c>
    </row>
    <row r="1081" spans="2:13" x14ac:dyDescent="0.25">
      <c r="B1081" s="31" t="s">
        <v>25743</v>
      </c>
      <c r="C1081" s="20"/>
      <c r="D1081" s="25" t="s">
        <v>25956</v>
      </c>
      <c r="E1081" s="25"/>
      <c r="F1081" s="9" t="str">
        <f>HYPERLINK("https://www.ebi.ac.uk/ols/ontologies/uberon/terms?iri=http://purl.obolibrary.org/obo/UBERON_0002138","habenulo-interpeduncular tract")</f>
        <v>habenulo-interpeduncular tract</v>
      </c>
      <c r="G1081" s="9" t="s">
        <v>2147</v>
      </c>
      <c r="H1081" s="9" t="s">
        <v>20945</v>
      </c>
      <c r="I1081" s="9" t="s">
        <v>2150</v>
      </c>
      <c r="J1081" s="9" t="s">
        <v>2152</v>
      </c>
      <c r="K1081" s="3" t="s">
        <v>15176</v>
      </c>
      <c r="L1081" s="13">
        <v>595</v>
      </c>
      <c r="M1081" t="str">
        <f>VLOOKUP(L1081,[1]Mouse_ARA!$B$2:$C$1328,2,FALSE)</f>
        <v>fr</v>
      </c>
    </row>
    <row r="1082" spans="2:13" x14ac:dyDescent="0.25">
      <c r="B1082" s="31" t="s">
        <v>25743</v>
      </c>
      <c r="C1082" s="20"/>
      <c r="D1082" s="25" t="s">
        <v>25957</v>
      </c>
      <c r="E1082" s="25"/>
      <c r="F1082" s="9" t="str">
        <f>HYPERLINK("https://www.ebi.ac.uk/ols/ontologies/uberon/terms?iri=http://purl.obolibrary.org/obo/UBERON_0002626","head of caudate nucleus")</f>
        <v>head of caudate nucleus</v>
      </c>
      <c r="G1082" s="9" t="s">
        <v>2153</v>
      </c>
      <c r="H1082" s="9" t="s">
        <v>23242</v>
      </c>
      <c r="I1082" s="9" t="s">
        <v>2154</v>
      </c>
      <c r="J1082" s="9" t="s">
        <v>2155</v>
      </c>
      <c r="K1082" s="4" t="s">
        <v>15175</v>
      </c>
      <c r="L1082" s="13">
        <v>10335</v>
      </c>
      <c r="M1082" t="str">
        <f>VLOOKUP(L1082,[1]Human_BrainSpan!$B$2:$C$4000,2,FALSE)</f>
        <v>CaH</v>
      </c>
    </row>
    <row r="1083" spans="2:13" x14ac:dyDescent="0.25">
      <c r="B1083" s="31" t="s">
        <v>25743</v>
      </c>
      <c r="C1083" s="25" t="s">
        <v>25957</v>
      </c>
      <c r="D1083" s="25" t="s">
        <v>25957</v>
      </c>
      <c r="E1083" s="25"/>
      <c r="F1083" s="9" t="str">
        <f>HYPERLINK("https://www.ebi.ac.uk/ols/ontologies/uberon/terms?iri=http://purl.obolibrary.org/obo/UBERON_0002626","head of caudate nucleus")</f>
        <v>head of caudate nucleus</v>
      </c>
      <c r="G1083" s="9" t="s">
        <v>2153</v>
      </c>
      <c r="H1083" s="9" t="s">
        <v>24903</v>
      </c>
      <c r="I1083" s="9" t="s">
        <v>2156</v>
      </c>
      <c r="J1083" s="9" t="s">
        <v>2157</v>
      </c>
      <c r="K1083" s="7" t="s">
        <v>15171</v>
      </c>
      <c r="L1083" s="13">
        <v>12900</v>
      </c>
      <c r="M1083" t="str">
        <f>VLOOKUP(L1083,[1]HBA!$B$2:$C$4000,2,FALSE)</f>
        <v>HCd</v>
      </c>
    </row>
    <row r="1084" spans="2:13" x14ac:dyDescent="0.25">
      <c r="B1084" s="37" t="s">
        <v>26299</v>
      </c>
      <c r="C1084" s="20"/>
      <c r="D1084" s="25" t="s">
        <v>25958</v>
      </c>
      <c r="E1084" s="25"/>
      <c r="F1084" s="9" t="str">
        <f t="shared" ref="F1084:F1110" si="15">HYPERLINK("https://www.ebi.ac.uk/ols/ontologies/uberon/terms?iri=http://purl.obolibrary.org/obo/UBERON_0014647","hemisphere part of cerebellar anterior lobe")</f>
        <v>hemisphere part of cerebellar anterior lobe</v>
      </c>
      <c r="G1084" s="9" t="s">
        <v>2158</v>
      </c>
      <c r="H1084" s="9" t="s">
        <v>25353</v>
      </c>
      <c r="I1084" s="9" t="s">
        <v>2159</v>
      </c>
      <c r="J1084" s="9" t="s">
        <v>2160</v>
      </c>
      <c r="K1084" s="7" t="s">
        <v>15171</v>
      </c>
      <c r="L1084" s="13">
        <v>12931</v>
      </c>
      <c r="M1084" t="str">
        <f>VLOOKUP(L1084,[1]HBA!$B$2:$C$4000,2,FALSE)</f>
        <v>Cb-AL</v>
      </c>
    </row>
    <row r="1085" spans="2:13" x14ac:dyDescent="0.25">
      <c r="B1085" s="37" t="s">
        <v>26299</v>
      </c>
      <c r="C1085" s="20"/>
      <c r="D1085" s="25" t="s">
        <v>25958</v>
      </c>
      <c r="E1085" s="25"/>
      <c r="F1085" s="9" t="str">
        <f t="shared" si="15"/>
        <v>hemisphere part of cerebellar anterior lobe</v>
      </c>
      <c r="G1085" s="9" t="s">
        <v>2158</v>
      </c>
      <c r="H1085" s="9" t="s">
        <v>20596</v>
      </c>
      <c r="I1085" s="9" t="s">
        <v>1104</v>
      </c>
      <c r="J1085" s="9" t="s">
        <v>1105</v>
      </c>
      <c r="K1085" s="3" t="s">
        <v>15176</v>
      </c>
      <c r="L1085" s="13">
        <v>1001</v>
      </c>
      <c r="M1085" t="str">
        <f>VLOOKUP(L1085,[1]Mouse_ARA!$B$2:$C$1328,2,FALSE)</f>
        <v>CUL5</v>
      </c>
    </row>
    <row r="1086" spans="2:13" x14ac:dyDescent="0.25">
      <c r="B1086" s="37" t="s">
        <v>26299</v>
      </c>
      <c r="C1086" s="25" t="s">
        <v>25848</v>
      </c>
      <c r="D1086" s="25" t="s">
        <v>25958</v>
      </c>
      <c r="E1086" s="25" t="s">
        <v>26306</v>
      </c>
      <c r="F1086" s="9" t="str">
        <f t="shared" si="15"/>
        <v>hemisphere part of cerebellar anterior lobe</v>
      </c>
      <c r="G1086" s="9" t="s">
        <v>2158</v>
      </c>
      <c r="H1086" s="9" t="s">
        <v>20566</v>
      </c>
      <c r="I1086" s="9" t="s">
        <v>2161</v>
      </c>
      <c r="J1086" s="9" t="s">
        <v>2162</v>
      </c>
      <c r="K1086" s="3" t="s">
        <v>15176</v>
      </c>
      <c r="L1086" s="13">
        <v>10705</v>
      </c>
      <c r="M1086" t="str">
        <f>VLOOKUP(L1086,[1]Mouse_ARA!$B$2:$C$1328,2,FALSE)</f>
        <v>LINGgr</v>
      </c>
    </row>
    <row r="1087" spans="2:13" x14ac:dyDescent="0.25">
      <c r="B1087" s="37" t="s">
        <v>26299</v>
      </c>
      <c r="C1087" s="25" t="s">
        <v>25848</v>
      </c>
      <c r="D1087" s="25" t="s">
        <v>25958</v>
      </c>
      <c r="E1087" s="25" t="s">
        <v>26306</v>
      </c>
      <c r="F1087" s="9" t="str">
        <f t="shared" si="15"/>
        <v>hemisphere part of cerebellar anterior lobe</v>
      </c>
      <c r="G1087" s="9" t="s">
        <v>2158</v>
      </c>
      <c r="H1087" s="9" t="s">
        <v>20564</v>
      </c>
      <c r="I1087" s="9" t="s">
        <v>2163</v>
      </c>
      <c r="J1087" s="9" t="s">
        <v>2164</v>
      </c>
      <c r="K1087" s="3" t="s">
        <v>15176</v>
      </c>
      <c r="L1087" s="13">
        <v>10706</v>
      </c>
      <c r="M1087" t="str">
        <f>VLOOKUP(L1087,[1]Mouse_ARA!$B$2:$C$1328,2,FALSE)</f>
        <v>LINGpu</v>
      </c>
    </row>
    <row r="1088" spans="2:13" x14ac:dyDescent="0.25">
      <c r="B1088" s="37" t="s">
        <v>26299</v>
      </c>
      <c r="C1088" s="25" t="s">
        <v>25848</v>
      </c>
      <c r="D1088" s="25" t="s">
        <v>25958</v>
      </c>
      <c r="E1088" s="25" t="s">
        <v>26306</v>
      </c>
      <c r="F1088" s="9" t="str">
        <f t="shared" si="15"/>
        <v>hemisphere part of cerebellar anterior lobe</v>
      </c>
      <c r="G1088" s="9" t="s">
        <v>2158</v>
      </c>
      <c r="H1088" s="9" t="s">
        <v>20562</v>
      </c>
      <c r="I1088" s="9" t="s">
        <v>2165</v>
      </c>
      <c r="J1088" s="9" t="s">
        <v>2166</v>
      </c>
      <c r="K1088" s="3" t="s">
        <v>15176</v>
      </c>
      <c r="L1088" s="13">
        <v>10707</v>
      </c>
      <c r="M1088" t="str">
        <f>VLOOKUP(L1088,[1]Mouse_ARA!$B$2:$C$1328,2,FALSE)</f>
        <v>LINGmo</v>
      </c>
    </row>
    <row r="1089" spans="2:13" x14ac:dyDescent="0.25">
      <c r="B1089" s="37" t="s">
        <v>26299</v>
      </c>
      <c r="C1089" s="25"/>
      <c r="D1089" s="25" t="s">
        <v>25958</v>
      </c>
      <c r="E1089" s="25" t="s">
        <v>26306</v>
      </c>
      <c r="F1089" s="9" t="str">
        <f t="shared" si="15"/>
        <v>hemisphere part of cerebellar anterior lobe</v>
      </c>
      <c r="G1089" s="9" t="s">
        <v>2158</v>
      </c>
      <c r="H1089" s="9" t="s">
        <v>20576</v>
      </c>
      <c r="I1089" s="9" t="s">
        <v>2167</v>
      </c>
      <c r="J1089" s="9" t="s">
        <v>2168</v>
      </c>
      <c r="K1089" s="3" t="s">
        <v>15176</v>
      </c>
      <c r="L1089" s="13">
        <v>10708</v>
      </c>
      <c r="M1089" t="str">
        <f>VLOOKUP(L1089,[1]Mouse_ARA!$B$2:$C$1328,2,FALSE)</f>
        <v>CENT2gr</v>
      </c>
    </row>
    <row r="1090" spans="2:13" x14ac:dyDescent="0.25">
      <c r="B1090" s="37" t="s">
        <v>26299</v>
      </c>
      <c r="C1090" s="25"/>
      <c r="D1090" s="25" t="s">
        <v>25958</v>
      </c>
      <c r="E1090" s="25" t="s">
        <v>26306</v>
      </c>
      <c r="F1090" s="9" t="str">
        <f t="shared" si="15"/>
        <v>hemisphere part of cerebellar anterior lobe</v>
      </c>
      <c r="G1090" s="9" t="s">
        <v>2158</v>
      </c>
      <c r="H1090" s="9" t="s">
        <v>20574</v>
      </c>
      <c r="I1090" s="9" t="s">
        <v>2169</v>
      </c>
      <c r="J1090" s="9" t="s">
        <v>2170</v>
      </c>
      <c r="K1090" s="3" t="s">
        <v>15176</v>
      </c>
      <c r="L1090" s="13">
        <v>10709</v>
      </c>
      <c r="M1090" t="str">
        <f>VLOOKUP(L1090,[1]Mouse_ARA!$B$2:$C$1328,2,FALSE)</f>
        <v>CENT2pu</v>
      </c>
    </row>
    <row r="1091" spans="2:13" x14ac:dyDescent="0.25">
      <c r="B1091" s="37" t="s">
        <v>26299</v>
      </c>
      <c r="C1091" s="25"/>
      <c r="D1091" s="25" t="s">
        <v>25958</v>
      </c>
      <c r="E1091" s="25" t="s">
        <v>26306</v>
      </c>
      <c r="F1091" s="9" t="str">
        <f t="shared" si="15"/>
        <v>hemisphere part of cerebellar anterior lobe</v>
      </c>
      <c r="G1091" s="9" t="s">
        <v>2158</v>
      </c>
      <c r="H1091" s="9" t="s">
        <v>20572</v>
      </c>
      <c r="I1091" s="9" t="s">
        <v>2171</v>
      </c>
      <c r="J1091" s="9" t="s">
        <v>2172</v>
      </c>
      <c r="K1091" s="3" t="s">
        <v>15176</v>
      </c>
      <c r="L1091" s="13">
        <v>10710</v>
      </c>
      <c r="M1091" t="str">
        <f>VLOOKUP(L1091,[1]Mouse_ARA!$B$2:$C$1328,2,FALSE)</f>
        <v>CENT2mo</v>
      </c>
    </row>
    <row r="1092" spans="2:13" x14ac:dyDescent="0.25">
      <c r="B1092" s="37" t="s">
        <v>26299</v>
      </c>
      <c r="C1092" s="25"/>
      <c r="D1092" s="25" t="s">
        <v>25958</v>
      </c>
      <c r="E1092" s="25" t="s">
        <v>26306</v>
      </c>
      <c r="F1092" s="9" t="str">
        <f t="shared" si="15"/>
        <v>hemisphere part of cerebellar anterior lobe</v>
      </c>
      <c r="G1092" s="9" t="s">
        <v>2158</v>
      </c>
      <c r="H1092" s="9" t="s">
        <v>20584</v>
      </c>
      <c r="I1092" s="9" t="s">
        <v>2173</v>
      </c>
      <c r="J1092" s="9" t="s">
        <v>2174</v>
      </c>
      <c r="K1092" s="3" t="s">
        <v>15176</v>
      </c>
      <c r="L1092" s="13">
        <v>10711</v>
      </c>
      <c r="M1092" t="str">
        <f>VLOOKUP(L1092,[1]Mouse_ARA!$B$2:$C$1328,2,FALSE)</f>
        <v>CENT3gr</v>
      </c>
    </row>
    <row r="1093" spans="2:13" x14ac:dyDescent="0.25">
      <c r="B1093" s="37" t="s">
        <v>26299</v>
      </c>
      <c r="C1093" s="25"/>
      <c r="D1093" s="25" t="s">
        <v>25958</v>
      </c>
      <c r="E1093" s="25" t="s">
        <v>26306</v>
      </c>
      <c r="F1093" s="9" t="str">
        <f t="shared" si="15"/>
        <v>hemisphere part of cerebellar anterior lobe</v>
      </c>
      <c r="G1093" s="9" t="s">
        <v>2158</v>
      </c>
      <c r="H1093" s="9" t="s">
        <v>20582</v>
      </c>
      <c r="I1093" s="9" t="s">
        <v>2175</v>
      </c>
      <c r="J1093" s="9" t="s">
        <v>2176</v>
      </c>
      <c r="K1093" s="3" t="s">
        <v>15176</v>
      </c>
      <c r="L1093" s="13">
        <v>10712</v>
      </c>
      <c r="M1093" t="str">
        <f>VLOOKUP(L1093,[1]Mouse_ARA!$B$2:$C$1328,2,FALSE)</f>
        <v>CENT3pu</v>
      </c>
    </row>
    <row r="1094" spans="2:13" x14ac:dyDescent="0.25">
      <c r="B1094" s="37" t="s">
        <v>26299</v>
      </c>
      <c r="C1094" s="25"/>
      <c r="D1094" s="25" t="s">
        <v>25958</v>
      </c>
      <c r="E1094" s="25" t="s">
        <v>26306</v>
      </c>
      <c r="F1094" s="9" t="str">
        <f t="shared" si="15"/>
        <v>hemisphere part of cerebellar anterior lobe</v>
      </c>
      <c r="G1094" s="9" t="s">
        <v>2158</v>
      </c>
      <c r="H1094" s="9" t="s">
        <v>20580</v>
      </c>
      <c r="I1094" s="9" t="s">
        <v>2177</v>
      </c>
      <c r="J1094" s="9" t="s">
        <v>2178</v>
      </c>
      <c r="K1094" s="3" t="s">
        <v>15176</v>
      </c>
      <c r="L1094" s="13">
        <v>10713</v>
      </c>
      <c r="M1094" t="str">
        <f>VLOOKUP(L1094,[1]Mouse_ARA!$B$2:$C$1328,2,FALSE)</f>
        <v>CENT3mo</v>
      </c>
    </row>
    <row r="1095" spans="2:13" x14ac:dyDescent="0.25">
      <c r="B1095" s="37" t="s">
        <v>26299</v>
      </c>
      <c r="C1095" s="25"/>
      <c r="D1095" s="25" t="s">
        <v>25958</v>
      </c>
      <c r="E1095" s="25" t="s">
        <v>26306</v>
      </c>
      <c r="F1095" s="9" t="str">
        <f t="shared" si="15"/>
        <v>hemisphere part of cerebellar anterior lobe</v>
      </c>
      <c r="G1095" s="9" t="s">
        <v>2158</v>
      </c>
      <c r="H1095" s="9" t="s">
        <v>20594</v>
      </c>
      <c r="I1095" s="9" t="s">
        <v>2179</v>
      </c>
      <c r="J1095" s="9" t="s">
        <v>2180</v>
      </c>
      <c r="K1095" s="3" t="s">
        <v>15176</v>
      </c>
      <c r="L1095" s="13">
        <v>10714</v>
      </c>
      <c r="M1095" t="str">
        <f>VLOOKUP(L1095,[1]Mouse_ARA!$B$2:$C$1328,2,FALSE)</f>
        <v>CUL4gr</v>
      </c>
    </row>
    <row r="1096" spans="2:13" x14ac:dyDescent="0.25">
      <c r="B1096" s="37" t="s">
        <v>26299</v>
      </c>
      <c r="C1096" s="25"/>
      <c r="D1096" s="25" t="s">
        <v>25958</v>
      </c>
      <c r="E1096" s="25" t="s">
        <v>26306</v>
      </c>
      <c r="F1096" s="9" t="str">
        <f t="shared" si="15"/>
        <v>hemisphere part of cerebellar anterior lobe</v>
      </c>
      <c r="G1096" s="9" t="s">
        <v>2158</v>
      </c>
      <c r="H1096" s="9" t="s">
        <v>20592</v>
      </c>
      <c r="I1096" s="9" t="s">
        <v>2181</v>
      </c>
      <c r="J1096" s="9" t="s">
        <v>2182</v>
      </c>
      <c r="K1096" s="3" t="s">
        <v>15176</v>
      </c>
      <c r="L1096" s="13">
        <v>10715</v>
      </c>
      <c r="M1096" t="str">
        <f>VLOOKUP(L1096,[1]Mouse_ARA!$B$2:$C$1328,2,FALSE)</f>
        <v>CUL4pu</v>
      </c>
    </row>
    <row r="1097" spans="2:13" x14ac:dyDescent="0.25">
      <c r="B1097" s="37" t="s">
        <v>26299</v>
      </c>
      <c r="C1097" s="25"/>
      <c r="D1097" s="25" t="s">
        <v>25958</v>
      </c>
      <c r="E1097" s="25" t="s">
        <v>26306</v>
      </c>
      <c r="F1097" s="9" t="str">
        <f t="shared" si="15"/>
        <v>hemisphere part of cerebellar anterior lobe</v>
      </c>
      <c r="G1097" s="9" t="s">
        <v>2158</v>
      </c>
      <c r="H1097" s="9" t="s">
        <v>20590</v>
      </c>
      <c r="I1097" s="9" t="s">
        <v>2183</v>
      </c>
      <c r="J1097" s="9" t="s">
        <v>2184</v>
      </c>
      <c r="K1097" s="3" t="s">
        <v>15176</v>
      </c>
      <c r="L1097" s="13">
        <v>10716</v>
      </c>
      <c r="M1097" t="str">
        <f>VLOOKUP(L1097,[1]Mouse_ARA!$B$2:$C$1328,2,FALSE)</f>
        <v>CUL4mo</v>
      </c>
    </row>
    <row r="1098" spans="2:13" x14ac:dyDescent="0.25">
      <c r="B1098" s="37" t="s">
        <v>26299</v>
      </c>
      <c r="C1098" s="25"/>
      <c r="D1098" s="25" t="s">
        <v>25958</v>
      </c>
      <c r="E1098" s="25" t="s">
        <v>26306</v>
      </c>
      <c r="F1098" s="9" t="str">
        <f t="shared" si="15"/>
        <v>hemisphere part of cerebellar anterior lobe</v>
      </c>
      <c r="G1098" s="9" t="s">
        <v>2158</v>
      </c>
      <c r="H1098" s="9" t="s">
        <v>20602</v>
      </c>
      <c r="I1098" s="9" t="s">
        <v>2185</v>
      </c>
      <c r="J1098" s="9" t="s">
        <v>2186</v>
      </c>
      <c r="K1098" s="3" t="s">
        <v>15176</v>
      </c>
      <c r="L1098" s="13">
        <v>10717</v>
      </c>
      <c r="M1098" t="str">
        <f>VLOOKUP(L1098,[1]Mouse_ARA!$B$2:$C$1328,2,FALSE)</f>
        <v>CUL5gr</v>
      </c>
    </row>
    <row r="1099" spans="2:13" x14ac:dyDescent="0.25">
      <c r="B1099" s="37" t="s">
        <v>26299</v>
      </c>
      <c r="C1099" s="25"/>
      <c r="D1099" s="25" t="s">
        <v>25958</v>
      </c>
      <c r="E1099" s="25" t="s">
        <v>26306</v>
      </c>
      <c r="F1099" s="9" t="str">
        <f t="shared" si="15"/>
        <v>hemisphere part of cerebellar anterior lobe</v>
      </c>
      <c r="G1099" s="9" t="s">
        <v>2158</v>
      </c>
      <c r="H1099" s="9" t="s">
        <v>20600</v>
      </c>
      <c r="I1099" s="9" t="s">
        <v>2187</v>
      </c>
      <c r="J1099" s="9" t="s">
        <v>2188</v>
      </c>
      <c r="K1099" s="3" t="s">
        <v>15176</v>
      </c>
      <c r="L1099" s="13">
        <v>10718</v>
      </c>
      <c r="M1099" t="str">
        <f>VLOOKUP(L1099,[1]Mouse_ARA!$B$2:$C$1328,2,FALSE)</f>
        <v>CUL5pu</v>
      </c>
    </row>
    <row r="1100" spans="2:13" x14ac:dyDescent="0.25">
      <c r="B1100" s="37" t="s">
        <v>26299</v>
      </c>
      <c r="C1100" s="25"/>
      <c r="D1100" s="25" t="s">
        <v>25958</v>
      </c>
      <c r="E1100" s="25" t="s">
        <v>26306</v>
      </c>
      <c r="F1100" s="9" t="str">
        <f t="shared" si="15"/>
        <v>hemisphere part of cerebellar anterior lobe</v>
      </c>
      <c r="G1100" s="9" t="s">
        <v>2158</v>
      </c>
      <c r="H1100" s="9" t="s">
        <v>20598</v>
      </c>
      <c r="I1100" s="9" t="s">
        <v>2189</v>
      </c>
      <c r="J1100" s="9" t="s">
        <v>2190</v>
      </c>
      <c r="K1100" s="3" t="s">
        <v>15176</v>
      </c>
      <c r="L1100" s="13">
        <v>10719</v>
      </c>
      <c r="M1100" t="str">
        <f>VLOOKUP(L1100,[1]Mouse_ARA!$B$2:$C$1328,2,FALSE)</f>
        <v>CUL5mo</v>
      </c>
    </row>
    <row r="1101" spans="2:13" x14ac:dyDescent="0.25">
      <c r="B1101" s="37" t="s">
        <v>26299</v>
      </c>
      <c r="C1101" s="25"/>
      <c r="D1101" s="25" t="s">
        <v>25958</v>
      </c>
      <c r="E1101" s="25" t="s">
        <v>26306</v>
      </c>
      <c r="F1101" s="9" t="str">
        <f t="shared" si="15"/>
        <v>hemisphere part of cerebellar anterior lobe</v>
      </c>
      <c r="G1101" s="9" t="s">
        <v>2158</v>
      </c>
      <c r="H1101" s="9" t="s">
        <v>20610</v>
      </c>
      <c r="I1101" s="9" t="s">
        <v>2191</v>
      </c>
      <c r="J1101" s="9" t="s">
        <v>2192</v>
      </c>
      <c r="K1101" s="3" t="s">
        <v>15176</v>
      </c>
      <c r="L1101" s="13">
        <v>10720</v>
      </c>
      <c r="M1101" t="str">
        <f>VLOOKUP(L1101,[1]Mouse_ARA!$B$2:$C$1328,2,FALSE)</f>
        <v>CUL4, 5gr</v>
      </c>
    </row>
    <row r="1102" spans="2:13" x14ac:dyDescent="0.25">
      <c r="B1102" s="37" t="s">
        <v>26299</v>
      </c>
      <c r="C1102" s="25"/>
      <c r="D1102" s="25" t="s">
        <v>25958</v>
      </c>
      <c r="E1102" s="25" t="s">
        <v>26306</v>
      </c>
      <c r="F1102" s="9" t="str">
        <f t="shared" si="15"/>
        <v>hemisphere part of cerebellar anterior lobe</v>
      </c>
      <c r="G1102" s="9" t="s">
        <v>2158</v>
      </c>
      <c r="H1102" s="9" t="s">
        <v>20608</v>
      </c>
      <c r="I1102" s="9" t="s">
        <v>2193</v>
      </c>
      <c r="J1102" s="9" t="s">
        <v>2194</v>
      </c>
      <c r="K1102" s="3" t="s">
        <v>15176</v>
      </c>
      <c r="L1102" s="13">
        <v>10721</v>
      </c>
      <c r="M1102" t="str">
        <f>VLOOKUP(L1102,[1]Mouse_ARA!$B$2:$C$1328,2,FALSE)</f>
        <v>CUL4, 5pu</v>
      </c>
    </row>
    <row r="1103" spans="2:13" x14ac:dyDescent="0.25">
      <c r="B1103" s="37" t="s">
        <v>26299</v>
      </c>
      <c r="C1103" s="25"/>
      <c r="D1103" s="25" t="s">
        <v>25958</v>
      </c>
      <c r="E1103" s="25" t="s">
        <v>26306</v>
      </c>
      <c r="F1103" s="9" t="str">
        <f t="shared" si="15"/>
        <v>hemisphere part of cerebellar anterior lobe</v>
      </c>
      <c r="G1103" s="9" t="s">
        <v>2158</v>
      </c>
      <c r="H1103" s="9" t="s">
        <v>20606</v>
      </c>
      <c r="I1103" s="9" t="s">
        <v>2195</v>
      </c>
      <c r="J1103" s="9" t="s">
        <v>2196</v>
      </c>
      <c r="K1103" s="3" t="s">
        <v>15176</v>
      </c>
      <c r="L1103" s="13">
        <v>10722</v>
      </c>
      <c r="M1103" t="str">
        <f>VLOOKUP(L1103,[1]Mouse_ARA!$B$2:$C$1328,2,FALSE)</f>
        <v>CUL4, 5mo</v>
      </c>
    </row>
    <row r="1104" spans="2:13" x14ac:dyDescent="0.25">
      <c r="B1104" s="37" t="s">
        <v>26299</v>
      </c>
      <c r="C1104" s="25"/>
      <c r="D1104" s="25" t="s">
        <v>25958</v>
      </c>
      <c r="E1104" s="25"/>
      <c r="F1104" s="9" t="str">
        <f t="shared" si="15"/>
        <v>hemisphere part of cerebellar anterior lobe</v>
      </c>
      <c r="G1104" s="9" t="s">
        <v>2158</v>
      </c>
      <c r="H1104" s="9" t="s">
        <v>20604</v>
      </c>
      <c r="I1104" s="9" t="s">
        <v>2197</v>
      </c>
      <c r="J1104" s="9" t="s">
        <v>2198</v>
      </c>
      <c r="K1104" s="3" t="s">
        <v>15176</v>
      </c>
      <c r="L1104" s="13">
        <v>1091</v>
      </c>
      <c r="M1104" t="str">
        <f>VLOOKUP(L1104,[1]Mouse_ARA!$B$2:$C$1328,2,FALSE)</f>
        <v>CUL4, 5</v>
      </c>
    </row>
    <row r="1105" spans="2:13" x14ac:dyDescent="0.25">
      <c r="B1105" s="37" t="s">
        <v>26299</v>
      </c>
      <c r="C1105" s="25" t="s">
        <v>25848</v>
      </c>
      <c r="D1105" s="25" t="s">
        <v>25958</v>
      </c>
      <c r="E1105" s="25"/>
      <c r="F1105" s="9" t="str">
        <f t="shared" si="15"/>
        <v>hemisphere part of cerebellar anterior lobe</v>
      </c>
      <c r="G1105" s="9" t="s">
        <v>2158</v>
      </c>
      <c r="H1105" s="9" t="s">
        <v>20560</v>
      </c>
      <c r="I1105" s="9" t="s">
        <v>1107</v>
      </c>
      <c r="J1105" s="9" t="s">
        <v>1108</v>
      </c>
      <c r="K1105" s="3" t="s">
        <v>15176</v>
      </c>
      <c r="L1105" s="13">
        <v>912</v>
      </c>
      <c r="M1105" t="str">
        <f>VLOOKUP(L1105,[1]Mouse_ARA!$B$2:$C$1328,2,FALSE)</f>
        <v>LING</v>
      </c>
    </row>
    <row r="1106" spans="2:13" x14ac:dyDescent="0.25">
      <c r="B1106" s="37" t="s">
        <v>26299</v>
      </c>
      <c r="C1106" s="20"/>
      <c r="D1106" s="25" t="s">
        <v>25958</v>
      </c>
      <c r="E1106" s="25"/>
      <c r="F1106" s="9" t="str">
        <f t="shared" si="15"/>
        <v>hemisphere part of cerebellar anterior lobe</v>
      </c>
      <c r="G1106" s="9" t="s">
        <v>2158</v>
      </c>
      <c r="H1106" s="9" t="s">
        <v>20568</v>
      </c>
      <c r="I1106" s="9" t="s">
        <v>958</v>
      </c>
      <c r="J1106" s="9" t="s">
        <v>959</v>
      </c>
      <c r="K1106" s="3" t="s">
        <v>15176</v>
      </c>
      <c r="L1106" s="13">
        <v>920</v>
      </c>
      <c r="M1106" t="str">
        <f>VLOOKUP(L1106,[1]Mouse_ARA!$B$2:$C$1328,2,FALSE)</f>
        <v>CENT</v>
      </c>
    </row>
    <row r="1107" spans="2:13" x14ac:dyDescent="0.25">
      <c r="B1107" s="37" t="s">
        <v>26299</v>
      </c>
      <c r="C1107" s="25" t="s">
        <v>25846</v>
      </c>
      <c r="D1107" s="25" t="s">
        <v>25958</v>
      </c>
      <c r="E1107" s="25"/>
      <c r="F1107" s="9" t="str">
        <f t="shared" si="15"/>
        <v>hemisphere part of cerebellar anterior lobe</v>
      </c>
      <c r="G1107" s="9" t="s">
        <v>2158</v>
      </c>
      <c r="H1107" s="9" t="s">
        <v>20586</v>
      </c>
      <c r="I1107" s="9" t="s">
        <v>1109</v>
      </c>
      <c r="J1107" s="9" t="s">
        <v>1110</v>
      </c>
      <c r="K1107" s="3" t="s">
        <v>15176</v>
      </c>
      <c r="L1107" s="13">
        <v>928</v>
      </c>
      <c r="M1107" t="str">
        <f>VLOOKUP(L1107,[1]Mouse_ARA!$B$2:$C$1328,2,FALSE)</f>
        <v>CUL</v>
      </c>
    </row>
    <row r="1108" spans="2:13" x14ac:dyDescent="0.25">
      <c r="B1108" s="37" t="s">
        <v>26299</v>
      </c>
      <c r="C1108" s="20"/>
      <c r="D1108" s="25" t="s">
        <v>25958</v>
      </c>
      <c r="E1108" s="25"/>
      <c r="F1108" s="9" t="str">
        <f t="shared" si="15"/>
        <v>hemisphere part of cerebellar anterior lobe</v>
      </c>
      <c r="G1108" s="9" t="s">
        <v>2158</v>
      </c>
      <c r="H1108" s="9" t="s">
        <v>20570</v>
      </c>
      <c r="I1108" s="9" t="s">
        <v>1121</v>
      </c>
      <c r="J1108" s="9" t="s">
        <v>1122</v>
      </c>
      <c r="K1108" s="3" t="s">
        <v>15176</v>
      </c>
      <c r="L1108" s="13">
        <v>976</v>
      </c>
      <c r="M1108" t="str">
        <f>VLOOKUP(L1108,[1]Mouse_ARA!$B$2:$C$1328,2,FALSE)</f>
        <v>CENT2</v>
      </c>
    </row>
    <row r="1109" spans="2:13" x14ac:dyDescent="0.25">
      <c r="B1109" s="37" t="s">
        <v>26299</v>
      </c>
      <c r="C1109" s="20"/>
      <c r="D1109" s="25" t="s">
        <v>25958</v>
      </c>
      <c r="E1109" s="25"/>
      <c r="F1109" s="9" t="str">
        <f t="shared" si="15"/>
        <v>hemisphere part of cerebellar anterior lobe</v>
      </c>
      <c r="G1109" s="9" t="s">
        <v>2158</v>
      </c>
      <c r="H1109" s="9" t="s">
        <v>20578</v>
      </c>
      <c r="I1109" s="9" t="s">
        <v>1123</v>
      </c>
      <c r="J1109" s="9" t="s">
        <v>1124</v>
      </c>
      <c r="K1109" s="3" t="s">
        <v>15176</v>
      </c>
      <c r="L1109" s="13">
        <v>984</v>
      </c>
      <c r="M1109" t="str">
        <f>VLOOKUP(L1109,[1]Mouse_ARA!$B$2:$C$1328,2,FALSE)</f>
        <v>CENT3</v>
      </c>
    </row>
    <row r="1110" spans="2:13" x14ac:dyDescent="0.25">
      <c r="B1110" s="37" t="s">
        <v>26299</v>
      </c>
      <c r="C1110" s="20"/>
      <c r="D1110" s="25" t="s">
        <v>25958</v>
      </c>
      <c r="E1110" s="25"/>
      <c r="F1110" s="9" t="str">
        <f t="shared" si="15"/>
        <v>hemisphere part of cerebellar anterior lobe</v>
      </c>
      <c r="G1110" s="9" t="s">
        <v>2158</v>
      </c>
      <c r="H1110" s="9" t="s">
        <v>20588</v>
      </c>
      <c r="I1110" s="9" t="s">
        <v>1125</v>
      </c>
      <c r="J1110" s="9" t="s">
        <v>1126</v>
      </c>
      <c r="K1110" s="3" t="s">
        <v>15176</v>
      </c>
      <c r="L1110" s="13">
        <v>992</v>
      </c>
      <c r="M1110" t="str">
        <f>VLOOKUP(L1110,[1]Mouse_ARA!$B$2:$C$1328,2,FALSE)</f>
        <v>CUL4</v>
      </c>
    </row>
    <row r="1111" spans="2:13" x14ac:dyDescent="0.25">
      <c r="B1111" s="37" t="s">
        <v>26299</v>
      </c>
      <c r="C1111" s="20"/>
      <c r="D1111" s="25" t="s">
        <v>25959</v>
      </c>
      <c r="E1111" s="25"/>
      <c r="F1111" s="9" t="str">
        <f t="shared" ref="F1111:F1137" si="16">HYPERLINK("https://www.ebi.ac.uk/ols/ontologies/uberon/terms?iri=http://purl.obolibrary.org/obo/UBERON_0014648","hemisphere part of cerebellar posterior lobe")</f>
        <v>hemisphere part of cerebellar posterior lobe</v>
      </c>
      <c r="G1111" s="9" t="s">
        <v>2199</v>
      </c>
      <c r="H1111" s="9" t="s">
        <v>17383</v>
      </c>
      <c r="I1111" s="9" t="s">
        <v>1087</v>
      </c>
      <c r="J1111" s="9" t="s">
        <v>1088</v>
      </c>
      <c r="K1111" s="5" t="s">
        <v>15173</v>
      </c>
      <c r="L1111" s="13">
        <v>16943</v>
      </c>
      <c r="M1111" t="str">
        <f>VLOOKUP(L1111,[1]DevMouse!$B$2:$C$2693,2,FALSE)</f>
        <v>PM</v>
      </c>
    </row>
    <row r="1112" spans="2:13" x14ac:dyDescent="0.25">
      <c r="B1112" s="37" t="s">
        <v>26299</v>
      </c>
      <c r="C1112" s="25" t="s">
        <v>26137</v>
      </c>
      <c r="D1112" s="25" t="s">
        <v>25959</v>
      </c>
      <c r="E1112" s="25"/>
      <c r="F1112" s="9" t="str">
        <f t="shared" si="16"/>
        <v>hemisphere part of cerebellar posterior lobe</v>
      </c>
      <c r="G1112" s="9" t="s">
        <v>2199</v>
      </c>
      <c r="H1112" s="9" t="s">
        <v>25378</v>
      </c>
      <c r="I1112" s="9" t="s">
        <v>2200</v>
      </c>
      <c r="J1112" s="9" t="s">
        <v>2201</v>
      </c>
      <c r="K1112" s="7" t="s">
        <v>15171</v>
      </c>
      <c r="L1112" s="13">
        <v>12936</v>
      </c>
      <c r="M1112" t="str">
        <f>VLOOKUP(L1112,[1]HBA!$B$2:$C$4000,2,FALSE)</f>
        <v>Cb-PL</v>
      </c>
    </row>
    <row r="1113" spans="2:13" x14ac:dyDescent="0.25">
      <c r="B1113" s="37" t="s">
        <v>26299</v>
      </c>
      <c r="C1113" s="20"/>
      <c r="D1113" s="25" t="s">
        <v>25959</v>
      </c>
      <c r="E1113" s="25"/>
      <c r="F1113" s="9" t="str">
        <f t="shared" si="16"/>
        <v>hemisphere part of cerebellar posterior lobe</v>
      </c>
      <c r="G1113" s="9" t="s">
        <v>2199</v>
      </c>
      <c r="H1113" s="9" t="s">
        <v>20680</v>
      </c>
      <c r="I1113" s="9" t="s">
        <v>1087</v>
      </c>
      <c r="J1113" s="9" t="s">
        <v>1106</v>
      </c>
      <c r="K1113" s="3" t="s">
        <v>15176</v>
      </c>
      <c r="L1113" s="13">
        <v>1025</v>
      </c>
      <c r="M1113" t="str">
        <f>VLOOKUP(L1113,[1]Mouse_ARA!$B$2:$C$1328,2,FALSE)</f>
        <v>PRM</v>
      </c>
    </row>
    <row r="1114" spans="2:13" x14ac:dyDescent="0.25">
      <c r="B1114" s="37" t="s">
        <v>26299</v>
      </c>
      <c r="C1114" s="20"/>
      <c r="D1114" s="25" t="s">
        <v>25959</v>
      </c>
      <c r="E1114" s="25" t="s">
        <v>26306</v>
      </c>
      <c r="F1114" s="9" t="str">
        <f t="shared" si="16"/>
        <v>hemisphere part of cerebellar posterior lobe</v>
      </c>
      <c r="G1114" s="9" t="s">
        <v>2199</v>
      </c>
      <c r="H1114" s="9" t="s">
        <v>20660</v>
      </c>
      <c r="I1114" s="9" t="s">
        <v>2202</v>
      </c>
      <c r="J1114" s="9" t="s">
        <v>2203</v>
      </c>
      <c r="K1114" s="3" t="s">
        <v>15176</v>
      </c>
      <c r="L1114" s="13">
        <v>10672</v>
      </c>
      <c r="M1114" t="str">
        <f>VLOOKUP(L1114,[1]Mouse_ARA!$B$2:$C$1328,2,FALSE)</f>
        <v>SIMgr</v>
      </c>
    </row>
    <row r="1115" spans="2:13" x14ac:dyDescent="0.25">
      <c r="B1115" s="37" t="s">
        <v>26299</v>
      </c>
      <c r="C1115" s="25"/>
      <c r="D1115" s="25" t="s">
        <v>25959</v>
      </c>
      <c r="E1115" s="25" t="s">
        <v>26306</v>
      </c>
      <c r="F1115" s="9" t="str">
        <f t="shared" si="16"/>
        <v>hemisphere part of cerebellar posterior lobe</v>
      </c>
      <c r="G1115" s="9" t="s">
        <v>2199</v>
      </c>
      <c r="H1115" s="9" t="s">
        <v>20658</v>
      </c>
      <c r="I1115" s="9" t="s">
        <v>2204</v>
      </c>
      <c r="J1115" s="9" t="s">
        <v>2205</v>
      </c>
      <c r="K1115" s="3" t="s">
        <v>15176</v>
      </c>
      <c r="L1115" s="13">
        <v>10673</v>
      </c>
      <c r="M1115" t="str">
        <f>VLOOKUP(L1115,[1]Mouse_ARA!$B$2:$C$1328,2,FALSE)</f>
        <v>SIMpu</v>
      </c>
    </row>
    <row r="1116" spans="2:13" x14ac:dyDescent="0.25">
      <c r="B1116" s="37" t="s">
        <v>26299</v>
      </c>
      <c r="C1116" s="25"/>
      <c r="D1116" s="25" t="s">
        <v>25959</v>
      </c>
      <c r="E1116" s="25" t="s">
        <v>26306</v>
      </c>
      <c r="F1116" s="9" t="str">
        <f t="shared" si="16"/>
        <v>hemisphere part of cerebellar posterior lobe</v>
      </c>
      <c r="G1116" s="9" t="s">
        <v>2199</v>
      </c>
      <c r="H1116" s="9" t="s">
        <v>20656</v>
      </c>
      <c r="I1116" s="9" t="s">
        <v>2206</v>
      </c>
      <c r="J1116" s="9" t="s">
        <v>2207</v>
      </c>
      <c r="K1116" s="3" t="s">
        <v>15176</v>
      </c>
      <c r="L1116" s="13">
        <v>10674</v>
      </c>
      <c r="M1116" t="str">
        <f>VLOOKUP(L1116,[1]Mouse_ARA!$B$2:$C$1328,2,FALSE)</f>
        <v>SIMmo</v>
      </c>
    </row>
    <row r="1117" spans="2:13" x14ac:dyDescent="0.25">
      <c r="B1117" s="37" t="s">
        <v>26299</v>
      </c>
      <c r="C1117" s="25"/>
      <c r="D1117" s="25" t="s">
        <v>25959</v>
      </c>
      <c r="E1117" s="25" t="s">
        <v>26306</v>
      </c>
      <c r="F1117" s="9" t="str">
        <f t="shared" si="16"/>
        <v>hemisphere part of cerebellar posterior lobe</v>
      </c>
      <c r="G1117" s="9" t="s">
        <v>2199</v>
      </c>
      <c r="H1117" s="9" t="s">
        <v>20670</v>
      </c>
      <c r="I1117" s="9" t="s">
        <v>2208</v>
      </c>
      <c r="J1117" s="9" t="s">
        <v>2209</v>
      </c>
      <c r="K1117" s="3" t="s">
        <v>15176</v>
      </c>
      <c r="L1117" s="13">
        <v>10675</v>
      </c>
      <c r="M1117" t="str">
        <f>VLOOKUP(L1117,[1]Mouse_ARA!$B$2:$C$1328,2,FALSE)</f>
        <v>ANcr1gr</v>
      </c>
    </row>
    <row r="1118" spans="2:13" x14ac:dyDescent="0.25">
      <c r="B1118" s="37" t="s">
        <v>26299</v>
      </c>
      <c r="C1118" s="25"/>
      <c r="D1118" s="25" t="s">
        <v>25959</v>
      </c>
      <c r="E1118" s="25" t="s">
        <v>26306</v>
      </c>
      <c r="F1118" s="9" t="str">
        <f t="shared" si="16"/>
        <v>hemisphere part of cerebellar posterior lobe</v>
      </c>
      <c r="G1118" s="9" t="s">
        <v>2199</v>
      </c>
      <c r="H1118" s="9" t="s">
        <v>20668</v>
      </c>
      <c r="I1118" s="9" t="s">
        <v>2210</v>
      </c>
      <c r="J1118" s="9" t="s">
        <v>2211</v>
      </c>
      <c r="K1118" s="3" t="s">
        <v>15176</v>
      </c>
      <c r="L1118" s="13">
        <v>10676</v>
      </c>
      <c r="M1118" t="str">
        <f>VLOOKUP(L1118,[1]Mouse_ARA!$B$2:$C$1328,2,FALSE)</f>
        <v>ANcr1pu</v>
      </c>
    </row>
    <row r="1119" spans="2:13" x14ac:dyDescent="0.25">
      <c r="B1119" s="37" t="s">
        <v>26299</v>
      </c>
      <c r="C1119" s="25"/>
      <c r="D1119" s="25" t="s">
        <v>25959</v>
      </c>
      <c r="E1119" s="25" t="s">
        <v>26306</v>
      </c>
      <c r="F1119" s="9" t="str">
        <f t="shared" si="16"/>
        <v>hemisphere part of cerebellar posterior lobe</v>
      </c>
      <c r="G1119" s="9" t="s">
        <v>2199</v>
      </c>
      <c r="H1119" s="9" t="s">
        <v>20666</v>
      </c>
      <c r="I1119" s="9" t="s">
        <v>2212</v>
      </c>
      <c r="J1119" s="9" t="s">
        <v>2213</v>
      </c>
      <c r="K1119" s="3" t="s">
        <v>15176</v>
      </c>
      <c r="L1119" s="13">
        <v>10677</v>
      </c>
      <c r="M1119" t="str">
        <f>VLOOKUP(L1119,[1]Mouse_ARA!$B$2:$C$1328,2,FALSE)</f>
        <v>ANcr1mo</v>
      </c>
    </row>
    <row r="1120" spans="2:13" x14ac:dyDescent="0.25">
      <c r="B1120" s="37" t="s">
        <v>26299</v>
      </c>
      <c r="C1120" s="25"/>
      <c r="D1120" s="25" t="s">
        <v>25959</v>
      </c>
      <c r="E1120" s="25" t="s">
        <v>26306</v>
      </c>
      <c r="F1120" s="9" t="str">
        <f t="shared" si="16"/>
        <v>hemisphere part of cerebellar posterior lobe</v>
      </c>
      <c r="G1120" s="9" t="s">
        <v>2199</v>
      </c>
      <c r="H1120" s="9" t="s">
        <v>20678</v>
      </c>
      <c r="I1120" s="9" t="s">
        <v>2214</v>
      </c>
      <c r="J1120" s="9" t="s">
        <v>2215</v>
      </c>
      <c r="K1120" s="3" t="s">
        <v>15176</v>
      </c>
      <c r="L1120" s="13">
        <v>10678</v>
      </c>
      <c r="M1120" t="str">
        <f>VLOOKUP(L1120,[1]Mouse_ARA!$B$2:$C$1328,2,FALSE)</f>
        <v>ANcr2gr</v>
      </c>
    </row>
    <row r="1121" spans="2:13" x14ac:dyDescent="0.25">
      <c r="B1121" s="37" t="s">
        <v>26299</v>
      </c>
      <c r="C1121" s="25"/>
      <c r="D1121" s="25" t="s">
        <v>25959</v>
      </c>
      <c r="E1121" s="25" t="s">
        <v>26306</v>
      </c>
      <c r="F1121" s="9" t="str">
        <f t="shared" si="16"/>
        <v>hemisphere part of cerebellar posterior lobe</v>
      </c>
      <c r="G1121" s="9" t="s">
        <v>2199</v>
      </c>
      <c r="H1121" s="9" t="s">
        <v>20676</v>
      </c>
      <c r="I1121" s="9" t="s">
        <v>2216</v>
      </c>
      <c r="J1121" s="9" t="s">
        <v>2217</v>
      </c>
      <c r="K1121" s="3" t="s">
        <v>15176</v>
      </c>
      <c r="L1121" s="13">
        <v>10679</v>
      </c>
      <c r="M1121" t="str">
        <f>VLOOKUP(L1121,[1]Mouse_ARA!$B$2:$C$1328,2,FALSE)</f>
        <v>ANcr2pu</v>
      </c>
    </row>
    <row r="1122" spans="2:13" x14ac:dyDescent="0.25">
      <c r="B1122" s="37" t="s">
        <v>26299</v>
      </c>
      <c r="C1122" s="25"/>
      <c r="D1122" s="25" t="s">
        <v>25959</v>
      </c>
      <c r="E1122" s="25" t="s">
        <v>26306</v>
      </c>
      <c r="F1122" s="9" t="str">
        <f t="shared" si="16"/>
        <v>hemisphere part of cerebellar posterior lobe</v>
      </c>
      <c r="G1122" s="9" t="s">
        <v>2199</v>
      </c>
      <c r="H1122" s="9" t="s">
        <v>20674</v>
      </c>
      <c r="I1122" s="9" t="s">
        <v>2218</v>
      </c>
      <c r="J1122" s="9" t="s">
        <v>2219</v>
      </c>
      <c r="K1122" s="3" t="s">
        <v>15176</v>
      </c>
      <c r="L1122" s="13">
        <v>10680</v>
      </c>
      <c r="M1122" t="str">
        <f>VLOOKUP(L1122,[1]Mouse_ARA!$B$2:$C$1328,2,FALSE)</f>
        <v>ANcr2mo</v>
      </c>
    </row>
    <row r="1123" spans="2:13" x14ac:dyDescent="0.25">
      <c r="B1123" s="37" t="s">
        <v>26299</v>
      </c>
      <c r="C1123" s="25"/>
      <c r="D1123" s="25" t="s">
        <v>25959</v>
      </c>
      <c r="E1123" s="25" t="s">
        <v>26306</v>
      </c>
      <c r="F1123" s="9" t="str">
        <f t="shared" si="16"/>
        <v>hemisphere part of cerebellar posterior lobe</v>
      </c>
      <c r="G1123" s="9" t="s">
        <v>2199</v>
      </c>
      <c r="H1123" s="9" t="s">
        <v>20686</v>
      </c>
      <c r="I1123" s="9" t="s">
        <v>2220</v>
      </c>
      <c r="J1123" s="9" t="s">
        <v>2221</v>
      </c>
      <c r="K1123" s="3" t="s">
        <v>15176</v>
      </c>
      <c r="L1123" s="13">
        <v>10681</v>
      </c>
      <c r="M1123" t="str">
        <f>VLOOKUP(L1123,[1]Mouse_ARA!$B$2:$C$1328,2,FALSE)</f>
        <v>PRMgr</v>
      </c>
    </row>
    <row r="1124" spans="2:13" x14ac:dyDescent="0.25">
      <c r="B1124" s="37" t="s">
        <v>26299</v>
      </c>
      <c r="C1124" s="25"/>
      <c r="D1124" s="25" t="s">
        <v>25959</v>
      </c>
      <c r="E1124" s="25" t="s">
        <v>26306</v>
      </c>
      <c r="F1124" s="9" t="str">
        <f t="shared" si="16"/>
        <v>hemisphere part of cerebellar posterior lobe</v>
      </c>
      <c r="G1124" s="9" t="s">
        <v>2199</v>
      </c>
      <c r="H1124" s="9" t="s">
        <v>20684</v>
      </c>
      <c r="I1124" s="9" t="s">
        <v>2222</v>
      </c>
      <c r="J1124" s="9" t="s">
        <v>2223</v>
      </c>
      <c r="K1124" s="3" t="s">
        <v>15176</v>
      </c>
      <c r="L1124" s="13">
        <v>10682</v>
      </c>
      <c r="M1124" t="str">
        <f>VLOOKUP(L1124,[1]Mouse_ARA!$B$2:$C$1328,2,FALSE)</f>
        <v>PRMpu</v>
      </c>
    </row>
    <row r="1125" spans="2:13" x14ac:dyDescent="0.25">
      <c r="B1125" s="37" t="s">
        <v>26299</v>
      </c>
      <c r="C1125" s="25"/>
      <c r="D1125" s="25" t="s">
        <v>25959</v>
      </c>
      <c r="E1125" s="25" t="s">
        <v>26306</v>
      </c>
      <c r="F1125" s="9" t="str">
        <f t="shared" si="16"/>
        <v>hemisphere part of cerebellar posterior lobe</v>
      </c>
      <c r="G1125" s="9" t="s">
        <v>2199</v>
      </c>
      <c r="H1125" s="9" t="s">
        <v>20682</v>
      </c>
      <c r="I1125" s="9" t="s">
        <v>2224</v>
      </c>
      <c r="J1125" s="9" t="s">
        <v>2225</v>
      </c>
      <c r="K1125" s="3" t="s">
        <v>15176</v>
      </c>
      <c r="L1125" s="13">
        <v>10683</v>
      </c>
      <c r="M1125" t="str">
        <f>VLOOKUP(L1125,[1]Mouse_ARA!$B$2:$C$1328,2,FALSE)</f>
        <v>PRMmo</v>
      </c>
    </row>
    <row r="1126" spans="2:13" x14ac:dyDescent="0.25">
      <c r="B1126" s="37" t="s">
        <v>26299</v>
      </c>
      <c r="C1126" s="20"/>
      <c r="D1126" s="25" t="s">
        <v>25959</v>
      </c>
      <c r="E1126" s="25" t="s">
        <v>26306</v>
      </c>
      <c r="F1126" s="9" t="str">
        <f t="shared" si="16"/>
        <v>hemisphere part of cerebellar posterior lobe</v>
      </c>
      <c r="G1126" s="9" t="s">
        <v>2199</v>
      </c>
      <c r="H1126" s="9" t="s">
        <v>20618</v>
      </c>
      <c r="I1126" s="9" t="s">
        <v>2226</v>
      </c>
      <c r="J1126" s="9" t="s">
        <v>2227</v>
      </c>
      <c r="K1126" s="3" t="s">
        <v>15176</v>
      </c>
      <c r="L1126" s="13">
        <v>10723</v>
      </c>
      <c r="M1126" t="str">
        <f>VLOOKUP(L1126,[1]Mouse_ARA!$B$2:$C$1328,2,FALSE)</f>
        <v>DECgr</v>
      </c>
    </row>
    <row r="1127" spans="2:13" x14ac:dyDescent="0.25">
      <c r="B1127" s="37" t="s">
        <v>26299</v>
      </c>
      <c r="C1127" s="25"/>
      <c r="D1127" s="25" t="s">
        <v>25959</v>
      </c>
      <c r="E1127" s="25" t="s">
        <v>26306</v>
      </c>
      <c r="F1127" s="9" t="str">
        <f t="shared" si="16"/>
        <v>hemisphere part of cerebellar posterior lobe</v>
      </c>
      <c r="G1127" s="9" t="s">
        <v>2199</v>
      </c>
      <c r="H1127" s="9" t="s">
        <v>20616</v>
      </c>
      <c r="I1127" s="9" t="s">
        <v>2228</v>
      </c>
      <c r="J1127" s="9" t="s">
        <v>2229</v>
      </c>
      <c r="K1127" s="3" t="s">
        <v>15176</v>
      </c>
      <c r="L1127" s="13">
        <v>10724</v>
      </c>
      <c r="M1127" t="str">
        <f>VLOOKUP(L1127,[1]Mouse_ARA!$B$2:$C$1328,2,FALSE)</f>
        <v>DECpu</v>
      </c>
    </row>
    <row r="1128" spans="2:13" x14ac:dyDescent="0.25">
      <c r="B1128" s="37" t="s">
        <v>26299</v>
      </c>
      <c r="C1128" s="20"/>
      <c r="D1128" s="25" t="s">
        <v>25959</v>
      </c>
      <c r="E1128" s="25" t="s">
        <v>26306</v>
      </c>
      <c r="F1128" s="9" t="str">
        <f t="shared" si="16"/>
        <v>hemisphere part of cerebellar posterior lobe</v>
      </c>
      <c r="G1128" s="9" t="s">
        <v>2199</v>
      </c>
      <c r="H1128" s="9" t="s">
        <v>20614</v>
      </c>
      <c r="I1128" s="9" t="s">
        <v>2230</v>
      </c>
      <c r="J1128" s="9" t="s">
        <v>2231</v>
      </c>
      <c r="K1128" s="3" t="s">
        <v>15176</v>
      </c>
      <c r="L1128" s="13">
        <v>10725</v>
      </c>
      <c r="M1128" t="str">
        <f>VLOOKUP(L1128,[1]Mouse_ARA!$B$2:$C$1328,2,FALSE)</f>
        <v>DECmo</v>
      </c>
    </row>
    <row r="1129" spans="2:13" x14ac:dyDescent="0.25">
      <c r="B1129" s="37" t="s">
        <v>26299</v>
      </c>
      <c r="C1129" s="25"/>
      <c r="D1129" s="25" t="s">
        <v>25959</v>
      </c>
      <c r="E1129" s="25" t="s">
        <v>26306</v>
      </c>
      <c r="F1129" s="9" t="str">
        <f t="shared" si="16"/>
        <v>hemisphere part of cerebellar posterior lobe</v>
      </c>
      <c r="G1129" s="9" t="s">
        <v>2199</v>
      </c>
      <c r="H1129" s="9" t="s">
        <v>20626</v>
      </c>
      <c r="I1129" s="9" t="s">
        <v>2232</v>
      </c>
      <c r="J1129" s="9" t="s">
        <v>2233</v>
      </c>
      <c r="K1129" s="3" t="s">
        <v>15176</v>
      </c>
      <c r="L1129" s="13">
        <v>10726</v>
      </c>
      <c r="M1129" t="str">
        <f>VLOOKUP(L1129,[1]Mouse_ARA!$B$2:$C$1328,2,FALSE)</f>
        <v>FOTUgr</v>
      </c>
    </row>
    <row r="1130" spans="2:13" x14ac:dyDescent="0.25">
      <c r="B1130" s="37" t="s">
        <v>26299</v>
      </c>
      <c r="C1130" s="25"/>
      <c r="D1130" s="25" t="s">
        <v>25959</v>
      </c>
      <c r="E1130" s="25" t="s">
        <v>26306</v>
      </c>
      <c r="F1130" s="9" t="str">
        <f t="shared" si="16"/>
        <v>hemisphere part of cerebellar posterior lobe</v>
      </c>
      <c r="G1130" s="9" t="s">
        <v>2199</v>
      </c>
      <c r="H1130" s="9" t="s">
        <v>20624</v>
      </c>
      <c r="I1130" s="9" t="s">
        <v>2234</v>
      </c>
      <c r="J1130" s="9" t="s">
        <v>2235</v>
      </c>
      <c r="K1130" s="3" t="s">
        <v>15176</v>
      </c>
      <c r="L1130" s="13">
        <v>10727</v>
      </c>
      <c r="M1130" t="str">
        <f>VLOOKUP(L1130,[1]Mouse_ARA!$B$2:$C$1328,2,FALSE)</f>
        <v>FOTUpu</v>
      </c>
    </row>
    <row r="1131" spans="2:13" x14ac:dyDescent="0.25">
      <c r="B1131" s="37" t="s">
        <v>26299</v>
      </c>
      <c r="C1131" s="25"/>
      <c r="D1131" s="25" t="s">
        <v>25959</v>
      </c>
      <c r="E1131" s="25" t="s">
        <v>26306</v>
      </c>
      <c r="F1131" s="9" t="str">
        <f t="shared" si="16"/>
        <v>hemisphere part of cerebellar posterior lobe</v>
      </c>
      <c r="G1131" s="9" t="s">
        <v>2199</v>
      </c>
      <c r="H1131" s="9" t="s">
        <v>20622</v>
      </c>
      <c r="I1131" s="9" t="s">
        <v>2236</v>
      </c>
      <c r="J1131" s="9" t="s">
        <v>2237</v>
      </c>
      <c r="K1131" s="3" t="s">
        <v>15176</v>
      </c>
      <c r="L1131" s="13">
        <v>10728</v>
      </c>
      <c r="M1131" t="str">
        <f>VLOOKUP(L1131,[1]Mouse_ARA!$B$2:$C$1328,2,FALSE)</f>
        <v>FOTUmo</v>
      </c>
    </row>
    <row r="1132" spans="2:13" x14ac:dyDescent="0.25">
      <c r="B1132" s="37" t="s">
        <v>26299</v>
      </c>
      <c r="C1132" s="20"/>
      <c r="D1132" s="25" t="s">
        <v>25959</v>
      </c>
      <c r="E1132" s="25" t="s">
        <v>26306</v>
      </c>
      <c r="F1132" s="9" t="str">
        <f t="shared" si="16"/>
        <v>hemisphere part of cerebellar posterior lobe</v>
      </c>
      <c r="G1132" s="9" t="s">
        <v>2199</v>
      </c>
      <c r="H1132" s="9" t="s">
        <v>20634</v>
      </c>
      <c r="I1132" s="9" t="s">
        <v>2238</v>
      </c>
      <c r="J1132" s="9" t="s">
        <v>2239</v>
      </c>
      <c r="K1132" s="3" t="s">
        <v>15176</v>
      </c>
      <c r="L1132" s="13">
        <v>10729</v>
      </c>
      <c r="M1132" t="str">
        <f>VLOOKUP(L1132,[1]Mouse_ARA!$B$2:$C$1328,2,FALSE)</f>
        <v>PYRgr</v>
      </c>
    </row>
    <row r="1133" spans="2:13" x14ac:dyDescent="0.25">
      <c r="B1133" s="37" t="s">
        <v>26299</v>
      </c>
      <c r="C1133" s="25"/>
      <c r="D1133" s="25" t="s">
        <v>25959</v>
      </c>
      <c r="E1133" s="25" t="s">
        <v>26306</v>
      </c>
      <c r="F1133" s="9" t="str">
        <f t="shared" si="16"/>
        <v>hemisphere part of cerebellar posterior lobe</v>
      </c>
      <c r="G1133" s="9" t="s">
        <v>2199</v>
      </c>
      <c r="H1133" s="9" t="s">
        <v>20632</v>
      </c>
      <c r="I1133" s="9" t="s">
        <v>2240</v>
      </c>
      <c r="J1133" s="9" t="s">
        <v>2241</v>
      </c>
      <c r="K1133" s="3" t="s">
        <v>15176</v>
      </c>
      <c r="L1133" s="13">
        <v>10730</v>
      </c>
      <c r="M1133" t="str">
        <f>VLOOKUP(L1133,[1]Mouse_ARA!$B$2:$C$1328,2,FALSE)</f>
        <v>PYRpu</v>
      </c>
    </row>
    <row r="1134" spans="2:13" x14ac:dyDescent="0.25">
      <c r="B1134" s="37" t="s">
        <v>26299</v>
      </c>
      <c r="C1134" s="20"/>
      <c r="D1134" s="25" t="s">
        <v>25959</v>
      </c>
      <c r="E1134" s="25" t="s">
        <v>26306</v>
      </c>
      <c r="F1134" s="9" t="str">
        <f t="shared" si="16"/>
        <v>hemisphere part of cerebellar posterior lobe</v>
      </c>
      <c r="G1134" s="9" t="s">
        <v>2199</v>
      </c>
      <c r="H1134" s="9" t="s">
        <v>20630</v>
      </c>
      <c r="I1134" s="9" t="s">
        <v>2242</v>
      </c>
      <c r="J1134" s="9" t="s">
        <v>2243</v>
      </c>
      <c r="K1134" s="3" t="s">
        <v>15176</v>
      </c>
      <c r="L1134" s="13">
        <v>10731</v>
      </c>
      <c r="M1134" t="str">
        <f>VLOOKUP(L1134,[1]Mouse_ARA!$B$2:$C$1328,2,FALSE)</f>
        <v>PYRmo</v>
      </c>
    </row>
    <row r="1135" spans="2:13" x14ac:dyDescent="0.25">
      <c r="B1135" s="37" t="s">
        <v>26299</v>
      </c>
      <c r="C1135" s="20"/>
      <c r="D1135" s="25" t="s">
        <v>25959</v>
      </c>
      <c r="E1135" s="25"/>
      <c r="F1135" s="9" t="str">
        <f t="shared" si="16"/>
        <v>hemisphere part of cerebellar posterior lobe</v>
      </c>
      <c r="G1135" s="9" t="s">
        <v>2199</v>
      </c>
      <c r="H1135" s="9" t="s">
        <v>20612</v>
      </c>
      <c r="I1135" s="9" t="s">
        <v>1111</v>
      </c>
      <c r="J1135" s="9" t="s">
        <v>1112</v>
      </c>
      <c r="K1135" s="3" t="s">
        <v>15176</v>
      </c>
      <c r="L1135" s="13">
        <v>936</v>
      </c>
      <c r="M1135" t="str">
        <f>VLOOKUP(L1135,[1]Mouse_ARA!$B$2:$C$1328,2,FALSE)</f>
        <v>DEC</v>
      </c>
    </row>
    <row r="1136" spans="2:13" x14ac:dyDescent="0.25">
      <c r="B1136" s="37"/>
      <c r="C1136" s="25" t="s">
        <v>25855</v>
      </c>
      <c r="D1136" s="25" t="s">
        <v>25959</v>
      </c>
      <c r="E1136" s="25"/>
      <c r="F1136" s="9" t="str">
        <f t="shared" si="16"/>
        <v>hemisphere part of cerebellar posterior lobe</v>
      </c>
      <c r="G1136" s="9" t="s">
        <v>2199</v>
      </c>
      <c r="H1136" s="9" t="s">
        <v>20620</v>
      </c>
      <c r="I1136" s="9" t="s">
        <v>1113</v>
      </c>
      <c r="J1136" s="9" t="s">
        <v>1114</v>
      </c>
      <c r="K1136" s="3" t="s">
        <v>15176</v>
      </c>
      <c r="L1136" s="13">
        <v>944</v>
      </c>
      <c r="M1136" t="str">
        <f>VLOOKUP(L1136,[1]Mouse_ARA!$B$2:$C$1328,2,FALSE)</f>
        <v>FOTU</v>
      </c>
    </row>
    <row r="1137" spans="2:13" x14ac:dyDescent="0.25">
      <c r="B1137" s="37" t="s">
        <v>26299</v>
      </c>
      <c r="C1137" s="20"/>
      <c r="D1137" s="25" t="s">
        <v>25959</v>
      </c>
      <c r="E1137" s="25"/>
      <c r="F1137" s="9" t="str">
        <f t="shared" si="16"/>
        <v>hemisphere part of cerebellar posterior lobe</v>
      </c>
      <c r="G1137" s="9" t="s">
        <v>2199</v>
      </c>
      <c r="H1137" s="9" t="s">
        <v>20628</v>
      </c>
      <c r="I1137" s="9" t="s">
        <v>1115</v>
      </c>
      <c r="J1137" s="9" t="s">
        <v>1116</v>
      </c>
      <c r="K1137" s="3" t="s">
        <v>15176</v>
      </c>
      <c r="L1137" s="13">
        <v>951</v>
      </c>
      <c r="M1137" t="str">
        <f>VLOOKUP(L1137,[1]Mouse_ARA!$B$2:$C$1328,2,FALSE)</f>
        <v>PYR</v>
      </c>
    </row>
    <row r="1138" spans="2:13" x14ac:dyDescent="0.25">
      <c r="B1138" s="31" t="s">
        <v>25743</v>
      </c>
      <c r="C1138" s="20"/>
      <c r="D1138" s="25" t="s">
        <v>2247</v>
      </c>
      <c r="E1138" s="25"/>
      <c r="F1138" s="9" t="str">
        <f>HYPERLINK("https://www.ebi.ac.uk/ols/ontologies/uberon/terms?iri=http://purl.obolibrary.org/obo/UBERON_0002028","hindbrain")</f>
        <v>hindbrain</v>
      </c>
      <c r="G1138" s="9" t="s">
        <v>2244</v>
      </c>
      <c r="H1138" s="9" t="s">
        <v>17230</v>
      </c>
      <c r="I1138" s="9" t="s">
        <v>2245</v>
      </c>
      <c r="J1138" s="9" t="s">
        <v>2246</v>
      </c>
      <c r="K1138" s="4" t="s">
        <v>15175</v>
      </c>
      <c r="L1138" s="13">
        <v>10653</v>
      </c>
      <c r="M1138" t="str">
        <f>VLOOKUP(L1138,[1]Human_BrainSpan!$B$2:$C$4000,2,FALSE)</f>
        <v>H</v>
      </c>
    </row>
    <row r="1139" spans="2:13" x14ac:dyDescent="0.25">
      <c r="B1139" s="31" t="s">
        <v>25743</v>
      </c>
      <c r="C1139" s="20"/>
      <c r="D1139" s="25" t="s">
        <v>2247</v>
      </c>
      <c r="E1139" s="25"/>
      <c r="F1139" s="9" t="str">
        <f>HYPERLINK("https://www.ebi.ac.uk/ols/ontologies/uberon/terms?iri=http://purl.obolibrary.org/obo/UBERON_0002028","hindbrain")</f>
        <v>hindbrain</v>
      </c>
      <c r="G1139" s="9" t="s">
        <v>2244</v>
      </c>
      <c r="H1139" s="9" t="s">
        <v>17230</v>
      </c>
      <c r="I1139" s="9" t="s">
        <v>2247</v>
      </c>
      <c r="J1139" s="9" t="s">
        <v>2248</v>
      </c>
      <c r="K1139" s="5" t="s">
        <v>15173</v>
      </c>
      <c r="L1139" s="13">
        <v>16808</v>
      </c>
      <c r="M1139" t="str">
        <f>VLOOKUP(L1139,[1]DevMouse!$B$2:$C$2693,2,FALSE)</f>
        <v>H</v>
      </c>
    </row>
    <row r="1140" spans="2:13" x14ac:dyDescent="0.25">
      <c r="B1140" s="31" t="s">
        <v>25743</v>
      </c>
      <c r="C1140" s="20"/>
      <c r="D1140" s="25" t="s">
        <v>2247</v>
      </c>
      <c r="E1140" s="25"/>
      <c r="F1140" s="9" t="str">
        <f>HYPERLINK("https://www.ebi.ac.uk/ols/ontologies/uberon/terms?iri=http://purl.obolibrary.org/obo/UBERON_0002028","hindbrain")</f>
        <v>hindbrain</v>
      </c>
      <c r="G1140" s="9" t="s">
        <v>2244</v>
      </c>
      <c r="H1140" s="9" t="s">
        <v>20293</v>
      </c>
      <c r="I1140" s="9" t="s">
        <v>2247</v>
      </c>
      <c r="J1140" s="9" t="s">
        <v>2249</v>
      </c>
      <c r="K1140" s="3" t="s">
        <v>15176</v>
      </c>
      <c r="L1140" s="13">
        <v>1065</v>
      </c>
      <c r="M1140" t="str">
        <f>VLOOKUP(L1140,[1]Mouse_ARA!$B$2:$C$1328,2,FALSE)</f>
        <v>HB</v>
      </c>
    </row>
    <row r="1141" spans="2:13" x14ac:dyDescent="0.25">
      <c r="B1141" s="31" t="s">
        <v>25743</v>
      </c>
      <c r="C1141" s="25"/>
      <c r="D1141" s="25" t="s">
        <v>25960</v>
      </c>
      <c r="E1141" s="25"/>
      <c r="F1141" s="9" t="str">
        <f>HYPERLINK("https://www.ebi.ac.uk/ols/ontologies/uberon/terms?iri=http://purl.obolibrary.org/obo/UBERON_0034994","hindbrain cortical intermediate zone")</f>
        <v>hindbrain cortical intermediate zone</v>
      </c>
      <c r="G1141" s="9" t="s">
        <v>2250</v>
      </c>
      <c r="H1141" s="9" t="s">
        <v>24576</v>
      </c>
      <c r="I1141" s="9" t="s">
        <v>1668</v>
      </c>
      <c r="J1141" s="9" t="s">
        <v>1669</v>
      </c>
      <c r="K1141" s="4" t="s">
        <v>15175</v>
      </c>
      <c r="L1141" s="13">
        <v>12682</v>
      </c>
      <c r="M1141" t="str">
        <f>VLOOKUP(L1141,[1]Human_BrainSpan!$B$2:$C$4000,2,FALSE)</f>
        <v>IZH</v>
      </c>
    </row>
    <row r="1142" spans="2:13" x14ac:dyDescent="0.25">
      <c r="B1142" s="31" t="s">
        <v>25743</v>
      </c>
      <c r="C1142" s="20"/>
      <c r="D1142" s="25" t="s">
        <v>25961</v>
      </c>
      <c r="E1142" s="25"/>
      <c r="F1142" s="9" t="str">
        <f>HYPERLINK("https://www.ebi.ac.uk/ols/ontologies/uberon/terms?iri=http://purl.obolibrary.org/obo/UBERON_0034709","hindbrain marginal layer")</f>
        <v>hindbrain marginal layer</v>
      </c>
      <c r="G1142" s="9" t="s">
        <v>2251</v>
      </c>
      <c r="H1142" s="9" t="s">
        <v>24572</v>
      </c>
      <c r="I1142" s="9" t="s">
        <v>2252</v>
      </c>
      <c r="J1142" s="9" t="s">
        <v>2253</v>
      </c>
      <c r="K1142" s="4" t="s">
        <v>15175</v>
      </c>
      <c r="L1142" s="13">
        <v>12694</v>
      </c>
      <c r="M1142" t="str">
        <f>VLOOKUP(L1142,[1]Human_BrainSpan!$B$2:$C$4000,2,FALSE)</f>
        <v>MZH</v>
      </c>
    </row>
    <row r="1143" spans="2:13" x14ac:dyDescent="0.25">
      <c r="B1143" s="31" t="s">
        <v>26303</v>
      </c>
      <c r="C1143" s="25" t="s">
        <v>26036</v>
      </c>
      <c r="D1143" s="25" t="s">
        <v>25962</v>
      </c>
      <c r="E1143" s="25"/>
      <c r="F1143" s="9" t="str">
        <f t="shared" ref="F1143:F1171" si="17">HYPERLINK("https://www.ebi.ac.uk/ols/ontologies/uberon/terms?iri=http://purl.obolibrary.org/obo/UBERON_0009662","hindbrain nucleus")</f>
        <v>hindbrain nucleus</v>
      </c>
      <c r="G1143" s="9" t="s">
        <v>2254</v>
      </c>
      <c r="H1143" s="9" t="s">
        <v>23935</v>
      </c>
      <c r="I1143" s="9" t="s">
        <v>2255</v>
      </c>
      <c r="J1143" s="9" t="s">
        <v>2256</v>
      </c>
      <c r="K1143" s="4" t="s">
        <v>15175</v>
      </c>
      <c r="L1143" s="13">
        <v>12208</v>
      </c>
      <c r="M1143" t="str">
        <f>VLOOKUP(L1143,[1]Human_BrainSpan!$B$2:$C$4000,2,FALSE)</f>
        <v>Me5</v>
      </c>
    </row>
    <row r="1144" spans="2:13" x14ac:dyDescent="0.25">
      <c r="B1144" s="31" t="s">
        <v>26303</v>
      </c>
      <c r="C1144" s="25" t="s">
        <v>2257</v>
      </c>
      <c r="D1144" s="25" t="s">
        <v>25962</v>
      </c>
      <c r="E1144" s="25"/>
      <c r="F1144" s="9" t="str">
        <f t="shared" si="17"/>
        <v>hindbrain nucleus</v>
      </c>
      <c r="G1144" s="9" t="s">
        <v>2254</v>
      </c>
      <c r="H1144" s="9" t="s">
        <v>17462</v>
      </c>
      <c r="I1144" s="9" t="s">
        <v>2257</v>
      </c>
      <c r="J1144" s="9" t="s">
        <v>2258</v>
      </c>
      <c r="K1144" s="4" t="s">
        <v>15175</v>
      </c>
      <c r="L1144" s="13">
        <v>12266</v>
      </c>
      <c r="M1144" t="str">
        <f>VLOOKUP(L1144,[1]Human_BrainSpan!$B$2:$C$4000,2,FALSE)</f>
        <v>VTg</v>
      </c>
    </row>
    <row r="1145" spans="2:13" x14ac:dyDescent="0.25">
      <c r="B1145" s="31" t="s">
        <v>26303</v>
      </c>
      <c r="C1145" s="25" t="s">
        <v>2266</v>
      </c>
      <c r="D1145" s="25" t="s">
        <v>25962</v>
      </c>
      <c r="E1145" s="25"/>
      <c r="F1145" s="9" t="str">
        <f t="shared" si="17"/>
        <v>hindbrain nucleus</v>
      </c>
      <c r="G1145" s="9" t="s">
        <v>2254</v>
      </c>
      <c r="H1145" s="9" t="s">
        <v>24262</v>
      </c>
      <c r="I1145" s="9" t="s">
        <v>2259</v>
      </c>
      <c r="J1145" s="9" t="s">
        <v>2260</v>
      </c>
      <c r="K1145" s="4" t="s">
        <v>15175</v>
      </c>
      <c r="L1145" s="13">
        <v>12413</v>
      </c>
      <c r="M1145" t="str">
        <f>VLOOKUP(L1145,[1]Human_BrainSpan!$B$2:$C$4000,2,FALSE)</f>
        <v>PNped</v>
      </c>
    </row>
    <row r="1146" spans="2:13" x14ac:dyDescent="0.25">
      <c r="B1146" s="31" t="s">
        <v>26303</v>
      </c>
      <c r="C1146" s="25" t="s">
        <v>26055</v>
      </c>
      <c r="D1146" s="25" t="s">
        <v>25962</v>
      </c>
      <c r="E1146" s="25"/>
      <c r="F1146" s="9" t="str">
        <f t="shared" si="17"/>
        <v>hindbrain nucleus</v>
      </c>
      <c r="G1146" s="9" t="s">
        <v>2254</v>
      </c>
      <c r="H1146" s="9" t="s">
        <v>24304</v>
      </c>
      <c r="I1146" s="9" t="s">
        <v>644</v>
      </c>
      <c r="J1146" s="9" t="s">
        <v>645</v>
      </c>
      <c r="K1146" s="4" t="s">
        <v>15175</v>
      </c>
      <c r="L1146" s="13">
        <v>12454</v>
      </c>
      <c r="M1146" t="str">
        <f>VLOOKUP(L1146,[1]Human_BrainSpan!$B$2:$C$4000,2,FALSE)</f>
        <v>LLN</v>
      </c>
    </row>
    <row r="1147" spans="2:13" x14ac:dyDescent="0.25">
      <c r="B1147" s="31" t="s">
        <v>26303</v>
      </c>
      <c r="C1147" s="25" t="s">
        <v>721</v>
      </c>
      <c r="D1147" s="25" t="s">
        <v>25962</v>
      </c>
      <c r="E1147" s="25"/>
      <c r="F1147" s="9" t="str">
        <f t="shared" si="17"/>
        <v>hindbrain nucleus</v>
      </c>
      <c r="G1147" s="9" t="s">
        <v>2254</v>
      </c>
      <c r="H1147" s="9" t="s">
        <v>24339</v>
      </c>
      <c r="I1147" s="9" t="s">
        <v>646</v>
      </c>
      <c r="J1147" s="9" t="s">
        <v>647</v>
      </c>
      <c r="K1147" s="4" t="s">
        <v>15175</v>
      </c>
      <c r="L1147" s="13">
        <v>12500</v>
      </c>
      <c r="M1147" t="str">
        <f>VLOOKUP(L1147,[1]Human_BrainSpan!$B$2:$C$4000,2,FALSE)</f>
        <v>SubC</v>
      </c>
    </row>
    <row r="1148" spans="2:13" x14ac:dyDescent="0.25">
      <c r="B1148" s="31" t="s">
        <v>26303</v>
      </c>
      <c r="C1148" s="25" t="s">
        <v>1614</v>
      </c>
      <c r="D1148" s="25" t="s">
        <v>25962</v>
      </c>
      <c r="E1148" s="25"/>
      <c r="F1148" s="9" t="str">
        <f t="shared" si="17"/>
        <v>hindbrain nucleus</v>
      </c>
      <c r="G1148" s="9" t="s">
        <v>2254</v>
      </c>
      <c r="H1148" s="9" t="s">
        <v>17455</v>
      </c>
      <c r="I1148" s="9" t="s">
        <v>1614</v>
      </c>
      <c r="J1148" s="9" t="s">
        <v>1615</v>
      </c>
      <c r="K1148" s="4" t="s">
        <v>15175</v>
      </c>
      <c r="L1148" s="13">
        <v>12508</v>
      </c>
      <c r="M1148" t="str">
        <f>VLOOKUP(L1148,[1]Human_BrainSpan!$B$2:$C$4000,2,FALSE)</f>
        <v>DTg</v>
      </c>
    </row>
    <row r="1149" spans="2:13" x14ac:dyDescent="0.25">
      <c r="B1149" s="31" t="s">
        <v>26303</v>
      </c>
      <c r="C1149" s="25" t="s">
        <v>2261</v>
      </c>
      <c r="D1149" s="25" t="s">
        <v>25962</v>
      </c>
      <c r="E1149" s="25"/>
      <c r="F1149" s="9" t="str">
        <f t="shared" si="17"/>
        <v>hindbrain nucleus</v>
      </c>
      <c r="G1149" s="9" t="s">
        <v>2254</v>
      </c>
      <c r="H1149" s="9" t="s">
        <v>17411</v>
      </c>
      <c r="I1149" s="9" t="s">
        <v>2261</v>
      </c>
      <c r="J1149" s="9" t="s">
        <v>2262</v>
      </c>
      <c r="K1149" s="4" t="s">
        <v>15175</v>
      </c>
      <c r="L1149" s="13">
        <v>12519</v>
      </c>
      <c r="M1149" t="str">
        <f>VLOOKUP(L1149,[1]Human_BrainSpan!$B$2:$C$4000,2,FALSE)</f>
        <v>LDTg</v>
      </c>
    </row>
    <row r="1150" spans="2:13" x14ac:dyDescent="0.25">
      <c r="B1150" s="31" t="s">
        <v>26303</v>
      </c>
      <c r="C1150" s="25" t="s">
        <v>716</v>
      </c>
      <c r="D1150" s="25" t="s">
        <v>25962</v>
      </c>
      <c r="E1150" s="25"/>
      <c r="F1150" s="9" t="str">
        <f t="shared" si="17"/>
        <v>hindbrain nucleus</v>
      </c>
      <c r="G1150" s="9" t="s">
        <v>2254</v>
      </c>
      <c r="H1150" s="9" t="s">
        <v>17293</v>
      </c>
      <c r="I1150" s="9" t="s">
        <v>716</v>
      </c>
      <c r="J1150" s="9" t="s">
        <v>717</v>
      </c>
      <c r="K1150" s="5" t="s">
        <v>15173</v>
      </c>
      <c r="L1150" s="13">
        <v>16862</v>
      </c>
      <c r="M1150" t="str">
        <f>VLOOKUP(L1150,[1]DevMouse!$B$2:$C$2693,2,FALSE)</f>
        <v>PBG</v>
      </c>
    </row>
    <row r="1151" spans="2:13" x14ac:dyDescent="0.25">
      <c r="B1151" s="31" t="s">
        <v>26303</v>
      </c>
      <c r="C1151" s="25" t="s">
        <v>2263</v>
      </c>
      <c r="D1151" s="25" t="s">
        <v>25962</v>
      </c>
      <c r="E1151" s="25"/>
      <c r="F1151" s="9" t="str">
        <f t="shared" si="17"/>
        <v>hindbrain nucleus</v>
      </c>
      <c r="G1151" s="9" t="s">
        <v>2254</v>
      </c>
      <c r="H1151" s="9" t="s">
        <v>17337</v>
      </c>
      <c r="I1151" s="9" t="s">
        <v>2263</v>
      </c>
      <c r="J1151" s="9" t="s">
        <v>2264</v>
      </c>
      <c r="K1151" s="5" t="s">
        <v>15173</v>
      </c>
      <c r="L1151" s="13">
        <v>16903</v>
      </c>
      <c r="M1151" t="str">
        <f>VLOOKUP(L1151,[1]DevMouse!$B$2:$C$2693,2,FALSE)</f>
        <v>4M</v>
      </c>
    </row>
    <row r="1152" spans="2:13" x14ac:dyDescent="0.25">
      <c r="B1152" s="31" t="s">
        <v>26303</v>
      </c>
      <c r="C1152" s="25" t="s">
        <v>2261</v>
      </c>
      <c r="D1152" s="25" t="s">
        <v>25962</v>
      </c>
      <c r="E1152" s="25"/>
      <c r="F1152" s="9" t="str">
        <f t="shared" si="17"/>
        <v>hindbrain nucleus</v>
      </c>
      <c r="G1152" s="9" t="s">
        <v>2254</v>
      </c>
      <c r="H1152" s="9" t="s">
        <v>17411</v>
      </c>
      <c r="I1152" s="9" t="s">
        <v>2261</v>
      </c>
      <c r="J1152" s="9" t="s">
        <v>2265</v>
      </c>
      <c r="K1152" s="5" t="s">
        <v>15173</v>
      </c>
      <c r="L1152" s="13">
        <v>16964</v>
      </c>
      <c r="M1152" t="str">
        <f>VLOOKUP(L1152,[1]DevMouse!$B$2:$C$2693,2,FALSE)</f>
        <v>LDTg</v>
      </c>
    </row>
    <row r="1153" spans="2:13" x14ac:dyDescent="0.25">
      <c r="B1153" s="31" t="s">
        <v>26303</v>
      </c>
      <c r="C1153" s="25" t="s">
        <v>2266</v>
      </c>
      <c r="D1153" s="25" t="s">
        <v>25962</v>
      </c>
      <c r="E1153" s="25"/>
      <c r="F1153" s="9" t="str">
        <f t="shared" si="17"/>
        <v>hindbrain nucleus</v>
      </c>
      <c r="G1153" s="9" t="s">
        <v>2254</v>
      </c>
      <c r="H1153" s="9" t="s">
        <v>17416</v>
      </c>
      <c r="I1153" s="9" t="s">
        <v>2266</v>
      </c>
      <c r="J1153" s="9" t="s">
        <v>2267</v>
      </c>
      <c r="K1153" s="5" t="s">
        <v>15173</v>
      </c>
      <c r="L1153" s="13">
        <v>16965</v>
      </c>
      <c r="M1153" t="str">
        <f>VLOOKUP(L1153,[1]DevMouse!$B$2:$C$2693,2,FALSE)</f>
        <v>PPTg</v>
      </c>
    </row>
    <row r="1154" spans="2:13" x14ac:dyDescent="0.25">
      <c r="B1154" s="31" t="s">
        <v>26303</v>
      </c>
      <c r="C1154" s="25" t="s">
        <v>1614</v>
      </c>
      <c r="D1154" s="25" t="s">
        <v>25962</v>
      </c>
      <c r="E1154" s="25"/>
      <c r="F1154" s="9" t="str">
        <f t="shared" si="17"/>
        <v>hindbrain nucleus</v>
      </c>
      <c r="G1154" s="9" t="s">
        <v>2254</v>
      </c>
      <c r="H1154" s="9" t="s">
        <v>17455</v>
      </c>
      <c r="I1154" s="9" t="s">
        <v>1614</v>
      </c>
      <c r="J1154" s="9" t="s">
        <v>1616</v>
      </c>
      <c r="K1154" s="5" t="s">
        <v>15173</v>
      </c>
      <c r="L1154" s="13">
        <v>17000</v>
      </c>
      <c r="M1154" t="str">
        <f>VLOOKUP(L1154,[1]DevMouse!$B$2:$C$2693,2,FALSE)</f>
        <v>DTg</v>
      </c>
    </row>
    <row r="1155" spans="2:13" x14ac:dyDescent="0.25">
      <c r="B1155" s="31" t="s">
        <v>26303</v>
      </c>
      <c r="C1155" s="25" t="s">
        <v>2257</v>
      </c>
      <c r="D1155" s="25" t="s">
        <v>25962</v>
      </c>
      <c r="E1155" s="25"/>
      <c r="F1155" s="9" t="str">
        <f t="shared" si="17"/>
        <v>hindbrain nucleus</v>
      </c>
      <c r="G1155" s="9" t="s">
        <v>2254</v>
      </c>
      <c r="H1155" s="9" t="s">
        <v>17462</v>
      </c>
      <c r="I1155" s="9" t="s">
        <v>2257</v>
      </c>
      <c r="J1155" s="9" t="s">
        <v>2268</v>
      </c>
      <c r="K1155" s="5" t="s">
        <v>15173</v>
      </c>
      <c r="L1155" s="13">
        <v>17007</v>
      </c>
      <c r="M1155" t="str">
        <f>VLOOKUP(L1155,[1]DevMouse!$B$2:$C$2693,2,FALSE)</f>
        <v>VTg</v>
      </c>
    </row>
    <row r="1156" spans="2:13" x14ac:dyDescent="0.25">
      <c r="B1156" s="31" t="s">
        <v>26303</v>
      </c>
      <c r="C1156" s="25" t="s">
        <v>425</v>
      </c>
      <c r="D1156" s="25" t="s">
        <v>25962</v>
      </c>
      <c r="E1156" s="25"/>
      <c r="F1156" s="9" t="str">
        <f t="shared" si="17"/>
        <v>hindbrain nucleus</v>
      </c>
      <c r="G1156" s="9" t="s">
        <v>2254</v>
      </c>
      <c r="H1156" s="9" t="s">
        <v>17463</v>
      </c>
      <c r="I1156" s="9" t="s">
        <v>425</v>
      </c>
      <c r="J1156" s="9" t="s">
        <v>426</v>
      </c>
      <c r="K1156" s="5" t="s">
        <v>15173</v>
      </c>
      <c r="L1156" s="13">
        <v>17008</v>
      </c>
      <c r="M1156" t="str">
        <f>VLOOKUP(L1156,[1]DevMouse!$B$2:$C$2693,2,FALSE)</f>
        <v>ATg</v>
      </c>
    </row>
    <row r="1157" spans="2:13" x14ac:dyDescent="0.25">
      <c r="B1157" s="31" t="s">
        <v>26303</v>
      </c>
      <c r="C1157" s="25" t="s">
        <v>1614</v>
      </c>
      <c r="D1157" s="25" t="s">
        <v>25962</v>
      </c>
      <c r="E1157" s="25"/>
      <c r="F1157" s="9" t="str">
        <f t="shared" si="17"/>
        <v>hindbrain nucleus</v>
      </c>
      <c r="G1157" s="9" t="s">
        <v>2254</v>
      </c>
      <c r="H1157" s="9" t="s">
        <v>17455</v>
      </c>
      <c r="I1157" s="9" t="s">
        <v>1614</v>
      </c>
      <c r="J1157" s="9" t="s">
        <v>1617</v>
      </c>
      <c r="K1157" s="7" t="s">
        <v>15171</v>
      </c>
      <c r="L1157" s="13">
        <v>265504876</v>
      </c>
      <c r="M1157" t="str">
        <f>VLOOKUP(L1157,[1]HBA!$B$2:$C$4000,2,FALSE)</f>
        <v>DTg</v>
      </c>
    </row>
    <row r="1158" spans="2:13" x14ac:dyDescent="0.25">
      <c r="B1158" s="31" t="s">
        <v>26303</v>
      </c>
      <c r="C1158" s="25" t="s">
        <v>2266</v>
      </c>
      <c r="D1158" s="25" t="s">
        <v>25962</v>
      </c>
      <c r="E1158" s="25"/>
      <c r="F1158" s="9" t="str">
        <f t="shared" si="17"/>
        <v>hindbrain nucleus</v>
      </c>
      <c r="G1158" s="9" t="s">
        <v>2254</v>
      </c>
      <c r="H1158" s="9" t="s">
        <v>17416</v>
      </c>
      <c r="I1158" s="9" t="s">
        <v>2269</v>
      </c>
      <c r="J1158" s="9" t="s">
        <v>2270</v>
      </c>
      <c r="K1158" s="7" t="s">
        <v>15171</v>
      </c>
      <c r="L1158" s="13">
        <v>9021</v>
      </c>
      <c r="M1158" t="str">
        <f>VLOOKUP(L1158,[1]HBA!$B$2:$C$4000,2,FALSE)</f>
        <v>PPTg</v>
      </c>
    </row>
    <row r="1159" spans="2:13" x14ac:dyDescent="0.25">
      <c r="B1159" s="31" t="s">
        <v>26303</v>
      </c>
      <c r="C1159" s="25" t="s">
        <v>2257</v>
      </c>
      <c r="D1159" s="25" t="s">
        <v>25962</v>
      </c>
      <c r="E1159" s="25"/>
      <c r="F1159" s="9" t="str">
        <f t="shared" si="17"/>
        <v>hindbrain nucleus</v>
      </c>
      <c r="G1159" s="9" t="s">
        <v>2254</v>
      </c>
      <c r="H1159" s="9" t="s">
        <v>17462</v>
      </c>
      <c r="I1159" s="9" t="s">
        <v>2257</v>
      </c>
      <c r="J1159" s="9" t="s">
        <v>2271</v>
      </c>
      <c r="K1159" s="7" t="s">
        <v>15171</v>
      </c>
      <c r="L1159" s="13">
        <v>9069</v>
      </c>
      <c r="M1159" t="str">
        <f>VLOOKUP(L1159,[1]HBA!$B$2:$C$4000,2,FALSE)</f>
        <v>VTg</v>
      </c>
    </row>
    <row r="1160" spans="2:13" x14ac:dyDescent="0.25">
      <c r="B1160" s="31" t="s">
        <v>26303</v>
      </c>
      <c r="C1160" s="25" t="s">
        <v>721</v>
      </c>
      <c r="D1160" s="25" t="s">
        <v>25962</v>
      </c>
      <c r="E1160" s="25"/>
      <c r="F1160" s="9" t="str">
        <f t="shared" si="17"/>
        <v>hindbrain nucleus</v>
      </c>
      <c r="G1160" s="9" t="s">
        <v>2254</v>
      </c>
      <c r="H1160" s="9" t="s">
        <v>24339</v>
      </c>
      <c r="I1160" s="9" t="s">
        <v>721</v>
      </c>
      <c r="J1160" s="9" t="s">
        <v>722</v>
      </c>
      <c r="K1160" s="7" t="s">
        <v>15171</v>
      </c>
      <c r="L1160" s="13">
        <v>9154</v>
      </c>
      <c r="M1160" t="str">
        <f>VLOOKUP(L1160,[1]HBA!$B$2:$C$4000,2,FALSE)</f>
        <v>SubC</v>
      </c>
    </row>
    <row r="1161" spans="2:13" x14ac:dyDescent="0.25">
      <c r="B1161" s="31" t="s">
        <v>26303</v>
      </c>
      <c r="C1161" s="25" t="s">
        <v>26036</v>
      </c>
      <c r="D1161" s="25" t="s">
        <v>25962</v>
      </c>
      <c r="E1161" s="25"/>
      <c r="F1161" s="9" t="str">
        <f t="shared" si="17"/>
        <v>hindbrain nucleus</v>
      </c>
      <c r="G1161" s="9" t="s">
        <v>2254</v>
      </c>
      <c r="H1161" s="9" t="s">
        <v>23935</v>
      </c>
      <c r="I1161" s="9" t="s">
        <v>2272</v>
      </c>
      <c r="J1161" s="9" t="s">
        <v>2273</v>
      </c>
      <c r="K1161" s="7" t="s">
        <v>15171</v>
      </c>
      <c r="L1161" s="13">
        <v>9205</v>
      </c>
      <c r="M1161" t="str">
        <f>VLOOKUP(L1161,[1]HBA!$B$2:$C$4000,2,FALSE)</f>
        <v>Me5</v>
      </c>
    </row>
    <row r="1162" spans="2:13" x14ac:dyDescent="0.25">
      <c r="B1162" s="31" t="s">
        <v>26303</v>
      </c>
      <c r="C1162" s="25" t="s">
        <v>2266</v>
      </c>
      <c r="D1162" s="25" t="s">
        <v>25962</v>
      </c>
      <c r="E1162" s="25"/>
      <c r="F1162" s="9" t="str">
        <f t="shared" si="17"/>
        <v>hindbrain nucleus</v>
      </c>
      <c r="G1162" s="9" t="s">
        <v>2254</v>
      </c>
      <c r="H1162" s="9" t="s">
        <v>20271</v>
      </c>
      <c r="I1162" s="9" t="s">
        <v>2274</v>
      </c>
      <c r="J1162" s="9" t="s">
        <v>2275</v>
      </c>
      <c r="K1162" s="3" t="s">
        <v>15176</v>
      </c>
      <c r="L1162" s="13">
        <v>1052</v>
      </c>
      <c r="M1162" t="str">
        <f>VLOOKUP(L1162,[1]Mouse_ARA!$B$2:$C$1328,2,FALSE)</f>
        <v>PPN</v>
      </c>
    </row>
    <row r="1163" spans="2:13" x14ac:dyDescent="0.25">
      <c r="B1163" s="31" t="s">
        <v>26303</v>
      </c>
      <c r="C1163" s="25" t="s">
        <v>2263</v>
      </c>
      <c r="D1163" s="25" t="s">
        <v>25962</v>
      </c>
      <c r="E1163" s="25"/>
      <c r="F1163" s="9" t="str">
        <f t="shared" si="17"/>
        <v>hindbrain nucleus</v>
      </c>
      <c r="G1163" s="9" t="s">
        <v>2254</v>
      </c>
      <c r="H1163" s="9" t="s">
        <v>1091</v>
      </c>
      <c r="I1163" s="9" t="s">
        <v>2263</v>
      </c>
      <c r="J1163" s="9" t="s">
        <v>2276</v>
      </c>
      <c r="K1163" s="3" t="s">
        <v>15176</v>
      </c>
      <c r="L1163" s="13">
        <v>115</v>
      </c>
      <c r="M1163" t="str">
        <f>VLOOKUP(L1163,[1]Mouse_ARA!$B$2:$C$1328,2,FALSE)</f>
        <v>IV</v>
      </c>
    </row>
    <row r="1164" spans="2:13" x14ac:dyDescent="0.25">
      <c r="B1164" s="31" t="s">
        <v>26303</v>
      </c>
      <c r="C1164" s="25" t="s">
        <v>2261</v>
      </c>
      <c r="D1164" s="25" t="s">
        <v>25962</v>
      </c>
      <c r="E1164" s="25"/>
      <c r="F1164" s="9" t="str">
        <f t="shared" si="17"/>
        <v>hindbrain nucleus</v>
      </c>
      <c r="G1164" s="9" t="s">
        <v>2254</v>
      </c>
      <c r="H1164" s="9" t="s">
        <v>20379</v>
      </c>
      <c r="I1164" s="9" t="s">
        <v>2261</v>
      </c>
      <c r="J1164" s="9" t="s">
        <v>2277</v>
      </c>
      <c r="K1164" s="3" t="s">
        <v>15176</v>
      </c>
      <c r="L1164" s="13">
        <v>162</v>
      </c>
      <c r="M1164" t="str">
        <f>VLOOKUP(L1164,[1]Mouse_ARA!$B$2:$C$1328,2,FALSE)</f>
        <v>LDT</v>
      </c>
    </row>
    <row r="1165" spans="2:13" x14ac:dyDescent="0.25">
      <c r="B1165" s="31" t="s">
        <v>26303</v>
      </c>
      <c r="C1165" s="25" t="s">
        <v>425</v>
      </c>
      <c r="D1165" s="25" t="s">
        <v>25962</v>
      </c>
      <c r="E1165" s="25"/>
      <c r="F1165" s="9" t="str">
        <f t="shared" si="17"/>
        <v>hindbrain nucleus</v>
      </c>
      <c r="G1165" s="9" t="s">
        <v>2254</v>
      </c>
      <c r="H1165" s="9" t="s">
        <v>20258</v>
      </c>
      <c r="I1165" s="9" t="s">
        <v>425</v>
      </c>
      <c r="J1165" s="9" t="s">
        <v>427</v>
      </c>
      <c r="K1165" s="3" t="s">
        <v>15176</v>
      </c>
      <c r="L1165" s="13">
        <v>231</v>
      </c>
      <c r="M1165" t="str">
        <f>VLOOKUP(L1165,[1]Mouse_ARA!$B$2:$C$1328,2,FALSE)</f>
        <v>AT</v>
      </c>
    </row>
    <row r="1166" spans="2:13" x14ac:dyDescent="0.25">
      <c r="B1166" s="31" t="s">
        <v>26303</v>
      </c>
      <c r="C1166" s="25" t="s">
        <v>721</v>
      </c>
      <c r="D1166" s="25" t="s">
        <v>25962</v>
      </c>
      <c r="E1166" s="25"/>
      <c r="F1166" s="9" t="str">
        <f t="shared" si="17"/>
        <v>hindbrain nucleus</v>
      </c>
      <c r="G1166" s="9" t="s">
        <v>2254</v>
      </c>
      <c r="H1166" s="9" t="s">
        <v>20387</v>
      </c>
      <c r="I1166" s="9" t="s">
        <v>773</v>
      </c>
      <c r="J1166" s="9" t="s">
        <v>774</v>
      </c>
      <c r="K1166" s="3" t="s">
        <v>15176</v>
      </c>
      <c r="L1166" s="13">
        <v>350</v>
      </c>
      <c r="M1166" t="str">
        <f>VLOOKUP(L1166,[1]Mouse_ARA!$B$2:$C$1328,2,FALSE)</f>
        <v>SLC</v>
      </c>
    </row>
    <row r="1167" spans="2:13" x14ac:dyDescent="0.25">
      <c r="B1167" s="31" t="s">
        <v>26303</v>
      </c>
      <c r="C1167" s="25" t="s">
        <v>26055</v>
      </c>
      <c r="D1167" s="25" t="s">
        <v>25962</v>
      </c>
      <c r="E1167" s="25"/>
      <c r="F1167" s="9" t="str">
        <f t="shared" si="17"/>
        <v>hindbrain nucleus</v>
      </c>
      <c r="G1167" s="9" t="s">
        <v>2254</v>
      </c>
      <c r="H1167" s="9" t="s">
        <v>20299</v>
      </c>
      <c r="I1167" s="9" t="s">
        <v>808</v>
      </c>
      <c r="J1167" s="9" t="s">
        <v>809</v>
      </c>
      <c r="K1167" s="3" t="s">
        <v>15176</v>
      </c>
      <c r="L1167" s="13">
        <v>612</v>
      </c>
      <c r="M1167" t="str">
        <f>VLOOKUP(L1167,[1]Mouse_ARA!$B$2:$C$1328,2,FALSE)</f>
        <v>NLL</v>
      </c>
    </row>
    <row r="1168" spans="2:13" x14ac:dyDescent="0.25">
      <c r="B1168" s="31" t="s">
        <v>26303</v>
      </c>
      <c r="C1168" s="25" t="s">
        <v>3060</v>
      </c>
      <c r="D1168" s="25" t="s">
        <v>25962</v>
      </c>
      <c r="E1168" s="25"/>
      <c r="F1168" s="9" t="str">
        <f t="shared" si="17"/>
        <v>hindbrain nucleus</v>
      </c>
      <c r="G1168" s="9" t="s">
        <v>2254</v>
      </c>
      <c r="H1168" s="9" t="s">
        <v>20372</v>
      </c>
      <c r="I1168" s="9" t="s">
        <v>2278</v>
      </c>
      <c r="J1168" s="9" t="s">
        <v>2279</v>
      </c>
      <c r="K1168" s="3" t="s">
        <v>15176</v>
      </c>
      <c r="L1168" s="13">
        <v>679</v>
      </c>
      <c r="M1168" t="str">
        <f>VLOOKUP(L1168,[1]Mouse_ARA!$B$2:$C$1328,2,FALSE)</f>
        <v>CS</v>
      </c>
    </row>
    <row r="1169" spans="2:13" x14ac:dyDescent="0.25">
      <c r="B1169" s="31" t="s">
        <v>26303</v>
      </c>
      <c r="C1169" s="25" t="s">
        <v>2257</v>
      </c>
      <c r="D1169" s="25" t="s">
        <v>25962</v>
      </c>
      <c r="E1169" s="25"/>
      <c r="F1169" s="9" t="str">
        <f t="shared" si="17"/>
        <v>hindbrain nucleus</v>
      </c>
      <c r="G1169" s="9" t="s">
        <v>2254</v>
      </c>
      <c r="H1169" s="9" t="s">
        <v>20256</v>
      </c>
      <c r="I1169" s="9" t="s">
        <v>2257</v>
      </c>
      <c r="J1169" s="9" t="s">
        <v>2280</v>
      </c>
      <c r="K1169" s="3" t="s">
        <v>15176</v>
      </c>
      <c r="L1169" s="13">
        <v>757</v>
      </c>
      <c r="M1169" t="str">
        <f>VLOOKUP(L1169,[1]Mouse_ARA!$B$2:$C$1328,2,FALSE)</f>
        <v>VTN</v>
      </c>
    </row>
    <row r="1170" spans="2:13" x14ac:dyDescent="0.25">
      <c r="B1170" s="31" t="s">
        <v>26303</v>
      </c>
      <c r="C1170" s="25" t="s">
        <v>716</v>
      </c>
      <c r="D1170" s="25" t="s">
        <v>25962</v>
      </c>
      <c r="E1170" s="25"/>
      <c r="F1170" s="9" t="str">
        <f t="shared" si="17"/>
        <v>hindbrain nucleus</v>
      </c>
      <c r="G1170" s="9" t="s">
        <v>2254</v>
      </c>
      <c r="H1170" s="9" t="s">
        <v>17293</v>
      </c>
      <c r="I1170" s="9" t="s">
        <v>716</v>
      </c>
      <c r="J1170" s="9" t="s">
        <v>837</v>
      </c>
      <c r="K1170" s="3" t="s">
        <v>15176</v>
      </c>
      <c r="L1170" s="13">
        <v>874</v>
      </c>
      <c r="M1170" t="str">
        <f>VLOOKUP(L1170,[1]Mouse_ARA!$B$2:$C$1328,2,FALSE)</f>
        <v>PBG</v>
      </c>
    </row>
    <row r="1171" spans="2:13" x14ac:dyDescent="0.25">
      <c r="B1171" s="31" t="s">
        <v>26303</v>
      </c>
      <c r="C1171" s="25" t="s">
        <v>1614</v>
      </c>
      <c r="D1171" s="25" t="s">
        <v>25962</v>
      </c>
      <c r="E1171" s="25"/>
      <c r="F1171" s="9" t="str">
        <f t="shared" si="17"/>
        <v>hindbrain nucleus</v>
      </c>
      <c r="G1171" s="9" t="s">
        <v>2254</v>
      </c>
      <c r="H1171" s="9" t="s">
        <v>20341</v>
      </c>
      <c r="I1171" s="9" t="s">
        <v>1614</v>
      </c>
      <c r="J1171" s="9" t="s">
        <v>1618</v>
      </c>
      <c r="K1171" s="3" t="s">
        <v>15176</v>
      </c>
      <c r="L1171" s="13">
        <v>880</v>
      </c>
      <c r="M1171" t="str">
        <f>VLOOKUP(L1171,[1]Mouse_ARA!$B$2:$C$1328,2,FALSE)</f>
        <v>DTN</v>
      </c>
    </row>
    <row r="1172" spans="2:13" x14ac:dyDescent="0.25">
      <c r="B1172" s="31" t="s">
        <v>25743</v>
      </c>
      <c r="C1172" s="20"/>
      <c r="D1172" s="25" t="s">
        <v>2282</v>
      </c>
      <c r="E1172" s="25"/>
      <c r="F1172" s="9" t="str">
        <f>HYPERLINK("https://www.ebi.ac.uk/ols/ontologies/uberon/terms?iri=http://purl.obolibrary.org/obo/UBERON_0000908","hippocampal commissure")</f>
        <v>hippocampal commissure</v>
      </c>
      <c r="G1172" s="9" t="s">
        <v>2281</v>
      </c>
      <c r="H1172" s="9" t="s">
        <v>23545</v>
      </c>
      <c r="I1172" s="9" t="s">
        <v>2282</v>
      </c>
      <c r="J1172" s="9" t="s">
        <v>2283</v>
      </c>
      <c r="K1172" s="4" t="s">
        <v>15175</v>
      </c>
      <c r="L1172" s="13">
        <v>10560</v>
      </c>
      <c r="M1172" t="str">
        <f>VLOOKUP(L1172,[1]Human_BrainSpan!$B$2:$C$4000,2,FALSE)</f>
        <v>hic</v>
      </c>
    </row>
    <row r="1173" spans="2:13" x14ac:dyDescent="0.25">
      <c r="B1173" s="31" t="s">
        <v>25743</v>
      </c>
      <c r="C1173" s="20"/>
      <c r="D1173" s="25" t="s">
        <v>2282</v>
      </c>
      <c r="E1173" s="25"/>
      <c r="F1173" s="9" t="str">
        <f>HYPERLINK("https://www.ebi.ac.uk/ols/ontologies/uberon/terms?iri=http://purl.obolibrary.org/obo/UBERON_0000908","hippocampal commissure")</f>
        <v>hippocampal commissure</v>
      </c>
      <c r="G1173" s="9" t="s">
        <v>2281</v>
      </c>
      <c r="H1173" s="9" t="s">
        <v>18463</v>
      </c>
      <c r="I1173" s="9" t="s">
        <v>2282</v>
      </c>
      <c r="J1173" s="9" t="s">
        <v>2284</v>
      </c>
      <c r="K1173" s="5" t="s">
        <v>15173</v>
      </c>
      <c r="L1173" s="13">
        <v>17769</v>
      </c>
      <c r="M1173" t="str">
        <f>VLOOKUP(L1173,[1]DevMouse!$B$2:$C$2693,2,FALSE)</f>
        <v>hc</v>
      </c>
    </row>
    <row r="1174" spans="2:13" x14ac:dyDescent="0.25">
      <c r="B1174" s="31" t="s">
        <v>25743</v>
      </c>
      <c r="C1174" s="20"/>
      <c r="D1174" s="25" t="s">
        <v>2282</v>
      </c>
      <c r="E1174" s="25"/>
      <c r="F1174" s="9" t="str">
        <f>HYPERLINK("https://www.ebi.ac.uk/ols/ontologies/uberon/terms?iri=http://purl.obolibrary.org/obo/UBERON_0000908","hippocampal commissure")</f>
        <v>hippocampal commissure</v>
      </c>
      <c r="G1174" s="9" t="s">
        <v>2281</v>
      </c>
      <c r="H1174" s="9" t="s">
        <v>18463</v>
      </c>
      <c r="I1174" s="9" t="s">
        <v>2282</v>
      </c>
      <c r="J1174" s="9" t="s">
        <v>2285</v>
      </c>
      <c r="K1174" s="7" t="s">
        <v>15171</v>
      </c>
      <c r="L1174" s="13">
        <v>9228</v>
      </c>
      <c r="M1174" t="str">
        <f>VLOOKUP(L1174,[1]HBA!$B$2:$C$4000,2,FALSE)</f>
        <v>hc</v>
      </c>
    </row>
    <row r="1175" spans="2:13" x14ac:dyDescent="0.25">
      <c r="B1175" s="31" t="s">
        <v>25743</v>
      </c>
      <c r="C1175" s="20"/>
      <c r="D1175" s="25" t="s">
        <v>2282</v>
      </c>
      <c r="E1175" s="25"/>
      <c r="F1175" s="9" t="str">
        <f>HYPERLINK("https://www.ebi.ac.uk/ols/ontologies/uberon/terms?iri=http://purl.obolibrary.org/obo/UBERON_0000908","hippocampal commissure")</f>
        <v>hippocampal commissure</v>
      </c>
      <c r="G1175" s="9" t="s">
        <v>2281</v>
      </c>
      <c r="H1175" s="9" t="s">
        <v>18463</v>
      </c>
      <c r="I1175" s="9" t="s">
        <v>2286</v>
      </c>
      <c r="J1175" s="9" t="s">
        <v>2287</v>
      </c>
      <c r="K1175" s="3" t="s">
        <v>15176</v>
      </c>
      <c r="L1175" s="13">
        <v>618</v>
      </c>
      <c r="M1175" t="str">
        <f>VLOOKUP(L1175,[1]Mouse_ARA!$B$2:$C$1328,2,FALSE)</f>
        <v>hc</v>
      </c>
    </row>
    <row r="1176" spans="2:13" x14ac:dyDescent="0.25">
      <c r="B1176" s="31" t="s">
        <v>25743</v>
      </c>
      <c r="C1176" s="20"/>
      <c r="D1176" s="25" t="s">
        <v>2291</v>
      </c>
      <c r="E1176" s="25"/>
      <c r="F1176" s="9" t="str">
        <f>HYPERLINK("https://www.ebi.ac.uk/ols/ontologies/uberon/terms?iri=http://purl.obolibrary.org/obo/UBERON_0002421","hippocampal formation")</f>
        <v>hippocampal formation</v>
      </c>
      <c r="G1176" s="9" t="s">
        <v>2288</v>
      </c>
      <c r="H1176" s="9" t="s">
        <v>19543</v>
      </c>
      <c r="I1176" s="9" t="s">
        <v>2289</v>
      </c>
      <c r="J1176" s="9" t="s">
        <v>2290</v>
      </c>
      <c r="K1176" s="4" t="s">
        <v>15175</v>
      </c>
      <c r="L1176" s="13">
        <v>10294</v>
      </c>
      <c r="M1176" t="str">
        <f>VLOOKUP(L1176,[1]Human_BrainSpan!$B$2:$C$4000,2,FALSE)</f>
        <v>HIP</v>
      </c>
    </row>
    <row r="1177" spans="2:13" x14ac:dyDescent="0.25">
      <c r="B1177" s="31" t="s">
        <v>25743</v>
      </c>
      <c r="C1177" s="20"/>
      <c r="D1177" s="25" t="s">
        <v>2291</v>
      </c>
      <c r="E1177" s="25"/>
      <c r="F1177" s="9" t="str">
        <f>HYPERLINK("https://www.ebi.ac.uk/ols/ontologies/uberon/terms?iri=http://purl.obolibrary.org/obo/UBERON_0002421","hippocampal formation")</f>
        <v>hippocampal formation</v>
      </c>
      <c r="G1177" s="9" t="s">
        <v>2288</v>
      </c>
      <c r="H1177" s="9" t="s">
        <v>23861</v>
      </c>
      <c r="I1177" s="9" t="s">
        <v>2291</v>
      </c>
      <c r="J1177" s="9" t="s">
        <v>2292</v>
      </c>
      <c r="K1177" s="7" t="s">
        <v>15171</v>
      </c>
      <c r="L1177" s="13">
        <v>4249</v>
      </c>
      <c r="M1177" t="str">
        <f>VLOOKUP(L1177,[1]HBA!$B$2:$C$4000,2,FALSE)</f>
        <v>HiF</v>
      </c>
    </row>
    <row r="1178" spans="2:13" x14ac:dyDescent="0.25">
      <c r="B1178" s="31" t="s">
        <v>25743</v>
      </c>
      <c r="C1178" s="20"/>
      <c r="D1178" s="25" t="s">
        <v>2291</v>
      </c>
      <c r="E1178" s="25"/>
      <c r="F1178" s="9" t="str">
        <f>HYPERLINK("https://www.ebi.ac.uk/ols/ontologies/uberon/terms?iri=http://purl.obolibrary.org/obo/UBERON_0002421","hippocampal formation")</f>
        <v>hippocampal formation</v>
      </c>
      <c r="G1178" s="9" t="s">
        <v>2288</v>
      </c>
      <c r="H1178" s="9" t="s">
        <v>19541</v>
      </c>
      <c r="I1178" s="9" t="s">
        <v>2291</v>
      </c>
      <c r="J1178" s="9" t="s">
        <v>2293</v>
      </c>
      <c r="K1178" s="3" t="s">
        <v>15176</v>
      </c>
      <c r="L1178" s="13">
        <v>1089</v>
      </c>
      <c r="M1178" t="str">
        <f>VLOOKUP(L1178,[1]Mouse_ARA!$B$2:$C$1328,2,FALSE)</f>
        <v>HPF</v>
      </c>
    </row>
    <row r="1179" spans="2:13" x14ac:dyDescent="0.25">
      <c r="B1179" s="31" t="s">
        <v>25743</v>
      </c>
      <c r="C1179" s="20"/>
      <c r="D1179" s="25" t="s">
        <v>2291</v>
      </c>
      <c r="E1179" s="25"/>
      <c r="F1179" s="9" t="str">
        <f>HYPERLINK("https://www.ebi.ac.uk/ols/ontologies/uberon/terms?iri=http://purl.obolibrary.org/obo/UBERON_0002421","hippocampal formation")</f>
        <v>hippocampal formation</v>
      </c>
      <c r="G1179" s="9" t="s">
        <v>2288</v>
      </c>
      <c r="H1179" s="9" t="s">
        <v>25674</v>
      </c>
      <c r="I1179" s="9" t="s">
        <v>2294</v>
      </c>
      <c r="J1179" s="9" t="s">
        <v>2295</v>
      </c>
      <c r="K1179" s="6" t="s">
        <v>15174</v>
      </c>
      <c r="L1179" s="13">
        <v>4003</v>
      </c>
      <c r="M1179" t="str">
        <f>VLOOKUP(L1179,[1]NonHumanPrimate!$B$2:$C$4000,2,FALSE)</f>
        <v>HF</v>
      </c>
    </row>
    <row r="1180" spans="2:13" x14ac:dyDescent="0.25">
      <c r="B1180" s="31" t="s">
        <v>25743</v>
      </c>
      <c r="C1180" s="20"/>
      <c r="D1180" s="25" t="s">
        <v>2299</v>
      </c>
      <c r="E1180" s="25"/>
      <c r="F1180" s="9" t="str">
        <f>HYPERLINK("https://www.ebi.ac.uk/ols/ontologies/uberon/terms?iri=http://purl.obolibrary.org/obo/UBERON_0002899","hippocampal sulcus")</f>
        <v>hippocampal sulcus</v>
      </c>
      <c r="G1180" s="9" t="s">
        <v>2296</v>
      </c>
      <c r="H1180" s="9" t="s">
        <v>20969</v>
      </c>
      <c r="I1180" s="9" t="s">
        <v>2297</v>
      </c>
      <c r="J1180" s="9" t="s">
        <v>2298</v>
      </c>
      <c r="K1180" s="4" t="s">
        <v>15175</v>
      </c>
      <c r="L1180" s="13">
        <v>10619</v>
      </c>
      <c r="M1180" t="str">
        <f>VLOOKUP(L1180,[1]Human_BrainSpan!$B$2:$C$4000,2,FALSE)</f>
        <v>hf</v>
      </c>
    </row>
    <row r="1181" spans="2:13" x14ac:dyDescent="0.25">
      <c r="B1181" s="31" t="s">
        <v>25743</v>
      </c>
      <c r="C1181" s="20"/>
      <c r="D1181" s="25" t="s">
        <v>2299</v>
      </c>
      <c r="E1181" s="25"/>
      <c r="F1181" s="9" t="str">
        <f>HYPERLINK("https://www.ebi.ac.uk/ols/ontologies/uberon/terms?iri=http://purl.obolibrary.org/obo/UBERON_0002899","hippocampal sulcus")</f>
        <v>hippocampal sulcus</v>
      </c>
      <c r="G1181" s="9" t="s">
        <v>2296</v>
      </c>
      <c r="H1181" s="9" t="s">
        <v>25534</v>
      </c>
      <c r="I1181" s="9" t="s">
        <v>2299</v>
      </c>
      <c r="J1181" s="9" t="s">
        <v>2300</v>
      </c>
      <c r="K1181" s="7" t="s">
        <v>15171</v>
      </c>
      <c r="L1181" s="13">
        <v>9394</v>
      </c>
      <c r="M1181" t="str">
        <f>VLOOKUP(L1181,[1]HBA!$B$2:$C$4000,2,FALSE)</f>
        <v>his</v>
      </c>
    </row>
    <row r="1182" spans="2:13" x14ac:dyDescent="0.25">
      <c r="B1182" s="31" t="s">
        <v>25743</v>
      </c>
      <c r="C1182" s="20"/>
      <c r="D1182" s="25" t="s">
        <v>2299</v>
      </c>
      <c r="E1182" s="25"/>
      <c r="F1182" s="9" t="str">
        <f>HYPERLINK("https://www.ebi.ac.uk/ols/ontologies/uberon/terms?iri=http://purl.obolibrary.org/obo/UBERON_0002899","hippocampal sulcus")</f>
        <v>hippocampal sulcus</v>
      </c>
      <c r="G1182" s="9" t="s">
        <v>2296</v>
      </c>
      <c r="H1182" s="9" t="s">
        <v>20969</v>
      </c>
      <c r="I1182" s="9" t="s">
        <v>2297</v>
      </c>
      <c r="J1182" s="9" t="s">
        <v>2301</v>
      </c>
      <c r="K1182" s="3" t="s">
        <v>15176</v>
      </c>
      <c r="L1182" s="13">
        <v>1063</v>
      </c>
      <c r="M1182" t="str">
        <f>VLOOKUP(L1182,[1]Mouse_ARA!$B$2:$C$1328,2,FALSE)</f>
        <v>hf</v>
      </c>
    </row>
    <row r="1183" spans="2:13" x14ac:dyDescent="0.25">
      <c r="B1183" s="31" t="s">
        <v>25743</v>
      </c>
      <c r="C1183" s="20"/>
      <c r="D1183" s="25" t="s">
        <v>25963</v>
      </c>
      <c r="E1183" s="25"/>
      <c r="F1183" s="9" t="str">
        <f>HYPERLINK("https://www.ebi.ac.uk/ols/ontologies/uberon/terms?iri=http://purl.obolibrary.org/obo/UBERON_0007639","hippocampus alveus")</f>
        <v>hippocampus alveus</v>
      </c>
      <c r="G1183" s="9" t="s">
        <v>2302</v>
      </c>
      <c r="H1183" s="9" t="s">
        <v>20889</v>
      </c>
      <c r="I1183" s="9" t="s">
        <v>2303</v>
      </c>
      <c r="J1183" s="9" t="s">
        <v>2304</v>
      </c>
      <c r="K1183" s="4" t="s">
        <v>15175</v>
      </c>
      <c r="L1183" s="13">
        <v>10570</v>
      </c>
      <c r="M1183" t="str">
        <f>VLOOKUP(L1183,[1]Human_BrainSpan!$B$2:$C$4000,2,FALSE)</f>
        <v>alv</v>
      </c>
    </row>
    <row r="1184" spans="2:13" x14ac:dyDescent="0.25">
      <c r="B1184" s="31" t="s">
        <v>25743</v>
      </c>
      <c r="C1184" s="20"/>
      <c r="D1184" s="25" t="s">
        <v>25963</v>
      </c>
      <c r="E1184" s="25"/>
      <c r="F1184" s="9" t="str">
        <f>HYPERLINK("https://www.ebi.ac.uk/ols/ontologies/uberon/terms?iri=http://purl.obolibrary.org/obo/UBERON_0007639","hippocampus alveus")</f>
        <v>hippocampus alveus</v>
      </c>
      <c r="G1184" s="9" t="s">
        <v>2302</v>
      </c>
      <c r="H1184" s="9" t="s">
        <v>20889</v>
      </c>
      <c r="I1184" s="9" t="s">
        <v>2303</v>
      </c>
      <c r="J1184" s="9" t="s">
        <v>2305</v>
      </c>
      <c r="K1184" s="7" t="s">
        <v>15171</v>
      </c>
      <c r="L1184" s="13">
        <v>9234</v>
      </c>
      <c r="M1184" t="str">
        <f>VLOOKUP(L1184,[1]HBA!$B$2:$C$4000,2,FALSE)</f>
        <v>alv</v>
      </c>
    </row>
    <row r="1185" spans="2:13" x14ac:dyDescent="0.25">
      <c r="B1185" s="31" t="s">
        <v>25743</v>
      </c>
      <c r="C1185" s="20"/>
      <c r="D1185" s="25" t="s">
        <v>25963</v>
      </c>
      <c r="E1185" s="25"/>
      <c r="F1185" s="9" t="str">
        <f>HYPERLINK("https://www.ebi.ac.uk/ols/ontologies/uberon/terms?iri=http://purl.obolibrary.org/obo/UBERON_0007639","hippocampus alveus")</f>
        <v>hippocampus alveus</v>
      </c>
      <c r="G1185" s="9" t="s">
        <v>2302</v>
      </c>
      <c r="H1185" s="9" t="s">
        <v>20889</v>
      </c>
      <c r="I1185" s="9" t="s">
        <v>2303</v>
      </c>
      <c r="J1185" s="9" t="s">
        <v>2306</v>
      </c>
      <c r="K1185" s="3" t="s">
        <v>15176</v>
      </c>
      <c r="L1185" s="13">
        <v>466</v>
      </c>
      <c r="M1185" t="str">
        <f>VLOOKUP(L1185,[1]Mouse_ARA!$B$2:$C$1328,2,FALSE)</f>
        <v>alv</v>
      </c>
    </row>
    <row r="1186" spans="2:13" x14ac:dyDescent="0.25">
      <c r="B1186" s="31" t="s">
        <v>25743</v>
      </c>
      <c r="C1186" s="20"/>
      <c r="D1186" s="25" t="s">
        <v>25964</v>
      </c>
      <c r="E1186" s="25"/>
      <c r="F1186" s="9" t="str">
        <f>HYPERLINK("https://www.ebi.ac.uk/ols/ontologies/uberon/terms?iri=http://purl.obolibrary.org/obo/UBERON_0002310","hippocampus fimbria")</f>
        <v>hippocampus fimbria</v>
      </c>
      <c r="G1186" s="9" t="s">
        <v>2307</v>
      </c>
      <c r="H1186" s="9" t="s">
        <v>23577</v>
      </c>
      <c r="I1186" s="9" t="s">
        <v>2308</v>
      </c>
      <c r="J1186" s="9" t="s">
        <v>2309</v>
      </c>
      <c r="K1186" s="4" t="s">
        <v>15175</v>
      </c>
      <c r="L1186" s="13">
        <v>10575</v>
      </c>
      <c r="M1186" t="str">
        <f>VLOOKUP(L1186,[1]Human_BrainSpan!$B$2:$C$4000,2,FALSE)</f>
        <v>fim</v>
      </c>
    </row>
    <row r="1187" spans="2:13" x14ac:dyDescent="0.25">
      <c r="B1187" s="31" t="s">
        <v>25743</v>
      </c>
      <c r="C1187" s="20"/>
      <c r="D1187" s="25" t="s">
        <v>25964</v>
      </c>
      <c r="E1187" s="25"/>
      <c r="F1187" s="9" t="str">
        <f>HYPERLINK("https://www.ebi.ac.uk/ols/ontologies/uberon/terms?iri=http://purl.obolibrary.org/obo/UBERON_0002310","hippocampus fimbria")</f>
        <v>hippocampus fimbria</v>
      </c>
      <c r="G1187" s="9" t="s">
        <v>2307</v>
      </c>
      <c r="H1187" s="9" t="s">
        <v>18460</v>
      </c>
      <c r="I1187" s="9" t="s">
        <v>2308</v>
      </c>
      <c r="J1187" s="9" t="s">
        <v>2310</v>
      </c>
      <c r="K1187" s="5" t="s">
        <v>15173</v>
      </c>
      <c r="L1187" s="13">
        <v>17766</v>
      </c>
      <c r="M1187" t="str">
        <f>VLOOKUP(L1187,[1]DevMouse!$B$2:$C$2693,2,FALSE)</f>
        <v>fi</v>
      </c>
    </row>
    <row r="1188" spans="2:13" x14ac:dyDescent="0.25">
      <c r="B1188" s="31" t="s">
        <v>25743</v>
      </c>
      <c r="C1188" s="20"/>
      <c r="D1188" s="25" t="s">
        <v>25964</v>
      </c>
      <c r="E1188" s="25"/>
      <c r="F1188" s="9" t="str">
        <f>HYPERLINK("https://www.ebi.ac.uk/ols/ontologies/uberon/terms?iri=http://purl.obolibrary.org/obo/UBERON_0002310","hippocampus fimbria")</f>
        <v>hippocampus fimbria</v>
      </c>
      <c r="G1188" s="9" t="s">
        <v>2307</v>
      </c>
      <c r="H1188" s="9" t="s">
        <v>18460</v>
      </c>
      <c r="I1188" s="9" t="s">
        <v>2311</v>
      </c>
      <c r="J1188" s="9" t="s">
        <v>2312</v>
      </c>
      <c r="K1188" s="7" t="s">
        <v>15171</v>
      </c>
      <c r="L1188" s="13">
        <v>9253</v>
      </c>
      <c r="M1188" t="str">
        <f>VLOOKUP(L1188,[1]HBA!$B$2:$C$4000,2,FALSE)</f>
        <v>fi</v>
      </c>
    </row>
    <row r="1189" spans="2:13" x14ac:dyDescent="0.25">
      <c r="B1189" s="31" t="s">
        <v>25743</v>
      </c>
      <c r="C1189" s="20"/>
      <c r="D1189" s="25" t="s">
        <v>25964</v>
      </c>
      <c r="E1189" s="25"/>
      <c r="F1189" s="9" t="str">
        <f>HYPERLINK("https://www.ebi.ac.uk/ols/ontologies/uberon/terms?iri=http://purl.obolibrary.org/obo/UBERON_0002310","hippocampus fimbria")</f>
        <v>hippocampus fimbria</v>
      </c>
      <c r="G1189" s="9" t="s">
        <v>2307</v>
      </c>
      <c r="H1189" s="9" t="s">
        <v>18460</v>
      </c>
      <c r="I1189" s="9" t="s">
        <v>2308</v>
      </c>
      <c r="J1189" s="9" t="s">
        <v>2313</v>
      </c>
      <c r="K1189" s="3" t="s">
        <v>15176</v>
      </c>
      <c r="L1189" s="13">
        <v>603</v>
      </c>
      <c r="M1189" t="str">
        <f>VLOOKUP(L1189,[1]Mouse_ARA!$B$2:$C$1328,2,FALSE)</f>
        <v>fi</v>
      </c>
    </row>
    <row r="1190" spans="2:13" x14ac:dyDescent="0.25">
      <c r="B1190" s="31" t="s">
        <v>26303</v>
      </c>
      <c r="C1190" s="20"/>
      <c r="D1190" s="25" t="s">
        <v>25965</v>
      </c>
      <c r="E1190" s="25"/>
      <c r="F1190" s="9" t="str">
        <f>HYPERLINK("https://www.ebi.ac.uk/ols/ontologies/uberon/terms?iri=http://purl.obolibrary.org/obo/UBERON_0002815","horizontal fissure of cerebellum")</f>
        <v>horizontal fissure of cerebellum</v>
      </c>
      <c r="G1190" s="9" t="s">
        <v>2314</v>
      </c>
      <c r="H1190" s="9" t="s">
        <v>20969</v>
      </c>
      <c r="I1190" s="9" t="s">
        <v>2315</v>
      </c>
      <c r="J1190" s="9" t="s">
        <v>2316</v>
      </c>
      <c r="K1190" s="7" t="s">
        <v>15171</v>
      </c>
      <c r="L1190" s="13">
        <v>9412</v>
      </c>
      <c r="M1190" t="str">
        <f>VLOOKUP(L1190,[1]HBA!$B$2:$C$4000,2,FALSE)</f>
        <v>hf</v>
      </c>
    </row>
    <row r="1191" spans="2:13" x14ac:dyDescent="0.25">
      <c r="B1191" s="31" t="s">
        <v>25743</v>
      </c>
      <c r="C1191" s="20"/>
      <c r="D1191" s="25" t="s">
        <v>2318</v>
      </c>
      <c r="E1191" s="25"/>
      <c r="F1191" s="9" t="str">
        <f>HYPERLINK("https://www.ebi.ac.uk/ols/ontologies/uberon/terms?iri=http://purl.obolibrary.org/obo/UBERON_0001650","hypoglossal nerve")</f>
        <v>hypoglossal nerve</v>
      </c>
      <c r="G1191" s="9" t="s">
        <v>2317</v>
      </c>
      <c r="H1191" s="9" t="s">
        <v>18433</v>
      </c>
      <c r="I1191" s="9" t="s">
        <v>2318</v>
      </c>
      <c r="J1191" s="9" t="s">
        <v>2319</v>
      </c>
      <c r="K1191" s="7" t="s">
        <v>15171</v>
      </c>
      <c r="L1191" s="13">
        <v>9343</v>
      </c>
      <c r="M1191" t="str">
        <f>VLOOKUP(L1191,[1]HBA!$B$2:$C$4000,2,FALSE)</f>
        <v>12n</v>
      </c>
    </row>
    <row r="1192" spans="2:13" x14ac:dyDescent="0.25">
      <c r="B1192" s="31" t="s">
        <v>25743</v>
      </c>
      <c r="C1192" s="20"/>
      <c r="D1192" s="25" t="s">
        <v>2318</v>
      </c>
      <c r="E1192" s="25"/>
      <c r="F1192" s="9" t="str">
        <f>HYPERLINK("https://www.ebi.ac.uk/ols/ontologies/uberon/terms?iri=http://purl.obolibrary.org/obo/UBERON_0001650","hypoglossal nerve")</f>
        <v>hypoglossal nerve</v>
      </c>
      <c r="G1192" s="9" t="s">
        <v>2317</v>
      </c>
      <c r="H1192" s="9" t="s">
        <v>20764</v>
      </c>
      <c r="I1192" s="9" t="s">
        <v>2318</v>
      </c>
      <c r="J1192" s="9" t="s">
        <v>2320</v>
      </c>
      <c r="K1192" s="3" t="s">
        <v>15176</v>
      </c>
      <c r="L1192" s="13">
        <v>813</v>
      </c>
      <c r="M1192" t="str">
        <f>VLOOKUP(L1192,[1]Mouse_ARA!$B$2:$C$1328,2,FALSE)</f>
        <v>XIIn</v>
      </c>
    </row>
    <row r="1193" spans="2:13" x14ac:dyDescent="0.25">
      <c r="B1193" s="31" t="s">
        <v>25743</v>
      </c>
      <c r="C1193" s="20"/>
      <c r="D1193" s="25" t="s">
        <v>2324</v>
      </c>
      <c r="E1193" s="25"/>
      <c r="F1193" s="9" t="str">
        <f>HYPERLINK("https://www.ebi.ac.uk/ols/ontologies/uberon/terms?iri=http://purl.obolibrary.org/obo/UBERON_0004675","hypoglossal nerve root")</f>
        <v>hypoglossal nerve root</v>
      </c>
      <c r="G1193" s="9" t="s">
        <v>2321</v>
      </c>
      <c r="H1193" s="9" t="s">
        <v>24735</v>
      </c>
      <c r="I1193" s="9" t="s">
        <v>2322</v>
      </c>
      <c r="J1193" s="9" t="s">
        <v>2323</v>
      </c>
      <c r="K1193" s="4" t="s">
        <v>15175</v>
      </c>
      <c r="L1193" s="13">
        <v>12886</v>
      </c>
      <c r="M1193" t="str">
        <f>VLOOKUP(L1193,[1]Human_BrainSpan!$B$2:$C$4000,2,FALSE)</f>
        <v>r12</v>
      </c>
    </row>
    <row r="1194" spans="2:13" x14ac:dyDescent="0.25">
      <c r="B1194" s="31" t="s">
        <v>25743</v>
      </c>
      <c r="C1194" s="20"/>
      <c r="D1194" s="25" t="s">
        <v>2324</v>
      </c>
      <c r="E1194" s="25"/>
      <c r="F1194" s="9" t="str">
        <f>HYPERLINK("https://www.ebi.ac.uk/ols/ontologies/uberon/terms?iri=http://purl.obolibrary.org/obo/UBERON_0004675","hypoglossal nerve root")</f>
        <v>hypoglossal nerve root</v>
      </c>
      <c r="G1194" s="9" t="s">
        <v>2321</v>
      </c>
      <c r="H1194" s="9" t="s">
        <v>18433</v>
      </c>
      <c r="I1194" s="9" t="s">
        <v>2324</v>
      </c>
      <c r="J1194" s="9" t="s">
        <v>2325</v>
      </c>
      <c r="K1194" s="5" t="s">
        <v>15173</v>
      </c>
      <c r="L1194" s="13">
        <v>17750</v>
      </c>
      <c r="M1194" t="str">
        <f>VLOOKUP(L1194,[1]DevMouse!$B$2:$C$2693,2,FALSE)</f>
        <v>12n</v>
      </c>
    </row>
    <row r="1195" spans="2:13" x14ac:dyDescent="0.25">
      <c r="B1195" s="31" t="s">
        <v>25743</v>
      </c>
      <c r="C1195" s="20"/>
      <c r="D1195" s="25" t="s">
        <v>2327</v>
      </c>
      <c r="E1195" s="25"/>
      <c r="F1195" s="9" t="str">
        <f>HYPERLINK("https://www.ebi.ac.uk/ols/ontologies/uberon/terms?iri=http://purl.obolibrary.org/obo/UBERON_0002871","hypoglossal nucleus")</f>
        <v>hypoglossal nucleus</v>
      </c>
      <c r="G1195" s="9" t="s">
        <v>2326</v>
      </c>
      <c r="H1195" s="9" t="s">
        <v>24375</v>
      </c>
      <c r="I1195" s="9" t="s">
        <v>2327</v>
      </c>
      <c r="J1195" s="9" t="s">
        <v>2328</v>
      </c>
      <c r="K1195" s="4" t="s">
        <v>15175</v>
      </c>
      <c r="L1195" s="13">
        <v>12545</v>
      </c>
      <c r="M1195" t="str">
        <f>VLOOKUP(L1195,[1]Human_BrainSpan!$B$2:$C$4000,2,FALSE)</f>
        <v>12N</v>
      </c>
    </row>
    <row r="1196" spans="2:13" x14ac:dyDescent="0.25">
      <c r="B1196" s="31" t="s">
        <v>25743</v>
      </c>
      <c r="C1196" s="20"/>
      <c r="D1196" s="25" t="s">
        <v>2327</v>
      </c>
      <c r="E1196" s="25"/>
      <c r="F1196" s="9" t="str">
        <f>HYPERLINK("https://www.ebi.ac.uk/ols/ontologies/uberon/terms?iri=http://purl.obolibrary.org/obo/UBERON_0002871","hypoglossal nucleus")</f>
        <v>hypoglossal nucleus</v>
      </c>
      <c r="G1196" s="9" t="s">
        <v>2326</v>
      </c>
      <c r="H1196" s="9">
        <v>12</v>
      </c>
      <c r="I1196" s="9" t="s">
        <v>2327</v>
      </c>
      <c r="J1196" s="9" t="s">
        <v>2329</v>
      </c>
      <c r="K1196" s="7" t="s">
        <v>15171</v>
      </c>
      <c r="L1196" s="13">
        <v>9557</v>
      </c>
      <c r="M1196">
        <f>VLOOKUP(L1196,[1]HBA!$B$2:$C$4000,2,FALSE)</f>
        <v>12</v>
      </c>
    </row>
    <row r="1197" spans="2:13" x14ac:dyDescent="0.25">
      <c r="B1197" s="31" t="s">
        <v>25743</v>
      </c>
      <c r="C1197" s="20"/>
      <c r="D1197" s="25" t="s">
        <v>2327</v>
      </c>
      <c r="E1197" s="25"/>
      <c r="F1197" s="9" t="str">
        <f>HYPERLINK("https://www.ebi.ac.uk/ols/ontologies/uberon/terms?iri=http://purl.obolibrary.org/obo/UBERON_0002871","hypoglossal nucleus")</f>
        <v>hypoglossal nucleus</v>
      </c>
      <c r="G1197" s="9" t="s">
        <v>2326</v>
      </c>
      <c r="H1197" s="9" t="s">
        <v>20534</v>
      </c>
      <c r="I1197" s="9" t="s">
        <v>2327</v>
      </c>
      <c r="J1197" s="9" t="s">
        <v>2330</v>
      </c>
      <c r="K1197" s="3" t="s">
        <v>15176</v>
      </c>
      <c r="L1197" s="13">
        <v>773</v>
      </c>
      <c r="M1197" t="str">
        <f>VLOOKUP(L1197,[1]Mouse_ARA!$B$2:$C$1328,2,FALSE)</f>
        <v>XII</v>
      </c>
    </row>
    <row r="1198" spans="2:13" x14ac:dyDescent="0.25">
      <c r="B1198" s="31" t="s">
        <v>26303</v>
      </c>
      <c r="C1198" s="25" t="s">
        <v>25788</v>
      </c>
      <c r="D1198" s="25" t="s">
        <v>25966</v>
      </c>
      <c r="E1198" s="25"/>
      <c r="F1198" s="9" t="str">
        <f t="shared" ref="F1198:F1212" si="18">HYPERLINK("https://www.ebi.ac.uk/ols/ontologies/uberon/terms?iri=http://purl.obolibrary.org/obo/UBERON_0006568","hypothalamic nucleus")</f>
        <v>hypothalamic nucleus</v>
      </c>
      <c r="G1198" s="9" t="s">
        <v>2331</v>
      </c>
      <c r="H1198" s="9" t="s">
        <v>20074</v>
      </c>
      <c r="I1198" s="9" t="s">
        <v>363</v>
      </c>
      <c r="J1198" s="9" t="s">
        <v>364</v>
      </c>
      <c r="K1198" s="4" t="s">
        <v>15175</v>
      </c>
      <c r="L1198" s="13">
        <v>10475</v>
      </c>
      <c r="M1198" t="str">
        <f>VLOOKUP(L1198,[1]Human_BrainSpan!$B$2:$C$4000,2,FALSE)</f>
        <v>AHN</v>
      </c>
    </row>
    <row r="1199" spans="2:13" x14ac:dyDescent="0.25">
      <c r="B1199" s="31" t="s">
        <v>26303</v>
      </c>
      <c r="C1199" s="25" t="s">
        <v>786</v>
      </c>
      <c r="D1199" s="25" t="s">
        <v>25966</v>
      </c>
      <c r="E1199" s="25"/>
      <c r="F1199" s="9" t="str">
        <f t="shared" si="18"/>
        <v>hypothalamic nucleus</v>
      </c>
      <c r="G1199" s="9" t="s">
        <v>2331</v>
      </c>
      <c r="H1199" s="9" t="s">
        <v>23457</v>
      </c>
      <c r="I1199" s="9" t="s">
        <v>786</v>
      </c>
      <c r="J1199" s="9" t="s">
        <v>2332</v>
      </c>
      <c r="K1199" s="4" t="s">
        <v>15175</v>
      </c>
      <c r="L1199" s="13">
        <v>13063</v>
      </c>
      <c r="M1199" t="str">
        <f>VLOOKUP(L1199,[1]Human_BrainSpan!$B$2:$C$4000,2,FALSE)</f>
        <v>MnPO</v>
      </c>
    </row>
    <row r="1200" spans="2:13" x14ac:dyDescent="0.25">
      <c r="B1200" s="31" t="s">
        <v>26303</v>
      </c>
      <c r="C1200" s="25" t="s">
        <v>25788</v>
      </c>
      <c r="D1200" s="25" t="s">
        <v>25966</v>
      </c>
      <c r="E1200" s="25"/>
      <c r="F1200" s="9" t="str">
        <f t="shared" si="18"/>
        <v>hypothalamic nucleus</v>
      </c>
      <c r="G1200" s="9" t="s">
        <v>2331</v>
      </c>
      <c r="H1200" s="9" t="s">
        <v>15379</v>
      </c>
      <c r="I1200" s="9" t="s">
        <v>363</v>
      </c>
      <c r="J1200" s="9" t="s">
        <v>365</v>
      </c>
      <c r="K1200" s="5" t="s">
        <v>15173</v>
      </c>
      <c r="L1200" s="13">
        <v>15662</v>
      </c>
      <c r="M1200" t="str">
        <f>VLOOKUP(L1200,[1]DevMouse!$B$2:$C$2693,2,FALSE)</f>
        <v>AH</v>
      </c>
    </row>
    <row r="1201" spans="2:13" x14ac:dyDescent="0.25">
      <c r="B1201" s="31" t="s">
        <v>26303</v>
      </c>
      <c r="C1201" s="25" t="s">
        <v>398</v>
      </c>
      <c r="D1201" s="25" t="s">
        <v>25966</v>
      </c>
      <c r="E1201" s="25"/>
      <c r="F1201" s="9" t="str">
        <f t="shared" si="18"/>
        <v>hypothalamic nucleus</v>
      </c>
      <c r="G1201" s="9" t="s">
        <v>2331</v>
      </c>
      <c r="H1201" s="9" t="s">
        <v>16402</v>
      </c>
      <c r="I1201" s="9" t="s">
        <v>398</v>
      </c>
      <c r="J1201" s="9" t="s">
        <v>399</v>
      </c>
      <c r="K1201" s="5" t="s">
        <v>15173</v>
      </c>
      <c r="L1201" s="13">
        <v>16400</v>
      </c>
      <c r="M1201" t="str">
        <f>VLOOKUP(L1201,[1]DevMouse!$B$2:$C$2693,2,FALSE)</f>
        <v>PVA</v>
      </c>
    </row>
    <row r="1202" spans="2:13" x14ac:dyDescent="0.25">
      <c r="B1202" s="31" t="s">
        <v>26303</v>
      </c>
      <c r="C1202" s="25" t="s">
        <v>25788</v>
      </c>
      <c r="D1202" s="25" t="s">
        <v>25966</v>
      </c>
      <c r="E1202" s="25"/>
      <c r="F1202" s="9" t="str">
        <f t="shared" si="18"/>
        <v>hypothalamic nucleus</v>
      </c>
      <c r="G1202" s="9" t="s">
        <v>2331</v>
      </c>
      <c r="H1202" s="9" t="s">
        <v>20074</v>
      </c>
      <c r="I1202" s="9" t="s">
        <v>363</v>
      </c>
      <c r="J1202" s="9" t="s">
        <v>366</v>
      </c>
      <c r="K1202" s="7" t="s">
        <v>15171</v>
      </c>
      <c r="L1202" s="13">
        <v>12903</v>
      </c>
      <c r="M1202" t="str">
        <f>VLOOKUP(L1202,[1]HBA!$B$2:$C$4000,2,FALSE)</f>
        <v>AHN</v>
      </c>
    </row>
    <row r="1203" spans="2:13" x14ac:dyDescent="0.25">
      <c r="B1203" s="31" t="s">
        <v>26303</v>
      </c>
      <c r="C1203" s="25" t="s">
        <v>26159</v>
      </c>
      <c r="D1203" s="25" t="s">
        <v>25966</v>
      </c>
      <c r="E1203" s="25"/>
      <c r="F1203" s="9" t="str">
        <f t="shared" si="18"/>
        <v>hypothalamic nucleus</v>
      </c>
      <c r="G1203" s="9" t="s">
        <v>2331</v>
      </c>
      <c r="H1203" s="9" t="s">
        <v>20027</v>
      </c>
      <c r="I1203" s="9" t="s">
        <v>400</v>
      </c>
      <c r="J1203" s="9" t="s">
        <v>401</v>
      </c>
      <c r="K1203" s="7" t="s">
        <v>15171</v>
      </c>
      <c r="L1203" s="13">
        <v>12906</v>
      </c>
      <c r="M1203" t="str">
        <f>VLOOKUP(L1203,[1]HBA!$B$2:$C$4000,2,FALSE)</f>
        <v>PVa</v>
      </c>
    </row>
    <row r="1204" spans="2:13" x14ac:dyDescent="0.25">
      <c r="B1204" s="31" t="s">
        <v>26303</v>
      </c>
      <c r="C1204" s="25" t="s">
        <v>786</v>
      </c>
      <c r="D1204" s="25" t="s">
        <v>25966</v>
      </c>
      <c r="E1204" s="25"/>
      <c r="F1204" s="9" t="str">
        <f t="shared" si="18"/>
        <v>hypothalamic nucleus</v>
      </c>
      <c r="G1204" s="9" t="s">
        <v>2331</v>
      </c>
      <c r="H1204" s="9" t="s">
        <v>23457</v>
      </c>
      <c r="I1204" s="9" t="s">
        <v>2333</v>
      </c>
      <c r="J1204" s="9" t="s">
        <v>2334</v>
      </c>
      <c r="K1204" s="7" t="s">
        <v>15171</v>
      </c>
      <c r="L1204" s="13">
        <v>4548</v>
      </c>
      <c r="M1204" t="str">
        <f>VLOOKUP(L1204,[1]HBA!$B$2:$C$4000,2,FALSE)</f>
        <v>MnPO</v>
      </c>
    </row>
    <row r="1205" spans="2:13" x14ac:dyDescent="0.25">
      <c r="B1205" s="31" t="s">
        <v>26303</v>
      </c>
      <c r="C1205" s="25" t="s">
        <v>26159</v>
      </c>
      <c r="D1205" s="25" t="s">
        <v>25966</v>
      </c>
      <c r="E1205" s="25"/>
      <c r="F1205" s="9" t="str">
        <f t="shared" si="18"/>
        <v>hypothalamic nucleus</v>
      </c>
      <c r="G1205" s="9" t="s">
        <v>2331</v>
      </c>
      <c r="H1205" s="9" t="s">
        <v>20063</v>
      </c>
      <c r="I1205" s="9" t="s">
        <v>2335</v>
      </c>
      <c r="J1205" s="9" t="s">
        <v>2336</v>
      </c>
      <c r="K1205" s="7" t="s">
        <v>15171</v>
      </c>
      <c r="L1205" s="13">
        <v>4549</v>
      </c>
      <c r="M1205" t="str">
        <f>VLOOKUP(L1205,[1]HBA!$B$2:$C$4000,2,FALSE)</f>
        <v>PVpo</v>
      </c>
    </row>
    <row r="1206" spans="2:13" x14ac:dyDescent="0.25">
      <c r="B1206" s="31" t="s">
        <v>26303</v>
      </c>
      <c r="C1206" s="25" t="s">
        <v>26159</v>
      </c>
      <c r="D1206" s="25" t="s">
        <v>25966</v>
      </c>
      <c r="E1206" s="25"/>
      <c r="F1206" s="9" t="str">
        <f t="shared" si="18"/>
        <v>hypothalamic nucleus</v>
      </c>
      <c r="G1206" s="9" t="s">
        <v>2331</v>
      </c>
      <c r="H1206" s="9" t="s">
        <v>20063</v>
      </c>
      <c r="I1206" s="9" t="s">
        <v>745</v>
      </c>
      <c r="J1206" s="9" t="s">
        <v>746</v>
      </c>
      <c r="K1206" s="3" t="s">
        <v>15176</v>
      </c>
      <c r="L1206" s="13">
        <v>133</v>
      </c>
      <c r="M1206" t="str">
        <f>VLOOKUP(L1206,[1]Mouse_ARA!$B$2:$C$1328,2,FALSE)</f>
        <v>PVpo</v>
      </c>
    </row>
    <row r="1207" spans="2:13" x14ac:dyDescent="0.25">
      <c r="B1207" s="31" t="s">
        <v>26303</v>
      </c>
      <c r="C1207" s="25" t="s">
        <v>489</v>
      </c>
      <c r="D1207" s="25" t="s">
        <v>25966</v>
      </c>
      <c r="E1207" s="25"/>
      <c r="F1207" s="9" t="str">
        <f t="shared" si="18"/>
        <v>hypothalamic nucleus</v>
      </c>
      <c r="G1207" s="9" t="s">
        <v>2331</v>
      </c>
      <c r="H1207" s="9" t="s">
        <v>20039</v>
      </c>
      <c r="I1207" s="9" t="s">
        <v>489</v>
      </c>
      <c r="J1207" s="9" t="s">
        <v>490</v>
      </c>
      <c r="K1207" s="3" t="s">
        <v>15176</v>
      </c>
      <c r="L1207" s="13">
        <v>263</v>
      </c>
      <c r="M1207" t="str">
        <f>VLOOKUP(L1207,[1]Mouse_ARA!$B$2:$C$1328,2,FALSE)</f>
        <v>AVP</v>
      </c>
    </row>
    <row r="1208" spans="2:13" x14ac:dyDescent="0.25">
      <c r="B1208" s="31" t="s">
        <v>26303</v>
      </c>
      <c r="C1208" s="25" t="s">
        <v>26159</v>
      </c>
      <c r="D1208" s="25" t="s">
        <v>25966</v>
      </c>
      <c r="E1208" s="25"/>
      <c r="F1208" s="9" t="str">
        <f t="shared" si="18"/>
        <v>hypothalamic nucleus</v>
      </c>
      <c r="G1208" s="9" t="s">
        <v>2331</v>
      </c>
      <c r="H1208" s="9" t="s">
        <v>20027</v>
      </c>
      <c r="I1208" s="9" t="s">
        <v>402</v>
      </c>
      <c r="J1208" s="9" t="s">
        <v>403</v>
      </c>
      <c r="K1208" s="3" t="s">
        <v>15176</v>
      </c>
      <c r="L1208" s="13">
        <v>30</v>
      </c>
      <c r="M1208" t="str">
        <f>VLOOKUP(L1208,[1]Mouse_ARA!$B$2:$C$1328,2,FALSE)</f>
        <v>PVa</v>
      </c>
    </row>
    <row r="1209" spans="2:13" x14ac:dyDescent="0.25">
      <c r="B1209" s="31" t="s">
        <v>26303</v>
      </c>
      <c r="C1209" s="25" t="s">
        <v>786</v>
      </c>
      <c r="D1209" s="25" t="s">
        <v>25966</v>
      </c>
      <c r="E1209" s="25"/>
      <c r="F1209" s="9" t="str">
        <f t="shared" si="18"/>
        <v>hypothalamic nucleus</v>
      </c>
      <c r="G1209" s="9" t="s">
        <v>2331</v>
      </c>
      <c r="H1209" s="9" t="s">
        <v>20051</v>
      </c>
      <c r="I1209" s="9" t="s">
        <v>786</v>
      </c>
      <c r="J1209" s="9" t="s">
        <v>787</v>
      </c>
      <c r="K1209" s="3" t="s">
        <v>15176</v>
      </c>
      <c r="L1209" s="13">
        <v>452</v>
      </c>
      <c r="M1209" t="str">
        <f>VLOOKUP(L1209,[1]Mouse_ARA!$B$2:$C$1328,2,FALSE)</f>
        <v>MEPO</v>
      </c>
    </row>
    <row r="1210" spans="2:13" x14ac:dyDescent="0.25">
      <c r="B1210" s="31" t="s">
        <v>26303</v>
      </c>
      <c r="C1210" s="25" t="s">
        <v>788</v>
      </c>
      <c r="D1210" s="25" t="s">
        <v>25966</v>
      </c>
      <c r="E1210" s="25"/>
      <c r="F1210" s="9" t="str">
        <f t="shared" si="18"/>
        <v>hypothalamic nucleus</v>
      </c>
      <c r="G1210" s="9" t="s">
        <v>2331</v>
      </c>
      <c r="H1210" s="9" t="s">
        <v>20151</v>
      </c>
      <c r="I1210" s="9" t="s">
        <v>788</v>
      </c>
      <c r="J1210" s="9" t="s">
        <v>789</v>
      </c>
      <c r="K1210" s="3" t="s">
        <v>15176</v>
      </c>
      <c r="L1210" s="13">
        <v>470</v>
      </c>
      <c r="M1210" t="str">
        <f>VLOOKUP(L1210,[1]Mouse_ARA!$B$2:$C$1328,2,FALSE)</f>
        <v>STN</v>
      </c>
    </row>
    <row r="1211" spans="2:13" x14ac:dyDescent="0.25">
      <c r="B1211" s="31" t="s">
        <v>26303</v>
      </c>
      <c r="C1211" s="25" t="s">
        <v>827</v>
      </c>
      <c r="D1211" s="25" t="s">
        <v>25966</v>
      </c>
      <c r="E1211" s="25"/>
      <c r="F1211" s="9" t="str">
        <f t="shared" si="18"/>
        <v>hypothalamic nucleus</v>
      </c>
      <c r="G1211" s="9" t="s">
        <v>2331</v>
      </c>
      <c r="H1211" s="9" t="s">
        <v>20155</v>
      </c>
      <c r="I1211" s="9" t="s">
        <v>827</v>
      </c>
      <c r="J1211" s="9" t="s">
        <v>828</v>
      </c>
      <c r="K1211" s="3" t="s">
        <v>15176</v>
      </c>
      <c r="L1211" s="13">
        <v>797</v>
      </c>
      <c r="M1211" t="str">
        <f>VLOOKUP(L1211,[1]Mouse_ARA!$B$2:$C$1328,2,FALSE)</f>
        <v>ZI</v>
      </c>
    </row>
    <row r="1212" spans="2:13" x14ac:dyDescent="0.25">
      <c r="B1212" s="31" t="s">
        <v>26303</v>
      </c>
      <c r="C1212" s="25" t="s">
        <v>25788</v>
      </c>
      <c r="D1212" s="25" t="s">
        <v>25966</v>
      </c>
      <c r="E1212" s="25"/>
      <c r="F1212" s="9" t="str">
        <f t="shared" si="18"/>
        <v>hypothalamic nucleus</v>
      </c>
      <c r="G1212" s="9" t="s">
        <v>2331</v>
      </c>
      <c r="H1212" s="9" t="s">
        <v>20074</v>
      </c>
      <c r="I1212" s="9" t="s">
        <v>363</v>
      </c>
      <c r="J1212" s="9" t="s">
        <v>367</v>
      </c>
      <c r="K1212" s="3" t="s">
        <v>15176</v>
      </c>
      <c r="L1212" s="13">
        <v>88</v>
      </c>
      <c r="M1212" t="str">
        <f>VLOOKUP(L1212,[1]Mouse_ARA!$B$2:$C$1328,2,FALSE)</f>
        <v>AHN</v>
      </c>
    </row>
    <row r="1213" spans="2:13" x14ac:dyDescent="0.25">
      <c r="B1213" s="31" t="s">
        <v>25743</v>
      </c>
      <c r="C1213" s="20"/>
      <c r="D1213" s="25" t="s">
        <v>2338</v>
      </c>
      <c r="E1213" s="25"/>
      <c r="F1213" s="9" t="str">
        <f>HYPERLINK("https://www.ebi.ac.uk/ols/ontologies/uberon/terms?iri=http://purl.obolibrary.org/obo/UBERON_0001898","hypothalamus")</f>
        <v>hypothalamus</v>
      </c>
      <c r="G1213" s="9" t="s">
        <v>2337</v>
      </c>
      <c r="H1213" s="9" t="s">
        <v>23444</v>
      </c>
      <c r="I1213" s="9" t="s">
        <v>2338</v>
      </c>
      <c r="J1213" s="9" t="s">
        <v>2339</v>
      </c>
      <c r="K1213" s="4" t="s">
        <v>15175</v>
      </c>
      <c r="L1213" s="13">
        <v>10467</v>
      </c>
      <c r="M1213" t="str">
        <f>VLOOKUP(L1213,[1]Human_BrainSpan!$B$2:$C$4000,2,FALSE)</f>
        <v>HTH</v>
      </c>
    </row>
    <row r="1214" spans="2:13" x14ac:dyDescent="0.25">
      <c r="B1214" s="31" t="s">
        <v>25743</v>
      </c>
      <c r="C1214" s="20"/>
      <c r="D1214" s="25" t="s">
        <v>2338</v>
      </c>
      <c r="E1214" s="25"/>
      <c r="F1214" s="9" t="str">
        <f>HYPERLINK("https://www.ebi.ac.uk/ols/ontologies/uberon/terms?iri=http://purl.obolibrary.org/obo/UBERON_0001898","hypothalamus")</f>
        <v>hypothalamus</v>
      </c>
      <c r="G1214" s="9" t="s">
        <v>2337</v>
      </c>
      <c r="H1214" s="9" t="s">
        <v>24927</v>
      </c>
      <c r="I1214" s="9" t="s">
        <v>2338</v>
      </c>
      <c r="J1214" s="9" t="s">
        <v>2340</v>
      </c>
      <c r="K1214" s="7" t="s">
        <v>15171</v>
      </c>
      <c r="L1214" s="13">
        <v>4540</v>
      </c>
      <c r="M1214" t="str">
        <f>VLOOKUP(L1214,[1]HBA!$B$2:$C$4000,2,FALSE)</f>
        <v>Hy</v>
      </c>
    </row>
    <row r="1215" spans="2:13" x14ac:dyDescent="0.25">
      <c r="B1215" s="31" t="s">
        <v>25743</v>
      </c>
      <c r="C1215" s="20"/>
      <c r="D1215" s="25" t="s">
        <v>2338</v>
      </c>
      <c r="E1215" s="25"/>
      <c r="F1215" s="9" t="str">
        <f>HYPERLINK("https://www.ebi.ac.uk/ols/ontologies/uberon/terms?iri=http://purl.obolibrary.org/obo/UBERON_0001898","hypothalamus")</f>
        <v>hypothalamus</v>
      </c>
      <c r="G1215" s="9" t="s">
        <v>2337</v>
      </c>
      <c r="H1215" s="9" t="s">
        <v>19996</v>
      </c>
      <c r="I1215" s="9" t="s">
        <v>2338</v>
      </c>
      <c r="J1215" s="9" t="s">
        <v>2341</v>
      </c>
      <c r="K1215" s="3" t="s">
        <v>15176</v>
      </c>
      <c r="L1215" s="13">
        <v>1097</v>
      </c>
      <c r="M1215" t="str">
        <f>VLOOKUP(L1215,[1]Mouse_ARA!$B$2:$C$1328,2,FALSE)</f>
        <v>HY</v>
      </c>
    </row>
    <row r="1216" spans="2:13" x14ac:dyDescent="0.25">
      <c r="B1216" s="31" t="s">
        <v>25743</v>
      </c>
      <c r="C1216" s="20"/>
      <c r="D1216" s="25" t="s">
        <v>2345</v>
      </c>
      <c r="E1216" s="25"/>
      <c r="F1216" s="9" t="str">
        <f>HYPERLINK("https://www.ebi.ac.uk/ols/ontologies/uberon/terms?iri=http://purl.obolibrary.org/obo/UBERON_0015793","induseum griseum")</f>
        <v>induseum griseum</v>
      </c>
      <c r="G1216" s="9" t="s">
        <v>2342</v>
      </c>
      <c r="H1216" s="9" t="s">
        <v>15946</v>
      </c>
      <c r="I1216" s="9" t="s">
        <v>2343</v>
      </c>
      <c r="J1216" s="9" t="s">
        <v>2344</v>
      </c>
      <c r="K1216" s="4" t="s">
        <v>15175</v>
      </c>
      <c r="L1216" s="13">
        <v>10304</v>
      </c>
      <c r="M1216" t="str">
        <f>VLOOKUP(L1216,[1]Human_BrainSpan!$B$2:$C$4000,2,FALSE)</f>
        <v>IG</v>
      </c>
    </row>
    <row r="1217" spans="2:13" x14ac:dyDescent="0.25">
      <c r="B1217" s="31" t="s">
        <v>25743</v>
      </c>
      <c r="C1217" s="20"/>
      <c r="D1217" s="25" t="s">
        <v>2345</v>
      </c>
      <c r="E1217" s="25"/>
      <c r="F1217" s="9" t="str">
        <f>HYPERLINK("https://www.ebi.ac.uk/ols/ontologies/uberon/terms?iri=http://purl.obolibrary.org/obo/UBERON_0015793","induseum griseum")</f>
        <v>induseum griseum</v>
      </c>
      <c r="G1217" s="9" t="s">
        <v>2342</v>
      </c>
      <c r="H1217" s="9" t="s">
        <v>15946</v>
      </c>
      <c r="I1217" s="9" t="s">
        <v>2345</v>
      </c>
      <c r="J1217" s="9" t="s">
        <v>2346</v>
      </c>
      <c r="K1217" s="5" t="s">
        <v>15173</v>
      </c>
      <c r="L1217" s="13">
        <v>16147</v>
      </c>
      <c r="M1217" t="str">
        <f>VLOOKUP(L1217,[1]DevMouse!$B$2:$C$2693,2,FALSE)</f>
        <v>IG</v>
      </c>
    </row>
    <row r="1218" spans="2:13" x14ac:dyDescent="0.25">
      <c r="B1218" s="31" t="s">
        <v>25743</v>
      </c>
      <c r="C1218" s="20"/>
      <c r="D1218" s="25" t="s">
        <v>2345</v>
      </c>
      <c r="E1218" s="25"/>
      <c r="F1218" s="9" t="str">
        <f>HYPERLINK("https://www.ebi.ac.uk/ols/ontologies/uberon/terms?iri=http://purl.obolibrary.org/obo/UBERON_0015793","induseum griseum")</f>
        <v>induseum griseum</v>
      </c>
      <c r="G1218" s="9" t="s">
        <v>2342</v>
      </c>
      <c r="H1218" s="9" t="s">
        <v>15946</v>
      </c>
      <c r="I1218" s="9" t="s">
        <v>2343</v>
      </c>
      <c r="J1218" s="9" t="s">
        <v>2347</v>
      </c>
      <c r="K1218" s="7" t="s">
        <v>15171</v>
      </c>
      <c r="L1218" s="13">
        <v>265504424</v>
      </c>
      <c r="M1218" t="str">
        <f>VLOOKUP(L1218,[1]HBA!$B$2:$C$4000,2,FALSE)</f>
        <v>IG</v>
      </c>
    </row>
    <row r="1219" spans="2:13" x14ac:dyDescent="0.25">
      <c r="B1219" s="31" t="s">
        <v>25743</v>
      </c>
      <c r="C1219" s="20"/>
      <c r="D1219" s="25" t="s">
        <v>2345</v>
      </c>
      <c r="E1219" s="25"/>
      <c r="F1219" s="9" t="str">
        <f>HYPERLINK("https://www.ebi.ac.uk/ols/ontologies/uberon/terms?iri=http://purl.obolibrary.org/obo/UBERON_0015793","induseum griseum")</f>
        <v>induseum griseum</v>
      </c>
      <c r="G1219" s="9" t="s">
        <v>2342</v>
      </c>
      <c r="H1219" s="9" t="s">
        <v>15946</v>
      </c>
      <c r="I1219" s="9" t="s">
        <v>2345</v>
      </c>
      <c r="J1219" s="9" t="s">
        <v>2348</v>
      </c>
      <c r="K1219" s="3" t="s">
        <v>15176</v>
      </c>
      <c r="L1219" s="13">
        <v>19</v>
      </c>
      <c r="M1219" t="str">
        <f>VLOOKUP(L1219,[1]Mouse_ARA!$B$2:$C$1328,2,FALSE)</f>
        <v>IG</v>
      </c>
    </row>
    <row r="1220" spans="2:13" x14ac:dyDescent="0.25">
      <c r="B1220" s="37" t="s">
        <v>25743</v>
      </c>
      <c r="C1220" s="20"/>
      <c r="D1220" s="25" t="s">
        <v>2350</v>
      </c>
      <c r="E1220" s="25"/>
      <c r="F1220" s="9" t="str">
        <f>HYPERLINK("https://www.ebi.ac.uk/ols/ontologies/uberon/terms?iri=http://purl.obolibrary.org/obo/UBERON_0002163","inferior cerebellar peduncle")</f>
        <v>inferior cerebellar peduncle</v>
      </c>
      <c r="G1220" s="9" t="s">
        <v>2349</v>
      </c>
      <c r="H1220" s="9" t="s">
        <v>18467</v>
      </c>
      <c r="I1220" s="9" t="s">
        <v>2350</v>
      </c>
      <c r="J1220" s="9" t="s">
        <v>2351</v>
      </c>
      <c r="K1220" s="4" t="s">
        <v>15175</v>
      </c>
      <c r="L1220" s="13">
        <v>12741</v>
      </c>
      <c r="M1220" t="str">
        <f>VLOOKUP(L1220,[1]Human_BrainSpan!$B$2:$C$4000,2,FALSE)</f>
        <v>icp</v>
      </c>
    </row>
    <row r="1221" spans="2:13" x14ac:dyDescent="0.25">
      <c r="B1221" s="37" t="s">
        <v>25743</v>
      </c>
      <c r="C1221" s="20"/>
      <c r="D1221" s="25" t="s">
        <v>2350</v>
      </c>
      <c r="E1221" s="25"/>
      <c r="F1221" s="9" t="str">
        <f>HYPERLINK("https://www.ebi.ac.uk/ols/ontologies/uberon/terms?iri=http://purl.obolibrary.org/obo/UBERON_0002163","inferior cerebellar peduncle")</f>
        <v>inferior cerebellar peduncle</v>
      </c>
      <c r="G1221" s="9" t="s">
        <v>2349</v>
      </c>
      <c r="H1221" s="9" t="s">
        <v>18467</v>
      </c>
      <c r="I1221" s="9" t="s">
        <v>2350</v>
      </c>
      <c r="J1221" s="9" t="s">
        <v>2352</v>
      </c>
      <c r="K1221" s="5" t="s">
        <v>15173</v>
      </c>
      <c r="L1221" s="13">
        <v>17772</v>
      </c>
      <c r="M1221" t="str">
        <f>VLOOKUP(L1221,[1]DevMouse!$B$2:$C$2693,2,FALSE)</f>
        <v>icp</v>
      </c>
    </row>
    <row r="1222" spans="2:13" x14ac:dyDescent="0.25">
      <c r="B1222" s="37" t="s">
        <v>25743</v>
      </c>
      <c r="C1222" s="20"/>
      <c r="D1222" s="25" t="s">
        <v>2350</v>
      </c>
      <c r="E1222" s="25"/>
      <c r="F1222" s="9" t="str">
        <f>HYPERLINK("https://www.ebi.ac.uk/ols/ontologies/uberon/terms?iri=http://purl.obolibrary.org/obo/UBERON_0002163","inferior cerebellar peduncle")</f>
        <v>inferior cerebellar peduncle</v>
      </c>
      <c r="G1222" s="9" t="s">
        <v>2349</v>
      </c>
      <c r="H1222" s="9" t="s">
        <v>18467</v>
      </c>
      <c r="I1222" s="9" t="s">
        <v>2353</v>
      </c>
      <c r="J1222" s="9" t="s">
        <v>2354</v>
      </c>
      <c r="K1222" s="7" t="s">
        <v>15171</v>
      </c>
      <c r="L1222" s="13">
        <v>9291</v>
      </c>
      <c r="M1222" t="str">
        <f>VLOOKUP(L1222,[1]HBA!$B$2:$C$4000,2,FALSE)</f>
        <v>icp</v>
      </c>
    </row>
    <row r="1223" spans="2:13" x14ac:dyDescent="0.25">
      <c r="B1223" s="37" t="s">
        <v>25743</v>
      </c>
      <c r="C1223" s="20"/>
      <c r="D1223" s="25" t="s">
        <v>2350</v>
      </c>
      <c r="E1223" s="25"/>
      <c r="F1223" s="9" t="str">
        <f>HYPERLINK("https://www.ebi.ac.uk/ols/ontologies/uberon/terms?iri=http://purl.obolibrary.org/obo/UBERON_0002163","inferior cerebellar peduncle")</f>
        <v>inferior cerebellar peduncle</v>
      </c>
      <c r="G1223" s="9" t="s">
        <v>2349</v>
      </c>
      <c r="H1223" s="9" t="s">
        <v>18467</v>
      </c>
      <c r="I1223" s="9" t="s">
        <v>2350</v>
      </c>
      <c r="J1223" s="9" t="s">
        <v>2355</v>
      </c>
      <c r="K1223" s="3" t="s">
        <v>15176</v>
      </c>
      <c r="L1223" s="13">
        <v>1123</v>
      </c>
      <c r="M1223" t="str">
        <f>VLOOKUP(L1223,[1]Mouse_ARA!$B$2:$C$1328,2,FALSE)</f>
        <v>icp</v>
      </c>
    </row>
    <row r="1224" spans="2:13" x14ac:dyDescent="0.25">
      <c r="B1224" s="31" t="s">
        <v>25743</v>
      </c>
      <c r="C1224" s="20"/>
      <c r="D1224" s="25" t="s">
        <v>2357</v>
      </c>
      <c r="E1224" s="25"/>
      <c r="F1224" s="9" t="str">
        <f>HYPERLINK("https://www.ebi.ac.uk/ols/ontologies/uberon/terms?iri=http://purl.obolibrary.org/obo/UBERON_0001946","inferior colliculus")</f>
        <v>inferior colliculus</v>
      </c>
      <c r="G1224" s="9" t="s">
        <v>2356</v>
      </c>
      <c r="H1224" s="9" t="s">
        <v>16978</v>
      </c>
      <c r="I1224" s="9" t="s">
        <v>2357</v>
      </c>
      <c r="J1224" s="9" t="s">
        <v>2358</v>
      </c>
      <c r="K1224" s="4" t="s">
        <v>15175</v>
      </c>
      <c r="L1224" s="13">
        <v>12305</v>
      </c>
      <c r="M1224" t="str">
        <f>VLOOKUP(L1224,[1]Human_BrainSpan!$B$2:$C$4000,2,FALSE)</f>
        <v>IC</v>
      </c>
    </row>
    <row r="1225" spans="2:13" x14ac:dyDescent="0.25">
      <c r="B1225" s="31" t="s">
        <v>25743</v>
      </c>
      <c r="C1225" s="20"/>
      <c r="D1225" s="25" t="s">
        <v>2357</v>
      </c>
      <c r="E1225" s="25"/>
      <c r="F1225" s="9" t="str">
        <f>HYPERLINK("https://www.ebi.ac.uk/ols/ontologies/uberon/terms?iri=http://purl.obolibrary.org/obo/UBERON_0001946","inferior colliculus")</f>
        <v>inferior colliculus</v>
      </c>
      <c r="G1225" s="9" t="s">
        <v>2356</v>
      </c>
      <c r="H1225" s="9" t="s">
        <v>16978</v>
      </c>
      <c r="I1225" s="9" t="s">
        <v>2357</v>
      </c>
      <c r="J1225" s="9" t="s">
        <v>2359</v>
      </c>
      <c r="K1225" s="5" t="s">
        <v>15173</v>
      </c>
      <c r="L1225" s="13">
        <v>16692</v>
      </c>
      <c r="M1225" t="str">
        <f>VLOOKUP(L1225,[1]DevMouse!$B$2:$C$2693,2,FALSE)</f>
        <v>IC</v>
      </c>
    </row>
    <row r="1226" spans="2:13" x14ac:dyDescent="0.25">
      <c r="B1226" s="31" t="s">
        <v>25743</v>
      </c>
      <c r="C1226" s="20"/>
      <c r="D1226" s="25" t="s">
        <v>2357</v>
      </c>
      <c r="E1226" s="25"/>
      <c r="F1226" s="9" t="str">
        <f>HYPERLINK("https://www.ebi.ac.uk/ols/ontologies/uberon/terms?iri=http://purl.obolibrary.org/obo/UBERON_0001946","inferior colliculus")</f>
        <v>inferior colliculus</v>
      </c>
      <c r="G1226" s="9" t="s">
        <v>2356</v>
      </c>
      <c r="H1226" s="9" t="s">
        <v>16978</v>
      </c>
      <c r="I1226" s="9" t="s">
        <v>2357</v>
      </c>
      <c r="J1226" s="9" t="s">
        <v>2360</v>
      </c>
      <c r="K1226" s="7" t="s">
        <v>15171</v>
      </c>
      <c r="L1226" s="13">
        <v>9102</v>
      </c>
      <c r="M1226" t="str">
        <f>VLOOKUP(L1226,[1]HBA!$B$2:$C$4000,2,FALSE)</f>
        <v>IC</v>
      </c>
    </row>
    <row r="1227" spans="2:13" x14ac:dyDescent="0.25">
      <c r="B1227" s="31" t="s">
        <v>25743</v>
      </c>
      <c r="C1227" s="20"/>
      <c r="D1227" s="25" t="s">
        <v>2357</v>
      </c>
      <c r="E1227" s="25"/>
      <c r="F1227" s="9" t="str">
        <f>HYPERLINK("https://www.ebi.ac.uk/ols/ontologies/uberon/terms?iri=http://purl.obolibrary.org/obo/UBERON_0001946","inferior colliculus")</f>
        <v>inferior colliculus</v>
      </c>
      <c r="G1227" s="9" t="s">
        <v>2356</v>
      </c>
      <c r="H1227" s="9" t="s">
        <v>16978</v>
      </c>
      <c r="I1227" s="9" t="s">
        <v>2357</v>
      </c>
      <c r="J1227" s="9" t="s">
        <v>2361</v>
      </c>
      <c r="K1227" s="3" t="s">
        <v>15176</v>
      </c>
      <c r="L1227" s="13">
        <v>4</v>
      </c>
      <c r="M1227" t="str">
        <f>VLOOKUP(L1227,[1]Mouse_ARA!$B$2:$C$1328,2,FALSE)</f>
        <v>IC</v>
      </c>
    </row>
    <row r="1228" spans="2:13" x14ac:dyDescent="0.25">
      <c r="B1228" s="31" t="s">
        <v>25743</v>
      </c>
      <c r="C1228" s="20"/>
      <c r="D1228" s="25" t="s">
        <v>2363</v>
      </c>
      <c r="E1228" s="25"/>
      <c r="F1228" s="9" t="str">
        <f>HYPERLINK("https://www.ebi.ac.uk/ols/ontologies/uberon/terms?iri=http://purl.obolibrary.org/obo/UBERON_0002998","inferior frontal gyrus")</f>
        <v>inferior frontal gyrus</v>
      </c>
      <c r="G1228" s="9" t="s">
        <v>2362</v>
      </c>
      <c r="H1228" s="9" t="s">
        <v>23795</v>
      </c>
      <c r="I1228" s="9" t="s">
        <v>2363</v>
      </c>
      <c r="J1228" s="9" t="s">
        <v>2364</v>
      </c>
      <c r="K1228" s="4" t="s">
        <v>15175</v>
      </c>
      <c r="L1228" s="13">
        <v>12117</v>
      </c>
      <c r="M1228" t="str">
        <f>VLOOKUP(L1228,[1]Human_BrainSpan!$B$2:$C$4000,2,FALSE)</f>
        <v>IFG</v>
      </c>
    </row>
    <row r="1229" spans="2:13" x14ac:dyDescent="0.25">
      <c r="B1229" s="31" t="s">
        <v>25743</v>
      </c>
      <c r="C1229" s="20"/>
      <c r="D1229" s="25" t="s">
        <v>2363</v>
      </c>
      <c r="E1229" s="25"/>
      <c r="F1229" s="9" t="str">
        <f>HYPERLINK("https://www.ebi.ac.uk/ols/ontologies/uberon/terms?iri=http://purl.obolibrary.org/obo/UBERON_0002998","inferior frontal gyrus")</f>
        <v>inferior frontal gyrus</v>
      </c>
      <c r="G1229" s="9" t="s">
        <v>2362</v>
      </c>
      <c r="H1229" s="9" t="s">
        <v>23795</v>
      </c>
      <c r="I1229" s="9" t="s">
        <v>2363</v>
      </c>
      <c r="J1229" s="9" t="s">
        <v>2365</v>
      </c>
      <c r="K1229" s="7" t="s">
        <v>15171</v>
      </c>
      <c r="L1229" s="13">
        <v>4035</v>
      </c>
      <c r="M1229" t="str">
        <f>VLOOKUP(L1229,[1]HBA!$B$2:$C$4000,2,FALSE)</f>
        <v>IFG</v>
      </c>
    </row>
    <row r="1230" spans="2:13" x14ac:dyDescent="0.25">
      <c r="B1230" s="31" t="s">
        <v>25743</v>
      </c>
      <c r="C1230" s="20"/>
      <c r="D1230" s="25" t="s">
        <v>2367</v>
      </c>
      <c r="E1230" s="25"/>
      <c r="F1230" s="9" t="str">
        <f>HYPERLINK("https://www.ebi.ac.uk/ols/ontologies/uberon/terms?iri=http://purl.obolibrary.org/obo/UBERON_0002761","inferior frontal sulcus")</f>
        <v>inferior frontal sulcus</v>
      </c>
      <c r="G1230" s="9" t="s">
        <v>2366</v>
      </c>
      <c r="H1230" s="9" t="s">
        <v>23739</v>
      </c>
      <c r="I1230" s="9" t="s">
        <v>2367</v>
      </c>
      <c r="J1230" s="9" t="s">
        <v>2368</v>
      </c>
      <c r="K1230" s="4" t="s">
        <v>15175</v>
      </c>
      <c r="L1230" s="13">
        <v>10631</v>
      </c>
      <c r="M1230" t="str">
        <f>VLOOKUP(L1230,[1]Human_BrainSpan!$B$2:$C$4000,2,FALSE)</f>
        <v>ifs</v>
      </c>
    </row>
    <row r="1231" spans="2:13" x14ac:dyDescent="0.25">
      <c r="B1231" s="31" t="s">
        <v>25743</v>
      </c>
      <c r="C1231" s="20"/>
      <c r="D1231" s="25" t="s">
        <v>2367</v>
      </c>
      <c r="E1231" s="25"/>
      <c r="F1231" s="9" t="str">
        <f>HYPERLINK("https://www.ebi.ac.uk/ols/ontologies/uberon/terms?iri=http://purl.obolibrary.org/obo/UBERON_0002761","inferior frontal sulcus")</f>
        <v>inferior frontal sulcus</v>
      </c>
      <c r="G1231" s="9" t="s">
        <v>2366</v>
      </c>
      <c r="H1231" s="9" t="s">
        <v>23739</v>
      </c>
      <c r="I1231" s="9" t="s">
        <v>2367</v>
      </c>
      <c r="J1231" s="9" t="s">
        <v>2369</v>
      </c>
      <c r="K1231" s="7" t="s">
        <v>15171</v>
      </c>
      <c r="L1231" s="13">
        <v>9357</v>
      </c>
      <c r="M1231" t="str">
        <f>VLOOKUP(L1231,[1]HBA!$B$2:$C$4000,2,FALSE)</f>
        <v>ifs</v>
      </c>
    </row>
    <row r="1232" spans="2:13" x14ac:dyDescent="0.25">
      <c r="B1232" s="31" t="s">
        <v>25743</v>
      </c>
      <c r="C1232" s="20"/>
      <c r="D1232" s="25" t="s">
        <v>25967</v>
      </c>
      <c r="E1232" s="25"/>
      <c r="F1232" s="9" t="str">
        <f>HYPERLINK("https://www.ebi.ac.uk/ols/ontologies/uberon/terms?iri=http://purl.obolibrary.org/obo/UBERON_0006091","inferior horn of the lateral ventricle")</f>
        <v>inferior horn of the lateral ventricle</v>
      </c>
      <c r="G1232" s="9" t="s">
        <v>2370</v>
      </c>
      <c r="H1232" s="9" t="s">
        <v>23675</v>
      </c>
      <c r="I1232" s="9" t="s">
        <v>2371</v>
      </c>
      <c r="J1232" s="9" t="s">
        <v>2372</v>
      </c>
      <c r="K1232" s="4" t="s">
        <v>15175</v>
      </c>
      <c r="L1232" s="13">
        <v>10600</v>
      </c>
      <c r="M1232" t="str">
        <f>VLOOKUP(L1232,[1]Human_BrainSpan!$B$2:$C$4000,2,FALSE)</f>
        <v>iLV</v>
      </c>
    </row>
    <row r="1233" spans="2:13" x14ac:dyDescent="0.25">
      <c r="B1233" s="31" t="s">
        <v>25743</v>
      </c>
      <c r="C1233" s="20"/>
      <c r="D1233" s="25" t="s">
        <v>2374</v>
      </c>
      <c r="E1233" s="25"/>
      <c r="F1233" s="9" t="str">
        <f>HYPERLINK("https://www.ebi.ac.uk/ols/ontologies/uberon/terms?iri=http://purl.obolibrary.org/obo/UBERON_0034743","inferior longitudinal fasciculus")</f>
        <v>inferior longitudinal fasciculus</v>
      </c>
      <c r="G1233" s="9" t="s">
        <v>2373</v>
      </c>
      <c r="H1233" s="9" t="s">
        <v>23585</v>
      </c>
      <c r="I1233" s="9" t="s">
        <v>2374</v>
      </c>
      <c r="J1233" s="9" t="s">
        <v>2375</v>
      </c>
      <c r="K1233" s="4" t="s">
        <v>15175</v>
      </c>
      <c r="L1233" s="13">
        <v>10580</v>
      </c>
      <c r="M1233" t="str">
        <f>VLOOKUP(L1233,[1]Human_BrainSpan!$B$2:$C$4000,2,FALSE)</f>
        <v>ilf</v>
      </c>
    </row>
    <row r="1234" spans="2:13" x14ac:dyDescent="0.25">
      <c r="B1234" s="31" t="s">
        <v>25743</v>
      </c>
      <c r="C1234" s="20"/>
      <c r="D1234" s="25" t="s">
        <v>2374</v>
      </c>
      <c r="E1234" s="25"/>
      <c r="F1234" s="9" t="str">
        <f>HYPERLINK("https://www.ebi.ac.uk/ols/ontologies/uberon/terms?iri=http://purl.obolibrary.org/obo/UBERON_0034743","inferior longitudinal fasciculus")</f>
        <v>inferior longitudinal fasciculus</v>
      </c>
      <c r="G1234" s="9" t="s">
        <v>2373</v>
      </c>
      <c r="H1234" s="9" t="s">
        <v>23585</v>
      </c>
      <c r="I1234" s="9" t="s">
        <v>2374</v>
      </c>
      <c r="J1234" s="9" t="s">
        <v>2376</v>
      </c>
      <c r="K1234" s="7" t="s">
        <v>15171</v>
      </c>
      <c r="L1234" s="13">
        <v>9260</v>
      </c>
      <c r="M1234" t="str">
        <f>VLOOKUP(L1234,[1]HBA!$B$2:$C$4000,2,FALSE)</f>
        <v>ilf</v>
      </c>
    </row>
    <row r="1235" spans="2:13" x14ac:dyDescent="0.25">
      <c r="B1235" s="31" t="s">
        <v>25743</v>
      </c>
      <c r="C1235" s="20"/>
      <c r="D1235" s="25" t="s">
        <v>2378</v>
      </c>
      <c r="E1235" s="25"/>
      <c r="F1235" s="9" t="str">
        <f>HYPERLINK("https://www.ebi.ac.uk/ols/ontologies/uberon/terms?iri=http://purl.obolibrary.org/obo/UBERON_0014608","inferior occipital gyrus")</f>
        <v>inferior occipital gyrus</v>
      </c>
      <c r="G1235" s="9" t="s">
        <v>2377</v>
      </c>
      <c r="H1235" s="9" t="s">
        <v>23841</v>
      </c>
      <c r="I1235" s="9" t="s">
        <v>2378</v>
      </c>
      <c r="J1235" s="9" t="s">
        <v>2379</v>
      </c>
      <c r="K1235" s="4" t="s">
        <v>15175</v>
      </c>
      <c r="L1235" s="13">
        <v>12153</v>
      </c>
      <c r="M1235" t="str">
        <f>VLOOKUP(L1235,[1]Human_BrainSpan!$B$2:$C$4000,2,FALSE)</f>
        <v>IOG</v>
      </c>
    </row>
    <row r="1236" spans="2:13" x14ac:dyDescent="0.25">
      <c r="B1236" s="31" t="s">
        <v>25743</v>
      </c>
      <c r="C1236" s="20"/>
      <c r="D1236" s="25" t="s">
        <v>2378</v>
      </c>
      <c r="E1236" s="25"/>
      <c r="F1236" s="9" t="str">
        <f>HYPERLINK("https://www.ebi.ac.uk/ols/ontologies/uberon/terms?iri=http://purl.obolibrary.org/obo/UBERON_0014608","inferior occipital gyrus")</f>
        <v>inferior occipital gyrus</v>
      </c>
      <c r="G1236" s="9" t="s">
        <v>2377</v>
      </c>
      <c r="H1236" s="9" t="s">
        <v>23841</v>
      </c>
      <c r="I1236" s="9" t="s">
        <v>2378</v>
      </c>
      <c r="J1236" s="9" t="s">
        <v>2380</v>
      </c>
      <c r="K1236" s="7" t="s">
        <v>15171</v>
      </c>
      <c r="L1236" s="13">
        <v>4205</v>
      </c>
      <c r="M1236" t="str">
        <f>VLOOKUP(L1236,[1]HBA!$B$2:$C$4000,2,FALSE)</f>
        <v>IOG</v>
      </c>
    </row>
    <row r="1237" spans="2:13" x14ac:dyDescent="0.25">
      <c r="B1237" s="31" t="s">
        <v>25743</v>
      </c>
      <c r="C1237" s="20"/>
      <c r="D1237" s="25" t="s">
        <v>2382</v>
      </c>
      <c r="E1237" s="25"/>
      <c r="F1237" s="9" t="str">
        <f>HYPERLINK("https://www.ebi.ac.uk/ols/ontologies/uberon/terms?iri=http://purl.obolibrary.org/obo/UBERON_0034753","inferior occipitofrontal fasciculus")</f>
        <v>inferior occipitofrontal fasciculus</v>
      </c>
      <c r="G1237" s="9" t="s">
        <v>2381</v>
      </c>
      <c r="H1237" s="9" t="s">
        <v>23620</v>
      </c>
      <c r="I1237" s="9" t="s">
        <v>2382</v>
      </c>
      <c r="J1237" s="9" t="s">
        <v>2383</v>
      </c>
      <c r="K1237" s="4" t="s">
        <v>15175</v>
      </c>
      <c r="L1237" s="13">
        <v>12070</v>
      </c>
      <c r="M1237" t="str">
        <f>VLOOKUP(L1237,[1]Human_BrainSpan!$B$2:$C$4000,2,FALSE)</f>
        <v>offi</v>
      </c>
    </row>
    <row r="1238" spans="2:13" x14ac:dyDescent="0.25">
      <c r="B1238" s="31" t="s">
        <v>25743</v>
      </c>
      <c r="C1238" s="20"/>
      <c r="D1238" s="25" t="s">
        <v>2387</v>
      </c>
      <c r="E1238" s="25"/>
      <c r="F1238" s="9" t="str">
        <f>HYPERLINK("https://www.ebi.ac.uk/ols/ontologies/uberon/terms?iri=http://purl.obolibrary.org/obo/UBERON_0002127","inferior olivary complex")</f>
        <v>inferior olivary complex</v>
      </c>
      <c r="G1238" s="9" t="s">
        <v>2384</v>
      </c>
      <c r="H1238" s="9" t="s">
        <v>20474</v>
      </c>
      <c r="I1238" s="9" t="s">
        <v>2385</v>
      </c>
      <c r="J1238" s="9" t="s">
        <v>2386</v>
      </c>
      <c r="K1238" s="4" t="s">
        <v>15175</v>
      </c>
      <c r="L1238" s="13">
        <v>12600</v>
      </c>
      <c r="M1238" t="str">
        <f>VLOOKUP(L1238,[1]Human_BrainSpan!$B$2:$C$4000,2,FALSE)</f>
        <v>IO</v>
      </c>
    </row>
    <row r="1239" spans="2:13" x14ac:dyDescent="0.25">
      <c r="B1239" s="31" t="s">
        <v>25743</v>
      </c>
      <c r="C1239" s="20"/>
      <c r="D1239" s="25" t="s">
        <v>2387</v>
      </c>
      <c r="E1239" s="25"/>
      <c r="F1239" s="9" t="str">
        <f>HYPERLINK("https://www.ebi.ac.uk/ols/ontologies/uberon/terms?iri=http://purl.obolibrary.org/obo/UBERON_0002127","inferior olivary complex")</f>
        <v>inferior olivary complex</v>
      </c>
      <c r="G1239" s="9" t="s">
        <v>2384</v>
      </c>
      <c r="H1239" s="9" t="s">
        <v>20474</v>
      </c>
      <c r="I1239" s="9" t="s">
        <v>2387</v>
      </c>
      <c r="J1239" s="9" t="s">
        <v>2388</v>
      </c>
      <c r="K1239" s="7" t="s">
        <v>15171</v>
      </c>
      <c r="L1239" s="13">
        <v>9560</v>
      </c>
      <c r="M1239" t="str">
        <f>VLOOKUP(L1239,[1]HBA!$B$2:$C$4000,2,FALSE)</f>
        <v>IO</v>
      </c>
    </row>
    <row r="1240" spans="2:13" x14ac:dyDescent="0.25">
      <c r="B1240" s="31" t="s">
        <v>25743</v>
      </c>
      <c r="C1240" s="20"/>
      <c r="D1240" s="25" t="s">
        <v>2387</v>
      </c>
      <c r="E1240" s="25"/>
      <c r="F1240" s="9" t="str">
        <f>HYPERLINK("https://www.ebi.ac.uk/ols/ontologies/uberon/terms?iri=http://purl.obolibrary.org/obo/UBERON_0002127","inferior olivary complex")</f>
        <v>inferior olivary complex</v>
      </c>
      <c r="G1240" s="9" t="s">
        <v>2384</v>
      </c>
      <c r="H1240" s="9" t="s">
        <v>20474</v>
      </c>
      <c r="I1240" s="9" t="s">
        <v>2387</v>
      </c>
      <c r="J1240" s="9" t="s">
        <v>2389</v>
      </c>
      <c r="K1240" s="3" t="s">
        <v>15176</v>
      </c>
      <c r="L1240" s="13">
        <v>83</v>
      </c>
      <c r="M1240" t="str">
        <f>VLOOKUP(L1240,[1]Mouse_ARA!$B$2:$C$1328,2,FALSE)</f>
        <v>IO</v>
      </c>
    </row>
    <row r="1241" spans="2:13" x14ac:dyDescent="0.25">
      <c r="B1241" s="31" t="s">
        <v>25743</v>
      </c>
      <c r="C1241" s="20"/>
      <c r="D1241" s="25" t="s">
        <v>2391</v>
      </c>
      <c r="E1241" s="25"/>
      <c r="F1241" s="9" t="str">
        <f>HYPERLINK("https://www.ebi.ac.uk/ols/ontologies/uberon/terms?iri=http://purl.obolibrary.org/obo/UBERON_0035019","inferior olive, beta nucleus")</f>
        <v>inferior olive, beta nucleus</v>
      </c>
      <c r="G1241" s="9" t="s">
        <v>2390</v>
      </c>
      <c r="H1241" s="9" t="s">
        <v>24433</v>
      </c>
      <c r="I1241" s="9" t="s">
        <v>2391</v>
      </c>
      <c r="J1241" s="9" t="s">
        <v>2392</v>
      </c>
      <c r="K1241" s="4" t="s">
        <v>15175</v>
      </c>
      <c r="L1241" s="13">
        <v>12602</v>
      </c>
      <c r="M1241" t="str">
        <f>VLOOKUP(L1241,[1]Human_BrainSpan!$B$2:$C$4000,2,FALSE)</f>
        <v>IOBe</v>
      </c>
    </row>
    <row r="1242" spans="2:13" x14ac:dyDescent="0.25">
      <c r="B1242" s="31" t="s">
        <v>25743</v>
      </c>
      <c r="C1242" s="20"/>
      <c r="D1242" s="25" t="s">
        <v>25968</v>
      </c>
      <c r="E1242" s="25"/>
      <c r="F1242" s="9" t="str">
        <f>HYPERLINK("https://www.ebi.ac.uk/ols/ontologies/uberon/terms?iri=http://purl.obolibrary.org/obo/UBERON_0006088","inferior parietal cortex")</f>
        <v>inferior parietal cortex</v>
      </c>
      <c r="G1242" s="9" t="s">
        <v>2393</v>
      </c>
      <c r="H1242" s="9" t="s">
        <v>15351</v>
      </c>
      <c r="I1242" s="9" t="s">
        <v>2394</v>
      </c>
      <c r="J1242" s="9" t="s">
        <v>2395</v>
      </c>
      <c r="K1242" s="4" t="s">
        <v>15175</v>
      </c>
      <c r="L1242" s="13">
        <v>12134</v>
      </c>
      <c r="M1242" t="str">
        <f>VLOOKUP(L1242,[1]Human_BrainSpan!$B$2:$C$4000,2,FALSE)</f>
        <v>IPL</v>
      </c>
    </row>
    <row r="1243" spans="2:13" x14ac:dyDescent="0.25">
      <c r="B1243" s="31" t="s">
        <v>25743</v>
      </c>
      <c r="C1243" s="20"/>
      <c r="D1243" s="25" t="s">
        <v>25968</v>
      </c>
      <c r="E1243" s="25"/>
      <c r="F1243" s="9" t="str">
        <f>HYPERLINK("https://www.ebi.ac.uk/ols/ontologies/uberon/terms?iri=http://purl.obolibrary.org/obo/UBERON_0006088","inferior parietal cortex")</f>
        <v>inferior parietal cortex</v>
      </c>
      <c r="G1243" s="9" t="s">
        <v>2393</v>
      </c>
      <c r="H1243" s="9" t="s">
        <v>15351</v>
      </c>
      <c r="I1243" s="9" t="s">
        <v>2394</v>
      </c>
      <c r="J1243" s="9" t="s">
        <v>2396</v>
      </c>
      <c r="K1243" s="7" t="s">
        <v>15171</v>
      </c>
      <c r="L1243" s="13">
        <v>4103</v>
      </c>
      <c r="M1243" t="str">
        <f>VLOOKUP(L1243,[1]HBA!$B$2:$C$4000,2,FALSE)</f>
        <v>IPL</v>
      </c>
    </row>
    <row r="1244" spans="2:13" x14ac:dyDescent="0.25">
      <c r="B1244" s="31" t="s">
        <v>25743</v>
      </c>
      <c r="C1244" s="20"/>
      <c r="D1244" s="25" t="s">
        <v>25969</v>
      </c>
      <c r="E1244" s="25"/>
      <c r="F1244" s="9" t="str">
        <f>HYPERLINK("https://www.ebi.ac.uk/ols/ontologies/uberon/terms?iri=http://purl.obolibrary.org/obo/UBERON_0002982","inferior pulvinar nucleus")</f>
        <v>inferior pulvinar nucleus</v>
      </c>
      <c r="G1244" s="9" t="s">
        <v>2397</v>
      </c>
      <c r="H1244" s="9" t="s">
        <v>23318</v>
      </c>
      <c r="I1244" s="9" t="s">
        <v>2398</v>
      </c>
      <c r="J1244" s="9" t="s">
        <v>2399</v>
      </c>
      <c r="K1244" s="4" t="s">
        <v>15175</v>
      </c>
      <c r="L1244" s="13">
        <v>10413</v>
      </c>
      <c r="M1244" t="str">
        <f>VLOOKUP(L1244,[1]Human_BrainSpan!$B$2:$C$4000,2,FALSE)</f>
        <v>Puli</v>
      </c>
    </row>
    <row r="1245" spans="2:13" x14ac:dyDescent="0.25">
      <c r="B1245" s="31" t="s">
        <v>25743</v>
      </c>
      <c r="C1245" s="20"/>
      <c r="D1245" s="25" t="s">
        <v>25969</v>
      </c>
      <c r="E1245" s="25"/>
      <c r="F1245" s="9" t="str">
        <f>HYPERLINK("https://www.ebi.ac.uk/ols/ontologies/uberon/terms?iri=http://purl.obolibrary.org/obo/UBERON_0002982","inferior pulvinar nucleus")</f>
        <v>inferior pulvinar nucleus</v>
      </c>
      <c r="G1245" s="9" t="s">
        <v>2397</v>
      </c>
      <c r="H1245" s="9" t="s">
        <v>25110</v>
      </c>
      <c r="I1245" s="9" t="s">
        <v>2400</v>
      </c>
      <c r="J1245" s="9" t="s">
        <v>2401</v>
      </c>
      <c r="K1245" s="7" t="s">
        <v>15171</v>
      </c>
      <c r="L1245" s="13">
        <v>4414</v>
      </c>
      <c r="M1245" t="str">
        <f>VLOOKUP(L1245,[1]HBA!$B$2:$C$4000,2,FALSE)</f>
        <v>Pli</v>
      </c>
    </row>
    <row r="1246" spans="2:13" x14ac:dyDescent="0.25">
      <c r="B1246" s="31" t="s">
        <v>25743</v>
      </c>
      <c r="C1246" s="20"/>
      <c r="D1246" s="25" t="s">
        <v>2403</v>
      </c>
      <c r="E1246" s="25"/>
      <c r="F1246" s="9" t="str">
        <f>HYPERLINK("https://www.ebi.ac.uk/ols/ontologies/uberon/terms?iri=http://purl.obolibrary.org/obo/UBERON_0019278","inferior rostral gyrus")</f>
        <v>inferior rostral gyrus</v>
      </c>
      <c r="G1246" s="9" t="s">
        <v>2402</v>
      </c>
      <c r="H1246" s="9" t="s">
        <v>23810</v>
      </c>
      <c r="I1246" s="9" t="s">
        <v>2403</v>
      </c>
      <c r="J1246" s="9" t="s">
        <v>2404</v>
      </c>
      <c r="K1246" s="4" t="s">
        <v>15175</v>
      </c>
      <c r="L1246" s="13">
        <v>12130</v>
      </c>
      <c r="M1246" t="str">
        <f>VLOOKUP(L1246,[1]Human_BrainSpan!$B$2:$C$4000,2,FALSE)</f>
        <v>IRoG</v>
      </c>
    </row>
    <row r="1247" spans="2:13" x14ac:dyDescent="0.25">
      <c r="B1247" s="31" t="s">
        <v>25743</v>
      </c>
      <c r="C1247" s="20"/>
      <c r="D1247" s="25" t="s">
        <v>2403</v>
      </c>
      <c r="E1247" s="25"/>
      <c r="F1247" s="9" t="str">
        <f>HYPERLINK("https://www.ebi.ac.uk/ols/ontologies/uberon/terms?iri=http://purl.obolibrary.org/obo/UBERON_0019278","inferior rostral gyrus")</f>
        <v>inferior rostral gyrus</v>
      </c>
      <c r="G1247" s="9" t="s">
        <v>2402</v>
      </c>
      <c r="H1247" s="9" t="s">
        <v>23810</v>
      </c>
      <c r="I1247" s="9" t="s">
        <v>2403</v>
      </c>
      <c r="J1247" s="9" t="s">
        <v>2405</v>
      </c>
      <c r="K1247" s="7" t="s">
        <v>15171</v>
      </c>
      <c r="L1247" s="13">
        <v>4900</v>
      </c>
      <c r="M1247" t="str">
        <f>VLOOKUP(L1247,[1]HBA!$B$2:$C$4000,2,FALSE)</f>
        <v>IRoG</v>
      </c>
    </row>
    <row r="1248" spans="2:13" x14ac:dyDescent="0.25">
      <c r="B1248" s="31" t="s">
        <v>25743</v>
      </c>
      <c r="C1248" s="20"/>
      <c r="D1248" s="25" t="s">
        <v>2407</v>
      </c>
      <c r="E1248" s="25"/>
      <c r="F1248" s="9" t="str">
        <f>HYPERLINK("https://www.ebi.ac.uk/ols/ontologies/uberon/terms?iri=http://purl.obolibrary.org/obo/UBERON_0002767","inferior rostral sulcus")</f>
        <v>inferior rostral sulcus</v>
      </c>
      <c r="G1248" s="9" t="s">
        <v>2406</v>
      </c>
      <c r="H1248" s="9" t="s">
        <v>23769</v>
      </c>
      <c r="I1248" s="9" t="s">
        <v>2407</v>
      </c>
      <c r="J1248" s="9" t="s">
        <v>2408</v>
      </c>
      <c r="K1248" s="4" t="s">
        <v>15175</v>
      </c>
      <c r="L1248" s="13">
        <v>146034844</v>
      </c>
      <c r="M1248" t="str">
        <f>VLOOKUP(L1248,[1]Human_BrainSpan!$B$2:$C$4000,2,FALSE)</f>
        <v>ros-i</v>
      </c>
    </row>
    <row r="1249" spans="2:13" x14ac:dyDescent="0.25">
      <c r="B1249" s="31" t="s">
        <v>25743</v>
      </c>
      <c r="C1249" s="20"/>
      <c r="D1249" s="25" t="s">
        <v>2407</v>
      </c>
      <c r="E1249" s="25"/>
      <c r="F1249" s="9" t="str">
        <f>HYPERLINK("https://www.ebi.ac.uk/ols/ontologies/uberon/terms?iri=http://purl.obolibrary.org/obo/UBERON_0002767","inferior rostral sulcus")</f>
        <v>inferior rostral sulcus</v>
      </c>
      <c r="G1249" s="9" t="s">
        <v>2406</v>
      </c>
      <c r="H1249" s="9" t="s">
        <v>25523</v>
      </c>
      <c r="I1249" s="9" t="s">
        <v>2407</v>
      </c>
      <c r="J1249" s="9" t="s">
        <v>2409</v>
      </c>
      <c r="K1249" s="7" t="s">
        <v>15171</v>
      </c>
      <c r="L1249" s="13">
        <v>9367</v>
      </c>
      <c r="M1249" t="str">
        <f>VLOOKUP(L1249,[1]HBA!$B$2:$C$4000,2,FALSE)</f>
        <v>iros</v>
      </c>
    </row>
    <row r="1250" spans="2:13" x14ac:dyDescent="0.25">
      <c r="B1250" s="31" t="s">
        <v>25743</v>
      </c>
      <c r="C1250" s="20"/>
      <c r="D1250" s="25" t="s">
        <v>2411</v>
      </c>
      <c r="E1250" s="25"/>
      <c r="F1250" s="9" t="str">
        <f>HYPERLINK("https://www.ebi.ac.uk/ols/ontologies/uberon/terms?iri=http://purl.obolibrary.org/obo/UBERON_0002872","inferior salivatory nucleus")</f>
        <v>inferior salivatory nucleus</v>
      </c>
      <c r="G1250" s="9" t="s">
        <v>2410</v>
      </c>
      <c r="H1250" s="9" t="s">
        <v>24380</v>
      </c>
      <c r="I1250" s="9" t="s">
        <v>2411</v>
      </c>
      <c r="J1250" s="9" t="s">
        <v>2412</v>
      </c>
      <c r="K1250" s="4" t="s">
        <v>15175</v>
      </c>
      <c r="L1250" s="13">
        <v>12544</v>
      </c>
      <c r="M1250" t="str">
        <f>VLOOKUP(L1250,[1]Human_BrainSpan!$B$2:$C$4000,2,FALSE)</f>
        <v>InSV</v>
      </c>
    </row>
    <row r="1251" spans="2:13" x14ac:dyDescent="0.25">
      <c r="B1251" s="31" t="s">
        <v>25743</v>
      </c>
      <c r="C1251" s="20"/>
      <c r="D1251" s="25" t="s">
        <v>2411</v>
      </c>
      <c r="E1251" s="25"/>
      <c r="F1251" s="9" t="str">
        <f>HYPERLINK("https://www.ebi.ac.uk/ols/ontologies/uberon/terms?iri=http://purl.obolibrary.org/obo/UBERON_0002872","inferior salivatory nucleus")</f>
        <v>inferior salivatory nucleus</v>
      </c>
      <c r="G1251" s="9" t="s">
        <v>2410</v>
      </c>
      <c r="H1251" s="9" t="s">
        <v>17878</v>
      </c>
      <c r="I1251" s="9" t="s">
        <v>2411</v>
      </c>
      <c r="J1251" s="9" t="s">
        <v>2413</v>
      </c>
      <c r="K1251" s="7" t="s">
        <v>15171</v>
      </c>
      <c r="L1251" s="13">
        <v>9569</v>
      </c>
      <c r="M1251" t="str">
        <f>VLOOKUP(L1251,[1]HBA!$B$2:$C$4000,2,FALSE)</f>
        <v>IS</v>
      </c>
    </row>
    <row r="1252" spans="2:13" x14ac:dyDescent="0.25">
      <c r="B1252" s="31" t="s">
        <v>25743</v>
      </c>
      <c r="C1252" s="20"/>
      <c r="D1252" s="25" t="s">
        <v>2411</v>
      </c>
      <c r="E1252" s="25"/>
      <c r="F1252" s="9" t="str">
        <f>HYPERLINK("https://www.ebi.ac.uk/ols/ontologies/uberon/terms?iri=http://purl.obolibrary.org/obo/UBERON_0002872","inferior salivatory nucleus")</f>
        <v>inferior salivatory nucleus</v>
      </c>
      <c r="G1252" s="9" t="s">
        <v>2410</v>
      </c>
      <c r="H1252" s="9" t="s">
        <v>20478</v>
      </c>
      <c r="I1252" s="9" t="s">
        <v>2411</v>
      </c>
      <c r="J1252" s="9" t="s">
        <v>2414</v>
      </c>
      <c r="K1252" s="3" t="s">
        <v>15176</v>
      </c>
      <c r="L1252" s="13">
        <v>106</v>
      </c>
      <c r="M1252" t="str">
        <f>VLOOKUP(L1252,[1]Mouse_ARA!$B$2:$C$1328,2,FALSE)</f>
        <v>ISN</v>
      </c>
    </row>
    <row r="1253" spans="2:13" x14ac:dyDescent="0.25">
      <c r="B1253" s="31" t="s">
        <v>25743</v>
      </c>
      <c r="C1253" s="20"/>
      <c r="D1253" s="25" t="s">
        <v>2416</v>
      </c>
      <c r="E1253" s="25"/>
      <c r="F1253" s="9" t="str">
        <f>HYPERLINK("https://www.ebi.ac.uk/ols/ontologies/uberon/terms?iri=http://purl.obolibrary.org/obo/UBERON_0002751","inferior temporal gyrus")</f>
        <v>inferior temporal gyrus</v>
      </c>
      <c r="G1253" s="9" t="s">
        <v>2415</v>
      </c>
      <c r="H1253" s="9" t="s">
        <v>23825</v>
      </c>
      <c r="I1253" s="9" t="s">
        <v>2416</v>
      </c>
      <c r="J1253" s="9" t="s">
        <v>2417</v>
      </c>
      <c r="K1253" s="4" t="s">
        <v>15175</v>
      </c>
      <c r="L1253" s="13">
        <v>12142</v>
      </c>
      <c r="M1253" t="str">
        <f>VLOOKUP(L1253,[1]Human_BrainSpan!$B$2:$C$4000,2,FALSE)</f>
        <v>ITG</v>
      </c>
    </row>
    <row r="1254" spans="2:13" x14ac:dyDescent="0.25">
      <c r="B1254" s="31" t="s">
        <v>25743</v>
      </c>
      <c r="C1254" s="20"/>
      <c r="D1254" s="25" t="s">
        <v>2416</v>
      </c>
      <c r="E1254" s="25"/>
      <c r="F1254" s="9" t="str">
        <f>HYPERLINK("https://www.ebi.ac.uk/ols/ontologies/uberon/terms?iri=http://purl.obolibrary.org/obo/UBERON_0002751","inferior temporal gyrus")</f>
        <v>inferior temporal gyrus</v>
      </c>
      <c r="G1254" s="9" t="s">
        <v>2415</v>
      </c>
      <c r="H1254" s="9" t="s">
        <v>23825</v>
      </c>
      <c r="I1254" s="9" t="s">
        <v>2416</v>
      </c>
      <c r="J1254" s="9" t="s">
        <v>2418</v>
      </c>
      <c r="K1254" s="7" t="s">
        <v>15171</v>
      </c>
      <c r="L1254" s="13">
        <v>4147</v>
      </c>
      <c r="M1254" t="str">
        <f>VLOOKUP(L1254,[1]HBA!$B$2:$C$4000,2,FALSE)</f>
        <v>ITG</v>
      </c>
    </row>
    <row r="1255" spans="2:13" x14ac:dyDescent="0.25">
      <c r="B1255" s="31" t="s">
        <v>25743</v>
      </c>
      <c r="C1255" s="20"/>
      <c r="D1255" s="25" t="s">
        <v>2420</v>
      </c>
      <c r="E1255" s="25"/>
      <c r="F1255" s="9" t="str">
        <f>HYPERLINK("https://www.ebi.ac.uk/ols/ontologies/uberon/terms?iri=http://purl.obolibrary.org/obo/UBERON_0002969","inferior temporal sulcus")</f>
        <v>inferior temporal sulcus</v>
      </c>
      <c r="G1255" s="9" t="s">
        <v>2419</v>
      </c>
      <c r="H1255" s="9" t="s">
        <v>23740</v>
      </c>
      <c r="I1255" s="9" t="s">
        <v>2420</v>
      </c>
      <c r="J1255" s="9" t="s">
        <v>2421</v>
      </c>
      <c r="K1255" s="4" t="s">
        <v>15175</v>
      </c>
      <c r="L1255" s="13">
        <v>10632</v>
      </c>
      <c r="M1255" t="str">
        <f>VLOOKUP(L1255,[1]Human_BrainSpan!$B$2:$C$4000,2,FALSE)</f>
        <v>its</v>
      </c>
    </row>
    <row r="1256" spans="2:13" x14ac:dyDescent="0.25">
      <c r="B1256" s="31" t="s">
        <v>25743</v>
      </c>
      <c r="C1256" s="20"/>
      <c r="D1256" s="25" t="s">
        <v>2420</v>
      </c>
      <c r="E1256" s="25"/>
      <c r="F1256" s="9" t="str">
        <f>HYPERLINK("https://www.ebi.ac.uk/ols/ontologies/uberon/terms?iri=http://purl.obolibrary.org/obo/UBERON_0002969","inferior temporal sulcus")</f>
        <v>inferior temporal sulcus</v>
      </c>
      <c r="G1256" s="9" t="s">
        <v>2419</v>
      </c>
      <c r="H1256" s="9" t="s">
        <v>23740</v>
      </c>
      <c r="I1256" s="9" t="s">
        <v>2420</v>
      </c>
      <c r="J1256" s="9" t="s">
        <v>2422</v>
      </c>
      <c r="K1256" s="7" t="s">
        <v>15171</v>
      </c>
      <c r="L1256" s="13">
        <v>9379</v>
      </c>
      <c r="M1256" t="str">
        <f>VLOOKUP(L1256,[1]HBA!$B$2:$C$4000,2,FALSE)</f>
        <v>its</v>
      </c>
    </row>
    <row r="1257" spans="2:13" x14ac:dyDescent="0.25">
      <c r="B1257" s="31" t="s">
        <v>25743</v>
      </c>
      <c r="C1257" s="20"/>
      <c r="D1257" s="25" t="s">
        <v>2424</v>
      </c>
      <c r="E1257" s="25"/>
      <c r="F1257" s="9" t="str">
        <f>HYPERLINK("https://www.ebi.ac.uk/ols/ontologies/uberon/terms?iri=http://purl.obolibrary.org/obo/UBERON_0022242","inferior thalamic peduncle")</f>
        <v>inferior thalamic peduncle</v>
      </c>
      <c r="G1257" s="9" t="s">
        <v>2423</v>
      </c>
      <c r="H1257" s="9" t="s">
        <v>23586</v>
      </c>
      <c r="I1257" s="9" t="s">
        <v>2424</v>
      </c>
      <c r="J1257" s="9" t="s">
        <v>2425</v>
      </c>
      <c r="K1257" s="4" t="s">
        <v>15175</v>
      </c>
      <c r="L1257" s="13">
        <v>12059</v>
      </c>
      <c r="M1257" t="str">
        <f>VLOOKUP(L1257,[1]Human_BrainSpan!$B$2:$C$4000,2,FALSE)</f>
        <v>ithp</v>
      </c>
    </row>
    <row r="1258" spans="2:13" x14ac:dyDescent="0.25">
      <c r="B1258" s="31" t="s">
        <v>25743</v>
      </c>
      <c r="C1258" s="20"/>
      <c r="D1258" s="25" t="s">
        <v>2424</v>
      </c>
      <c r="E1258" s="25"/>
      <c r="F1258" s="9" t="str">
        <f>HYPERLINK("https://www.ebi.ac.uk/ols/ontologies/uberon/terms?iri=http://purl.obolibrary.org/obo/UBERON_0022242","inferior thalamic peduncle")</f>
        <v>inferior thalamic peduncle</v>
      </c>
      <c r="G1258" s="9" t="s">
        <v>2423</v>
      </c>
      <c r="H1258" s="9" t="s">
        <v>23586</v>
      </c>
      <c r="I1258" s="9" t="s">
        <v>2424</v>
      </c>
      <c r="J1258" s="9" t="s">
        <v>2426</v>
      </c>
      <c r="K1258" s="7" t="s">
        <v>15171</v>
      </c>
      <c r="L1258" s="13">
        <v>265505110</v>
      </c>
      <c r="M1258" t="str">
        <f>VLOOKUP(L1258,[1]HBA!$B$2:$C$4000,2,FALSE)</f>
        <v>ithp</v>
      </c>
    </row>
    <row r="1259" spans="2:13" x14ac:dyDescent="0.25">
      <c r="B1259" s="31" t="s">
        <v>25743</v>
      </c>
      <c r="C1259" s="20"/>
      <c r="D1259" s="25" t="s">
        <v>25970</v>
      </c>
      <c r="E1259" s="25"/>
      <c r="F1259" s="9" t="str">
        <f>HYPERLINK("https://www.ebi.ac.uk/ols/ontologies/uberon/terms?iri=http://purl.obolibrary.org/obo/UBERON_0001721","inferior vestibular nucleus")</f>
        <v>inferior vestibular nucleus</v>
      </c>
      <c r="G1259" s="9" t="s">
        <v>2427</v>
      </c>
      <c r="H1259" s="9" t="s">
        <v>24417</v>
      </c>
      <c r="I1259" s="9" t="s">
        <v>2428</v>
      </c>
      <c r="J1259" s="9" t="s">
        <v>2429</v>
      </c>
      <c r="K1259" s="7" t="s">
        <v>15171</v>
      </c>
      <c r="L1259" s="13">
        <v>9702</v>
      </c>
      <c r="M1259" t="str">
        <f>VLOOKUP(L1259,[1]HBA!$B$2:$C$4000,2,FALSE)</f>
        <v>SpVe</v>
      </c>
    </row>
    <row r="1260" spans="2:13" x14ac:dyDescent="0.25">
      <c r="B1260" s="31" t="s">
        <v>25743</v>
      </c>
      <c r="C1260" s="20"/>
      <c r="D1260" s="25" t="s">
        <v>25970</v>
      </c>
      <c r="E1260" s="25"/>
      <c r="F1260" s="9" t="str">
        <f>HYPERLINK("https://www.ebi.ac.uk/ols/ontologies/uberon/terms?iri=http://purl.obolibrary.org/obo/UBERON_0001721","inferior vestibular nucleus")</f>
        <v>inferior vestibular nucleus</v>
      </c>
      <c r="G1260" s="9" t="s">
        <v>2427</v>
      </c>
      <c r="H1260" s="9" t="s">
        <v>20528</v>
      </c>
      <c r="I1260" s="9" t="s">
        <v>2430</v>
      </c>
      <c r="J1260" s="9" t="s">
        <v>2431</v>
      </c>
      <c r="K1260" s="3" t="s">
        <v>15176</v>
      </c>
      <c r="L1260" s="13">
        <v>225</v>
      </c>
      <c r="M1260" t="str">
        <f>VLOOKUP(L1260,[1]Mouse_ARA!$B$2:$C$1328,2,FALSE)</f>
        <v>SPIV</v>
      </c>
    </row>
    <row r="1261" spans="2:13" x14ac:dyDescent="0.25">
      <c r="B1261" s="31" t="s">
        <v>25743</v>
      </c>
      <c r="C1261" s="20"/>
      <c r="D1261" s="25" t="s">
        <v>2435</v>
      </c>
      <c r="E1261" s="25"/>
      <c r="F1261" s="9" t="str">
        <f>HYPERLINK("https://www.ebi.ac.uk/ols/ontologies/uberon/terms?iri=http://purl.obolibrary.org/obo/UBERON_0002022","insula")</f>
        <v>insula</v>
      </c>
      <c r="G1261" s="9" t="s">
        <v>2432</v>
      </c>
      <c r="H1261" s="9" t="s">
        <v>23843</v>
      </c>
      <c r="I1261" s="9" t="s">
        <v>2433</v>
      </c>
      <c r="J1261" s="9" t="s">
        <v>2434</v>
      </c>
      <c r="K1261" s="4" t="s">
        <v>15175</v>
      </c>
      <c r="L1261" s="13">
        <v>12176</v>
      </c>
      <c r="M1261" t="str">
        <f>VLOOKUP(L1261,[1]Human_BrainSpan!$B$2:$C$4000,2,FALSE)</f>
        <v>InL</v>
      </c>
    </row>
    <row r="1262" spans="2:13" x14ac:dyDescent="0.25">
      <c r="B1262" s="31" t="s">
        <v>25743</v>
      </c>
      <c r="C1262" s="20"/>
      <c r="D1262" s="25" t="s">
        <v>2435</v>
      </c>
      <c r="E1262" s="25"/>
      <c r="F1262" s="9" t="str">
        <f>HYPERLINK("https://www.ebi.ac.uk/ols/ontologies/uberon/terms?iri=http://purl.obolibrary.org/obo/UBERON_0002022","insula")</f>
        <v>insula</v>
      </c>
      <c r="G1262" s="9" t="s">
        <v>2432</v>
      </c>
      <c r="H1262" s="9" t="s">
        <v>24781</v>
      </c>
      <c r="I1262" s="9" t="s">
        <v>2435</v>
      </c>
      <c r="J1262" s="9" t="s">
        <v>2436</v>
      </c>
      <c r="K1262" s="7" t="s">
        <v>15171</v>
      </c>
      <c r="L1262" s="13">
        <v>4268</v>
      </c>
      <c r="M1262" t="str">
        <f>VLOOKUP(L1262,[1]HBA!$B$2:$C$4000,2,FALSE)</f>
        <v>Ins</v>
      </c>
    </row>
    <row r="1263" spans="2:13" x14ac:dyDescent="0.25">
      <c r="B1263" s="31" t="s">
        <v>25743</v>
      </c>
      <c r="C1263" s="20"/>
      <c r="D1263" s="25" t="s">
        <v>2440</v>
      </c>
      <c r="E1263" s="25"/>
      <c r="F1263" s="9" t="str">
        <f>HYPERLINK("https://www.ebi.ac.uk/ols/ontologies/uberon/terms?iri=http://purl.obolibrary.org/obo/UBERON_0034891","insular cortex")</f>
        <v>insular cortex</v>
      </c>
      <c r="G1263" s="9" t="s">
        <v>2437</v>
      </c>
      <c r="H1263" s="9" t="s">
        <v>22755</v>
      </c>
      <c r="I1263" s="9" t="s">
        <v>2438</v>
      </c>
      <c r="J1263" s="9" t="s">
        <v>2439</v>
      </c>
      <c r="K1263" s="4" t="s">
        <v>15175</v>
      </c>
      <c r="L1263" s="13">
        <v>10288</v>
      </c>
      <c r="M1263" t="str">
        <f>VLOOKUP(L1263,[1]Human_BrainSpan!$B$2:$C$4000,2,FALSE)</f>
        <v>ICx</v>
      </c>
    </row>
    <row r="1264" spans="2:13" x14ac:dyDescent="0.25">
      <c r="B1264" s="31" t="s">
        <v>25743</v>
      </c>
      <c r="C1264" s="20"/>
      <c r="D1264" s="25" t="s">
        <v>2440</v>
      </c>
      <c r="E1264" s="25"/>
      <c r="F1264" s="9" t="str">
        <f>HYPERLINK("https://www.ebi.ac.uk/ols/ontologies/uberon/terms?iri=http://purl.obolibrary.org/obo/UBERON_0034891","insular cortex")</f>
        <v>insular cortex</v>
      </c>
      <c r="G1264" s="9" t="s">
        <v>2437</v>
      </c>
      <c r="H1264" s="9" t="s">
        <v>15853</v>
      </c>
      <c r="I1264" s="9" t="s">
        <v>2440</v>
      </c>
      <c r="J1264" s="9" t="s">
        <v>2441</v>
      </c>
      <c r="K1264" s="5" t="s">
        <v>15173</v>
      </c>
      <c r="L1264" s="13">
        <v>16058</v>
      </c>
      <c r="M1264" t="str">
        <f>VLOOKUP(L1264,[1]DevMouse!$B$2:$C$2693,2,FALSE)</f>
        <v>InsCx</v>
      </c>
    </row>
    <row r="1265" spans="2:13" x14ac:dyDescent="0.25">
      <c r="B1265" s="31" t="s">
        <v>25743</v>
      </c>
      <c r="C1265" s="20"/>
      <c r="D1265" s="25" t="s">
        <v>2443</v>
      </c>
      <c r="E1265" s="25"/>
      <c r="F1265" s="9" t="str">
        <f>HYPERLINK("https://www.ebi.ac.uk/ols/ontologies/uberon/terms?iri=http://purl.obolibrary.org/obo/UBERON_0035972","interanterodorsal nucleus of the thalamus")</f>
        <v>interanterodorsal nucleus of the thalamus</v>
      </c>
      <c r="G1265" s="9" t="s">
        <v>2442</v>
      </c>
      <c r="H1265" s="9" t="s">
        <v>16408</v>
      </c>
      <c r="I1265" s="9" t="s">
        <v>2443</v>
      </c>
      <c r="J1265" s="9" t="s">
        <v>2444</v>
      </c>
      <c r="K1265" s="3" t="s">
        <v>15176</v>
      </c>
      <c r="L1265" s="13">
        <v>1113</v>
      </c>
      <c r="M1265" t="str">
        <f>VLOOKUP(L1265,[1]Mouse_ARA!$B$2:$C$1328,2,FALSE)</f>
        <v>IAD</v>
      </c>
    </row>
    <row r="1266" spans="2:13" x14ac:dyDescent="0.25">
      <c r="B1266" s="31" t="s">
        <v>25743</v>
      </c>
      <c r="C1266" s="20"/>
      <c r="D1266" s="25" t="s">
        <v>2448</v>
      </c>
      <c r="E1266" s="25"/>
      <c r="F1266" s="9" t="str">
        <f>HYPERLINK("https://www.ebi.ac.uk/ols/ontologies/uberon/terms?iri=http://purl.obolibrary.org/obo/UBERON_0002884","intercalated amygdaloid nuclei")</f>
        <v>intercalated amygdaloid nuclei</v>
      </c>
      <c r="G1266" s="9" t="s">
        <v>2445</v>
      </c>
      <c r="H1266" s="9" t="s">
        <v>23206</v>
      </c>
      <c r="I1266" s="9" t="s">
        <v>2446</v>
      </c>
      <c r="J1266" s="9" t="s">
        <v>2447</v>
      </c>
      <c r="K1266" s="4" t="s">
        <v>15175</v>
      </c>
      <c r="L1266" s="13">
        <v>10378</v>
      </c>
      <c r="M1266" t="str">
        <f>VLOOKUP(L1266,[1]Human_BrainSpan!$B$2:$C$4000,2,FALSE)</f>
        <v>INA</v>
      </c>
    </row>
    <row r="1267" spans="2:13" x14ac:dyDescent="0.25">
      <c r="B1267" s="31" t="s">
        <v>25743</v>
      </c>
      <c r="C1267" s="20"/>
      <c r="D1267" s="25" t="s">
        <v>2448</v>
      </c>
      <c r="E1267" s="25"/>
      <c r="F1267" s="9" t="str">
        <f>HYPERLINK("https://www.ebi.ac.uk/ols/ontologies/uberon/terms?iri=http://purl.obolibrary.org/obo/UBERON_0002884","intercalated amygdaloid nuclei")</f>
        <v>intercalated amygdaloid nuclei</v>
      </c>
      <c r="G1267" s="9" t="s">
        <v>2445</v>
      </c>
      <c r="H1267" s="9" t="s">
        <v>15664</v>
      </c>
      <c r="I1267" s="9" t="s">
        <v>2448</v>
      </c>
      <c r="J1267" s="9" t="s">
        <v>2449</v>
      </c>
      <c r="K1267" s="5" t="s">
        <v>15173</v>
      </c>
      <c r="L1267" s="13">
        <v>15876</v>
      </c>
      <c r="M1267" t="str">
        <f>VLOOKUP(L1267,[1]DevMouse!$B$2:$C$2693,2,FALSE)</f>
        <v>IA</v>
      </c>
    </row>
    <row r="1268" spans="2:13" x14ac:dyDescent="0.25">
      <c r="B1268" s="31" t="s">
        <v>25743</v>
      </c>
      <c r="C1268" s="20"/>
      <c r="D1268" s="25" t="s">
        <v>2448</v>
      </c>
      <c r="E1268" s="25"/>
      <c r="F1268" s="9" t="str">
        <f>HYPERLINK("https://www.ebi.ac.uk/ols/ontologies/uberon/terms?iri=http://purl.obolibrary.org/obo/UBERON_0002884","intercalated amygdaloid nuclei")</f>
        <v>intercalated amygdaloid nuclei</v>
      </c>
      <c r="G1268" s="9" t="s">
        <v>2445</v>
      </c>
      <c r="H1268" s="9" t="s">
        <v>15664</v>
      </c>
      <c r="I1268" s="9" t="s">
        <v>2450</v>
      </c>
      <c r="J1268" s="9" t="s">
        <v>2451</v>
      </c>
      <c r="K1268" s="7" t="s">
        <v>15171</v>
      </c>
      <c r="L1268" s="13">
        <v>4375</v>
      </c>
      <c r="M1268" t="str">
        <f>VLOOKUP(L1268,[1]HBA!$B$2:$C$4000,2,FALSE)</f>
        <v>IA</v>
      </c>
    </row>
    <row r="1269" spans="2:13" x14ac:dyDescent="0.25">
      <c r="B1269" s="31" t="s">
        <v>25743</v>
      </c>
      <c r="C1269" s="20"/>
      <c r="D1269" s="25" t="s">
        <v>2448</v>
      </c>
      <c r="E1269" s="25"/>
      <c r="F1269" s="9" t="str">
        <f>HYPERLINK("https://www.ebi.ac.uk/ols/ontologies/uberon/terms?iri=http://purl.obolibrary.org/obo/UBERON_0002884","intercalated amygdaloid nuclei")</f>
        <v>intercalated amygdaloid nuclei</v>
      </c>
      <c r="G1269" s="9" t="s">
        <v>2445</v>
      </c>
      <c r="H1269" s="9" t="s">
        <v>15664</v>
      </c>
      <c r="I1269" s="9" t="s">
        <v>2452</v>
      </c>
      <c r="J1269" s="9" t="s">
        <v>2453</v>
      </c>
      <c r="K1269" s="3" t="s">
        <v>15176</v>
      </c>
      <c r="L1269" s="13">
        <v>1105</v>
      </c>
      <c r="M1269" t="str">
        <f>VLOOKUP(L1269,[1]Mouse_ARA!$B$2:$C$1328,2,FALSE)</f>
        <v>IA</v>
      </c>
    </row>
    <row r="1270" spans="2:13" x14ac:dyDescent="0.25">
      <c r="B1270" s="31" t="s">
        <v>25743</v>
      </c>
      <c r="C1270" s="20"/>
      <c r="D1270" s="25" t="s">
        <v>2448</v>
      </c>
      <c r="E1270" s="25"/>
      <c r="F1270" s="9" t="str">
        <f>HYPERLINK("https://www.ebi.ac.uk/ols/ontologies/uberon/terms?iri=http://purl.obolibrary.org/obo/UBERON_0002884","intercalated amygdaloid nuclei")</f>
        <v>intercalated amygdaloid nuclei</v>
      </c>
      <c r="G1270" s="9" t="s">
        <v>2445</v>
      </c>
      <c r="H1270" s="9" t="s">
        <v>23206</v>
      </c>
      <c r="I1270" s="9" t="s">
        <v>2454</v>
      </c>
      <c r="J1270" s="9" t="s">
        <v>2455</v>
      </c>
      <c r="K1270" s="6" t="s">
        <v>15174</v>
      </c>
      <c r="L1270" s="13">
        <v>10132</v>
      </c>
      <c r="M1270" t="str">
        <f>VLOOKUP(L1270,[1]NonHumanPrimate!$B$2:$C$4000,2,FALSE)</f>
        <v>INA</v>
      </c>
    </row>
    <row r="1271" spans="2:13" x14ac:dyDescent="0.25">
      <c r="B1271" s="31" t="s">
        <v>25743</v>
      </c>
      <c r="C1271" s="20"/>
      <c r="D1271" s="25" t="s">
        <v>25971</v>
      </c>
      <c r="E1271" s="25"/>
      <c r="F1271" s="9" t="str">
        <f>HYPERLINK("https://www.ebi.ac.uk/ols/ontologies/uberon/terms?iri=http://purl.obolibrary.org/obo/UBERON_0013736","interfascicular linear nucleus")</f>
        <v>interfascicular linear nucleus</v>
      </c>
      <c r="G1271" s="9" t="s">
        <v>2456</v>
      </c>
      <c r="H1271" s="9" t="s">
        <v>17229</v>
      </c>
      <c r="I1271" s="9" t="s">
        <v>640</v>
      </c>
      <c r="J1271" s="9" t="s">
        <v>641</v>
      </c>
      <c r="K1271" s="4" t="s">
        <v>15175</v>
      </c>
      <c r="L1271" s="13">
        <v>12262</v>
      </c>
      <c r="M1271" t="str">
        <f>VLOOKUP(L1271,[1]Human_BrainSpan!$B$2:$C$4000,2,FALSE)</f>
        <v>IF</v>
      </c>
    </row>
    <row r="1272" spans="2:13" x14ac:dyDescent="0.25">
      <c r="B1272" s="31" t="s">
        <v>25743</v>
      </c>
      <c r="C1272" s="20"/>
      <c r="D1272" s="25" t="s">
        <v>25971</v>
      </c>
      <c r="E1272" s="25"/>
      <c r="F1272" s="9" t="str">
        <f>HYPERLINK("https://www.ebi.ac.uk/ols/ontologies/uberon/terms?iri=http://purl.obolibrary.org/obo/UBERON_0013736","interfascicular linear nucleus")</f>
        <v>interfascicular linear nucleus</v>
      </c>
      <c r="G1272" s="9" t="s">
        <v>2456</v>
      </c>
      <c r="H1272" s="9" t="s">
        <v>17229</v>
      </c>
      <c r="I1272" s="9" t="s">
        <v>725</v>
      </c>
      <c r="J1272" s="9" t="s">
        <v>726</v>
      </c>
      <c r="K1272" s="7" t="s">
        <v>15171</v>
      </c>
      <c r="L1272" s="13">
        <v>9472</v>
      </c>
      <c r="M1272" t="str">
        <f>VLOOKUP(L1272,[1]HBA!$B$2:$C$4000,2,FALSE)</f>
        <v>IF</v>
      </c>
    </row>
    <row r="1273" spans="2:13" x14ac:dyDescent="0.25">
      <c r="B1273" s="31" t="s">
        <v>25743</v>
      </c>
      <c r="C1273" s="20"/>
      <c r="D1273" s="25" t="s">
        <v>25971</v>
      </c>
      <c r="E1273" s="25"/>
      <c r="F1273" s="9" t="str">
        <f>HYPERLINK("https://www.ebi.ac.uk/ols/ontologies/uberon/terms?iri=http://purl.obolibrary.org/obo/UBERON_0013736","interfascicular linear nucleus")</f>
        <v>interfascicular linear nucleus</v>
      </c>
      <c r="G1273" s="9" t="s">
        <v>2456</v>
      </c>
      <c r="H1273" s="9" t="s">
        <v>17229</v>
      </c>
      <c r="I1273" s="9" t="s">
        <v>741</v>
      </c>
      <c r="J1273" s="9" t="s">
        <v>742</v>
      </c>
      <c r="K1273" s="3" t="s">
        <v>15176</v>
      </c>
      <c r="L1273" s="13">
        <v>12</v>
      </c>
      <c r="M1273" t="str">
        <f>VLOOKUP(L1273,[1]Mouse_ARA!$B$2:$C$1328,2,FALSE)</f>
        <v>IF</v>
      </c>
    </row>
    <row r="1274" spans="2:13" x14ac:dyDescent="0.25">
      <c r="B1274" s="31" t="s">
        <v>25743</v>
      </c>
      <c r="C1274" s="20"/>
      <c r="D1274" s="25" t="s">
        <v>2458</v>
      </c>
      <c r="E1274" s="25"/>
      <c r="F1274" s="9" t="str">
        <f>HYPERLINK("https://www.ebi.ac.uk/ols/ontologies/uberon/terms?iri=http://purl.obolibrary.org/obo/UBERON_0035975","intergeniculate leaflet of the lateral geniculate complex")</f>
        <v>intergeniculate leaflet of the lateral geniculate complex</v>
      </c>
      <c r="G1274" s="9" t="s">
        <v>2457</v>
      </c>
      <c r="H1274" s="9" t="s">
        <v>16534</v>
      </c>
      <c r="I1274" s="9" t="s">
        <v>2458</v>
      </c>
      <c r="J1274" s="9" t="s">
        <v>2459</v>
      </c>
      <c r="K1274" s="3" t="s">
        <v>15176</v>
      </c>
      <c r="L1274" s="13">
        <v>27</v>
      </c>
      <c r="M1274" t="str">
        <f>VLOOKUP(L1274,[1]Mouse_ARA!$B$2:$C$1328,2,FALSE)</f>
        <v>IGL</v>
      </c>
    </row>
    <row r="1275" spans="2:13" x14ac:dyDescent="0.25">
      <c r="B1275" s="31" t="s">
        <v>25743</v>
      </c>
      <c r="C1275" s="20"/>
      <c r="D1275" s="25" t="s">
        <v>2461</v>
      </c>
      <c r="E1275" s="25"/>
      <c r="F1275" s="9" t="str">
        <f>HYPERLINK("https://www.ebi.ac.uk/ols/ontologies/uberon/terms?iri=http://purl.obolibrary.org/obo/UBERON_0002952","intermediate acoustic stria")</f>
        <v>intermediate acoustic stria</v>
      </c>
      <c r="G1275" s="9" t="s">
        <v>2460</v>
      </c>
      <c r="H1275" s="9" t="s">
        <v>20757</v>
      </c>
      <c r="I1275" s="9" t="s">
        <v>2461</v>
      </c>
      <c r="J1275" s="9" t="s">
        <v>2462</v>
      </c>
      <c r="K1275" s="4" t="s">
        <v>15175</v>
      </c>
      <c r="L1275" s="13">
        <v>12755</v>
      </c>
      <c r="M1275" t="str">
        <f>VLOOKUP(L1275,[1]Human_BrainSpan!$B$2:$C$4000,2,FALSE)</f>
        <v>ias</v>
      </c>
    </row>
    <row r="1276" spans="2:13" x14ac:dyDescent="0.25">
      <c r="B1276" s="31" t="s">
        <v>25743</v>
      </c>
      <c r="C1276" s="20"/>
      <c r="D1276" s="25" t="s">
        <v>2461</v>
      </c>
      <c r="E1276" s="25"/>
      <c r="F1276" s="9" t="str">
        <f>HYPERLINK("https://www.ebi.ac.uk/ols/ontologies/uberon/terms?iri=http://purl.obolibrary.org/obo/UBERON_0002952","intermediate acoustic stria")</f>
        <v>intermediate acoustic stria</v>
      </c>
      <c r="G1276" s="9" t="s">
        <v>2460</v>
      </c>
      <c r="H1276" s="9" t="s">
        <v>20757</v>
      </c>
      <c r="I1276" s="9" t="s">
        <v>2461</v>
      </c>
      <c r="J1276" s="9" t="s">
        <v>2463</v>
      </c>
      <c r="K1276" s="3" t="s">
        <v>15176</v>
      </c>
      <c r="L1276" s="13">
        <v>641</v>
      </c>
      <c r="M1276" t="str">
        <f>VLOOKUP(L1276,[1]Mouse_ARA!$B$2:$C$1328,2,FALSE)</f>
        <v>ias</v>
      </c>
    </row>
    <row r="1277" spans="2:13" x14ac:dyDescent="0.25">
      <c r="B1277" s="31" t="s">
        <v>25743</v>
      </c>
      <c r="C1277" s="20"/>
      <c r="D1277" s="25" t="s">
        <v>25972</v>
      </c>
      <c r="E1277" s="25"/>
      <c r="F1277" s="9" t="str">
        <f>HYPERLINK("https://www.ebi.ac.uk/ols/ontologies/uberon/terms?iri=http://purl.obolibrary.org/obo/UBERON_0006792","intermediate layer of superior colliculus")</f>
        <v>intermediate layer of superior colliculus</v>
      </c>
      <c r="G1277" s="9" t="s">
        <v>2464</v>
      </c>
      <c r="H1277" s="9" t="s">
        <v>24059</v>
      </c>
      <c r="I1277" s="9" t="s">
        <v>2465</v>
      </c>
      <c r="J1277" s="9" t="s">
        <v>2466</v>
      </c>
      <c r="K1277" s="4" t="s">
        <v>15175</v>
      </c>
      <c r="L1277" s="13">
        <v>12298</v>
      </c>
      <c r="M1277" t="str">
        <f>VLOOKUP(L1277,[1]Human_BrainSpan!$B$2:$C$4000,2,FALSE)</f>
        <v>SCI</v>
      </c>
    </row>
    <row r="1278" spans="2:13" x14ac:dyDescent="0.25">
      <c r="B1278" s="31" t="s">
        <v>25743</v>
      </c>
      <c r="C1278" s="20"/>
      <c r="D1278" s="25" t="s">
        <v>2468</v>
      </c>
      <c r="E1278" s="25"/>
      <c r="F1278" s="9" t="str">
        <f>HYPERLINK("https://www.ebi.ac.uk/ols/ontologies/uberon/terms?iri=http://purl.obolibrary.org/obo/UBERON_0007710","intermediate nucleus of lateral lemniscus")</f>
        <v>intermediate nucleus of lateral lemniscus</v>
      </c>
      <c r="G1278" s="9" t="s">
        <v>2467</v>
      </c>
      <c r="H1278" s="9" t="s">
        <v>24305</v>
      </c>
      <c r="I1278" s="9" t="s">
        <v>2468</v>
      </c>
      <c r="J1278" s="9" t="s">
        <v>2469</v>
      </c>
      <c r="K1278" s="4" t="s">
        <v>15175</v>
      </c>
      <c r="L1278" s="13">
        <v>12456</v>
      </c>
      <c r="M1278" t="str">
        <f>VLOOKUP(L1278,[1]Human_BrainSpan!$B$2:$C$4000,2,FALSE)</f>
        <v>ILL</v>
      </c>
    </row>
    <row r="1279" spans="2:13" x14ac:dyDescent="0.25">
      <c r="B1279" s="31" t="s">
        <v>25743</v>
      </c>
      <c r="C1279" s="20"/>
      <c r="D1279" s="25" t="s">
        <v>2468</v>
      </c>
      <c r="E1279" s="25"/>
      <c r="F1279" s="9" t="str">
        <f>HYPERLINK("https://www.ebi.ac.uk/ols/ontologies/uberon/terms?iri=http://purl.obolibrary.org/obo/UBERON_0007710","intermediate nucleus of lateral lemniscus")</f>
        <v>intermediate nucleus of lateral lemniscus</v>
      </c>
      <c r="G1279" s="9" t="s">
        <v>2467</v>
      </c>
      <c r="H1279" s="9" t="s">
        <v>24305</v>
      </c>
      <c r="I1279" s="9" t="s">
        <v>2468</v>
      </c>
      <c r="J1279" s="9" t="s">
        <v>2470</v>
      </c>
      <c r="K1279" s="7" t="s">
        <v>15171</v>
      </c>
      <c r="L1279" s="13">
        <v>265504888</v>
      </c>
      <c r="M1279" t="str">
        <f>VLOOKUP(L1279,[1]HBA!$B$2:$C$4000,2,FALSE)</f>
        <v>ILL</v>
      </c>
    </row>
    <row r="1280" spans="2:13" x14ac:dyDescent="0.25">
      <c r="B1280" s="31" t="s">
        <v>25743</v>
      </c>
      <c r="C1280" s="20"/>
      <c r="D1280" s="25" t="s">
        <v>2468</v>
      </c>
      <c r="E1280" s="25"/>
      <c r="F1280" s="9" t="str">
        <f>HYPERLINK("https://www.ebi.ac.uk/ols/ontologies/uberon/terms?iri=http://purl.obolibrary.org/obo/UBERON_0007710","intermediate nucleus of lateral lemniscus")</f>
        <v>intermediate nucleus of lateral lemniscus</v>
      </c>
      <c r="G1280" s="9" t="s">
        <v>2467</v>
      </c>
      <c r="H1280" s="9" t="s">
        <v>20303</v>
      </c>
      <c r="I1280" s="9" t="s">
        <v>2471</v>
      </c>
      <c r="J1280" s="9" t="s">
        <v>2472</v>
      </c>
      <c r="K1280" s="3" t="s">
        <v>15176</v>
      </c>
      <c r="L1280" s="13">
        <v>90</v>
      </c>
      <c r="M1280" t="str">
        <f>VLOOKUP(L1280,[1]Mouse_ARA!$B$2:$C$1328,2,FALSE)</f>
        <v>NLLh</v>
      </c>
    </row>
    <row r="1281" spans="2:13" x14ac:dyDescent="0.25">
      <c r="B1281" s="31" t="s">
        <v>25743</v>
      </c>
      <c r="C1281" s="20"/>
      <c r="D1281" s="25" t="s">
        <v>25973</v>
      </c>
      <c r="E1281" s="25"/>
      <c r="F1281" s="9" t="str">
        <f>HYPERLINK("https://www.ebi.ac.uk/ols/ontologies/uberon/terms?iri=http://purl.obolibrary.org/obo/UBERON_0002970","intermediate oculomotor nucleus")</f>
        <v>intermediate oculomotor nucleus</v>
      </c>
      <c r="G1281" s="9" t="s">
        <v>2473</v>
      </c>
      <c r="H1281" s="9" t="s">
        <v>24036</v>
      </c>
      <c r="I1281" s="9" t="s">
        <v>2474</v>
      </c>
      <c r="J1281" s="9" t="s">
        <v>2475</v>
      </c>
      <c r="K1281" s="4" t="s">
        <v>15175</v>
      </c>
      <c r="L1281" s="13">
        <v>12203</v>
      </c>
      <c r="M1281" t="str">
        <f>VLOOKUP(L1281,[1]Human_BrainSpan!$B$2:$C$4000,2,FALSE)</f>
        <v>I3</v>
      </c>
    </row>
    <row r="1282" spans="2:13" x14ac:dyDescent="0.25">
      <c r="B1282" s="31" t="s">
        <v>25743</v>
      </c>
      <c r="C1282" s="20"/>
      <c r="D1282" s="25" t="s">
        <v>25973</v>
      </c>
      <c r="E1282" s="25"/>
      <c r="F1282" s="9" t="str">
        <f>HYPERLINK("https://www.ebi.ac.uk/ols/ontologies/uberon/terms?iri=http://purl.obolibrary.org/obo/UBERON_0002970","intermediate oculomotor nucleus")</f>
        <v>intermediate oculomotor nucleus</v>
      </c>
      <c r="G1282" s="9" t="s">
        <v>2473</v>
      </c>
      <c r="H1282" s="9" t="s">
        <v>24036</v>
      </c>
      <c r="I1282" s="9" t="s">
        <v>2476</v>
      </c>
      <c r="J1282" s="9" t="s">
        <v>2477</v>
      </c>
      <c r="K1282" s="7" t="s">
        <v>15171</v>
      </c>
      <c r="L1282" s="13">
        <v>9036</v>
      </c>
      <c r="M1282" t="str">
        <f>VLOOKUP(L1282,[1]HBA!$B$2:$C$4000,2,FALSE)</f>
        <v>I3</v>
      </c>
    </row>
    <row r="1283" spans="2:13" x14ac:dyDescent="0.25">
      <c r="B1283" s="31" t="s">
        <v>25743</v>
      </c>
      <c r="C1283" s="20"/>
      <c r="D1283" s="25" t="s">
        <v>25974</v>
      </c>
      <c r="E1283" s="25"/>
      <c r="F1283" s="9" t="str">
        <f>HYPERLINK("https://www.ebi.ac.uk/ols/ontologies/uberon/terms?iri=http://purl.obolibrary.org/obo/UBERON_0002746","intermediate periventricular nucleus")</f>
        <v>intermediate periventricular nucleus</v>
      </c>
      <c r="G1283" s="9" t="s">
        <v>2478</v>
      </c>
      <c r="H1283" s="9" t="s">
        <v>20029</v>
      </c>
      <c r="I1283" s="9" t="s">
        <v>739</v>
      </c>
      <c r="J1283" s="9" t="s">
        <v>740</v>
      </c>
      <c r="K1283" s="3" t="s">
        <v>15176</v>
      </c>
      <c r="L1283" s="13">
        <v>118</v>
      </c>
      <c r="M1283" t="str">
        <f>VLOOKUP(L1283,[1]Mouse_ARA!$B$2:$C$1328,2,FALSE)</f>
        <v>PVi</v>
      </c>
    </row>
    <row r="1284" spans="2:13" x14ac:dyDescent="0.25">
      <c r="B1284" s="31" t="s">
        <v>25743</v>
      </c>
      <c r="C1284" s="20"/>
      <c r="D1284" s="25" t="s">
        <v>710</v>
      </c>
      <c r="E1284" s="25"/>
      <c r="F1284" s="9" t="str">
        <f>HYPERLINK("https://www.ebi.ac.uk/ols/ontologies/uberon/terms?iri=http://purl.obolibrary.org/obo/UBERON_0035562","intermediate pretectal nucleus")</f>
        <v>intermediate pretectal nucleus</v>
      </c>
      <c r="G1284" s="9" t="s">
        <v>2479</v>
      </c>
      <c r="H1284" s="9" t="s">
        <v>16786</v>
      </c>
      <c r="I1284" s="9" t="s">
        <v>710</v>
      </c>
      <c r="J1284" s="9" t="s">
        <v>711</v>
      </c>
      <c r="K1284" s="5" t="s">
        <v>15173</v>
      </c>
      <c r="L1284" s="13">
        <v>16598</v>
      </c>
      <c r="M1284" t="str">
        <f>VLOOKUP(L1284,[1]DevMouse!$B$2:$C$2693,2,FALSE)</f>
        <v>IPT</v>
      </c>
    </row>
    <row r="1285" spans="2:13" x14ac:dyDescent="0.25">
      <c r="B1285" s="31" t="s">
        <v>25743</v>
      </c>
      <c r="C1285" s="20"/>
      <c r="D1285" s="25" t="s">
        <v>2481</v>
      </c>
      <c r="E1285" s="25"/>
      <c r="F1285" s="9" t="str">
        <f>HYPERLINK("https://www.ebi.ac.uk/ols/ontologies/uberon/terms?iri=http://purl.obolibrary.org/obo/UBERON_0009777","intermediate reticular nucleus")</f>
        <v>intermediate reticular nucleus</v>
      </c>
      <c r="G1285" s="9" t="s">
        <v>2480</v>
      </c>
      <c r="H1285" s="9" t="s">
        <v>24448</v>
      </c>
      <c r="I1285" s="9" t="s">
        <v>2481</v>
      </c>
      <c r="J1285" s="9" t="s">
        <v>2482</v>
      </c>
      <c r="K1285" s="4" t="s">
        <v>15175</v>
      </c>
      <c r="L1285" s="13">
        <v>12620</v>
      </c>
      <c r="M1285" t="str">
        <f>VLOOKUP(L1285,[1]Human_BrainSpan!$B$2:$C$4000,2,FALSE)</f>
        <v>IRt</v>
      </c>
    </row>
    <row r="1286" spans="2:13" x14ac:dyDescent="0.25">
      <c r="B1286" s="31" t="s">
        <v>25743</v>
      </c>
      <c r="C1286" s="20"/>
      <c r="D1286" s="25" t="s">
        <v>2481</v>
      </c>
      <c r="E1286" s="25"/>
      <c r="F1286" s="9" t="str">
        <f>HYPERLINK("https://www.ebi.ac.uk/ols/ontologies/uberon/terms?iri=http://purl.obolibrary.org/obo/UBERON_0009777","intermediate reticular nucleus")</f>
        <v>intermediate reticular nucleus</v>
      </c>
      <c r="G1286" s="9" t="s">
        <v>2480</v>
      </c>
      <c r="H1286" s="9" t="s">
        <v>20476</v>
      </c>
      <c r="I1286" s="9" t="s">
        <v>2481</v>
      </c>
      <c r="J1286" s="9" t="s">
        <v>2483</v>
      </c>
      <c r="K1286" s="3" t="s">
        <v>15176</v>
      </c>
      <c r="L1286" s="13">
        <v>136</v>
      </c>
      <c r="M1286" t="str">
        <f>VLOOKUP(L1286,[1]Mouse_ARA!$B$2:$C$1328,2,FALSE)</f>
        <v>IRN</v>
      </c>
    </row>
    <row r="1287" spans="2:13" x14ac:dyDescent="0.25">
      <c r="B1287" s="31" t="s">
        <v>25743</v>
      </c>
      <c r="C1287" s="20"/>
      <c r="D1287" s="25" t="s">
        <v>25975</v>
      </c>
      <c r="E1287" s="25"/>
      <c r="F1287" s="9" t="str">
        <f>HYPERLINK("https://www.ebi.ac.uk/ols/ontologies/uberon/terms?iri=http://purl.obolibrary.org/obo/UBERON_0006087","internal arcuate fiber bundle")</f>
        <v>internal arcuate fiber bundle</v>
      </c>
      <c r="G1287" s="9" t="s">
        <v>2484</v>
      </c>
      <c r="H1287" s="9" t="s">
        <v>20780</v>
      </c>
      <c r="I1287" s="9" t="s">
        <v>2485</v>
      </c>
      <c r="J1287" s="9" t="s">
        <v>2486</v>
      </c>
      <c r="K1287" s="4" t="s">
        <v>15175</v>
      </c>
      <c r="L1287" s="13">
        <v>12756</v>
      </c>
      <c r="M1287" t="str">
        <f>VLOOKUP(L1287,[1]Human_BrainSpan!$B$2:$C$4000,2,FALSE)</f>
        <v>iaf</v>
      </c>
    </row>
    <row r="1288" spans="2:13" x14ac:dyDescent="0.25">
      <c r="B1288" s="31" t="s">
        <v>25743</v>
      </c>
      <c r="C1288" s="20"/>
      <c r="D1288" s="25" t="s">
        <v>25975</v>
      </c>
      <c r="E1288" s="25"/>
      <c r="F1288" s="9" t="str">
        <f>HYPERLINK("https://www.ebi.ac.uk/ols/ontologies/uberon/terms?iri=http://purl.obolibrary.org/obo/UBERON_0006087","internal arcuate fiber bundle")</f>
        <v>internal arcuate fiber bundle</v>
      </c>
      <c r="G1288" s="9" t="s">
        <v>2484</v>
      </c>
      <c r="H1288" s="9" t="s">
        <v>20780</v>
      </c>
      <c r="I1288" s="9" t="s">
        <v>2485</v>
      </c>
      <c r="J1288" s="9" t="s">
        <v>2487</v>
      </c>
      <c r="K1288" s="7" t="s">
        <v>15171</v>
      </c>
      <c r="L1288" s="13">
        <v>265505610</v>
      </c>
      <c r="M1288" t="str">
        <f>VLOOKUP(L1288,[1]HBA!$B$2:$C$4000,2,FALSE)</f>
        <v>iaf</v>
      </c>
    </row>
    <row r="1289" spans="2:13" x14ac:dyDescent="0.25">
      <c r="B1289" s="31" t="s">
        <v>25743</v>
      </c>
      <c r="C1289" s="20"/>
      <c r="D1289" s="25" t="s">
        <v>25975</v>
      </c>
      <c r="E1289" s="25"/>
      <c r="F1289" s="9" t="str">
        <f>HYPERLINK("https://www.ebi.ac.uk/ols/ontologies/uberon/terms?iri=http://purl.obolibrary.org/obo/UBERON_0006087","internal arcuate fiber bundle")</f>
        <v>internal arcuate fiber bundle</v>
      </c>
      <c r="G1289" s="9" t="s">
        <v>2484</v>
      </c>
      <c r="H1289" s="9" t="s">
        <v>20780</v>
      </c>
      <c r="I1289" s="9" t="s">
        <v>2485</v>
      </c>
      <c r="J1289" s="9" t="s">
        <v>2488</v>
      </c>
      <c r="K1289" s="3" t="s">
        <v>15176</v>
      </c>
      <c r="L1289" s="13">
        <v>396</v>
      </c>
      <c r="M1289" t="str">
        <f>VLOOKUP(L1289,[1]Mouse_ARA!$B$2:$C$1328,2,FALSE)</f>
        <v>iaf</v>
      </c>
    </row>
    <row r="1290" spans="2:13" x14ac:dyDescent="0.25">
      <c r="B1290" s="31" t="s">
        <v>25743</v>
      </c>
      <c r="C1290" s="20"/>
      <c r="D1290" s="25" t="s">
        <v>25976</v>
      </c>
      <c r="E1290" s="25"/>
      <c r="F1290" s="9" t="str">
        <f>HYPERLINK("https://www.ebi.ac.uk/ols/ontologies/uberon/terms?iri=http://purl.obolibrary.org/obo/UBERON_0001887","internal capsule of telencephalon")</f>
        <v>internal capsule of telencephalon</v>
      </c>
      <c r="G1290" s="9" t="s">
        <v>2489</v>
      </c>
      <c r="H1290" s="9" t="s">
        <v>18464</v>
      </c>
      <c r="I1290" s="9" t="s">
        <v>2490</v>
      </c>
      <c r="J1290" s="9" t="s">
        <v>2491</v>
      </c>
      <c r="K1290" s="4" t="s">
        <v>15175</v>
      </c>
      <c r="L1290" s="13">
        <v>10581</v>
      </c>
      <c r="M1290" t="str">
        <f>VLOOKUP(L1290,[1]Human_BrainSpan!$B$2:$C$4000,2,FALSE)</f>
        <v>ic</v>
      </c>
    </row>
    <row r="1291" spans="2:13" x14ac:dyDescent="0.25">
      <c r="B1291" s="31" t="s">
        <v>25743</v>
      </c>
      <c r="C1291" s="20"/>
      <c r="D1291" s="25" t="s">
        <v>25976</v>
      </c>
      <c r="E1291" s="25"/>
      <c r="F1291" s="9" t="str">
        <f>HYPERLINK("https://www.ebi.ac.uk/ols/ontologies/uberon/terms?iri=http://purl.obolibrary.org/obo/UBERON_0001887","internal capsule of telencephalon")</f>
        <v>internal capsule of telencephalon</v>
      </c>
      <c r="G1291" s="9" t="s">
        <v>2489</v>
      </c>
      <c r="H1291" s="9" t="s">
        <v>18464</v>
      </c>
      <c r="I1291" s="9" t="s">
        <v>2490</v>
      </c>
      <c r="J1291" s="9" t="s">
        <v>2492</v>
      </c>
      <c r="K1291" s="5" t="s">
        <v>15173</v>
      </c>
      <c r="L1291" s="13">
        <v>17770</v>
      </c>
      <c r="M1291" t="str">
        <f>VLOOKUP(L1291,[1]DevMouse!$B$2:$C$2693,2,FALSE)</f>
        <v>ic</v>
      </c>
    </row>
    <row r="1292" spans="2:13" x14ac:dyDescent="0.25">
      <c r="B1292" s="31" t="s">
        <v>25743</v>
      </c>
      <c r="C1292" s="20"/>
      <c r="D1292" s="25" t="s">
        <v>25976</v>
      </c>
      <c r="E1292" s="25"/>
      <c r="F1292" s="9" t="str">
        <f>HYPERLINK("https://www.ebi.ac.uk/ols/ontologies/uberon/terms?iri=http://purl.obolibrary.org/obo/UBERON_0001887","internal capsule of telencephalon")</f>
        <v>internal capsule of telencephalon</v>
      </c>
      <c r="G1292" s="9" t="s">
        <v>2489</v>
      </c>
      <c r="H1292" s="9" t="s">
        <v>18464</v>
      </c>
      <c r="I1292" s="9" t="s">
        <v>2490</v>
      </c>
      <c r="J1292" s="9" t="s">
        <v>2493</v>
      </c>
      <c r="K1292" s="7" t="s">
        <v>15171</v>
      </c>
      <c r="L1292" s="13">
        <v>9263</v>
      </c>
      <c r="M1292" t="str">
        <f>VLOOKUP(L1292,[1]HBA!$B$2:$C$4000,2,FALSE)</f>
        <v>ic</v>
      </c>
    </row>
    <row r="1293" spans="2:13" x14ac:dyDescent="0.25">
      <c r="B1293" s="31" t="s">
        <v>25743</v>
      </c>
      <c r="C1293" s="20"/>
      <c r="D1293" s="25" t="s">
        <v>25976</v>
      </c>
      <c r="E1293" s="25"/>
      <c r="F1293" s="9" t="str">
        <f>HYPERLINK("https://www.ebi.ac.uk/ols/ontologies/uberon/terms?iri=http://purl.obolibrary.org/obo/UBERON_0001887","internal capsule of telencephalon")</f>
        <v>internal capsule of telencephalon</v>
      </c>
      <c r="G1293" s="9" t="s">
        <v>2489</v>
      </c>
      <c r="H1293" s="9" t="s">
        <v>20828</v>
      </c>
      <c r="I1293" s="9" t="s">
        <v>2490</v>
      </c>
      <c r="J1293" s="9" t="s">
        <v>2494</v>
      </c>
      <c r="K1293" s="3" t="s">
        <v>15176</v>
      </c>
      <c r="L1293" s="13">
        <v>6</v>
      </c>
      <c r="M1293" t="str">
        <f>VLOOKUP(L1293,[1]Mouse_ARA!$B$2:$C$1328,2,FALSE)</f>
        <v>int</v>
      </c>
    </row>
    <row r="1294" spans="2:13" x14ac:dyDescent="0.25">
      <c r="B1294" s="31" t="s">
        <v>25743</v>
      </c>
      <c r="C1294" s="20"/>
      <c r="D1294" s="25" t="s">
        <v>25976</v>
      </c>
      <c r="E1294" s="25"/>
      <c r="F1294" s="9" t="str">
        <f>HYPERLINK("https://www.ebi.ac.uk/ols/ontologies/uberon/terms?iri=http://purl.obolibrary.org/obo/UBERON_0001887","internal capsule of telencephalon")</f>
        <v>internal capsule of telencephalon</v>
      </c>
      <c r="G1294" s="9" t="s">
        <v>2489</v>
      </c>
      <c r="H1294" s="9" t="s">
        <v>18464</v>
      </c>
      <c r="I1294" s="9" t="s">
        <v>2490</v>
      </c>
      <c r="J1294" s="9" t="s">
        <v>2495</v>
      </c>
      <c r="K1294" s="6" t="s">
        <v>15174</v>
      </c>
      <c r="L1294" s="13">
        <v>10102</v>
      </c>
      <c r="M1294" t="str">
        <f>VLOOKUP(L1294,[1]NonHumanPrimate!$B$2:$C$4000,2,FALSE)</f>
        <v>ic</v>
      </c>
    </row>
    <row r="1295" spans="2:13" x14ac:dyDescent="0.25">
      <c r="B1295" s="31" t="s">
        <v>25743</v>
      </c>
      <c r="C1295" s="20"/>
      <c r="D1295" s="25" t="s">
        <v>2497</v>
      </c>
      <c r="E1295" s="25"/>
      <c r="F1295" s="9" t="str">
        <f>HYPERLINK("https://www.ebi.ac.uk/ols/ontologies/uberon/terms?iri=http://purl.obolibrary.org/obo/UBERON_0002762","internal medullary lamina of thalamus")</f>
        <v>internal medullary lamina of thalamus</v>
      </c>
      <c r="G1295" s="9" t="s">
        <v>2496</v>
      </c>
      <c r="H1295" s="9" t="s">
        <v>23608</v>
      </c>
      <c r="I1295" s="9" t="s">
        <v>2497</v>
      </c>
      <c r="J1295" s="9" t="s">
        <v>2498</v>
      </c>
      <c r="K1295" s="4" t="s">
        <v>15175</v>
      </c>
      <c r="L1295" s="13">
        <v>12063</v>
      </c>
      <c r="M1295" t="str">
        <f>VLOOKUP(L1295,[1]Human_BrainSpan!$B$2:$C$4000,2,FALSE)</f>
        <v>imlth</v>
      </c>
    </row>
    <row r="1296" spans="2:13" x14ac:dyDescent="0.25">
      <c r="B1296" s="31" t="s">
        <v>25743</v>
      </c>
      <c r="C1296" s="20"/>
      <c r="D1296" s="25" t="s">
        <v>2497</v>
      </c>
      <c r="E1296" s="25"/>
      <c r="F1296" s="9" t="str">
        <f>HYPERLINK("https://www.ebi.ac.uk/ols/ontologies/uberon/terms?iri=http://purl.obolibrary.org/obo/UBERON_0002762","internal medullary lamina of thalamus")</f>
        <v>internal medullary lamina of thalamus</v>
      </c>
      <c r="G1296" s="9" t="s">
        <v>2496</v>
      </c>
      <c r="H1296" s="9" t="s">
        <v>23608</v>
      </c>
      <c r="I1296" s="9" t="s">
        <v>2497</v>
      </c>
      <c r="J1296" s="9" t="s">
        <v>2499</v>
      </c>
      <c r="K1296" s="7" t="s">
        <v>15171</v>
      </c>
      <c r="L1296" s="13">
        <v>265505134</v>
      </c>
      <c r="M1296" t="str">
        <f>VLOOKUP(L1296,[1]HBA!$B$2:$C$4000,2,FALSE)</f>
        <v>imlth</v>
      </c>
    </row>
    <row r="1297" spans="2:13" x14ac:dyDescent="0.25">
      <c r="B1297" s="31" t="s">
        <v>25743</v>
      </c>
      <c r="C1297" s="20"/>
      <c r="D1297" s="25" t="s">
        <v>2497</v>
      </c>
      <c r="E1297" s="25"/>
      <c r="F1297" s="9" t="str">
        <f>HYPERLINK("https://www.ebi.ac.uk/ols/ontologies/uberon/terms?iri=http://purl.obolibrary.org/obo/UBERON_0002762","internal medullary lamina of thalamus")</f>
        <v>internal medullary lamina of thalamus</v>
      </c>
      <c r="G1297" s="9" t="s">
        <v>2496</v>
      </c>
      <c r="H1297" s="9" t="s">
        <v>20842</v>
      </c>
      <c r="I1297" s="9" t="s">
        <v>2500</v>
      </c>
      <c r="J1297" s="9" t="s">
        <v>2501</v>
      </c>
      <c r="K1297" s="3" t="s">
        <v>15176</v>
      </c>
      <c r="L1297" s="13">
        <v>14</v>
      </c>
      <c r="M1297" t="str">
        <f>VLOOKUP(L1297,[1]Mouse_ARA!$B$2:$C$1328,2,FALSE)</f>
        <v>im</v>
      </c>
    </row>
    <row r="1298" spans="2:13" x14ac:dyDescent="0.25">
      <c r="B1298" s="31" t="s">
        <v>25743</v>
      </c>
      <c r="C1298" s="20"/>
      <c r="D1298" s="25" t="s">
        <v>2503</v>
      </c>
      <c r="E1298" s="25"/>
      <c r="F1298" s="9" t="str">
        <f>HYPERLINK("https://www.ebi.ac.uk/ols/ontologies/uberon/terms?iri=http://purl.obolibrary.org/obo/UBERON_0002145","interpeduncular nucleus")</f>
        <v>interpeduncular nucleus</v>
      </c>
      <c r="G1298" s="9" t="s">
        <v>2502</v>
      </c>
      <c r="H1298" s="9" t="s">
        <v>20716</v>
      </c>
      <c r="I1298" s="9" t="s">
        <v>2503</v>
      </c>
      <c r="J1298" s="9" t="s">
        <v>2504</v>
      </c>
      <c r="K1298" s="4" t="s">
        <v>15175</v>
      </c>
      <c r="L1298" s="13">
        <v>12270</v>
      </c>
      <c r="M1298" t="str">
        <f>VLOOKUP(L1298,[1]Human_BrainSpan!$B$2:$C$4000,2,FALSE)</f>
        <v>IP</v>
      </c>
    </row>
    <row r="1299" spans="2:13" x14ac:dyDescent="0.25">
      <c r="B1299" s="31" t="s">
        <v>25743</v>
      </c>
      <c r="C1299" s="20"/>
      <c r="D1299" s="25" t="s">
        <v>2503</v>
      </c>
      <c r="E1299" s="25"/>
      <c r="F1299" s="9" t="str">
        <f>HYPERLINK("https://www.ebi.ac.uk/ols/ontologies/uberon/terms?iri=http://purl.obolibrary.org/obo/UBERON_0002145","interpeduncular nucleus")</f>
        <v>interpeduncular nucleus</v>
      </c>
      <c r="G1299" s="9" t="s">
        <v>2502</v>
      </c>
      <c r="H1299" s="9" t="s">
        <v>20716</v>
      </c>
      <c r="I1299" s="9" t="s">
        <v>2503</v>
      </c>
      <c r="J1299" s="9" t="s">
        <v>2505</v>
      </c>
      <c r="K1299" s="7" t="s">
        <v>15171</v>
      </c>
      <c r="L1299" s="13">
        <v>9012</v>
      </c>
      <c r="M1299" t="str">
        <f>VLOOKUP(L1299,[1]HBA!$B$2:$C$4000,2,FALSE)</f>
        <v>IP</v>
      </c>
    </row>
    <row r="1300" spans="2:13" x14ac:dyDescent="0.25">
      <c r="B1300" s="31" t="s">
        <v>25743</v>
      </c>
      <c r="C1300" s="20"/>
      <c r="D1300" s="25" t="s">
        <v>2503</v>
      </c>
      <c r="E1300" s="25"/>
      <c r="F1300" s="9" t="str">
        <f>HYPERLINK("https://www.ebi.ac.uk/ols/ontologies/uberon/terms?iri=http://purl.obolibrary.org/obo/UBERON_0002145","interpeduncular nucleus")</f>
        <v>interpeduncular nucleus</v>
      </c>
      <c r="G1300" s="9" t="s">
        <v>2502</v>
      </c>
      <c r="H1300" s="9" t="s">
        <v>20276</v>
      </c>
      <c r="I1300" s="9" t="s">
        <v>2503</v>
      </c>
      <c r="J1300" s="9" t="s">
        <v>2506</v>
      </c>
      <c r="K1300" s="3" t="s">
        <v>15176</v>
      </c>
      <c r="L1300" s="13">
        <v>100</v>
      </c>
      <c r="M1300" t="str">
        <f>VLOOKUP(L1300,[1]Mouse_ARA!$B$2:$C$1328,2,FALSE)</f>
        <v>IPN</v>
      </c>
    </row>
    <row r="1301" spans="2:13" x14ac:dyDescent="0.25">
      <c r="B1301" s="31" t="s">
        <v>25743</v>
      </c>
      <c r="C1301" s="20"/>
      <c r="D1301" s="25" t="s">
        <v>25977</v>
      </c>
      <c r="E1301" s="25"/>
      <c r="F1301" s="9" t="str">
        <f>HYPERLINK("https://www.ebi.ac.uk/ols/ontologies/uberon/terms?iri=http://purl.obolibrary.org/obo/UBERON_0002873","interpolar part of spinal trigeminal nucleus")</f>
        <v>interpolar part of spinal trigeminal nucleus</v>
      </c>
      <c r="G1301" s="9" t="s">
        <v>2507</v>
      </c>
      <c r="H1301" s="9" t="s">
        <v>24411</v>
      </c>
      <c r="I1301" s="9" t="s">
        <v>2508</v>
      </c>
      <c r="J1301" s="9" t="s">
        <v>2509</v>
      </c>
      <c r="K1301" s="4" t="s">
        <v>15175</v>
      </c>
      <c r="L1301" s="13">
        <v>12578</v>
      </c>
      <c r="M1301" t="str">
        <f>VLOOKUP(L1301,[1]Human_BrainSpan!$B$2:$C$4000,2,FALSE)</f>
        <v>Sp5ip</v>
      </c>
    </row>
    <row r="1302" spans="2:13" x14ac:dyDescent="0.25">
      <c r="B1302" s="31" t="s">
        <v>25743</v>
      </c>
      <c r="C1302" s="20"/>
      <c r="D1302" s="25" t="s">
        <v>25977</v>
      </c>
      <c r="E1302" s="25"/>
      <c r="F1302" s="9" t="str">
        <f>HYPERLINK("https://www.ebi.ac.uk/ols/ontologies/uberon/terms?iri=http://purl.obolibrary.org/obo/UBERON_0002873","interpolar part of spinal trigeminal nucleus")</f>
        <v>interpolar part of spinal trigeminal nucleus</v>
      </c>
      <c r="G1302" s="9" t="s">
        <v>2507</v>
      </c>
      <c r="H1302" s="9" t="s">
        <v>25470</v>
      </c>
      <c r="I1302" s="9" t="s">
        <v>2510</v>
      </c>
      <c r="J1302" s="9" t="s">
        <v>2511</v>
      </c>
      <c r="K1302" s="7" t="s">
        <v>15171</v>
      </c>
      <c r="L1302" s="13">
        <v>9678</v>
      </c>
      <c r="M1302" t="str">
        <f>VLOOKUP(L1302,[1]HBA!$B$2:$C$4000,2,FALSE)</f>
        <v>Sp5I</v>
      </c>
    </row>
    <row r="1303" spans="2:13" x14ac:dyDescent="0.25">
      <c r="B1303" s="31" t="s">
        <v>25743</v>
      </c>
      <c r="C1303" s="20"/>
      <c r="D1303" s="25" t="s">
        <v>25977</v>
      </c>
      <c r="E1303" s="25"/>
      <c r="F1303" s="9" t="str">
        <f>HYPERLINK("https://www.ebi.ac.uk/ols/ontologies/uberon/terms?iri=http://purl.obolibrary.org/obo/UBERON_0002873","interpolar part of spinal trigeminal nucleus")</f>
        <v>interpolar part of spinal trigeminal nucleus</v>
      </c>
      <c r="G1303" s="9" t="s">
        <v>2507</v>
      </c>
      <c r="H1303" s="9" t="s">
        <v>20431</v>
      </c>
      <c r="I1303" s="9" t="s">
        <v>2512</v>
      </c>
      <c r="J1303" s="9" t="s">
        <v>2513</v>
      </c>
      <c r="K1303" s="3" t="s">
        <v>15176</v>
      </c>
      <c r="L1303" s="13">
        <v>437</v>
      </c>
      <c r="M1303" t="str">
        <f>VLOOKUP(L1303,[1]Mouse_ARA!$B$2:$C$1328,2,FALSE)</f>
        <v>SPVI</v>
      </c>
    </row>
    <row r="1304" spans="2:13" x14ac:dyDescent="0.25">
      <c r="B1304" s="31" t="s">
        <v>25743</v>
      </c>
      <c r="C1304" s="20"/>
      <c r="D1304" s="25" t="s">
        <v>2515</v>
      </c>
      <c r="E1304" s="25"/>
      <c r="F1304" s="9" t="str">
        <f>HYPERLINK("https://www.ebi.ac.uk/ols/ontologies/uberon/terms?iri=http://purl.obolibrary.org/obo/UBERON_0002551","interstitial nucleus of Cajal")</f>
        <v>interstitial nucleus of Cajal</v>
      </c>
      <c r="G1304" s="9" t="s">
        <v>2514</v>
      </c>
      <c r="H1304" s="9" t="s">
        <v>16854</v>
      </c>
      <c r="I1304" s="9" t="s">
        <v>2515</v>
      </c>
      <c r="J1304" s="9" t="s">
        <v>2516</v>
      </c>
      <c r="K1304" s="4" t="s">
        <v>15175</v>
      </c>
      <c r="L1304" s="13">
        <v>12278</v>
      </c>
      <c r="M1304" t="str">
        <f>VLOOKUP(L1304,[1]Human_BrainSpan!$B$2:$C$4000,2,FALSE)</f>
        <v>InC</v>
      </c>
    </row>
    <row r="1305" spans="2:13" x14ac:dyDescent="0.25">
      <c r="B1305" s="31" t="s">
        <v>25743</v>
      </c>
      <c r="C1305" s="20"/>
      <c r="D1305" s="25" t="s">
        <v>2515</v>
      </c>
      <c r="E1305" s="25"/>
      <c r="F1305" s="9" t="str">
        <f>HYPERLINK("https://www.ebi.ac.uk/ols/ontologies/uberon/terms?iri=http://purl.obolibrary.org/obo/UBERON_0002551","interstitial nucleus of Cajal")</f>
        <v>interstitial nucleus of Cajal</v>
      </c>
      <c r="G1305" s="9" t="s">
        <v>2514</v>
      </c>
      <c r="H1305" s="9" t="s">
        <v>25252</v>
      </c>
      <c r="I1305" s="9" t="s">
        <v>2515</v>
      </c>
      <c r="J1305" s="9" t="s">
        <v>2517</v>
      </c>
      <c r="K1305" s="7" t="s">
        <v>15171</v>
      </c>
      <c r="L1305" s="13">
        <v>9015</v>
      </c>
      <c r="M1305" t="str">
        <f>VLOOKUP(L1305,[1]HBA!$B$2:$C$4000,2,FALSE)</f>
        <v>ICjl</v>
      </c>
    </row>
    <row r="1306" spans="2:13" x14ac:dyDescent="0.25">
      <c r="B1306" s="31" t="s">
        <v>25743</v>
      </c>
      <c r="C1306" s="20"/>
      <c r="D1306" s="25" t="s">
        <v>2515</v>
      </c>
      <c r="E1306" s="25"/>
      <c r="F1306" s="9" t="str">
        <f>HYPERLINK("https://www.ebi.ac.uk/ols/ontologies/uberon/terms?iri=http://purl.obolibrary.org/obo/UBERON_0002551","interstitial nucleus of Cajal")</f>
        <v>interstitial nucleus of Cajal</v>
      </c>
      <c r="G1306" s="9" t="s">
        <v>2514</v>
      </c>
      <c r="H1306" s="9" t="s">
        <v>20223</v>
      </c>
      <c r="I1306" s="9" t="s">
        <v>2515</v>
      </c>
      <c r="J1306" s="9" t="s">
        <v>2518</v>
      </c>
      <c r="K1306" s="3" t="s">
        <v>15176</v>
      </c>
      <c r="L1306" s="13">
        <v>67</v>
      </c>
      <c r="M1306" t="str">
        <f>VLOOKUP(L1306,[1]Mouse_ARA!$B$2:$C$1328,2,FALSE)</f>
        <v>INC</v>
      </c>
    </row>
    <row r="1307" spans="2:13" x14ac:dyDescent="0.25">
      <c r="B1307" s="31" t="s">
        <v>25743</v>
      </c>
      <c r="C1307" s="20"/>
      <c r="D1307" s="25" t="s">
        <v>25978</v>
      </c>
      <c r="E1307" s="25"/>
      <c r="F1307" s="9" t="str">
        <f>HYPERLINK("https://www.ebi.ac.uk/ols/ontologies/uberon/terms?iri=http://purl.obolibrary.org/obo/UBERON_0003993","interventricular foramen of CNS")</f>
        <v>interventricular foramen of CNS</v>
      </c>
      <c r="G1307" s="9" t="s">
        <v>2519</v>
      </c>
      <c r="H1307" s="9" t="s">
        <v>20957</v>
      </c>
      <c r="I1307" s="9" t="s">
        <v>2520</v>
      </c>
      <c r="J1307" s="9" t="s">
        <v>2521</v>
      </c>
      <c r="K1307" s="4" t="s">
        <v>15175</v>
      </c>
      <c r="L1307" s="13">
        <v>10608</v>
      </c>
      <c r="M1307" t="str">
        <f>VLOOKUP(L1307,[1]Human_BrainSpan!$B$2:$C$4000,2,FALSE)</f>
        <v>IVF</v>
      </c>
    </row>
    <row r="1308" spans="2:13" x14ac:dyDescent="0.25">
      <c r="B1308" s="31" t="s">
        <v>25743</v>
      </c>
      <c r="C1308" s="20"/>
      <c r="D1308" s="25" t="s">
        <v>25978</v>
      </c>
      <c r="E1308" s="25"/>
      <c r="F1308" s="9" t="str">
        <f>HYPERLINK("https://www.ebi.ac.uk/ols/ontologies/uberon/terms?iri=http://purl.obolibrary.org/obo/UBERON_0003993","interventricular foramen of CNS")</f>
        <v>interventricular foramen of CNS</v>
      </c>
      <c r="G1308" s="9" t="s">
        <v>2519</v>
      </c>
      <c r="H1308" s="9" t="s">
        <v>20957</v>
      </c>
      <c r="I1308" s="9" t="s">
        <v>2520</v>
      </c>
      <c r="J1308" s="9" t="s">
        <v>2522</v>
      </c>
      <c r="K1308" s="3" t="s">
        <v>15176</v>
      </c>
      <c r="L1308" s="13">
        <v>124</v>
      </c>
      <c r="M1308" t="str">
        <f>VLOOKUP(L1308,[1]Mouse_ARA!$B$2:$C$1328,2,FALSE)</f>
        <v>IVF</v>
      </c>
    </row>
    <row r="1309" spans="2:13" x14ac:dyDescent="0.25">
      <c r="B1309" s="31" t="s">
        <v>25743</v>
      </c>
      <c r="C1309" s="20"/>
      <c r="D1309" s="25" t="s">
        <v>25979</v>
      </c>
      <c r="E1309" s="25"/>
      <c r="F1309" s="9" t="str">
        <f>HYPERLINK("https://www.ebi.ac.uk/ols/ontologies/uberon/terms?iri=http://purl.obolibrary.org/obo/UBERON_0035922","intraculminate fissure of cerebellum")</f>
        <v>intraculminate fissure of cerebellum</v>
      </c>
      <c r="G1309" s="9" t="s">
        <v>2523</v>
      </c>
      <c r="H1309" s="9" t="s">
        <v>20984</v>
      </c>
      <c r="I1309" s="9" t="s">
        <v>2524</v>
      </c>
      <c r="J1309" s="9" t="s">
        <v>2525</v>
      </c>
      <c r="K1309" s="4" t="s">
        <v>15175</v>
      </c>
      <c r="L1309" s="13">
        <v>266441729</v>
      </c>
      <c r="M1309" t="str">
        <f>VLOOKUP(L1309,[1]Human_BrainSpan!$B$2:$C$4000,2,FALSE)</f>
        <v>icf</v>
      </c>
    </row>
    <row r="1310" spans="2:13" x14ac:dyDescent="0.25">
      <c r="B1310" s="31" t="s">
        <v>25743</v>
      </c>
      <c r="C1310" s="20"/>
      <c r="D1310" s="25" t="s">
        <v>25979</v>
      </c>
      <c r="E1310" s="25"/>
      <c r="F1310" s="9" t="str">
        <f>HYPERLINK("https://www.ebi.ac.uk/ols/ontologies/uberon/terms?iri=http://purl.obolibrary.org/obo/UBERON_0035922","intraculminate fissure of cerebellum")</f>
        <v>intraculminate fissure of cerebellum</v>
      </c>
      <c r="G1310" s="9" t="s">
        <v>2523</v>
      </c>
      <c r="H1310" s="9" t="s">
        <v>20984</v>
      </c>
      <c r="I1310" s="9" t="s">
        <v>2524</v>
      </c>
      <c r="J1310" s="9" t="s">
        <v>2526</v>
      </c>
      <c r="K1310" s="7" t="s">
        <v>15171</v>
      </c>
      <c r="L1310" s="13">
        <v>9409</v>
      </c>
      <c r="M1310" t="str">
        <f>VLOOKUP(L1310,[1]HBA!$B$2:$C$4000,2,FALSE)</f>
        <v>icf</v>
      </c>
    </row>
    <row r="1311" spans="2:13" x14ac:dyDescent="0.25">
      <c r="B1311" s="31" t="s">
        <v>25743</v>
      </c>
      <c r="C1311" s="20"/>
      <c r="D1311" s="25" t="s">
        <v>25980</v>
      </c>
      <c r="E1311" s="25"/>
      <c r="F1311" s="9" t="str">
        <f>HYPERLINK("https://www.ebi.ac.uk/ols/ontologies/uberon/terms?iri=http://purl.obolibrary.org/obo/UBERON_0002733","intralaminar nuclear group")</f>
        <v>intralaminar nuclear group</v>
      </c>
      <c r="G1311" s="9" t="s">
        <v>2527</v>
      </c>
      <c r="H1311" s="9" t="s">
        <v>23376</v>
      </c>
      <c r="I1311" s="9" t="s">
        <v>2528</v>
      </c>
      <c r="J1311" s="9" t="s">
        <v>2529</v>
      </c>
      <c r="K1311" s="4" t="s">
        <v>15175</v>
      </c>
      <c r="L1311" s="13">
        <v>10442</v>
      </c>
      <c r="M1311" t="str">
        <f>VLOOKUP(L1311,[1]Human_BrainSpan!$B$2:$C$4000,2,FALSE)</f>
        <v>ILN</v>
      </c>
    </row>
    <row r="1312" spans="2:13" x14ac:dyDescent="0.25">
      <c r="B1312" s="31" t="s">
        <v>25743</v>
      </c>
      <c r="C1312" s="20"/>
      <c r="D1312" s="25" t="s">
        <v>25980</v>
      </c>
      <c r="E1312" s="25"/>
      <c r="F1312" s="9" t="str">
        <f>HYPERLINK("https://www.ebi.ac.uk/ols/ontologies/uberon/terms?iri=http://purl.obolibrary.org/obo/UBERON_0002733","intralaminar nuclear group")</f>
        <v>intralaminar nuclear group</v>
      </c>
      <c r="G1312" s="9" t="s">
        <v>2527</v>
      </c>
      <c r="H1312" s="9" t="s">
        <v>19965</v>
      </c>
      <c r="I1312" s="9" t="s">
        <v>793</v>
      </c>
      <c r="J1312" s="9" t="s">
        <v>794</v>
      </c>
      <c r="K1312" s="3" t="s">
        <v>15176</v>
      </c>
      <c r="L1312" s="13">
        <v>51</v>
      </c>
      <c r="M1312" t="str">
        <f>VLOOKUP(L1312,[1]Mouse_ARA!$B$2:$C$1328,2,FALSE)</f>
        <v>ILM</v>
      </c>
    </row>
    <row r="1313" spans="2:13" x14ac:dyDescent="0.25">
      <c r="B1313" s="31" t="s">
        <v>25743</v>
      </c>
      <c r="C1313" s="20"/>
      <c r="D1313" s="25" t="s">
        <v>25981</v>
      </c>
      <c r="E1313" s="25"/>
      <c r="F1313" s="9" t="str">
        <f>HYPERLINK("https://www.ebi.ac.uk/ols/ontologies/uberon/terms?iri=http://purl.obolibrary.org/obo/UBERON_0002905","intralingual sulcus")</f>
        <v>intralingual sulcus</v>
      </c>
      <c r="G1313" s="9" t="s">
        <v>2530</v>
      </c>
      <c r="H1313" s="9" t="s">
        <v>25531</v>
      </c>
      <c r="I1313" s="9" t="s">
        <v>2531</v>
      </c>
      <c r="J1313" s="9" t="s">
        <v>2532</v>
      </c>
      <c r="K1313" s="7" t="s">
        <v>15171</v>
      </c>
      <c r="L1313" s="13">
        <v>9397</v>
      </c>
      <c r="M1313" t="str">
        <f>VLOOKUP(L1313,[1]HBA!$B$2:$C$4000,2,FALSE)</f>
        <v>ILs</v>
      </c>
    </row>
    <row r="1314" spans="2:13" x14ac:dyDescent="0.25">
      <c r="B1314" s="31" t="s">
        <v>25743</v>
      </c>
      <c r="C1314" s="20"/>
      <c r="D1314" s="25" t="s">
        <v>2534</v>
      </c>
      <c r="E1314" s="25"/>
      <c r="F1314" s="9" t="str">
        <f>HYPERLINK("https://www.ebi.ac.uk/ols/ontologies/uberon/terms?iri=http://purl.obolibrary.org/obo/UBERON_0002913","intraparietal sulcus")</f>
        <v>intraparietal sulcus</v>
      </c>
      <c r="G1314" s="9" t="s">
        <v>2533</v>
      </c>
      <c r="H1314" s="9" t="s">
        <v>23711</v>
      </c>
      <c r="I1314" s="9" t="s">
        <v>2534</v>
      </c>
      <c r="J1314" s="9" t="s">
        <v>2535</v>
      </c>
      <c r="K1314" s="4" t="s">
        <v>15175</v>
      </c>
      <c r="L1314" s="13">
        <v>10620</v>
      </c>
      <c r="M1314" t="str">
        <f>VLOOKUP(L1314,[1]Human_BrainSpan!$B$2:$C$4000,2,FALSE)</f>
        <v>ips</v>
      </c>
    </row>
    <row r="1315" spans="2:13" x14ac:dyDescent="0.25">
      <c r="B1315" s="31" t="s">
        <v>25743</v>
      </c>
      <c r="C1315" s="20"/>
      <c r="D1315" s="25" t="s">
        <v>2534</v>
      </c>
      <c r="E1315" s="25"/>
      <c r="F1315" s="9" t="str">
        <f>HYPERLINK("https://www.ebi.ac.uk/ols/ontologies/uberon/terms?iri=http://purl.obolibrary.org/obo/UBERON_0002913","intraparietal sulcus")</f>
        <v>intraparietal sulcus</v>
      </c>
      <c r="G1315" s="9" t="s">
        <v>2533</v>
      </c>
      <c r="H1315" s="9" t="s">
        <v>25541</v>
      </c>
      <c r="I1315" s="9" t="s">
        <v>2534</v>
      </c>
      <c r="J1315" s="9" t="s">
        <v>2536</v>
      </c>
      <c r="K1315" s="7" t="s">
        <v>15171</v>
      </c>
      <c r="L1315" s="13">
        <v>9372</v>
      </c>
      <c r="M1315" t="str">
        <f>VLOOKUP(L1315,[1]HBA!$B$2:$C$4000,2,FALSE)</f>
        <v>itps</v>
      </c>
    </row>
    <row r="1316" spans="2:13" x14ac:dyDescent="0.25">
      <c r="B1316" s="31" t="s">
        <v>25743</v>
      </c>
      <c r="C1316" s="20"/>
      <c r="D1316" s="25" t="s">
        <v>25982</v>
      </c>
      <c r="E1316" s="25"/>
      <c r="F1316" s="9" t="str">
        <f>HYPERLINK("https://www.ebi.ac.uk/ols/ontologies/uberon/terms?iri=http://purl.obolibrary.org/obo/UBERON_0023868","isla magna of Calleja")</f>
        <v>isla magna of Calleja</v>
      </c>
      <c r="G1316" s="9" t="s">
        <v>2537</v>
      </c>
      <c r="H1316" s="9" t="s">
        <v>23293</v>
      </c>
      <c r="I1316" s="9" t="s">
        <v>2538</v>
      </c>
      <c r="J1316" s="9" t="s">
        <v>2539</v>
      </c>
      <c r="K1316" s="4" t="s">
        <v>15175</v>
      </c>
      <c r="L1316" s="13">
        <v>10359</v>
      </c>
      <c r="M1316" t="str">
        <f>VLOOKUP(L1316,[1]Human_BrainSpan!$B$2:$C$4000,2,FALSE)</f>
        <v>IsCjm</v>
      </c>
    </row>
    <row r="1317" spans="2:13" x14ac:dyDescent="0.25">
      <c r="B1317" s="31" t="s">
        <v>25743</v>
      </c>
      <c r="C1317" s="20"/>
      <c r="D1317" s="25" t="s">
        <v>25982</v>
      </c>
      <c r="E1317" s="25"/>
      <c r="F1317" s="9" t="str">
        <f>HYPERLINK("https://www.ebi.ac.uk/ols/ontologies/uberon/terms?iri=http://purl.obolibrary.org/obo/UBERON_0023868","isla magna of Calleja")</f>
        <v>isla magna of Calleja</v>
      </c>
      <c r="G1317" s="9" t="s">
        <v>2537</v>
      </c>
      <c r="H1317" s="9" t="s">
        <v>19756</v>
      </c>
      <c r="I1317" s="9" t="s">
        <v>2538</v>
      </c>
      <c r="J1317" s="9" t="s">
        <v>2540</v>
      </c>
      <c r="K1317" s="3" t="s">
        <v>15176</v>
      </c>
      <c r="L1317" s="13">
        <v>489</v>
      </c>
      <c r="M1317" t="str">
        <f>VLOOKUP(L1317,[1]Mouse_ARA!$B$2:$C$1328,2,FALSE)</f>
        <v>islm</v>
      </c>
    </row>
    <row r="1318" spans="2:13" x14ac:dyDescent="0.25">
      <c r="B1318" s="31" t="s">
        <v>25743</v>
      </c>
      <c r="C1318" s="20"/>
      <c r="D1318" s="25" t="s">
        <v>25983</v>
      </c>
      <c r="E1318" s="25"/>
      <c r="F1318" s="9" t="str">
        <f>HYPERLINK("https://www.ebi.ac.uk/ols/ontologies/uberon/terms?iri=http://purl.obolibrary.org/obo/UBERON_0001881","island of Calleja")</f>
        <v>island of Calleja</v>
      </c>
      <c r="G1318" s="9" t="s">
        <v>2541</v>
      </c>
      <c r="H1318" s="9" t="s">
        <v>23292</v>
      </c>
      <c r="I1318" s="9" t="s">
        <v>2542</v>
      </c>
      <c r="J1318" s="9" t="s">
        <v>2543</v>
      </c>
      <c r="K1318" s="4" t="s">
        <v>15175</v>
      </c>
      <c r="L1318" s="13">
        <v>10358</v>
      </c>
      <c r="M1318" t="str">
        <f>VLOOKUP(L1318,[1]Human_BrainSpan!$B$2:$C$4000,2,FALSE)</f>
        <v>IsCj</v>
      </c>
    </row>
    <row r="1319" spans="2:13" x14ac:dyDescent="0.25">
      <c r="B1319" s="31" t="s">
        <v>25743</v>
      </c>
      <c r="C1319" s="20"/>
      <c r="D1319" s="25" t="s">
        <v>25983</v>
      </c>
      <c r="E1319" s="25"/>
      <c r="F1319" s="9" t="str">
        <f>HYPERLINK("https://www.ebi.ac.uk/ols/ontologies/uberon/terms?iri=http://purl.obolibrary.org/obo/UBERON_0001881","island of Calleja")</f>
        <v>island of Calleja</v>
      </c>
      <c r="G1319" s="9" t="s">
        <v>2541</v>
      </c>
      <c r="H1319" s="9" t="s">
        <v>24899</v>
      </c>
      <c r="I1319" s="9" t="s">
        <v>2544</v>
      </c>
      <c r="J1319" s="9" t="s">
        <v>2545</v>
      </c>
      <c r="K1319" s="7" t="s">
        <v>15171</v>
      </c>
      <c r="L1319" s="13">
        <v>265504792</v>
      </c>
      <c r="M1319" t="str">
        <f>VLOOKUP(L1319,[1]HBA!$B$2:$C$4000,2,FALSE)</f>
        <v>IslC</v>
      </c>
    </row>
    <row r="1320" spans="2:13" x14ac:dyDescent="0.25">
      <c r="B1320" s="31" t="s">
        <v>25743</v>
      </c>
      <c r="C1320" s="20"/>
      <c r="D1320" s="25" t="s">
        <v>25983</v>
      </c>
      <c r="E1320" s="25"/>
      <c r="F1320" s="9" t="str">
        <f>HYPERLINK("https://www.ebi.ac.uk/ols/ontologies/uberon/terms?iri=http://purl.obolibrary.org/obo/UBERON_0001881","island of Calleja")</f>
        <v>island of Calleja</v>
      </c>
      <c r="G1320" s="9" t="s">
        <v>2541</v>
      </c>
      <c r="H1320" s="9" t="s">
        <v>19754</v>
      </c>
      <c r="I1320" s="9" t="s">
        <v>2542</v>
      </c>
      <c r="J1320" s="9" t="s">
        <v>2546</v>
      </c>
      <c r="K1320" s="3" t="s">
        <v>15176</v>
      </c>
      <c r="L1320" s="13">
        <v>481</v>
      </c>
      <c r="M1320" t="str">
        <f>VLOOKUP(L1320,[1]Mouse_ARA!$B$2:$C$1328,2,FALSE)</f>
        <v>isl</v>
      </c>
    </row>
    <row r="1321" spans="2:13" x14ac:dyDescent="0.25">
      <c r="B1321" s="31" t="s">
        <v>25743</v>
      </c>
      <c r="C1321" s="20"/>
      <c r="D1321" s="25" t="s">
        <v>25983</v>
      </c>
      <c r="E1321" s="25"/>
      <c r="F1321" s="9" t="str">
        <f>HYPERLINK("https://www.ebi.ac.uk/ols/ontologies/uberon/terms?iri=http://purl.obolibrary.org/obo/UBERON_0001881","island of Calleja")</f>
        <v>island of Calleja</v>
      </c>
      <c r="G1321" s="9" t="s">
        <v>2541</v>
      </c>
      <c r="H1321" s="9" t="s">
        <v>23292</v>
      </c>
      <c r="I1321" s="9" t="s">
        <v>2542</v>
      </c>
      <c r="J1321" s="9" t="s">
        <v>2547</v>
      </c>
      <c r="K1321" s="6" t="s">
        <v>15174</v>
      </c>
      <c r="L1321" s="13">
        <v>10095</v>
      </c>
      <c r="M1321" t="str">
        <f>VLOOKUP(L1321,[1]NonHumanPrimate!$B$2:$C$4000,2,FALSE)</f>
        <v>IsCj</v>
      </c>
    </row>
    <row r="1322" spans="2:13" x14ac:dyDescent="0.25">
      <c r="B1322" s="31" t="s">
        <v>25743</v>
      </c>
      <c r="C1322" s="20"/>
      <c r="D1322" s="25" t="s">
        <v>2549</v>
      </c>
      <c r="E1322" s="25"/>
      <c r="F1322" s="9" t="str">
        <f>HYPERLINK("https://www.ebi.ac.uk/ols/ontologies/uberon/terms?iri=http://purl.obolibrary.org/obo/UBERON_0002592","juxtarestiform body")</f>
        <v>juxtarestiform body</v>
      </c>
      <c r="G1322" s="9" t="s">
        <v>2548</v>
      </c>
      <c r="H1322" s="9" t="s">
        <v>24617</v>
      </c>
      <c r="I1322" s="9" t="s">
        <v>2549</v>
      </c>
      <c r="J1322" s="9" t="s">
        <v>2550</v>
      </c>
      <c r="K1322" s="4" t="s">
        <v>15175</v>
      </c>
      <c r="L1322" s="13">
        <v>12750</v>
      </c>
      <c r="M1322" t="str">
        <f>VLOOKUP(L1322,[1]Human_BrainSpan!$B$2:$C$4000,2,FALSE)</f>
        <v>jx</v>
      </c>
    </row>
    <row r="1323" spans="2:13" x14ac:dyDescent="0.25">
      <c r="B1323" s="31" t="s">
        <v>25743</v>
      </c>
      <c r="C1323" s="20"/>
      <c r="D1323" s="25" t="s">
        <v>2549</v>
      </c>
      <c r="E1323" s="25"/>
      <c r="F1323" s="9" t="str">
        <f>HYPERLINK("https://www.ebi.ac.uk/ols/ontologies/uberon/terms?iri=http://purl.obolibrary.org/obo/UBERON_0002592","juxtarestiform body")</f>
        <v>juxtarestiform body</v>
      </c>
      <c r="G1323" s="9" t="s">
        <v>2548</v>
      </c>
      <c r="H1323" s="9" t="s">
        <v>20808</v>
      </c>
      <c r="I1323" s="9" t="s">
        <v>2549</v>
      </c>
      <c r="J1323" s="9" t="s">
        <v>2551</v>
      </c>
      <c r="K1323" s="3" t="s">
        <v>15176</v>
      </c>
      <c r="L1323" s="13">
        <v>650</v>
      </c>
      <c r="M1323" t="str">
        <f>VLOOKUP(L1323,[1]Mouse_ARA!$B$2:$C$1328,2,FALSE)</f>
        <v>jrb</v>
      </c>
    </row>
    <row r="1324" spans="2:13" x14ac:dyDescent="0.25">
      <c r="B1324" s="31" t="s">
        <v>25743</v>
      </c>
      <c r="C1324" s="20"/>
      <c r="D1324" s="25" t="s">
        <v>25984</v>
      </c>
      <c r="E1324" s="25"/>
      <c r="F1324" s="9" t="str">
        <f>HYPERLINK("https://www.ebi.ac.uk/ols/ontologies/uberon/terms?iri=http://purl.obolibrary.org/obo/UBERON_0015117","lamina terminalis of cerebral hemisphere")</f>
        <v>lamina terminalis of cerebral hemisphere</v>
      </c>
      <c r="G1324" s="9" t="s">
        <v>2552</v>
      </c>
      <c r="H1324" s="9" t="s">
        <v>23895</v>
      </c>
      <c r="I1324" s="9" t="s">
        <v>2553</v>
      </c>
      <c r="J1324" s="9" t="s">
        <v>2554</v>
      </c>
      <c r="K1324" s="4" t="s">
        <v>15175</v>
      </c>
      <c r="L1324" s="13">
        <v>12105</v>
      </c>
      <c r="M1324" t="str">
        <f>VLOOKUP(L1324,[1]Human_BrainSpan!$B$2:$C$4000,2,FALSE)</f>
        <v>LaT</v>
      </c>
    </row>
    <row r="1325" spans="2:13" x14ac:dyDescent="0.25">
      <c r="B1325" s="31" t="s">
        <v>25743</v>
      </c>
      <c r="C1325" s="20"/>
      <c r="D1325" s="25" t="s">
        <v>25985</v>
      </c>
      <c r="E1325" s="25"/>
      <c r="F1325" s="9" t="str">
        <f>HYPERLINK("https://www.ebi.ac.uk/ols/ontologies/uberon/terms?iri=http://purl.obolibrary.org/obo/UBERON_0013600","lateral accessory nucleus of optic tract")</f>
        <v>lateral accessory nucleus of optic tract</v>
      </c>
      <c r="G1325" s="9" t="s">
        <v>2555</v>
      </c>
      <c r="H1325" s="9" t="s">
        <v>24037</v>
      </c>
      <c r="I1325" s="9" t="s">
        <v>648</v>
      </c>
      <c r="J1325" s="9" t="s">
        <v>649</v>
      </c>
      <c r="K1325" s="4" t="s">
        <v>15175</v>
      </c>
      <c r="L1325" s="13">
        <v>13236</v>
      </c>
      <c r="M1325" t="str">
        <f>VLOOKUP(L1325,[1]Human_BrainSpan!$B$2:$C$4000,2,FALSE)</f>
        <v>Lt</v>
      </c>
    </row>
    <row r="1326" spans="2:13" x14ac:dyDescent="0.25">
      <c r="B1326" s="31" t="s">
        <v>25743</v>
      </c>
      <c r="C1326" s="20"/>
      <c r="D1326" s="25" t="s">
        <v>25985</v>
      </c>
      <c r="E1326" s="25"/>
      <c r="F1326" s="9" t="str">
        <f>HYPERLINK("https://www.ebi.ac.uk/ols/ontologies/uberon/terms?iri=http://purl.obolibrary.org/obo/UBERON_0013600","lateral accessory nucleus of optic tract")</f>
        <v>lateral accessory nucleus of optic tract</v>
      </c>
      <c r="G1326" s="9" t="s">
        <v>2555</v>
      </c>
      <c r="H1326" s="9" t="s">
        <v>20260</v>
      </c>
      <c r="I1326" s="9" t="s">
        <v>816</v>
      </c>
      <c r="J1326" s="9" t="s">
        <v>817</v>
      </c>
      <c r="K1326" s="3" t="s">
        <v>15176</v>
      </c>
      <c r="L1326" s="13">
        <v>66</v>
      </c>
      <c r="M1326" t="str">
        <f>VLOOKUP(L1326,[1]Mouse_ARA!$B$2:$C$1328,2,FALSE)</f>
        <v>LT</v>
      </c>
    </row>
    <row r="1327" spans="2:13" x14ac:dyDescent="0.25">
      <c r="B1327" s="31" t="s">
        <v>25743</v>
      </c>
      <c r="C1327" s="20"/>
      <c r="D1327" s="25" t="s">
        <v>2559</v>
      </c>
      <c r="E1327" s="25"/>
      <c r="F1327" s="9" t="str">
        <f>HYPERLINK("https://www.ebi.ac.uk/ols/ontologies/uberon/terms?iri=http://purl.obolibrary.org/obo/UBERON_0002886","lateral amygdaloid nucleus")</f>
        <v>lateral amygdaloid nucleus</v>
      </c>
      <c r="G1327" s="9" t="s">
        <v>2556</v>
      </c>
      <c r="H1327" s="9" t="s">
        <v>15734</v>
      </c>
      <c r="I1327" s="9" t="s">
        <v>2557</v>
      </c>
      <c r="J1327" s="9" t="s">
        <v>2558</v>
      </c>
      <c r="K1327" s="4" t="s">
        <v>15175</v>
      </c>
      <c r="L1327" s="13">
        <v>10367</v>
      </c>
      <c r="M1327" t="str">
        <f>VLOOKUP(L1327,[1]Human_BrainSpan!$B$2:$C$4000,2,FALSE)</f>
        <v>La</v>
      </c>
    </row>
    <row r="1328" spans="2:13" x14ac:dyDescent="0.25">
      <c r="B1328" s="31" t="s">
        <v>25743</v>
      </c>
      <c r="C1328" s="20"/>
      <c r="D1328" s="25" t="s">
        <v>2559</v>
      </c>
      <c r="E1328" s="25"/>
      <c r="F1328" s="9" t="str">
        <f>HYPERLINK("https://www.ebi.ac.uk/ols/ontologies/uberon/terms?iri=http://purl.obolibrary.org/obo/UBERON_0002886","lateral amygdaloid nucleus")</f>
        <v>lateral amygdaloid nucleus</v>
      </c>
      <c r="G1328" s="9" t="s">
        <v>2556</v>
      </c>
      <c r="H1328" s="9" t="s">
        <v>15734</v>
      </c>
      <c r="I1328" s="9" t="s">
        <v>2559</v>
      </c>
      <c r="J1328" s="9" t="s">
        <v>2560</v>
      </c>
      <c r="K1328" s="5" t="s">
        <v>15173</v>
      </c>
      <c r="L1328" s="13">
        <v>15944</v>
      </c>
      <c r="M1328" t="str">
        <f>VLOOKUP(L1328,[1]DevMouse!$B$2:$C$2693,2,FALSE)</f>
        <v>La</v>
      </c>
    </row>
    <row r="1329" spans="2:13" x14ac:dyDescent="0.25">
      <c r="B1329" s="31" t="s">
        <v>25743</v>
      </c>
      <c r="C1329" s="20"/>
      <c r="D1329" s="25" t="s">
        <v>2559</v>
      </c>
      <c r="E1329" s="25"/>
      <c r="F1329" s="9" t="str">
        <f>HYPERLINK("https://www.ebi.ac.uk/ols/ontologies/uberon/terms?iri=http://purl.obolibrary.org/obo/UBERON_0002886","lateral amygdaloid nucleus")</f>
        <v>lateral amygdaloid nucleus</v>
      </c>
      <c r="G1329" s="9" t="s">
        <v>2556</v>
      </c>
      <c r="H1329" s="9" t="s">
        <v>15318</v>
      </c>
      <c r="I1329" s="9" t="s">
        <v>2557</v>
      </c>
      <c r="J1329" s="9" t="s">
        <v>2561</v>
      </c>
      <c r="K1329" s="7" t="s">
        <v>15171</v>
      </c>
      <c r="L1329" s="13">
        <v>4378</v>
      </c>
      <c r="M1329" t="str">
        <f>VLOOKUP(L1329,[1]HBA!$B$2:$C$4000,2,FALSE)</f>
        <v>LA</v>
      </c>
    </row>
    <row r="1330" spans="2:13" x14ac:dyDescent="0.25">
      <c r="B1330" s="31" t="s">
        <v>25743</v>
      </c>
      <c r="C1330" s="20"/>
      <c r="D1330" s="25" t="s">
        <v>2559</v>
      </c>
      <c r="E1330" s="25"/>
      <c r="F1330" s="9" t="str">
        <f>HYPERLINK("https://www.ebi.ac.uk/ols/ontologies/uberon/terms?iri=http://purl.obolibrary.org/obo/UBERON_0002886","lateral amygdaloid nucleus")</f>
        <v>lateral amygdaloid nucleus</v>
      </c>
      <c r="G1330" s="9" t="s">
        <v>2556</v>
      </c>
      <c r="H1330" s="9" t="s">
        <v>15318</v>
      </c>
      <c r="I1330" s="9" t="s">
        <v>2562</v>
      </c>
      <c r="J1330" s="9" t="s">
        <v>2563</v>
      </c>
      <c r="K1330" s="3" t="s">
        <v>15176</v>
      </c>
      <c r="L1330" s="13">
        <v>131</v>
      </c>
      <c r="M1330" t="str">
        <f>VLOOKUP(L1330,[1]Mouse_ARA!$B$2:$C$1328,2,FALSE)</f>
        <v>LA</v>
      </c>
    </row>
    <row r="1331" spans="2:13" x14ac:dyDescent="0.25">
      <c r="B1331" s="31" t="s">
        <v>25743</v>
      </c>
      <c r="C1331" s="20"/>
      <c r="D1331" s="25" t="s">
        <v>2559</v>
      </c>
      <c r="E1331" s="25"/>
      <c r="F1331" s="9" t="str">
        <f>HYPERLINK("https://www.ebi.ac.uk/ols/ontologies/uberon/terms?iri=http://purl.obolibrary.org/obo/UBERON_0002886","lateral amygdaloid nucleus")</f>
        <v>lateral amygdaloid nucleus</v>
      </c>
      <c r="G1331" s="9" t="s">
        <v>2556</v>
      </c>
      <c r="H1331" s="9" t="s">
        <v>24355</v>
      </c>
      <c r="I1331" s="9" t="s">
        <v>2557</v>
      </c>
      <c r="J1331" s="9" t="s">
        <v>2564</v>
      </c>
      <c r="K1331" s="6" t="s">
        <v>15174</v>
      </c>
      <c r="L1331" s="13">
        <v>10116</v>
      </c>
      <c r="M1331" t="str">
        <f>VLOOKUP(L1331,[1]NonHumanPrimate!$B$2:$C$4000,2,FALSE)</f>
        <v>L</v>
      </c>
    </row>
    <row r="1332" spans="2:13" x14ac:dyDescent="0.25">
      <c r="B1332" s="31" t="s">
        <v>25743</v>
      </c>
      <c r="C1332" s="20"/>
      <c r="D1332" s="25" t="s">
        <v>2566</v>
      </c>
      <c r="E1332" s="25"/>
      <c r="F1332" s="9" t="str">
        <f>HYPERLINK("https://www.ebi.ac.uk/ols/ontologies/uberon/terms?iri=http://purl.obolibrary.org/obo/UBERON_0002176","lateral cervical nucleus")</f>
        <v>lateral cervical nucleus</v>
      </c>
      <c r="G1332" s="9" t="s">
        <v>2565</v>
      </c>
      <c r="H1332" s="9" t="s">
        <v>18361</v>
      </c>
      <c r="I1332" s="9" t="s">
        <v>2566</v>
      </c>
      <c r="J1332" s="9" t="s">
        <v>2567</v>
      </c>
      <c r="K1332" s="5" t="s">
        <v>15173</v>
      </c>
      <c r="L1332" s="13">
        <v>17691</v>
      </c>
      <c r="M1332" t="str">
        <f>VLOOKUP(L1332,[1]DevMouse!$B$2:$C$2693,2,FALSE)</f>
        <v>LatC</v>
      </c>
    </row>
    <row r="1333" spans="2:13" x14ac:dyDescent="0.25">
      <c r="B1333" s="31" t="s">
        <v>25743</v>
      </c>
      <c r="C1333" s="20"/>
      <c r="D1333" s="25" t="s">
        <v>2569</v>
      </c>
      <c r="E1333" s="25"/>
      <c r="F1333" s="9" t="str">
        <f>HYPERLINK("https://www.ebi.ac.uk/ols/ontologies/uberon/terms?iri=http://purl.obolibrary.org/obo/UBERON_0002589","lateral corticospinal tract")</f>
        <v>lateral corticospinal tract</v>
      </c>
      <c r="G1333" s="9" t="s">
        <v>2568</v>
      </c>
      <c r="H1333" s="9" t="s">
        <v>24624</v>
      </c>
      <c r="I1333" s="9" t="s">
        <v>2569</v>
      </c>
      <c r="J1333" s="9" t="s">
        <v>2570</v>
      </c>
      <c r="K1333" s="4" t="s">
        <v>15175</v>
      </c>
      <c r="L1333" s="13">
        <v>12759</v>
      </c>
      <c r="M1333" t="str">
        <f>VLOOKUP(L1333,[1]Human_BrainSpan!$B$2:$C$4000,2,FALSE)</f>
        <v>lcs</v>
      </c>
    </row>
    <row r="1334" spans="2:13" x14ac:dyDescent="0.25">
      <c r="B1334" s="31" t="s">
        <v>25743</v>
      </c>
      <c r="C1334" s="20"/>
      <c r="D1334" s="25" t="s">
        <v>2569</v>
      </c>
      <c r="E1334" s="25"/>
      <c r="F1334" s="9" t="str">
        <f>HYPERLINK("https://www.ebi.ac.uk/ols/ontologies/uberon/terms?iri=http://purl.obolibrary.org/obo/UBERON_0002589","lateral corticospinal tract")</f>
        <v>lateral corticospinal tract</v>
      </c>
      <c r="G1334" s="9" t="s">
        <v>2568</v>
      </c>
      <c r="H1334" s="9" t="s">
        <v>20837</v>
      </c>
      <c r="I1334" s="9" t="s">
        <v>2571</v>
      </c>
      <c r="J1334" s="9" t="s">
        <v>2572</v>
      </c>
      <c r="K1334" s="3" t="s">
        <v>15176</v>
      </c>
      <c r="L1334" s="13">
        <v>1019</v>
      </c>
      <c r="M1334" t="str">
        <f>VLOOKUP(L1334,[1]Mouse_ARA!$B$2:$C$1328,2,FALSE)</f>
        <v>cstc</v>
      </c>
    </row>
    <row r="1335" spans="2:13" x14ac:dyDescent="0.25">
      <c r="B1335" s="31" t="s">
        <v>25743</v>
      </c>
      <c r="C1335" s="20"/>
      <c r="D1335" s="25" t="s">
        <v>25986</v>
      </c>
      <c r="E1335" s="25"/>
      <c r="F1335" s="9" t="str">
        <f>HYPERLINK("https://www.ebi.ac.uk/ols/ontologies/uberon/terms?iri=http://purl.obolibrary.org/obo/UBERON_0002984","lateral dorsal nucleus")</f>
        <v>lateral dorsal nucleus</v>
      </c>
      <c r="G1335" s="9" t="s">
        <v>2573</v>
      </c>
      <c r="H1335" s="9" t="s">
        <v>16454</v>
      </c>
      <c r="I1335" s="9" t="s">
        <v>753</v>
      </c>
      <c r="J1335" s="9" t="s">
        <v>2574</v>
      </c>
      <c r="K1335" s="4" t="s">
        <v>15175</v>
      </c>
      <c r="L1335" s="13">
        <v>10396</v>
      </c>
      <c r="M1335" t="str">
        <f>VLOOKUP(L1335,[1]Human_BrainSpan!$B$2:$C$4000,2,FALSE)</f>
        <v>LD</v>
      </c>
    </row>
    <row r="1336" spans="2:13" x14ac:dyDescent="0.25">
      <c r="B1336" s="31" t="s">
        <v>25743</v>
      </c>
      <c r="C1336" s="20"/>
      <c r="D1336" s="25" t="s">
        <v>25986</v>
      </c>
      <c r="E1336" s="25"/>
      <c r="F1336" s="9" t="str">
        <f>HYPERLINK("https://www.ebi.ac.uk/ols/ontologies/uberon/terms?iri=http://purl.obolibrary.org/obo/UBERON_0002984","lateral dorsal nucleus")</f>
        <v>lateral dorsal nucleus</v>
      </c>
      <c r="G1336" s="9" t="s">
        <v>2573</v>
      </c>
      <c r="H1336" s="9" t="s">
        <v>16454</v>
      </c>
      <c r="I1336" s="9" t="s">
        <v>2575</v>
      </c>
      <c r="J1336" s="9" t="s">
        <v>2576</v>
      </c>
      <c r="K1336" s="7" t="s">
        <v>15171</v>
      </c>
      <c r="L1336" s="13">
        <v>4399</v>
      </c>
      <c r="M1336" t="str">
        <f>VLOOKUP(L1336,[1]HBA!$B$2:$C$4000,2,FALSE)</f>
        <v>LD</v>
      </c>
    </row>
    <row r="1337" spans="2:13" x14ac:dyDescent="0.25">
      <c r="B1337" s="31" t="s">
        <v>25743</v>
      </c>
      <c r="C1337" s="20"/>
      <c r="D1337" s="25" t="s">
        <v>25986</v>
      </c>
      <c r="E1337" s="25"/>
      <c r="F1337" s="9" t="str">
        <f>HYPERLINK("https://www.ebi.ac.uk/ols/ontologies/uberon/terms?iri=http://purl.obolibrary.org/obo/UBERON_0002984","lateral dorsal nucleus")</f>
        <v>lateral dorsal nucleus</v>
      </c>
      <c r="G1337" s="9" t="s">
        <v>2573</v>
      </c>
      <c r="H1337" s="9" t="s">
        <v>16454</v>
      </c>
      <c r="I1337" s="9" t="s">
        <v>753</v>
      </c>
      <c r="J1337" s="9" t="s">
        <v>754</v>
      </c>
      <c r="K1337" s="3" t="s">
        <v>15176</v>
      </c>
      <c r="L1337" s="13">
        <v>155</v>
      </c>
      <c r="M1337" t="str">
        <f>VLOOKUP(L1337,[1]Mouse_ARA!$B$2:$C$1328,2,FALSE)</f>
        <v>LD</v>
      </c>
    </row>
    <row r="1338" spans="2:13" x14ac:dyDescent="0.25">
      <c r="B1338" s="31" t="s">
        <v>25743</v>
      </c>
      <c r="C1338" s="20"/>
      <c r="D1338" s="25" t="s">
        <v>25987</v>
      </c>
      <c r="E1338" s="25"/>
      <c r="F1338" s="9" t="str">
        <f>HYPERLINK("https://www.ebi.ac.uk/ols/ontologies/uberon/terms?iri=http://purl.obolibrary.org/obo/UBERON_0007225","lateral entorhinal cortex")</f>
        <v>lateral entorhinal cortex</v>
      </c>
      <c r="G1338" s="9" t="s">
        <v>2577</v>
      </c>
      <c r="H1338" s="9" t="s">
        <v>22859</v>
      </c>
      <c r="I1338" s="9" t="s">
        <v>2578</v>
      </c>
      <c r="J1338" s="9" t="s">
        <v>2579</v>
      </c>
      <c r="K1338" s="4" t="s">
        <v>15175</v>
      </c>
      <c r="L1338" s="13">
        <v>10318</v>
      </c>
      <c r="M1338" t="str">
        <f>VLOOKUP(L1338,[1]Human_BrainSpan!$B$2:$C$4000,2,FALSE)</f>
        <v>LEC</v>
      </c>
    </row>
    <row r="1339" spans="2:13" x14ac:dyDescent="0.25">
      <c r="B1339" s="31" t="s">
        <v>25743</v>
      </c>
      <c r="C1339" s="20"/>
      <c r="D1339" s="25" t="s">
        <v>25987</v>
      </c>
      <c r="E1339" s="25"/>
      <c r="F1339" s="9" t="str">
        <f>HYPERLINK("https://www.ebi.ac.uk/ols/ontologies/uberon/terms?iri=http://purl.obolibrary.org/obo/UBERON_0007225","lateral entorhinal cortex")</f>
        <v>lateral entorhinal cortex</v>
      </c>
      <c r="G1339" s="9" t="s">
        <v>2577</v>
      </c>
      <c r="H1339" s="9" t="s">
        <v>19589</v>
      </c>
      <c r="I1339" s="9" t="s">
        <v>2580</v>
      </c>
      <c r="J1339" s="9" t="s">
        <v>2581</v>
      </c>
      <c r="K1339" s="3" t="s">
        <v>15176</v>
      </c>
      <c r="L1339" s="13">
        <v>918</v>
      </c>
      <c r="M1339" t="str">
        <f>VLOOKUP(L1339,[1]Mouse_ARA!$B$2:$C$1328,2,FALSE)</f>
        <v>ENTl</v>
      </c>
    </row>
    <row r="1340" spans="2:13" x14ac:dyDescent="0.25">
      <c r="B1340" s="31" t="s">
        <v>25743</v>
      </c>
      <c r="C1340" s="20"/>
      <c r="D1340" s="25" t="s">
        <v>25987</v>
      </c>
      <c r="E1340" s="25"/>
      <c r="F1340" s="9" t="str">
        <f>HYPERLINK("https://www.ebi.ac.uk/ols/ontologies/uberon/terms?iri=http://purl.obolibrary.org/obo/UBERON_0007225","lateral entorhinal cortex")</f>
        <v>lateral entorhinal cortex</v>
      </c>
      <c r="G1340" s="9" t="s">
        <v>2577</v>
      </c>
      <c r="H1340" s="9" t="s">
        <v>22859</v>
      </c>
      <c r="I1340" s="9" t="s">
        <v>2582</v>
      </c>
      <c r="J1340" s="9" t="s">
        <v>2583</v>
      </c>
      <c r="K1340" s="6" t="s">
        <v>15174</v>
      </c>
      <c r="L1340" s="13">
        <v>128011876</v>
      </c>
      <c r="M1340" t="str">
        <f>VLOOKUP(L1340,[1]NonHumanPrimate!$B$2:$C$4000,2,FALSE)</f>
        <v>LEC</v>
      </c>
    </row>
    <row r="1341" spans="2:13" x14ac:dyDescent="0.25">
      <c r="B1341" s="31" t="s">
        <v>25743</v>
      </c>
      <c r="C1341" s="20"/>
      <c r="D1341" s="25" t="s">
        <v>2585</v>
      </c>
      <c r="E1341" s="25"/>
      <c r="F1341" s="9" t="str">
        <f>HYPERLINK("https://www.ebi.ac.uk/ols/ontologies/uberon/terms?iri=http://purl.obolibrary.org/obo/UBERON_0004025","lateral ganglionic eminence")</f>
        <v>lateral ganglionic eminence</v>
      </c>
      <c r="G1341" s="9" t="s">
        <v>2584</v>
      </c>
      <c r="H1341" s="9" t="s">
        <v>22023</v>
      </c>
      <c r="I1341" s="9" t="s">
        <v>2585</v>
      </c>
      <c r="J1341" s="9" t="s">
        <v>2586</v>
      </c>
      <c r="K1341" s="4" t="s">
        <v>15175</v>
      </c>
      <c r="L1341" s="13">
        <v>10551</v>
      </c>
      <c r="M1341" t="str">
        <f>VLOOKUP(L1341,[1]Human_BrainSpan!$B$2:$C$4000,2,FALSE)</f>
        <v>LGE</v>
      </c>
    </row>
    <row r="1342" spans="2:13" x14ac:dyDescent="0.25">
      <c r="B1342" s="31" t="s">
        <v>25743</v>
      </c>
      <c r="C1342" s="20"/>
      <c r="D1342" s="25" t="s">
        <v>2585</v>
      </c>
      <c r="E1342" s="25"/>
      <c r="F1342" s="9" t="str">
        <f>HYPERLINK("https://www.ebi.ac.uk/ols/ontologies/uberon/terms?iri=http://purl.obolibrary.org/obo/UBERON_0004025","lateral ganglionic eminence")</f>
        <v>lateral ganglionic eminence</v>
      </c>
      <c r="G1342" s="9" t="s">
        <v>2584</v>
      </c>
      <c r="H1342" s="9" t="s">
        <v>22023</v>
      </c>
      <c r="I1342" s="9" t="s">
        <v>2585</v>
      </c>
      <c r="J1342" s="9" t="s">
        <v>2587</v>
      </c>
      <c r="K1342" s="6" t="s">
        <v>15174</v>
      </c>
      <c r="L1342" s="13">
        <v>128012822</v>
      </c>
      <c r="M1342" t="str">
        <f>VLOOKUP(L1342,[1]NonHumanPrimate!$B$2:$C$4000,2,FALSE)</f>
        <v>LGE</v>
      </c>
    </row>
    <row r="1343" spans="2:13" x14ac:dyDescent="0.25">
      <c r="B1343" s="31" t="s">
        <v>25743</v>
      </c>
      <c r="C1343" s="20"/>
      <c r="D1343" s="25" t="s">
        <v>25988</v>
      </c>
      <c r="E1343" s="25"/>
      <c r="F1343" s="9" t="str">
        <f>HYPERLINK("https://www.ebi.ac.uk/ols/ontologies/uberon/terms?iri=http://purl.obolibrary.org/obo/UBERON_0001926","lateral geniculate body")</f>
        <v>lateral geniculate body</v>
      </c>
      <c r="G1343" s="9" t="s">
        <v>2588</v>
      </c>
      <c r="H1343" s="9" t="s">
        <v>23345</v>
      </c>
      <c r="I1343" s="9" t="s">
        <v>2589</v>
      </c>
      <c r="J1343" s="9" t="s">
        <v>2590</v>
      </c>
      <c r="K1343" s="4" t="s">
        <v>15175</v>
      </c>
      <c r="L1343" s="13">
        <v>10429</v>
      </c>
      <c r="M1343" t="str">
        <f>VLOOKUP(L1343,[1]Human_BrainSpan!$B$2:$C$4000,2,FALSE)</f>
        <v>LG</v>
      </c>
    </row>
    <row r="1344" spans="2:13" x14ac:dyDescent="0.25">
      <c r="B1344" s="31" t="s">
        <v>25743</v>
      </c>
      <c r="C1344" s="20"/>
      <c r="D1344" s="25" t="s">
        <v>25988</v>
      </c>
      <c r="E1344" s="25"/>
      <c r="F1344" s="9" t="str">
        <f>HYPERLINK("https://www.ebi.ac.uk/ols/ontologies/uberon/terms?iri=http://purl.obolibrary.org/obo/UBERON_0001926","lateral geniculate body")</f>
        <v>lateral geniculate body</v>
      </c>
      <c r="G1344" s="9" t="s">
        <v>2588</v>
      </c>
      <c r="H1344" s="9" t="s">
        <v>25738</v>
      </c>
      <c r="I1344" s="9" t="s">
        <v>2589</v>
      </c>
      <c r="J1344" s="9" t="s">
        <v>2591</v>
      </c>
      <c r="K1344" s="6" t="s">
        <v>15174</v>
      </c>
      <c r="L1344" s="13">
        <v>128013070</v>
      </c>
      <c r="M1344" t="str">
        <f>VLOOKUP(L1344,[1]NonHumanPrimate!$B$2:$C$4000,2,FALSE)</f>
        <v>LGN</v>
      </c>
    </row>
    <row r="1345" spans="2:13" x14ac:dyDescent="0.25">
      <c r="B1345" s="31" t="s">
        <v>25743</v>
      </c>
      <c r="C1345" s="20"/>
      <c r="D1345" s="25" t="s">
        <v>25989</v>
      </c>
      <c r="E1345" s="25"/>
      <c r="F1345" s="9" t="str">
        <f>HYPERLINK("https://www.ebi.ac.uk/ols/ontologies/uberon/terms?iri=http://purl.obolibrary.org/obo/UBERON_0002476","lateral globus pallidus")</f>
        <v>lateral globus pallidus</v>
      </c>
      <c r="G1345" s="9" t="s">
        <v>2592</v>
      </c>
      <c r="H1345" s="9" t="s">
        <v>19816</v>
      </c>
      <c r="I1345" s="9" t="s">
        <v>2593</v>
      </c>
      <c r="J1345" s="9" t="s">
        <v>2594</v>
      </c>
      <c r="K1345" s="7" t="s">
        <v>15171</v>
      </c>
      <c r="L1345" s="13">
        <v>12897</v>
      </c>
      <c r="M1345" t="str">
        <f>VLOOKUP(L1345,[1]HBA!$B$2:$C$4000,2,FALSE)</f>
        <v>GPe</v>
      </c>
    </row>
    <row r="1346" spans="2:13" x14ac:dyDescent="0.25">
      <c r="B1346" s="31" t="s">
        <v>25743</v>
      </c>
      <c r="C1346" s="20"/>
      <c r="D1346" s="25" t="s">
        <v>25989</v>
      </c>
      <c r="E1346" s="25"/>
      <c r="F1346" s="9" t="str">
        <f>HYPERLINK("https://www.ebi.ac.uk/ols/ontologies/uberon/terms?iri=http://purl.obolibrary.org/obo/UBERON_0002476","lateral globus pallidus")</f>
        <v>lateral globus pallidus</v>
      </c>
      <c r="G1346" s="9" t="s">
        <v>2592</v>
      </c>
      <c r="H1346" s="9" t="s">
        <v>19816</v>
      </c>
      <c r="I1346" s="9" t="s">
        <v>2593</v>
      </c>
      <c r="J1346" s="9" t="s">
        <v>2595</v>
      </c>
      <c r="K1346" s="3" t="s">
        <v>15176</v>
      </c>
      <c r="L1346" s="13">
        <v>1022</v>
      </c>
      <c r="M1346" t="str">
        <f>VLOOKUP(L1346,[1]Mouse_ARA!$B$2:$C$1328,2,FALSE)</f>
        <v>GPe</v>
      </c>
    </row>
    <row r="1347" spans="2:13" x14ac:dyDescent="0.25">
      <c r="B1347" s="31" t="s">
        <v>25743</v>
      </c>
      <c r="C1347" s="20"/>
      <c r="D1347" s="25" t="s">
        <v>25989</v>
      </c>
      <c r="E1347" s="25"/>
      <c r="F1347" s="9" t="str">
        <f>HYPERLINK("https://www.ebi.ac.uk/ols/ontologies/uberon/terms?iri=http://purl.obolibrary.org/obo/UBERON_0002476","lateral globus pallidus")</f>
        <v>lateral globus pallidus</v>
      </c>
      <c r="G1347" s="9" t="s">
        <v>2592</v>
      </c>
      <c r="H1347" s="9" t="s">
        <v>19816</v>
      </c>
      <c r="I1347" s="9" t="s">
        <v>2596</v>
      </c>
      <c r="J1347" s="9" t="s">
        <v>2597</v>
      </c>
      <c r="K1347" s="6" t="s">
        <v>15174</v>
      </c>
      <c r="L1347" s="13">
        <v>10099</v>
      </c>
      <c r="M1347" t="str">
        <f>VLOOKUP(L1347,[1]NonHumanPrimate!$B$2:$C$4000,2,FALSE)</f>
        <v>GPe</v>
      </c>
    </row>
    <row r="1348" spans="2:13" x14ac:dyDescent="0.25">
      <c r="B1348" s="31" t="s">
        <v>25743</v>
      </c>
      <c r="C1348" s="20"/>
      <c r="D1348" s="25" t="s">
        <v>2599</v>
      </c>
      <c r="E1348" s="25"/>
      <c r="F1348" s="9" t="str">
        <f>HYPERLINK("https://www.ebi.ac.uk/ols/ontologies/uberon/terms?iri=http://purl.obolibrary.org/obo/UBERON_0001941","lateral habenular nucleus")</f>
        <v>lateral habenular nucleus</v>
      </c>
      <c r="G1348" s="9" t="s">
        <v>2598</v>
      </c>
      <c r="H1348" s="9" t="s">
        <v>23410</v>
      </c>
      <c r="I1348" s="9" t="s">
        <v>2599</v>
      </c>
      <c r="J1348" s="9" t="s">
        <v>2600</v>
      </c>
      <c r="K1348" s="4" t="s">
        <v>15175</v>
      </c>
      <c r="L1348" s="13">
        <v>10453</v>
      </c>
      <c r="M1348" t="str">
        <f>VLOOKUP(L1348,[1]Human_BrainSpan!$B$2:$C$4000,2,FALSE)</f>
        <v>LHN</v>
      </c>
    </row>
    <row r="1349" spans="2:13" x14ac:dyDescent="0.25">
      <c r="B1349" s="31" t="s">
        <v>25743</v>
      </c>
      <c r="C1349" s="20"/>
      <c r="D1349" s="25" t="s">
        <v>2599</v>
      </c>
      <c r="E1349" s="25"/>
      <c r="F1349" s="9" t="str">
        <f>HYPERLINK("https://www.ebi.ac.uk/ols/ontologies/uberon/terms?iri=http://purl.obolibrary.org/obo/UBERON_0001941","lateral habenular nucleus")</f>
        <v>lateral habenular nucleus</v>
      </c>
      <c r="G1349" s="9" t="s">
        <v>2598</v>
      </c>
      <c r="H1349" s="9" t="s">
        <v>24908</v>
      </c>
      <c r="I1349" s="9" t="s">
        <v>2601</v>
      </c>
      <c r="J1349" s="9" t="s">
        <v>2602</v>
      </c>
      <c r="K1349" s="7" t="s">
        <v>15171</v>
      </c>
      <c r="L1349" s="13">
        <v>4524</v>
      </c>
      <c r="M1349" t="str">
        <f>VLOOKUP(L1349,[1]HBA!$B$2:$C$4000,2,FALSE)</f>
        <v>Hl</v>
      </c>
    </row>
    <row r="1350" spans="2:13" x14ac:dyDescent="0.25">
      <c r="B1350" s="31" t="s">
        <v>25743</v>
      </c>
      <c r="C1350" s="20"/>
      <c r="D1350" s="25" t="s">
        <v>2599</v>
      </c>
      <c r="E1350" s="25"/>
      <c r="F1350" s="9" t="str">
        <f>HYPERLINK("https://www.ebi.ac.uk/ols/ontologies/uberon/terms?iri=http://purl.obolibrary.org/obo/UBERON_0001941","lateral habenular nucleus")</f>
        <v>lateral habenular nucleus</v>
      </c>
      <c r="G1350" s="9" t="s">
        <v>2598</v>
      </c>
      <c r="H1350" s="9" t="s">
        <v>19992</v>
      </c>
      <c r="I1350" s="9" t="s">
        <v>761</v>
      </c>
      <c r="J1350" s="9" t="s">
        <v>762</v>
      </c>
      <c r="K1350" s="3" t="s">
        <v>15176</v>
      </c>
      <c r="L1350" s="13">
        <v>186</v>
      </c>
      <c r="M1350" t="str">
        <f>VLOOKUP(L1350,[1]Mouse_ARA!$B$2:$C$1328,2,FALSE)</f>
        <v>LH</v>
      </c>
    </row>
    <row r="1351" spans="2:13" x14ac:dyDescent="0.25">
      <c r="B1351" s="31" t="s">
        <v>25743</v>
      </c>
      <c r="C1351" s="20"/>
      <c r="D1351" s="25" t="s">
        <v>2604</v>
      </c>
      <c r="E1351" s="25"/>
      <c r="F1351" s="9" t="str">
        <f>HYPERLINK("https://www.ebi.ac.uk/ols/ontologies/uberon/terms?iri=http://purl.obolibrary.org/obo/UBERON_0002430","lateral hypothalamic area")</f>
        <v>lateral hypothalamic area</v>
      </c>
      <c r="G1351" s="9" t="s">
        <v>2603</v>
      </c>
      <c r="H1351" s="9" t="s">
        <v>20139</v>
      </c>
      <c r="I1351" s="9" t="s">
        <v>2604</v>
      </c>
      <c r="J1351" s="9" t="s">
        <v>2605</v>
      </c>
      <c r="K1351" s="3" t="s">
        <v>15176</v>
      </c>
      <c r="L1351" s="13">
        <v>194</v>
      </c>
      <c r="M1351" t="str">
        <f>VLOOKUP(L1351,[1]Mouse_ARA!$B$2:$C$1328,2,FALSE)</f>
        <v>LHA</v>
      </c>
    </row>
    <row r="1352" spans="2:13" x14ac:dyDescent="0.25">
      <c r="B1352" s="31" t="s">
        <v>25743</v>
      </c>
      <c r="C1352" s="20"/>
      <c r="D1352" s="25" t="s">
        <v>2607</v>
      </c>
      <c r="E1352" s="25"/>
      <c r="F1352" s="9" t="str">
        <f>HYPERLINK("https://www.ebi.ac.uk/ols/ontologies/uberon/terms?iri=http://purl.obolibrary.org/obo/UBERON_0002953","lateral lemniscus")</f>
        <v>lateral lemniscus</v>
      </c>
      <c r="G1352" s="9" t="s">
        <v>2606</v>
      </c>
      <c r="H1352" s="9" t="s">
        <v>18469</v>
      </c>
      <c r="I1352" s="9" t="s">
        <v>2607</v>
      </c>
      <c r="J1352" s="9" t="s">
        <v>2608</v>
      </c>
      <c r="K1352" s="4" t="s">
        <v>15175</v>
      </c>
      <c r="L1352" s="13">
        <v>12760</v>
      </c>
      <c r="M1352" t="str">
        <f>VLOOKUP(L1352,[1]Human_BrainSpan!$B$2:$C$4000,2,FALSE)</f>
        <v>ll</v>
      </c>
    </row>
    <row r="1353" spans="2:13" x14ac:dyDescent="0.25">
      <c r="B1353" s="31" t="s">
        <v>25743</v>
      </c>
      <c r="C1353" s="20"/>
      <c r="D1353" s="25" t="s">
        <v>2607</v>
      </c>
      <c r="E1353" s="25"/>
      <c r="F1353" s="9" t="str">
        <f>HYPERLINK("https://www.ebi.ac.uk/ols/ontologies/uberon/terms?iri=http://purl.obolibrary.org/obo/UBERON_0002953","lateral lemniscus")</f>
        <v>lateral lemniscus</v>
      </c>
      <c r="G1353" s="9" t="s">
        <v>2606</v>
      </c>
      <c r="H1353" s="9" t="s">
        <v>18469</v>
      </c>
      <c r="I1353" s="9" t="s">
        <v>2607</v>
      </c>
      <c r="J1353" s="9" t="s">
        <v>2609</v>
      </c>
      <c r="K1353" s="5" t="s">
        <v>15173</v>
      </c>
      <c r="L1353" s="13">
        <v>17774</v>
      </c>
      <c r="M1353" t="str">
        <f>VLOOKUP(L1353,[1]DevMouse!$B$2:$C$2693,2,FALSE)</f>
        <v>ll</v>
      </c>
    </row>
    <row r="1354" spans="2:13" x14ac:dyDescent="0.25">
      <c r="B1354" s="31" t="s">
        <v>25743</v>
      </c>
      <c r="C1354" s="20"/>
      <c r="D1354" s="25" t="s">
        <v>2607</v>
      </c>
      <c r="E1354" s="25"/>
      <c r="F1354" s="9" t="str">
        <f>HYPERLINK("https://www.ebi.ac.uk/ols/ontologies/uberon/terms?iri=http://purl.obolibrary.org/obo/UBERON_0002953","lateral lemniscus")</f>
        <v>lateral lemniscus</v>
      </c>
      <c r="G1354" s="9" t="s">
        <v>2606</v>
      </c>
      <c r="H1354" s="9" t="s">
        <v>18469</v>
      </c>
      <c r="I1354" s="9" t="s">
        <v>2610</v>
      </c>
      <c r="J1354" s="9" t="s">
        <v>2611</v>
      </c>
      <c r="K1354" s="7" t="s">
        <v>15171</v>
      </c>
      <c r="L1354" s="13">
        <v>12958</v>
      </c>
      <c r="M1354" t="str">
        <f>VLOOKUP(L1354,[1]HBA!$B$2:$C$4000,2,FALSE)</f>
        <v>ll</v>
      </c>
    </row>
    <row r="1355" spans="2:13" x14ac:dyDescent="0.25">
      <c r="B1355" s="31" t="s">
        <v>25743</v>
      </c>
      <c r="C1355" s="20"/>
      <c r="D1355" s="25" t="s">
        <v>2607</v>
      </c>
      <c r="E1355" s="25"/>
      <c r="F1355" s="9" t="str">
        <f>HYPERLINK("https://www.ebi.ac.uk/ols/ontologies/uberon/terms?iri=http://purl.obolibrary.org/obo/UBERON_0002953","lateral lemniscus")</f>
        <v>lateral lemniscus</v>
      </c>
      <c r="G1355" s="9" t="s">
        <v>2606</v>
      </c>
      <c r="H1355" s="9" t="s">
        <v>18469</v>
      </c>
      <c r="I1355" s="9" t="s">
        <v>2607</v>
      </c>
      <c r="J1355" s="9" t="s">
        <v>2612</v>
      </c>
      <c r="K1355" s="3" t="s">
        <v>15176</v>
      </c>
      <c r="L1355" s="13">
        <v>658</v>
      </c>
      <c r="M1355" t="str">
        <f>VLOOKUP(L1355,[1]Mouse_ARA!$B$2:$C$1328,2,FALSE)</f>
        <v>ll</v>
      </c>
    </row>
    <row r="1356" spans="2:13" x14ac:dyDescent="0.25">
      <c r="B1356" s="31" t="s">
        <v>25743</v>
      </c>
      <c r="C1356" s="20"/>
      <c r="D1356" s="25" t="s">
        <v>2614</v>
      </c>
      <c r="E1356" s="25"/>
      <c r="F1356" s="9" t="str">
        <f>HYPERLINK("https://www.ebi.ac.uk/ols/ontologies/uberon/terms?iri=http://purl.obolibrary.org/obo/UBERON_0019283","lateral longitudinal stria")</f>
        <v>lateral longitudinal stria</v>
      </c>
      <c r="G1356" s="9" t="s">
        <v>2613</v>
      </c>
      <c r="H1356" s="9" t="s">
        <v>23609</v>
      </c>
      <c r="I1356" s="9" t="s">
        <v>2614</v>
      </c>
      <c r="J1356" s="9" t="s">
        <v>2615</v>
      </c>
      <c r="K1356" s="4" t="s">
        <v>15175</v>
      </c>
      <c r="L1356" s="13">
        <v>12064</v>
      </c>
      <c r="M1356" t="str">
        <f>VLOOKUP(L1356,[1]Human_BrainSpan!$B$2:$C$4000,2,FALSE)</f>
        <v>lls</v>
      </c>
    </row>
    <row r="1357" spans="2:13" x14ac:dyDescent="0.25">
      <c r="B1357" s="31" t="s">
        <v>25743</v>
      </c>
      <c r="C1357" s="20"/>
      <c r="D1357" s="25" t="s">
        <v>2614</v>
      </c>
      <c r="E1357" s="25"/>
      <c r="F1357" s="9" t="str">
        <f>HYPERLINK("https://www.ebi.ac.uk/ols/ontologies/uberon/terms?iri=http://purl.obolibrary.org/obo/UBERON_0019283","lateral longitudinal stria")</f>
        <v>lateral longitudinal stria</v>
      </c>
      <c r="G1357" s="9" t="s">
        <v>2613</v>
      </c>
      <c r="H1357" s="9" t="s">
        <v>23609</v>
      </c>
      <c r="I1357" s="9" t="s">
        <v>2614</v>
      </c>
      <c r="J1357" s="9" t="s">
        <v>2616</v>
      </c>
      <c r="K1357" s="7" t="s">
        <v>15171</v>
      </c>
      <c r="L1357" s="13">
        <v>265505146</v>
      </c>
      <c r="M1357" t="str">
        <f>VLOOKUP(L1357,[1]HBA!$B$2:$C$4000,2,FALSE)</f>
        <v>lls</v>
      </c>
    </row>
    <row r="1358" spans="2:13" x14ac:dyDescent="0.25">
      <c r="B1358" s="31" t="s">
        <v>25743</v>
      </c>
      <c r="C1358" s="20"/>
      <c r="D1358" s="25" t="s">
        <v>662</v>
      </c>
      <c r="E1358" s="25"/>
      <c r="F1358" s="9" t="str">
        <f>HYPERLINK("https://www.ebi.ac.uk/ols/ontologies/uberon/terms?iri=http://purl.obolibrary.org/obo/UBERON_0001938","lateral mammillary nucleus")</f>
        <v>lateral mammillary nucleus</v>
      </c>
      <c r="G1358" s="9" t="s">
        <v>2617</v>
      </c>
      <c r="H1358" s="9" t="s">
        <v>15511</v>
      </c>
      <c r="I1358" s="9" t="s">
        <v>662</v>
      </c>
      <c r="J1358" s="9" t="s">
        <v>2618</v>
      </c>
      <c r="K1358" s="4" t="s">
        <v>15175</v>
      </c>
      <c r="L1358" s="13">
        <v>10502</v>
      </c>
      <c r="M1358" t="str">
        <f>VLOOKUP(L1358,[1]Human_BrainSpan!$B$2:$C$4000,2,FALSE)</f>
        <v>LM</v>
      </c>
    </row>
    <row r="1359" spans="2:13" x14ac:dyDescent="0.25">
      <c r="B1359" s="31" t="s">
        <v>25743</v>
      </c>
      <c r="C1359" s="20"/>
      <c r="D1359" s="25" t="s">
        <v>662</v>
      </c>
      <c r="E1359" s="25"/>
      <c r="F1359" s="9" t="str">
        <f>HYPERLINK("https://www.ebi.ac.uk/ols/ontologies/uberon/terms?iri=http://purl.obolibrary.org/obo/UBERON_0001938","lateral mammillary nucleus")</f>
        <v>lateral mammillary nucleus</v>
      </c>
      <c r="G1359" s="9" t="s">
        <v>2617</v>
      </c>
      <c r="H1359" s="9" t="s">
        <v>15511</v>
      </c>
      <c r="I1359" s="9" t="s">
        <v>662</v>
      </c>
      <c r="J1359" s="9" t="s">
        <v>663</v>
      </c>
      <c r="K1359" s="5" t="s">
        <v>15173</v>
      </c>
      <c r="L1359" s="13">
        <v>15734</v>
      </c>
      <c r="M1359" t="str">
        <f>VLOOKUP(L1359,[1]DevMouse!$B$2:$C$2693,2,FALSE)</f>
        <v>LM</v>
      </c>
    </row>
    <row r="1360" spans="2:13" x14ac:dyDescent="0.25">
      <c r="B1360" s="31" t="s">
        <v>25743</v>
      </c>
      <c r="C1360" s="20"/>
      <c r="D1360" s="25" t="s">
        <v>662</v>
      </c>
      <c r="E1360" s="25"/>
      <c r="F1360" s="9" t="str">
        <f>HYPERLINK("https://www.ebi.ac.uk/ols/ontologies/uberon/terms?iri=http://purl.obolibrary.org/obo/UBERON_0001938","lateral mammillary nucleus")</f>
        <v>lateral mammillary nucleus</v>
      </c>
      <c r="G1360" s="9" t="s">
        <v>2617</v>
      </c>
      <c r="H1360" s="9" t="s">
        <v>15511</v>
      </c>
      <c r="I1360" s="9" t="s">
        <v>2619</v>
      </c>
      <c r="J1360" s="9" t="s">
        <v>2620</v>
      </c>
      <c r="K1360" s="7" t="s">
        <v>15171</v>
      </c>
      <c r="L1360" s="13">
        <v>4675</v>
      </c>
      <c r="M1360" t="str">
        <f>VLOOKUP(L1360,[1]HBA!$B$2:$C$4000,2,FALSE)</f>
        <v>LM</v>
      </c>
    </row>
    <row r="1361" spans="2:13" x14ac:dyDescent="0.25">
      <c r="B1361" s="31" t="s">
        <v>25743</v>
      </c>
      <c r="C1361" s="20"/>
      <c r="D1361" s="25" t="s">
        <v>662</v>
      </c>
      <c r="E1361" s="25"/>
      <c r="F1361" s="9" t="str">
        <f>HYPERLINK("https://www.ebi.ac.uk/ols/ontologies/uberon/terms?iri=http://purl.obolibrary.org/obo/UBERON_0001938","lateral mammillary nucleus")</f>
        <v>lateral mammillary nucleus</v>
      </c>
      <c r="G1361" s="9" t="s">
        <v>2617</v>
      </c>
      <c r="H1361" s="9" t="s">
        <v>15511</v>
      </c>
      <c r="I1361" s="9" t="s">
        <v>662</v>
      </c>
      <c r="J1361" s="9" t="s">
        <v>764</v>
      </c>
      <c r="K1361" s="3" t="s">
        <v>15176</v>
      </c>
      <c r="L1361" s="13">
        <v>210</v>
      </c>
      <c r="M1361" t="str">
        <f>VLOOKUP(L1361,[1]Mouse_ARA!$B$2:$C$1328,2,FALSE)</f>
        <v>LM</v>
      </c>
    </row>
    <row r="1362" spans="2:13" x14ac:dyDescent="0.25">
      <c r="B1362" s="31" t="s">
        <v>25743</v>
      </c>
      <c r="C1362" s="20"/>
      <c r="D1362" s="25" t="s">
        <v>25990</v>
      </c>
      <c r="E1362" s="25"/>
      <c r="F1362" s="9" t="str">
        <f>HYPERLINK("https://www.ebi.ac.uk/ols/ontologies/uberon/terms?iri=http://purl.obolibrary.org/obo/UBERON_0002765","lateral medullary lamina of globus pallidus")</f>
        <v>lateral medullary lamina of globus pallidus</v>
      </c>
      <c r="G1362" s="9" t="s">
        <v>2621</v>
      </c>
      <c r="H1362" s="9" t="s">
        <v>23574</v>
      </c>
      <c r="I1362" s="9" t="s">
        <v>2622</v>
      </c>
      <c r="J1362" s="9" t="s">
        <v>2623</v>
      </c>
      <c r="K1362" s="4" t="s">
        <v>15175</v>
      </c>
      <c r="L1362" s="13">
        <v>12037</v>
      </c>
      <c r="M1362" t="str">
        <f>VLOOKUP(L1362,[1]Human_BrainSpan!$B$2:$C$4000,2,FALSE)</f>
        <v>emlgp</v>
      </c>
    </row>
    <row r="1363" spans="2:13" x14ac:dyDescent="0.25">
      <c r="B1363" s="31" t="s">
        <v>25743</v>
      </c>
      <c r="C1363" s="20"/>
      <c r="D1363" s="25" t="s">
        <v>25990</v>
      </c>
      <c r="E1363" s="25"/>
      <c r="F1363" s="9" t="str">
        <f>HYPERLINK("https://www.ebi.ac.uk/ols/ontologies/uberon/terms?iri=http://purl.obolibrary.org/obo/UBERON_0002765","lateral medullary lamina of globus pallidus")</f>
        <v>lateral medullary lamina of globus pallidus</v>
      </c>
      <c r="G1363" s="9" t="s">
        <v>2621</v>
      </c>
      <c r="H1363" s="9" t="s">
        <v>23574</v>
      </c>
      <c r="I1363" s="9" t="s">
        <v>2622</v>
      </c>
      <c r="J1363" s="9" t="s">
        <v>2624</v>
      </c>
      <c r="K1363" s="7" t="s">
        <v>15171</v>
      </c>
      <c r="L1363" s="13">
        <v>265505086</v>
      </c>
      <c r="M1363" t="str">
        <f>VLOOKUP(L1363,[1]HBA!$B$2:$C$4000,2,FALSE)</f>
        <v>emlgp</v>
      </c>
    </row>
    <row r="1364" spans="2:13" x14ac:dyDescent="0.25">
      <c r="B1364" s="31" t="s">
        <v>25743</v>
      </c>
      <c r="C1364" s="20"/>
      <c r="D1364" s="25" t="s">
        <v>25991</v>
      </c>
      <c r="E1364" s="25"/>
      <c r="F1364" s="9" t="str">
        <f>HYPERLINK("https://www.ebi.ac.uk/ols/ontologies/uberon/terms?iri=http://purl.obolibrary.org/obo/UBERON_0009775","lateral medullary reticular complex")</f>
        <v>lateral medullary reticular complex</v>
      </c>
      <c r="G1364" s="9" t="s">
        <v>2625</v>
      </c>
      <c r="H1364" s="9" t="s">
        <v>24459</v>
      </c>
      <c r="I1364" s="9" t="s">
        <v>2626</v>
      </c>
      <c r="J1364" s="9" t="s">
        <v>2627</v>
      </c>
      <c r="K1364" s="7" t="s">
        <v>15171</v>
      </c>
      <c r="L1364" s="13">
        <v>9613</v>
      </c>
      <c r="M1364" t="str">
        <f>VLOOKUP(L1364,[1]HBA!$B$2:$C$4000,2,FALSE)</f>
        <v>LMRt</v>
      </c>
    </row>
    <row r="1365" spans="2:13" x14ac:dyDescent="0.25">
      <c r="B1365" s="31" t="s">
        <v>25743</v>
      </c>
      <c r="C1365" s="25"/>
      <c r="D1365" s="25" t="s">
        <v>25992</v>
      </c>
      <c r="E1365" s="25"/>
      <c r="F1365" s="9" t="str">
        <f>HYPERLINK("https://www.ebi.ac.uk/ols/ontologies/uberon/terms?iri=http://purl.obolibrary.org/obo/UBERON_0002736","lateral nuclear group of thalamus")</f>
        <v>lateral nuclear group of thalamus</v>
      </c>
      <c r="G1365" s="9" t="s">
        <v>2628</v>
      </c>
      <c r="H1365" s="9" t="s">
        <v>25105</v>
      </c>
      <c r="I1365" s="9" t="s">
        <v>2629</v>
      </c>
      <c r="J1365" s="9" t="s">
        <v>2630</v>
      </c>
      <c r="K1365" s="7" t="s">
        <v>15171</v>
      </c>
      <c r="L1365" s="13">
        <v>12923</v>
      </c>
      <c r="M1365" t="str">
        <f>VLOOKUP(L1365,[1]HBA!$B$2:$C$4000,2,FALSE)</f>
        <v>DTL</v>
      </c>
    </row>
    <row r="1366" spans="2:13" x14ac:dyDescent="0.25">
      <c r="B1366" s="31" t="s">
        <v>25743</v>
      </c>
      <c r="C1366" s="20"/>
      <c r="D1366" s="25" t="s">
        <v>25992</v>
      </c>
      <c r="E1366" s="25"/>
      <c r="F1366" s="9" t="str">
        <f>HYPERLINK("https://www.ebi.ac.uk/ols/ontologies/uberon/terms?iri=http://purl.obolibrary.org/obo/UBERON_0002736","lateral nuclear group of thalamus")</f>
        <v>lateral nuclear group of thalamus</v>
      </c>
      <c r="G1366" s="9" t="s">
        <v>2628</v>
      </c>
      <c r="H1366" s="9" t="s">
        <v>19921</v>
      </c>
      <c r="I1366" s="9" t="s">
        <v>747</v>
      </c>
      <c r="J1366" s="9" t="s">
        <v>748</v>
      </c>
      <c r="K1366" s="3" t="s">
        <v>15176</v>
      </c>
      <c r="L1366" s="13">
        <v>138</v>
      </c>
      <c r="M1366" t="str">
        <f>VLOOKUP(L1366,[1]Mouse_ARA!$B$2:$C$1328,2,FALSE)</f>
        <v>LAT</v>
      </c>
    </row>
    <row r="1367" spans="2:13" x14ac:dyDescent="0.25">
      <c r="B1367" s="31" t="s">
        <v>25743</v>
      </c>
      <c r="C1367" s="20"/>
      <c r="D1367" s="25" t="s">
        <v>25993</v>
      </c>
      <c r="E1367" s="25"/>
      <c r="F1367" s="9" t="str">
        <f>HYPERLINK("https://www.ebi.ac.uk/ols/ontologies/uberon/terms?iri=http://purl.obolibrary.org/obo/UBERON_0034894","lateral nucleus of stria terminalis")</f>
        <v>lateral nucleus of stria terminalis</v>
      </c>
      <c r="G1367" s="9" t="s">
        <v>2631</v>
      </c>
      <c r="H1367" s="9" t="s">
        <v>23223</v>
      </c>
      <c r="I1367" s="9" t="s">
        <v>2632</v>
      </c>
      <c r="J1367" s="9" t="s">
        <v>2633</v>
      </c>
      <c r="K1367" s="4" t="s">
        <v>15175</v>
      </c>
      <c r="L1367" s="13">
        <v>10386</v>
      </c>
      <c r="M1367" t="str">
        <f>VLOOKUP(L1367,[1]Human_BrainSpan!$B$2:$C$4000,2,FALSE)</f>
        <v>BNSTl</v>
      </c>
    </row>
    <row r="1368" spans="2:13" x14ac:dyDescent="0.25">
      <c r="B1368" s="31" t="s">
        <v>25743</v>
      </c>
      <c r="C1368" s="20"/>
      <c r="D1368" s="25" t="s">
        <v>2635</v>
      </c>
      <c r="E1368" s="25"/>
      <c r="F1368" s="9" t="str">
        <f>HYPERLINK("https://www.ebi.ac.uk/ols/ontologies/uberon/terms?iri=http://purl.obolibrary.org/obo/UBERON_0016843","lateral nucleus of trapezoid body")</f>
        <v>lateral nucleus of trapezoid body</v>
      </c>
      <c r="G1368" s="9" t="s">
        <v>2634</v>
      </c>
      <c r="H1368" s="9" t="s">
        <v>24308</v>
      </c>
      <c r="I1368" s="9" t="s">
        <v>2635</v>
      </c>
      <c r="J1368" s="9" t="s">
        <v>2636</v>
      </c>
      <c r="K1368" s="4" t="s">
        <v>15175</v>
      </c>
      <c r="L1368" s="13">
        <v>12459</v>
      </c>
      <c r="M1368" t="str">
        <f>VLOOKUP(L1368,[1]Human_BrainSpan!$B$2:$C$4000,2,FALSE)</f>
        <v>TrZl</v>
      </c>
    </row>
    <row r="1369" spans="2:13" x14ac:dyDescent="0.25">
      <c r="B1369" s="31" t="s">
        <v>25743</v>
      </c>
      <c r="C1369" s="20"/>
      <c r="D1369" s="25" t="s">
        <v>2635</v>
      </c>
      <c r="E1369" s="25"/>
      <c r="F1369" s="9" t="str">
        <f>HYPERLINK("https://www.ebi.ac.uk/ols/ontologies/uberon/terms?iri=http://purl.obolibrary.org/obo/UBERON_0016843","lateral nucleus of trapezoid body")</f>
        <v>lateral nucleus of trapezoid body</v>
      </c>
      <c r="G1369" s="9" t="s">
        <v>2634</v>
      </c>
      <c r="H1369" s="9" t="s">
        <v>17818</v>
      </c>
      <c r="I1369" s="9" t="s">
        <v>2637</v>
      </c>
      <c r="J1369" s="9" t="s">
        <v>2638</v>
      </c>
      <c r="K1369" s="5" t="s">
        <v>15173</v>
      </c>
      <c r="L1369" s="13">
        <v>17274</v>
      </c>
      <c r="M1369" t="str">
        <f>VLOOKUP(L1369,[1]DevMouse!$B$2:$C$2693,2,FALSE)</f>
        <v>LTz</v>
      </c>
    </row>
    <row r="1370" spans="2:13" x14ac:dyDescent="0.25">
      <c r="B1370" s="31" t="s">
        <v>25743</v>
      </c>
      <c r="C1370" s="20"/>
      <c r="D1370" s="25" t="s">
        <v>2640</v>
      </c>
      <c r="E1370" s="25"/>
      <c r="F1370" s="9" t="str">
        <f>HYPERLINK("https://www.ebi.ac.uk/ols/ontologies/uberon/terms?iri=http://purl.obolibrary.org/obo/UBERON_0002904","lateral occipital sulcus")</f>
        <v>lateral occipital sulcus</v>
      </c>
      <c r="G1370" s="9" t="s">
        <v>2639</v>
      </c>
      <c r="H1370" s="9" t="s">
        <v>25537</v>
      </c>
      <c r="I1370" s="9" t="s">
        <v>2640</v>
      </c>
      <c r="J1370" s="9" t="s">
        <v>2641</v>
      </c>
      <c r="K1370" s="7" t="s">
        <v>15171</v>
      </c>
      <c r="L1370" s="13">
        <v>9389</v>
      </c>
      <c r="M1370" t="str">
        <f>VLOOKUP(L1370,[1]HBA!$B$2:$C$4000,2,FALSE)</f>
        <v>locs</v>
      </c>
    </row>
    <row r="1371" spans="2:13" x14ac:dyDescent="0.25">
      <c r="B1371" s="31" t="s">
        <v>25743</v>
      </c>
      <c r="C1371" s="20"/>
      <c r="D1371" s="25" t="s">
        <v>2643</v>
      </c>
      <c r="E1371" s="25"/>
      <c r="F1371" s="9" t="str">
        <f>HYPERLINK("https://www.ebi.ac.uk/ols/ontologies/uberon/terms?iri=http://purl.obolibrary.org/obo/UBERON_0001888","lateral olfactory stria")</f>
        <v>lateral olfactory stria</v>
      </c>
      <c r="G1371" s="9" t="s">
        <v>2642</v>
      </c>
      <c r="H1371" s="9" t="s">
        <v>23624</v>
      </c>
      <c r="I1371" s="9" t="s">
        <v>2643</v>
      </c>
      <c r="J1371" s="9" t="s">
        <v>2644</v>
      </c>
      <c r="K1371" s="4" t="s">
        <v>15175</v>
      </c>
      <c r="L1371" s="13">
        <v>12075</v>
      </c>
      <c r="M1371" t="str">
        <f>VLOOKUP(L1371,[1]Human_BrainSpan!$B$2:$C$4000,2,FALSE)</f>
        <v>lost</v>
      </c>
    </row>
    <row r="1372" spans="2:13" x14ac:dyDescent="0.25">
      <c r="B1372" s="31" t="s">
        <v>25743</v>
      </c>
      <c r="C1372" s="25"/>
      <c r="D1372" s="25" t="s">
        <v>2643</v>
      </c>
      <c r="E1372" s="20"/>
      <c r="F1372" s="9" t="str">
        <f>HYPERLINK("https://www.ebi.ac.uk/ols/ontologies/uberon/terms?iri=http://purl.obolibrary.org/obo/UBERON_0001888","lateral olfactory stria")</f>
        <v>lateral olfactory stria</v>
      </c>
      <c r="G1372" s="9" t="s">
        <v>2642</v>
      </c>
      <c r="H1372" s="9" t="s">
        <v>18468</v>
      </c>
      <c r="I1372" s="9" t="s">
        <v>2645</v>
      </c>
      <c r="J1372" s="9" t="s">
        <v>2646</v>
      </c>
      <c r="K1372" s="5" t="s">
        <v>15173</v>
      </c>
      <c r="L1372" s="13">
        <v>17773</v>
      </c>
      <c r="M1372" t="str">
        <f>VLOOKUP(L1372,[1]DevMouse!$B$2:$C$2693,2,FALSE)</f>
        <v>lot</v>
      </c>
    </row>
    <row r="1373" spans="2:13" x14ac:dyDescent="0.25">
      <c r="B1373" s="31" t="s">
        <v>25743</v>
      </c>
      <c r="C1373" s="25"/>
      <c r="D1373" s="25" t="s">
        <v>2643</v>
      </c>
      <c r="E1373" s="20"/>
      <c r="F1373" s="9" t="str">
        <f>HYPERLINK("https://www.ebi.ac.uk/ols/ontologies/uberon/terms?iri=http://purl.obolibrary.org/obo/UBERON_0001888","lateral olfactory stria")</f>
        <v>lateral olfactory stria</v>
      </c>
      <c r="G1373" s="9" t="s">
        <v>2642</v>
      </c>
      <c r="H1373" s="9" t="s">
        <v>18468</v>
      </c>
      <c r="I1373" s="9" t="s">
        <v>2647</v>
      </c>
      <c r="J1373" s="9" t="s">
        <v>2648</v>
      </c>
      <c r="K1373" s="7" t="s">
        <v>15171</v>
      </c>
      <c r="L1373" s="13">
        <v>265505514</v>
      </c>
      <c r="M1373" t="str">
        <f>VLOOKUP(L1373,[1]HBA!$B$2:$C$4000,2,FALSE)</f>
        <v>lot</v>
      </c>
    </row>
    <row r="1374" spans="2:13" x14ac:dyDescent="0.25">
      <c r="B1374" s="31" t="s">
        <v>25743</v>
      </c>
      <c r="C1374" s="25"/>
      <c r="D1374" s="25" t="s">
        <v>2643</v>
      </c>
      <c r="E1374" s="20"/>
      <c r="F1374" s="9" t="str">
        <f>HYPERLINK("https://www.ebi.ac.uk/ols/ontologies/uberon/terms?iri=http://purl.obolibrary.org/obo/UBERON_0001888","lateral olfactory stria")</f>
        <v>lateral olfactory stria</v>
      </c>
      <c r="G1374" s="9" t="s">
        <v>2642</v>
      </c>
      <c r="H1374" s="9" t="s">
        <v>18468</v>
      </c>
      <c r="I1374" s="9" t="s">
        <v>2649</v>
      </c>
      <c r="J1374" s="9" t="s">
        <v>2650</v>
      </c>
      <c r="K1374" s="3" t="s">
        <v>15176</v>
      </c>
      <c r="L1374" s="13">
        <v>665</v>
      </c>
      <c r="M1374" t="str">
        <f>VLOOKUP(L1374,[1]Mouse_ARA!$B$2:$C$1328,2,FALSE)</f>
        <v>lot</v>
      </c>
    </row>
    <row r="1375" spans="2:13" x14ac:dyDescent="0.25">
      <c r="B1375" s="31" t="s">
        <v>25743</v>
      </c>
      <c r="C1375" s="20"/>
      <c r="D1375" s="25" t="s">
        <v>2652</v>
      </c>
      <c r="E1375" s="25"/>
      <c r="F1375" s="9" t="str">
        <f>HYPERLINK("https://www.ebi.ac.uk/ols/ontologies/uberon/terms?iri=http://purl.obolibrary.org/obo/UBERON_0002564","lateral orbital gyrus")</f>
        <v>lateral orbital gyrus</v>
      </c>
      <c r="G1375" s="9" t="s">
        <v>2651</v>
      </c>
      <c r="H1375" s="9" t="s">
        <v>23803</v>
      </c>
      <c r="I1375" s="9" t="s">
        <v>2652</v>
      </c>
      <c r="J1375" s="9" t="s">
        <v>2653</v>
      </c>
      <c r="K1375" s="4" t="s">
        <v>15175</v>
      </c>
      <c r="L1375" s="13">
        <v>12125</v>
      </c>
      <c r="M1375" t="str">
        <f>VLOOKUP(L1375,[1]Human_BrainSpan!$B$2:$C$4000,2,FALSE)</f>
        <v>LOrG</v>
      </c>
    </row>
    <row r="1376" spans="2:13" x14ac:dyDescent="0.25">
      <c r="B1376" s="31" t="s">
        <v>25743</v>
      </c>
      <c r="C1376" s="20"/>
      <c r="D1376" s="25" t="s">
        <v>2652</v>
      </c>
      <c r="E1376" s="25"/>
      <c r="F1376" s="9" t="str">
        <f>HYPERLINK("https://www.ebi.ac.uk/ols/ontologies/uberon/terms?iri=http://purl.obolibrary.org/obo/UBERON_0002564","lateral orbital gyrus")</f>
        <v>lateral orbital gyrus</v>
      </c>
      <c r="G1376" s="9" t="s">
        <v>2651</v>
      </c>
      <c r="H1376" s="9" t="s">
        <v>23803</v>
      </c>
      <c r="I1376" s="9" t="s">
        <v>2652</v>
      </c>
      <c r="J1376" s="9" t="s">
        <v>2654</v>
      </c>
      <c r="K1376" s="7" t="s">
        <v>15171</v>
      </c>
      <c r="L1376" s="13">
        <v>4059</v>
      </c>
      <c r="M1376" t="str">
        <f>VLOOKUP(L1376,[1]HBA!$B$2:$C$4000,2,FALSE)</f>
        <v>LOrG</v>
      </c>
    </row>
    <row r="1377" spans="2:13" x14ac:dyDescent="0.25">
      <c r="B1377" s="31" t="s">
        <v>25743</v>
      </c>
      <c r="C1377" s="20"/>
      <c r="D1377" s="25" t="s">
        <v>2656</v>
      </c>
      <c r="E1377" s="25"/>
      <c r="F1377" s="9" t="str">
        <f>HYPERLINK("https://www.ebi.ac.uk/ols/ontologies/uberon/terms?iri=http://purl.obolibrary.org/obo/UBERON_0014741","lateral pallium")</f>
        <v>lateral pallium</v>
      </c>
      <c r="G1377" s="9" t="s">
        <v>2655</v>
      </c>
      <c r="H1377" s="9" t="s">
        <v>15746</v>
      </c>
      <c r="I1377" s="9" t="s">
        <v>2656</v>
      </c>
      <c r="J1377" s="9" t="s">
        <v>2657</v>
      </c>
      <c r="K1377" s="5" t="s">
        <v>15173</v>
      </c>
      <c r="L1377" s="13">
        <v>15956</v>
      </c>
      <c r="M1377" t="str">
        <f>VLOOKUP(L1377,[1]DevMouse!$B$2:$C$2693,2,FALSE)</f>
        <v>LPall</v>
      </c>
    </row>
    <row r="1378" spans="2:13" x14ac:dyDescent="0.25">
      <c r="B1378" s="31" t="s">
        <v>25743</v>
      </c>
      <c r="C1378" s="20"/>
      <c r="D1378" s="25" t="s">
        <v>2659</v>
      </c>
      <c r="E1378" s="25"/>
      <c r="F1378" s="9" t="str">
        <f>HYPERLINK("https://www.ebi.ac.uk/ols/ontologies/uberon/terms?iri=http://purl.obolibrary.org/obo/UBERON_0003007","lateral parabrachial nucleus")</f>
        <v>lateral parabrachial nucleus</v>
      </c>
      <c r="G1378" s="9" t="s">
        <v>2658</v>
      </c>
      <c r="H1378" s="9" t="s">
        <v>17283</v>
      </c>
      <c r="I1378" s="9" t="s">
        <v>2659</v>
      </c>
      <c r="J1378" s="9" t="s">
        <v>2660</v>
      </c>
      <c r="K1378" s="4" t="s">
        <v>15175</v>
      </c>
      <c r="L1378" s="13">
        <v>12482</v>
      </c>
      <c r="M1378" t="str">
        <f>VLOOKUP(L1378,[1]Human_BrainSpan!$B$2:$C$4000,2,FALSE)</f>
        <v>LPB</v>
      </c>
    </row>
    <row r="1379" spans="2:13" x14ac:dyDescent="0.25">
      <c r="B1379" s="31" t="s">
        <v>25743</v>
      </c>
      <c r="C1379" s="20"/>
      <c r="D1379" s="25" t="s">
        <v>2659</v>
      </c>
      <c r="E1379" s="25"/>
      <c r="F1379" s="9" t="str">
        <f>HYPERLINK("https://www.ebi.ac.uk/ols/ontologies/uberon/terms?iri=http://purl.obolibrary.org/obo/UBERON_0003007","lateral parabrachial nucleus")</f>
        <v>lateral parabrachial nucleus</v>
      </c>
      <c r="G1379" s="9" t="s">
        <v>2658</v>
      </c>
      <c r="H1379" s="9" t="s">
        <v>17283</v>
      </c>
      <c r="I1379" s="9" t="s">
        <v>2659</v>
      </c>
      <c r="J1379" s="9" t="s">
        <v>2661</v>
      </c>
      <c r="K1379" s="5" t="s">
        <v>15173</v>
      </c>
      <c r="L1379" s="13">
        <v>16852</v>
      </c>
      <c r="M1379" t="str">
        <f>VLOOKUP(L1379,[1]DevMouse!$B$2:$C$2693,2,FALSE)</f>
        <v>LPB</v>
      </c>
    </row>
    <row r="1380" spans="2:13" x14ac:dyDescent="0.25">
      <c r="B1380" s="31" t="s">
        <v>25743</v>
      </c>
      <c r="C1380" s="20"/>
      <c r="D1380" s="25" t="s">
        <v>2659</v>
      </c>
      <c r="E1380" s="25"/>
      <c r="F1380" s="9" t="str">
        <f>HYPERLINK("https://www.ebi.ac.uk/ols/ontologies/uberon/terms?iri=http://purl.obolibrary.org/obo/UBERON_0003007","lateral parabrachial nucleus")</f>
        <v>lateral parabrachial nucleus</v>
      </c>
      <c r="G1380" s="9" t="s">
        <v>2658</v>
      </c>
      <c r="H1380" s="9" t="s">
        <v>17283</v>
      </c>
      <c r="I1380" s="9" t="s">
        <v>2659</v>
      </c>
      <c r="J1380" s="9" t="s">
        <v>2662</v>
      </c>
      <c r="K1380" s="7" t="s">
        <v>15171</v>
      </c>
      <c r="L1380" s="13">
        <v>9145</v>
      </c>
      <c r="M1380" t="str">
        <f>VLOOKUP(L1380,[1]HBA!$B$2:$C$4000,2,FALSE)</f>
        <v>LPB</v>
      </c>
    </row>
    <row r="1381" spans="2:13" x14ac:dyDescent="0.25">
      <c r="B1381" s="31" t="s">
        <v>25743</v>
      </c>
      <c r="C1381" s="20"/>
      <c r="D1381" s="25" t="s">
        <v>2659</v>
      </c>
      <c r="E1381" s="25"/>
      <c r="F1381" s="9" t="str">
        <f>HYPERLINK("https://www.ebi.ac.uk/ols/ontologies/uberon/terms?iri=http://purl.obolibrary.org/obo/UBERON_0003007","lateral parabrachial nucleus")</f>
        <v>lateral parabrachial nucleus</v>
      </c>
      <c r="G1381" s="9" t="s">
        <v>2658</v>
      </c>
      <c r="H1381" s="9" t="s">
        <v>20312</v>
      </c>
      <c r="I1381" s="9" t="s">
        <v>2663</v>
      </c>
      <c r="J1381" s="9" t="s">
        <v>2664</v>
      </c>
      <c r="K1381" s="3" t="s">
        <v>15176</v>
      </c>
      <c r="L1381" s="13">
        <v>881</v>
      </c>
      <c r="M1381" t="str">
        <f>VLOOKUP(L1381,[1]Mouse_ARA!$B$2:$C$1328,2,FALSE)</f>
        <v>PBl</v>
      </c>
    </row>
    <row r="1382" spans="2:13" x14ac:dyDescent="0.25">
      <c r="B1382" s="31" t="s">
        <v>25743</v>
      </c>
      <c r="C1382" s="20"/>
      <c r="D1382" s="25" t="s">
        <v>2666</v>
      </c>
      <c r="E1382" s="25"/>
      <c r="F1382" s="9" t="str">
        <f>HYPERLINK("https://www.ebi.ac.uk/ols/ontologies/uberon/terms?iri=http://purl.obolibrary.org/obo/UBERON_0016824","lateral paragigantocellular nucleus")</f>
        <v>lateral paragigantocellular nucleus</v>
      </c>
      <c r="G1382" s="9" t="s">
        <v>2665</v>
      </c>
      <c r="H1382" s="9" t="s">
        <v>24454</v>
      </c>
      <c r="I1382" s="9" t="s">
        <v>2666</v>
      </c>
      <c r="J1382" s="9" t="s">
        <v>2667</v>
      </c>
      <c r="K1382" s="4" t="s">
        <v>15175</v>
      </c>
      <c r="L1382" s="13">
        <v>12629</v>
      </c>
      <c r="M1382" t="str">
        <f>VLOOKUP(L1382,[1]Human_BrainSpan!$B$2:$C$4000,2,FALSE)</f>
        <v>LPGi</v>
      </c>
    </row>
    <row r="1383" spans="2:13" x14ac:dyDescent="0.25">
      <c r="B1383" s="31" t="s">
        <v>25743</v>
      </c>
      <c r="C1383" s="20"/>
      <c r="D1383" s="25" t="s">
        <v>2666</v>
      </c>
      <c r="E1383" s="25"/>
      <c r="F1383" s="9" t="str">
        <f>HYPERLINK("https://www.ebi.ac.uk/ols/ontologies/uberon/terms?iri=http://purl.obolibrary.org/obo/UBERON_0016824","lateral paragigantocellular nucleus")</f>
        <v>lateral paragigantocellular nucleus</v>
      </c>
      <c r="G1383" s="9" t="s">
        <v>2665</v>
      </c>
      <c r="H1383" s="9" t="s">
        <v>24454</v>
      </c>
      <c r="I1383" s="9" t="s">
        <v>2668</v>
      </c>
      <c r="J1383" s="9" t="s">
        <v>2669</v>
      </c>
      <c r="K1383" s="7" t="s">
        <v>15171</v>
      </c>
      <c r="L1383" s="13">
        <v>9601</v>
      </c>
      <c r="M1383" t="str">
        <f>VLOOKUP(L1383,[1]HBA!$B$2:$C$4000,2,FALSE)</f>
        <v>LPGi</v>
      </c>
    </row>
    <row r="1384" spans="2:13" x14ac:dyDescent="0.25">
      <c r="B1384" s="31" t="s">
        <v>25743</v>
      </c>
      <c r="C1384" s="20"/>
      <c r="D1384" s="25" t="s">
        <v>2666</v>
      </c>
      <c r="E1384" s="25"/>
      <c r="F1384" s="9" t="str">
        <f>HYPERLINK("https://www.ebi.ac.uk/ols/ontologies/uberon/terms?iri=http://purl.obolibrary.org/obo/UBERON_0016824","lateral paragigantocellular nucleus")</f>
        <v>lateral paragigantocellular nucleus</v>
      </c>
      <c r="G1384" s="9" t="s">
        <v>2665</v>
      </c>
      <c r="H1384" s="9" t="s">
        <v>20504</v>
      </c>
      <c r="I1384" s="9" t="s">
        <v>2670</v>
      </c>
      <c r="J1384" s="9" t="s">
        <v>2671</v>
      </c>
      <c r="K1384" s="3" t="s">
        <v>15176</v>
      </c>
      <c r="L1384" s="13">
        <v>978</v>
      </c>
      <c r="M1384" t="str">
        <f>VLOOKUP(L1384,[1]Mouse_ARA!$B$2:$C$1328,2,FALSE)</f>
        <v>PGRNl</v>
      </c>
    </row>
    <row r="1385" spans="2:13" x14ac:dyDescent="0.25">
      <c r="B1385" s="31" t="s">
        <v>25743</v>
      </c>
      <c r="C1385" s="20"/>
      <c r="D1385" s="25" t="s">
        <v>2673</v>
      </c>
      <c r="E1385" s="25"/>
      <c r="F1385" s="9" t="str">
        <f>HYPERLINK("https://www.ebi.ac.uk/ols/ontologies/uberon/terms?iri=http://purl.obolibrary.org/obo/UBERON_0002664","lateral part of medial mammillary nucleus")</f>
        <v>lateral part of medial mammillary nucleus</v>
      </c>
      <c r="G1385" s="9" t="s">
        <v>2672</v>
      </c>
      <c r="H1385" s="9" t="s">
        <v>15506</v>
      </c>
      <c r="I1385" s="9" t="s">
        <v>2673</v>
      </c>
      <c r="J1385" s="9" t="s">
        <v>2674</v>
      </c>
      <c r="K1385" s="4" t="s">
        <v>15175</v>
      </c>
      <c r="L1385" s="13">
        <v>10500</v>
      </c>
      <c r="M1385" t="str">
        <f>VLOOKUP(L1385,[1]Human_BrainSpan!$B$2:$C$4000,2,FALSE)</f>
        <v>MMl</v>
      </c>
    </row>
    <row r="1386" spans="2:13" x14ac:dyDescent="0.25">
      <c r="B1386" s="31" t="s">
        <v>25743</v>
      </c>
      <c r="C1386" s="20"/>
      <c r="D1386" s="25" t="s">
        <v>2673</v>
      </c>
      <c r="E1386" s="25"/>
      <c r="F1386" s="9" t="str">
        <f>HYPERLINK("https://www.ebi.ac.uk/ols/ontologies/uberon/terms?iri=http://purl.obolibrary.org/obo/UBERON_0002664","lateral part of medial mammillary nucleus")</f>
        <v>lateral part of medial mammillary nucleus</v>
      </c>
      <c r="G1386" s="9" t="s">
        <v>2672</v>
      </c>
      <c r="H1386" s="9" t="s">
        <v>15506</v>
      </c>
      <c r="I1386" s="9" t="s">
        <v>2675</v>
      </c>
      <c r="J1386" s="9" t="s">
        <v>2676</v>
      </c>
      <c r="K1386" s="5" t="s">
        <v>15173</v>
      </c>
      <c r="L1386" s="13">
        <v>15731</v>
      </c>
      <c r="M1386" t="str">
        <f>VLOOKUP(L1386,[1]DevMouse!$B$2:$C$2693,2,FALSE)</f>
        <v>MMl</v>
      </c>
    </row>
    <row r="1387" spans="2:13" x14ac:dyDescent="0.25">
      <c r="B1387" s="31" t="s">
        <v>25743</v>
      </c>
      <c r="C1387" s="20"/>
      <c r="D1387" s="25" t="s">
        <v>2673</v>
      </c>
      <c r="E1387" s="25"/>
      <c r="F1387" s="9" t="str">
        <f>HYPERLINK("https://www.ebi.ac.uk/ols/ontologies/uberon/terms?iri=http://purl.obolibrary.org/obo/UBERON_0002664","lateral part of medial mammillary nucleus")</f>
        <v>lateral part of medial mammillary nucleus</v>
      </c>
      <c r="G1387" s="9" t="s">
        <v>2672</v>
      </c>
      <c r="H1387" s="9" t="s">
        <v>15506</v>
      </c>
      <c r="I1387" s="9" t="s">
        <v>2677</v>
      </c>
      <c r="J1387" s="9" t="s">
        <v>2678</v>
      </c>
      <c r="K1387" s="7" t="s">
        <v>15171</v>
      </c>
      <c r="L1387" s="13">
        <v>4673</v>
      </c>
      <c r="M1387" t="str">
        <f>VLOOKUP(L1387,[1]HBA!$B$2:$C$4000,2,FALSE)</f>
        <v>MMl</v>
      </c>
    </row>
    <row r="1388" spans="2:13" x14ac:dyDescent="0.25">
      <c r="B1388" s="31" t="s">
        <v>25743</v>
      </c>
      <c r="C1388" s="20"/>
      <c r="D1388" s="25" t="s">
        <v>25994</v>
      </c>
      <c r="E1388" s="25"/>
      <c r="F1388" s="9" t="str">
        <f>HYPERLINK("https://www.ebi.ac.uk/ols/ontologies/uberon/terms?iri=http://purl.obolibrary.org/obo/UBERON_0035114","lateral part of mediodorsal nucleus of the thalamus")</f>
        <v>lateral part of mediodorsal nucleus of the thalamus</v>
      </c>
      <c r="G1388" s="9" t="s">
        <v>2679</v>
      </c>
      <c r="H1388" s="9" t="s">
        <v>19950</v>
      </c>
      <c r="I1388" s="9" t="s">
        <v>2680</v>
      </c>
      <c r="J1388" s="9" t="s">
        <v>2681</v>
      </c>
      <c r="K1388" s="3" t="s">
        <v>15176</v>
      </c>
      <c r="L1388" s="13">
        <v>626</v>
      </c>
      <c r="M1388" t="str">
        <f>VLOOKUP(L1388,[1]Mouse_ARA!$B$2:$C$1328,2,FALSE)</f>
        <v>MDl</v>
      </c>
    </row>
    <row r="1389" spans="2:13" x14ac:dyDescent="0.25">
      <c r="B1389" s="31" t="s">
        <v>25743</v>
      </c>
      <c r="C1389" s="20"/>
      <c r="D1389" s="25" t="s">
        <v>2683</v>
      </c>
      <c r="E1389" s="25"/>
      <c r="F1389" s="9" t="str">
        <f>HYPERLINK("https://www.ebi.ac.uk/ols/ontologies/uberon/terms?iri=http://purl.obolibrary.org/obo/UBERON_0002874","lateral pericuneate nucleus")</f>
        <v>lateral pericuneate nucleus</v>
      </c>
      <c r="G1389" s="9" t="s">
        <v>2682</v>
      </c>
      <c r="H1389" s="9" t="s">
        <v>24357</v>
      </c>
      <c r="I1389" s="9" t="s">
        <v>2683</v>
      </c>
      <c r="J1389" s="9" t="s">
        <v>2684</v>
      </c>
      <c r="K1389" s="4" t="s">
        <v>15175</v>
      </c>
      <c r="L1389" s="13">
        <v>12526</v>
      </c>
      <c r="M1389" t="str">
        <f>VLOOKUP(L1389,[1]Human_BrainSpan!$B$2:$C$4000,2,FALSE)</f>
        <v>LPCu</v>
      </c>
    </row>
    <row r="1390" spans="2:13" x14ac:dyDescent="0.25">
      <c r="B1390" s="31" t="s">
        <v>25743</v>
      </c>
      <c r="C1390" s="20"/>
      <c r="D1390" s="25" t="s">
        <v>2683</v>
      </c>
      <c r="E1390" s="25"/>
      <c r="F1390" s="9" t="str">
        <f>HYPERLINK("https://www.ebi.ac.uk/ols/ontologies/uberon/terms?iri=http://purl.obolibrary.org/obo/UBERON_0002874","lateral pericuneate nucleus")</f>
        <v>lateral pericuneate nucleus</v>
      </c>
      <c r="G1390" s="9" t="s">
        <v>2682</v>
      </c>
      <c r="H1390" s="9" t="s">
        <v>24357</v>
      </c>
      <c r="I1390" s="9" t="s">
        <v>2683</v>
      </c>
      <c r="J1390" s="9" t="s">
        <v>2685</v>
      </c>
      <c r="K1390" s="7" t="s">
        <v>15171</v>
      </c>
      <c r="L1390" s="13">
        <v>9581</v>
      </c>
      <c r="M1390" t="str">
        <f>VLOOKUP(L1390,[1]HBA!$B$2:$C$4000,2,FALSE)</f>
        <v>LPCu</v>
      </c>
    </row>
    <row r="1391" spans="2:13" x14ac:dyDescent="0.25">
      <c r="B1391" s="31" t="s">
        <v>25743</v>
      </c>
      <c r="C1391" s="20"/>
      <c r="D1391" s="25" t="s">
        <v>2687</v>
      </c>
      <c r="E1391" s="25"/>
      <c r="F1391" s="9" t="str">
        <f>HYPERLINK("https://www.ebi.ac.uk/ols/ontologies/uberon/terms?iri=http://purl.obolibrary.org/obo/UBERON_0016637","lateral periolivary nucleus")</f>
        <v>lateral periolivary nucleus</v>
      </c>
      <c r="G1391" s="9" t="s">
        <v>2686</v>
      </c>
      <c r="H1391" s="9" t="s">
        <v>24312</v>
      </c>
      <c r="I1391" s="9" t="s">
        <v>2687</v>
      </c>
      <c r="J1391" s="9" t="s">
        <v>2688</v>
      </c>
      <c r="K1391" s="4" t="s">
        <v>15175</v>
      </c>
      <c r="L1391" s="13">
        <v>12465</v>
      </c>
      <c r="M1391" t="str">
        <f>VLOOKUP(L1391,[1]Human_BrainSpan!$B$2:$C$4000,2,FALSE)</f>
        <v>LPOI</v>
      </c>
    </row>
    <row r="1392" spans="2:13" x14ac:dyDescent="0.25">
      <c r="B1392" s="31" t="s">
        <v>25743</v>
      </c>
      <c r="C1392" s="20"/>
      <c r="D1392" s="25" t="s">
        <v>2690</v>
      </c>
      <c r="E1392" s="25"/>
      <c r="F1392" s="9" t="str">
        <f>HYPERLINK("https://www.ebi.ac.uk/ols/ontologies/uberon/terms?iri=http://purl.obolibrary.org/obo/UBERON_0002983","lateral posterior nucleus of thalamus")</f>
        <v>lateral posterior nucleus of thalamus</v>
      </c>
      <c r="G1392" s="9" t="s">
        <v>2689</v>
      </c>
      <c r="H1392" s="9" t="s">
        <v>16456</v>
      </c>
      <c r="I1392" s="9" t="s">
        <v>2690</v>
      </c>
      <c r="J1392" s="9" t="s">
        <v>2691</v>
      </c>
      <c r="K1392" s="4" t="s">
        <v>15175</v>
      </c>
      <c r="L1392" s="13">
        <v>10408</v>
      </c>
      <c r="M1392" t="str">
        <f>VLOOKUP(L1392,[1]Human_BrainSpan!$B$2:$C$4000,2,FALSE)</f>
        <v>LP</v>
      </c>
    </row>
    <row r="1393" spans="2:13" x14ac:dyDescent="0.25">
      <c r="B1393" s="31" t="s">
        <v>25743</v>
      </c>
      <c r="C1393" s="20"/>
      <c r="D1393" s="25" t="s">
        <v>2690</v>
      </c>
      <c r="E1393" s="25"/>
      <c r="F1393" s="9" t="str">
        <f>HYPERLINK("https://www.ebi.ac.uk/ols/ontologies/uberon/terms?iri=http://purl.obolibrary.org/obo/UBERON_0002983","lateral posterior nucleus of thalamus")</f>
        <v>lateral posterior nucleus of thalamus</v>
      </c>
      <c r="G1393" s="9" t="s">
        <v>2689</v>
      </c>
      <c r="H1393" s="9" t="s">
        <v>16456</v>
      </c>
      <c r="I1393" s="9" t="s">
        <v>692</v>
      </c>
      <c r="J1393" s="9" t="s">
        <v>693</v>
      </c>
      <c r="K1393" s="5" t="s">
        <v>15173</v>
      </c>
      <c r="L1393" s="13">
        <v>16435</v>
      </c>
      <c r="M1393" t="str">
        <f>VLOOKUP(L1393,[1]DevMouse!$B$2:$C$2693,2,FALSE)</f>
        <v>LP</v>
      </c>
    </row>
    <row r="1394" spans="2:13" x14ac:dyDescent="0.25">
      <c r="B1394" s="31" t="s">
        <v>25743</v>
      </c>
      <c r="C1394" s="20"/>
      <c r="D1394" s="25" t="s">
        <v>2690</v>
      </c>
      <c r="E1394" s="25"/>
      <c r="F1394" s="9" t="str">
        <f>HYPERLINK("https://www.ebi.ac.uk/ols/ontologies/uberon/terms?iri=http://purl.obolibrary.org/obo/UBERON_0002983","lateral posterior nucleus of thalamus")</f>
        <v>lateral posterior nucleus of thalamus</v>
      </c>
      <c r="G1394" s="9" t="s">
        <v>2689</v>
      </c>
      <c r="H1394" s="9" t="s">
        <v>16456</v>
      </c>
      <c r="I1394" s="9" t="s">
        <v>2692</v>
      </c>
      <c r="J1394" s="9" t="s">
        <v>2693</v>
      </c>
      <c r="K1394" s="7" t="s">
        <v>15171</v>
      </c>
      <c r="L1394" s="13">
        <v>4410</v>
      </c>
      <c r="M1394" t="str">
        <f>VLOOKUP(L1394,[1]HBA!$B$2:$C$4000,2,FALSE)</f>
        <v>LP</v>
      </c>
    </row>
    <row r="1395" spans="2:13" x14ac:dyDescent="0.25">
      <c r="B1395" s="31" t="s">
        <v>25743</v>
      </c>
      <c r="C1395" s="20"/>
      <c r="D1395" s="25" t="s">
        <v>2690</v>
      </c>
      <c r="E1395" s="25"/>
      <c r="F1395" s="9" t="str">
        <f>HYPERLINK("https://www.ebi.ac.uk/ols/ontologies/uberon/terms?iri=http://purl.obolibrary.org/obo/UBERON_0002983","lateral posterior nucleus of thalamus")</f>
        <v>lateral posterior nucleus of thalamus</v>
      </c>
      <c r="G1395" s="9" t="s">
        <v>2689</v>
      </c>
      <c r="H1395" s="9" t="s">
        <v>16456</v>
      </c>
      <c r="I1395" s="9" t="s">
        <v>765</v>
      </c>
      <c r="J1395" s="9" t="s">
        <v>766</v>
      </c>
      <c r="K1395" s="3" t="s">
        <v>15176</v>
      </c>
      <c r="L1395" s="13">
        <v>218</v>
      </c>
      <c r="M1395" t="str">
        <f>VLOOKUP(L1395,[1]Mouse_ARA!$B$2:$C$1328,2,FALSE)</f>
        <v>LP</v>
      </c>
    </row>
    <row r="1396" spans="2:13" x14ac:dyDescent="0.25">
      <c r="B1396" s="31" t="s">
        <v>25743</v>
      </c>
      <c r="C1396" s="20"/>
      <c r="D1396" s="25" t="s">
        <v>25995</v>
      </c>
      <c r="E1396" s="25"/>
      <c r="F1396" s="9" t="str">
        <f>HYPERLINK("https://www.ebi.ac.uk/ols/ontologies/uberon/terms?iri=http://purl.obolibrary.org/obo/UBERON_0001931","lateral preoptic nucleus")</f>
        <v>lateral preoptic nucleus</v>
      </c>
      <c r="G1396" s="9" t="s">
        <v>2694</v>
      </c>
      <c r="H1396" s="9" t="s">
        <v>23454</v>
      </c>
      <c r="I1396" s="9" t="s">
        <v>767</v>
      </c>
      <c r="J1396" s="9" t="s">
        <v>2695</v>
      </c>
      <c r="K1396" s="4" t="s">
        <v>15175</v>
      </c>
      <c r="L1396" s="13">
        <v>10471</v>
      </c>
      <c r="M1396" t="str">
        <f>VLOOKUP(L1396,[1]Human_BrainSpan!$B$2:$C$4000,2,FALSE)</f>
        <v>LPA</v>
      </c>
    </row>
    <row r="1397" spans="2:13" x14ac:dyDescent="0.25">
      <c r="B1397" s="31" t="s">
        <v>25743</v>
      </c>
      <c r="C1397" s="20"/>
      <c r="D1397" s="25" t="s">
        <v>25995</v>
      </c>
      <c r="E1397" s="25"/>
      <c r="F1397" s="9" t="str">
        <f>HYPERLINK("https://www.ebi.ac.uk/ols/ontologies/uberon/terms?iri=http://purl.obolibrary.org/obo/UBERON_0001931","lateral preoptic nucleus")</f>
        <v>lateral preoptic nucleus</v>
      </c>
      <c r="G1397" s="9" t="s">
        <v>2694</v>
      </c>
      <c r="H1397" s="9" t="s">
        <v>20141</v>
      </c>
      <c r="I1397" s="9" t="s">
        <v>2696</v>
      </c>
      <c r="J1397" s="9" t="s">
        <v>2697</v>
      </c>
      <c r="K1397" s="7" t="s">
        <v>15171</v>
      </c>
      <c r="L1397" s="13">
        <v>4552</v>
      </c>
      <c r="M1397" t="str">
        <f>VLOOKUP(L1397,[1]HBA!$B$2:$C$4000,2,FALSE)</f>
        <v>LPO</v>
      </c>
    </row>
    <row r="1398" spans="2:13" x14ac:dyDescent="0.25">
      <c r="B1398" s="31" t="s">
        <v>25743</v>
      </c>
      <c r="C1398" s="20"/>
      <c r="D1398" s="25" t="s">
        <v>25995</v>
      </c>
      <c r="E1398" s="25"/>
      <c r="F1398" s="9" t="str">
        <f>HYPERLINK("https://www.ebi.ac.uk/ols/ontologies/uberon/terms?iri=http://purl.obolibrary.org/obo/UBERON_0001931","lateral preoptic nucleus")</f>
        <v>lateral preoptic nucleus</v>
      </c>
      <c r="G1398" s="9" t="s">
        <v>2694</v>
      </c>
      <c r="H1398" s="9" t="s">
        <v>20141</v>
      </c>
      <c r="I1398" s="9" t="s">
        <v>767</v>
      </c>
      <c r="J1398" s="9" t="s">
        <v>768</v>
      </c>
      <c r="K1398" s="3" t="s">
        <v>15176</v>
      </c>
      <c r="L1398" s="13">
        <v>226</v>
      </c>
      <c r="M1398" t="str">
        <f>VLOOKUP(L1398,[1]Mouse_ARA!$B$2:$C$1328,2,FALSE)</f>
        <v>LPO</v>
      </c>
    </row>
    <row r="1399" spans="2:13" x14ac:dyDescent="0.25">
      <c r="B1399" s="31" t="s">
        <v>25743</v>
      </c>
      <c r="C1399" s="20"/>
      <c r="D1399" s="25" t="s">
        <v>25996</v>
      </c>
      <c r="E1399" s="25"/>
      <c r="F1399" s="9" t="str">
        <f>HYPERLINK("https://www.ebi.ac.uk/ols/ontologies/uberon/terms?iri=http://purl.obolibrary.org/obo/UBERON_0002636","lateral pulvinar nucleus")</f>
        <v>lateral pulvinar nucleus</v>
      </c>
      <c r="G1399" s="9" t="s">
        <v>2698</v>
      </c>
      <c r="H1399" s="9" t="s">
        <v>23317</v>
      </c>
      <c r="I1399" s="9" t="s">
        <v>2699</v>
      </c>
      <c r="J1399" s="9" t="s">
        <v>2700</v>
      </c>
      <c r="K1399" s="4" t="s">
        <v>15175</v>
      </c>
      <c r="L1399" s="13">
        <v>10412</v>
      </c>
      <c r="M1399" t="str">
        <f>VLOOKUP(L1399,[1]Human_BrainSpan!$B$2:$C$4000,2,FALSE)</f>
        <v>Pull</v>
      </c>
    </row>
    <row r="1400" spans="2:13" x14ac:dyDescent="0.25">
      <c r="B1400" s="31" t="s">
        <v>25743</v>
      </c>
      <c r="C1400" s="20"/>
      <c r="D1400" s="25" t="s">
        <v>2702</v>
      </c>
      <c r="E1400" s="25"/>
      <c r="F1400" s="9" t="str">
        <f>HYPERLINK("https://www.ebi.ac.uk/ols/ontologies/uberon/terms?iri=http://purl.obolibrary.org/obo/UBERON_0007656","lateral recess of fourth ventricle")</f>
        <v>lateral recess of fourth ventricle</v>
      </c>
      <c r="G1400" s="9" t="s">
        <v>2701</v>
      </c>
      <c r="H1400" s="9" t="s">
        <v>24665</v>
      </c>
      <c r="I1400" s="9" t="s">
        <v>2702</v>
      </c>
      <c r="J1400" s="9" t="s">
        <v>2703</v>
      </c>
      <c r="K1400" s="4" t="s">
        <v>15175</v>
      </c>
      <c r="L1400" s="13">
        <v>12810</v>
      </c>
      <c r="M1400" t="str">
        <f>VLOOKUP(L1400,[1]Human_BrainSpan!$B$2:$C$4000,2,FALSE)</f>
        <v>lr4V</v>
      </c>
    </row>
    <row r="1401" spans="2:13" x14ac:dyDescent="0.25">
      <c r="B1401" s="31" t="s">
        <v>25743</v>
      </c>
      <c r="C1401" s="20"/>
      <c r="D1401" s="25" t="s">
        <v>2702</v>
      </c>
      <c r="E1401" s="25"/>
      <c r="F1401" s="9" t="str">
        <f>HYPERLINK("https://www.ebi.ac.uk/ols/ontologies/uberon/terms?iri=http://purl.obolibrary.org/obo/UBERON_0007656","lateral recess of fourth ventricle")</f>
        <v>lateral recess of fourth ventricle</v>
      </c>
      <c r="G1401" s="9" t="s">
        <v>2701</v>
      </c>
      <c r="H1401" s="9" t="s">
        <v>20961</v>
      </c>
      <c r="I1401" s="9" t="s">
        <v>2704</v>
      </c>
      <c r="J1401" s="9" t="s">
        <v>2705</v>
      </c>
      <c r="K1401" s="3" t="s">
        <v>15176</v>
      </c>
      <c r="L1401" s="13">
        <v>153</v>
      </c>
      <c r="M1401" t="str">
        <f>VLOOKUP(L1401,[1]Mouse_ARA!$B$2:$C$1328,2,FALSE)</f>
        <v>V4r</v>
      </c>
    </row>
    <row r="1402" spans="2:13" x14ac:dyDescent="0.25">
      <c r="B1402" s="31" t="s">
        <v>25743</v>
      </c>
      <c r="C1402" s="20"/>
      <c r="D1402" s="25" t="s">
        <v>2709</v>
      </c>
      <c r="E1402" s="25"/>
      <c r="F1402" s="9" t="str">
        <f>HYPERLINK("https://www.ebi.ac.uk/ols/ontologies/uberon/terms?iri=http://purl.obolibrary.org/obo/UBERON_0002154","lateral reticular nucleus")</f>
        <v>lateral reticular nucleus</v>
      </c>
      <c r="G1402" s="9" t="s">
        <v>2706</v>
      </c>
      <c r="H1402" s="9" t="s">
        <v>24460</v>
      </c>
      <c r="I1402" s="9" t="s">
        <v>2707</v>
      </c>
      <c r="J1402" s="9" t="s">
        <v>2708</v>
      </c>
      <c r="K1402" s="7" t="s">
        <v>15171</v>
      </c>
      <c r="L1402" s="13">
        <v>9616</v>
      </c>
      <c r="M1402" t="str">
        <f>VLOOKUP(L1402,[1]HBA!$B$2:$C$4000,2,FALSE)</f>
        <v>LRt</v>
      </c>
    </row>
    <row r="1403" spans="2:13" x14ac:dyDescent="0.25">
      <c r="B1403" s="31" t="s">
        <v>25743</v>
      </c>
      <c r="C1403" s="20"/>
      <c r="D1403" s="25" t="s">
        <v>2709</v>
      </c>
      <c r="E1403" s="25"/>
      <c r="F1403" s="9" t="str">
        <f>HYPERLINK("https://www.ebi.ac.uk/ols/ontologies/uberon/terms?iri=http://purl.obolibrary.org/obo/UBERON_0002154","lateral reticular nucleus")</f>
        <v>lateral reticular nucleus</v>
      </c>
      <c r="G1403" s="9" t="s">
        <v>2706</v>
      </c>
      <c r="H1403" s="9" t="s">
        <v>20482</v>
      </c>
      <c r="I1403" s="9" t="s">
        <v>2709</v>
      </c>
      <c r="J1403" s="9" t="s">
        <v>2710</v>
      </c>
      <c r="K1403" s="3" t="s">
        <v>15176</v>
      </c>
      <c r="L1403" s="13">
        <v>235</v>
      </c>
      <c r="M1403" t="str">
        <f>VLOOKUP(L1403,[1]Mouse_ARA!$B$2:$C$1328,2,FALSE)</f>
        <v>LRN</v>
      </c>
    </row>
    <row r="1404" spans="2:13" x14ac:dyDescent="0.25">
      <c r="B1404" s="31" t="s">
        <v>25743</v>
      </c>
      <c r="C1404" s="20"/>
      <c r="D1404" s="25" t="s">
        <v>2712</v>
      </c>
      <c r="E1404" s="25"/>
      <c r="F1404" s="9" t="str">
        <f>HYPERLINK("https://www.ebi.ac.uk/ols/ontologies/uberon/terms?iri=http://purl.obolibrary.org/obo/UBERON_0007628","lateral septal complex")</f>
        <v>lateral septal complex</v>
      </c>
      <c r="G1404" s="9" t="s">
        <v>2711</v>
      </c>
      <c r="H1404" s="9" t="s">
        <v>19767</v>
      </c>
      <c r="I1404" s="9" t="s">
        <v>2712</v>
      </c>
      <c r="J1404" s="9" t="s">
        <v>2713</v>
      </c>
      <c r="K1404" s="3" t="s">
        <v>15176</v>
      </c>
      <c r="L1404" s="13">
        <v>275</v>
      </c>
      <c r="M1404" t="str">
        <f>VLOOKUP(L1404,[1]Mouse_ARA!$B$2:$C$1328,2,FALSE)</f>
        <v>LSX</v>
      </c>
    </row>
    <row r="1405" spans="2:13" x14ac:dyDescent="0.25">
      <c r="B1405" s="31" t="s">
        <v>25743</v>
      </c>
      <c r="C1405" s="20"/>
      <c r="D1405" s="25" t="s">
        <v>2715</v>
      </c>
      <c r="E1405" s="25"/>
      <c r="F1405" s="9" t="str">
        <f>HYPERLINK("https://www.ebi.ac.uk/ols/ontologies/uberon/terms?iri=http://purl.obolibrary.org/obo/UBERON_0002667","lateral septal nucleus")</f>
        <v>lateral septal nucleus</v>
      </c>
      <c r="G1405" s="9" t="s">
        <v>2714</v>
      </c>
      <c r="H1405" s="9" t="s">
        <v>23279</v>
      </c>
      <c r="I1405" s="9" t="s">
        <v>2715</v>
      </c>
      <c r="J1405" s="9" t="s">
        <v>2716</v>
      </c>
      <c r="K1405" s="4" t="s">
        <v>15175</v>
      </c>
      <c r="L1405" s="13">
        <v>10352</v>
      </c>
      <c r="M1405" t="str">
        <f>VLOOKUP(L1405,[1]Human_BrainSpan!$B$2:$C$4000,2,FALSE)</f>
        <v>LSN</v>
      </c>
    </row>
    <row r="1406" spans="2:13" x14ac:dyDescent="0.25">
      <c r="B1406" s="31" t="s">
        <v>25743</v>
      </c>
      <c r="C1406" s="20"/>
      <c r="D1406" s="25" t="s">
        <v>2715</v>
      </c>
      <c r="E1406" s="25"/>
      <c r="F1406" s="9" t="str">
        <f>HYPERLINK("https://www.ebi.ac.uk/ols/ontologies/uberon/terms?iri=http://purl.obolibrary.org/obo/UBERON_0002667","lateral septal nucleus")</f>
        <v>lateral septal nucleus</v>
      </c>
      <c r="G1406" s="9" t="s">
        <v>2714</v>
      </c>
      <c r="H1406" s="9" t="s">
        <v>19769</v>
      </c>
      <c r="I1406" s="9" t="s">
        <v>2717</v>
      </c>
      <c r="J1406" s="9" t="s">
        <v>2718</v>
      </c>
      <c r="K1406" s="7" t="s">
        <v>15171</v>
      </c>
      <c r="L1406" s="13">
        <v>4303</v>
      </c>
      <c r="M1406" t="str">
        <f>VLOOKUP(L1406,[1]HBA!$B$2:$C$4000,2,FALSE)</f>
        <v>LS</v>
      </c>
    </row>
    <row r="1407" spans="2:13" x14ac:dyDescent="0.25">
      <c r="B1407" s="31" t="s">
        <v>25743</v>
      </c>
      <c r="C1407" s="20"/>
      <c r="D1407" s="25" t="s">
        <v>2715</v>
      </c>
      <c r="E1407" s="25"/>
      <c r="F1407" s="9" t="str">
        <f>HYPERLINK("https://www.ebi.ac.uk/ols/ontologies/uberon/terms?iri=http://purl.obolibrary.org/obo/UBERON_0002667","lateral septal nucleus")</f>
        <v>lateral septal nucleus</v>
      </c>
      <c r="G1407" s="9" t="s">
        <v>2714</v>
      </c>
      <c r="H1407" s="9" t="s">
        <v>19769</v>
      </c>
      <c r="I1407" s="9" t="s">
        <v>2715</v>
      </c>
      <c r="J1407" s="9" t="s">
        <v>2719</v>
      </c>
      <c r="K1407" s="3" t="s">
        <v>15176</v>
      </c>
      <c r="L1407" s="13">
        <v>242</v>
      </c>
      <c r="M1407" t="str">
        <f>VLOOKUP(L1407,[1]Mouse_ARA!$B$2:$C$1328,2,FALSE)</f>
        <v>LS</v>
      </c>
    </row>
    <row r="1408" spans="2:13" x14ac:dyDescent="0.25">
      <c r="B1408" s="31" t="s">
        <v>25743</v>
      </c>
      <c r="C1408" s="20"/>
      <c r="D1408" s="25" t="s">
        <v>2721</v>
      </c>
      <c r="E1408" s="25"/>
      <c r="F1408" s="9" t="str">
        <f>HYPERLINK("https://www.ebi.ac.uk/ols/ontologies/uberon/terms?iri=http://purl.obolibrary.org/obo/UBERON_0035024","lateral spinal nucleus")</f>
        <v>lateral spinal nucleus</v>
      </c>
      <c r="G1408" s="9" t="s">
        <v>2720</v>
      </c>
      <c r="H1408" s="9" t="s">
        <v>18360</v>
      </c>
      <c r="I1408" s="9" t="s">
        <v>2721</v>
      </c>
      <c r="J1408" s="9" t="s">
        <v>2722</v>
      </c>
      <c r="K1408" s="5" t="s">
        <v>15173</v>
      </c>
      <c r="L1408" s="13">
        <v>17690</v>
      </c>
      <c r="M1408" t="str">
        <f>VLOOKUP(L1408,[1]DevMouse!$B$2:$C$2693,2,FALSE)</f>
        <v>LSpin</v>
      </c>
    </row>
    <row r="1409" spans="2:13" x14ac:dyDescent="0.25">
      <c r="B1409" s="31" t="s">
        <v>26302</v>
      </c>
      <c r="C1409" s="25" t="s">
        <v>638</v>
      </c>
      <c r="D1409" s="25" t="s">
        <v>25997</v>
      </c>
      <c r="E1409" s="25"/>
      <c r="F1409" s="9" t="str">
        <f t="shared" ref="F1409:F1415" si="19">HYPERLINK("https://www.ebi.ac.uk/ols/ontologies/uberon/terms?iri=http://purl.obolibrary.org/obo/UBERON_0015212","lateral structure")</f>
        <v>lateral structure</v>
      </c>
      <c r="G1409" s="9" t="s">
        <v>2723</v>
      </c>
      <c r="H1409" s="9" t="s">
        <v>24000</v>
      </c>
      <c r="I1409" s="9" t="s">
        <v>638</v>
      </c>
      <c r="J1409" s="9" t="s">
        <v>639</v>
      </c>
      <c r="K1409" s="4" t="s">
        <v>15175</v>
      </c>
      <c r="L1409" s="13">
        <v>12251</v>
      </c>
      <c r="M1409" t="str">
        <f>VLOOKUP(L1409,[1]Human_BrainSpan!$B$2:$C$4000,2,FALSE)</f>
        <v>SN</v>
      </c>
    </row>
    <row r="1410" spans="2:13" x14ac:dyDescent="0.25">
      <c r="B1410" s="31" t="s">
        <v>26303</v>
      </c>
      <c r="C1410" s="25" t="s">
        <v>25893</v>
      </c>
      <c r="D1410" s="25" t="s">
        <v>25997</v>
      </c>
      <c r="E1410" s="25"/>
      <c r="F1410" s="9" t="str">
        <f t="shared" si="19"/>
        <v>lateral structure</v>
      </c>
      <c r="G1410" s="9" t="s">
        <v>2723</v>
      </c>
      <c r="H1410" s="9" t="s">
        <v>18481</v>
      </c>
      <c r="I1410" s="9" t="s">
        <v>1384</v>
      </c>
      <c r="J1410" s="9" t="s">
        <v>1385</v>
      </c>
      <c r="K1410" s="4" t="s">
        <v>15175</v>
      </c>
      <c r="L1410" s="13">
        <v>15544</v>
      </c>
      <c r="M1410" t="str">
        <f>VLOOKUP(L1410,[1]Human_BrainSpan!$B$2:$C$4000,2,FALSE)</f>
        <v>on</v>
      </c>
    </row>
    <row r="1411" spans="2:13" x14ac:dyDescent="0.25">
      <c r="B1411" s="31" t="s">
        <v>26302</v>
      </c>
      <c r="C1411" s="25" t="s">
        <v>638</v>
      </c>
      <c r="D1411" s="25" t="s">
        <v>25997</v>
      </c>
      <c r="E1411" s="25"/>
      <c r="F1411" s="9" t="str">
        <f t="shared" si="19"/>
        <v>lateral structure</v>
      </c>
      <c r="G1411" s="9" t="s">
        <v>2723</v>
      </c>
      <c r="H1411" s="9" t="s">
        <v>24000</v>
      </c>
      <c r="I1411" s="9" t="s">
        <v>638</v>
      </c>
      <c r="J1411" s="9" t="s">
        <v>720</v>
      </c>
      <c r="K1411" s="7" t="s">
        <v>15171</v>
      </c>
      <c r="L1411" s="13">
        <v>9072</v>
      </c>
      <c r="M1411" t="str">
        <f>VLOOKUP(L1411,[1]HBA!$B$2:$C$4000,2,FALSE)</f>
        <v>SN</v>
      </c>
    </row>
    <row r="1412" spans="2:13" x14ac:dyDescent="0.25">
      <c r="B1412" s="31" t="s">
        <v>26303</v>
      </c>
      <c r="C1412" s="25" t="s">
        <v>25892</v>
      </c>
      <c r="D1412" s="25" t="s">
        <v>25997</v>
      </c>
      <c r="E1412" s="25"/>
      <c r="F1412" s="9" t="str">
        <f t="shared" si="19"/>
        <v>lateral structure</v>
      </c>
      <c r="G1412" s="9" t="s">
        <v>2723</v>
      </c>
      <c r="H1412" s="9" t="s">
        <v>20397</v>
      </c>
      <c r="I1412" s="9" t="s">
        <v>979</v>
      </c>
      <c r="J1412" s="9" t="s">
        <v>980</v>
      </c>
      <c r="K1412" s="7" t="s">
        <v>15171</v>
      </c>
      <c r="L1412" s="13">
        <v>9299</v>
      </c>
      <c r="M1412" t="str">
        <f>VLOOKUP(L1412,[1]HBA!$B$2:$C$4000,2,FALSE)</f>
        <v>CN</v>
      </c>
    </row>
    <row r="1413" spans="2:13" x14ac:dyDescent="0.25">
      <c r="B1413" s="31" t="s">
        <v>26303</v>
      </c>
      <c r="C1413" s="25" t="s">
        <v>25893</v>
      </c>
      <c r="D1413" s="25" t="s">
        <v>25997</v>
      </c>
      <c r="E1413" s="25"/>
      <c r="F1413" s="9" t="str">
        <f t="shared" si="19"/>
        <v>lateral structure</v>
      </c>
      <c r="G1413" s="9" t="s">
        <v>2723</v>
      </c>
      <c r="H1413" s="9" t="s">
        <v>25511</v>
      </c>
      <c r="I1413" s="9" t="s">
        <v>1384</v>
      </c>
      <c r="J1413" s="9" t="s">
        <v>1386</v>
      </c>
      <c r="K1413" s="7" t="s">
        <v>15171</v>
      </c>
      <c r="L1413" s="13">
        <v>9307</v>
      </c>
      <c r="M1413" t="str">
        <f>VLOOKUP(L1413,[1]HBA!$B$2:$C$4000,2,FALSE)</f>
        <v>2n</v>
      </c>
    </row>
    <row r="1414" spans="2:13" x14ac:dyDescent="0.25">
      <c r="B1414" s="31" t="s">
        <v>26303</v>
      </c>
      <c r="C1414" s="25" t="s">
        <v>25893</v>
      </c>
      <c r="D1414" s="25" t="s">
        <v>25997</v>
      </c>
      <c r="E1414" s="25"/>
      <c r="F1414" s="9" t="str">
        <f t="shared" si="19"/>
        <v>lateral structure</v>
      </c>
      <c r="G1414" s="9" t="s">
        <v>2723</v>
      </c>
      <c r="H1414" s="9" t="s">
        <v>20735</v>
      </c>
      <c r="I1414" s="9" t="s">
        <v>1384</v>
      </c>
      <c r="J1414" s="9" t="s">
        <v>1387</v>
      </c>
      <c r="K1414" s="3" t="s">
        <v>15176</v>
      </c>
      <c r="L1414" s="13">
        <v>848</v>
      </c>
      <c r="M1414" t="str">
        <f>VLOOKUP(L1414,[1]Mouse_ARA!$B$2:$C$1328,2,FALSE)</f>
        <v>IIn</v>
      </c>
    </row>
    <row r="1415" spans="2:13" x14ac:dyDescent="0.25">
      <c r="B1415" s="31" t="s">
        <v>26303</v>
      </c>
      <c r="C1415" s="25" t="s">
        <v>25892</v>
      </c>
      <c r="D1415" s="25" t="s">
        <v>25997</v>
      </c>
      <c r="E1415" s="25"/>
      <c r="F1415" s="9" t="str">
        <f t="shared" si="19"/>
        <v>lateral structure</v>
      </c>
      <c r="G1415" s="9" t="s">
        <v>2723</v>
      </c>
      <c r="H1415" s="9" t="s">
        <v>20723</v>
      </c>
      <c r="I1415" s="9" t="s">
        <v>979</v>
      </c>
      <c r="J1415" s="9" t="s">
        <v>985</v>
      </c>
      <c r="K1415" s="3" t="s">
        <v>15176</v>
      </c>
      <c r="L1415" s="13">
        <v>967</v>
      </c>
      <c r="M1415" t="str">
        <f>VLOOKUP(L1415,[1]Mouse_ARA!$B$2:$C$1328,2,FALSE)</f>
        <v>cm</v>
      </c>
    </row>
    <row r="1416" spans="2:13" x14ac:dyDescent="0.25">
      <c r="B1416" s="31" t="s">
        <v>25743</v>
      </c>
      <c r="C1416" s="20"/>
      <c r="D1416" s="25" t="s">
        <v>25998</v>
      </c>
      <c r="E1416" s="25"/>
      <c r="F1416" s="9" t="str">
        <f>HYPERLINK("https://www.ebi.ac.uk/ols/ontologies/uberon/terms?iri=http://purl.obolibrary.org/obo/UBERON_0002721","lateral sulcus")</f>
        <v>lateral sulcus</v>
      </c>
      <c r="G1416" s="9" t="s">
        <v>2724</v>
      </c>
      <c r="H1416" s="9" t="s">
        <v>23712</v>
      </c>
      <c r="I1416" s="9" t="s">
        <v>2725</v>
      </c>
      <c r="J1416" s="9" t="s">
        <v>2726</v>
      </c>
      <c r="K1416" s="4" t="s">
        <v>15175</v>
      </c>
      <c r="L1416" s="13">
        <v>10621</v>
      </c>
      <c r="M1416" t="str">
        <f>VLOOKUP(L1416,[1]Human_BrainSpan!$B$2:$C$4000,2,FALSE)</f>
        <v>las</v>
      </c>
    </row>
    <row r="1417" spans="2:13" x14ac:dyDescent="0.25">
      <c r="B1417" s="31" t="s">
        <v>26302</v>
      </c>
      <c r="C1417" s="20"/>
      <c r="D1417" s="25" t="s">
        <v>25998</v>
      </c>
      <c r="E1417" s="25" t="s">
        <v>26300</v>
      </c>
      <c r="F1417" s="9" t="str">
        <f>HYPERLINK("https://www.ebi.ac.uk/ols/ontologies/uberon/terms?iri=http://purl.obolibrary.org/obo/UBERON_0002721","lateral sulcus")</f>
        <v>lateral sulcus</v>
      </c>
      <c r="G1417" s="9" t="s">
        <v>2724</v>
      </c>
      <c r="H1417" s="9" t="s">
        <v>23728</v>
      </c>
      <c r="I1417" s="9" t="s">
        <v>2727</v>
      </c>
      <c r="J1417" s="9" t="s">
        <v>2728</v>
      </c>
      <c r="K1417" s="4" t="s">
        <v>15175</v>
      </c>
      <c r="L1417" s="13">
        <v>12110</v>
      </c>
      <c r="M1417" t="str">
        <f>VLOOKUP(L1417,[1]Human_BrainSpan!$B$2:$C$4000,2,FALSE)</f>
        <v>tranf</v>
      </c>
    </row>
    <row r="1418" spans="2:13" x14ac:dyDescent="0.25">
      <c r="B1418" s="31" t="s">
        <v>25743</v>
      </c>
      <c r="C1418" s="20"/>
      <c r="D1418" s="25" t="s">
        <v>25998</v>
      </c>
      <c r="E1418" s="25"/>
      <c r="F1418" s="9" t="str">
        <f>HYPERLINK("https://www.ebi.ac.uk/ols/ontologies/uberon/terms?iri=http://purl.obolibrary.org/obo/UBERON_0002721","lateral sulcus")</f>
        <v>lateral sulcus</v>
      </c>
      <c r="G1418" s="9" t="s">
        <v>2724</v>
      </c>
      <c r="H1418" s="9" t="s">
        <v>25518</v>
      </c>
      <c r="I1418" s="9" t="s">
        <v>2729</v>
      </c>
      <c r="J1418" s="9" t="s">
        <v>2730</v>
      </c>
      <c r="K1418" s="7" t="s">
        <v>15171</v>
      </c>
      <c r="L1418" s="13">
        <v>9402</v>
      </c>
      <c r="M1418" t="str">
        <f>VLOOKUP(L1418,[1]HBA!$B$2:$C$4000,2,FALSE)</f>
        <v>sf</v>
      </c>
    </row>
    <row r="1419" spans="2:13" x14ac:dyDescent="0.25">
      <c r="B1419" s="31" t="s">
        <v>25743</v>
      </c>
      <c r="C1419" s="20"/>
      <c r="D1419" s="25" t="s">
        <v>2732</v>
      </c>
      <c r="E1419" s="25"/>
      <c r="F1419" s="9" t="str">
        <f>HYPERLINK("https://www.ebi.ac.uk/ols/ontologies/uberon/terms?iri=http://purl.obolibrary.org/obo/UBERON_0002779","lateral superior olivary nucleus")</f>
        <v>lateral superior olivary nucleus</v>
      </c>
      <c r="G1419" s="9" t="s">
        <v>2731</v>
      </c>
      <c r="H1419" s="9" t="s">
        <v>17805</v>
      </c>
      <c r="I1419" s="9" t="s">
        <v>2732</v>
      </c>
      <c r="J1419" s="9" t="s">
        <v>2733</v>
      </c>
      <c r="K1419" s="4" t="s">
        <v>15175</v>
      </c>
      <c r="L1419" s="13">
        <v>12469</v>
      </c>
      <c r="M1419" t="str">
        <f>VLOOKUP(L1419,[1]Human_BrainSpan!$B$2:$C$4000,2,FALSE)</f>
        <v>LSO</v>
      </c>
    </row>
    <row r="1420" spans="2:13" x14ac:dyDescent="0.25">
      <c r="B1420" s="31" t="s">
        <v>25743</v>
      </c>
      <c r="C1420" s="20"/>
      <c r="D1420" s="25" t="s">
        <v>2732</v>
      </c>
      <c r="E1420" s="25"/>
      <c r="F1420" s="9" t="str">
        <f>HYPERLINK("https://www.ebi.ac.uk/ols/ontologies/uberon/terms?iri=http://purl.obolibrary.org/obo/UBERON_0002779","lateral superior olivary nucleus")</f>
        <v>lateral superior olivary nucleus</v>
      </c>
      <c r="G1420" s="9" t="s">
        <v>2731</v>
      </c>
      <c r="H1420" s="9" t="s">
        <v>17805</v>
      </c>
      <c r="I1420" s="9" t="s">
        <v>2734</v>
      </c>
      <c r="J1420" s="9" t="s">
        <v>2735</v>
      </c>
      <c r="K1420" s="5" t="s">
        <v>15173</v>
      </c>
      <c r="L1420" s="13">
        <v>17261</v>
      </c>
      <c r="M1420" t="str">
        <f>VLOOKUP(L1420,[1]DevMouse!$B$2:$C$2693,2,FALSE)</f>
        <v>LSO</v>
      </c>
    </row>
    <row r="1421" spans="2:13" x14ac:dyDescent="0.25">
      <c r="B1421" s="31" t="s">
        <v>25743</v>
      </c>
      <c r="C1421" s="20"/>
      <c r="D1421" s="25" t="s">
        <v>2732</v>
      </c>
      <c r="E1421" s="25"/>
      <c r="F1421" s="9" t="str">
        <f>HYPERLINK("https://www.ebi.ac.uk/ols/ontologies/uberon/terms?iri=http://purl.obolibrary.org/obo/UBERON_0002779","lateral superior olivary nucleus")</f>
        <v>lateral superior olivary nucleus</v>
      </c>
      <c r="G1421" s="9" t="s">
        <v>2731</v>
      </c>
      <c r="H1421" s="9" t="s">
        <v>17805</v>
      </c>
      <c r="I1421" s="9" t="s">
        <v>2736</v>
      </c>
      <c r="J1421" s="9" t="s">
        <v>2737</v>
      </c>
      <c r="K1421" s="7" t="s">
        <v>15171</v>
      </c>
      <c r="L1421" s="13">
        <v>9183</v>
      </c>
      <c r="M1421" t="str">
        <f>VLOOKUP(L1421,[1]HBA!$B$2:$C$4000,2,FALSE)</f>
        <v>LSO</v>
      </c>
    </row>
    <row r="1422" spans="2:13" x14ac:dyDescent="0.25">
      <c r="B1422" s="31" t="s">
        <v>25743</v>
      </c>
      <c r="C1422" s="20"/>
      <c r="D1422" s="25" t="s">
        <v>2732</v>
      </c>
      <c r="E1422" s="25"/>
      <c r="F1422" s="9" t="str">
        <f>HYPERLINK("https://www.ebi.ac.uk/ols/ontologies/uberon/terms?iri=http://purl.obolibrary.org/obo/UBERON_0002779","lateral superior olivary nucleus")</f>
        <v>lateral superior olivary nucleus</v>
      </c>
      <c r="G1422" s="9" t="s">
        <v>2731</v>
      </c>
      <c r="H1422" s="9" t="s">
        <v>20336</v>
      </c>
      <c r="I1422" s="9" t="s">
        <v>2738</v>
      </c>
      <c r="J1422" s="9" t="s">
        <v>2739</v>
      </c>
      <c r="K1422" s="3" t="s">
        <v>15176</v>
      </c>
      <c r="L1422" s="13">
        <v>114</v>
      </c>
      <c r="M1422" t="str">
        <f>VLOOKUP(L1422,[1]Mouse_ARA!$B$2:$C$1328,2,FALSE)</f>
        <v>SOCl</v>
      </c>
    </row>
    <row r="1423" spans="2:13" x14ac:dyDescent="0.25">
      <c r="B1423" s="31" t="s">
        <v>25743</v>
      </c>
      <c r="C1423" s="20"/>
      <c r="D1423" s="25" t="s">
        <v>664</v>
      </c>
      <c r="E1423" s="25"/>
      <c r="F1423" s="9" t="str">
        <f>HYPERLINK("https://www.ebi.ac.uk/ols/ontologies/uberon/terms?iri=http://purl.obolibrary.org/obo/UBERON_0000435","lateral tuberal nucleus")</f>
        <v>lateral tuberal nucleus</v>
      </c>
      <c r="G1423" s="9" t="s">
        <v>2740</v>
      </c>
      <c r="H1423" s="9" t="s">
        <v>20260</v>
      </c>
      <c r="I1423" s="9" t="s">
        <v>2741</v>
      </c>
      <c r="J1423" s="9" t="s">
        <v>2742</v>
      </c>
      <c r="K1423" s="4" t="s">
        <v>15175</v>
      </c>
      <c r="L1423" s="13">
        <v>10493</v>
      </c>
      <c r="M1423" t="str">
        <f>VLOOKUP(L1423,[1]Human_BrainSpan!$B$2:$C$4000,2,FALSE)</f>
        <v>LT</v>
      </c>
    </row>
    <row r="1424" spans="2:13" x14ac:dyDescent="0.25">
      <c r="B1424" s="31" t="s">
        <v>25743</v>
      </c>
      <c r="C1424" s="20"/>
      <c r="D1424" s="25" t="s">
        <v>664</v>
      </c>
      <c r="E1424" s="25"/>
      <c r="F1424" s="9" t="str">
        <f>HYPERLINK("https://www.ebi.ac.uk/ols/ontologies/uberon/terms?iri=http://purl.obolibrary.org/obo/UBERON_0000435","lateral tuberal nucleus")</f>
        <v>lateral tuberal nucleus</v>
      </c>
      <c r="G1424" s="9" t="s">
        <v>2740</v>
      </c>
      <c r="H1424" s="9" t="s">
        <v>16137</v>
      </c>
      <c r="I1424" s="9" t="s">
        <v>664</v>
      </c>
      <c r="J1424" s="9" t="s">
        <v>665</v>
      </c>
      <c r="K1424" s="5" t="s">
        <v>15173</v>
      </c>
      <c r="L1424" s="13">
        <v>16271</v>
      </c>
      <c r="M1424" t="str">
        <f>VLOOKUP(L1424,[1]DevMouse!$B$2:$C$2693,2,FALSE)</f>
        <v>LTu</v>
      </c>
    </row>
    <row r="1425" spans="2:13" x14ac:dyDescent="0.25">
      <c r="B1425" s="31" t="s">
        <v>25743</v>
      </c>
      <c r="C1425" s="20"/>
      <c r="D1425" s="25" t="s">
        <v>664</v>
      </c>
      <c r="E1425" s="25"/>
      <c r="F1425" s="9" t="str">
        <f>HYPERLINK("https://www.ebi.ac.uk/ols/ontologies/uberon/terms?iri=http://purl.obolibrary.org/obo/UBERON_0000435","lateral tuberal nucleus")</f>
        <v>lateral tuberal nucleus</v>
      </c>
      <c r="G1425" s="9" t="s">
        <v>2740</v>
      </c>
      <c r="H1425" s="9" t="s">
        <v>16137</v>
      </c>
      <c r="I1425" s="9" t="s">
        <v>664</v>
      </c>
      <c r="J1425" s="9" t="s">
        <v>2743</v>
      </c>
      <c r="K1425" s="7" t="s">
        <v>15171</v>
      </c>
      <c r="L1425" s="13">
        <v>12915</v>
      </c>
      <c r="M1425" t="str">
        <f>VLOOKUP(L1425,[1]HBA!$B$2:$C$4000,2,FALSE)</f>
        <v>LTu</v>
      </c>
    </row>
    <row r="1426" spans="2:13" x14ac:dyDescent="0.25">
      <c r="B1426" s="31" t="s">
        <v>26302</v>
      </c>
      <c r="C1426" s="20"/>
      <c r="D1426" s="25" t="s">
        <v>664</v>
      </c>
      <c r="E1426" s="20" t="s">
        <v>26300</v>
      </c>
      <c r="F1426" s="9" t="str">
        <f>HYPERLINK("https://www.ebi.ac.uk/ols/ontologies/uberon/terms?iri=http://purl.obolibrary.org/obo/UBERON_0000435","lateral tuberal nucleus")</f>
        <v>lateral tuberal nucleus</v>
      </c>
      <c r="G1426" s="9" t="s">
        <v>2740</v>
      </c>
      <c r="H1426" s="9" t="s">
        <v>20153</v>
      </c>
      <c r="I1426" s="9" t="s">
        <v>810</v>
      </c>
      <c r="J1426" s="9" t="s">
        <v>811</v>
      </c>
      <c r="K1426" s="3" t="s">
        <v>15176</v>
      </c>
      <c r="L1426" s="13">
        <v>614</v>
      </c>
      <c r="M1426" t="str">
        <f>VLOOKUP(L1426,[1]Mouse_ARA!$B$2:$C$1328,2,FALSE)</f>
        <v>TU</v>
      </c>
    </row>
    <row r="1427" spans="2:13" x14ac:dyDescent="0.25">
      <c r="B1427" s="31" t="s">
        <v>25743</v>
      </c>
      <c r="C1427" s="20"/>
      <c r="D1427" s="25" t="s">
        <v>2745</v>
      </c>
      <c r="E1427" s="25"/>
      <c r="F1427" s="9" t="str">
        <f>HYPERLINK("https://www.ebi.ac.uk/ols/ontologies/uberon/terms?iri=http://purl.obolibrary.org/obo/UBERON_0007230","lateral vestibular nucleus")</f>
        <v>lateral vestibular nucleus</v>
      </c>
      <c r="G1427" s="9" t="s">
        <v>2744</v>
      </c>
      <c r="H1427" s="9" t="s">
        <v>24295</v>
      </c>
      <c r="I1427" s="9" t="s">
        <v>2745</v>
      </c>
      <c r="J1427" s="9" t="s">
        <v>2746</v>
      </c>
      <c r="K1427" s="4" t="s">
        <v>15175</v>
      </c>
      <c r="L1427" s="13">
        <v>12449</v>
      </c>
      <c r="M1427" t="str">
        <f>VLOOKUP(L1427,[1]Human_BrainSpan!$B$2:$C$4000,2,FALSE)</f>
        <v>LVe</v>
      </c>
    </row>
    <row r="1428" spans="2:13" x14ac:dyDescent="0.25">
      <c r="B1428" s="31" t="s">
        <v>25743</v>
      </c>
      <c r="C1428" s="20"/>
      <c r="D1428" s="25" t="s">
        <v>2745</v>
      </c>
      <c r="E1428" s="25"/>
      <c r="F1428" s="9" t="str">
        <f>HYPERLINK("https://www.ebi.ac.uk/ols/ontologies/uberon/terms?iri=http://purl.obolibrary.org/obo/UBERON_0007230","lateral vestibular nucleus")</f>
        <v>lateral vestibular nucleus</v>
      </c>
      <c r="G1428" s="9" t="s">
        <v>2744</v>
      </c>
      <c r="H1428" s="9" t="s">
        <v>24295</v>
      </c>
      <c r="I1428" s="9" t="s">
        <v>2747</v>
      </c>
      <c r="J1428" s="9" t="s">
        <v>2748</v>
      </c>
      <c r="K1428" s="7" t="s">
        <v>15171</v>
      </c>
      <c r="L1428" s="13">
        <v>9699</v>
      </c>
      <c r="M1428" t="str">
        <f>VLOOKUP(L1428,[1]HBA!$B$2:$C$4000,2,FALSE)</f>
        <v>LVe</v>
      </c>
    </row>
    <row r="1429" spans="2:13" x14ac:dyDescent="0.25">
      <c r="B1429" s="31" t="s">
        <v>25743</v>
      </c>
      <c r="C1429" s="20"/>
      <c r="D1429" s="25" t="s">
        <v>2745</v>
      </c>
      <c r="E1429" s="25"/>
      <c r="F1429" s="9" t="str">
        <f>HYPERLINK("https://www.ebi.ac.uk/ols/ontologies/uberon/terms?iri=http://purl.obolibrary.org/obo/UBERON_0007230","lateral vestibular nucleus")</f>
        <v>lateral vestibular nucleus</v>
      </c>
      <c r="G1429" s="9" t="s">
        <v>2744</v>
      </c>
      <c r="H1429" s="9" t="s">
        <v>20524</v>
      </c>
      <c r="I1429" s="9" t="s">
        <v>2745</v>
      </c>
      <c r="J1429" s="9" t="s">
        <v>2749</v>
      </c>
      <c r="K1429" s="3" t="s">
        <v>15176</v>
      </c>
      <c r="L1429" s="13">
        <v>209</v>
      </c>
      <c r="M1429" t="str">
        <f>VLOOKUP(L1429,[1]Mouse_ARA!$B$2:$C$1328,2,FALSE)</f>
        <v>LAV</v>
      </c>
    </row>
    <row r="1430" spans="2:13" x14ac:dyDescent="0.25">
      <c r="B1430" s="31" t="s">
        <v>25743</v>
      </c>
      <c r="C1430" s="20"/>
      <c r="D1430" s="25" t="s">
        <v>2751</v>
      </c>
      <c r="E1430" s="25"/>
      <c r="F1430" s="9" t="str">
        <f>HYPERLINK("https://www.ebi.ac.uk/ols/ontologies/uberon/terms?iri=http://purl.obolibrary.org/obo/UBERON_0035895","lateral visual area")</f>
        <v>lateral visual area</v>
      </c>
      <c r="G1430" s="9" t="s">
        <v>2750</v>
      </c>
      <c r="H1430" s="9" t="s">
        <v>18998</v>
      </c>
      <c r="I1430" s="9" t="s">
        <v>2751</v>
      </c>
      <c r="J1430" s="9" t="s">
        <v>2752</v>
      </c>
      <c r="K1430" s="3" t="s">
        <v>15176</v>
      </c>
      <c r="L1430" s="13">
        <v>409</v>
      </c>
      <c r="M1430" t="str">
        <f>VLOOKUP(L1430,[1]Mouse_ARA!$B$2:$C$1328,2,FALSE)</f>
        <v>VISl</v>
      </c>
    </row>
    <row r="1431" spans="2:13" x14ac:dyDescent="0.25">
      <c r="B1431" s="31" t="s">
        <v>25743</v>
      </c>
      <c r="C1431" s="20"/>
      <c r="D1431" s="25" t="s">
        <v>2754</v>
      </c>
      <c r="E1431" s="25"/>
      <c r="F1431" s="9" t="str">
        <f>HYPERLINK("https://www.ebi.ac.uk/ols/ontologies/uberon/terms?iri=http://purl.obolibrary.org/obo/UBERON_0035915","lateral visual area, layer 4")</f>
        <v>lateral visual area, layer 4</v>
      </c>
      <c r="G1431" s="9" t="s">
        <v>2753</v>
      </c>
      <c r="H1431" s="9" t="s">
        <v>19004</v>
      </c>
      <c r="I1431" s="9" t="s">
        <v>2754</v>
      </c>
      <c r="J1431" s="9" t="s">
        <v>2755</v>
      </c>
      <c r="K1431" s="3" t="s">
        <v>15176</v>
      </c>
      <c r="L1431" s="13">
        <v>573</v>
      </c>
      <c r="M1431" t="str">
        <f>VLOOKUP(L1431,[1]Mouse_ARA!$B$2:$C$1328,2,FALSE)</f>
        <v>VISl4</v>
      </c>
    </row>
    <row r="1432" spans="2:13" x14ac:dyDescent="0.25">
      <c r="B1432" s="31" t="s">
        <v>25743</v>
      </c>
      <c r="C1432" s="20"/>
      <c r="D1432" s="25" t="s">
        <v>2757</v>
      </c>
      <c r="E1432" s="25"/>
      <c r="F1432" s="9" t="str">
        <f>HYPERLINK("https://www.ebi.ac.uk/ols/ontologies/uberon/terms?iri=http://purl.obolibrary.org/obo/UBERON_0035916","lateral visual area, layer 5")</f>
        <v>lateral visual area, layer 5</v>
      </c>
      <c r="G1432" s="9" t="s">
        <v>2756</v>
      </c>
      <c r="H1432" s="9" t="s">
        <v>19006</v>
      </c>
      <c r="I1432" s="9" t="s">
        <v>2757</v>
      </c>
      <c r="J1432" s="9" t="s">
        <v>2758</v>
      </c>
      <c r="K1432" s="3" t="s">
        <v>15176</v>
      </c>
      <c r="L1432" s="13">
        <v>613</v>
      </c>
      <c r="M1432" t="str">
        <f>VLOOKUP(L1432,[1]Mouse_ARA!$B$2:$C$1328,2,FALSE)</f>
        <v>VISl5</v>
      </c>
    </row>
    <row r="1433" spans="2:13" x14ac:dyDescent="0.25">
      <c r="B1433" s="31" t="s">
        <v>25743</v>
      </c>
      <c r="C1433" s="20"/>
      <c r="D1433" s="25" t="s">
        <v>2760</v>
      </c>
      <c r="E1433" s="25"/>
      <c r="F1433" s="9" t="str">
        <f>HYPERLINK("https://www.ebi.ac.uk/ols/ontologies/uberon/terms?iri=http://purl.obolibrary.org/obo/UBERON_0035918","lateral visual area, layer 6a")</f>
        <v>lateral visual area, layer 6a</v>
      </c>
      <c r="G1433" s="9" t="s">
        <v>2759</v>
      </c>
      <c r="H1433" s="9" t="s">
        <v>19008</v>
      </c>
      <c r="I1433" s="9" t="s">
        <v>2760</v>
      </c>
      <c r="J1433" s="9" t="s">
        <v>2761</v>
      </c>
      <c r="K1433" s="3" t="s">
        <v>15176</v>
      </c>
      <c r="L1433" s="13">
        <v>74</v>
      </c>
      <c r="M1433" t="str">
        <f>VLOOKUP(L1433,[1]Mouse_ARA!$B$2:$C$1328,2,FALSE)</f>
        <v>VISl6a</v>
      </c>
    </row>
    <row r="1434" spans="2:13" x14ac:dyDescent="0.25">
      <c r="B1434" s="31" t="s">
        <v>25743</v>
      </c>
      <c r="C1434" s="20"/>
      <c r="D1434" s="25" t="s">
        <v>25999</v>
      </c>
      <c r="E1434" s="25"/>
      <c r="F1434" s="9" t="str">
        <f>HYPERLINK("https://www.ebi.ac.uk/ols/ontologies/uberon/terms?iri=http://purl.obolibrary.org/obo/UBERON_0002273","lateral zone of hypothalamus")</f>
        <v>lateral zone of hypothalamus</v>
      </c>
      <c r="G1434" s="9" t="s">
        <v>2762</v>
      </c>
      <c r="H1434" s="9" t="s">
        <v>20137</v>
      </c>
      <c r="I1434" s="9" t="s">
        <v>2763</v>
      </c>
      <c r="J1434" s="9" t="s">
        <v>2764</v>
      </c>
      <c r="K1434" s="3" t="s">
        <v>15176</v>
      </c>
      <c r="L1434" s="13">
        <v>290</v>
      </c>
      <c r="M1434" t="str">
        <f>VLOOKUP(L1434,[1]Mouse_ARA!$B$2:$C$1328,2,FALSE)</f>
        <v>LZ</v>
      </c>
    </row>
    <row r="1435" spans="2:13" x14ac:dyDescent="0.25">
      <c r="B1435" s="31" t="s">
        <v>25743</v>
      </c>
      <c r="C1435" s="20"/>
      <c r="D1435" s="25" t="s">
        <v>2261</v>
      </c>
      <c r="E1435" s="25"/>
      <c r="F1435" s="9" t="str">
        <f>HYPERLINK("https://www.ebi.ac.uk/ols/ontologies/uberon/terms?iri=http://purl.obolibrary.org/obo/UBERON_0002267","laterodorsal tegmental nucleus")</f>
        <v>laterodorsal tegmental nucleus</v>
      </c>
      <c r="G1435" s="9" t="s">
        <v>2765</v>
      </c>
      <c r="H1435" s="9" t="s">
        <v>17411</v>
      </c>
      <c r="I1435" s="9" t="s">
        <v>2261</v>
      </c>
      <c r="J1435" s="9" t="s">
        <v>2262</v>
      </c>
      <c r="K1435" s="4" t="s">
        <v>15175</v>
      </c>
      <c r="L1435" s="13">
        <v>12519</v>
      </c>
      <c r="M1435" t="str">
        <f>VLOOKUP(L1435,[1]Human_BrainSpan!$B$2:$C$4000,2,FALSE)</f>
        <v>LDTg</v>
      </c>
    </row>
    <row r="1436" spans="2:13" x14ac:dyDescent="0.25">
      <c r="B1436" s="31" t="s">
        <v>25743</v>
      </c>
      <c r="C1436" s="20"/>
      <c r="D1436" s="25" t="s">
        <v>2261</v>
      </c>
      <c r="E1436" s="25"/>
      <c r="F1436" s="9" t="str">
        <f>HYPERLINK("https://www.ebi.ac.uk/ols/ontologies/uberon/terms?iri=http://purl.obolibrary.org/obo/UBERON_0002267","laterodorsal tegmental nucleus")</f>
        <v>laterodorsal tegmental nucleus</v>
      </c>
      <c r="G1436" s="9" t="s">
        <v>2765</v>
      </c>
      <c r="H1436" s="9" t="s">
        <v>17411</v>
      </c>
      <c r="I1436" s="9" t="s">
        <v>2261</v>
      </c>
      <c r="J1436" s="9" t="s">
        <v>2265</v>
      </c>
      <c r="K1436" s="5" t="s">
        <v>15173</v>
      </c>
      <c r="L1436" s="13">
        <v>16964</v>
      </c>
      <c r="M1436" t="str">
        <f>VLOOKUP(L1436,[1]DevMouse!$B$2:$C$2693,2,FALSE)</f>
        <v>LDTg</v>
      </c>
    </row>
    <row r="1437" spans="2:13" x14ac:dyDescent="0.25">
      <c r="B1437" s="31" t="s">
        <v>25743</v>
      </c>
      <c r="C1437" s="20"/>
      <c r="D1437" s="25" t="s">
        <v>2261</v>
      </c>
      <c r="E1437" s="25"/>
      <c r="F1437" s="9" t="str">
        <f>HYPERLINK("https://www.ebi.ac.uk/ols/ontologies/uberon/terms?iri=http://purl.obolibrary.org/obo/UBERON_0002267","laterodorsal tegmental nucleus")</f>
        <v>laterodorsal tegmental nucleus</v>
      </c>
      <c r="G1437" s="9" t="s">
        <v>2765</v>
      </c>
      <c r="H1437" s="9" t="s">
        <v>20379</v>
      </c>
      <c r="I1437" s="9" t="s">
        <v>2261</v>
      </c>
      <c r="J1437" s="9" t="s">
        <v>2277</v>
      </c>
      <c r="K1437" s="3" t="s">
        <v>15176</v>
      </c>
      <c r="L1437" s="13">
        <v>162</v>
      </c>
      <c r="M1437" t="str">
        <f>VLOOKUP(L1437,[1]Mouse_ARA!$B$2:$C$1328,2,FALSE)</f>
        <v>LDT</v>
      </c>
    </row>
    <row r="1438" spans="2:13" x14ac:dyDescent="0.25">
      <c r="B1438" s="31" t="s">
        <v>26303</v>
      </c>
      <c r="C1438" s="25" t="s">
        <v>25862</v>
      </c>
      <c r="D1438" s="25" t="s">
        <v>26000</v>
      </c>
      <c r="E1438" s="25"/>
      <c r="F1438" s="9" t="str">
        <f>HYPERLINK("https://www.ebi.ac.uk/ols/ontologies/uberon/terms?iri=http://purl.obolibrary.org/obo/UBERON_0002301","layer of neocortex")</f>
        <v>layer of neocortex</v>
      </c>
      <c r="G1438" s="9" t="s">
        <v>2766</v>
      </c>
      <c r="H1438" s="9" t="s">
        <v>21586</v>
      </c>
      <c r="I1438" s="9" t="s">
        <v>1188</v>
      </c>
      <c r="J1438" s="9" t="s">
        <v>1189</v>
      </c>
      <c r="K1438" s="6" t="s">
        <v>15174</v>
      </c>
      <c r="L1438" s="13">
        <v>294021970</v>
      </c>
      <c r="M1438" t="str">
        <f>VLOOKUP(L1438,[1]NonHumanPrimate!$B$2:$C$4000,2,FALSE)</f>
        <v>SZ</v>
      </c>
    </row>
    <row r="1439" spans="2:13" x14ac:dyDescent="0.25">
      <c r="B1439" s="31" t="s">
        <v>25743</v>
      </c>
      <c r="C1439" s="20"/>
      <c r="D1439" s="25" t="s">
        <v>26001</v>
      </c>
      <c r="E1439" s="25"/>
      <c r="F1439" s="9" t="str">
        <f>HYPERLINK("https://www.ebi.ac.uk/ols/ontologies/uberon/terms?iri=http://purl.obolibrary.org/obo/UBERON_0008884","left putamen")</f>
        <v>left putamen</v>
      </c>
      <c r="G1439" s="9" t="s">
        <v>2767</v>
      </c>
      <c r="H1439" s="9" t="s">
        <v>23250</v>
      </c>
      <c r="I1439" s="9" t="s">
        <v>2768</v>
      </c>
      <c r="J1439" s="9" t="s">
        <v>2769</v>
      </c>
      <c r="K1439" s="7" t="s">
        <v>15171</v>
      </c>
      <c r="L1439" s="13">
        <v>4288</v>
      </c>
      <c r="M1439" t="str">
        <f>VLOOKUP(L1439,[1]HBA!$B$2:$C$4000,2,FALSE)</f>
        <v>Pu</v>
      </c>
    </row>
    <row r="1440" spans="2:13" x14ac:dyDescent="0.25">
      <c r="B1440" s="31" t="s">
        <v>25743</v>
      </c>
      <c r="C1440" s="20"/>
      <c r="D1440" s="25" t="s">
        <v>2771</v>
      </c>
      <c r="E1440" s="25"/>
      <c r="F1440" s="9" t="str">
        <f>HYPERLINK("https://www.ebi.ac.uk/ols/ontologies/uberon/terms?iri=http://purl.obolibrary.org/obo/UBERON_0014529","lenticular fasciculus")</f>
        <v>lenticular fasciculus</v>
      </c>
      <c r="G1440" s="9" t="s">
        <v>2770</v>
      </c>
      <c r="H1440" s="9" t="s">
        <v>23610</v>
      </c>
      <c r="I1440" s="9" t="s">
        <v>2771</v>
      </c>
      <c r="J1440" s="9" t="s">
        <v>2772</v>
      </c>
      <c r="K1440" s="4" t="s">
        <v>15175</v>
      </c>
      <c r="L1440" s="13">
        <v>10585</v>
      </c>
      <c r="M1440" t="str">
        <f>VLOOKUP(L1440,[1]Human_BrainSpan!$B$2:$C$4000,2,FALSE)</f>
        <v>lf</v>
      </c>
    </row>
    <row r="1441" spans="2:13" x14ac:dyDescent="0.25">
      <c r="B1441" s="31" t="s">
        <v>25743</v>
      </c>
      <c r="C1441" s="20"/>
      <c r="D1441" s="25" t="s">
        <v>2771</v>
      </c>
      <c r="E1441" s="25"/>
      <c r="F1441" s="9" t="str">
        <f>HYPERLINK("https://www.ebi.ac.uk/ols/ontologies/uberon/terms?iri=http://purl.obolibrary.org/obo/UBERON_0014529","lenticular fasciculus")</f>
        <v>lenticular fasciculus</v>
      </c>
      <c r="G1441" s="9" t="s">
        <v>2770</v>
      </c>
      <c r="H1441" s="9" t="s">
        <v>25489</v>
      </c>
      <c r="I1441" s="9" t="s">
        <v>2771</v>
      </c>
      <c r="J1441" s="9" t="s">
        <v>2773</v>
      </c>
      <c r="K1441" s="7" t="s">
        <v>15171</v>
      </c>
      <c r="L1441" s="13">
        <v>265505158</v>
      </c>
      <c r="M1441" t="str">
        <f>VLOOKUP(L1441,[1]HBA!$B$2:$C$4000,2,FALSE)</f>
        <v>lef</v>
      </c>
    </row>
    <row r="1442" spans="2:13" x14ac:dyDescent="0.25">
      <c r="B1442" s="31" t="s">
        <v>25743</v>
      </c>
      <c r="C1442" s="20"/>
      <c r="D1442" s="25" t="s">
        <v>2775</v>
      </c>
      <c r="E1442" s="25"/>
      <c r="F1442" s="9" t="str">
        <f>HYPERLINK("https://www.ebi.ac.uk/ols/ontologies/uberon/terms?iri=http://purl.obolibrary.org/obo/UBERON_0002600","limbic lobe")</f>
        <v>limbic lobe</v>
      </c>
      <c r="G1442" s="9" t="s">
        <v>2774</v>
      </c>
      <c r="H1442" s="9" t="s">
        <v>23846</v>
      </c>
      <c r="I1442" s="9" t="s">
        <v>2775</v>
      </c>
      <c r="J1442" s="9" t="s">
        <v>2776</v>
      </c>
      <c r="K1442" s="4" t="s">
        <v>15175</v>
      </c>
      <c r="L1442" s="13">
        <v>12155</v>
      </c>
      <c r="M1442" t="str">
        <f>VLOOKUP(L1442,[1]Human_BrainSpan!$B$2:$C$4000,2,FALSE)</f>
        <v>LimL</v>
      </c>
    </row>
    <row r="1443" spans="2:13" x14ac:dyDescent="0.25">
      <c r="B1443" s="31" t="s">
        <v>25743</v>
      </c>
      <c r="C1443" s="20"/>
      <c r="D1443" s="25" t="s">
        <v>2775</v>
      </c>
      <c r="E1443" s="25"/>
      <c r="F1443" s="9" t="str">
        <f>HYPERLINK("https://www.ebi.ac.uk/ols/ontologies/uberon/terms?iri=http://purl.obolibrary.org/obo/UBERON_0002600","limbic lobe")</f>
        <v>limbic lobe</v>
      </c>
      <c r="G1443" s="9" t="s">
        <v>2774</v>
      </c>
      <c r="H1443" s="9" t="s">
        <v>24782</v>
      </c>
      <c r="I1443" s="9" t="s">
        <v>2775</v>
      </c>
      <c r="J1443" s="9" t="s">
        <v>2777</v>
      </c>
      <c r="K1443" s="7" t="s">
        <v>15171</v>
      </c>
      <c r="L1443" s="13">
        <v>4219</v>
      </c>
      <c r="M1443" t="str">
        <f>VLOOKUP(L1443,[1]HBA!$B$2:$C$4000,2,FALSE)</f>
        <v>LL</v>
      </c>
    </row>
    <row r="1444" spans="2:13" x14ac:dyDescent="0.25">
      <c r="B1444" s="31" t="s">
        <v>25743</v>
      </c>
      <c r="C1444" s="20"/>
      <c r="D1444" s="25" t="s">
        <v>26002</v>
      </c>
      <c r="E1444" s="25"/>
      <c r="F1444" s="9" t="str">
        <f>HYPERLINK("https://www.ebi.ac.uk/ols/ontologies/uberon/terms?iri=http://purl.obolibrary.org/obo/UBERON_0002724","limen of insula")</f>
        <v>limen of insula</v>
      </c>
      <c r="G1444" s="9" t="s">
        <v>2778</v>
      </c>
      <c r="H1444" s="9" t="s">
        <v>23874</v>
      </c>
      <c r="I1444" s="9" t="s">
        <v>2779</v>
      </c>
      <c r="J1444" s="9" t="s">
        <v>2780</v>
      </c>
      <c r="K1444" s="4" t="s">
        <v>15175</v>
      </c>
      <c r="L1444" s="13">
        <v>12179</v>
      </c>
      <c r="M1444" t="str">
        <f>VLOOKUP(L1444,[1]Human_BrainSpan!$B$2:$C$4000,2,FALSE)</f>
        <v>LI</v>
      </c>
    </row>
    <row r="1445" spans="2:13" x14ac:dyDescent="0.25">
      <c r="B1445" s="31" t="s">
        <v>25743</v>
      </c>
      <c r="C1445" s="20"/>
      <c r="D1445" s="25" t="s">
        <v>2782</v>
      </c>
      <c r="E1445" s="25"/>
      <c r="F1445" s="9" t="str">
        <f>HYPERLINK("https://www.ebi.ac.uk/ols/ontologies/uberon/terms?iri=http://purl.obolibrary.org/obo/UBERON_0003026","limitans nucleus")</f>
        <v>limitans nucleus</v>
      </c>
      <c r="G1445" s="9" t="s">
        <v>2781</v>
      </c>
      <c r="H1445" s="9" t="s">
        <v>16544</v>
      </c>
      <c r="I1445" s="9" t="s">
        <v>2782</v>
      </c>
      <c r="J1445" s="9" t="s">
        <v>2783</v>
      </c>
      <c r="K1445" s="4" t="s">
        <v>15175</v>
      </c>
      <c r="L1445" s="13">
        <v>13043</v>
      </c>
      <c r="M1445" t="str">
        <f>VLOOKUP(L1445,[1]Human_BrainSpan!$B$2:$C$4000,2,FALSE)</f>
        <v>Lim</v>
      </c>
    </row>
    <row r="1446" spans="2:13" x14ac:dyDescent="0.25">
      <c r="B1446" s="31" t="s">
        <v>25743</v>
      </c>
      <c r="C1446" s="20"/>
      <c r="D1446" s="25" t="s">
        <v>2782</v>
      </c>
      <c r="E1446" s="25"/>
      <c r="F1446" s="9" t="str">
        <f>HYPERLINK("https://www.ebi.ac.uk/ols/ontologies/uberon/terms?iri=http://purl.obolibrary.org/obo/UBERON_0003026","limitans nucleus")</f>
        <v>limitans nucleus</v>
      </c>
      <c r="G1446" s="9" t="s">
        <v>2781</v>
      </c>
      <c r="H1446" s="9" t="s">
        <v>24355</v>
      </c>
      <c r="I1446" s="9" t="s">
        <v>2784</v>
      </c>
      <c r="J1446" s="9" t="s">
        <v>2785</v>
      </c>
      <c r="K1446" s="7" t="s">
        <v>15171</v>
      </c>
      <c r="L1446" s="13">
        <v>4429</v>
      </c>
      <c r="M1446" t="str">
        <f>VLOOKUP(L1446,[1]HBA!$B$2:$C$4000,2,FALSE)</f>
        <v>L</v>
      </c>
    </row>
    <row r="1447" spans="2:13" x14ac:dyDescent="0.25">
      <c r="B1447" s="31" t="s">
        <v>25743</v>
      </c>
      <c r="C1447" s="20"/>
      <c r="D1447" s="25" t="s">
        <v>26003</v>
      </c>
      <c r="E1447" s="25"/>
      <c r="F1447" s="9" t="str">
        <f>HYPERLINK("https://www.ebi.ac.uk/ols/ontologies/uberon/terms?iri=http://purl.obolibrary.org/obo/UBERON_0002557","linear nucleus")</f>
        <v>linear nucleus</v>
      </c>
      <c r="G1447" s="9" t="s">
        <v>2786</v>
      </c>
      <c r="H1447" s="9" t="s">
        <v>23969</v>
      </c>
      <c r="I1447" s="9" t="s">
        <v>2787</v>
      </c>
      <c r="J1447" s="9" t="s">
        <v>2788</v>
      </c>
      <c r="K1447" s="4" t="s">
        <v>15175</v>
      </c>
      <c r="L1447" s="13">
        <v>12230</v>
      </c>
      <c r="M1447" t="str">
        <f>VLOOKUP(L1447,[1]Human_BrainSpan!$B$2:$C$4000,2,FALSE)</f>
        <v>Lin</v>
      </c>
    </row>
    <row r="1448" spans="2:13" x14ac:dyDescent="0.25">
      <c r="B1448" s="31" t="s">
        <v>25743</v>
      </c>
      <c r="C1448" s="20"/>
      <c r="D1448" s="25" t="s">
        <v>2790</v>
      </c>
      <c r="E1448" s="25"/>
      <c r="F1448" s="9" t="str">
        <f>HYPERLINK("https://www.ebi.ac.uk/ols/ontologies/uberon/terms?iri=http://purl.obolibrary.org/obo/UBERON_0002943","lingual gyrus")</f>
        <v>lingual gyrus</v>
      </c>
      <c r="G1448" s="9" t="s">
        <v>2789</v>
      </c>
      <c r="H1448" s="9" t="s">
        <v>23839</v>
      </c>
      <c r="I1448" s="9" t="s">
        <v>2790</v>
      </c>
      <c r="J1448" s="9" t="s">
        <v>2791</v>
      </c>
      <c r="K1448" s="4" t="s">
        <v>15175</v>
      </c>
      <c r="L1448" s="13">
        <v>12151</v>
      </c>
      <c r="M1448" t="str">
        <f>VLOOKUP(L1448,[1]Human_BrainSpan!$B$2:$C$4000,2,FALSE)</f>
        <v>LiG</v>
      </c>
    </row>
    <row r="1449" spans="2:13" x14ac:dyDescent="0.25">
      <c r="B1449" s="31" t="s">
        <v>25743</v>
      </c>
      <c r="C1449" s="20"/>
      <c r="D1449" s="25" t="s">
        <v>2790</v>
      </c>
      <c r="E1449" s="25"/>
      <c r="F1449" s="9" t="str">
        <f>HYPERLINK("https://www.ebi.ac.uk/ols/ontologies/uberon/terms?iri=http://purl.obolibrary.org/obo/UBERON_0002943","lingual gyrus")</f>
        <v>lingual gyrus</v>
      </c>
      <c r="G1449" s="9" t="s">
        <v>2789</v>
      </c>
      <c r="H1449" s="9" t="s">
        <v>23839</v>
      </c>
      <c r="I1449" s="9" t="s">
        <v>2790</v>
      </c>
      <c r="J1449" s="9" t="s">
        <v>2792</v>
      </c>
      <c r="K1449" s="7" t="s">
        <v>15171</v>
      </c>
      <c r="L1449" s="13">
        <v>4191</v>
      </c>
      <c r="M1449" t="str">
        <f>VLOOKUP(L1449,[1]HBA!$B$2:$C$4000,2,FALSE)</f>
        <v>LiG</v>
      </c>
    </row>
    <row r="1450" spans="2:13" x14ac:dyDescent="0.25">
      <c r="B1450" s="31" t="s">
        <v>25743</v>
      </c>
      <c r="C1450" s="20"/>
      <c r="D1450" s="25" t="s">
        <v>26004</v>
      </c>
      <c r="E1450" s="25"/>
      <c r="F1450" s="9" t="str">
        <f>HYPERLINK("https://www.ebi.ac.uk/ols/ontologies/uberon/terms?iri=http://purl.obolibrary.org/obo/UBERON_0005350","lobule simplex")</f>
        <v>lobule simplex</v>
      </c>
      <c r="G1450" s="9" t="s">
        <v>2793</v>
      </c>
      <c r="H1450" s="9" t="s">
        <v>17380</v>
      </c>
      <c r="I1450" s="9" t="s">
        <v>2794</v>
      </c>
      <c r="J1450" s="9" t="s">
        <v>2795</v>
      </c>
      <c r="K1450" s="5" t="s">
        <v>15173</v>
      </c>
      <c r="L1450" s="13">
        <v>16940</v>
      </c>
      <c r="M1450" t="str">
        <f>VLOOKUP(L1450,[1]DevMouse!$B$2:$C$2693,2,FALSE)</f>
        <v>Sim</v>
      </c>
    </row>
    <row r="1451" spans="2:13" x14ac:dyDescent="0.25">
      <c r="B1451" s="31" t="s">
        <v>25743</v>
      </c>
      <c r="C1451" s="20"/>
      <c r="D1451" s="25" t="s">
        <v>26004</v>
      </c>
      <c r="E1451" s="25"/>
      <c r="F1451" s="9" t="str">
        <f>HYPERLINK("https://www.ebi.ac.uk/ols/ontologies/uberon/terms?iri=http://purl.obolibrary.org/obo/UBERON_0005350","lobule simplex")</f>
        <v>lobule simplex</v>
      </c>
      <c r="G1451" s="9" t="s">
        <v>2793</v>
      </c>
      <c r="H1451" s="9" t="s">
        <v>20654</v>
      </c>
      <c r="I1451" s="9" t="s">
        <v>2794</v>
      </c>
      <c r="J1451" s="9" t="s">
        <v>2796</v>
      </c>
      <c r="K1451" s="3" t="s">
        <v>15176</v>
      </c>
      <c r="L1451" s="13">
        <v>1007</v>
      </c>
      <c r="M1451" t="str">
        <f>VLOOKUP(L1451,[1]Mouse_ARA!$B$2:$C$1328,2,FALSE)</f>
        <v>SIM</v>
      </c>
    </row>
    <row r="1452" spans="2:13" x14ac:dyDescent="0.25">
      <c r="B1452" s="31" t="s">
        <v>25743</v>
      </c>
      <c r="C1452" s="20"/>
      <c r="D1452" s="25" t="s">
        <v>2801</v>
      </c>
      <c r="E1452" s="25"/>
      <c r="F1452" s="9" t="str">
        <f>HYPERLINK("https://www.ebi.ac.uk/ols/ontologies/uberon/terms?iri=http://purl.obolibrary.org/obo/UBERON_0002148","locus ceruleus")</f>
        <v>locus ceruleus</v>
      </c>
      <c r="G1452" s="9" t="s">
        <v>2797</v>
      </c>
      <c r="H1452" s="9" t="s">
        <v>17425</v>
      </c>
      <c r="I1452" s="9" t="s">
        <v>2798</v>
      </c>
      <c r="J1452" s="9" t="s">
        <v>2799</v>
      </c>
      <c r="K1452" s="4" t="s">
        <v>15175</v>
      </c>
      <c r="L1452" s="13">
        <v>12819</v>
      </c>
      <c r="M1452" t="str">
        <f>VLOOKUP(L1452,[1]Human_BrainSpan!$B$2:$C$4000,2,FALSE)</f>
        <v>LC</v>
      </c>
    </row>
    <row r="1453" spans="2:13" x14ac:dyDescent="0.25">
      <c r="B1453" s="31" t="s">
        <v>25743</v>
      </c>
      <c r="C1453" s="20"/>
      <c r="D1453" s="25" t="s">
        <v>2801</v>
      </c>
      <c r="E1453" s="25"/>
      <c r="F1453" s="9" t="str">
        <f>HYPERLINK("https://www.ebi.ac.uk/ols/ontologies/uberon/terms?iri=http://purl.obolibrary.org/obo/UBERON_0002148","locus ceruleus")</f>
        <v>locus ceruleus</v>
      </c>
      <c r="G1453" s="9" t="s">
        <v>2797</v>
      </c>
      <c r="H1453" s="9" t="s">
        <v>17425</v>
      </c>
      <c r="I1453" s="9" t="s">
        <v>2798</v>
      </c>
      <c r="J1453" s="9" t="s">
        <v>2800</v>
      </c>
      <c r="K1453" s="5" t="s">
        <v>15173</v>
      </c>
      <c r="L1453" s="13">
        <v>16972</v>
      </c>
      <c r="M1453" t="str">
        <f>VLOOKUP(L1453,[1]DevMouse!$B$2:$C$2693,2,FALSE)</f>
        <v>LC</v>
      </c>
    </row>
    <row r="1454" spans="2:13" x14ac:dyDescent="0.25">
      <c r="B1454" s="31" t="s">
        <v>25743</v>
      </c>
      <c r="C1454" s="20"/>
      <c r="D1454" s="25" t="s">
        <v>2801</v>
      </c>
      <c r="E1454" s="25"/>
      <c r="F1454" s="9" t="str">
        <f>HYPERLINK("https://www.ebi.ac.uk/ols/ontologies/uberon/terms?iri=http://purl.obolibrary.org/obo/UBERON_0002148","locus ceruleus")</f>
        <v>locus ceruleus</v>
      </c>
      <c r="G1454" s="9" t="s">
        <v>2797</v>
      </c>
      <c r="H1454" s="9" t="s">
        <v>17425</v>
      </c>
      <c r="I1454" s="9" t="s">
        <v>2801</v>
      </c>
      <c r="J1454" s="9" t="s">
        <v>2802</v>
      </c>
      <c r="K1454" s="7" t="s">
        <v>15171</v>
      </c>
      <c r="L1454" s="13">
        <v>9148</v>
      </c>
      <c r="M1454" t="str">
        <f>VLOOKUP(L1454,[1]HBA!$B$2:$C$4000,2,FALSE)</f>
        <v>LC</v>
      </c>
    </row>
    <row r="1455" spans="2:13" x14ac:dyDescent="0.25">
      <c r="B1455" s="31" t="s">
        <v>25743</v>
      </c>
      <c r="C1455" s="20"/>
      <c r="D1455" s="25" t="s">
        <v>2801</v>
      </c>
      <c r="E1455" s="25"/>
      <c r="F1455" s="9" t="str">
        <f>HYPERLINK("https://www.ebi.ac.uk/ols/ontologies/uberon/terms?iri=http://purl.obolibrary.org/obo/UBERON_0002148","locus ceruleus")</f>
        <v>locus ceruleus</v>
      </c>
      <c r="G1455" s="9" t="s">
        <v>2797</v>
      </c>
      <c r="H1455" s="9" t="s">
        <v>17425</v>
      </c>
      <c r="I1455" s="9" t="s">
        <v>2801</v>
      </c>
      <c r="J1455" s="9" t="s">
        <v>2803</v>
      </c>
      <c r="K1455" s="3" t="s">
        <v>15176</v>
      </c>
      <c r="L1455" s="13">
        <v>147</v>
      </c>
      <c r="M1455" t="str">
        <f>VLOOKUP(L1455,[1]Mouse_ARA!$B$2:$C$1328,2,FALSE)</f>
        <v>LC</v>
      </c>
    </row>
    <row r="1456" spans="2:13" x14ac:dyDescent="0.25">
      <c r="B1456" s="31" t="s">
        <v>25743</v>
      </c>
      <c r="C1456" s="20"/>
      <c r="D1456" s="25" t="s">
        <v>2805</v>
      </c>
      <c r="E1456" s="25"/>
      <c r="F1456" s="9" t="str">
        <f>HYPERLINK("https://www.ebi.ac.uk/ols/ontologies/uberon/terms?iri=http://purl.obolibrary.org/obo/UBERON_0002921","longitudinal fissure")</f>
        <v>longitudinal fissure</v>
      </c>
      <c r="G1456" s="9" t="s">
        <v>2804</v>
      </c>
      <c r="H1456" s="9" t="s">
        <v>23716</v>
      </c>
      <c r="I1456" s="9" t="s">
        <v>2805</v>
      </c>
      <c r="J1456" s="9" t="s">
        <v>2806</v>
      </c>
      <c r="K1456" s="4" t="s">
        <v>15175</v>
      </c>
      <c r="L1456" s="13">
        <v>10622</v>
      </c>
      <c r="M1456" t="str">
        <f>VLOOKUP(L1456,[1]Human_BrainSpan!$B$2:$C$4000,2,FALSE)</f>
        <v>los</v>
      </c>
    </row>
    <row r="1457" spans="2:13" x14ac:dyDescent="0.25">
      <c r="B1457" s="31" t="s">
        <v>25743</v>
      </c>
      <c r="C1457" s="20"/>
      <c r="D1457" s="25" t="s">
        <v>2805</v>
      </c>
      <c r="E1457" s="25"/>
      <c r="F1457" s="9" t="str">
        <f>HYPERLINK("https://www.ebi.ac.uk/ols/ontologies/uberon/terms?iri=http://purl.obolibrary.org/obo/UBERON_0002921","longitudinal fissure")</f>
        <v>longitudinal fissure</v>
      </c>
      <c r="G1457" s="9" t="s">
        <v>2804</v>
      </c>
      <c r="H1457" s="9" t="s">
        <v>23610</v>
      </c>
      <c r="I1457" s="9" t="s">
        <v>2805</v>
      </c>
      <c r="J1457" s="9" t="s">
        <v>2807</v>
      </c>
      <c r="K1457" s="7" t="s">
        <v>15171</v>
      </c>
      <c r="L1457" s="13">
        <v>9401</v>
      </c>
      <c r="M1457" t="str">
        <f>VLOOKUP(L1457,[1]HBA!$B$2:$C$4000,2,FALSE)</f>
        <v>lf</v>
      </c>
    </row>
    <row r="1458" spans="2:13" x14ac:dyDescent="0.25">
      <c r="B1458" s="31" t="s">
        <v>25743</v>
      </c>
      <c r="C1458" s="20"/>
      <c r="D1458" s="25" t="s">
        <v>26005</v>
      </c>
      <c r="E1458" s="25"/>
      <c r="F1458" s="9" t="str">
        <f>HYPERLINK("https://www.ebi.ac.uk/ols/ontologies/uberon/terms?iri=http://purl.obolibrary.org/obo/UBERON_0002732","longitudinal pontine fibers")</f>
        <v>longitudinal pontine fibers</v>
      </c>
      <c r="G1458" s="9" t="s">
        <v>2808</v>
      </c>
      <c r="H1458" s="9" t="s">
        <v>24626</v>
      </c>
      <c r="I1458" s="9" t="s">
        <v>2809</v>
      </c>
      <c r="J1458" s="9" t="s">
        <v>2810</v>
      </c>
      <c r="K1458" s="4" t="s">
        <v>15175</v>
      </c>
      <c r="L1458" s="13">
        <v>12762</v>
      </c>
      <c r="M1458" t="str">
        <f>VLOOKUP(L1458,[1]Human_BrainSpan!$B$2:$C$4000,2,FALSE)</f>
        <v>lfpn</v>
      </c>
    </row>
    <row r="1459" spans="2:13" x14ac:dyDescent="0.25">
      <c r="B1459" s="31" t="s">
        <v>25743</v>
      </c>
      <c r="C1459" s="20"/>
      <c r="D1459" s="25" t="s">
        <v>26005</v>
      </c>
      <c r="E1459" s="25"/>
      <c r="F1459" s="9" t="str">
        <f>HYPERLINK("https://www.ebi.ac.uk/ols/ontologies/uberon/terms?iri=http://purl.obolibrary.org/obo/UBERON_0002732","longitudinal pontine fibers")</f>
        <v>longitudinal pontine fibers</v>
      </c>
      <c r="G1459" s="9" t="s">
        <v>2808</v>
      </c>
      <c r="H1459" s="9" t="s">
        <v>24626</v>
      </c>
      <c r="I1459" s="9" t="s">
        <v>2809</v>
      </c>
      <c r="J1459" s="9" t="s">
        <v>2811</v>
      </c>
      <c r="K1459" s="7" t="s">
        <v>15171</v>
      </c>
      <c r="L1459" s="13">
        <v>265505502</v>
      </c>
      <c r="M1459" t="str">
        <f>VLOOKUP(L1459,[1]HBA!$B$2:$C$4000,2,FALSE)</f>
        <v>lfpn</v>
      </c>
    </row>
    <row r="1460" spans="2:13" x14ac:dyDescent="0.25">
      <c r="B1460" s="31" t="s">
        <v>25743</v>
      </c>
      <c r="C1460" s="20"/>
      <c r="D1460" s="25" t="s">
        <v>26006</v>
      </c>
      <c r="E1460" s="25"/>
      <c r="F1460" s="9" t="str">
        <f>HYPERLINK("https://www.ebi.ac.uk/ols/ontologies/uberon/terms?iri=http://purl.obolibrary.org/obo/UBERON_0009840","lower rhombic lip")</f>
        <v>lower rhombic lip</v>
      </c>
      <c r="G1460" s="9" t="s">
        <v>2812</v>
      </c>
      <c r="H1460" s="9" t="s">
        <v>24554</v>
      </c>
      <c r="I1460" s="9" t="s">
        <v>2813</v>
      </c>
      <c r="J1460" s="9" t="s">
        <v>2814</v>
      </c>
      <c r="K1460" s="4" t="s">
        <v>15175</v>
      </c>
      <c r="L1460" s="13">
        <v>10666</v>
      </c>
      <c r="M1460" t="str">
        <f>VLOOKUP(L1460,[1]Human_BrainSpan!$B$2:$C$4000,2,FALSE)</f>
        <v>LRL</v>
      </c>
    </row>
    <row r="1461" spans="2:13" x14ac:dyDescent="0.25">
      <c r="B1461" s="31" t="s">
        <v>25743</v>
      </c>
      <c r="C1461" s="20"/>
      <c r="D1461" s="25" t="s">
        <v>2816</v>
      </c>
      <c r="E1461" s="25"/>
      <c r="F1461" s="9" t="str">
        <f>HYPERLINK("https://www.ebi.ac.uk/ols/ontologies/uberon/terms?iri=http://purl.obolibrary.org/obo/UBERON_0002903","lunate sulcus")</f>
        <v>lunate sulcus</v>
      </c>
      <c r="G1461" s="9" t="s">
        <v>2815</v>
      </c>
      <c r="H1461" s="9" t="s">
        <v>23750</v>
      </c>
      <c r="I1461" s="9" t="s">
        <v>2816</v>
      </c>
      <c r="J1461" s="9" t="s">
        <v>2817</v>
      </c>
      <c r="K1461" s="4" t="s">
        <v>15175</v>
      </c>
      <c r="L1461" s="13">
        <v>146034812</v>
      </c>
      <c r="M1461" t="str">
        <f>VLOOKUP(L1461,[1]Human_BrainSpan!$B$2:$C$4000,2,FALSE)</f>
        <v>lus</v>
      </c>
    </row>
    <row r="1462" spans="2:13" x14ac:dyDescent="0.25">
      <c r="B1462" s="31" t="s">
        <v>25743</v>
      </c>
      <c r="C1462" s="20"/>
      <c r="D1462" s="25" t="s">
        <v>2816</v>
      </c>
      <c r="E1462" s="25"/>
      <c r="F1462" s="9" t="str">
        <f>HYPERLINK("https://www.ebi.ac.uk/ols/ontologies/uberon/terms?iri=http://purl.obolibrary.org/obo/UBERON_0002903","lunate sulcus")</f>
        <v>lunate sulcus</v>
      </c>
      <c r="G1462" s="9" t="s">
        <v>2815</v>
      </c>
      <c r="H1462" s="9" t="s">
        <v>23750</v>
      </c>
      <c r="I1462" s="9" t="s">
        <v>2816</v>
      </c>
      <c r="J1462" s="9" t="s">
        <v>2818</v>
      </c>
      <c r="K1462" s="7" t="s">
        <v>15171</v>
      </c>
      <c r="L1462" s="13">
        <v>9390</v>
      </c>
      <c r="M1462" t="str">
        <f>VLOOKUP(L1462,[1]HBA!$B$2:$C$4000,2,FALSE)</f>
        <v>lus</v>
      </c>
    </row>
    <row r="1463" spans="2:13" x14ac:dyDescent="0.25">
      <c r="B1463" s="31" t="s">
        <v>25743</v>
      </c>
      <c r="C1463" s="20"/>
      <c r="D1463" s="25" t="s">
        <v>26007</v>
      </c>
      <c r="E1463" s="25"/>
      <c r="F1463" s="9" t="str">
        <f>HYPERLINK("https://www.ebi.ac.uk/ols/ontologies/uberon/terms?iri=http://purl.obolibrary.org/obo/UBERON_0013606","magnocellular layer of dorsal nucleus of lateral geniculate body")</f>
        <v>magnocellular layer of dorsal nucleus of lateral geniculate body</v>
      </c>
      <c r="G1463" s="9" t="s">
        <v>2819</v>
      </c>
      <c r="H1463" s="9" t="s">
        <v>23346</v>
      </c>
      <c r="I1463" s="9" t="s">
        <v>2820</v>
      </c>
      <c r="J1463" s="9" t="s">
        <v>2821</v>
      </c>
      <c r="K1463" s="4" t="s">
        <v>15175</v>
      </c>
      <c r="L1463" s="13">
        <v>10431</v>
      </c>
      <c r="M1463" t="str">
        <f>VLOOKUP(L1463,[1]Human_BrainSpan!$B$2:$C$4000,2,FALSE)</f>
        <v>DLGmc</v>
      </c>
    </row>
    <row r="1464" spans="2:13" x14ac:dyDescent="0.25">
      <c r="B1464" s="31" t="s">
        <v>25743</v>
      </c>
      <c r="C1464" s="20"/>
      <c r="D1464" s="25" t="s">
        <v>26007</v>
      </c>
      <c r="E1464" s="25"/>
      <c r="F1464" s="9" t="str">
        <f>HYPERLINK("https://www.ebi.ac.uk/ols/ontologies/uberon/terms?iri=http://purl.obolibrary.org/obo/UBERON_0013606","magnocellular layer of dorsal nucleus of lateral geniculate body")</f>
        <v>magnocellular layer of dorsal nucleus of lateral geniculate body</v>
      </c>
      <c r="G1464" s="9" t="s">
        <v>2819</v>
      </c>
      <c r="H1464" s="9" t="s">
        <v>23346</v>
      </c>
      <c r="I1464" s="9" t="s">
        <v>2822</v>
      </c>
      <c r="J1464" s="9" t="s">
        <v>2823</v>
      </c>
      <c r="K1464" s="6" t="s">
        <v>15174</v>
      </c>
      <c r="L1464" s="13">
        <v>128013078</v>
      </c>
      <c r="M1464" t="str">
        <f>VLOOKUP(L1464,[1]NonHumanPrimate!$B$2:$C$4000,2,FALSE)</f>
        <v>DLGmc</v>
      </c>
    </row>
    <row r="1465" spans="2:13" x14ac:dyDescent="0.25">
      <c r="B1465" s="31" t="s">
        <v>25743</v>
      </c>
      <c r="C1465" s="20"/>
      <c r="D1465" s="25" t="s">
        <v>26008</v>
      </c>
      <c r="E1465" s="25"/>
      <c r="F1465" s="9" t="str">
        <f>HYPERLINK("https://www.ebi.ac.uk/ols/ontologies/uberon/terms?iri=http://purl.obolibrary.org/obo/UBERON_0002759","magnocellular nucleus of medial geniculate body")</f>
        <v>magnocellular nucleus of medial geniculate body</v>
      </c>
      <c r="G1465" s="9" t="s">
        <v>2824</v>
      </c>
      <c r="H1465" s="9" t="s">
        <v>23371</v>
      </c>
      <c r="I1465" s="9" t="s">
        <v>2825</v>
      </c>
      <c r="J1465" s="9" t="s">
        <v>2826</v>
      </c>
      <c r="K1465" s="4" t="s">
        <v>15175</v>
      </c>
      <c r="L1465" s="13">
        <v>10439</v>
      </c>
      <c r="M1465" t="str">
        <f>VLOOKUP(L1465,[1]Human_BrainSpan!$B$2:$C$4000,2,FALSE)</f>
        <v>MMG</v>
      </c>
    </row>
    <row r="1466" spans="2:13" x14ac:dyDescent="0.25">
      <c r="B1466" s="31" t="s">
        <v>25743</v>
      </c>
      <c r="C1466" s="20"/>
      <c r="D1466" s="25" t="s">
        <v>26008</v>
      </c>
      <c r="E1466" s="25"/>
      <c r="F1466" s="9" t="str">
        <f>HYPERLINK("https://www.ebi.ac.uk/ols/ontologies/uberon/terms?iri=http://purl.obolibrary.org/obo/UBERON_0002759","magnocellular nucleus of medial geniculate body")</f>
        <v>magnocellular nucleus of medial geniculate body</v>
      </c>
      <c r="G1466" s="9" t="s">
        <v>2824</v>
      </c>
      <c r="H1466" s="9" t="s">
        <v>25151</v>
      </c>
      <c r="I1466" s="9" t="s">
        <v>2827</v>
      </c>
      <c r="J1466" s="9" t="s">
        <v>2828</v>
      </c>
      <c r="K1466" s="7" t="s">
        <v>15171</v>
      </c>
      <c r="L1466" s="13">
        <v>4448</v>
      </c>
      <c r="M1466" t="str">
        <f>VLOOKUP(L1466,[1]HBA!$B$2:$C$4000,2,FALSE)</f>
        <v>MGmc</v>
      </c>
    </row>
    <row r="1467" spans="2:13" x14ac:dyDescent="0.25">
      <c r="B1467" s="31" t="s">
        <v>25743</v>
      </c>
      <c r="C1467" s="20"/>
      <c r="D1467" s="25" t="s">
        <v>26008</v>
      </c>
      <c r="E1467" s="25"/>
      <c r="F1467" s="9" t="str">
        <f>HYPERLINK("https://www.ebi.ac.uk/ols/ontologies/uberon/terms?iri=http://purl.obolibrary.org/obo/UBERON_0002759","magnocellular nucleus of medial geniculate body")</f>
        <v>magnocellular nucleus of medial geniculate body</v>
      </c>
      <c r="G1467" s="9" t="s">
        <v>2824</v>
      </c>
      <c r="H1467" s="9" t="s">
        <v>19909</v>
      </c>
      <c r="I1467" s="9" t="s">
        <v>737</v>
      </c>
      <c r="J1467" s="9" t="s">
        <v>738</v>
      </c>
      <c r="K1467" s="3" t="s">
        <v>15176</v>
      </c>
      <c r="L1467" s="13">
        <v>1088</v>
      </c>
      <c r="M1467" t="str">
        <f>VLOOKUP(L1467,[1]Mouse_ARA!$B$2:$C$1328,2,FALSE)</f>
        <v>MGm</v>
      </c>
    </row>
    <row r="1468" spans="2:13" x14ac:dyDescent="0.25">
      <c r="B1468" s="31" t="s">
        <v>25743</v>
      </c>
      <c r="C1468" s="20"/>
      <c r="D1468" s="25" t="s">
        <v>26009</v>
      </c>
      <c r="E1468" s="25"/>
      <c r="F1468" s="9" t="str">
        <f>HYPERLINK("https://www.ebi.ac.uk/ols/ontologies/uberon/terms?iri=http://purl.obolibrary.org/obo/UBERON_0007627","magnocellular nucleus of stria terminalis")</f>
        <v>magnocellular nucleus of stria terminalis</v>
      </c>
      <c r="G1468" s="9" t="s">
        <v>2829</v>
      </c>
      <c r="H1468" s="9" t="s">
        <v>19851</v>
      </c>
      <c r="I1468" s="9" t="s">
        <v>2830</v>
      </c>
      <c r="J1468" s="9" t="s">
        <v>2831</v>
      </c>
      <c r="K1468" s="3" t="s">
        <v>15176</v>
      </c>
      <c r="L1468" s="13">
        <v>521</v>
      </c>
      <c r="M1468" t="str">
        <f>VLOOKUP(L1468,[1]Mouse_ARA!$B$2:$C$1328,2,FALSE)</f>
        <v>BSTmg</v>
      </c>
    </row>
    <row r="1469" spans="2:13" x14ac:dyDescent="0.25">
      <c r="B1469" s="31" t="s">
        <v>25743</v>
      </c>
      <c r="C1469" s="20"/>
      <c r="D1469" s="25" t="s">
        <v>26010</v>
      </c>
      <c r="E1469" s="25"/>
      <c r="F1469" s="9" t="str">
        <f>HYPERLINK("https://www.ebi.ac.uk/ols/ontologies/uberon/terms?iri=http://purl.obolibrary.org/obo/UBERON_0002647","magnocellular part of medial dorsal nucleus")</f>
        <v>magnocellular part of medial dorsal nucleus</v>
      </c>
      <c r="G1469" s="9" t="s">
        <v>2832</v>
      </c>
      <c r="H1469" s="9" t="s">
        <v>19952</v>
      </c>
      <c r="I1469" s="9" t="s">
        <v>2833</v>
      </c>
      <c r="J1469" s="9" t="s">
        <v>2834</v>
      </c>
      <c r="K1469" s="4" t="s">
        <v>15175</v>
      </c>
      <c r="L1469" s="13">
        <v>10400</v>
      </c>
      <c r="M1469" t="str">
        <f>VLOOKUP(L1469,[1]Human_BrainSpan!$B$2:$C$4000,2,FALSE)</f>
        <v>MDm</v>
      </c>
    </row>
    <row r="1470" spans="2:13" x14ac:dyDescent="0.25">
      <c r="B1470" s="31" t="s">
        <v>25743</v>
      </c>
      <c r="C1470" s="20"/>
      <c r="D1470" s="25" t="s">
        <v>26010</v>
      </c>
      <c r="E1470" s="25"/>
      <c r="F1470" s="9" t="str">
        <f>HYPERLINK("https://www.ebi.ac.uk/ols/ontologies/uberon/terms?iri=http://purl.obolibrary.org/obo/UBERON_0002647","magnocellular part of medial dorsal nucleus")</f>
        <v>magnocellular part of medial dorsal nucleus</v>
      </c>
      <c r="G1470" s="9" t="s">
        <v>2832</v>
      </c>
      <c r="H1470" s="9" t="s">
        <v>19952</v>
      </c>
      <c r="I1470" s="9" t="s">
        <v>2835</v>
      </c>
      <c r="J1470" s="9" t="s">
        <v>2836</v>
      </c>
      <c r="K1470" s="7" t="s">
        <v>15171</v>
      </c>
      <c r="L1470" s="13">
        <v>4403</v>
      </c>
      <c r="M1470" t="str">
        <f>VLOOKUP(L1470,[1]HBA!$B$2:$C$4000,2,FALSE)</f>
        <v>MDm</v>
      </c>
    </row>
    <row r="1471" spans="2:13" x14ac:dyDescent="0.25">
      <c r="B1471" s="31" t="s">
        <v>25743</v>
      </c>
      <c r="C1471" s="20"/>
      <c r="D1471" s="25" t="s">
        <v>26010</v>
      </c>
      <c r="E1471" s="25"/>
      <c r="F1471" s="9" t="str">
        <f>HYPERLINK("https://www.ebi.ac.uk/ols/ontologies/uberon/terms?iri=http://purl.obolibrary.org/obo/UBERON_0002647","magnocellular part of medial dorsal nucleus")</f>
        <v>magnocellular part of medial dorsal nucleus</v>
      </c>
      <c r="G1471" s="9" t="s">
        <v>2832</v>
      </c>
      <c r="H1471" s="9" t="s">
        <v>19952</v>
      </c>
      <c r="I1471" s="9" t="s">
        <v>2837</v>
      </c>
      <c r="J1471" s="9" t="s">
        <v>2838</v>
      </c>
      <c r="K1471" s="3" t="s">
        <v>15176</v>
      </c>
      <c r="L1471" s="13">
        <v>636</v>
      </c>
      <c r="M1471" t="str">
        <f>VLOOKUP(L1471,[1]Mouse_ARA!$B$2:$C$1328,2,FALSE)</f>
        <v>MDm</v>
      </c>
    </row>
    <row r="1472" spans="2:13" x14ac:dyDescent="0.25">
      <c r="B1472" s="31" t="s">
        <v>25743</v>
      </c>
      <c r="C1472" s="20"/>
      <c r="D1472" s="25" t="s">
        <v>26011</v>
      </c>
      <c r="E1472" s="25"/>
      <c r="F1472" s="9" t="str">
        <f>HYPERLINK("https://www.ebi.ac.uk/ols/ontologies/uberon/terms?iri=http://purl.obolibrary.org/obo/UBERON_0002936","magnocellular part of red nucleus")</f>
        <v>magnocellular part of red nucleus</v>
      </c>
      <c r="G1472" s="9" t="s">
        <v>2839</v>
      </c>
      <c r="H1472" s="9" t="s">
        <v>23998</v>
      </c>
      <c r="I1472" s="9" t="s">
        <v>2840</v>
      </c>
      <c r="J1472" s="9" t="s">
        <v>2841</v>
      </c>
      <c r="K1472" s="4" t="s">
        <v>15175</v>
      </c>
      <c r="L1472" s="13">
        <v>12249</v>
      </c>
      <c r="M1472" t="str">
        <f>VLOOKUP(L1472,[1]Human_BrainSpan!$B$2:$C$4000,2,FALSE)</f>
        <v>RNmc</v>
      </c>
    </row>
    <row r="1473" spans="2:13" x14ac:dyDescent="0.25">
      <c r="B1473" s="31" t="s">
        <v>25743</v>
      </c>
      <c r="C1473" s="20"/>
      <c r="D1473" s="25" t="s">
        <v>26011</v>
      </c>
      <c r="E1473" s="25"/>
      <c r="F1473" s="9" t="str">
        <f>HYPERLINK("https://www.ebi.ac.uk/ols/ontologies/uberon/terms?iri=http://purl.obolibrary.org/obo/UBERON_0002936","magnocellular part of red nucleus")</f>
        <v>magnocellular part of red nucleus</v>
      </c>
      <c r="G1473" s="9" t="s">
        <v>2839</v>
      </c>
      <c r="H1473" s="9" t="s">
        <v>17069</v>
      </c>
      <c r="I1473" s="9" t="s">
        <v>2840</v>
      </c>
      <c r="J1473" s="9" t="s">
        <v>2842</v>
      </c>
      <c r="K1473" s="5" t="s">
        <v>15173</v>
      </c>
      <c r="L1473" s="13">
        <v>16737</v>
      </c>
      <c r="M1473" t="str">
        <f>VLOOKUP(L1473,[1]DevMouse!$B$2:$C$2693,2,FALSE)</f>
        <v>RMC</v>
      </c>
    </row>
    <row r="1474" spans="2:13" x14ac:dyDescent="0.25">
      <c r="B1474" s="31" t="s">
        <v>25743</v>
      </c>
      <c r="C1474" s="20"/>
      <c r="D1474" s="25" t="s">
        <v>26011</v>
      </c>
      <c r="E1474" s="25"/>
      <c r="F1474" s="9" t="str">
        <f>HYPERLINK("https://www.ebi.ac.uk/ols/ontologies/uberon/terms?iri=http://purl.obolibrary.org/obo/UBERON_0002936","magnocellular part of red nucleus")</f>
        <v>magnocellular part of red nucleus</v>
      </c>
      <c r="G1474" s="9" t="s">
        <v>2839</v>
      </c>
      <c r="H1474" s="9" t="s">
        <v>17069</v>
      </c>
      <c r="I1474" s="9" t="s">
        <v>2843</v>
      </c>
      <c r="J1474" s="9" t="s">
        <v>2844</v>
      </c>
      <c r="K1474" s="7" t="s">
        <v>15171</v>
      </c>
      <c r="L1474" s="13">
        <v>9055</v>
      </c>
      <c r="M1474" t="str">
        <f>VLOOKUP(L1474,[1]HBA!$B$2:$C$4000,2,FALSE)</f>
        <v>RMC</v>
      </c>
    </row>
    <row r="1475" spans="2:13" x14ac:dyDescent="0.25">
      <c r="B1475" s="31" t="s">
        <v>25743</v>
      </c>
      <c r="C1475" s="20"/>
      <c r="D1475" s="25" t="s">
        <v>26012</v>
      </c>
      <c r="E1475" s="25"/>
      <c r="F1475" s="9" t="str">
        <f>HYPERLINK("https://www.ebi.ac.uk/ols/ontologies/uberon/terms?iri=http://purl.obolibrary.org/obo/UBERON_0002935","magnocellular part of ventral anterior nucleus")</f>
        <v>magnocellular part of ventral anterior nucleus</v>
      </c>
      <c r="G1475" s="9" t="s">
        <v>2845</v>
      </c>
      <c r="H1475" s="9" t="s">
        <v>23327</v>
      </c>
      <c r="I1475" s="9" t="s">
        <v>2846</v>
      </c>
      <c r="J1475" s="9" t="s">
        <v>2847</v>
      </c>
      <c r="K1475" s="4" t="s">
        <v>15175</v>
      </c>
      <c r="L1475" s="13">
        <v>10419</v>
      </c>
      <c r="M1475" t="str">
        <f>VLOOKUP(L1475,[1]Human_BrainSpan!$B$2:$C$4000,2,FALSE)</f>
        <v>VAmc</v>
      </c>
    </row>
    <row r="1476" spans="2:13" x14ac:dyDescent="0.25">
      <c r="B1476" s="31" t="s">
        <v>25743</v>
      </c>
      <c r="C1476" s="25"/>
      <c r="D1476" s="25" t="s">
        <v>26012</v>
      </c>
      <c r="E1476" s="25"/>
      <c r="F1476" s="9" t="str">
        <f>HYPERLINK("https://www.ebi.ac.uk/ols/ontologies/uberon/terms?iri=http://purl.obolibrary.org/obo/UBERON_0002935","magnocellular part of ventral anterior nucleus")</f>
        <v>magnocellular part of ventral anterior nucleus</v>
      </c>
      <c r="G1476" s="9" t="s">
        <v>2845</v>
      </c>
      <c r="H1476" s="9" t="s">
        <v>23327</v>
      </c>
      <c r="I1476" s="9" t="s">
        <v>2848</v>
      </c>
      <c r="J1476" s="9" t="s">
        <v>2849</v>
      </c>
      <c r="K1476" s="7" t="s">
        <v>15171</v>
      </c>
      <c r="L1476" s="13">
        <v>4420</v>
      </c>
      <c r="M1476" t="str">
        <f>VLOOKUP(L1476,[1]HBA!$B$2:$C$4000,2,FALSE)</f>
        <v>VAmc</v>
      </c>
    </row>
    <row r="1477" spans="2:13" x14ac:dyDescent="0.25">
      <c r="B1477" s="31" t="s">
        <v>25743</v>
      </c>
      <c r="C1477" s="20"/>
      <c r="D1477" s="25" t="s">
        <v>2851</v>
      </c>
      <c r="E1477" s="25"/>
      <c r="F1477" s="9" t="str">
        <f>HYPERLINK("https://www.ebi.ac.uk/ols/ontologies/uberon/terms?iri=http://purl.obolibrary.org/obo/UBERON_0009951","main olfactory bulb")</f>
        <v>main olfactory bulb</v>
      </c>
      <c r="G1477" s="9" t="s">
        <v>2850</v>
      </c>
      <c r="H1477" s="9" t="s">
        <v>19394</v>
      </c>
      <c r="I1477" s="9" t="s">
        <v>2851</v>
      </c>
      <c r="J1477" s="9" t="s">
        <v>2852</v>
      </c>
      <c r="K1477" s="3" t="s">
        <v>15176</v>
      </c>
      <c r="L1477" s="13">
        <v>507</v>
      </c>
      <c r="M1477" t="str">
        <f>VLOOKUP(L1477,[1]Mouse_ARA!$B$2:$C$1328,2,FALSE)</f>
        <v>MOB</v>
      </c>
    </row>
    <row r="1478" spans="2:13" x14ac:dyDescent="0.25">
      <c r="B1478" s="31" t="s">
        <v>25743</v>
      </c>
      <c r="C1478" s="20"/>
      <c r="D1478" s="25" t="s">
        <v>2854</v>
      </c>
      <c r="E1478" s="25"/>
      <c r="F1478" s="9" t="str">
        <f>HYPERLINK("https://www.ebi.ac.uk/ols/ontologies/uberon/terms?iri=http://purl.obolibrary.org/obo/UBERON_0002206","mammillary body")</f>
        <v>mammillary body</v>
      </c>
      <c r="G1478" s="9" t="s">
        <v>2853</v>
      </c>
      <c r="H1478" s="9" t="s">
        <v>20161</v>
      </c>
      <c r="I1478" s="9" t="s">
        <v>2854</v>
      </c>
      <c r="J1478" s="9" t="s">
        <v>2855</v>
      </c>
      <c r="K1478" s="4" t="s">
        <v>15175</v>
      </c>
      <c r="L1478" s="13">
        <v>15546</v>
      </c>
      <c r="M1478" t="str">
        <f>VLOOKUP(L1478,[1]Human_BrainSpan!$B$2:$C$4000,2,FALSE)</f>
        <v>MB</v>
      </c>
    </row>
    <row r="1479" spans="2:13" x14ac:dyDescent="0.25">
      <c r="B1479" s="31" t="s">
        <v>25743</v>
      </c>
      <c r="C1479" s="20"/>
      <c r="D1479" s="25" t="s">
        <v>2854</v>
      </c>
      <c r="E1479" s="25"/>
      <c r="F1479" s="9" t="str">
        <f>HYPERLINK("https://www.ebi.ac.uk/ols/ontologies/uberon/terms?iri=http://purl.obolibrary.org/obo/UBERON_0002206","mammillary body")</f>
        <v>mammillary body</v>
      </c>
      <c r="G1479" s="9" t="s">
        <v>2853</v>
      </c>
      <c r="H1479" s="9" t="s">
        <v>15493</v>
      </c>
      <c r="I1479" s="9" t="s">
        <v>2856</v>
      </c>
      <c r="J1479" s="9" t="s">
        <v>2857</v>
      </c>
      <c r="K1479" s="5" t="s">
        <v>15173</v>
      </c>
      <c r="L1479" s="13">
        <v>15723</v>
      </c>
      <c r="M1479" t="str">
        <f>VLOOKUP(L1479,[1]DevMouse!$B$2:$C$2693,2,FALSE)</f>
        <v>Mam</v>
      </c>
    </row>
    <row r="1480" spans="2:13" x14ac:dyDescent="0.25">
      <c r="B1480" s="31" t="s">
        <v>25743</v>
      </c>
      <c r="C1480" s="20"/>
      <c r="D1480" s="25" t="s">
        <v>2854</v>
      </c>
      <c r="E1480" s="25"/>
      <c r="F1480" s="9" t="str">
        <f>HYPERLINK("https://www.ebi.ac.uk/ols/ontologies/uberon/terms?iri=http://purl.obolibrary.org/obo/UBERON_0002206","mammillary body")</f>
        <v>mammillary body</v>
      </c>
      <c r="G1480" s="9" t="s">
        <v>2853</v>
      </c>
      <c r="H1480" s="9" t="s">
        <v>20161</v>
      </c>
      <c r="I1480" s="9" t="s">
        <v>2854</v>
      </c>
      <c r="J1480" s="9" t="s">
        <v>2858</v>
      </c>
      <c r="K1480" s="7" t="s">
        <v>15171</v>
      </c>
      <c r="L1480" s="13">
        <v>12909</v>
      </c>
      <c r="M1480" t="str">
        <f>VLOOKUP(L1480,[1]HBA!$B$2:$C$4000,2,FALSE)</f>
        <v>MB</v>
      </c>
    </row>
    <row r="1481" spans="2:13" x14ac:dyDescent="0.25">
      <c r="B1481" s="31" t="s">
        <v>25743</v>
      </c>
      <c r="C1481" s="20"/>
      <c r="D1481" s="25" t="s">
        <v>2854</v>
      </c>
      <c r="E1481" s="25"/>
      <c r="F1481" s="9" t="str">
        <f>HYPERLINK("https://www.ebi.ac.uk/ols/ontologies/uberon/terms?iri=http://purl.obolibrary.org/obo/UBERON_0002206","mammillary body")</f>
        <v>mammillary body</v>
      </c>
      <c r="G1481" s="9" t="s">
        <v>2853</v>
      </c>
      <c r="H1481" s="9" t="s">
        <v>20084</v>
      </c>
      <c r="I1481" s="9" t="s">
        <v>2854</v>
      </c>
      <c r="J1481" s="9" t="s">
        <v>2859</v>
      </c>
      <c r="K1481" s="3" t="s">
        <v>15176</v>
      </c>
      <c r="L1481" s="13">
        <v>331</v>
      </c>
      <c r="M1481" t="str">
        <f>VLOOKUP(L1481,[1]Mouse_ARA!$B$2:$C$1328,2,FALSE)</f>
        <v>MBO</v>
      </c>
    </row>
    <row r="1482" spans="2:13" x14ac:dyDescent="0.25">
      <c r="B1482" s="31" t="s">
        <v>25743</v>
      </c>
      <c r="C1482" s="20"/>
      <c r="D1482" s="25" t="s">
        <v>2861</v>
      </c>
      <c r="E1482" s="25"/>
      <c r="F1482" s="9" t="str">
        <f>HYPERLINK("https://www.ebi.ac.uk/ols/ontologies/uberon/terms?iri=http://purl.obolibrary.org/obo/UBERON_0002720","mammillary peduncle")</f>
        <v>mammillary peduncle</v>
      </c>
      <c r="G1482" s="9" t="s">
        <v>2860</v>
      </c>
      <c r="H1482" s="9" t="s">
        <v>20938</v>
      </c>
      <c r="I1482" s="9" t="s">
        <v>2861</v>
      </c>
      <c r="J1482" s="9" t="s">
        <v>2862</v>
      </c>
      <c r="K1482" s="4" t="s">
        <v>15175</v>
      </c>
      <c r="L1482" s="13">
        <v>266441609</v>
      </c>
      <c r="M1482" t="str">
        <f>VLOOKUP(L1482,[1]Human_BrainSpan!$B$2:$C$4000,2,FALSE)</f>
        <v>mp</v>
      </c>
    </row>
    <row r="1483" spans="2:13" x14ac:dyDescent="0.25">
      <c r="B1483" s="31" t="s">
        <v>25743</v>
      </c>
      <c r="C1483" s="20"/>
      <c r="D1483" s="25" t="s">
        <v>2861</v>
      </c>
      <c r="E1483" s="25"/>
      <c r="F1483" s="9" t="str">
        <f>HYPERLINK("https://www.ebi.ac.uk/ols/ontologies/uberon/terms?iri=http://purl.obolibrary.org/obo/UBERON_0002720","mammillary peduncle")</f>
        <v>mammillary peduncle</v>
      </c>
      <c r="G1483" s="9" t="s">
        <v>2860</v>
      </c>
      <c r="H1483" s="9" t="s">
        <v>18477</v>
      </c>
      <c r="I1483" s="9" t="s">
        <v>2861</v>
      </c>
      <c r="J1483" s="9" t="s">
        <v>2863</v>
      </c>
      <c r="K1483" s="5" t="s">
        <v>15173</v>
      </c>
      <c r="L1483" s="13">
        <v>17780</v>
      </c>
      <c r="M1483" t="str">
        <f>VLOOKUP(L1483,[1]DevMouse!$B$2:$C$2693,2,FALSE)</f>
        <v>mped</v>
      </c>
    </row>
    <row r="1484" spans="2:13" x14ac:dyDescent="0.25">
      <c r="B1484" s="31" t="s">
        <v>25743</v>
      </c>
      <c r="C1484" s="20"/>
      <c r="D1484" s="25" t="s">
        <v>2861</v>
      </c>
      <c r="E1484" s="25"/>
      <c r="F1484" s="9" t="str">
        <f>HYPERLINK("https://www.ebi.ac.uk/ols/ontologies/uberon/terms?iri=http://purl.obolibrary.org/obo/UBERON_0002720","mammillary peduncle")</f>
        <v>mammillary peduncle</v>
      </c>
      <c r="G1484" s="9" t="s">
        <v>2860</v>
      </c>
      <c r="H1484" s="9" t="s">
        <v>20938</v>
      </c>
      <c r="I1484" s="9" t="s">
        <v>2861</v>
      </c>
      <c r="J1484" s="9" t="s">
        <v>2864</v>
      </c>
      <c r="K1484" s="7" t="s">
        <v>15171</v>
      </c>
      <c r="L1484" s="13">
        <v>265505166</v>
      </c>
      <c r="M1484" t="str">
        <f>VLOOKUP(L1484,[1]HBA!$B$2:$C$4000,2,FALSE)</f>
        <v>mp</v>
      </c>
    </row>
    <row r="1485" spans="2:13" x14ac:dyDescent="0.25">
      <c r="B1485" s="31" t="s">
        <v>25743</v>
      </c>
      <c r="C1485" s="20"/>
      <c r="D1485" s="25" t="s">
        <v>2861</v>
      </c>
      <c r="E1485" s="25"/>
      <c r="F1485" s="9" t="str">
        <f>HYPERLINK("https://www.ebi.ac.uk/ols/ontologies/uberon/terms?iri=http://purl.obolibrary.org/obo/UBERON_0002720","mammillary peduncle")</f>
        <v>mammillary peduncle</v>
      </c>
      <c r="G1485" s="9" t="s">
        <v>2860</v>
      </c>
      <c r="H1485" s="9" t="s">
        <v>20938</v>
      </c>
      <c r="I1485" s="9" t="s">
        <v>2861</v>
      </c>
      <c r="J1485" s="9" t="s">
        <v>2865</v>
      </c>
      <c r="K1485" s="3" t="s">
        <v>15176</v>
      </c>
      <c r="L1485" s="13">
        <v>673</v>
      </c>
      <c r="M1485" t="str">
        <f>VLOOKUP(L1485,[1]Mouse_ARA!$B$2:$C$1328,2,FALSE)</f>
        <v>mp</v>
      </c>
    </row>
    <row r="1486" spans="2:13" x14ac:dyDescent="0.25">
      <c r="B1486" s="31" t="s">
        <v>25743</v>
      </c>
      <c r="C1486" s="20"/>
      <c r="D1486" s="25" t="s">
        <v>26013</v>
      </c>
      <c r="E1486" s="25"/>
      <c r="F1486" s="9" t="str">
        <f>HYPERLINK("https://www.ebi.ac.uk/ols/ontologies/uberon/terms?iri=http://purl.obolibrary.org/obo/UBERON_0002723","mammillary princeps fasciculus")</f>
        <v>mammillary princeps fasciculus</v>
      </c>
      <c r="G1486" s="9" t="s">
        <v>2866</v>
      </c>
      <c r="H1486" s="9" t="s">
        <v>20936</v>
      </c>
      <c r="I1486" s="9" t="s">
        <v>2867</v>
      </c>
      <c r="J1486" s="9" t="s">
        <v>2868</v>
      </c>
      <c r="K1486" s="3" t="s">
        <v>15176</v>
      </c>
      <c r="L1486" s="13">
        <v>753</v>
      </c>
      <c r="M1486" t="str">
        <f>VLOOKUP(L1486,[1]Mouse_ARA!$B$2:$C$1328,2,FALSE)</f>
        <v>pm</v>
      </c>
    </row>
    <row r="1487" spans="2:13" x14ac:dyDescent="0.25">
      <c r="B1487" s="31" t="s">
        <v>25743</v>
      </c>
      <c r="C1487" s="20"/>
      <c r="D1487" s="25" t="s">
        <v>26014</v>
      </c>
      <c r="E1487" s="25"/>
      <c r="F1487" s="9" t="str">
        <f>HYPERLINK("https://www.ebi.ac.uk/ols/ontologies/uberon/terms?iri=http://purl.obolibrary.org/obo/UBERON_0006698","mammillotegmental axonal tract")</f>
        <v>mammillotegmental axonal tract</v>
      </c>
      <c r="G1487" s="9" t="s">
        <v>2869</v>
      </c>
      <c r="H1487" s="9" t="s">
        <v>18478</v>
      </c>
      <c r="I1487" s="9" t="s">
        <v>2870</v>
      </c>
      <c r="J1487" s="9" t="s">
        <v>2871</v>
      </c>
      <c r="K1487" s="4" t="s">
        <v>15175</v>
      </c>
      <c r="L1487" s="13">
        <v>12065</v>
      </c>
      <c r="M1487" t="str">
        <f>VLOOKUP(L1487,[1]Human_BrainSpan!$B$2:$C$4000,2,FALSE)</f>
        <v>mtg</v>
      </c>
    </row>
    <row r="1488" spans="2:13" x14ac:dyDescent="0.25">
      <c r="B1488" s="31" t="s">
        <v>25743</v>
      </c>
      <c r="C1488" s="20"/>
      <c r="D1488" s="25" t="s">
        <v>26014</v>
      </c>
      <c r="E1488" s="25"/>
      <c r="F1488" s="9" t="str">
        <f>HYPERLINK("https://www.ebi.ac.uk/ols/ontologies/uberon/terms?iri=http://purl.obolibrary.org/obo/UBERON_0006698","mammillotegmental axonal tract")</f>
        <v>mammillotegmental axonal tract</v>
      </c>
      <c r="G1488" s="9" t="s">
        <v>2869</v>
      </c>
      <c r="H1488" s="9" t="s">
        <v>18478</v>
      </c>
      <c r="I1488" s="9" t="s">
        <v>2870</v>
      </c>
      <c r="J1488" s="9" t="s">
        <v>2872</v>
      </c>
      <c r="K1488" s="5" t="s">
        <v>15173</v>
      </c>
      <c r="L1488" s="13">
        <v>17781</v>
      </c>
      <c r="M1488" t="str">
        <f>VLOOKUP(L1488,[1]DevMouse!$B$2:$C$2693,2,FALSE)</f>
        <v>mtg</v>
      </c>
    </row>
    <row r="1489" spans="2:13" x14ac:dyDescent="0.25">
      <c r="B1489" s="31" t="s">
        <v>25743</v>
      </c>
      <c r="C1489" s="20"/>
      <c r="D1489" s="25" t="s">
        <v>26014</v>
      </c>
      <c r="E1489" s="25"/>
      <c r="F1489" s="9" t="str">
        <f>HYPERLINK("https://www.ebi.ac.uk/ols/ontologies/uberon/terms?iri=http://purl.obolibrary.org/obo/UBERON_0006698","mammillotegmental axonal tract")</f>
        <v>mammillotegmental axonal tract</v>
      </c>
      <c r="G1489" s="9" t="s">
        <v>2869</v>
      </c>
      <c r="H1489" s="9" t="s">
        <v>18478</v>
      </c>
      <c r="I1489" s="9" t="s">
        <v>2870</v>
      </c>
      <c r="J1489" s="9" t="s">
        <v>2873</v>
      </c>
      <c r="K1489" s="7" t="s">
        <v>15171</v>
      </c>
      <c r="L1489" s="13">
        <v>265505178</v>
      </c>
      <c r="M1489" t="str">
        <f>VLOOKUP(L1489,[1]HBA!$B$2:$C$4000,2,FALSE)</f>
        <v>mtg</v>
      </c>
    </row>
    <row r="1490" spans="2:13" x14ac:dyDescent="0.25">
      <c r="B1490" s="31" t="s">
        <v>25743</v>
      </c>
      <c r="C1490" s="20"/>
      <c r="D1490" s="25" t="s">
        <v>26014</v>
      </c>
      <c r="E1490" s="25"/>
      <c r="F1490" s="9" t="str">
        <f>HYPERLINK("https://www.ebi.ac.uk/ols/ontologies/uberon/terms?iri=http://purl.obolibrary.org/obo/UBERON_0006698","mammillotegmental axonal tract")</f>
        <v>mammillotegmental axonal tract</v>
      </c>
      <c r="G1490" s="9" t="s">
        <v>2869</v>
      </c>
      <c r="H1490" s="9" t="s">
        <v>18478</v>
      </c>
      <c r="I1490" s="9" t="s">
        <v>2870</v>
      </c>
      <c r="J1490" s="9" t="s">
        <v>2874</v>
      </c>
      <c r="K1490" s="3" t="s">
        <v>15176</v>
      </c>
      <c r="L1490" s="13">
        <v>681</v>
      </c>
      <c r="M1490" t="str">
        <f>VLOOKUP(L1490,[1]Mouse_ARA!$B$2:$C$1328,2,FALSE)</f>
        <v>mtg</v>
      </c>
    </row>
    <row r="1491" spans="2:13" x14ac:dyDescent="0.25">
      <c r="B1491" s="31" t="s">
        <v>25743</v>
      </c>
      <c r="C1491" s="20"/>
      <c r="D1491" s="25" t="s">
        <v>26015</v>
      </c>
      <c r="E1491" s="25"/>
      <c r="F1491" s="9" t="str">
        <f>HYPERLINK("https://www.ebi.ac.uk/ols/ontologies/uberon/terms?iri=http://purl.obolibrary.org/obo/UBERON_0006696","mammillothalamic axonal tract")</f>
        <v>mammillothalamic axonal tract</v>
      </c>
      <c r="G1491" s="9" t="s">
        <v>2875</v>
      </c>
      <c r="H1491" s="9" t="s">
        <v>20937</v>
      </c>
      <c r="I1491" s="9" t="s">
        <v>2876</v>
      </c>
      <c r="J1491" s="9" t="s">
        <v>2877</v>
      </c>
      <c r="K1491" s="4" t="s">
        <v>15175</v>
      </c>
      <c r="L1491" s="13">
        <v>10586</v>
      </c>
      <c r="M1491" t="str">
        <f>VLOOKUP(L1491,[1]Human_BrainSpan!$B$2:$C$4000,2,FALSE)</f>
        <v>mtt</v>
      </c>
    </row>
    <row r="1492" spans="2:13" x14ac:dyDescent="0.25">
      <c r="B1492" s="31" t="s">
        <v>25743</v>
      </c>
      <c r="C1492" s="20"/>
      <c r="D1492" s="25" t="s">
        <v>26015</v>
      </c>
      <c r="E1492" s="25"/>
      <c r="F1492" s="9" t="str">
        <f>HYPERLINK("https://www.ebi.ac.uk/ols/ontologies/uberon/terms?iri=http://purl.obolibrary.org/obo/UBERON_0006696","mammillothalamic axonal tract")</f>
        <v>mammillothalamic axonal tract</v>
      </c>
      <c r="G1492" s="9" t="s">
        <v>2875</v>
      </c>
      <c r="H1492" s="9" t="s">
        <v>18479</v>
      </c>
      <c r="I1492" s="9" t="s">
        <v>2876</v>
      </c>
      <c r="J1492" s="9" t="s">
        <v>2878</v>
      </c>
      <c r="K1492" s="5" t="s">
        <v>15173</v>
      </c>
      <c r="L1492" s="13">
        <v>17782</v>
      </c>
      <c r="M1492" t="str">
        <f>VLOOKUP(L1492,[1]DevMouse!$B$2:$C$2693,2,FALSE)</f>
        <v>mth</v>
      </c>
    </row>
    <row r="1493" spans="2:13" x14ac:dyDescent="0.25">
      <c r="B1493" s="31" t="s">
        <v>25743</v>
      </c>
      <c r="C1493" s="20"/>
      <c r="D1493" s="25" t="s">
        <v>26015</v>
      </c>
      <c r="E1493" s="25"/>
      <c r="F1493" s="9" t="str">
        <f>HYPERLINK("https://www.ebi.ac.uk/ols/ontologies/uberon/terms?iri=http://purl.obolibrary.org/obo/UBERON_0006696","mammillothalamic axonal tract")</f>
        <v>mammillothalamic axonal tract</v>
      </c>
      <c r="G1493" s="9" t="s">
        <v>2875</v>
      </c>
      <c r="H1493" s="9" t="s">
        <v>20937</v>
      </c>
      <c r="I1493" s="9" t="s">
        <v>2876</v>
      </c>
      <c r="J1493" s="9" t="s">
        <v>2879</v>
      </c>
      <c r="K1493" s="7" t="s">
        <v>15171</v>
      </c>
      <c r="L1493" s="13">
        <v>9266</v>
      </c>
      <c r="M1493" t="str">
        <f>VLOOKUP(L1493,[1]HBA!$B$2:$C$4000,2,FALSE)</f>
        <v>mtt</v>
      </c>
    </row>
    <row r="1494" spans="2:13" x14ac:dyDescent="0.25">
      <c r="B1494" s="31" t="s">
        <v>25743</v>
      </c>
      <c r="C1494" s="20"/>
      <c r="D1494" s="25" t="s">
        <v>26016</v>
      </c>
      <c r="E1494" s="25"/>
      <c r="F1494" s="9" t="str">
        <f>HYPERLINK("https://www.ebi.ac.uk/ols/ontologies/uberon/terms?iri=http://purl.obolibrary.org/obo/UBERON_0002159","medial accessory inferior olivary nucleus")</f>
        <v>medial accessory inferior olivary nucleus</v>
      </c>
      <c r="G1494" s="9" t="s">
        <v>2880</v>
      </c>
      <c r="H1494" s="9" t="s">
        <v>24436</v>
      </c>
      <c r="I1494" s="9" t="s">
        <v>2881</v>
      </c>
      <c r="J1494" s="9" t="s">
        <v>2882</v>
      </c>
      <c r="K1494" s="4" t="s">
        <v>15175</v>
      </c>
      <c r="L1494" s="13">
        <v>12605</v>
      </c>
      <c r="M1494" t="str">
        <f>VLOOKUP(L1494,[1]Human_BrainSpan!$B$2:$C$4000,2,FALSE)</f>
        <v>IOM</v>
      </c>
    </row>
    <row r="1495" spans="2:13" x14ac:dyDescent="0.25">
      <c r="B1495" s="31" t="s">
        <v>25743</v>
      </c>
      <c r="C1495" s="20"/>
      <c r="D1495" s="25" t="s">
        <v>26016</v>
      </c>
      <c r="E1495" s="25"/>
      <c r="F1495" s="9" t="str">
        <f>HYPERLINK("https://www.ebi.ac.uk/ols/ontologies/uberon/terms?iri=http://purl.obolibrary.org/obo/UBERON_0002159","medial accessory inferior olivary nucleus")</f>
        <v>medial accessory inferior olivary nucleus</v>
      </c>
      <c r="G1495" s="9" t="s">
        <v>2880</v>
      </c>
      <c r="H1495" s="9" t="s">
        <v>25449</v>
      </c>
      <c r="I1495" s="9" t="s">
        <v>2883</v>
      </c>
      <c r="J1495" s="9" t="s">
        <v>2884</v>
      </c>
      <c r="K1495" s="7" t="s">
        <v>15171</v>
      </c>
      <c r="L1495" s="13">
        <v>9563</v>
      </c>
      <c r="M1495" t="str">
        <f>VLOOKUP(L1495,[1]HBA!$B$2:$C$4000,2,FALSE)</f>
        <v>MIO</v>
      </c>
    </row>
    <row r="1496" spans="2:13" x14ac:dyDescent="0.25">
      <c r="B1496" s="31" t="s">
        <v>25743</v>
      </c>
      <c r="C1496" s="20"/>
      <c r="D1496" s="25" t="s">
        <v>26017</v>
      </c>
      <c r="E1496" s="25"/>
      <c r="F1496" s="9" t="str">
        <f>HYPERLINK("https://www.ebi.ac.uk/ols/ontologies/uberon/terms?iri=http://purl.obolibrary.org/obo/UBERON_0013601","medial accessory nucleus of optic tract")</f>
        <v>medial accessory nucleus of optic tract</v>
      </c>
      <c r="G1496" s="9" t="s">
        <v>2885</v>
      </c>
      <c r="H1496" s="9" t="s">
        <v>20263</v>
      </c>
      <c r="I1496" s="9" t="s">
        <v>804</v>
      </c>
      <c r="J1496" s="9" t="s">
        <v>805</v>
      </c>
      <c r="K1496" s="3" t="s">
        <v>15176</v>
      </c>
      <c r="L1496" s="13">
        <v>58</v>
      </c>
      <c r="M1496" t="str">
        <f>VLOOKUP(L1496,[1]Mouse_ARA!$B$2:$C$1328,2,FALSE)</f>
        <v>MT</v>
      </c>
    </row>
    <row r="1497" spans="2:13" x14ac:dyDescent="0.25">
      <c r="B1497" s="31" t="s">
        <v>25743</v>
      </c>
      <c r="C1497" s="20"/>
      <c r="D1497" s="25" t="s">
        <v>26018</v>
      </c>
      <c r="E1497" s="25"/>
      <c r="F1497" s="9" t="str">
        <f>HYPERLINK("https://www.ebi.ac.uk/ols/ontologies/uberon/terms?iri=http://purl.obolibrary.org/obo/UBERON_0002892","medial amygdaloid nucleus")</f>
        <v>medial amygdaloid nucleus</v>
      </c>
      <c r="G1497" s="9" t="s">
        <v>2886</v>
      </c>
      <c r="H1497" s="9" t="s">
        <v>19796</v>
      </c>
      <c r="I1497" s="9" t="s">
        <v>1193</v>
      </c>
      <c r="J1497" s="9" t="s">
        <v>1194</v>
      </c>
      <c r="K1497" s="3" t="s">
        <v>15176</v>
      </c>
      <c r="L1497" s="13">
        <v>403</v>
      </c>
      <c r="M1497" t="str">
        <f>VLOOKUP(L1497,[1]Mouse_ARA!$B$2:$C$1328,2,FALSE)</f>
        <v>MEA</v>
      </c>
    </row>
    <row r="1498" spans="2:13" x14ac:dyDescent="0.25">
      <c r="B1498" s="31" t="s">
        <v>25743</v>
      </c>
      <c r="C1498" s="20"/>
      <c r="D1498" s="25" t="s">
        <v>26019</v>
      </c>
      <c r="E1498" s="25"/>
      <c r="F1498" s="9" t="str">
        <f>HYPERLINK("https://www.ebi.ac.uk/ols/ontologies/uberon/terms?iri=http://purl.obolibrary.org/obo/UBERON_0002739","medial dorsal nucleus of thalamus")</f>
        <v>medial dorsal nucleus of thalamus</v>
      </c>
      <c r="G1498" s="9" t="s">
        <v>2887</v>
      </c>
      <c r="H1498" s="9" t="s">
        <v>16420</v>
      </c>
      <c r="I1498" s="9" t="s">
        <v>775</v>
      </c>
      <c r="J1498" s="9" t="s">
        <v>2888</v>
      </c>
      <c r="K1498" s="4" t="s">
        <v>15175</v>
      </c>
      <c r="L1498" s="13">
        <v>10398</v>
      </c>
      <c r="M1498" t="str">
        <f>VLOOKUP(L1498,[1]Human_BrainSpan!$B$2:$C$4000,2,FALSE)</f>
        <v>MD</v>
      </c>
    </row>
    <row r="1499" spans="2:13" x14ac:dyDescent="0.25">
      <c r="B1499" s="31" t="s">
        <v>25743</v>
      </c>
      <c r="C1499" s="20"/>
      <c r="D1499" s="25" t="s">
        <v>26019</v>
      </c>
      <c r="E1499" s="25"/>
      <c r="F1499" s="9" t="str">
        <f>HYPERLINK("https://www.ebi.ac.uk/ols/ontologies/uberon/terms?iri=http://purl.obolibrary.org/obo/UBERON_0002739","medial dorsal nucleus of thalamus")</f>
        <v>medial dorsal nucleus of thalamus</v>
      </c>
      <c r="G1499" s="9" t="s">
        <v>2887</v>
      </c>
      <c r="H1499" s="9" t="s">
        <v>16420</v>
      </c>
      <c r="I1499" s="9" t="s">
        <v>2889</v>
      </c>
      <c r="J1499" s="9" t="s">
        <v>2890</v>
      </c>
      <c r="K1499" s="7" t="s">
        <v>15171</v>
      </c>
      <c r="L1499" s="13">
        <v>4401</v>
      </c>
      <c r="M1499" t="str">
        <f>VLOOKUP(L1499,[1]HBA!$B$2:$C$4000,2,FALSE)</f>
        <v>MD</v>
      </c>
    </row>
    <row r="1500" spans="2:13" x14ac:dyDescent="0.25">
      <c r="B1500" s="31" t="s">
        <v>25743</v>
      </c>
      <c r="C1500" s="20"/>
      <c r="D1500" s="25" t="s">
        <v>26019</v>
      </c>
      <c r="E1500" s="25"/>
      <c r="F1500" s="9" t="str">
        <f>HYPERLINK("https://www.ebi.ac.uk/ols/ontologies/uberon/terms?iri=http://purl.obolibrary.org/obo/UBERON_0002739","medial dorsal nucleus of thalamus")</f>
        <v>medial dorsal nucleus of thalamus</v>
      </c>
      <c r="G1500" s="9" t="s">
        <v>2887</v>
      </c>
      <c r="H1500" s="9" t="s">
        <v>16420</v>
      </c>
      <c r="I1500" s="9" t="s">
        <v>775</v>
      </c>
      <c r="J1500" s="9" t="s">
        <v>776</v>
      </c>
      <c r="K1500" s="3" t="s">
        <v>15176</v>
      </c>
      <c r="L1500" s="13">
        <v>362</v>
      </c>
      <c r="M1500" t="str">
        <f>VLOOKUP(L1500,[1]Mouse_ARA!$B$2:$C$1328,2,FALSE)</f>
        <v>MD</v>
      </c>
    </row>
    <row r="1501" spans="2:13" x14ac:dyDescent="0.25">
      <c r="B1501" s="31" t="s">
        <v>25743</v>
      </c>
      <c r="C1501" s="20"/>
      <c r="D1501" s="25" t="s">
        <v>26020</v>
      </c>
      <c r="E1501" s="25"/>
      <c r="F1501" s="9" t="str">
        <f>HYPERLINK("https://www.ebi.ac.uk/ols/ontologies/uberon/terms?iri=http://purl.obolibrary.org/obo/UBERON_0007224","medial entorhinal cortex")</f>
        <v>medial entorhinal cortex</v>
      </c>
      <c r="G1501" s="9" t="s">
        <v>2891</v>
      </c>
      <c r="H1501" s="9" t="s">
        <v>22903</v>
      </c>
      <c r="I1501" s="9" t="s">
        <v>2892</v>
      </c>
      <c r="J1501" s="9" t="s">
        <v>2893</v>
      </c>
      <c r="K1501" s="4" t="s">
        <v>15175</v>
      </c>
      <c r="L1501" s="13">
        <v>10319</v>
      </c>
      <c r="M1501" t="str">
        <f>VLOOKUP(L1501,[1]Human_BrainSpan!$B$2:$C$4000,2,FALSE)</f>
        <v>MEC</v>
      </c>
    </row>
    <row r="1502" spans="2:13" x14ac:dyDescent="0.25">
      <c r="B1502" s="31" t="s">
        <v>25743</v>
      </c>
      <c r="C1502" s="20"/>
      <c r="D1502" s="25" t="s">
        <v>26020</v>
      </c>
      <c r="E1502" s="25"/>
      <c r="F1502" s="9" t="str">
        <f>HYPERLINK("https://www.ebi.ac.uk/ols/ontologies/uberon/terms?iri=http://purl.obolibrary.org/obo/UBERON_0007224","medial entorhinal cortex")</f>
        <v>medial entorhinal cortex</v>
      </c>
      <c r="G1502" s="9" t="s">
        <v>2891</v>
      </c>
      <c r="H1502" s="9" t="s">
        <v>22903</v>
      </c>
      <c r="I1502" s="9" t="s">
        <v>2894</v>
      </c>
      <c r="J1502" s="9" t="s">
        <v>2895</v>
      </c>
      <c r="K1502" s="6" t="s">
        <v>15174</v>
      </c>
      <c r="L1502" s="13">
        <v>128011936</v>
      </c>
      <c r="M1502" t="str">
        <f>VLOOKUP(L1502,[1]NonHumanPrimate!$B$2:$C$4000,2,FALSE)</f>
        <v>MEC</v>
      </c>
    </row>
    <row r="1503" spans="2:13" x14ac:dyDescent="0.25">
      <c r="B1503" s="31" t="s">
        <v>25743</v>
      </c>
      <c r="C1503" s="20"/>
      <c r="D1503" s="25" t="s">
        <v>1209</v>
      </c>
      <c r="E1503" s="25"/>
      <c r="F1503" s="9" t="str">
        <f>HYPERLINK("https://www.ebi.ac.uk/ols/ontologies/uberon/terms?iri=http://purl.obolibrary.org/obo/UBERON_0001910","medial forebrain bundle")</f>
        <v>medial forebrain bundle</v>
      </c>
      <c r="G1503" s="9" t="s">
        <v>2896</v>
      </c>
      <c r="H1503" s="9" t="s">
        <v>20909</v>
      </c>
      <c r="I1503" s="9" t="s">
        <v>1209</v>
      </c>
      <c r="J1503" s="9" t="s">
        <v>1210</v>
      </c>
      <c r="K1503" s="4" t="s">
        <v>15175</v>
      </c>
      <c r="L1503" s="13">
        <v>10587</v>
      </c>
      <c r="M1503" t="str">
        <f>VLOOKUP(L1503,[1]Human_BrainSpan!$B$2:$C$4000,2,FALSE)</f>
        <v>mfb</v>
      </c>
    </row>
    <row r="1504" spans="2:13" x14ac:dyDescent="0.25">
      <c r="B1504" s="31" t="s">
        <v>25743</v>
      </c>
      <c r="C1504" s="20"/>
      <c r="D1504" s="25" t="s">
        <v>1209</v>
      </c>
      <c r="E1504" s="25"/>
      <c r="F1504" s="9" t="str">
        <f>HYPERLINK("https://www.ebi.ac.uk/ols/ontologies/uberon/terms?iri=http://purl.obolibrary.org/obo/UBERON_0001910","medial forebrain bundle")</f>
        <v>medial forebrain bundle</v>
      </c>
      <c r="G1504" s="9" t="s">
        <v>2896</v>
      </c>
      <c r="H1504" s="9" t="s">
        <v>20909</v>
      </c>
      <c r="I1504" s="9" t="s">
        <v>1209</v>
      </c>
      <c r="J1504" s="9" t="s">
        <v>1215</v>
      </c>
      <c r="K1504" s="7" t="s">
        <v>15171</v>
      </c>
      <c r="L1504" s="13">
        <v>265505190</v>
      </c>
      <c r="M1504" t="str">
        <f>VLOOKUP(L1504,[1]HBA!$B$2:$C$4000,2,FALSE)</f>
        <v>mfb</v>
      </c>
    </row>
    <row r="1505" spans="2:13" x14ac:dyDescent="0.25">
      <c r="B1505" s="31" t="s">
        <v>25743</v>
      </c>
      <c r="C1505" s="20"/>
      <c r="D1505" s="25" t="s">
        <v>1209</v>
      </c>
      <c r="E1505" s="25"/>
      <c r="F1505" s="9" t="str">
        <f>HYPERLINK("https://www.ebi.ac.uk/ols/ontologies/uberon/terms?iri=http://purl.obolibrary.org/obo/UBERON_0001910","medial forebrain bundle")</f>
        <v>medial forebrain bundle</v>
      </c>
      <c r="G1505" s="9" t="s">
        <v>2896</v>
      </c>
      <c r="H1505" s="9" t="s">
        <v>20909</v>
      </c>
      <c r="I1505" s="9" t="s">
        <v>1209</v>
      </c>
      <c r="J1505" s="9" t="s">
        <v>2897</v>
      </c>
      <c r="K1505" s="3" t="s">
        <v>15176</v>
      </c>
      <c r="L1505" s="13">
        <v>54</v>
      </c>
      <c r="M1505" t="str">
        <f>VLOOKUP(L1505,[1]Mouse_ARA!$B$2:$C$1328,2,FALSE)</f>
        <v>mfb</v>
      </c>
    </row>
    <row r="1506" spans="2:13" x14ac:dyDescent="0.25">
      <c r="B1506" s="31" t="s">
        <v>25743</v>
      </c>
      <c r="C1506" s="20"/>
      <c r="D1506" s="25" t="s">
        <v>2899</v>
      </c>
      <c r="E1506" s="25"/>
      <c r="F1506" s="9" t="str">
        <f>HYPERLINK("https://www.ebi.ac.uk/ols/ontologies/uberon/terms?iri=http://purl.obolibrary.org/obo/UBERON_0004024","medial ganglionic eminence")</f>
        <v>medial ganglionic eminence</v>
      </c>
      <c r="G1506" s="9" t="s">
        <v>2898</v>
      </c>
      <c r="H1506" s="9" t="s">
        <v>22030</v>
      </c>
      <c r="I1506" s="9" t="s">
        <v>2899</v>
      </c>
      <c r="J1506" s="9" t="s">
        <v>2900</v>
      </c>
      <c r="K1506" s="4" t="s">
        <v>15175</v>
      </c>
      <c r="L1506" s="13">
        <v>10550</v>
      </c>
      <c r="M1506" t="str">
        <f>VLOOKUP(L1506,[1]Human_BrainSpan!$B$2:$C$4000,2,FALSE)</f>
        <v>MGE</v>
      </c>
    </row>
    <row r="1507" spans="2:13" x14ac:dyDescent="0.25">
      <c r="B1507" s="31" t="s">
        <v>25743</v>
      </c>
      <c r="C1507" s="20"/>
      <c r="D1507" s="25" t="s">
        <v>2899</v>
      </c>
      <c r="E1507" s="25"/>
      <c r="F1507" s="9" t="str">
        <f>HYPERLINK("https://www.ebi.ac.uk/ols/ontologies/uberon/terms?iri=http://purl.obolibrary.org/obo/UBERON_0004024","medial ganglionic eminence")</f>
        <v>medial ganglionic eminence</v>
      </c>
      <c r="G1507" s="9" t="s">
        <v>2898</v>
      </c>
      <c r="H1507" s="9" t="s">
        <v>22030</v>
      </c>
      <c r="I1507" s="9" t="s">
        <v>2899</v>
      </c>
      <c r="J1507" s="9" t="s">
        <v>2901</v>
      </c>
      <c r="K1507" s="6" t="s">
        <v>15174</v>
      </c>
      <c r="L1507" s="13">
        <v>128012834</v>
      </c>
      <c r="M1507" t="str">
        <f>VLOOKUP(L1507,[1]NonHumanPrimate!$B$2:$C$4000,2,FALSE)</f>
        <v>MGE</v>
      </c>
    </row>
    <row r="1508" spans="2:13" x14ac:dyDescent="0.25">
      <c r="B1508" s="31" t="s">
        <v>25743</v>
      </c>
      <c r="C1508" s="20"/>
      <c r="D1508" s="25" t="s">
        <v>26021</v>
      </c>
      <c r="E1508" s="25"/>
      <c r="F1508" s="9" t="str">
        <f>HYPERLINK("https://www.ebi.ac.uk/ols/ontologies/uberon/terms?iri=http://purl.obolibrary.org/obo/UBERON_0001927","medial geniculate body")</f>
        <v>medial geniculate body</v>
      </c>
      <c r="G1508" s="9" t="s">
        <v>2902</v>
      </c>
      <c r="H1508" s="9" t="s">
        <v>16505</v>
      </c>
      <c r="I1508" s="9" t="s">
        <v>2903</v>
      </c>
      <c r="J1508" s="9" t="s">
        <v>2904</v>
      </c>
      <c r="K1508" s="4" t="s">
        <v>15175</v>
      </c>
      <c r="L1508" s="13">
        <v>10434</v>
      </c>
      <c r="M1508" t="str">
        <f>VLOOKUP(L1508,[1]Human_BrainSpan!$B$2:$C$4000,2,FALSE)</f>
        <v>MG</v>
      </c>
    </row>
    <row r="1509" spans="2:13" x14ac:dyDescent="0.25">
      <c r="B1509" s="31" t="s">
        <v>25743</v>
      </c>
      <c r="C1509" s="20"/>
      <c r="D1509" s="25" t="s">
        <v>26021</v>
      </c>
      <c r="E1509" s="25"/>
      <c r="F1509" s="9" t="str">
        <f>HYPERLINK("https://www.ebi.ac.uk/ols/ontologies/uberon/terms?iri=http://purl.obolibrary.org/obo/UBERON_0001927","medial geniculate body")</f>
        <v>medial geniculate body</v>
      </c>
      <c r="G1509" s="9" t="s">
        <v>2902</v>
      </c>
      <c r="H1509" s="9" t="s">
        <v>16505</v>
      </c>
      <c r="I1509" s="9" t="s">
        <v>2905</v>
      </c>
      <c r="J1509" s="9" t="s">
        <v>2906</v>
      </c>
      <c r="K1509" s="5" t="s">
        <v>15173</v>
      </c>
      <c r="L1509" s="13">
        <v>16462</v>
      </c>
      <c r="M1509" t="str">
        <f>VLOOKUP(L1509,[1]DevMouse!$B$2:$C$2693,2,FALSE)</f>
        <v>MG</v>
      </c>
    </row>
    <row r="1510" spans="2:13" x14ac:dyDescent="0.25">
      <c r="B1510" s="31" t="s">
        <v>25743</v>
      </c>
      <c r="C1510" s="20"/>
      <c r="D1510" s="25" t="s">
        <v>26021</v>
      </c>
      <c r="E1510" s="25"/>
      <c r="F1510" s="9" t="str">
        <f>HYPERLINK("https://www.ebi.ac.uk/ols/ontologies/uberon/terms?iri=http://purl.obolibrary.org/obo/UBERON_0001927","medial geniculate body")</f>
        <v>medial geniculate body</v>
      </c>
      <c r="G1510" s="9" t="s">
        <v>2902</v>
      </c>
      <c r="H1510" s="9" t="s">
        <v>16505</v>
      </c>
      <c r="I1510" s="9" t="s">
        <v>2907</v>
      </c>
      <c r="J1510" s="9" t="s">
        <v>2908</v>
      </c>
      <c r="K1510" s="7" t="s">
        <v>15171</v>
      </c>
      <c r="L1510" s="13">
        <v>12926</v>
      </c>
      <c r="M1510" t="str">
        <f>VLOOKUP(L1510,[1]HBA!$B$2:$C$4000,2,FALSE)</f>
        <v>MG</v>
      </c>
    </row>
    <row r="1511" spans="2:13" x14ac:dyDescent="0.25">
      <c r="B1511" s="31" t="s">
        <v>25743</v>
      </c>
      <c r="C1511" s="20"/>
      <c r="D1511" s="25" t="s">
        <v>26021</v>
      </c>
      <c r="E1511" s="25"/>
      <c r="F1511" s="9" t="str">
        <f>HYPERLINK("https://www.ebi.ac.uk/ols/ontologies/uberon/terms?iri=http://purl.obolibrary.org/obo/UBERON_0001927","medial geniculate body")</f>
        <v>medial geniculate body</v>
      </c>
      <c r="G1511" s="9" t="s">
        <v>2902</v>
      </c>
      <c r="H1511" s="9" t="s">
        <v>16505</v>
      </c>
      <c r="I1511" s="9" t="s">
        <v>2907</v>
      </c>
      <c r="J1511" s="9" t="s">
        <v>2909</v>
      </c>
      <c r="K1511" s="3" t="s">
        <v>15176</v>
      </c>
      <c r="L1511" s="13">
        <v>475</v>
      </c>
      <c r="M1511" t="str">
        <f>VLOOKUP(L1511,[1]Mouse_ARA!$B$2:$C$1328,2,FALSE)</f>
        <v>MG</v>
      </c>
    </row>
    <row r="1512" spans="2:13" x14ac:dyDescent="0.25">
      <c r="B1512" s="31" t="s">
        <v>25743</v>
      </c>
      <c r="C1512" s="20"/>
      <c r="D1512" s="25" t="s">
        <v>26022</v>
      </c>
      <c r="E1512" s="25"/>
      <c r="F1512" s="9" t="str">
        <f>HYPERLINK("https://www.ebi.ac.uk/ols/ontologies/uberon/terms?iri=http://purl.obolibrary.org/obo/UBERON_0002477","medial globus pallidus")</f>
        <v>medial globus pallidus</v>
      </c>
      <c r="G1512" s="9" t="s">
        <v>2910</v>
      </c>
      <c r="H1512" s="9" t="s">
        <v>19818</v>
      </c>
      <c r="I1512" s="9" t="s">
        <v>2911</v>
      </c>
      <c r="J1512" s="9" t="s">
        <v>2912</v>
      </c>
      <c r="K1512" s="4" t="s">
        <v>15175</v>
      </c>
      <c r="L1512" s="13">
        <v>10344</v>
      </c>
      <c r="M1512" t="str">
        <f>VLOOKUP(L1512,[1]Human_BrainSpan!$B$2:$C$4000,2,FALSE)</f>
        <v>GPi</v>
      </c>
    </row>
    <row r="1513" spans="2:13" x14ac:dyDescent="0.25">
      <c r="B1513" s="31" t="s">
        <v>25743</v>
      </c>
      <c r="C1513" s="20"/>
      <c r="D1513" s="25" t="s">
        <v>26022</v>
      </c>
      <c r="E1513" s="25"/>
      <c r="F1513" s="9" t="str">
        <f>HYPERLINK("https://www.ebi.ac.uk/ols/ontologies/uberon/terms?iri=http://purl.obolibrary.org/obo/UBERON_0002477","medial globus pallidus")</f>
        <v>medial globus pallidus</v>
      </c>
      <c r="G1513" s="9" t="s">
        <v>2910</v>
      </c>
      <c r="H1513" s="9" t="s">
        <v>15618</v>
      </c>
      <c r="I1513" s="9" t="s">
        <v>2913</v>
      </c>
      <c r="J1513" s="9" t="s">
        <v>2914</v>
      </c>
      <c r="K1513" s="5" t="s">
        <v>15173</v>
      </c>
      <c r="L1513" s="13">
        <v>15830</v>
      </c>
      <c r="M1513" t="str">
        <f>VLOOKUP(L1513,[1]DevMouse!$B$2:$C$2693,2,FALSE)</f>
        <v>IPal</v>
      </c>
    </row>
    <row r="1514" spans="2:13" x14ac:dyDescent="0.25">
      <c r="B1514" s="31" t="s">
        <v>25743</v>
      </c>
      <c r="C1514" s="20"/>
      <c r="D1514" s="25" t="s">
        <v>26022</v>
      </c>
      <c r="E1514" s="25"/>
      <c r="F1514" s="9" t="str">
        <f>HYPERLINK("https://www.ebi.ac.uk/ols/ontologies/uberon/terms?iri=http://purl.obolibrary.org/obo/UBERON_0002477","medial globus pallidus")</f>
        <v>medial globus pallidus</v>
      </c>
      <c r="G1514" s="9" t="s">
        <v>2910</v>
      </c>
      <c r="H1514" s="9" t="s">
        <v>19818</v>
      </c>
      <c r="I1514" s="9" t="s">
        <v>2915</v>
      </c>
      <c r="J1514" s="9" t="s">
        <v>2916</v>
      </c>
      <c r="K1514" s="7" t="s">
        <v>15171</v>
      </c>
      <c r="L1514" s="13">
        <v>12898</v>
      </c>
      <c r="M1514" t="str">
        <f>VLOOKUP(L1514,[1]HBA!$B$2:$C$4000,2,FALSE)</f>
        <v>GPi</v>
      </c>
    </row>
    <row r="1515" spans="2:13" x14ac:dyDescent="0.25">
      <c r="B1515" s="31" t="s">
        <v>25743</v>
      </c>
      <c r="C1515" s="20"/>
      <c r="D1515" s="25" t="s">
        <v>26022</v>
      </c>
      <c r="E1515" s="25"/>
      <c r="F1515" s="9" t="str">
        <f>HYPERLINK("https://www.ebi.ac.uk/ols/ontologies/uberon/terms?iri=http://purl.obolibrary.org/obo/UBERON_0002477","medial globus pallidus")</f>
        <v>medial globus pallidus</v>
      </c>
      <c r="G1515" s="9" t="s">
        <v>2910</v>
      </c>
      <c r="H1515" s="9" t="s">
        <v>19818</v>
      </c>
      <c r="I1515" s="9" t="s">
        <v>2915</v>
      </c>
      <c r="J1515" s="9" t="s">
        <v>2917</v>
      </c>
      <c r="K1515" s="3" t="s">
        <v>15176</v>
      </c>
      <c r="L1515" s="13">
        <v>1031</v>
      </c>
      <c r="M1515" t="str">
        <f>VLOOKUP(L1515,[1]Mouse_ARA!$B$2:$C$1328,2,FALSE)</f>
        <v>GPi</v>
      </c>
    </row>
    <row r="1516" spans="2:13" x14ac:dyDescent="0.25">
      <c r="B1516" s="31" t="s">
        <v>25743</v>
      </c>
      <c r="C1516" s="20"/>
      <c r="D1516" s="25" t="s">
        <v>26022</v>
      </c>
      <c r="E1516" s="25"/>
      <c r="F1516" s="9" t="str">
        <f>HYPERLINK("https://www.ebi.ac.uk/ols/ontologies/uberon/terms?iri=http://purl.obolibrary.org/obo/UBERON_0002477","medial globus pallidus")</f>
        <v>medial globus pallidus</v>
      </c>
      <c r="G1516" s="9" t="s">
        <v>2910</v>
      </c>
      <c r="H1516" s="9" t="s">
        <v>19818</v>
      </c>
      <c r="I1516" s="9" t="s">
        <v>2911</v>
      </c>
      <c r="J1516" s="9" t="s">
        <v>2918</v>
      </c>
      <c r="K1516" s="6" t="s">
        <v>15174</v>
      </c>
      <c r="L1516" s="13">
        <v>10098</v>
      </c>
      <c r="M1516" t="str">
        <f>VLOOKUP(L1516,[1]NonHumanPrimate!$B$2:$C$4000,2,FALSE)</f>
        <v>GPi</v>
      </c>
    </row>
    <row r="1517" spans="2:13" x14ac:dyDescent="0.25">
      <c r="B1517" s="31" t="s">
        <v>25743</v>
      </c>
      <c r="C1517" s="20"/>
      <c r="D1517" s="25" t="s">
        <v>668</v>
      </c>
      <c r="E1517" s="25"/>
      <c r="F1517" s="9" t="str">
        <f>HYPERLINK("https://www.ebi.ac.uk/ols/ontologies/uberon/terms?iri=http://purl.obolibrary.org/obo/UBERON_0001942","medial habenular nucleus")</f>
        <v>medial habenular nucleus</v>
      </c>
      <c r="G1517" s="9" t="s">
        <v>2919</v>
      </c>
      <c r="H1517" s="9" t="s">
        <v>23415</v>
      </c>
      <c r="I1517" s="9" t="s">
        <v>668</v>
      </c>
      <c r="J1517" s="9" t="s">
        <v>2920</v>
      </c>
      <c r="K1517" s="4" t="s">
        <v>15175</v>
      </c>
      <c r="L1517" s="13">
        <v>10456</v>
      </c>
      <c r="M1517" t="str">
        <f>VLOOKUP(L1517,[1]Human_BrainSpan!$B$2:$C$4000,2,FALSE)</f>
        <v>MHN</v>
      </c>
    </row>
    <row r="1518" spans="2:13" x14ac:dyDescent="0.25">
      <c r="B1518" s="31" t="s">
        <v>25743</v>
      </c>
      <c r="C1518" s="20"/>
      <c r="D1518" s="25" t="s">
        <v>668</v>
      </c>
      <c r="E1518" s="25"/>
      <c r="F1518" s="9" t="str">
        <f>HYPERLINK("https://www.ebi.ac.uk/ols/ontologies/uberon/terms?iri=http://purl.obolibrary.org/obo/UBERON_0001942","medial habenular nucleus")</f>
        <v>medial habenular nucleus</v>
      </c>
      <c r="G1518" s="9" t="s">
        <v>2919</v>
      </c>
      <c r="H1518" s="9" t="s">
        <v>16376</v>
      </c>
      <c r="I1518" s="9" t="s">
        <v>668</v>
      </c>
      <c r="J1518" s="9" t="s">
        <v>669</v>
      </c>
      <c r="K1518" s="5" t="s">
        <v>15173</v>
      </c>
      <c r="L1518" s="13">
        <v>16388</v>
      </c>
      <c r="M1518" t="str">
        <f>VLOOKUP(L1518,[1]DevMouse!$B$2:$C$2693,2,FALSE)</f>
        <v>MHb</v>
      </c>
    </row>
    <row r="1519" spans="2:13" x14ac:dyDescent="0.25">
      <c r="B1519" s="31" t="s">
        <v>25743</v>
      </c>
      <c r="C1519" s="20"/>
      <c r="D1519" s="25" t="s">
        <v>668</v>
      </c>
      <c r="E1519" s="25"/>
      <c r="F1519" s="9" t="str">
        <f>HYPERLINK("https://www.ebi.ac.uk/ols/ontologies/uberon/terms?iri=http://purl.obolibrary.org/obo/UBERON_0001942","medial habenular nucleus")</f>
        <v>medial habenular nucleus</v>
      </c>
      <c r="G1519" s="9" t="s">
        <v>2919</v>
      </c>
      <c r="H1519" s="9" t="s">
        <v>24913</v>
      </c>
      <c r="I1519" s="9" t="s">
        <v>2921</v>
      </c>
      <c r="J1519" s="9" t="s">
        <v>2922</v>
      </c>
      <c r="K1519" s="7" t="s">
        <v>15171</v>
      </c>
      <c r="L1519" s="13">
        <v>4523</v>
      </c>
      <c r="M1519" t="str">
        <f>VLOOKUP(L1519,[1]HBA!$B$2:$C$4000,2,FALSE)</f>
        <v>Hm</v>
      </c>
    </row>
    <row r="1520" spans="2:13" x14ac:dyDescent="0.25">
      <c r="B1520" s="31" t="s">
        <v>25743</v>
      </c>
      <c r="C1520" s="20"/>
      <c r="D1520" s="25" t="s">
        <v>668</v>
      </c>
      <c r="E1520" s="25"/>
      <c r="F1520" s="9" t="str">
        <f>HYPERLINK("https://www.ebi.ac.uk/ols/ontologies/uberon/terms?iri=http://purl.obolibrary.org/obo/UBERON_0001942","medial habenular nucleus")</f>
        <v>medial habenular nucleus</v>
      </c>
      <c r="G1520" s="9" t="s">
        <v>2919</v>
      </c>
      <c r="H1520" s="9" t="s">
        <v>17922</v>
      </c>
      <c r="I1520" s="9" t="s">
        <v>790</v>
      </c>
      <c r="J1520" s="9" t="s">
        <v>791</v>
      </c>
      <c r="K1520" s="3" t="s">
        <v>15176</v>
      </c>
      <c r="L1520" s="13">
        <v>483</v>
      </c>
      <c r="M1520" t="str">
        <f>VLOOKUP(L1520,[1]Mouse_ARA!$B$2:$C$1328,2,FALSE)</f>
        <v>MH</v>
      </c>
    </row>
    <row r="1521" spans="2:13" x14ac:dyDescent="0.25">
      <c r="B1521" s="31" t="s">
        <v>25743</v>
      </c>
      <c r="C1521" s="20"/>
      <c r="D1521" s="25" t="s">
        <v>2924</v>
      </c>
      <c r="E1521" s="25"/>
      <c r="F1521" s="9" t="str">
        <f>HYPERLINK("https://www.ebi.ac.uk/ols/ontologies/uberon/terms?iri=http://purl.obolibrary.org/obo/UBERON_0003002","medial lemniscus")</f>
        <v>medial lemniscus</v>
      </c>
      <c r="G1521" s="9" t="s">
        <v>2923</v>
      </c>
      <c r="H1521" s="9" t="s">
        <v>18472</v>
      </c>
      <c r="I1521" s="9" t="s">
        <v>2924</v>
      </c>
      <c r="J1521" s="9" t="s">
        <v>2925</v>
      </c>
      <c r="K1521" s="4" t="s">
        <v>15175</v>
      </c>
      <c r="L1521" s="13">
        <v>12763</v>
      </c>
      <c r="M1521" t="str">
        <f>VLOOKUP(L1521,[1]Human_BrainSpan!$B$2:$C$4000,2,FALSE)</f>
        <v>ml</v>
      </c>
    </row>
    <row r="1522" spans="2:13" x14ac:dyDescent="0.25">
      <c r="B1522" s="31" t="s">
        <v>25743</v>
      </c>
      <c r="C1522" s="20"/>
      <c r="D1522" s="25" t="s">
        <v>2924</v>
      </c>
      <c r="E1522" s="25"/>
      <c r="F1522" s="9" t="str">
        <f>HYPERLINK("https://www.ebi.ac.uk/ols/ontologies/uberon/terms?iri=http://purl.obolibrary.org/obo/UBERON_0003002","medial lemniscus")</f>
        <v>medial lemniscus</v>
      </c>
      <c r="G1522" s="9" t="s">
        <v>2923</v>
      </c>
      <c r="H1522" s="9" t="s">
        <v>18472</v>
      </c>
      <c r="I1522" s="9" t="s">
        <v>2924</v>
      </c>
      <c r="J1522" s="9" t="s">
        <v>2926</v>
      </c>
      <c r="K1522" s="5" t="s">
        <v>15173</v>
      </c>
      <c r="L1522" s="13">
        <v>17776</v>
      </c>
      <c r="M1522" t="str">
        <f>VLOOKUP(L1522,[1]DevMouse!$B$2:$C$2693,2,FALSE)</f>
        <v>ml</v>
      </c>
    </row>
    <row r="1523" spans="2:13" x14ac:dyDescent="0.25">
      <c r="B1523" s="31" t="s">
        <v>25743</v>
      </c>
      <c r="C1523" s="20"/>
      <c r="D1523" s="25" t="s">
        <v>2924</v>
      </c>
      <c r="E1523" s="25"/>
      <c r="F1523" s="9" t="str">
        <f>HYPERLINK("https://www.ebi.ac.uk/ols/ontologies/uberon/terms?iri=http://purl.obolibrary.org/obo/UBERON_0003002","medial lemniscus")</f>
        <v>medial lemniscus</v>
      </c>
      <c r="G1523" s="9" t="s">
        <v>2923</v>
      </c>
      <c r="H1523" s="9" t="s">
        <v>18472</v>
      </c>
      <c r="I1523" s="9" t="s">
        <v>2927</v>
      </c>
      <c r="J1523" s="9" t="s">
        <v>2928</v>
      </c>
      <c r="K1523" s="7" t="s">
        <v>15171</v>
      </c>
      <c r="L1523" s="13">
        <v>12961</v>
      </c>
      <c r="M1523" t="str">
        <f>VLOOKUP(L1523,[1]HBA!$B$2:$C$4000,2,FALSE)</f>
        <v>ml</v>
      </c>
    </row>
    <row r="1524" spans="2:13" x14ac:dyDescent="0.25">
      <c r="B1524" s="31" t="s">
        <v>25743</v>
      </c>
      <c r="C1524" s="20"/>
      <c r="D1524" s="25" t="s">
        <v>2924</v>
      </c>
      <c r="E1524" s="25"/>
      <c r="F1524" s="9" t="str">
        <f>HYPERLINK("https://www.ebi.ac.uk/ols/ontologies/uberon/terms?iri=http://purl.obolibrary.org/obo/UBERON_0003002","medial lemniscus")</f>
        <v>medial lemniscus</v>
      </c>
      <c r="G1524" s="9" t="s">
        <v>2923</v>
      </c>
      <c r="H1524" s="9" t="s">
        <v>18472</v>
      </c>
      <c r="I1524" s="9" t="s">
        <v>2924</v>
      </c>
      <c r="J1524" s="9" t="s">
        <v>2929</v>
      </c>
      <c r="K1524" s="3" t="s">
        <v>15176</v>
      </c>
      <c r="L1524" s="13">
        <v>697</v>
      </c>
      <c r="M1524" t="str">
        <f>VLOOKUP(L1524,[1]Mouse_ARA!$B$2:$C$1328,2,FALSE)</f>
        <v>ml</v>
      </c>
    </row>
    <row r="1525" spans="2:13" x14ac:dyDescent="0.25">
      <c r="B1525" s="31" t="s">
        <v>25743</v>
      </c>
      <c r="C1525" s="20"/>
      <c r="D1525" s="25" t="s">
        <v>2931</v>
      </c>
      <c r="E1525" s="25"/>
      <c r="F1525" s="9" t="str">
        <f>HYPERLINK("https://www.ebi.ac.uk/ols/ontologies/uberon/terms?iri=http://purl.obolibrary.org/obo/UBERON_0002309","medial longitudinal fasciculus")</f>
        <v>medial longitudinal fasciculus</v>
      </c>
      <c r="G1525" s="9" t="s">
        <v>2930</v>
      </c>
      <c r="H1525" s="9" t="s">
        <v>18474</v>
      </c>
      <c r="I1525" s="9" t="s">
        <v>2931</v>
      </c>
      <c r="J1525" s="9" t="s">
        <v>2932</v>
      </c>
      <c r="K1525" s="4" t="s">
        <v>15175</v>
      </c>
      <c r="L1525" s="13">
        <v>12764</v>
      </c>
      <c r="M1525" t="str">
        <f>VLOOKUP(L1525,[1]Human_BrainSpan!$B$2:$C$4000,2,FALSE)</f>
        <v>mlf</v>
      </c>
    </row>
    <row r="1526" spans="2:13" x14ac:dyDescent="0.25">
      <c r="B1526" s="31" t="s">
        <v>25743</v>
      </c>
      <c r="C1526" s="20"/>
      <c r="D1526" s="25" t="s">
        <v>2931</v>
      </c>
      <c r="E1526" s="25"/>
      <c r="F1526" s="9" t="str">
        <f>HYPERLINK("https://www.ebi.ac.uk/ols/ontologies/uberon/terms?iri=http://purl.obolibrary.org/obo/UBERON_0002309","medial longitudinal fasciculus")</f>
        <v>medial longitudinal fasciculus</v>
      </c>
      <c r="G1526" s="9" t="s">
        <v>2930</v>
      </c>
      <c r="H1526" s="9" t="s">
        <v>18474</v>
      </c>
      <c r="I1526" s="9" t="s">
        <v>2933</v>
      </c>
      <c r="J1526" s="9" t="s">
        <v>2934</v>
      </c>
      <c r="K1526" s="7" t="s">
        <v>15171</v>
      </c>
      <c r="L1526" s="13">
        <v>9351</v>
      </c>
      <c r="M1526" t="str">
        <f>VLOOKUP(L1526,[1]HBA!$B$2:$C$4000,2,FALSE)</f>
        <v>mlf</v>
      </c>
    </row>
    <row r="1527" spans="2:13" x14ac:dyDescent="0.25">
      <c r="B1527" s="31" t="s">
        <v>25743</v>
      </c>
      <c r="C1527" s="20"/>
      <c r="D1527" s="25" t="s">
        <v>2931</v>
      </c>
      <c r="E1527" s="25"/>
      <c r="F1527" s="9" t="str">
        <f>HYPERLINK("https://www.ebi.ac.uk/ols/ontologies/uberon/terms?iri=http://purl.obolibrary.org/obo/UBERON_0002309","medial longitudinal fasciculus")</f>
        <v>medial longitudinal fasciculus</v>
      </c>
      <c r="G1527" s="9" t="s">
        <v>2930</v>
      </c>
      <c r="H1527" s="9" t="s">
        <v>18474</v>
      </c>
      <c r="I1527" s="9" t="s">
        <v>2935</v>
      </c>
      <c r="J1527" s="9" t="s">
        <v>2936</v>
      </c>
      <c r="K1527" s="3" t="s">
        <v>15176</v>
      </c>
      <c r="L1527" s="13">
        <v>62</v>
      </c>
      <c r="M1527" t="str">
        <f>VLOOKUP(L1527,[1]Mouse_ARA!$B$2:$C$1328,2,FALSE)</f>
        <v>mlf</v>
      </c>
    </row>
    <row r="1528" spans="2:13" x14ac:dyDescent="0.25">
      <c r="B1528" s="31" t="s">
        <v>25743</v>
      </c>
      <c r="C1528" s="20"/>
      <c r="D1528" s="25" t="s">
        <v>2938</v>
      </c>
      <c r="E1528" s="25"/>
      <c r="F1528" s="9" t="str">
        <f>HYPERLINK("https://www.ebi.ac.uk/ols/ontologies/uberon/terms?iri=http://purl.obolibrary.org/obo/UBERON_0022234","medial longitudinal stria")</f>
        <v>medial longitudinal stria</v>
      </c>
      <c r="G1528" s="9" t="s">
        <v>2937</v>
      </c>
      <c r="H1528" s="9" t="s">
        <v>23612</v>
      </c>
      <c r="I1528" s="9" t="s">
        <v>2938</v>
      </c>
      <c r="J1528" s="9" t="s">
        <v>2939</v>
      </c>
      <c r="K1528" s="4" t="s">
        <v>15175</v>
      </c>
      <c r="L1528" s="13">
        <v>12066</v>
      </c>
      <c r="M1528" t="str">
        <f>VLOOKUP(L1528,[1]Human_BrainSpan!$B$2:$C$4000,2,FALSE)</f>
        <v>mls</v>
      </c>
    </row>
    <row r="1529" spans="2:13" x14ac:dyDescent="0.25">
      <c r="B1529" s="31" t="s">
        <v>25743</v>
      </c>
      <c r="C1529" s="20"/>
      <c r="D1529" s="25" t="s">
        <v>2938</v>
      </c>
      <c r="E1529" s="25"/>
      <c r="F1529" s="9" t="str">
        <f>HYPERLINK("https://www.ebi.ac.uk/ols/ontologies/uberon/terms?iri=http://purl.obolibrary.org/obo/UBERON_0022234","medial longitudinal stria")</f>
        <v>medial longitudinal stria</v>
      </c>
      <c r="G1529" s="9" t="s">
        <v>2937</v>
      </c>
      <c r="H1529" s="9" t="s">
        <v>23612</v>
      </c>
      <c r="I1529" s="9" t="s">
        <v>2938</v>
      </c>
      <c r="J1529" s="9" t="s">
        <v>2940</v>
      </c>
      <c r="K1529" s="7" t="s">
        <v>15171</v>
      </c>
      <c r="L1529" s="13">
        <v>265505202</v>
      </c>
      <c r="M1529" t="str">
        <f>VLOOKUP(L1529,[1]HBA!$B$2:$C$4000,2,FALSE)</f>
        <v>mls</v>
      </c>
    </row>
    <row r="1530" spans="2:13" x14ac:dyDescent="0.25">
      <c r="B1530" s="31" t="s">
        <v>25743</v>
      </c>
      <c r="C1530" s="20"/>
      <c r="D1530" s="25" t="s">
        <v>660</v>
      </c>
      <c r="E1530" s="25"/>
      <c r="F1530" s="9" t="str">
        <f>HYPERLINK("https://www.ebi.ac.uk/ols/ontologies/uberon/terms?iri=http://purl.obolibrary.org/obo/UBERON_0001939","medial mammillary nucleus")</f>
        <v>medial mammillary nucleus</v>
      </c>
      <c r="G1530" s="9" t="s">
        <v>2941</v>
      </c>
      <c r="H1530" s="9" t="s">
        <v>15504</v>
      </c>
      <c r="I1530" s="9" t="s">
        <v>660</v>
      </c>
      <c r="J1530" s="9" t="s">
        <v>2942</v>
      </c>
      <c r="K1530" s="4" t="s">
        <v>15175</v>
      </c>
      <c r="L1530" s="13">
        <v>10499</v>
      </c>
      <c r="M1530" t="str">
        <f>VLOOKUP(L1530,[1]Human_BrainSpan!$B$2:$C$4000,2,FALSE)</f>
        <v>MM</v>
      </c>
    </row>
    <row r="1531" spans="2:13" x14ac:dyDescent="0.25">
      <c r="B1531" s="31" t="s">
        <v>25743</v>
      </c>
      <c r="C1531" s="20"/>
      <c r="D1531" s="25" t="s">
        <v>660</v>
      </c>
      <c r="E1531" s="25"/>
      <c r="F1531" s="9" t="str">
        <f>HYPERLINK("https://www.ebi.ac.uk/ols/ontologies/uberon/terms?iri=http://purl.obolibrary.org/obo/UBERON_0001939","medial mammillary nucleus")</f>
        <v>medial mammillary nucleus</v>
      </c>
      <c r="G1531" s="9" t="s">
        <v>2941</v>
      </c>
      <c r="H1531" s="9" t="s">
        <v>15504</v>
      </c>
      <c r="I1531" s="9" t="s">
        <v>660</v>
      </c>
      <c r="J1531" s="9" t="s">
        <v>661</v>
      </c>
      <c r="K1531" s="5" t="s">
        <v>15173</v>
      </c>
      <c r="L1531" s="13">
        <v>15729</v>
      </c>
      <c r="M1531" t="str">
        <f>VLOOKUP(L1531,[1]DevMouse!$B$2:$C$2693,2,FALSE)</f>
        <v>MM</v>
      </c>
    </row>
    <row r="1532" spans="2:13" x14ac:dyDescent="0.25">
      <c r="B1532" s="31" t="s">
        <v>25743</v>
      </c>
      <c r="C1532" s="20"/>
      <c r="D1532" s="25" t="s">
        <v>660</v>
      </c>
      <c r="E1532" s="25"/>
      <c r="F1532" s="9" t="str">
        <f>HYPERLINK("https://www.ebi.ac.uk/ols/ontologies/uberon/terms?iri=http://purl.obolibrary.org/obo/UBERON_0001939","medial mammillary nucleus")</f>
        <v>medial mammillary nucleus</v>
      </c>
      <c r="G1532" s="9" t="s">
        <v>2941</v>
      </c>
      <c r="H1532" s="9" t="s">
        <v>15504</v>
      </c>
      <c r="I1532" s="9" t="s">
        <v>2943</v>
      </c>
      <c r="J1532" s="9" t="s">
        <v>2944</v>
      </c>
      <c r="K1532" s="7" t="s">
        <v>15171</v>
      </c>
      <c r="L1532" s="13">
        <v>4672</v>
      </c>
      <c r="M1532" t="str">
        <f>VLOOKUP(L1532,[1]HBA!$B$2:$C$4000,2,FALSE)</f>
        <v>MM</v>
      </c>
    </row>
    <row r="1533" spans="2:13" x14ac:dyDescent="0.25">
      <c r="B1533" s="31" t="s">
        <v>25743</v>
      </c>
      <c r="C1533" s="20"/>
      <c r="D1533" s="25" t="s">
        <v>660</v>
      </c>
      <c r="E1533" s="25"/>
      <c r="F1533" s="9" t="str">
        <f>HYPERLINK("https://www.ebi.ac.uk/ols/ontologies/uberon/terms?iri=http://purl.obolibrary.org/obo/UBERON_0001939","medial mammillary nucleus")</f>
        <v>medial mammillary nucleus</v>
      </c>
      <c r="G1533" s="9" t="s">
        <v>2941</v>
      </c>
      <c r="H1533" s="9" t="s">
        <v>15504</v>
      </c>
      <c r="I1533" s="9" t="s">
        <v>660</v>
      </c>
      <c r="J1533" s="9" t="s">
        <v>792</v>
      </c>
      <c r="K1533" s="3" t="s">
        <v>15176</v>
      </c>
      <c r="L1533" s="13">
        <v>491</v>
      </c>
      <c r="M1533" t="str">
        <f>VLOOKUP(L1533,[1]Mouse_ARA!$B$2:$C$1328,2,FALSE)</f>
        <v>MM</v>
      </c>
    </row>
    <row r="1534" spans="2:13" x14ac:dyDescent="0.25">
      <c r="B1534" s="31" t="s">
        <v>25743</v>
      </c>
      <c r="C1534" s="20"/>
      <c r="D1534" s="25" t="s">
        <v>26023</v>
      </c>
      <c r="E1534" s="25"/>
      <c r="F1534" s="9" t="str">
        <f>HYPERLINK("https://www.ebi.ac.uk/ols/ontologies/uberon/terms?iri=http://purl.obolibrary.org/obo/UBERON_0002727","medial medullary lamina of globus pallidus")</f>
        <v>medial medullary lamina of globus pallidus</v>
      </c>
      <c r="G1534" s="9" t="s">
        <v>2945</v>
      </c>
      <c r="H1534" s="9" t="s">
        <v>23607</v>
      </c>
      <c r="I1534" s="9" t="s">
        <v>2946</v>
      </c>
      <c r="J1534" s="9" t="s">
        <v>2947</v>
      </c>
      <c r="K1534" s="4" t="s">
        <v>15175</v>
      </c>
      <c r="L1534" s="13">
        <v>12062</v>
      </c>
      <c r="M1534" t="str">
        <f>VLOOKUP(L1534,[1]Human_BrainSpan!$B$2:$C$4000,2,FALSE)</f>
        <v>imlgp</v>
      </c>
    </row>
    <row r="1535" spans="2:13" x14ac:dyDescent="0.25">
      <c r="B1535" s="31" t="s">
        <v>25743</v>
      </c>
      <c r="C1535" s="20"/>
      <c r="D1535" s="25" t="s">
        <v>26023</v>
      </c>
      <c r="E1535" s="25"/>
      <c r="F1535" s="9" t="str">
        <f>HYPERLINK("https://www.ebi.ac.uk/ols/ontologies/uberon/terms?iri=http://purl.obolibrary.org/obo/UBERON_0002727","medial medullary lamina of globus pallidus")</f>
        <v>medial medullary lamina of globus pallidus</v>
      </c>
      <c r="G1535" s="9" t="s">
        <v>2945</v>
      </c>
      <c r="H1535" s="9" t="s">
        <v>23607</v>
      </c>
      <c r="I1535" s="9" t="s">
        <v>2946</v>
      </c>
      <c r="J1535" s="9" t="s">
        <v>2948</v>
      </c>
      <c r="K1535" s="7" t="s">
        <v>15171</v>
      </c>
      <c r="L1535" s="13">
        <v>265505122</v>
      </c>
      <c r="M1535" t="str">
        <f>VLOOKUP(L1535,[1]HBA!$B$2:$C$4000,2,FALSE)</f>
        <v>imlgp</v>
      </c>
    </row>
    <row r="1536" spans="2:13" x14ac:dyDescent="0.25">
      <c r="B1536" s="31" t="s">
        <v>25743</v>
      </c>
      <c r="C1536" s="20"/>
      <c r="D1536" s="25" t="s">
        <v>26024</v>
      </c>
      <c r="E1536" s="25"/>
      <c r="F1536" s="9" t="str">
        <f>HYPERLINK("https://www.ebi.ac.uk/ols/ontologies/uberon/terms?iri=http://purl.obolibrary.org/obo/UBERON_0009052","medial nucleus of solitary tract")</f>
        <v>medial nucleus of solitary tract</v>
      </c>
      <c r="G1536" s="9" t="s">
        <v>2949</v>
      </c>
      <c r="H1536" s="9" t="s">
        <v>20427</v>
      </c>
      <c r="I1536" s="9" t="s">
        <v>2950</v>
      </c>
      <c r="J1536" s="9" t="s">
        <v>2951</v>
      </c>
      <c r="K1536" s="3" t="s">
        <v>15176</v>
      </c>
      <c r="L1536" s="13">
        <v>691</v>
      </c>
      <c r="M1536" t="str">
        <f>VLOOKUP(L1536,[1]Mouse_ARA!$B$2:$C$1328,2,FALSE)</f>
        <v>NTSm</v>
      </c>
    </row>
    <row r="1537" spans="2:13" x14ac:dyDescent="0.25">
      <c r="B1537" s="31" t="s">
        <v>25743</v>
      </c>
      <c r="C1537" s="20"/>
      <c r="D1537" s="25" t="s">
        <v>26025</v>
      </c>
      <c r="E1537" s="25"/>
      <c r="F1537" s="9" t="str">
        <f>HYPERLINK("https://www.ebi.ac.uk/ols/ontologies/uberon/terms?iri=http://purl.obolibrary.org/obo/UBERON_0034895","medial nucleus of stria terminalis")</f>
        <v>medial nucleus of stria terminalis</v>
      </c>
      <c r="G1537" s="9" t="s">
        <v>2952</v>
      </c>
      <c r="H1537" s="9" t="s">
        <v>23217</v>
      </c>
      <c r="I1537" s="9" t="s">
        <v>2953</v>
      </c>
      <c r="J1537" s="9" t="s">
        <v>2954</v>
      </c>
      <c r="K1537" s="4" t="s">
        <v>15175</v>
      </c>
      <c r="L1537" s="13">
        <v>10385</v>
      </c>
      <c r="M1537" t="str">
        <f>VLOOKUP(L1537,[1]Human_BrainSpan!$B$2:$C$4000,2,FALSE)</f>
        <v>BNSTm</v>
      </c>
    </row>
    <row r="1538" spans="2:13" x14ac:dyDescent="0.25">
      <c r="B1538" s="31" t="s">
        <v>25743</v>
      </c>
      <c r="C1538" s="20"/>
      <c r="D1538" s="25" t="s">
        <v>2956</v>
      </c>
      <c r="E1538" s="25"/>
      <c r="F1538" s="9" t="str">
        <f>HYPERLINK("https://www.ebi.ac.uk/ols/ontologies/uberon/terms?iri=http://purl.obolibrary.org/obo/UBERON_0002833","medial nucleus of trapezoid body")</f>
        <v>medial nucleus of trapezoid body</v>
      </c>
      <c r="G1538" s="9" t="s">
        <v>2955</v>
      </c>
      <c r="H1538" s="9" t="s">
        <v>24309</v>
      </c>
      <c r="I1538" s="9" t="s">
        <v>2956</v>
      </c>
      <c r="J1538" s="9" t="s">
        <v>2957</v>
      </c>
      <c r="K1538" s="4" t="s">
        <v>15175</v>
      </c>
      <c r="L1538" s="13">
        <v>12460</v>
      </c>
      <c r="M1538" t="str">
        <f>VLOOKUP(L1538,[1]Human_BrainSpan!$B$2:$C$4000,2,FALSE)</f>
        <v>TrZm</v>
      </c>
    </row>
    <row r="1539" spans="2:13" x14ac:dyDescent="0.25">
      <c r="B1539" s="31" t="s">
        <v>25743</v>
      </c>
      <c r="C1539" s="20"/>
      <c r="D1539" s="25" t="s">
        <v>2959</v>
      </c>
      <c r="E1539" s="25"/>
      <c r="F1539" s="9" t="str">
        <f>HYPERLINK("https://www.ebi.ac.uk/ols/ontologies/uberon/terms?iri=http://purl.obolibrary.org/obo/UBERON_0002975","medial oculomotor nucleus")</f>
        <v>medial oculomotor nucleus</v>
      </c>
      <c r="G1539" s="9" t="s">
        <v>2958</v>
      </c>
      <c r="H1539" s="9" t="s">
        <v>17063</v>
      </c>
      <c r="I1539" s="9" t="s">
        <v>2959</v>
      </c>
      <c r="J1539" s="9" t="s">
        <v>2960</v>
      </c>
      <c r="K1539" s="4" t="s">
        <v>15175</v>
      </c>
      <c r="L1539" s="13">
        <v>12204</v>
      </c>
      <c r="M1539" t="str">
        <f>VLOOKUP(L1539,[1]Human_BrainSpan!$B$2:$C$4000,2,FALSE)</f>
        <v>3M</v>
      </c>
    </row>
    <row r="1540" spans="2:13" x14ac:dyDescent="0.25">
      <c r="B1540" s="31" t="s">
        <v>25743</v>
      </c>
      <c r="C1540" s="20"/>
      <c r="D1540" s="25" t="s">
        <v>2959</v>
      </c>
      <c r="E1540" s="25"/>
      <c r="F1540" s="9" t="str">
        <f>HYPERLINK("https://www.ebi.ac.uk/ols/ontologies/uberon/terms?iri=http://purl.obolibrary.org/obo/UBERON_0002975","medial oculomotor nucleus")</f>
        <v>medial oculomotor nucleus</v>
      </c>
      <c r="G1540" s="9" t="s">
        <v>2958</v>
      </c>
      <c r="H1540" s="9" t="s">
        <v>25287</v>
      </c>
      <c r="I1540" s="9" t="s">
        <v>2961</v>
      </c>
      <c r="J1540" s="9" t="s">
        <v>2962</v>
      </c>
      <c r="K1540" s="7" t="s">
        <v>15171</v>
      </c>
      <c r="L1540" s="13">
        <v>9037</v>
      </c>
      <c r="M1540" t="str">
        <f>VLOOKUP(L1540,[1]HBA!$B$2:$C$4000,2,FALSE)</f>
        <v>M3</v>
      </c>
    </row>
    <row r="1541" spans="2:13" x14ac:dyDescent="0.25">
      <c r="B1541" s="31" t="s">
        <v>25743</v>
      </c>
      <c r="C1541" s="20"/>
      <c r="D1541" s="25" t="s">
        <v>2964</v>
      </c>
      <c r="E1541" s="25"/>
      <c r="F1541" s="9" t="str">
        <f>HYPERLINK("https://www.ebi.ac.uk/ols/ontologies/uberon/terms?iri=http://purl.obolibrary.org/obo/UBERON_0034734","medial olfactory stria")</f>
        <v>medial olfactory stria</v>
      </c>
      <c r="G1541" s="9" t="s">
        <v>2963</v>
      </c>
      <c r="H1541" s="9" t="s">
        <v>23625</v>
      </c>
      <c r="I1541" s="9" t="s">
        <v>2964</v>
      </c>
      <c r="J1541" s="9" t="s">
        <v>2965</v>
      </c>
      <c r="K1541" s="4" t="s">
        <v>15175</v>
      </c>
      <c r="L1541" s="13">
        <v>12076</v>
      </c>
      <c r="M1541" t="str">
        <f>VLOOKUP(L1541,[1]Human_BrainSpan!$B$2:$C$4000,2,FALSE)</f>
        <v>most</v>
      </c>
    </row>
    <row r="1542" spans="2:13" x14ac:dyDescent="0.25">
      <c r="B1542" s="31" t="s">
        <v>25743</v>
      </c>
      <c r="C1542" s="25"/>
      <c r="D1542" s="25" t="s">
        <v>2964</v>
      </c>
      <c r="E1542" s="20"/>
      <c r="F1542" s="9" t="str">
        <f>HYPERLINK("https://www.ebi.ac.uk/ols/ontologies/uberon/terms?iri=http://purl.obolibrary.org/obo/UBERON_0034734","medial olfactory stria")</f>
        <v>medial olfactory stria</v>
      </c>
      <c r="G1542" s="9" t="s">
        <v>2963</v>
      </c>
      <c r="H1542" s="9" t="s">
        <v>18476</v>
      </c>
      <c r="I1542" s="9" t="s">
        <v>630</v>
      </c>
      <c r="J1542" s="9" t="s">
        <v>631</v>
      </c>
      <c r="K1542" s="5" t="s">
        <v>15173</v>
      </c>
      <c r="L1542" s="13">
        <v>17779</v>
      </c>
      <c r="M1542" t="str">
        <f>VLOOKUP(L1542,[1]DevMouse!$B$2:$C$2693,2,FALSE)</f>
        <v>mot</v>
      </c>
    </row>
    <row r="1543" spans="2:13" x14ac:dyDescent="0.25">
      <c r="B1543" s="31" t="s">
        <v>25743</v>
      </c>
      <c r="C1543" s="25"/>
      <c r="D1543" s="25" t="s">
        <v>2964</v>
      </c>
      <c r="E1543" s="20"/>
      <c r="F1543" s="9" t="str">
        <f>HYPERLINK("https://www.ebi.ac.uk/ols/ontologies/uberon/terms?iri=http://purl.obolibrary.org/obo/UBERON_0034734","medial olfactory stria")</f>
        <v>medial olfactory stria</v>
      </c>
      <c r="G1543" s="9" t="s">
        <v>2963</v>
      </c>
      <c r="H1543" s="9" t="s">
        <v>18476</v>
      </c>
      <c r="I1543" s="9" t="s">
        <v>2966</v>
      </c>
      <c r="J1543" s="9" t="s">
        <v>2967</v>
      </c>
      <c r="K1543" s="7" t="s">
        <v>15171</v>
      </c>
      <c r="L1543" s="13">
        <v>265505518</v>
      </c>
      <c r="M1543" t="str">
        <f>VLOOKUP(L1543,[1]HBA!$B$2:$C$4000,2,FALSE)</f>
        <v>mot</v>
      </c>
    </row>
    <row r="1544" spans="2:13" x14ac:dyDescent="0.25">
      <c r="B1544" s="31" t="s">
        <v>25743</v>
      </c>
      <c r="C1544" s="20"/>
      <c r="D1544" s="25" t="s">
        <v>2969</v>
      </c>
      <c r="E1544" s="25"/>
      <c r="F1544" s="9" t="str">
        <f>HYPERLINK("https://www.ebi.ac.uk/ols/ontologies/uberon/terms?iri=http://purl.obolibrary.org/obo/UBERON_0002570","medial orbital gyrus")</f>
        <v>medial orbital gyrus</v>
      </c>
      <c r="G1544" s="9" t="s">
        <v>2968</v>
      </c>
      <c r="H1544" s="9" t="s">
        <v>23800</v>
      </c>
      <c r="I1544" s="9" t="s">
        <v>2969</v>
      </c>
      <c r="J1544" s="9" t="s">
        <v>2970</v>
      </c>
      <c r="K1544" s="4" t="s">
        <v>15175</v>
      </c>
      <c r="L1544" s="13">
        <v>12122</v>
      </c>
      <c r="M1544" t="str">
        <f>VLOOKUP(L1544,[1]Human_BrainSpan!$B$2:$C$4000,2,FALSE)</f>
        <v>MOrG</v>
      </c>
    </row>
    <row r="1545" spans="2:13" x14ac:dyDescent="0.25">
      <c r="B1545" s="31" t="s">
        <v>25743</v>
      </c>
      <c r="C1545" s="20"/>
      <c r="D1545" s="25" t="s">
        <v>2969</v>
      </c>
      <c r="E1545" s="25"/>
      <c r="F1545" s="9" t="str">
        <f>HYPERLINK("https://www.ebi.ac.uk/ols/ontologies/uberon/terms?iri=http://purl.obolibrary.org/obo/UBERON_0002570","medial orbital gyrus")</f>
        <v>medial orbital gyrus</v>
      </c>
      <c r="G1545" s="9" t="s">
        <v>2968</v>
      </c>
      <c r="H1545" s="9" t="s">
        <v>23800</v>
      </c>
      <c r="I1545" s="9" t="s">
        <v>2969</v>
      </c>
      <c r="J1545" s="9" t="s">
        <v>2971</v>
      </c>
      <c r="K1545" s="7" t="s">
        <v>15171</v>
      </c>
      <c r="L1545" s="13">
        <v>4050</v>
      </c>
      <c r="M1545" t="str">
        <f>VLOOKUP(L1545,[1]HBA!$B$2:$C$4000,2,FALSE)</f>
        <v>MOrG</v>
      </c>
    </row>
    <row r="1546" spans="2:13" x14ac:dyDescent="0.25">
      <c r="B1546" s="31" t="s">
        <v>25743</v>
      </c>
      <c r="C1546" s="20"/>
      <c r="D1546" s="25" t="s">
        <v>2973</v>
      </c>
      <c r="E1546" s="25"/>
      <c r="F1546" s="9" t="str">
        <f>HYPERLINK("https://www.ebi.ac.uk/ols/ontologies/uberon/terms?iri=http://purl.obolibrary.org/obo/UBERON_0002918","medial parabrachial nucleus")</f>
        <v>medial parabrachial nucleus</v>
      </c>
      <c r="G1546" s="9" t="s">
        <v>2972</v>
      </c>
      <c r="H1546" s="9" t="s">
        <v>17281</v>
      </c>
      <c r="I1546" s="9" t="s">
        <v>2973</v>
      </c>
      <c r="J1546" s="9" t="s">
        <v>2974</v>
      </c>
      <c r="K1546" s="4" t="s">
        <v>15175</v>
      </c>
      <c r="L1546" s="13">
        <v>12487</v>
      </c>
      <c r="M1546" t="str">
        <f>VLOOKUP(L1546,[1]Human_BrainSpan!$B$2:$C$4000,2,FALSE)</f>
        <v>MPB</v>
      </c>
    </row>
    <row r="1547" spans="2:13" x14ac:dyDescent="0.25">
      <c r="B1547" s="31" t="s">
        <v>25743</v>
      </c>
      <c r="C1547" s="20"/>
      <c r="D1547" s="25" t="s">
        <v>2973</v>
      </c>
      <c r="E1547" s="25"/>
      <c r="F1547" s="9" t="str">
        <f>HYPERLINK("https://www.ebi.ac.uk/ols/ontologies/uberon/terms?iri=http://purl.obolibrary.org/obo/UBERON_0002918","medial parabrachial nucleus")</f>
        <v>medial parabrachial nucleus</v>
      </c>
      <c r="G1547" s="9" t="s">
        <v>2972</v>
      </c>
      <c r="H1547" s="9" t="s">
        <v>17281</v>
      </c>
      <c r="I1547" s="9" t="s">
        <v>2973</v>
      </c>
      <c r="J1547" s="9" t="s">
        <v>2975</v>
      </c>
      <c r="K1547" s="5" t="s">
        <v>15173</v>
      </c>
      <c r="L1547" s="13">
        <v>16850</v>
      </c>
      <c r="M1547" t="str">
        <f>VLOOKUP(L1547,[1]DevMouse!$B$2:$C$2693,2,FALSE)</f>
        <v>MPB</v>
      </c>
    </row>
    <row r="1548" spans="2:13" x14ac:dyDescent="0.25">
      <c r="B1548" s="31" t="s">
        <v>25743</v>
      </c>
      <c r="C1548" s="20"/>
      <c r="D1548" s="25" t="s">
        <v>2973</v>
      </c>
      <c r="E1548" s="25"/>
      <c r="F1548" s="9" t="str">
        <f>HYPERLINK("https://www.ebi.ac.uk/ols/ontologies/uberon/terms?iri=http://purl.obolibrary.org/obo/UBERON_0002918","medial parabrachial nucleus")</f>
        <v>medial parabrachial nucleus</v>
      </c>
      <c r="G1548" s="9" t="s">
        <v>2972</v>
      </c>
      <c r="H1548" s="9" t="s">
        <v>17281</v>
      </c>
      <c r="I1548" s="9" t="s">
        <v>2976</v>
      </c>
      <c r="J1548" s="9" t="s">
        <v>2977</v>
      </c>
      <c r="K1548" s="7" t="s">
        <v>15171</v>
      </c>
      <c r="L1548" s="13">
        <v>9153</v>
      </c>
      <c r="M1548" t="str">
        <f>VLOOKUP(L1548,[1]HBA!$B$2:$C$4000,2,FALSE)</f>
        <v>MPB</v>
      </c>
    </row>
    <row r="1549" spans="2:13" x14ac:dyDescent="0.25">
      <c r="B1549" s="31" t="s">
        <v>25743</v>
      </c>
      <c r="C1549" s="20"/>
      <c r="D1549" s="25" t="s">
        <v>2973</v>
      </c>
      <c r="E1549" s="25"/>
      <c r="F1549" s="9" t="str">
        <f>HYPERLINK("https://www.ebi.ac.uk/ols/ontologies/uberon/terms?iri=http://purl.obolibrary.org/obo/UBERON_0002918","medial parabrachial nucleus")</f>
        <v>medial parabrachial nucleus</v>
      </c>
      <c r="G1549" s="9" t="s">
        <v>2972</v>
      </c>
      <c r="H1549" s="9" t="s">
        <v>17277</v>
      </c>
      <c r="I1549" s="9" t="s">
        <v>2978</v>
      </c>
      <c r="J1549" s="9" t="s">
        <v>2979</v>
      </c>
      <c r="K1549" s="3" t="s">
        <v>15176</v>
      </c>
      <c r="L1549" s="13">
        <v>890</v>
      </c>
      <c r="M1549" t="str">
        <f>VLOOKUP(L1549,[1]Mouse_ARA!$B$2:$C$1328,2,FALSE)</f>
        <v>PBm</v>
      </c>
    </row>
    <row r="1550" spans="2:13" x14ac:dyDescent="0.25">
      <c r="B1550" s="31" t="s">
        <v>25743</v>
      </c>
      <c r="C1550" s="20"/>
      <c r="D1550" s="25" t="s">
        <v>26026</v>
      </c>
      <c r="E1550" s="25"/>
      <c r="F1550" s="9" t="str">
        <f>HYPERLINK("https://www.ebi.ac.uk/ols/ontologies/uberon/terms?iri=http://purl.obolibrary.org/obo/UBERON_0002889","medial part of basal amygdaloid nucleus")</f>
        <v>medial part of basal amygdaloid nucleus</v>
      </c>
      <c r="G1550" s="9" t="s">
        <v>2980</v>
      </c>
      <c r="H1550" s="9" t="s">
        <v>15737</v>
      </c>
      <c r="I1550" s="9" t="s">
        <v>2981</v>
      </c>
      <c r="J1550" s="9" t="s">
        <v>2982</v>
      </c>
      <c r="K1550" s="5" t="s">
        <v>15173</v>
      </c>
      <c r="L1550" s="13">
        <v>15947</v>
      </c>
      <c r="M1550" t="str">
        <f>VLOOKUP(L1550,[1]DevMouse!$B$2:$C$2693,2,FALSE)</f>
        <v>BMA</v>
      </c>
    </row>
    <row r="1551" spans="2:13" x14ac:dyDescent="0.25">
      <c r="B1551" s="31" t="s">
        <v>25743</v>
      </c>
      <c r="C1551" s="20"/>
      <c r="D1551" s="25" t="s">
        <v>26026</v>
      </c>
      <c r="E1551" s="25"/>
      <c r="F1551" s="9" t="str">
        <f>HYPERLINK("https://www.ebi.ac.uk/ols/ontologies/uberon/terms?iri=http://purl.obolibrary.org/obo/UBERON_0002889","medial part of basal amygdaloid nucleus")</f>
        <v>medial part of basal amygdaloid nucleus</v>
      </c>
      <c r="G1551" s="9" t="s">
        <v>2980</v>
      </c>
      <c r="H1551" s="9" t="s">
        <v>15737</v>
      </c>
      <c r="I1551" s="9" t="s">
        <v>2983</v>
      </c>
      <c r="J1551" s="9" t="s">
        <v>2984</v>
      </c>
      <c r="K1551" s="3" t="s">
        <v>15176</v>
      </c>
      <c r="L1551" s="13">
        <v>319</v>
      </c>
      <c r="M1551" t="str">
        <f>VLOOKUP(L1551,[1]Mouse_ARA!$B$2:$C$1328,2,FALSE)</f>
        <v>BMA</v>
      </c>
    </row>
    <row r="1552" spans="2:13" x14ac:dyDescent="0.25">
      <c r="B1552" s="31" t="s">
        <v>25743</v>
      </c>
      <c r="C1552" s="20"/>
      <c r="D1552" s="25" t="s">
        <v>2986</v>
      </c>
      <c r="E1552" s="25"/>
      <c r="F1552" s="9" t="str">
        <f>HYPERLINK("https://www.ebi.ac.uk/ols/ontologies/uberon/terms?iri=http://purl.obolibrary.org/obo/UBERON_0002632","medial part of medial mammillary nucleus")</f>
        <v>medial part of medial mammillary nucleus</v>
      </c>
      <c r="G1552" s="9" t="s">
        <v>2985</v>
      </c>
      <c r="H1552" s="9" t="s">
        <v>15505</v>
      </c>
      <c r="I1552" s="9" t="s">
        <v>2986</v>
      </c>
      <c r="J1552" s="9" t="s">
        <v>2987</v>
      </c>
      <c r="K1552" s="4" t="s">
        <v>15175</v>
      </c>
      <c r="L1552" s="13">
        <v>10501</v>
      </c>
      <c r="M1552" t="str">
        <f>VLOOKUP(L1552,[1]Human_BrainSpan!$B$2:$C$4000,2,FALSE)</f>
        <v>MMm</v>
      </c>
    </row>
    <row r="1553" spans="2:13" x14ac:dyDescent="0.25">
      <c r="B1553" s="31" t="s">
        <v>25743</v>
      </c>
      <c r="C1553" s="20"/>
      <c r="D1553" s="25" t="s">
        <v>2986</v>
      </c>
      <c r="E1553" s="25"/>
      <c r="F1553" s="9" t="str">
        <f>HYPERLINK("https://www.ebi.ac.uk/ols/ontologies/uberon/terms?iri=http://purl.obolibrary.org/obo/UBERON_0002632","medial part of medial mammillary nucleus")</f>
        <v>medial part of medial mammillary nucleus</v>
      </c>
      <c r="G1553" s="9" t="s">
        <v>2985</v>
      </c>
      <c r="H1553" s="9" t="s">
        <v>15505</v>
      </c>
      <c r="I1553" s="9" t="s">
        <v>2988</v>
      </c>
      <c r="J1553" s="9" t="s">
        <v>2989</v>
      </c>
      <c r="K1553" s="5" t="s">
        <v>15173</v>
      </c>
      <c r="L1553" s="13">
        <v>15730</v>
      </c>
      <c r="M1553" t="str">
        <f>VLOOKUP(L1553,[1]DevMouse!$B$2:$C$2693,2,FALSE)</f>
        <v>MMm</v>
      </c>
    </row>
    <row r="1554" spans="2:13" x14ac:dyDescent="0.25">
      <c r="B1554" s="31" t="s">
        <v>25743</v>
      </c>
      <c r="C1554" s="20"/>
      <c r="D1554" s="25" t="s">
        <v>2986</v>
      </c>
      <c r="E1554" s="25"/>
      <c r="F1554" s="9" t="str">
        <f>HYPERLINK("https://www.ebi.ac.uk/ols/ontologies/uberon/terms?iri=http://purl.obolibrary.org/obo/UBERON_0002632","medial part of medial mammillary nucleus")</f>
        <v>medial part of medial mammillary nucleus</v>
      </c>
      <c r="G1554" s="9" t="s">
        <v>2985</v>
      </c>
      <c r="H1554" s="9" t="s">
        <v>20088</v>
      </c>
      <c r="I1554" s="9" t="s">
        <v>2990</v>
      </c>
      <c r="J1554" s="9" t="s">
        <v>2991</v>
      </c>
      <c r="K1554" s="3" t="s">
        <v>15176</v>
      </c>
      <c r="L1554" s="13">
        <v>732</v>
      </c>
      <c r="M1554" t="str">
        <f>VLOOKUP(L1554,[1]Mouse_ARA!$B$2:$C$1328,2,FALSE)</f>
        <v>MMme</v>
      </c>
    </row>
    <row r="1555" spans="2:13" x14ac:dyDescent="0.25">
      <c r="B1555" s="31" t="s">
        <v>25743</v>
      </c>
      <c r="C1555" s="20"/>
      <c r="D1555" s="25" t="s">
        <v>26027</v>
      </c>
      <c r="E1555" s="25"/>
      <c r="F1555" s="9" t="str">
        <f>HYPERLINK("https://www.ebi.ac.uk/ols/ontologies/uberon/terms?iri=http://purl.obolibrary.org/obo/UBERON_0002614","medial part of ventral lateral nucleus")</f>
        <v>medial part of ventral lateral nucleus</v>
      </c>
      <c r="G1555" s="9" t="s">
        <v>2992</v>
      </c>
      <c r="H1555" s="9" t="s">
        <v>16439</v>
      </c>
      <c r="I1555" s="9" t="s">
        <v>2993</v>
      </c>
      <c r="J1555" s="9" t="s">
        <v>2994</v>
      </c>
      <c r="K1555" s="4" t="s">
        <v>15175</v>
      </c>
      <c r="L1555" s="13">
        <v>10427</v>
      </c>
      <c r="M1555" t="str">
        <f>VLOOKUP(L1555,[1]Human_BrainSpan!$B$2:$C$4000,2,FALSE)</f>
        <v>VM</v>
      </c>
    </row>
    <row r="1556" spans="2:13" x14ac:dyDescent="0.25">
      <c r="B1556" s="31" t="s">
        <v>25743</v>
      </c>
      <c r="C1556" s="20"/>
      <c r="D1556" s="25" t="s">
        <v>26027</v>
      </c>
      <c r="E1556" s="25"/>
      <c r="F1556" s="9" t="str">
        <f>HYPERLINK("https://www.ebi.ac.uk/ols/ontologies/uberon/terms?iri=http://purl.obolibrary.org/obo/UBERON_0002614","medial part of ventral lateral nucleus")</f>
        <v>medial part of ventral lateral nucleus</v>
      </c>
      <c r="G1556" s="9" t="s">
        <v>2992</v>
      </c>
      <c r="H1556" s="9" t="s">
        <v>16439</v>
      </c>
      <c r="I1556" s="9" t="s">
        <v>2995</v>
      </c>
      <c r="J1556" s="9" t="s">
        <v>2996</v>
      </c>
      <c r="K1556" s="7" t="s">
        <v>15171</v>
      </c>
      <c r="L1556" s="13">
        <v>4421</v>
      </c>
      <c r="M1556" t="str">
        <f>VLOOKUP(L1556,[1]HBA!$B$2:$C$4000,2,FALSE)</f>
        <v>VM</v>
      </c>
    </row>
    <row r="1557" spans="2:13" x14ac:dyDescent="0.25">
      <c r="B1557" s="31" t="s">
        <v>25743</v>
      </c>
      <c r="C1557" s="20"/>
      <c r="D1557" s="25" t="s">
        <v>26027</v>
      </c>
      <c r="E1557" s="25"/>
      <c r="F1557" s="9" t="str">
        <f>HYPERLINK("https://www.ebi.ac.uk/ols/ontologies/uberon/terms?iri=http://purl.obolibrary.org/obo/UBERON_0002614","medial part of ventral lateral nucleus")</f>
        <v>medial part of ventral lateral nucleus</v>
      </c>
      <c r="G1557" s="9" t="s">
        <v>2992</v>
      </c>
      <c r="H1557" s="9" t="s">
        <v>16439</v>
      </c>
      <c r="I1557" s="9" t="s">
        <v>2997</v>
      </c>
      <c r="J1557" s="9" t="s">
        <v>2998</v>
      </c>
      <c r="K1557" s="3" t="s">
        <v>15176</v>
      </c>
      <c r="L1557" s="13">
        <v>685</v>
      </c>
      <c r="M1557" t="str">
        <f>VLOOKUP(L1557,[1]Mouse_ARA!$B$2:$C$1328,2,FALSE)</f>
        <v>VM</v>
      </c>
    </row>
    <row r="1558" spans="2:13" x14ac:dyDescent="0.25">
      <c r="B1558" s="31" t="s">
        <v>25743</v>
      </c>
      <c r="C1558" s="20"/>
      <c r="D1558" s="25" t="s">
        <v>3000</v>
      </c>
      <c r="E1558" s="25"/>
      <c r="F1558" s="9" t="str">
        <f>HYPERLINK("https://www.ebi.ac.uk/ols/ontologies/uberon/terms?iri=http://purl.obolibrary.org/obo/UBERON_0002875","medial pericuneate nucleus")</f>
        <v>medial pericuneate nucleus</v>
      </c>
      <c r="G1558" s="9" t="s">
        <v>2999</v>
      </c>
      <c r="H1558" s="9" t="s">
        <v>24358</v>
      </c>
      <c r="I1558" s="9" t="s">
        <v>3000</v>
      </c>
      <c r="J1558" s="9" t="s">
        <v>3001</v>
      </c>
      <c r="K1558" s="4" t="s">
        <v>15175</v>
      </c>
      <c r="L1558" s="13">
        <v>12527</v>
      </c>
      <c r="M1558" t="str">
        <f>VLOOKUP(L1558,[1]Human_BrainSpan!$B$2:$C$4000,2,FALSE)</f>
        <v>MPCu</v>
      </c>
    </row>
    <row r="1559" spans="2:13" x14ac:dyDescent="0.25">
      <c r="B1559" s="31" t="s">
        <v>25743</v>
      </c>
      <c r="C1559" s="20"/>
      <c r="D1559" s="25" t="s">
        <v>3000</v>
      </c>
      <c r="E1559" s="25"/>
      <c r="F1559" s="9" t="str">
        <f>HYPERLINK("https://www.ebi.ac.uk/ols/ontologies/uberon/terms?iri=http://purl.obolibrary.org/obo/UBERON_0002875","medial pericuneate nucleus")</f>
        <v>medial pericuneate nucleus</v>
      </c>
      <c r="G1559" s="9" t="s">
        <v>2999</v>
      </c>
      <c r="H1559" s="9" t="s">
        <v>24358</v>
      </c>
      <c r="I1559" s="9" t="s">
        <v>3000</v>
      </c>
      <c r="J1559" s="9" t="s">
        <v>3002</v>
      </c>
      <c r="K1559" s="7" t="s">
        <v>15171</v>
      </c>
      <c r="L1559" s="13">
        <v>9584</v>
      </c>
      <c r="M1559" t="str">
        <f>VLOOKUP(L1559,[1]HBA!$B$2:$C$4000,2,FALSE)</f>
        <v>MPCu</v>
      </c>
    </row>
    <row r="1560" spans="2:13" x14ac:dyDescent="0.25">
      <c r="B1560" s="31" t="s">
        <v>25743</v>
      </c>
      <c r="C1560" s="20"/>
      <c r="D1560" s="25" t="s">
        <v>650</v>
      </c>
      <c r="E1560" s="25"/>
      <c r="F1560" s="9" t="str">
        <f>HYPERLINK("https://www.ebi.ac.uk/ols/ontologies/uberon/terms?iri=http://purl.obolibrary.org/obo/UBERON_0002035","medial preoptic nucleus")</f>
        <v>medial preoptic nucleus</v>
      </c>
      <c r="G1560" s="9" t="s">
        <v>3003</v>
      </c>
      <c r="H1560" s="9" t="s">
        <v>20107</v>
      </c>
      <c r="I1560" s="9" t="s">
        <v>650</v>
      </c>
      <c r="J1560" s="9" t="s">
        <v>3004</v>
      </c>
      <c r="K1560" s="4" t="s">
        <v>15175</v>
      </c>
      <c r="L1560" s="13">
        <v>10470</v>
      </c>
      <c r="M1560" t="str">
        <f>VLOOKUP(L1560,[1]Human_BrainSpan!$B$2:$C$4000,2,FALSE)</f>
        <v>MPN</v>
      </c>
    </row>
    <row r="1561" spans="2:13" x14ac:dyDescent="0.25">
      <c r="B1561" s="31" t="s">
        <v>25743</v>
      </c>
      <c r="C1561" s="20"/>
      <c r="D1561" s="25" t="s">
        <v>650</v>
      </c>
      <c r="E1561" s="25"/>
      <c r="F1561" s="9" t="str">
        <f>HYPERLINK("https://www.ebi.ac.uk/ols/ontologies/uberon/terms?iri=http://purl.obolibrary.org/obo/UBERON_0002035","medial preoptic nucleus")</f>
        <v>medial preoptic nucleus</v>
      </c>
      <c r="G1561" s="9" t="s">
        <v>3003</v>
      </c>
      <c r="H1561" s="9" t="s">
        <v>15268</v>
      </c>
      <c r="I1561" s="9" t="s">
        <v>650</v>
      </c>
      <c r="J1561" s="9" t="s">
        <v>651</v>
      </c>
      <c r="K1561" s="5" t="s">
        <v>15173</v>
      </c>
      <c r="L1561" s="13">
        <v>15604</v>
      </c>
      <c r="M1561" t="str">
        <f>VLOOKUP(L1561,[1]DevMouse!$B$2:$C$2693,2,FALSE)</f>
        <v>MPO</v>
      </c>
    </row>
    <row r="1562" spans="2:13" x14ac:dyDescent="0.25">
      <c r="B1562" s="31" t="s">
        <v>25743</v>
      </c>
      <c r="C1562" s="20"/>
      <c r="D1562" s="25" t="s">
        <v>650</v>
      </c>
      <c r="E1562" s="25"/>
      <c r="F1562" s="9" t="str">
        <f>HYPERLINK("https://www.ebi.ac.uk/ols/ontologies/uberon/terms?iri=http://purl.obolibrary.org/obo/UBERON_0002035","medial preoptic nucleus")</f>
        <v>medial preoptic nucleus</v>
      </c>
      <c r="G1562" s="9" t="s">
        <v>3003</v>
      </c>
      <c r="H1562" s="9" t="s">
        <v>15268</v>
      </c>
      <c r="I1562" s="9" t="s">
        <v>3005</v>
      </c>
      <c r="J1562" s="9" t="s">
        <v>3006</v>
      </c>
      <c r="K1562" s="7" t="s">
        <v>15171</v>
      </c>
      <c r="L1562" s="13">
        <v>4544</v>
      </c>
      <c r="M1562" t="str">
        <f>VLOOKUP(L1562,[1]HBA!$B$2:$C$4000,2,FALSE)</f>
        <v>MPO</v>
      </c>
    </row>
    <row r="1563" spans="2:13" x14ac:dyDescent="0.25">
      <c r="B1563" s="31" t="s">
        <v>25743</v>
      </c>
      <c r="C1563" s="20"/>
      <c r="D1563" s="25" t="s">
        <v>650</v>
      </c>
      <c r="E1563" s="25"/>
      <c r="F1563" s="9" t="str">
        <f>HYPERLINK("https://www.ebi.ac.uk/ols/ontologies/uberon/terms?iri=http://purl.obolibrary.org/obo/UBERON_0002035","medial preoptic nucleus")</f>
        <v>medial preoptic nucleus</v>
      </c>
      <c r="G1563" s="9" t="s">
        <v>3003</v>
      </c>
      <c r="H1563" s="9" t="s">
        <v>20107</v>
      </c>
      <c r="I1563" s="9" t="s">
        <v>650</v>
      </c>
      <c r="J1563" s="9" t="s">
        <v>795</v>
      </c>
      <c r="K1563" s="3" t="s">
        <v>15176</v>
      </c>
      <c r="L1563" s="13">
        <v>515</v>
      </c>
      <c r="M1563" t="str">
        <f>VLOOKUP(L1563,[1]Mouse_ARA!$B$2:$C$1328,2,FALSE)</f>
        <v>MPN</v>
      </c>
    </row>
    <row r="1564" spans="2:13" x14ac:dyDescent="0.25">
      <c r="B1564" s="31" t="s">
        <v>25743</v>
      </c>
      <c r="C1564" s="20"/>
      <c r="D1564" s="25" t="s">
        <v>26028</v>
      </c>
      <c r="E1564" s="25"/>
      <c r="F1564" s="9" t="str">
        <f>HYPERLINK("https://www.ebi.ac.uk/ols/ontologies/uberon/terms?iri=http://purl.obolibrary.org/obo/UBERON_0007769","medial preoptic region")</f>
        <v>medial preoptic region</v>
      </c>
      <c r="G1564" s="9" t="s">
        <v>3007</v>
      </c>
      <c r="H1564" s="9" t="s">
        <v>23453</v>
      </c>
      <c r="I1564" s="9" t="s">
        <v>3008</v>
      </c>
      <c r="J1564" s="9" t="s">
        <v>3009</v>
      </c>
      <c r="K1564" s="4" t="s">
        <v>15175</v>
      </c>
      <c r="L1564" s="13">
        <v>266441547</v>
      </c>
      <c r="M1564" t="str">
        <f>VLOOKUP(L1564,[1]Human_BrainSpan!$B$2:$C$4000,2,FALSE)</f>
        <v>MPA</v>
      </c>
    </row>
    <row r="1565" spans="2:13" x14ac:dyDescent="0.25">
      <c r="B1565" s="31" t="s">
        <v>25743</v>
      </c>
      <c r="C1565" s="20"/>
      <c r="D1565" s="25" t="s">
        <v>26028</v>
      </c>
      <c r="E1565" s="25"/>
      <c r="F1565" s="9" t="str">
        <f>HYPERLINK("https://www.ebi.ac.uk/ols/ontologies/uberon/terms?iri=http://purl.obolibrary.org/obo/UBERON_0007769","medial preoptic region")</f>
        <v>medial preoptic region</v>
      </c>
      <c r="G1565" s="9" t="s">
        <v>3007</v>
      </c>
      <c r="H1565" s="9" t="s">
        <v>23453</v>
      </c>
      <c r="I1565" s="9" t="s">
        <v>3010</v>
      </c>
      <c r="J1565" s="9" t="s">
        <v>3011</v>
      </c>
      <c r="K1565" s="7" t="s">
        <v>15171</v>
      </c>
      <c r="L1565" s="13">
        <v>4543</v>
      </c>
      <c r="M1565" t="str">
        <f>VLOOKUP(L1565,[1]HBA!$B$2:$C$4000,2,FALSE)</f>
        <v>MPA</v>
      </c>
    </row>
    <row r="1566" spans="2:13" x14ac:dyDescent="0.25">
      <c r="B1566" s="31" t="s">
        <v>25743</v>
      </c>
      <c r="C1566" s="20"/>
      <c r="D1566" s="25" t="s">
        <v>26028</v>
      </c>
      <c r="E1566" s="25"/>
      <c r="F1566" s="9" t="str">
        <f>HYPERLINK("https://www.ebi.ac.uk/ols/ontologies/uberon/terms?iri=http://purl.obolibrary.org/obo/UBERON_0007769","medial preoptic region")</f>
        <v>medial preoptic region</v>
      </c>
      <c r="G1566" s="9" t="s">
        <v>3007</v>
      </c>
      <c r="H1566" s="9" t="s">
        <v>15268</v>
      </c>
      <c r="I1566" s="9" t="s">
        <v>3008</v>
      </c>
      <c r="J1566" s="9" t="s">
        <v>3012</v>
      </c>
      <c r="K1566" s="3" t="s">
        <v>15176</v>
      </c>
      <c r="L1566" s="13">
        <v>523</v>
      </c>
      <c r="M1566" t="str">
        <f>VLOOKUP(L1566,[1]Mouse_ARA!$B$2:$C$1328,2,FALSE)</f>
        <v>MPO</v>
      </c>
    </row>
    <row r="1567" spans="2:13" x14ac:dyDescent="0.25">
      <c r="B1567" s="31" t="s">
        <v>25743</v>
      </c>
      <c r="C1567" s="20"/>
      <c r="D1567" s="25" t="s">
        <v>702</v>
      </c>
      <c r="E1567" s="25"/>
      <c r="F1567" s="9" t="str">
        <f>HYPERLINK("https://www.ebi.ac.uk/ols/ontologies/uberon/terms?iri=http://purl.obolibrary.org/obo/UBERON_0034910","medial pretectal nucleus")</f>
        <v>medial pretectal nucleus</v>
      </c>
      <c r="G1567" s="9" t="s">
        <v>3013</v>
      </c>
      <c r="H1567" s="9" t="s">
        <v>16764</v>
      </c>
      <c r="I1567" s="9" t="s">
        <v>702</v>
      </c>
      <c r="J1567" s="9" t="s">
        <v>3014</v>
      </c>
      <c r="K1567" s="4" t="s">
        <v>15175</v>
      </c>
      <c r="L1567" s="13">
        <v>12184</v>
      </c>
      <c r="M1567" t="str">
        <f>VLOOKUP(L1567,[1]Human_BrainSpan!$B$2:$C$4000,2,FALSE)</f>
        <v>MPT</v>
      </c>
    </row>
    <row r="1568" spans="2:13" x14ac:dyDescent="0.25">
      <c r="B1568" s="31" t="s">
        <v>25743</v>
      </c>
      <c r="C1568" s="20"/>
      <c r="D1568" s="25" t="s">
        <v>702</v>
      </c>
      <c r="E1568" s="25"/>
      <c r="F1568" s="9" t="str">
        <f>HYPERLINK("https://www.ebi.ac.uk/ols/ontologies/uberon/terms?iri=http://purl.obolibrary.org/obo/UBERON_0034910","medial pretectal nucleus")</f>
        <v>medial pretectal nucleus</v>
      </c>
      <c r="G1568" s="9" t="s">
        <v>3013</v>
      </c>
      <c r="H1568" s="9" t="s">
        <v>16764</v>
      </c>
      <c r="I1568" s="9" t="s">
        <v>702</v>
      </c>
      <c r="J1568" s="9" t="s">
        <v>703</v>
      </c>
      <c r="K1568" s="5" t="s">
        <v>15173</v>
      </c>
      <c r="L1568" s="13">
        <v>16585</v>
      </c>
      <c r="M1568" t="str">
        <f>VLOOKUP(L1568,[1]DevMouse!$B$2:$C$2693,2,FALSE)</f>
        <v>MPT</v>
      </c>
    </row>
    <row r="1569" spans="2:13" x14ac:dyDescent="0.25">
      <c r="B1569" s="31" t="s">
        <v>25743</v>
      </c>
      <c r="C1569" s="20"/>
      <c r="D1569" s="25" t="s">
        <v>26029</v>
      </c>
      <c r="E1569" s="25"/>
      <c r="F1569" s="9" t="str">
        <f>HYPERLINK("https://www.ebi.ac.uk/ols/ontologies/uberon/terms?iri=http://purl.obolibrary.org/obo/UBERON_0002638","medial pulvinar nucleus")</f>
        <v>medial pulvinar nucleus</v>
      </c>
      <c r="G1569" s="9" t="s">
        <v>3015</v>
      </c>
      <c r="H1569" s="9" t="s">
        <v>23316</v>
      </c>
      <c r="I1569" s="9" t="s">
        <v>3016</v>
      </c>
      <c r="J1569" s="9" t="s">
        <v>3017</v>
      </c>
      <c r="K1569" s="4" t="s">
        <v>15175</v>
      </c>
      <c r="L1569" s="13">
        <v>10411</v>
      </c>
      <c r="M1569" t="str">
        <f>VLOOKUP(L1569,[1]Human_BrainSpan!$B$2:$C$4000,2,FALSE)</f>
        <v>Pulm</v>
      </c>
    </row>
    <row r="1570" spans="2:13" x14ac:dyDescent="0.25">
      <c r="B1570" s="31" t="s">
        <v>25743</v>
      </c>
      <c r="C1570" s="20"/>
      <c r="D1570" s="25" t="s">
        <v>26029</v>
      </c>
      <c r="E1570" s="25"/>
      <c r="F1570" s="9" t="str">
        <f>HYPERLINK("https://www.ebi.ac.uk/ols/ontologies/uberon/terms?iri=http://purl.obolibrary.org/obo/UBERON_0002638","medial pulvinar nucleus")</f>
        <v>medial pulvinar nucleus</v>
      </c>
      <c r="G1570" s="9" t="s">
        <v>3015</v>
      </c>
      <c r="H1570" s="9" t="s">
        <v>25116</v>
      </c>
      <c r="I1570" s="9" t="s">
        <v>3018</v>
      </c>
      <c r="J1570" s="9" t="s">
        <v>3019</v>
      </c>
      <c r="K1570" s="7" t="s">
        <v>15171</v>
      </c>
      <c r="L1570" s="13">
        <v>4412</v>
      </c>
      <c r="M1570" t="str">
        <f>VLOOKUP(L1570,[1]HBA!$B$2:$C$4000,2,FALSE)</f>
        <v>Plm</v>
      </c>
    </row>
    <row r="1571" spans="2:13" x14ac:dyDescent="0.25">
      <c r="B1571" s="31" t="s">
        <v>25743</v>
      </c>
      <c r="C1571" s="20"/>
      <c r="D1571" s="25" t="s">
        <v>3021</v>
      </c>
      <c r="E1571" s="25"/>
      <c r="F1571" s="9" t="str">
        <f>HYPERLINK("https://www.ebi.ac.uk/ols/ontologies/uberon/terms?iri=http://purl.obolibrary.org/obo/UBERON_0007629","medial septal complex")</f>
        <v>medial septal complex</v>
      </c>
      <c r="G1571" s="9" t="s">
        <v>3020</v>
      </c>
      <c r="H1571" s="9" t="s">
        <v>19828</v>
      </c>
      <c r="I1571" s="9" t="s">
        <v>3021</v>
      </c>
      <c r="J1571" s="9" t="s">
        <v>3022</v>
      </c>
      <c r="K1571" s="3" t="s">
        <v>15176</v>
      </c>
      <c r="L1571" s="13">
        <v>904</v>
      </c>
      <c r="M1571" t="str">
        <f>VLOOKUP(L1571,[1]Mouse_ARA!$B$2:$C$1328,2,FALSE)</f>
        <v>MSC</v>
      </c>
    </row>
    <row r="1572" spans="2:13" x14ac:dyDescent="0.25">
      <c r="B1572" s="31" t="s">
        <v>25743</v>
      </c>
      <c r="C1572" s="20"/>
      <c r="D1572" s="25" t="s">
        <v>3024</v>
      </c>
      <c r="E1572" s="25"/>
      <c r="F1572" s="9" t="str">
        <f>HYPERLINK("https://www.ebi.ac.uk/ols/ontologies/uberon/terms?iri=http://purl.obolibrary.org/obo/UBERON_0001877","medial septal nucleus")</f>
        <v>medial septal nucleus</v>
      </c>
      <c r="G1572" s="9" t="s">
        <v>3023</v>
      </c>
      <c r="H1572" s="9" t="s">
        <v>23278</v>
      </c>
      <c r="I1572" s="9" t="s">
        <v>3024</v>
      </c>
      <c r="J1572" s="9" t="s">
        <v>3025</v>
      </c>
      <c r="K1572" s="4" t="s">
        <v>15175</v>
      </c>
      <c r="L1572" s="13">
        <v>10351</v>
      </c>
      <c r="M1572" t="str">
        <f>VLOOKUP(L1572,[1]Human_BrainSpan!$B$2:$C$4000,2,FALSE)</f>
        <v>MSN</v>
      </c>
    </row>
    <row r="1573" spans="2:13" x14ac:dyDescent="0.25">
      <c r="B1573" s="31" t="s">
        <v>25743</v>
      </c>
      <c r="C1573" s="20"/>
      <c r="D1573" s="25" t="s">
        <v>3024</v>
      </c>
      <c r="E1573" s="25"/>
      <c r="F1573" s="9" t="str">
        <f>HYPERLINK("https://www.ebi.ac.uk/ols/ontologies/uberon/terms?iri=http://purl.obolibrary.org/obo/UBERON_0001877","medial septal nucleus")</f>
        <v>medial septal nucleus</v>
      </c>
      <c r="G1573" s="9" t="s">
        <v>3023</v>
      </c>
      <c r="H1573" s="9" t="s">
        <v>15547</v>
      </c>
      <c r="I1573" s="9" t="s">
        <v>3024</v>
      </c>
      <c r="J1573" s="9" t="s">
        <v>3026</v>
      </c>
      <c r="K1573" s="5" t="s">
        <v>15173</v>
      </c>
      <c r="L1573" s="13">
        <v>15764</v>
      </c>
      <c r="M1573" t="str">
        <f>VLOOKUP(L1573,[1]DevMouse!$B$2:$C$2693,2,FALSE)</f>
        <v>MS</v>
      </c>
    </row>
    <row r="1574" spans="2:13" x14ac:dyDescent="0.25">
      <c r="B1574" s="31" t="s">
        <v>25743</v>
      </c>
      <c r="C1574" s="20"/>
      <c r="D1574" s="25" t="s">
        <v>3024</v>
      </c>
      <c r="E1574" s="25"/>
      <c r="F1574" s="9" t="str">
        <f>HYPERLINK("https://www.ebi.ac.uk/ols/ontologies/uberon/terms?iri=http://purl.obolibrary.org/obo/UBERON_0001877","medial septal nucleus")</f>
        <v>medial septal nucleus</v>
      </c>
      <c r="G1574" s="9" t="s">
        <v>3023</v>
      </c>
      <c r="H1574" s="9" t="s">
        <v>15547</v>
      </c>
      <c r="I1574" s="9" t="s">
        <v>3027</v>
      </c>
      <c r="J1574" s="9" t="s">
        <v>3028</v>
      </c>
      <c r="K1574" s="7" t="s">
        <v>15171</v>
      </c>
      <c r="L1574" s="13">
        <v>4302</v>
      </c>
      <c r="M1574" t="str">
        <f>VLOOKUP(L1574,[1]HBA!$B$2:$C$4000,2,FALSE)</f>
        <v>MS</v>
      </c>
    </row>
    <row r="1575" spans="2:13" x14ac:dyDescent="0.25">
      <c r="B1575" s="31" t="s">
        <v>25743</v>
      </c>
      <c r="C1575" s="20"/>
      <c r="D1575" s="25" t="s">
        <v>3024</v>
      </c>
      <c r="E1575" s="25"/>
      <c r="F1575" s="9" t="str">
        <f>HYPERLINK("https://www.ebi.ac.uk/ols/ontologies/uberon/terms?iri=http://purl.obolibrary.org/obo/UBERON_0001877","medial septal nucleus")</f>
        <v>medial septal nucleus</v>
      </c>
      <c r="G1575" s="9" t="s">
        <v>3023</v>
      </c>
      <c r="H1575" s="9" t="s">
        <v>15547</v>
      </c>
      <c r="I1575" s="9" t="s">
        <v>3024</v>
      </c>
      <c r="J1575" s="9" t="s">
        <v>3029</v>
      </c>
      <c r="K1575" s="3" t="s">
        <v>15176</v>
      </c>
      <c r="L1575" s="13">
        <v>564</v>
      </c>
      <c r="M1575" t="str">
        <f>VLOOKUP(L1575,[1]Mouse_ARA!$B$2:$C$1328,2,FALSE)</f>
        <v>MS</v>
      </c>
    </row>
    <row r="1576" spans="2:13" x14ac:dyDescent="0.25">
      <c r="B1576" s="31" t="s">
        <v>25743</v>
      </c>
      <c r="C1576" s="20"/>
      <c r="D1576" s="25" t="s">
        <v>26030</v>
      </c>
      <c r="E1576" s="25"/>
      <c r="F1576" s="9" t="str">
        <f>HYPERLINK("https://www.ebi.ac.uk/ols/ontologies/uberon/terms?iri=http://purl.obolibrary.org/obo/UBERON_0023390","medial subnucleus of solitary tract")</f>
        <v>medial subnucleus of solitary tract</v>
      </c>
      <c r="G1576" s="9" t="s">
        <v>3030</v>
      </c>
      <c r="H1576" s="9" t="s">
        <v>24399</v>
      </c>
      <c r="I1576" s="38" t="s">
        <v>26310</v>
      </c>
      <c r="J1576" s="9" t="s">
        <v>3032</v>
      </c>
      <c r="K1576" s="7" t="s">
        <v>15171</v>
      </c>
      <c r="L1576" s="13">
        <v>9661</v>
      </c>
      <c r="M1576" t="str">
        <f>VLOOKUP(L1576,[1]HBA!$B$2:$C$4000,2,FALSE)</f>
        <v>SolM</v>
      </c>
    </row>
    <row r="1577" spans="2:13" x14ac:dyDescent="0.25">
      <c r="B1577" s="31" t="s">
        <v>25743</v>
      </c>
      <c r="C1577" s="20"/>
      <c r="D1577" s="25" t="s">
        <v>26031</v>
      </c>
      <c r="E1577" s="25"/>
      <c r="F1577" s="9" t="str">
        <f>HYPERLINK("https://www.ebi.ac.uk/ols/ontologies/uberon/terms?iri=http://purl.obolibrary.org/obo/UBERON_0002782","medial superior olivary nucleus")</f>
        <v>medial superior olivary nucleus</v>
      </c>
      <c r="G1577" s="9" t="s">
        <v>3033</v>
      </c>
      <c r="H1577" s="9" t="s">
        <v>17806</v>
      </c>
      <c r="I1577" s="9" t="s">
        <v>3034</v>
      </c>
      <c r="J1577" s="9" t="s">
        <v>3035</v>
      </c>
      <c r="K1577" s="4" t="s">
        <v>15175</v>
      </c>
      <c r="L1577" s="13">
        <v>12470</v>
      </c>
      <c r="M1577" t="str">
        <f>VLOOKUP(L1577,[1]Human_BrainSpan!$B$2:$C$4000,2,FALSE)</f>
        <v>MSO</v>
      </c>
    </row>
    <row r="1578" spans="2:13" x14ac:dyDescent="0.25">
      <c r="B1578" s="31" t="s">
        <v>25743</v>
      </c>
      <c r="C1578" s="20"/>
      <c r="D1578" s="25" t="s">
        <v>26031</v>
      </c>
      <c r="E1578" s="25"/>
      <c r="F1578" s="9" t="str">
        <f>HYPERLINK("https://www.ebi.ac.uk/ols/ontologies/uberon/terms?iri=http://purl.obolibrary.org/obo/UBERON_0002782","medial superior olivary nucleus")</f>
        <v>medial superior olivary nucleus</v>
      </c>
      <c r="G1578" s="9" t="s">
        <v>3033</v>
      </c>
      <c r="H1578" s="9" t="s">
        <v>17806</v>
      </c>
      <c r="I1578" s="9" t="s">
        <v>3034</v>
      </c>
      <c r="J1578" s="9" t="s">
        <v>3036</v>
      </c>
      <c r="K1578" s="5" t="s">
        <v>15173</v>
      </c>
      <c r="L1578" s="13">
        <v>17262</v>
      </c>
      <c r="M1578" t="str">
        <f>VLOOKUP(L1578,[1]DevMouse!$B$2:$C$2693,2,FALSE)</f>
        <v>MSO</v>
      </c>
    </row>
    <row r="1579" spans="2:13" x14ac:dyDescent="0.25">
      <c r="B1579" s="31" t="s">
        <v>25743</v>
      </c>
      <c r="C1579" s="20"/>
      <c r="D1579" s="25" t="s">
        <v>26031</v>
      </c>
      <c r="E1579" s="25"/>
      <c r="F1579" s="9" t="str">
        <f>HYPERLINK("https://www.ebi.ac.uk/ols/ontologies/uberon/terms?iri=http://purl.obolibrary.org/obo/UBERON_0002782","medial superior olivary nucleus")</f>
        <v>medial superior olivary nucleus</v>
      </c>
      <c r="G1579" s="9" t="s">
        <v>3033</v>
      </c>
      <c r="H1579" s="9" t="s">
        <v>17806</v>
      </c>
      <c r="I1579" s="9" t="s">
        <v>3037</v>
      </c>
      <c r="J1579" s="9" t="s">
        <v>3038</v>
      </c>
      <c r="K1579" s="7" t="s">
        <v>15171</v>
      </c>
      <c r="L1579" s="13">
        <v>9184</v>
      </c>
      <c r="M1579" t="str">
        <f>VLOOKUP(L1579,[1]HBA!$B$2:$C$4000,2,FALSE)</f>
        <v>MSO</v>
      </c>
    </row>
    <row r="1580" spans="2:13" x14ac:dyDescent="0.25">
      <c r="B1580" s="31" t="s">
        <v>25743</v>
      </c>
      <c r="C1580" s="20"/>
      <c r="D1580" s="25" t="s">
        <v>26031</v>
      </c>
      <c r="E1580" s="25"/>
      <c r="F1580" s="9" t="str">
        <f>HYPERLINK("https://www.ebi.ac.uk/ols/ontologies/uberon/terms?iri=http://purl.obolibrary.org/obo/UBERON_0002782","medial superior olivary nucleus")</f>
        <v>medial superior olivary nucleus</v>
      </c>
      <c r="G1580" s="9" t="s">
        <v>3033</v>
      </c>
      <c r="H1580" s="9" t="s">
        <v>20334</v>
      </c>
      <c r="I1580" s="9" t="s">
        <v>3039</v>
      </c>
      <c r="J1580" s="9" t="s">
        <v>3040</v>
      </c>
      <c r="K1580" s="3" t="s">
        <v>15176</v>
      </c>
      <c r="L1580" s="13">
        <v>105</v>
      </c>
      <c r="M1580" t="str">
        <f>VLOOKUP(L1580,[1]Mouse_ARA!$B$2:$C$1328,2,FALSE)</f>
        <v>SOCm</v>
      </c>
    </row>
    <row r="1581" spans="2:13" x14ac:dyDescent="0.25">
      <c r="B1581" s="31" t="s">
        <v>25743</v>
      </c>
      <c r="C1581" s="20"/>
      <c r="D1581" s="25" t="s">
        <v>3042</v>
      </c>
      <c r="E1581" s="25"/>
      <c r="F1581" s="9" t="str">
        <f>HYPERLINK("https://www.ebi.ac.uk/ols/ontologies/uberon/terms?iri=http://purl.obolibrary.org/obo/UBERON_0001722","medial vestibular nucleus")</f>
        <v>medial vestibular nucleus</v>
      </c>
      <c r="G1581" s="9" t="s">
        <v>3041</v>
      </c>
      <c r="H1581" s="9" t="s">
        <v>24414</v>
      </c>
      <c r="I1581" s="9" t="s">
        <v>3042</v>
      </c>
      <c r="J1581" s="9" t="s">
        <v>3043</v>
      </c>
      <c r="K1581" s="4" t="s">
        <v>15175</v>
      </c>
      <c r="L1581" s="13">
        <v>12581</v>
      </c>
      <c r="M1581" t="str">
        <f>VLOOKUP(L1581,[1]Human_BrainSpan!$B$2:$C$4000,2,FALSE)</f>
        <v>MVe</v>
      </c>
    </row>
    <row r="1582" spans="2:13" x14ac:dyDescent="0.25">
      <c r="B1582" s="31" t="s">
        <v>25743</v>
      </c>
      <c r="C1582" s="20"/>
      <c r="D1582" s="25" t="s">
        <v>3042</v>
      </c>
      <c r="E1582" s="25"/>
      <c r="F1582" s="9" t="str">
        <f>HYPERLINK("https://www.ebi.ac.uk/ols/ontologies/uberon/terms?iri=http://purl.obolibrary.org/obo/UBERON_0001722","medial vestibular nucleus")</f>
        <v>medial vestibular nucleus</v>
      </c>
      <c r="G1582" s="9" t="s">
        <v>3041</v>
      </c>
      <c r="H1582" s="9" t="s">
        <v>24414</v>
      </c>
      <c r="I1582" s="9" t="s">
        <v>3044</v>
      </c>
      <c r="J1582" s="9" t="s">
        <v>3045</v>
      </c>
      <c r="K1582" s="7" t="s">
        <v>15171</v>
      </c>
      <c r="L1582" s="13">
        <v>9700</v>
      </c>
      <c r="M1582" t="str">
        <f>VLOOKUP(L1582,[1]HBA!$B$2:$C$4000,2,FALSE)</f>
        <v>MVe</v>
      </c>
    </row>
    <row r="1583" spans="2:13" x14ac:dyDescent="0.25">
      <c r="B1583" s="31" t="s">
        <v>25743</v>
      </c>
      <c r="C1583" s="20"/>
      <c r="D1583" s="25" t="s">
        <v>3042</v>
      </c>
      <c r="E1583" s="25"/>
      <c r="F1583" s="9" t="str">
        <f>HYPERLINK("https://www.ebi.ac.uk/ols/ontologies/uberon/terms?iri=http://purl.obolibrary.org/obo/UBERON_0001722","medial vestibular nucleus")</f>
        <v>medial vestibular nucleus</v>
      </c>
      <c r="G1583" s="9" t="s">
        <v>3041</v>
      </c>
      <c r="H1583" s="9" t="s">
        <v>20526</v>
      </c>
      <c r="I1583" s="9" t="s">
        <v>3042</v>
      </c>
      <c r="J1583" s="9" t="s">
        <v>3046</v>
      </c>
      <c r="K1583" s="3" t="s">
        <v>15176</v>
      </c>
      <c r="L1583" s="13">
        <v>202</v>
      </c>
      <c r="M1583" t="str">
        <f>VLOOKUP(L1583,[1]Mouse_ARA!$B$2:$C$1328,2,FALSE)</f>
        <v>MV</v>
      </c>
    </row>
    <row r="1584" spans="2:13" x14ac:dyDescent="0.25">
      <c r="B1584" s="31" t="s">
        <v>26302</v>
      </c>
      <c r="C1584" s="25" t="s">
        <v>26018</v>
      </c>
      <c r="D1584" s="25" t="s">
        <v>3042</v>
      </c>
      <c r="E1584" s="25" t="s">
        <v>26300</v>
      </c>
      <c r="F1584" s="9" t="str">
        <f>HYPERLINK("https://www.ebi.ac.uk/ols/ontologies/uberon/terms?iri=http://purl.obolibrary.org/obo/UBERON_0001722","medial vestibular nucleus")</f>
        <v>medial vestibular nucleus</v>
      </c>
      <c r="G1584" s="9" t="s">
        <v>3041</v>
      </c>
      <c r="H1584" s="9" t="s">
        <v>23169</v>
      </c>
      <c r="I1584" s="9" t="s">
        <v>3047</v>
      </c>
      <c r="J1584" s="9" t="s">
        <v>3048</v>
      </c>
      <c r="K1584" s="6" t="s">
        <v>15174</v>
      </c>
      <c r="L1584" s="13">
        <v>10125</v>
      </c>
      <c r="M1584" t="str">
        <f>VLOOKUP(L1584,[1]NonHumanPrimate!$B$2:$C$4000,2,FALSE)</f>
        <v>Me</v>
      </c>
    </row>
    <row r="1585" spans="2:13" x14ac:dyDescent="0.25">
      <c r="B1585" s="31" t="s">
        <v>25743</v>
      </c>
      <c r="C1585" s="20"/>
      <c r="D1585" s="25" t="s">
        <v>26032</v>
      </c>
      <c r="E1585" s="25"/>
      <c r="F1585" s="9" t="str">
        <f>HYPERLINK("https://www.ebi.ac.uk/ols/ontologies/uberon/terms?iri=http://purl.obolibrary.org/obo/UBERON_0002272","medial zone of hypothalamus")</f>
        <v>medial zone of hypothalamus</v>
      </c>
      <c r="G1585" s="9" t="s">
        <v>3049</v>
      </c>
      <c r="H1585" s="9" t="s">
        <v>20072</v>
      </c>
      <c r="I1585" s="9" t="s">
        <v>3050</v>
      </c>
      <c r="J1585" s="9" t="s">
        <v>3051</v>
      </c>
      <c r="K1585" s="3" t="s">
        <v>15176</v>
      </c>
      <c r="L1585" s="13">
        <v>467</v>
      </c>
      <c r="M1585" t="str">
        <f>VLOOKUP(L1585,[1]Mouse_ARA!$B$2:$C$1328,2,FALSE)</f>
        <v>MEZ</v>
      </c>
    </row>
    <row r="1586" spans="2:13" x14ac:dyDescent="0.25">
      <c r="B1586" s="31" t="s">
        <v>25743</v>
      </c>
      <c r="C1586" s="20"/>
      <c r="D1586" s="25" t="s">
        <v>26033</v>
      </c>
      <c r="E1586" s="25"/>
      <c r="F1586" s="9" t="str">
        <f>HYPERLINK("https://www.ebi.ac.uk/ols/ontologies/uberon/terms?iri=http://purl.obolibrary.org/obo/UBERON_0002197","median eminence of neurohypophysis")</f>
        <v>median eminence of neurohypophysis</v>
      </c>
      <c r="G1586" s="9" t="s">
        <v>3052</v>
      </c>
      <c r="H1586" s="9" t="s">
        <v>15429</v>
      </c>
      <c r="I1586" s="9" t="s">
        <v>3053</v>
      </c>
      <c r="J1586" s="9" t="s">
        <v>3054</v>
      </c>
      <c r="K1586" s="4" t="s">
        <v>15175</v>
      </c>
      <c r="L1586" s="13">
        <v>13338</v>
      </c>
      <c r="M1586" t="str">
        <f>VLOOKUP(L1586,[1]Human_BrainSpan!$B$2:$C$4000,2,FALSE)</f>
        <v>ME</v>
      </c>
    </row>
    <row r="1587" spans="2:13" x14ac:dyDescent="0.25">
      <c r="B1587" s="31" t="s">
        <v>25743</v>
      </c>
      <c r="C1587" s="20"/>
      <c r="D1587" s="25" t="s">
        <v>26033</v>
      </c>
      <c r="E1587" s="25"/>
      <c r="F1587" s="9" t="str">
        <f>HYPERLINK("https://www.ebi.ac.uk/ols/ontologies/uberon/terms?iri=http://purl.obolibrary.org/obo/UBERON_0002197","median eminence of neurohypophysis")</f>
        <v>median eminence of neurohypophysis</v>
      </c>
      <c r="G1587" s="9" t="s">
        <v>3052</v>
      </c>
      <c r="H1587" s="9" t="s">
        <v>15429</v>
      </c>
      <c r="I1587" s="9" t="s">
        <v>3053</v>
      </c>
      <c r="J1587" s="9" t="s">
        <v>3055</v>
      </c>
      <c r="K1587" s="5" t="s">
        <v>15173</v>
      </c>
      <c r="L1587" s="13">
        <v>15689</v>
      </c>
      <c r="M1587" t="str">
        <f>VLOOKUP(L1587,[1]DevMouse!$B$2:$C$2693,2,FALSE)</f>
        <v>ME</v>
      </c>
    </row>
    <row r="1588" spans="2:13" x14ac:dyDescent="0.25">
      <c r="B1588" s="31" t="s">
        <v>25743</v>
      </c>
      <c r="C1588" s="20"/>
      <c r="D1588" s="25" t="s">
        <v>26033</v>
      </c>
      <c r="E1588" s="25"/>
      <c r="F1588" s="9" t="str">
        <f>HYPERLINK("https://www.ebi.ac.uk/ols/ontologies/uberon/terms?iri=http://purl.obolibrary.org/obo/UBERON_0002197","median eminence of neurohypophysis")</f>
        <v>median eminence of neurohypophysis</v>
      </c>
      <c r="G1588" s="9" t="s">
        <v>3052</v>
      </c>
      <c r="H1588" s="9" t="s">
        <v>15429</v>
      </c>
      <c r="I1588" s="9" t="s">
        <v>3053</v>
      </c>
      <c r="J1588" s="9" t="s">
        <v>3056</v>
      </c>
      <c r="K1588" s="7" t="s">
        <v>15171</v>
      </c>
      <c r="L1588" s="13">
        <v>12916</v>
      </c>
      <c r="M1588" t="str">
        <f>VLOOKUP(L1588,[1]HBA!$B$2:$C$4000,2,FALSE)</f>
        <v>ME</v>
      </c>
    </row>
    <row r="1589" spans="2:13" x14ac:dyDescent="0.25">
      <c r="B1589" s="31" t="s">
        <v>25743</v>
      </c>
      <c r="C1589" s="20"/>
      <c r="D1589" s="25" t="s">
        <v>26033</v>
      </c>
      <c r="E1589" s="25"/>
      <c r="F1589" s="9" t="str">
        <f>HYPERLINK("https://www.ebi.ac.uk/ols/ontologies/uberon/terms?iri=http://purl.obolibrary.org/obo/UBERON_0002197","median eminence of neurohypophysis")</f>
        <v>median eminence of neurohypophysis</v>
      </c>
      <c r="G1589" s="9" t="s">
        <v>3052</v>
      </c>
      <c r="H1589" s="9" t="s">
        <v>15429</v>
      </c>
      <c r="I1589" s="9" t="s">
        <v>3053</v>
      </c>
      <c r="J1589" s="9" t="s">
        <v>3057</v>
      </c>
      <c r="K1589" s="3" t="s">
        <v>15176</v>
      </c>
      <c r="L1589" s="13">
        <v>10671</v>
      </c>
      <c r="M1589" t="str">
        <f>VLOOKUP(L1589,[1]Mouse_ARA!$B$2:$C$1328,2,FALSE)</f>
        <v>ME</v>
      </c>
    </row>
    <row r="1590" spans="2:13" x14ac:dyDescent="0.25">
      <c r="B1590" s="31" t="s">
        <v>25743</v>
      </c>
      <c r="C1590" s="20"/>
      <c r="D1590" s="25" t="s">
        <v>786</v>
      </c>
      <c r="E1590" s="25"/>
      <c r="F1590" s="9" t="str">
        <f>HYPERLINK("https://www.ebi.ac.uk/ols/ontologies/uberon/terms?iri=http://purl.obolibrary.org/obo/UBERON_0002625","median preoptic nucleus")</f>
        <v>median preoptic nucleus</v>
      </c>
      <c r="G1590" s="9" t="s">
        <v>3058</v>
      </c>
      <c r="H1590" s="9" t="s">
        <v>23457</v>
      </c>
      <c r="I1590" s="9" t="s">
        <v>786</v>
      </c>
      <c r="J1590" s="9" t="s">
        <v>2332</v>
      </c>
      <c r="K1590" s="4" t="s">
        <v>15175</v>
      </c>
      <c r="L1590" s="13">
        <v>13063</v>
      </c>
      <c r="M1590" t="str">
        <f>VLOOKUP(L1590,[1]Human_BrainSpan!$B$2:$C$4000,2,FALSE)</f>
        <v>MnPO</v>
      </c>
    </row>
    <row r="1591" spans="2:13" x14ac:dyDescent="0.25">
      <c r="B1591" s="31" t="s">
        <v>25743</v>
      </c>
      <c r="C1591" s="20"/>
      <c r="D1591" s="25" t="s">
        <v>786</v>
      </c>
      <c r="E1591" s="25"/>
      <c r="F1591" s="9" t="str">
        <f>HYPERLINK("https://www.ebi.ac.uk/ols/ontologies/uberon/terms?iri=http://purl.obolibrary.org/obo/UBERON_0002625","median preoptic nucleus")</f>
        <v>median preoptic nucleus</v>
      </c>
      <c r="G1591" s="9" t="s">
        <v>3058</v>
      </c>
      <c r="H1591" s="9" t="s">
        <v>23457</v>
      </c>
      <c r="I1591" s="9" t="s">
        <v>2333</v>
      </c>
      <c r="J1591" s="9" t="s">
        <v>2334</v>
      </c>
      <c r="K1591" s="7" t="s">
        <v>15171</v>
      </c>
      <c r="L1591" s="13">
        <v>4548</v>
      </c>
      <c r="M1591" t="str">
        <f>VLOOKUP(L1591,[1]HBA!$B$2:$C$4000,2,FALSE)</f>
        <v>MnPO</v>
      </c>
    </row>
    <row r="1592" spans="2:13" x14ac:dyDescent="0.25">
      <c r="B1592" s="31" t="s">
        <v>25743</v>
      </c>
      <c r="C1592" s="20"/>
      <c r="D1592" s="25" t="s">
        <v>786</v>
      </c>
      <c r="E1592" s="25"/>
      <c r="F1592" s="9" t="str">
        <f>HYPERLINK("https://www.ebi.ac.uk/ols/ontologies/uberon/terms?iri=http://purl.obolibrary.org/obo/UBERON_0002625","median preoptic nucleus")</f>
        <v>median preoptic nucleus</v>
      </c>
      <c r="G1592" s="9" t="s">
        <v>3058</v>
      </c>
      <c r="H1592" s="9" t="s">
        <v>20051</v>
      </c>
      <c r="I1592" s="9" t="s">
        <v>786</v>
      </c>
      <c r="J1592" s="9" t="s">
        <v>787</v>
      </c>
      <c r="K1592" s="3" t="s">
        <v>15176</v>
      </c>
      <c r="L1592" s="13">
        <v>452</v>
      </c>
      <c r="M1592" t="str">
        <f>VLOOKUP(L1592,[1]Mouse_ARA!$B$2:$C$1328,2,FALSE)</f>
        <v>MEPO</v>
      </c>
    </row>
    <row r="1593" spans="2:13" x14ac:dyDescent="0.25">
      <c r="B1593" s="31" t="s">
        <v>25743</v>
      </c>
      <c r="C1593" s="20"/>
      <c r="D1593" s="25" t="s">
        <v>3060</v>
      </c>
      <c r="E1593" s="25"/>
      <c r="F1593" s="9" t="str">
        <f>HYPERLINK("https://www.ebi.ac.uk/ols/ontologies/uberon/terms?iri=http://purl.obolibrary.org/obo/UBERON_0003004","median raphe nucleus")</f>
        <v>median raphe nucleus</v>
      </c>
      <c r="G1593" s="9" t="s">
        <v>3059</v>
      </c>
      <c r="H1593" s="9" t="s">
        <v>23977</v>
      </c>
      <c r="I1593" s="9" t="s">
        <v>3060</v>
      </c>
      <c r="J1593" s="9" t="s">
        <v>3061</v>
      </c>
      <c r="K1593" s="4" t="s">
        <v>15175</v>
      </c>
      <c r="L1593" s="13">
        <v>12235</v>
      </c>
      <c r="M1593" t="str">
        <f>VLOOKUP(L1593,[1]Human_BrainSpan!$B$2:$C$4000,2,FALSE)</f>
        <v>MnR</v>
      </c>
    </row>
    <row r="1594" spans="2:13" x14ac:dyDescent="0.25">
      <c r="B1594" s="31" t="s">
        <v>25743</v>
      </c>
      <c r="C1594" s="20"/>
      <c r="D1594" s="25" t="s">
        <v>3060</v>
      </c>
      <c r="E1594" s="25"/>
      <c r="F1594" s="9" t="str">
        <f>HYPERLINK("https://www.ebi.ac.uk/ols/ontologies/uberon/terms?iri=http://purl.obolibrary.org/obo/UBERON_0003004","median raphe nucleus")</f>
        <v>median raphe nucleus</v>
      </c>
      <c r="G1594" s="9" t="s">
        <v>3059</v>
      </c>
      <c r="H1594" s="9" t="s">
        <v>20372</v>
      </c>
      <c r="I1594" s="9" t="s">
        <v>2278</v>
      </c>
      <c r="J1594" s="9" t="s">
        <v>2279</v>
      </c>
      <c r="K1594" s="3" t="s">
        <v>15176</v>
      </c>
      <c r="L1594" s="13">
        <v>679</v>
      </c>
      <c r="M1594" t="str">
        <f>VLOOKUP(L1594,[1]Mouse_ARA!$B$2:$C$1328,2,FALSE)</f>
        <v>CS</v>
      </c>
    </row>
    <row r="1595" spans="2:13" x14ac:dyDescent="0.25">
      <c r="B1595" s="31" t="s">
        <v>25743</v>
      </c>
      <c r="C1595" s="20"/>
      <c r="D1595" s="25" t="s">
        <v>26034</v>
      </c>
      <c r="E1595" s="25"/>
      <c r="F1595" s="9" t="str">
        <f>HYPERLINK("https://www.ebi.ac.uk/ols/ontologies/uberon/terms?iri=http://purl.obolibrary.org/obo/UBERON_0001896","medulla oblongata")</f>
        <v>medulla oblongata</v>
      </c>
      <c r="G1595" s="9" t="s">
        <v>3062</v>
      </c>
      <c r="H1595" s="9" t="s">
        <v>17922</v>
      </c>
      <c r="I1595" s="9" t="s">
        <v>3063</v>
      </c>
      <c r="J1595" s="9" t="s">
        <v>3064</v>
      </c>
      <c r="K1595" s="5" t="s">
        <v>15173</v>
      </c>
      <c r="L1595" s="13">
        <v>17352</v>
      </c>
      <c r="M1595" t="str">
        <f>VLOOKUP(L1595,[1]DevMouse!$B$2:$C$2693,2,FALSE)</f>
        <v>MH</v>
      </c>
    </row>
    <row r="1596" spans="2:13" x14ac:dyDescent="0.25">
      <c r="B1596" s="31" t="s">
        <v>25743</v>
      </c>
      <c r="C1596" s="20"/>
      <c r="D1596" s="25" t="s">
        <v>26034</v>
      </c>
      <c r="E1596" s="25"/>
      <c r="F1596" s="9" t="str">
        <f>HYPERLINK("https://www.ebi.ac.uk/ols/ontologies/uberon/terms?iri=http://purl.obolibrary.org/obo/UBERON_0001896","medulla oblongata")</f>
        <v>medulla oblongata</v>
      </c>
      <c r="G1596" s="9" t="s">
        <v>3062</v>
      </c>
      <c r="H1596" s="9" t="s">
        <v>20391</v>
      </c>
      <c r="I1596" s="9" t="s">
        <v>3065</v>
      </c>
      <c r="J1596" s="9" t="s">
        <v>3066</v>
      </c>
      <c r="K1596" s="3" t="s">
        <v>15176</v>
      </c>
      <c r="L1596" s="13">
        <v>354</v>
      </c>
      <c r="M1596" t="str">
        <f>VLOOKUP(L1596,[1]Mouse_ARA!$B$2:$C$1328,2,FALSE)</f>
        <v>MY</v>
      </c>
    </row>
    <row r="1597" spans="2:13" x14ac:dyDescent="0.25">
      <c r="B1597" s="31" t="s">
        <v>25743</v>
      </c>
      <c r="C1597" s="20"/>
      <c r="D1597" s="25" t="s">
        <v>26035</v>
      </c>
      <c r="E1597" s="25"/>
      <c r="F1597" s="9" t="str">
        <f>HYPERLINK("https://www.ebi.ac.uk/ols/ontologies/uberon/terms?iri=http://purl.obolibrary.org/obo/UBERON_0002692","medullary raphe nuclear complex")</f>
        <v>medullary raphe nuclear complex</v>
      </c>
      <c r="G1597" s="9" t="s">
        <v>3067</v>
      </c>
      <c r="H1597" s="9" t="s">
        <v>25464</v>
      </c>
      <c r="I1597" s="9" t="s">
        <v>3068</v>
      </c>
      <c r="J1597" s="9" t="s">
        <v>3069</v>
      </c>
      <c r="K1597" s="7" t="s">
        <v>15171</v>
      </c>
      <c r="L1597" s="13">
        <v>9642</v>
      </c>
      <c r="M1597" t="str">
        <f>VLOOKUP(L1597,[1]HBA!$B$2:$C$4000,2,FALSE)</f>
        <v>RaM</v>
      </c>
    </row>
    <row r="1598" spans="2:13" x14ac:dyDescent="0.25">
      <c r="B1598" s="31" t="s">
        <v>25743</v>
      </c>
      <c r="C1598" s="20"/>
      <c r="D1598" s="25" t="s">
        <v>3071</v>
      </c>
      <c r="E1598" s="25"/>
      <c r="F1598" s="9" t="str">
        <f>HYPERLINK("https://www.ebi.ac.uk/ols/ontologies/uberon/terms?iri=http://purl.obolibrary.org/obo/UBERON_0002559","medullary reticular formation")</f>
        <v>medullary reticular formation</v>
      </c>
      <c r="G1598" s="9" t="s">
        <v>3070</v>
      </c>
      <c r="H1598" s="9" t="s">
        <v>24446</v>
      </c>
      <c r="I1598" s="9" t="s">
        <v>3071</v>
      </c>
      <c r="J1598" s="9" t="s">
        <v>3072</v>
      </c>
      <c r="K1598" s="4" t="s">
        <v>15175</v>
      </c>
      <c r="L1598" s="13">
        <v>12616</v>
      </c>
      <c r="M1598" t="str">
        <f>VLOOKUP(L1598,[1]Human_BrainSpan!$B$2:$C$4000,2,FALSE)</f>
        <v>MoRF</v>
      </c>
    </row>
    <row r="1599" spans="2:13" x14ac:dyDescent="0.25">
      <c r="B1599" s="31" t="s">
        <v>25743</v>
      </c>
      <c r="C1599" s="20"/>
      <c r="D1599" s="25" t="s">
        <v>3071</v>
      </c>
      <c r="E1599" s="25"/>
      <c r="F1599" s="9" t="str">
        <f>HYPERLINK("https://www.ebi.ac.uk/ols/ontologies/uberon/terms?iri=http://purl.obolibrary.org/obo/UBERON_0002559","medullary reticular formation")</f>
        <v>medullary reticular formation</v>
      </c>
      <c r="G1599" s="9" t="s">
        <v>3070</v>
      </c>
      <c r="H1599" s="9" t="s">
        <v>25453</v>
      </c>
      <c r="I1599" s="9" t="s">
        <v>3071</v>
      </c>
      <c r="J1599" s="9" t="s">
        <v>3073</v>
      </c>
      <c r="K1599" s="7" t="s">
        <v>15171</v>
      </c>
      <c r="L1599" s="13">
        <v>9587</v>
      </c>
      <c r="M1599" t="str">
        <f>VLOOKUP(L1599,[1]HBA!$B$2:$C$4000,2,FALSE)</f>
        <v>MeRF</v>
      </c>
    </row>
    <row r="1600" spans="2:13" x14ac:dyDescent="0.25">
      <c r="B1600" s="31" t="s">
        <v>25743</v>
      </c>
      <c r="C1600" s="20"/>
      <c r="D1600" s="25" t="s">
        <v>3071</v>
      </c>
      <c r="E1600" s="25"/>
      <c r="F1600" s="9" t="str">
        <f>HYPERLINK("https://www.ebi.ac.uk/ols/ontologies/uberon/terms?iri=http://purl.obolibrary.org/obo/UBERON_0002559","medullary reticular formation")</f>
        <v>medullary reticular formation</v>
      </c>
      <c r="G1600" s="9" t="s">
        <v>3070</v>
      </c>
      <c r="H1600" s="9" t="s">
        <v>20490</v>
      </c>
      <c r="I1600" s="9" t="s">
        <v>3074</v>
      </c>
      <c r="J1600" s="9" t="s">
        <v>3075</v>
      </c>
      <c r="K1600" s="3" t="s">
        <v>15176</v>
      </c>
      <c r="L1600" s="13">
        <v>395</v>
      </c>
      <c r="M1600" t="str">
        <f>VLOOKUP(L1600,[1]Mouse_ARA!$B$2:$C$1328,2,FALSE)</f>
        <v>MDRN</v>
      </c>
    </row>
    <row r="1601" spans="2:13" x14ac:dyDescent="0.25">
      <c r="B1601" s="31" t="s">
        <v>25743</v>
      </c>
      <c r="C1601" s="20"/>
      <c r="D1601" s="25" t="s">
        <v>26036</v>
      </c>
      <c r="E1601" s="25"/>
      <c r="F1601" s="9" t="str">
        <f>HYPERLINK("https://www.ebi.ac.uk/ols/ontologies/uberon/terms?iri=http://purl.obolibrary.org/obo/UBERON_0001718","mesencephalic nucleus of trigeminal nerve")</f>
        <v>mesencephalic nucleus of trigeminal nerve</v>
      </c>
      <c r="G1601" s="9" t="s">
        <v>3076</v>
      </c>
      <c r="H1601" s="9" t="s">
        <v>23935</v>
      </c>
      <c r="I1601" s="9" t="s">
        <v>2255</v>
      </c>
      <c r="J1601" s="9" t="s">
        <v>2256</v>
      </c>
      <c r="K1601" s="4" t="s">
        <v>15175</v>
      </c>
      <c r="L1601" s="13">
        <v>12208</v>
      </c>
      <c r="M1601" t="str">
        <f>VLOOKUP(L1601,[1]Human_BrainSpan!$B$2:$C$4000,2,FALSE)</f>
        <v>Me5</v>
      </c>
    </row>
    <row r="1602" spans="2:13" x14ac:dyDescent="0.25">
      <c r="B1602" s="31" t="s">
        <v>25743</v>
      </c>
      <c r="C1602" s="20"/>
      <c r="D1602" s="25" t="s">
        <v>26036</v>
      </c>
      <c r="E1602" s="25"/>
      <c r="F1602" s="9" t="str">
        <f>HYPERLINK("https://www.ebi.ac.uk/ols/ontologies/uberon/terms?iri=http://purl.obolibrary.org/obo/UBERON_0001718","mesencephalic nucleus of trigeminal nerve")</f>
        <v>mesencephalic nucleus of trigeminal nerve</v>
      </c>
      <c r="G1602" s="9" t="s">
        <v>3076</v>
      </c>
      <c r="H1602" s="9" t="s">
        <v>23935</v>
      </c>
      <c r="I1602" s="9" t="s">
        <v>2272</v>
      </c>
      <c r="J1602" s="9" t="s">
        <v>2273</v>
      </c>
      <c r="K1602" s="7" t="s">
        <v>15171</v>
      </c>
      <c r="L1602" s="13">
        <v>9205</v>
      </c>
      <c r="M1602" t="str">
        <f>VLOOKUP(L1602,[1]HBA!$B$2:$C$4000,2,FALSE)</f>
        <v>Me5</v>
      </c>
    </row>
    <row r="1603" spans="2:13" x14ac:dyDescent="0.25">
      <c r="B1603" s="31" t="s">
        <v>25743</v>
      </c>
      <c r="C1603" s="20"/>
      <c r="D1603" s="25" t="s">
        <v>26036</v>
      </c>
      <c r="E1603" s="25"/>
      <c r="F1603" s="9" t="str">
        <f>HYPERLINK("https://www.ebi.ac.uk/ols/ontologies/uberon/terms?iri=http://purl.obolibrary.org/obo/UBERON_0001718","mesencephalic nucleus of trigeminal nerve")</f>
        <v>mesencephalic nucleus of trigeminal nerve</v>
      </c>
      <c r="G1603" s="9" t="s">
        <v>3076</v>
      </c>
      <c r="H1603" s="9" t="s">
        <v>20184</v>
      </c>
      <c r="I1603" s="9" t="s">
        <v>3077</v>
      </c>
      <c r="J1603" s="9" t="s">
        <v>3078</v>
      </c>
      <c r="K1603" s="3" t="s">
        <v>15176</v>
      </c>
      <c r="L1603" s="13">
        <v>460</v>
      </c>
      <c r="M1603" t="str">
        <f>VLOOKUP(L1603,[1]Mouse_ARA!$B$2:$C$1328,2,FALSE)</f>
        <v>MEV</v>
      </c>
    </row>
    <row r="1604" spans="2:13" x14ac:dyDescent="0.25">
      <c r="B1604" s="31" t="s">
        <v>25743</v>
      </c>
      <c r="C1604" s="20"/>
      <c r="D1604" s="25" t="s">
        <v>26037</v>
      </c>
      <c r="E1604" s="25"/>
      <c r="F1604" s="9" t="str">
        <f>HYPERLINK("https://www.ebi.ac.uk/ols/ontologies/uberon/terms?iri=http://purl.obolibrary.org/obo/UBERON_0002666","mesencephalic tract of trigeminal nerve")</f>
        <v>mesencephalic tract of trigeminal nerve</v>
      </c>
      <c r="G1604" s="9" t="s">
        <v>3079</v>
      </c>
      <c r="H1604" s="9" t="s">
        <v>24629</v>
      </c>
      <c r="I1604" s="9" t="s">
        <v>3080</v>
      </c>
      <c r="J1604" s="9" t="s">
        <v>3081</v>
      </c>
      <c r="K1604" s="4" t="s">
        <v>15175</v>
      </c>
      <c r="L1604" s="13">
        <v>12767</v>
      </c>
      <c r="M1604" t="str">
        <f>VLOOKUP(L1604,[1]Human_BrainSpan!$B$2:$C$4000,2,FALSE)</f>
        <v>me5</v>
      </c>
    </row>
    <row r="1605" spans="2:13" x14ac:dyDescent="0.25">
      <c r="B1605" s="31" t="s">
        <v>25743</v>
      </c>
      <c r="C1605" s="20"/>
      <c r="D1605" s="25" t="s">
        <v>26037</v>
      </c>
      <c r="E1605" s="25"/>
      <c r="F1605" s="9" t="str">
        <f>HYPERLINK("https://www.ebi.ac.uk/ols/ontologies/uberon/terms?iri=http://purl.obolibrary.org/obo/UBERON_0002666","mesencephalic tract of trigeminal nerve")</f>
        <v>mesencephalic tract of trigeminal nerve</v>
      </c>
      <c r="G1605" s="9" t="s">
        <v>3079</v>
      </c>
      <c r="H1605" s="9" t="s">
        <v>24629</v>
      </c>
      <c r="I1605" s="9" t="s">
        <v>3080</v>
      </c>
      <c r="J1605" s="9" t="s">
        <v>3082</v>
      </c>
      <c r="K1605" s="7" t="s">
        <v>15171</v>
      </c>
      <c r="L1605" s="13">
        <v>265505458</v>
      </c>
      <c r="M1605" t="str">
        <f>VLOOKUP(L1605,[1]HBA!$B$2:$C$4000,2,FALSE)</f>
        <v>me5</v>
      </c>
    </row>
    <row r="1606" spans="2:13" x14ac:dyDescent="0.25">
      <c r="B1606" s="31" t="s">
        <v>25743</v>
      </c>
      <c r="C1606" s="20"/>
      <c r="D1606" s="25" t="s">
        <v>26037</v>
      </c>
      <c r="E1606" s="25"/>
      <c r="F1606" s="9" t="str">
        <f>HYPERLINK("https://www.ebi.ac.uk/ols/ontologies/uberon/terms?iri=http://purl.obolibrary.org/obo/UBERON_0002666","mesencephalic tract of trigeminal nerve")</f>
        <v>mesencephalic tract of trigeminal nerve</v>
      </c>
      <c r="G1606" s="9" t="s">
        <v>3079</v>
      </c>
      <c r="H1606" s="9" t="s">
        <v>20747</v>
      </c>
      <c r="I1606" s="9" t="s">
        <v>3083</v>
      </c>
      <c r="J1606" s="9" t="s">
        <v>3084</v>
      </c>
      <c r="K1606" s="3" t="s">
        <v>15176</v>
      </c>
      <c r="L1606" s="13">
        <v>705</v>
      </c>
      <c r="M1606" t="str">
        <f>VLOOKUP(L1606,[1]Mouse_ARA!$B$2:$C$1328,2,FALSE)</f>
        <v>mtV</v>
      </c>
    </row>
    <row r="1607" spans="2:13" x14ac:dyDescent="0.25">
      <c r="B1607" s="31" t="s">
        <v>25743</v>
      </c>
      <c r="C1607" s="20"/>
      <c r="D1607" s="25" t="s">
        <v>3086</v>
      </c>
      <c r="E1607" s="25"/>
      <c r="F1607" s="9" t="str">
        <f>HYPERLINK("https://www.ebi.ac.uk/ols/ontologies/uberon/terms?iri=http://purl.obolibrary.org/obo/UBERON_0019272","mesomere 1")</f>
        <v>mesomere 1</v>
      </c>
      <c r="G1607" s="9" t="s">
        <v>3085</v>
      </c>
      <c r="H1607" s="9" t="s">
        <v>24084</v>
      </c>
      <c r="I1607" s="9" t="s">
        <v>3086</v>
      </c>
      <c r="J1607" s="9" t="s">
        <v>3087</v>
      </c>
      <c r="K1607" s="4" t="s">
        <v>15175</v>
      </c>
      <c r="L1607" s="13">
        <v>12316</v>
      </c>
      <c r="M1607" t="str">
        <f>VLOOKUP(L1607,[1]Human_BrainSpan!$B$2:$C$4000,2,FALSE)</f>
        <v>M-1</v>
      </c>
    </row>
    <row r="1608" spans="2:13" x14ac:dyDescent="0.25">
      <c r="B1608" s="31" t="s">
        <v>25743</v>
      </c>
      <c r="C1608" s="20"/>
      <c r="D1608" s="25" t="s">
        <v>3086</v>
      </c>
      <c r="E1608" s="25"/>
      <c r="F1608" s="9" t="str">
        <f>HYPERLINK("https://www.ebi.ac.uk/ols/ontologies/uberon/terms?iri=http://purl.obolibrary.org/obo/UBERON_0019272","mesomere 1")</f>
        <v>mesomere 1</v>
      </c>
      <c r="G1608" s="9" t="s">
        <v>3085</v>
      </c>
      <c r="H1608" s="9" t="s">
        <v>16890</v>
      </c>
      <c r="I1608" s="9" t="s">
        <v>3086</v>
      </c>
      <c r="J1608" s="9" t="s">
        <v>3088</v>
      </c>
      <c r="K1608" s="5" t="s">
        <v>15173</v>
      </c>
      <c r="L1608" s="13">
        <v>16650</v>
      </c>
      <c r="M1608" t="str">
        <f>VLOOKUP(L1608,[1]DevMouse!$B$2:$C$2693,2,FALSE)</f>
        <v>m1</v>
      </c>
    </row>
    <row r="1609" spans="2:13" x14ac:dyDescent="0.25">
      <c r="B1609" s="31" t="s">
        <v>25743</v>
      </c>
      <c r="C1609" s="20"/>
      <c r="D1609" s="25" t="s">
        <v>3090</v>
      </c>
      <c r="E1609" s="25"/>
      <c r="F1609" s="9" t="str">
        <f>HYPERLINK("https://www.ebi.ac.uk/ols/ontologies/uberon/terms?iri=http://purl.obolibrary.org/obo/UBERON_0019274","mesomere 2")</f>
        <v>mesomere 2</v>
      </c>
      <c r="G1609" s="9" t="s">
        <v>3089</v>
      </c>
      <c r="H1609" s="9" t="s">
        <v>24085</v>
      </c>
      <c r="I1609" s="9" t="s">
        <v>3090</v>
      </c>
      <c r="J1609" s="9" t="s">
        <v>3091</v>
      </c>
      <c r="K1609" s="4" t="s">
        <v>15175</v>
      </c>
      <c r="L1609" s="13">
        <v>12317</v>
      </c>
      <c r="M1609" t="str">
        <f>VLOOKUP(L1609,[1]Human_BrainSpan!$B$2:$C$4000,2,FALSE)</f>
        <v>M-2</v>
      </c>
    </row>
    <row r="1610" spans="2:13" x14ac:dyDescent="0.25">
      <c r="B1610" s="31" t="s">
        <v>25743</v>
      </c>
      <c r="C1610" s="20"/>
      <c r="D1610" s="25" t="s">
        <v>3090</v>
      </c>
      <c r="E1610" s="25"/>
      <c r="F1610" s="9" t="str">
        <f>HYPERLINK("https://www.ebi.ac.uk/ols/ontologies/uberon/terms?iri=http://purl.obolibrary.org/obo/UBERON_0019274","mesomere 2")</f>
        <v>mesomere 2</v>
      </c>
      <c r="G1610" s="9" t="s">
        <v>3089</v>
      </c>
      <c r="H1610" s="9" t="s">
        <v>17096</v>
      </c>
      <c r="I1610" s="9" t="s">
        <v>3092</v>
      </c>
      <c r="J1610" s="9" t="s">
        <v>3093</v>
      </c>
      <c r="K1610" s="5" t="s">
        <v>15173</v>
      </c>
      <c r="L1610" s="13">
        <v>16751</v>
      </c>
      <c r="M1610" t="str">
        <f>VLOOKUP(L1610,[1]DevMouse!$B$2:$C$2693,2,FALSE)</f>
        <v>m2</v>
      </c>
    </row>
    <row r="1611" spans="2:13" x14ac:dyDescent="0.25">
      <c r="B1611" s="31" t="s">
        <v>25743</v>
      </c>
      <c r="C1611" s="20"/>
      <c r="D1611" s="25" t="s">
        <v>26038</v>
      </c>
      <c r="E1611" s="25"/>
      <c r="F1611" s="9" t="str">
        <f>HYPERLINK("https://www.ebi.ac.uk/ols/ontologies/uberon/terms?iri=http://purl.obolibrary.org/obo/UBERON_0002704","metathalamus")</f>
        <v>metathalamus</v>
      </c>
      <c r="G1611" s="9" t="s">
        <v>3094</v>
      </c>
      <c r="H1611" s="9" t="s">
        <v>19902</v>
      </c>
      <c r="I1611" s="9" t="s">
        <v>729</v>
      </c>
      <c r="J1611" s="9" t="s">
        <v>730</v>
      </c>
      <c r="K1611" s="3" t="s">
        <v>15176</v>
      </c>
      <c r="L1611" s="13">
        <v>1008</v>
      </c>
      <c r="M1611" t="str">
        <f>VLOOKUP(L1611,[1]Mouse_ARA!$B$2:$C$1328,2,FALSE)</f>
        <v>GENd</v>
      </c>
    </row>
    <row r="1612" spans="2:13" x14ac:dyDescent="0.25">
      <c r="B1612" s="31" t="s">
        <v>25743</v>
      </c>
      <c r="C1612" s="20"/>
      <c r="D1612" s="25" t="s">
        <v>3096</v>
      </c>
      <c r="E1612" s="25"/>
      <c r="F1612" s="9" t="str">
        <f>HYPERLINK("https://www.ebi.ac.uk/ols/ontologies/uberon/terms?iri=http://purl.obolibrary.org/obo/UBERON_0001895","metencephalon")</f>
        <v>metencephalon</v>
      </c>
      <c r="G1612" s="9" t="s">
        <v>3095</v>
      </c>
      <c r="H1612" s="9" t="s">
        <v>24189</v>
      </c>
      <c r="I1612" s="9" t="s">
        <v>3096</v>
      </c>
      <c r="J1612" s="9" t="s">
        <v>3097</v>
      </c>
      <c r="K1612" s="4" t="s">
        <v>15175</v>
      </c>
      <c r="L1612" s="13">
        <v>10655</v>
      </c>
      <c r="M1612" t="str">
        <f>VLOOKUP(L1612,[1]Human_BrainSpan!$B$2:$C$4000,2,FALSE)</f>
        <v>Met</v>
      </c>
    </row>
    <row r="1613" spans="2:13" x14ac:dyDescent="0.25">
      <c r="B1613" s="31" t="s">
        <v>25743</v>
      </c>
      <c r="C1613" s="20"/>
      <c r="D1613" s="25" t="s">
        <v>3096</v>
      </c>
      <c r="E1613" s="25"/>
      <c r="F1613" s="9" t="str">
        <f>HYPERLINK("https://www.ebi.ac.uk/ols/ontologies/uberon/terms?iri=http://purl.obolibrary.org/obo/UBERON_0001895","metencephalon")</f>
        <v>metencephalon</v>
      </c>
      <c r="G1613" s="9" t="s">
        <v>3095</v>
      </c>
      <c r="H1613" s="9" t="s">
        <v>25334</v>
      </c>
      <c r="I1613" s="9" t="s">
        <v>3096</v>
      </c>
      <c r="J1613" s="9" t="s">
        <v>3098</v>
      </c>
      <c r="K1613" s="7" t="s">
        <v>15171</v>
      </c>
      <c r="L1613" s="13">
        <v>4833</v>
      </c>
      <c r="M1613" t="str">
        <f>VLOOKUP(L1613,[1]HBA!$B$2:$C$4000,2,FALSE)</f>
        <v>MET</v>
      </c>
    </row>
    <row r="1614" spans="2:13" x14ac:dyDescent="0.25">
      <c r="B1614" s="31" t="s">
        <v>25743</v>
      </c>
      <c r="C1614" s="20"/>
      <c r="D1614" s="25" t="s">
        <v>3102</v>
      </c>
      <c r="E1614" s="25"/>
      <c r="F1614" s="9" t="str">
        <f>HYPERLINK("https://www.ebi.ac.uk/ols/ontologies/uberon/terms?iri=http://purl.obolibrary.org/obo/UBERON_0001891","midbrain")</f>
        <v>midbrain</v>
      </c>
      <c r="G1614" s="9" t="s">
        <v>3099</v>
      </c>
      <c r="H1614" s="9" t="s">
        <v>16889</v>
      </c>
      <c r="I1614" s="9" t="s">
        <v>3100</v>
      </c>
      <c r="J1614" s="9" t="s">
        <v>3101</v>
      </c>
      <c r="K1614" s="4" t="s">
        <v>15175</v>
      </c>
      <c r="L1614" s="13">
        <v>10648</v>
      </c>
      <c r="M1614" t="str">
        <f>VLOOKUP(L1614,[1]Human_BrainSpan!$B$2:$C$4000,2,FALSE)</f>
        <v>M</v>
      </c>
    </row>
    <row r="1615" spans="2:13" x14ac:dyDescent="0.25">
      <c r="B1615" s="31" t="s">
        <v>25743</v>
      </c>
      <c r="C1615" s="20"/>
      <c r="D1615" s="25" t="s">
        <v>3102</v>
      </c>
      <c r="E1615" s="25"/>
      <c r="F1615" s="9" t="str">
        <f>HYPERLINK("https://www.ebi.ac.uk/ols/ontologies/uberon/terms?iri=http://purl.obolibrary.org/obo/UBERON_0001891","midbrain")</f>
        <v>midbrain</v>
      </c>
      <c r="G1615" s="9" t="s">
        <v>3099</v>
      </c>
      <c r="H1615" s="9" t="s">
        <v>16889</v>
      </c>
      <c r="I1615" s="9" t="s">
        <v>3102</v>
      </c>
      <c r="J1615" s="9" t="s">
        <v>3103</v>
      </c>
      <c r="K1615" s="5" t="s">
        <v>15173</v>
      </c>
      <c r="L1615" s="13">
        <v>16649</v>
      </c>
      <c r="M1615" t="str">
        <f>VLOOKUP(L1615,[1]DevMouse!$B$2:$C$2693,2,FALSE)</f>
        <v>M</v>
      </c>
    </row>
    <row r="1616" spans="2:13" x14ac:dyDescent="0.25">
      <c r="B1616" s="31" t="s">
        <v>25743</v>
      </c>
      <c r="C1616" s="20"/>
      <c r="D1616" s="25" t="s">
        <v>3102</v>
      </c>
      <c r="E1616" s="25"/>
      <c r="F1616" s="9" t="str">
        <f>HYPERLINK("https://www.ebi.ac.uk/ols/ontologies/uberon/terms?iri=http://purl.obolibrary.org/obo/UBERON_0001891","midbrain")</f>
        <v>midbrain</v>
      </c>
      <c r="G1616" s="9" t="s">
        <v>3099</v>
      </c>
      <c r="H1616" s="9" t="s">
        <v>25197</v>
      </c>
      <c r="I1616" s="9" t="s">
        <v>3104</v>
      </c>
      <c r="J1616" s="9" t="s">
        <v>3105</v>
      </c>
      <c r="K1616" s="7" t="s">
        <v>15171</v>
      </c>
      <c r="L1616" s="13">
        <v>9001</v>
      </c>
      <c r="M1616" t="str">
        <f>VLOOKUP(L1616,[1]HBA!$B$2:$C$4000,2,FALSE)</f>
        <v>MES</v>
      </c>
    </row>
    <row r="1617" spans="2:13" x14ac:dyDescent="0.25">
      <c r="B1617" s="31" t="s">
        <v>25743</v>
      </c>
      <c r="C1617" s="20"/>
      <c r="D1617" s="25" t="s">
        <v>3102</v>
      </c>
      <c r="E1617" s="25"/>
      <c r="F1617" s="9" t="str">
        <f>HYPERLINK("https://www.ebi.ac.uk/ols/ontologies/uberon/terms?iri=http://purl.obolibrary.org/obo/UBERON_0001891","midbrain")</f>
        <v>midbrain</v>
      </c>
      <c r="G1617" s="9" t="s">
        <v>3099</v>
      </c>
      <c r="H1617" s="9" t="s">
        <v>20161</v>
      </c>
      <c r="I1617" s="9" t="s">
        <v>3102</v>
      </c>
      <c r="J1617" s="9" t="s">
        <v>3106</v>
      </c>
      <c r="K1617" s="3" t="s">
        <v>15176</v>
      </c>
      <c r="L1617" s="13">
        <v>313</v>
      </c>
      <c r="M1617" t="str">
        <f>VLOOKUP(L1617,[1]Mouse_ARA!$B$2:$C$1328,2,FALSE)</f>
        <v>MB</v>
      </c>
    </row>
    <row r="1618" spans="2:13" x14ac:dyDescent="0.25">
      <c r="B1618" s="31" t="s">
        <v>25743</v>
      </c>
      <c r="C1618" s="20"/>
      <c r="D1618" s="25" t="s">
        <v>26039</v>
      </c>
      <c r="E1618" s="25"/>
      <c r="F1618" s="9" t="str">
        <f>HYPERLINK("https://www.ebi.ac.uk/ols/ontologies/uberon/terms?iri=http://purl.obolibrary.org/obo/UBERON_0010285","midbrain basal plate")</f>
        <v>midbrain basal plate</v>
      </c>
      <c r="G1618" s="9" t="s">
        <v>3107</v>
      </c>
      <c r="H1618" s="9" t="s">
        <v>24093</v>
      </c>
      <c r="I1618" s="9" t="s">
        <v>3108</v>
      </c>
      <c r="J1618" s="9" t="s">
        <v>3109</v>
      </c>
      <c r="K1618" s="4" t="s">
        <v>15175</v>
      </c>
      <c r="L1618" s="13">
        <v>12322</v>
      </c>
      <c r="M1618" t="str">
        <f>VLOOKUP(L1618,[1]Human_BrainSpan!$B$2:$C$4000,2,FALSE)</f>
        <v>IZMba</v>
      </c>
    </row>
    <row r="1619" spans="2:13" x14ac:dyDescent="0.25">
      <c r="B1619" s="31" t="s">
        <v>25743</v>
      </c>
      <c r="C1619" s="20"/>
      <c r="D1619" s="25" t="s">
        <v>26040</v>
      </c>
      <c r="E1619" s="25"/>
      <c r="F1619" s="9" t="str">
        <f>HYPERLINK("https://www.ebi.ac.uk/ols/ontologies/uberon/terms?iri=http://purl.obolibrary.org/obo/UBERON_0002289","midbrain cerebral aqueduct")</f>
        <v>midbrain cerebral aqueduct</v>
      </c>
      <c r="G1619" s="9" t="s">
        <v>3110</v>
      </c>
      <c r="H1619" s="9" t="s">
        <v>20526</v>
      </c>
      <c r="I1619" s="9" t="s">
        <v>3111</v>
      </c>
      <c r="J1619" s="9" t="s">
        <v>3112</v>
      </c>
      <c r="K1619" s="4" t="s">
        <v>15175</v>
      </c>
      <c r="L1619" s="13">
        <v>10651</v>
      </c>
      <c r="M1619" t="str">
        <f>VLOOKUP(L1619,[1]Human_BrainSpan!$B$2:$C$4000,2,FALSE)</f>
        <v>MV</v>
      </c>
    </row>
    <row r="1620" spans="2:13" x14ac:dyDescent="0.25">
      <c r="B1620" s="31" t="s">
        <v>25743</v>
      </c>
      <c r="C1620" s="20"/>
      <c r="D1620" s="25" t="s">
        <v>26040</v>
      </c>
      <c r="E1620" s="25"/>
      <c r="F1620" s="9" t="str">
        <f>HYPERLINK("https://www.ebi.ac.uk/ols/ontologies/uberon/terms?iri=http://purl.obolibrary.org/obo/UBERON_0002289","midbrain cerebral aqueduct")</f>
        <v>midbrain cerebral aqueduct</v>
      </c>
      <c r="G1620" s="9" t="s">
        <v>3110</v>
      </c>
      <c r="H1620" s="9" t="s">
        <v>24171</v>
      </c>
      <c r="I1620" s="9" t="s">
        <v>3113</v>
      </c>
      <c r="J1620" s="9" t="s">
        <v>3114</v>
      </c>
      <c r="K1620" s="4" t="s">
        <v>15175</v>
      </c>
      <c r="L1620" s="13">
        <v>12369</v>
      </c>
      <c r="M1620" t="str">
        <f>VLOOKUP(L1620,[1]Human_BrainSpan!$B$2:$C$4000,2,FALSE)</f>
        <v>Aq</v>
      </c>
    </row>
    <row r="1621" spans="2:13" x14ac:dyDescent="0.25">
      <c r="B1621" s="31" t="s">
        <v>25743</v>
      </c>
      <c r="C1621" s="20"/>
      <c r="D1621" s="25" t="s">
        <v>26040</v>
      </c>
      <c r="E1621" s="25"/>
      <c r="F1621" s="9" t="str">
        <f>HYPERLINK("https://www.ebi.ac.uk/ols/ontologies/uberon/terms?iri=http://purl.obolibrary.org/obo/UBERON_0002289","midbrain cerebral aqueduct")</f>
        <v>midbrain cerebral aqueduct</v>
      </c>
      <c r="G1621" s="9" t="s">
        <v>3110</v>
      </c>
      <c r="H1621" s="9" t="s">
        <v>18561</v>
      </c>
      <c r="I1621" s="9" t="s">
        <v>3115</v>
      </c>
      <c r="J1621" s="9" t="s">
        <v>3116</v>
      </c>
      <c r="K1621" s="5" t="s">
        <v>15173</v>
      </c>
      <c r="L1621" s="13">
        <v>126651722</v>
      </c>
      <c r="M1621" t="str">
        <f>VLOOKUP(L1621,[1]DevMouse!$B$2:$C$2693,2,FALSE)</f>
        <v>v_M</v>
      </c>
    </row>
    <row r="1622" spans="2:13" x14ac:dyDescent="0.25">
      <c r="B1622" s="31" t="s">
        <v>25743</v>
      </c>
      <c r="C1622" s="20"/>
      <c r="D1622" s="25" t="s">
        <v>26040</v>
      </c>
      <c r="E1622" s="25"/>
      <c r="F1622" s="9" t="str">
        <f>HYPERLINK("https://www.ebi.ac.uk/ols/ontologies/uberon/terms?iri=http://purl.obolibrary.org/obo/UBERON_0002289","midbrain cerebral aqueduct")</f>
        <v>midbrain cerebral aqueduct</v>
      </c>
      <c r="G1622" s="9" t="s">
        <v>3110</v>
      </c>
      <c r="H1622" s="9" t="s">
        <v>25563</v>
      </c>
      <c r="I1622" s="9" t="s">
        <v>3117</v>
      </c>
      <c r="J1622" s="9" t="s">
        <v>3118</v>
      </c>
      <c r="K1622" s="7" t="s">
        <v>15171</v>
      </c>
      <c r="L1622" s="13">
        <v>265505702</v>
      </c>
      <c r="M1622" t="str">
        <f>VLOOKUP(L1622,[1]HBA!$B$2:$C$4000,2,FALSE)</f>
        <v>aq</v>
      </c>
    </row>
    <row r="1623" spans="2:13" x14ac:dyDescent="0.25">
      <c r="B1623" s="31" t="s">
        <v>25743</v>
      </c>
      <c r="C1623" s="20"/>
      <c r="D1623" s="25" t="s">
        <v>26040</v>
      </c>
      <c r="E1623" s="25"/>
      <c r="F1623" s="9" t="str">
        <f>HYPERLINK("https://www.ebi.ac.uk/ols/ontologies/uberon/terms?iri=http://purl.obolibrary.org/obo/UBERON_0002289","midbrain cerebral aqueduct")</f>
        <v>midbrain cerebral aqueduct</v>
      </c>
      <c r="G1623" s="9" t="s">
        <v>3110</v>
      </c>
      <c r="H1623" s="9" t="s">
        <v>20959</v>
      </c>
      <c r="I1623" s="9" t="s">
        <v>3113</v>
      </c>
      <c r="J1623" s="9" t="s">
        <v>3119</v>
      </c>
      <c r="K1623" s="3" t="s">
        <v>15176</v>
      </c>
      <c r="L1623" s="13">
        <v>140</v>
      </c>
      <c r="M1623" t="str">
        <f>VLOOKUP(L1623,[1]Mouse_ARA!$B$2:$C$1328,2,FALSE)</f>
        <v>AQ</v>
      </c>
    </row>
    <row r="1624" spans="2:13" x14ac:dyDescent="0.25">
      <c r="B1624" s="31" t="s">
        <v>26303</v>
      </c>
      <c r="C1624" s="20"/>
      <c r="D1624" s="25" t="s">
        <v>26041</v>
      </c>
      <c r="E1624" s="25"/>
      <c r="F1624" s="9" t="str">
        <f t="shared" ref="F1624:F1631" si="20">HYPERLINK("https://www.ebi.ac.uk/ols/ontologies/uberon/terms?iri=http://purl.obolibrary.org/obo/UBERON_0009661","midbrain nucleus")</f>
        <v>midbrain nucleus</v>
      </c>
      <c r="G1624" s="9" t="s">
        <v>3120</v>
      </c>
      <c r="H1624" s="9" t="s">
        <v>23904</v>
      </c>
      <c r="I1624" s="9" t="s">
        <v>3214</v>
      </c>
      <c r="J1624" s="9" t="s">
        <v>3122</v>
      </c>
      <c r="K1624" s="4" t="s">
        <v>15175</v>
      </c>
      <c r="L1624" s="13">
        <v>12182</v>
      </c>
      <c r="M1624" t="str">
        <f>VLOOKUP(L1624,[1]Human_BrainSpan!$B$2:$C$4000,2,FALSE)</f>
        <v>PTN</v>
      </c>
    </row>
    <row r="1625" spans="2:13" x14ac:dyDescent="0.25">
      <c r="B1625" s="31" t="s">
        <v>26303</v>
      </c>
      <c r="C1625" s="25" t="s">
        <v>25971</v>
      </c>
      <c r="D1625" s="25" t="s">
        <v>26041</v>
      </c>
      <c r="E1625" s="25"/>
      <c r="F1625" s="9" t="str">
        <f t="shared" si="20"/>
        <v>midbrain nucleus</v>
      </c>
      <c r="G1625" s="9" t="s">
        <v>3120</v>
      </c>
      <c r="H1625" s="9" t="s">
        <v>17229</v>
      </c>
      <c r="I1625" s="9" t="s">
        <v>640</v>
      </c>
      <c r="J1625" s="9" t="s">
        <v>641</v>
      </c>
      <c r="K1625" s="4" t="s">
        <v>15175</v>
      </c>
      <c r="L1625" s="13">
        <v>12262</v>
      </c>
      <c r="M1625" t="str">
        <f>VLOOKUP(L1625,[1]Human_BrainSpan!$B$2:$C$4000,2,FALSE)</f>
        <v>IF</v>
      </c>
    </row>
    <row r="1626" spans="2:13" x14ac:dyDescent="0.25">
      <c r="B1626" s="31" t="s">
        <v>26303</v>
      </c>
      <c r="C1626" s="25" t="s">
        <v>710</v>
      </c>
      <c r="D1626" s="25" t="s">
        <v>26041</v>
      </c>
      <c r="E1626" s="25"/>
      <c r="F1626" s="9" t="str">
        <f t="shared" si="20"/>
        <v>midbrain nucleus</v>
      </c>
      <c r="G1626" s="9" t="s">
        <v>3120</v>
      </c>
      <c r="H1626" s="9" t="s">
        <v>16786</v>
      </c>
      <c r="I1626" s="9" t="s">
        <v>710</v>
      </c>
      <c r="J1626" s="9" t="s">
        <v>711</v>
      </c>
      <c r="K1626" s="5" t="s">
        <v>15173</v>
      </c>
      <c r="L1626" s="13">
        <v>16598</v>
      </c>
      <c r="M1626" t="str">
        <f>VLOOKUP(L1626,[1]DevMouse!$B$2:$C$2693,2,FALSE)</f>
        <v>IPT</v>
      </c>
    </row>
    <row r="1627" spans="2:13" x14ac:dyDescent="0.25">
      <c r="B1627" s="31" t="s">
        <v>26303</v>
      </c>
      <c r="C1627" s="25" t="s">
        <v>26163</v>
      </c>
      <c r="D1627" s="25" t="s">
        <v>26041</v>
      </c>
      <c r="E1627" s="25"/>
      <c r="F1627" s="9" t="str">
        <f t="shared" si="20"/>
        <v>midbrain nucleus</v>
      </c>
      <c r="G1627" s="9" t="s">
        <v>3120</v>
      </c>
      <c r="H1627" s="9" t="s">
        <v>25322</v>
      </c>
      <c r="I1627" s="9" t="s">
        <v>3123</v>
      </c>
      <c r="J1627" s="9" t="s">
        <v>3124</v>
      </c>
      <c r="K1627" s="7" t="s">
        <v>15171</v>
      </c>
      <c r="L1627" s="13">
        <v>9083</v>
      </c>
      <c r="M1627" t="str">
        <f>VLOOKUP(L1627,[1]HBA!$B$2:$C$4000,2,FALSE)</f>
        <v>PTA</v>
      </c>
    </row>
    <row r="1628" spans="2:13" x14ac:dyDescent="0.25">
      <c r="B1628" s="31" t="s">
        <v>26303</v>
      </c>
      <c r="C1628" s="25" t="s">
        <v>25821</v>
      </c>
      <c r="D1628" s="25" t="s">
        <v>26041</v>
      </c>
      <c r="E1628" s="25"/>
      <c r="F1628" s="9" t="str">
        <f t="shared" si="20"/>
        <v>midbrain nucleus</v>
      </c>
      <c r="G1628" s="9" t="s">
        <v>3120</v>
      </c>
      <c r="H1628" s="9" t="s">
        <v>25312</v>
      </c>
      <c r="I1628" s="9" t="s">
        <v>723</v>
      </c>
      <c r="J1628" s="9" t="s">
        <v>724</v>
      </c>
      <c r="K1628" s="7" t="s">
        <v>15171</v>
      </c>
      <c r="L1628" s="13">
        <v>9470</v>
      </c>
      <c r="M1628" t="str">
        <f>VLOOKUP(L1628,[1]HBA!$B$2:$C$4000,2,FALSE)</f>
        <v>CLN</v>
      </c>
    </row>
    <row r="1629" spans="2:13" x14ac:dyDescent="0.25">
      <c r="B1629" s="31" t="s">
        <v>26303</v>
      </c>
      <c r="C1629" s="25" t="s">
        <v>25971</v>
      </c>
      <c r="D1629" s="25" t="s">
        <v>26041</v>
      </c>
      <c r="E1629" s="25"/>
      <c r="F1629" s="9" t="str">
        <f t="shared" si="20"/>
        <v>midbrain nucleus</v>
      </c>
      <c r="G1629" s="9" t="s">
        <v>3120</v>
      </c>
      <c r="H1629" s="9" t="s">
        <v>17229</v>
      </c>
      <c r="I1629" s="9" t="s">
        <v>725</v>
      </c>
      <c r="J1629" s="9" t="s">
        <v>726</v>
      </c>
      <c r="K1629" s="7" t="s">
        <v>15171</v>
      </c>
      <c r="L1629" s="13">
        <v>9472</v>
      </c>
      <c r="M1629" t="str">
        <f>VLOOKUP(L1629,[1]HBA!$B$2:$C$4000,2,FALSE)</f>
        <v>IF</v>
      </c>
    </row>
    <row r="1630" spans="2:13" x14ac:dyDescent="0.25">
      <c r="B1630" s="31" t="s">
        <v>26303</v>
      </c>
      <c r="C1630" s="25" t="s">
        <v>731</v>
      </c>
      <c r="D1630" s="25" t="s">
        <v>26041</v>
      </c>
      <c r="E1630" s="25"/>
      <c r="F1630" s="9" t="str">
        <f t="shared" si="20"/>
        <v>midbrain nucleus</v>
      </c>
      <c r="G1630" s="9" t="s">
        <v>3120</v>
      </c>
      <c r="H1630" s="9" t="s">
        <v>20240</v>
      </c>
      <c r="I1630" s="9" t="s">
        <v>731</v>
      </c>
      <c r="J1630" s="9" t="s">
        <v>732</v>
      </c>
      <c r="K1630" s="3" t="s">
        <v>15176</v>
      </c>
      <c r="L1630" s="13">
        <v>1061</v>
      </c>
      <c r="M1630" t="str">
        <f>VLOOKUP(L1630,[1]Mouse_ARA!$B$2:$C$1328,2,FALSE)</f>
        <v>PPT</v>
      </c>
    </row>
    <row r="1631" spans="2:13" x14ac:dyDescent="0.25">
      <c r="B1631" s="31" t="s">
        <v>26303</v>
      </c>
      <c r="C1631" s="25" t="s">
        <v>25971</v>
      </c>
      <c r="D1631" s="25" t="s">
        <v>26041</v>
      </c>
      <c r="E1631" s="25"/>
      <c r="F1631" s="9" t="str">
        <f t="shared" si="20"/>
        <v>midbrain nucleus</v>
      </c>
      <c r="G1631" s="9" t="s">
        <v>3120</v>
      </c>
      <c r="H1631" s="9" t="s">
        <v>17229</v>
      </c>
      <c r="I1631" s="9" t="s">
        <v>741</v>
      </c>
      <c r="J1631" s="9" t="s">
        <v>742</v>
      </c>
      <c r="K1631" s="3" t="s">
        <v>15176</v>
      </c>
      <c r="L1631" s="13">
        <v>12</v>
      </c>
      <c r="M1631" t="str">
        <f>VLOOKUP(L1631,[1]Mouse_ARA!$B$2:$C$1328,2,FALSE)</f>
        <v>IF</v>
      </c>
    </row>
    <row r="1632" spans="2:13" x14ac:dyDescent="0.25">
      <c r="B1632" s="31" t="s">
        <v>25743</v>
      </c>
      <c r="C1632" s="20"/>
      <c r="D1632" s="25" t="s">
        <v>3126</v>
      </c>
      <c r="E1632" s="25"/>
      <c r="F1632" s="9" t="str">
        <f>HYPERLINK("https://www.ebi.ac.uk/ols/ontologies/uberon/terms?iri=http://purl.obolibrary.org/obo/UBERON_0007412","midbrain raphe nuclei")</f>
        <v>midbrain raphe nuclei</v>
      </c>
      <c r="G1632" s="9" t="s">
        <v>3125</v>
      </c>
      <c r="H1632" s="9" t="s">
        <v>23956</v>
      </c>
      <c r="I1632" s="9" t="s">
        <v>3126</v>
      </c>
      <c r="J1632" s="9" t="s">
        <v>3127</v>
      </c>
      <c r="K1632" s="4" t="s">
        <v>15175</v>
      </c>
      <c r="L1632" s="13">
        <v>12222</v>
      </c>
      <c r="M1632" t="str">
        <f>VLOOKUP(L1632,[1]Human_BrainSpan!$B$2:$C$4000,2,FALSE)</f>
        <v>MRa</v>
      </c>
    </row>
    <row r="1633" spans="2:13" x14ac:dyDescent="0.25">
      <c r="B1633" s="31" t="s">
        <v>25743</v>
      </c>
      <c r="C1633" s="20"/>
      <c r="D1633" s="25" t="s">
        <v>3126</v>
      </c>
      <c r="E1633" s="25"/>
      <c r="F1633" s="9" t="str">
        <f>HYPERLINK("https://www.ebi.ac.uk/ols/ontologies/uberon/terms?iri=http://purl.obolibrary.org/obo/UBERON_0007412","midbrain raphe nuclei")</f>
        <v>midbrain raphe nuclei</v>
      </c>
      <c r="G1633" s="9" t="s">
        <v>3125</v>
      </c>
      <c r="H1633" s="9" t="s">
        <v>25257</v>
      </c>
      <c r="I1633" s="9" t="s">
        <v>3126</v>
      </c>
      <c r="J1633" s="9" t="s">
        <v>3128</v>
      </c>
      <c r="K1633" s="7" t="s">
        <v>15171</v>
      </c>
      <c r="L1633" s="13">
        <v>9455</v>
      </c>
      <c r="M1633" t="str">
        <f>VLOOKUP(L1633,[1]HBA!$B$2:$C$4000,2,FALSE)</f>
        <v>MBRa</v>
      </c>
    </row>
    <row r="1634" spans="2:13" x14ac:dyDescent="0.25">
      <c r="B1634" s="31" t="s">
        <v>25743</v>
      </c>
      <c r="C1634" s="20"/>
      <c r="D1634" s="25" t="s">
        <v>3126</v>
      </c>
      <c r="E1634" s="25"/>
      <c r="F1634" s="9" t="str">
        <f>HYPERLINK("https://www.ebi.ac.uk/ols/ontologies/uberon/terms?iri=http://purl.obolibrary.org/obo/UBERON_0007412","midbrain raphe nuclei")</f>
        <v>midbrain raphe nuclei</v>
      </c>
      <c r="G1634" s="9" t="s">
        <v>3125</v>
      </c>
      <c r="H1634" s="9" t="s">
        <v>20273</v>
      </c>
      <c r="I1634" s="9" t="s">
        <v>3126</v>
      </c>
      <c r="J1634" s="9" t="s">
        <v>3129</v>
      </c>
      <c r="K1634" s="3" t="s">
        <v>15176</v>
      </c>
      <c r="L1634" s="13">
        <v>165</v>
      </c>
      <c r="M1634" t="str">
        <f>VLOOKUP(L1634,[1]Mouse_ARA!$B$2:$C$1328,2,FALSE)</f>
        <v>RAmb</v>
      </c>
    </row>
    <row r="1635" spans="2:13" x14ac:dyDescent="0.25">
      <c r="B1635" s="31" t="s">
        <v>25743</v>
      </c>
      <c r="C1635" s="20"/>
      <c r="D1635" s="25" t="s">
        <v>3131</v>
      </c>
      <c r="E1635" s="25"/>
      <c r="F1635" s="9" t="str">
        <f>HYPERLINK("https://www.ebi.ac.uk/ols/ontologies/uberon/terms?iri=http://purl.obolibrary.org/obo/UBERON_0002639","midbrain reticular formation")</f>
        <v>midbrain reticular formation</v>
      </c>
      <c r="G1635" s="9" t="s">
        <v>3130</v>
      </c>
      <c r="H1635" s="9" t="s">
        <v>23985</v>
      </c>
      <c r="I1635" s="9" t="s">
        <v>3131</v>
      </c>
      <c r="J1635" s="9" t="s">
        <v>3132</v>
      </c>
      <c r="K1635" s="4" t="s">
        <v>15175</v>
      </c>
      <c r="L1635" s="13">
        <v>12239</v>
      </c>
      <c r="M1635" t="str">
        <f>VLOOKUP(L1635,[1]Human_BrainSpan!$B$2:$C$4000,2,FALSE)</f>
        <v>MRF</v>
      </c>
    </row>
    <row r="1636" spans="2:13" x14ac:dyDescent="0.25">
      <c r="B1636" s="31" t="s">
        <v>25743</v>
      </c>
      <c r="C1636" s="20"/>
      <c r="D1636" s="25" t="s">
        <v>3131</v>
      </c>
      <c r="E1636" s="25"/>
      <c r="F1636" s="9" t="str">
        <f>HYPERLINK("https://www.ebi.ac.uk/ols/ontologies/uberon/terms?iri=http://purl.obolibrary.org/obo/UBERON_0002639","midbrain reticular formation")</f>
        <v>midbrain reticular formation</v>
      </c>
      <c r="G1636" s="9" t="s">
        <v>3130</v>
      </c>
      <c r="H1636" s="9" t="s">
        <v>25272</v>
      </c>
      <c r="I1636" s="9" t="s">
        <v>3131</v>
      </c>
      <c r="J1636" s="9" t="s">
        <v>3133</v>
      </c>
      <c r="K1636" s="7" t="s">
        <v>15171</v>
      </c>
      <c r="L1636" s="13">
        <v>9018</v>
      </c>
      <c r="M1636" t="str">
        <f>VLOOKUP(L1636,[1]HBA!$B$2:$C$4000,2,FALSE)</f>
        <v>MBRF</v>
      </c>
    </row>
    <row r="1637" spans="2:13" x14ac:dyDescent="0.25">
      <c r="B1637" s="31" t="s">
        <v>25743</v>
      </c>
      <c r="C1637" s="20"/>
      <c r="D1637" s="25" t="s">
        <v>3135</v>
      </c>
      <c r="E1637" s="25"/>
      <c r="F1637" s="9" t="str">
        <f>HYPERLINK("https://www.ebi.ac.uk/ols/ontologies/uberon/terms?iri=http://purl.obolibrary.org/obo/UBERON_0002314","midbrain tectum")</f>
        <v>midbrain tectum</v>
      </c>
      <c r="G1637" s="9" t="s">
        <v>3134</v>
      </c>
      <c r="H1637" s="9" t="s">
        <v>24052</v>
      </c>
      <c r="I1637" s="9" t="s">
        <v>3135</v>
      </c>
      <c r="J1637" s="9" t="s">
        <v>3136</v>
      </c>
      <c r="K1637" s="4" t="s">
        <v>15175</v>
      </c>
      <c r="L1637" s="13">
        <v>12291</v>
      </c>
      <c r="M1637" t="str">
        <f>VLOOKUP(L1637,[1]Human_BrainSpan!$B$2:$C$4000,2,FALSE)</f>
        <v>MTc</v>
      </c>
    </row>
    <row r="1638" spans="2:13" x14ac:dyDescent="0.25">
      <c r="B1638" s="31" t="s">
        <v>25743</v>
      </c>
      <c r="C1638" s="20"/>
      <c r="D1638" s="25" t="s">
        <v>3135</v>
      </c>
      <c r="E1638" s="25"/>
      <c r="F1638" s="9" t="str">
        <f>HYPERLINK("https://www.ebi.ac.uk/ols/ontologies/uberon/terms?iri=http://purl.obolibrary.org/obo/UBERON_0002314","midbrain tectum")</f>
        <v>midbrain tectum</v>
      </c>
      <c r="G1638" s="9" t="s">
        <v>3134</v>
      </c>
      <c r="H1638" s="9" t="s">
        <v>25198</v>
      </c>
      <c r="I1638" s="9" t="s">
        <v>3135</v>
      </c>
      <c r="J1638" s="9" t="s">
        <v>3137</v>
      </c>
      <c r="K1638" s="7" t="s">
        <v>15171</v>
      </c>
      <c r="L1638" s="13">
        <v>9101</v>
      </c>
      <c r="M1638" t="str">
        <f>VLOOKUP(L1638,[1]HBA!$B$2:$C$4000,2,FALSE)</f>
        <v>Tec</v>
      </c>
    </row>
    <row r="1639" spans="2:13" x14ac:dyDescent="0.25">
      <c r="B1639" s="31" t="s">
        <v>25743</v>
      </c>
      <c r="C1639" s="20"/>
      <c r="D1639" s="25" t="s">
        <v>3139</v>
      </c>
      <c r="E1639" s="25"/>
      <c r="F1639" s="9" t="str">
        <f>HYPERLINK("https://www.ebi.ac.uk/ols/ontologies/uberon/terms?iri=http://purl.obolibrary.org/obo/UBERON_0001943","midbrain tegmentum")</f>
        <v>midbrain tegmentum</v>
      </c>
      <c r="G1639" s="9" t="s">
        <v>3138</v>
      </c>
      <c r="H1639" s="9" t="s">
        <v>17044</v>
      </c>
      <c r="I1639" s="9" t="s">
        <v>3139</v>
      </c>
      <c r="J1639" s="9" t="s">
        <v>3140</v>
      </c>
      <c r="K1639" s="4" t="s">
        <v>15175</v>
      </c>
      <c r="L1639" s="13">
        <v>12195</v>
      </c>
      <c r="M1639" t="str">
        <f>VLOOKUP(L1639,[1]Human_BrainSpan!$B$2:$C$4000,2,FALSE)</f>
        <v>MTg</v>
      </c>
    </row>
    <row r="1640" spans="2:13" x14ac:dyDescent="0.25">
      <c r="B1640" s="31" t="s">
        <v>25743</v>
      </c>
      <c r="C1640" s="20"/>
      <c r="D1640" s="25" t="s">
        <v>3139</v>
      </c>
      <c r="E1640" s="25"/>
      <c r="F1640" s="9" t="str">
        <f>HYPERLINK("https://www.ebi.ac.uk/ols/ontologies/uberon/terms?iri=http://purl.obolibrary.org/obo/UBERON_0001943","midbrain tegmentum")</f>
        <v>midbrain tegmentum</v>
      </c>
      <c r="G1640" s="9" t="s">
        <v>3138</v>
      </c>
      <c r="H1640" s="9" t="s">
        <v>17044</v>
      </c>
      <c r="I1640" s="9" t="s">
        <v>3139</v>
      </c>
      <c r="J1640" s="9" t="s">
        <v>3141</v>
      </c>
      <c r="K1640" s="7" t="s">
        <v>15171</v>
      </c>
      <c r="L1640" s="13">
        <v>9002</v>
      </c>
      <c r="M1640" t="str">
        <f>VLOOKUP(L1640,[1]HBA!$B$2:$C$4000,2,FALSE)</f>
        <v>MTg</v>
      </c>
    </row>
    <row r="1641" spans="2:13" x14ac:dyDescent="0.25">
      <c r="B1641" s="31" t="s">
        <v>26299</v>
      </c>
      <c r="C1641" s="20"/>
      <c r="D1641" s="25" t="s">
        <v>26042</v>
      </c>
      <c r="E1641" s="25"/>
      <c r="F1641" s="9" t="str">
        <f>HYPERLINK("https://www.ebi.ac.uk/ols/ontologies/uberon/terms?iri=http://purl.obolibrary.org/obo/UBERON_0003052","midbrain-hindbrain boundary")</f>
        <v>midbrain-hindbrain boundary</v>
      </c>
      <c r="G1641" s="9" t="s">
        <v>3142</v>
      </c>
      <c r="H1641" s="9" t="s">
        <v>17232</v>
      </c>
      <c r="I1641" s="9" t="s">
        <v>3143</v>
      </c>
      <c r="J1641" s="9" t="s">
        <v>3144</v>
      </c>
      <c r="K1641" s="5" t="s">
        <v>15173</v>
      </c>
      <c r="L1641" s="13">
        <v>16810</v>
      </c>
      <c r="M1641" t="str">
        <f>VLOOKUP(L1641,[1]DevMouse!$B$2:$C$2693,2,FALSE)</f>
        <v>is</v>
      </c>
    </row>
    <row r="1642" spans="2:13" x14ac:dyDescent="0.25">
      <c r="B1642" s="37" t="s">
        <v>25743</v>
      </c>
      <c r="C1642" s="20"/>
      <c r="D1642" s="25" t="s">
        <v>3146</v>
      </c>
      <c r="E1642" s="25"/>
      <c r="F1642" s="9" t="str">
        <f>HYPERLINK("https://www.ebi.ac.uk/ols/ontologies/uberon/terms?iri=http://purl.obolibrary.org/obo/UBERON_0002152","middle cerebellar peduncle")</f>
        <v>middle cerebellar peduncle</v>
      </c>
      <c r="G1642" s="9" t="s">
        <v>3145</v>
      </c>
      <c r="H1642" s="9" t="s">
        <v>18470</v>
      </c>
      <c r="I1642" s="9" t="s">
        <v>3146</v>
      </c>
      <c r="J1642" s="9" t="s">
        <v>3147</v>
      </c>
      <c r="K1642" s="4" t="s">
        <v>15175</v>
      </c>
      <c r="L1642" s="13">
        <v>12768</v>
      </c>
      <c r="M1642" t="str">
        <f>VLOOKUP(L1642,[1]Human_BrainSpan!$B$2:$C$4000,2,FALSE)</f>
        <v>mcp</v>
      </c>
    </row>
    <row r="1643" spans="2:13" x14ac:dyDescent="0.25">
      <c r="B1643" s="37" t="s">
        <v>25743</v>
      </c>
      <c r="C1643" s="20"/>
      <c r="D1643" s="25" t="s">
        <v>3146</v>
      </c>
      <c r="E1643" s="25"/>
      <c r="F1643" s="9" t="str">
        <f>HYPERLINK("https://www.ebi.ac.uk/ols/ontologies/uberon/terms?iri=http://purl.obolibrary.org/obo/UBERON_0002152","middle cerebellar peduncle")</f>
        <v>middle cerebellar peduncle</v>
      </c>
      <c r="G1643" s="9" t="s">
        <v>3145</v>
      </c>
      <c r="H1643" s="9" t="s">
        <v>18470</v>
      </c>
      <c r="I1643" s="9" t="s">
        <v>3148</v>
      </c>
      <c r="J1643" s="9" t="s">
        <v>3149</v>
      </c>
      <c r="K1643" s="7" t="s">
        <v>15171</v>
      </c>
      <c r="L1643" s="13">
        <v>9294</v>
      </c>
      <c r="M1643" t="str">
        <f>VLOOKUP(L1643,[1]HBA!$B$2:$C$4000,2,FALSE)</f>
        <v>mcp</v>
      </c>
    </row>
    <row r="1644" spans="2:13" x14ac:dyDescent="0.25">
      <c r="B1644" s="37" t="s">
        <v>25743</v>
      </c>
      <c r="C1644" s="20"/>
      <c r="D1644" s="25" t="s">
        <v>3146</v>
      </c>
      <c r="E1644" s="25"/>
      <c r="F1644" s="9" t="str">
        <f>HYPERLINK("https://www.ebi.ac.uk/ols/ontologies/uberon/terms?iri=http://purl.obolibrary.org/obo/UBERON_0002152","middle cerebellar peduncle")</f>
        <v>middle cerebellar peduncle</v>
      </c>
      <c r="G1644" s="9" t="s">
        <v>3145</v>
      </c>
      <c r="H1644" s="9" t="s">
        <v>18470</v>
      </c>
      <c r="I1644" s="9" t="s">
        <v>3146</v>
      </c>
      <c r="J1644" s="9" t="s">
        <v>3150</v>
      </c>
      <c r="K1644" s="3" t="s">
        <v>15176</v>
      </c>
      <c r="L1644" s="13">
        <v>78</v>
      </c>
      <c r="M1644" t="str">
        <f>VLOOKUP(L1644,[1]Mouse_ARA!$B$2:$C$1328,2,FALSE)</f>
        <v>mcp</v>
      </c>
    </row>
    <row r="1645" spans="2:13" x14ac:dyDescent="0.25">
      <c r="B1645" s="31" t="s">
        <v>25743</v>
      </c>
      <c r="C1645" s="20"/>
      <c r="D1645" s="25" t="s">
        <v>3152</v>
      </c>
      <c r="E1645" s="25"/>
      <c r="F1645" s="9" t="str">
        <f>HYPERLINK("https://www.ebi.ac.uk/ols/ontologies/uberon/terms?iri=http://purl.obolibrary.org/obo/UBERON_0002702","middle frontal gyrus")</f>
        <v>middle frontal gyrus</v>
      </c>
      <c r="G1645" s="9" t="s">
        <v>3151</v>
      </c>
      <c r="H1645" s="9" t="s">
        <v>23794</v>
      </c>
      <c r="I1645" s="9" t="s">
        <v>3152</v>
      </c>
      <c r="J1645" s="9" t="s">
        <v>3153</v>
      </c>
      <c r="K1645" s="4" t="s">
        <v>15175</v>
      </c>
      <c r="L1645" s="13">
        <v>12116</v>
      </c>
      <c r="M1645" t="str">
        <f>VLOOKUP(L1645,[1]Human_BrainSpan!$B$2:$C$4000,2,FALSE)</f>
        <v>MFG</v>
      </c>
    </row>
    <row r="1646" spans="2:13" x14ac:dyDescent="0.25">
      <c r="B1646" s="31" t="s">
        <v>25743</v>
      </c>
      <c r="C1646" s="20"/>
      <c r="D1646" s="25" t="s">
        <v>3152</v>
      </c>
      <c r="E1646" s="25"/>
      <c r="F1646" s="9" t="str">
        <f>HYPERLINK("https://www.ebi.ac.uk/ols/ontologies/uberon/terms?iri=http://purl.obolibrary.org/obo/UBERON_0002702","middle frontal gyrus")</f>
        <v>middle frontal gyrus</v>
      </c>
      <c r="G1646" s="9" t="s">
        <v>3151</v>
      </c>
      <c r="H1646" s="9" t="s">
        <v>23794</v>
      </c>
      <c r="I1646" s="9" t="s">
        <v>3152</v>
      </c>
      <c r="J1646" s="9" t="s">
        <v>3154</v>
      </c>
      <c r="K1646" s="7" t="s">
        <v>15171</v>
      </c>
      <c r="L1646" s="13">
        <v>4028</v>
      </c>
      <c r="M1646" t="str">
        <f>VLOOKUP(L1646,[1]HBA!$B$2:$C$4000,2,FALSE)</f>
        <v>MFG</v>
      </c>
    </row>
    <row r="1647" spans="2:13" x14ac:dyDescent="0.25">
      <c r="B1647" s="31" t="s">
        <v>25743</v>
      </c>
      <c r="C1647" s="20"/>
      <c r="D1647" s="25" t="s">
        <v>26043</v>
      </c>
      <c r="E1647" s="25"/>
      <c r="F1647" s="9" t="str">
        <f>HYPERLINK("https://www.ebi.ac.uk/ols/ontologies/uberon/terms?iri=http://purl.obolibrary.org/obo/UBERON_0014618","middle frontal sulcus")</f>
        <v>middle frontal sulcus</v>
      </c>
      <c r="G1647" s="9" t="s">
        <v>3155</v>
      </c>
      <c r="H1647" s="9" t="s">
        <v>23751</v>
      </c>
      <c r="I1647" s="9" t="s">
        <v>3156</v>
      </c>
      <c r="J1647" s="9" t="s">
        <v>3157</v>
      </c>
      <c r="K1647" s="4" t="s">
        <v>15175</v>
      </c>
      <c r="L1647" s="13">
        <v>146034816</v>
      </c>
      <c r="M1647" t="str">
        <f>VLOOKUP(L1647,[1]Human_BrainSpan!$B$2:$C$4000,2,FALSE)</f>
        <v>mfs</v>
      </c>
    </row>
    <row r="1648" spans="2:13" x14ac:dyDescent="0.25">
      <c r="B1648" s="31" t="s">
        <v>25743</v>
      </c>
      <c r="C1648" s="20"/>
      <c r="D1648" s="25" t="s">
        <v>26043</v>
      </c>
      <c r="E1648" s="25"/>
      <c r="F1648" s="9" t="str">
        <f>HYPERLINK("https://www.ebi.ac.uk/ols/ontologies/uberon/terms?iri=http://purl.obolibrary.org/obo/UBERON_0014618","middle frontal sulcus")</f>
        <v>middle frontal sulcus</v>
      </c>
      <c r="G1648" s="9" t="s">
        <v>3155</v>
      </c>
      <c r="H1648" s="9" t="s">
        <v>23751</v>
      </c>
      <c r="I1648" s="9" t="s">
        <v>3156</v>
      </c>
      <c r="J1648" s="9" t="s">
        <v>3158</v>
      </c>
      <c r="K1648" s="7" t="s">
        <v>15171</v>
      </c>
      <c r="L1648" s="13">
        <v>9359</v>
      </c>
      <c r="M1648" t="str">
        <f>VLOOKUP(L1648,[1]HBA!$B$2:$C$4000,2,FALSE)</f>
        <v>mfs</v>
      </c>
    </row>
    <row r="1649" spans="2:13" x14ac:dyDescent="0.25">
      <c r="B1649" s="31" t="s">
        <v>25743</v>
      </c>
      <c r="C1649" s="20"/>
      <c r="D1649" s="25" t="s">
        <v>26044</v>
      </c>
      <c r="E1649" s="25"/>
      <c r="F1649" s="9" t="str">
        <f>HYPERLINK("https://www.ebi.ac.uk/ols/ontologies/uberon/terms?iri=http://purl.obolibrary.org/obo/UBERON_0006788","middle gray layer of superior colliculus")</f>
        <v>middle gray layer of superior colliculus</v>
      </c>
      <c r="G1649" s="9" t="s">
        <v>3159</v>
      </c>
      <c r="H1649" s="9" t="s">
        <v>24060</v>
      </c>
      <c r="I1649" s="9" t="s">
        <v>3160</v>
      </c>
      <c r="J1649" s="9" t="s">
        <v>3161</v>
      </c>
      <c r="K1649" s="4" t="s">
        <v>15175</v>
      </c>
      <c r="L1649" s="13">
        <v>12299</v>
      </c>
      <c r="M1649" t="str">
        <f>VLOOKUP(L1649,[1]Human_BrainSpan!$B$2:$C$4000,2,FALSE)</f>
        <v>SCIg</v>
      </c>
    </row>
    <row r="1650" spans="2:13" x14ac:dyDescent="0.25">
      <c r="B1650" s="31" t="s">
        <v>25743</v>
      </c>
      <c r="C1650" s="20"/>
      <c r="D1650" s="25" t="s">
        <v>26044</v>
      </c>
      <c r="E1650" s="25"/>
      <c r="F1650" s="9" t="str">
        <f>HYPERLINK("https://www.ebi.ac.uk/ols/ontologies/uberon/terms?iri=http://purl.obolibrary.org/obo/UBERON_0006788","middle gray layer of superior colliculus")</f>
        <v>middle gray layer of superior colliculus</v>
      </c>
      <c r="G1650" s="9" t="s">
        <v>3159</v>
      </c>
      <c r="H1650" s="9" t="s">
        <v>25215</v>
      </c>
      <c r="I1650" s="9" t="s">
        <v>3162</v>
      </c>
      <c r="J1650" s="9" t="s">
        <v>3163</v>
      </c>
      <c r="K1650" s="7" t="s">
        <v>15171</v>
      </c>
      <c r="L1650" s="13">
        <v>9119</v>
      </c>
      <c r="M1650" t="str">
        <f>VLOOKUP(L1650,[1]HBA!$B$2:$C$4000,2,FALSE)</f>
        <v>MGr</v>
      </c>
    </row>
    <row r="1651" spans="2:13" x14ac:dyDescent="0.25">
      <c r="B1651" s="31" t="s">
        <v>25743</v>
      </c>
      <c r="C1651" s="20"/>
      <c r="D1651" s="25" t="s">
        <v>3165</v>
      </c>
      <c r="E1651" s="25"/>
      <c r="F1651" s="9" t="str">
        <f>HYPERLINK("https://www.ebi.ac.uk/ols/ontologies/uberon/terms?iri=http://purl.obolibrary.org/obo/UBERON_0002771","middle temporal gyrus")</f>
        <v>middle temporal gyrus</v>
      </c>
      <c r="G1651" s="9" t="s">
        <v>3164</v>
      </c>
      <c r="H1651" s="9" t="s">
        <v>23824</v>
      </c>
      <c r="I1651" s="9" t="s">
        <v>3165</v>
      </c>
      <c r="J1651" s="9" t="s">
        <v>3166</v>
      </c>
      <c r="K1651" s="4" t="s">
        <v>15175</v>
      </c>
      <c r="L1651" s="13">
        <v>12141</v>
      </c>
      <c r="M1651" t="str">
        <f>VLOOKUP(L1651,[1]Human_BrainSpan!$B$2:$C$4000,2,FALSE)</f>
        <v>MTG</v>
      </c>
    </row>
    <row r="1652" spans="2:13" x14ac:dyDescent="0.25">
      <c r="B1652" s="31" t="s">
        <v>25743</v>
      </c>
      <c r="C1652" s="20"/>
      <c r="D1652" s="25" t="s">
        <v>3165</v>
      </c>
      <c r="E1652" s="25"/>
      <c r="F1652" s="9" t="str">
        <f>HYPERLINK("https://www.ebi.ac.uk/ols/ontologies/uberon/terms?iri=http://purl.obolibrary.org/obo/UBERON_0002771","middle temporal gyrus")</f>
        <v>middle temporal gyrus</v>
      </c>
      <c r="G1652" s="9" t="s">
        <v>3164</v>
      </c>
      <c r="H1652" s="9" t="s">
        <v>23824</v>
      </c>
      <c r="I1652" s="9" t="s">
        <v>3165</v>
      </c>
      <c r="J1652" s="9" t="s">
        <v>3167</v>
      </c>
      <c r="K1652" s="7" t="s">
        <v>15171</v>
      </c>
      <c r="L1652" s="13">
        <v>4140</v>
      </c>
      <c r="M1652" t="str">
        <f>VLOOKUP(L1652,[1]HBA!$B$2:$C$4000,2,FALSE)</f>
        <v>MTG</v>
      </c>
    </row>
    <row r="1653" spans="2:13" x14ac:dyDescent="0.25">
      <c r="B1653" s="31" t="s">
        <v>25743</v>
      </c>
      <c r="C1653" s="20"/>
      <c r="D1653" s="25" t="s">
        <v>3169</v>
      </c>
      <c r="E1653" s="25"/>
      <c r="F1653" s="9" t="str">
        <f>HYPERLINK("https://www.ebi.ac.uk/ols/ontologies/uberon/terms?iri=http://purl.obolibrary.org/obo/UBERON_0014689","middle temporal sulcus")</f>
        <v>middle temporal sulcus</v>
      </c>
      <c r="G1653" s="9" t="s">
        <v>3168</v>
      </c>
      <c r="H1653" s="9" t="s">
        <v>25549</v>
      </c>
      <c r="I1653" s="9" t="s">
        <v>3169</v>
      </c>
      <c r="J1653" s="9" t="s">
        <v>3170</v>
      </c>
      <c r="K1653" s="7" t="s">
        <v>15171</v>
      </c>
      <c r="L1653" s="13">
        <v>10150</v>
      </c>
      <c r="M1653" t="str">
        <f>VLOOKUP(L1653,[1]HBA!$B$2:$C$4000,2,FALSE)</f>
        <v>mts</v>
      </c>
    </row>
    <row r="1654" spans="2:13" x14ac:dyDescent="0.25">
      <c r="B1654" s="31" t="s">
        <v>25743</v>
      </c>
      <c r="C1654" s="20"/>
      <c r="D1654" s="25" t="s">
        <v>26045</v>
      </c>
      <c r="E1654" s="25"/>
      <c r="F1654" s="9" t="str">
        <f>HYPERLINK("https://www.ebi.ac.uk/ols/ontologies/uberon/terms?iri=http://purl.obolibrary.org/obo/UBERON_0006787","middle white layer of superior colliculus")</f>
        <v>middle white layer of superior colliculus</v>
      </c>
      <c r="G1654" s="9" t="s">
        <v>3171</v>
      </c>
      <c r="H1654" s="9" t="s">
        <v>24061</v>
      </c>
      <c r="I1654" s="9" t="s">
        <v>3172</v>
      </c>
      <c r="J1654" s="9" t="s">
        <v>3173</v>
      </c>
      <c r="K1654" s="4" t="s">
        <v>15175</v>
      </c>
      <c r="L1654" s="13">
        <v>12300</v>
      </c>
      <c r="M1654" t="str">
        <f>VLOOKUP(L1654,[1]Human_BrainSpan!$B$2:$C$4000,2,FALSE)</f>
        <v>SCIw</v>
      </c>
    </row>
    <row r="1655" spans="2:13" x14ac:dyDescent="0.25">
      <c r="B1655" s="31" t="s">
        <v>25743</v>
      </c>
      <c r="C1655" s="20"/>
      <c r="D1655" s="25" t="s">
        <v>26045</v>
      </c>
      <c r="E1655" s="25"/>
      <c r="F1655" s="9" t="str">
        <f>HYPERLINK("https://www.ebi.ac.uk/ols/ontologies/uberon/terms?iri=http://purl.obolibrary.org/obo/UBERON_0006787","middle white layer of superior colliculus")</f>
        <v>middle white layer of superior colliculus</v>
      </c>
      <c r="G1655" s="9" t="s">
        <v>3171</v>
      </c>
      <c r="H1655" s="9" t="s">
        <v>25216</v>
      </c>
      <c r="I1655" s="9" t="s">
        <v>3174</v>
      </c>
      <c r="J1655" s="9" t="s">
        <v>3175</v>
      </c>
      <c r="K1655" s="7" t="s">
        <v>15171</v>
      </c>
      <c r="L1655" s="13">
        <v>9120</v>
      </c>
      <c r="M1655" t="str">
        <f>VLOOKUP(L1655,[1]HBA!$B$2:$C$4000,2,FALSE)</f>
        <v>MWh</v>
      </c>
    </row>
    <row r="1656" spans="2:13" x14ac:dyDescent="0.25">
      <c r="B1656" s="31" t="s">
        <v>25743</v>
      </c>
      <c r="C1656" s="20"/>
      <c r="D1656" s="25" t="s">
        <v>26046</v>
      </c>
      <c r="E1656" s="25"/>
      <c r="F1656" s="9" t="str">
        <f>HYPERLINK("https://www.ebi.ac.uk/ols/ontologies/uberon/terms?iri=http://purl.obolibrary.org/obo/UBERON_0002705","midline nuclear group")</f>
        <v>midline nuclear group</v>
      </c>
      <c r="G1656" s="9" t="s">
        <v>3176</v>
      </c>
      <c r="H1656" s="9" t="s">
        <v>19956</v>
      </c>
      <c r="I1656" s="9" t="s">
        <v>800</v>
      </c>
      <c r="J1656" s="9" t="s">
        <v>801</v>
      </c>
      <c r="K1656" s="3" t="s">
        <v>15176</v>
      </c>
      <c r="L1656" s="13">
        <v>571</v>
      </c>
      <c r="M1656" t="str">
        <f>VLOOKUP(L1656,[1]Mouse_ARA!$B$2:$C$1328,2,FALSE)</f>
        <v>MTN</v>
      </c>
    </row>
    <row r="1657" spans="2:13" x14ac:dyDescent="0.25">
      <c r="B1657" s="37" t="s">
        <v>25743</v>
      </c>
      <c r="C1657" s="20"/>
      <c r="D1657" s="25" t="s">
        <v>26047</v>
      </c>
      <c r="E1657" s="25"/>
      <c r="F1657" s="9" t="str">
        <f>HYPERLINK("https://www.ebi.ac.uk/ols/ontologies/uberon/terms?iri=http://purl.obolibrary.org/obo/UBERON_0002974","molecular layer of cerebellar cortex")</f>
        <v>molecular layer of cerebellar cortex</v>
      </c>
      <c r="G1657" s="9" t="s">
        <v>3177</v>
      </c>
      <c r="H1657" s="9" t="s">
        <v>20552</v>
      </c>
      <c r="I1657" s="9" t="s">
        <v>3178</v>
      </c>
      <c r="J1657" s="9" t="s">
        <v>3179</v>
      </c>
      <c r="K1657" s="3" t="s">
        <v>15176</v>
      </c>
      <c r="L1657" s="13">
        <v>1144</v>
      </c>
      <c r="M1657" t="str">
        <f>VLOOKUP(L1657,[1]Mouse_ARA!$B$2:$C$1328,2,FALSE)</f>
        <v>CBXmo</v>
      </c>
    </row>
    <row r="1658" spans="2:13" x14ac:dyDescent="0.25">
      <c r="B1658" s="31" t="s">
        <v>25743</v>
      </c>
      <c r="C1658" s="20"/>
      <c r="D1658" s="25" t="s">
        <v>3181</v>
      </c>
      <c r="E1658" s="25"/>
      <c r="F1658" s="9" t="str">
        <f>HYPERLINK("https://www.ebi.ac.uk/ols/ontologies/uberon/terms?iri=http://purl.obolibrary.org/obo/UBERON_0002633","motor nucleus of trigeminal nerve")</f>
        <v>motor nucleus of trigeminal nerve</v>
      </c>
      <c r="G1658" s="9" t="s">
        <v>3180</v>
      </c>
      <c r="H1658" s="9" t="s">
        <v>24275</v>
      </c>
      <c r="I1658" s="9" t="s">
        <v>3181</v>
      </c>
      <c r="J1658" s="9" t="s">
        <v>3182</v>
      </c>
      <c r="K1658" s="4" t="s">
        <v>15175</v>
      </c>
      <c r="L1658" s="13">
        <v>12429</v>
      </c>
      <c r="M1658" t="str">
        <f>VLOOKUP(L1658,[1]Human_BrainSpan!$B$2:$C$4000,2,FALSE)</f>
        <v>Mo5</v>
      </c>
    </row>
    <row r="1659" spans="2:13" x14ac:dyDescent="0.25">
      <c r="B1659" s="31" t="s">
        <v>25743</v>
      </c>
      <c r="C1659" s="20"/>
      <c r="D1659" s="25" t="s">
        <v>3181</v>
      </c>
      <c r="E1659" s="25"/>
      <c r="F1659" s="9" t="str">
        <f>HYPERLINK("https://www.ebi.ac.uk/ols/ontologies/uberon/terms?iri=http://purl.obolibrary.org/obo/UBERON_0002633","motor nucleus of trigeminal nerve")</f>
        <v>motor nucleus of trigeminal nerve</v>
      </c>
      <c r="G1659" s="9" t="s">
        <v>3180</v>
      </c>
      <c r="H1659" s="9" t="s">
        <v>24275</v>
      </c>
      <c r="I1659" s="9" t="s">
        <v>3183</v>
      </c>
      <c r="J1659" s="9" t="s">
        <v>3184</v>
      </c>
      <c r="K1659" s="7" t="s">
        <v>15171</v>
      </c>
      <c r="L1659" s="13">
        <v>9206</v>
      </c>
      <c r="M1659" t="str">
        <f>VLOOKUP(L1659,[1]HBA!$B$2:$C$4000,2,FALSE)</f>
        <v>Mo5</v>
      </c>
    </row>
    <row r="1660" spans="2:13" x14ac:dyDescent="0.25">
      <c r="B1660" s="31" t="s">
        <v>25743</v>
      </c>
      <c r="C1660" s="20"/>
      <c r="D1660" s="25" t="s">
        <v>3181</v>
      </c>
      <c r="E1660" s="25"/>
      <c r="F1660" s="9" t="str">
        <f>HYPERLINK("https://www.ebi.ac.uk/ols/ontologies/uberon/terms?iri=http://purl.obolibrary.org/obo/UBERON_0002633","motor nucleus of trigeminal nerve")</f>
        <v>motor nucleus of trigeminal nerve</v>
      </c>
      <c r="G1660" s="9" t="s">
        <v>3180</v>
      </c>
      <c r="H1660" s="9" t="s">
        <v>1093</v>
      </c>
      <c r="I1660" s="9" t="s">
        <v>3185</v>
      </c>
      <c r="J1660" s="9" t="s">
        <v>3186</v>
      </c>
      <c r="K1660" s="3" t="s">
        <v>15176</v>
      </c>
      <c r="L1660" s="13">
        <v>621</v>
      </c>
      <c r="M1660" t="str">
        <f>VLOOKUP(L1660,[1]Mouse_ARA!$B$2:$C$1328,2,FALSE)</f>
        <v>V</v>
      </c>
    </row>
    <row r="1661" spans="2:13" x14ac:dyDescent="0.25">
      <c r="B1661" s="31" t="s">
        <v>25743</v>
      </c>
      <c r="C1661" s="20"/>
      <c r="D1661" s="25" t="s">
        <v>3188</v>
      </c>
      <c r="E1661" s="25"/>
      <c r="F1661" s="9" t="str">
        <f>HYPERLINK("https://www.ebi.ac.uk/ols/ontologies/uberon/terms?iri=http://purl.obolibrary.org/obo/UBERON_0010287","motor root of facial nerve")</f>
        <v>motor root of facial nerve</v>
      </c>
      <c r="G1661" s="9" t="s">
        <v>3187</v>
      </c>
      <c r="H1661" s="9" t="s">
        <v>24700</v>
      </c>
      <c r="I1661" s="9" t="s">
        <v>3188</v>
      </c>
      <c r="J1661" s="9" t="s">
        <v>3189</v>
      </c>
      <c r="K1661" s="4" t="s">
        <v>15175</v>
      </c>
      <c r="L1661" s="13">
        <v>12863</v>
      </c>
      <c r="M1661" t="str">
        <f>VLOOKUP(L1661,[1]Human_BrainSpan!$B$2:$C$4000,2,FALSE)</f>
        <v>r7m</v>
      </c>
    </row>
    <row r="1662" spans="2:13" x14ac:dyDescent="0.25">
      <c r="B1662" s="31" t="s">
        <v>25743</v>
      </c>
      <c r="C1662" s="20"/>
      <c r="D1662" s="25" t="s">
        <v>3191</v>
      </c>
      <c r="E1662" s="25"/>
      <c r="F1662" s="9" t="str">
        <f>HYPERLINK("https://www.ebi.ac.uk/ols/ontologies/uberon/terms?iri=http://purl.obolibrary.org/obo/UBERON_0002796","motor root of trigeminal nerve")</f>
        <v>motor root of trigeminal nerve</v>
      </c>
      <c r="G1662" s="9" t="s">
        <v>3190</v>
      </c>
      <c r="H1662" s="9" t="s">
        <v>24702</v>
      </c>
      <c r="I1662" s="9" t="s">
        <v>3191</v>
      </c>
      <c r="J1662" s="9" t="s">
        <v>3192</v>
      </c>
      <c r="K1662" s="4" t="s">
        <v>15175</v>
      </c>
      <c r="L1662" s="13">
        <v>12866</v>
      </c>
      <c r="M1662" t="str">
        <f>VLOOKUP(L1662,[1]Human_BrainSpan!$B$2:$C$4000,2,FALSE)</f>
        <v>r5m</v>
      </c>
    </row>
    <row r="1663" spans="2:13" x14ac:dyDescent="0.25">
      <c r="B1663" s="31" t="s">
        <v>25743</v>
      </c>
      <c r="C1663" s="20"/>
      <c r="D1663" s="25" t="s">
        <v>3191</v>
      </c>
      <c r="E1663" s="25"/>
      <c r="F1663" s="9" t="str">
        <f>HYPERLINK("https://www.ebi.ac.uk/ols/ontologies/uberon/terms?iri=http://purl.obolibrary.org/obo/UBERON_0002796","motor root of trigeminal nerve")</f>
        <v>motor root of trigeminal nerve</v>
      </c>
      <c r="G1663" s="9" t="s">
        <v>3190</v>
      </c>
      <c r="H1663" s="9" t="s">
        <v>20745</v>
      </c>
      <c r="I1663" s="9" t="s">
        <v>3193</v>
      </c>
      <c r="J1663" s="9" t="s">
        <v>3194</v>
      </c>
      <c r="K1663" s="3" t="s">
        <v>15176</v>
      </c>
      <c r="L1663" s="13">
        <v>93</v>
      </c>
      <c r="M1663" t="str">
        <f>VLOOKUP(L1663,[1]Mouse_ARA!$B$2:$C$1328,2,FALSE)</f>
        <v>moV</v>
      </c>
    </row>
    <row r="1664" spans="2:13" x14ac:dyDescent="0.25">
      <c r="B1664" s="31" t="s">
        <v>25743</v>
      </c>
      <c r="C1664" s="20"/>
      <c r="D1664" s="25" t="s">
        <v>3198</v>
      </c>
      <c r="E1664" s="25"/>
      <c r="F1664" s="9" t="str">
        <f>HYPERLINK("https://www.ebi.ac.uk/ols/ontologies/uberon/terms?iri=http://purl.obolibrary.org/obo/UBERON_0005290","myelencephalon")</f>
        <v>myelencephalon</v>
      </c>
      <c r="G1664" s="9" t="s">
        <v>3195</v>
      </c>
      <c r="H1664" s="9" t="s">
        <v>24365</v>
      </c>
      <c r="I1664" s="9" t="s">
        <v>3196</v>
      </c>
      <c r="J1664" s="9" t="s">
        <v>3197</v>
      </c>
      <c r="K1664" s="4" t="s">
        <v>15175</v>
      </c>
      <c r="L1664" s="13">
        <v>10662</v>
      </c>
      <c r="M1664" t="str">
        <f>VLOOKUP(L1664,[1]Human_BrainSpan!$B$2:$C$4000,2,FALSE)</f>
        <v>Mo</v>
      </c>
    </row>
    <row r="1665" spans="2:13" x14ac:dyDescent="0.25">
      <c r="B1665" s="31" t="s">
        <v>25743</v>
      </c>
      <c r="C1665" s="20"/>
      <c r="D1665" s="25" t="s">
        <v>3198</v>
      </c>
      <c r="E1665" s="25"/>
      <c r="F1665" s="9" t="str">
        <f>HYPERLINK("https://www.ebi.ac.uk/ols/ontologies/uberon/terms?iri=http://purl.obolibrary.org/obo/UBERON_0005290","myelencephalon")</f>
        <v>myelencephalon</v>
      </c>
      <c r="G1665" s="9" t="s">
        <v>3195</v>
      </c>
      <c r="H1665" s="9" t="s">
        <v>20391</v>
      </c>
      <c r="I1665" s="9" t="s">
        <v>3198</v>
      </c>
      <c r="J1665" s="9" t="s">
        <v>3199</v>
      </c>
      <c r="K1665" s="7" t="s">
        <v>15171</v>
      </c>
      <c r="L1665" s="13">
        <v>9512</v>
      </c>
      <c r="M1665" t="str">
        <f>VLOOKUP(L1665,[1]HBA!$B$2:$C$4000,2,FALSE)</f>
        <v>MY</v>
      </c>
    </row>
    <row r="1666" spans="2:13" x14ac:dyDescent="0.25">
      <c r="B1666" s="31" t="s">
        <v>25743</v>
      </c>
      <c r="C1666" s="20"/>
      <c r="D1666" s="25" t="s">
        <v>3205</v>
      </c>
      <c r="E1666" s="25"/>
      <c r="F1666" s="9" t="str">
        <f>HYPERLINK("https://www.ebi.ac.uk/ols/ontologies/uberon/terms?iri=http://purl.obolibrary.org/obo/UBERON_0001950","neocortex")</f>
        <v>neocortex</v>
      </c>
      <c r="G1666" s="9" t="s">
        <v>3200</v>
      </c>
      <c r="H1666" s="9" t="s">
        <v>22078</v>
      </c>
      <c r="I1666" s="9" t="s">
        <v>3201</v>
      </c>
      <c r="J1666" s="9" t="s">
        <v>3202</v>
      </c>
      <c r="K1666" s="4" t="s">
        <v>15175</v>
      </c>
      <c r="L1666" s="13">
        <v>10160</v>
      </c>
      <c r="M1666" t="str">
        <f>VLOOKUP(L1666,[1]Human_BrainSpan!$B$2:$C$4000,2,FALSE)</f>
        <v>NCx</v>
      </c>
    </row>
    <row r="1667" spans="2:13" x14ac:dyDescent="0.25">
      <c r="B1667" s="31" t="s">
        <v>25743</v>
      </c>
      <c r="C1667" s="20"/>
      <c r="D1667" s="25" t="s">
        <v>3205</v>
      </c>
      <c r="E1667" s="25"/>
      <c r="F1667" s="9" t="str">
        <f>HYPERLINK("https://www.ebi.ac.uk/ols/ontologies/uberon/terms?iri=http://purl.obolibrary.org/obo/UBERON_0001950","neocortex")</f>
        <v>neocortex</v>
      </c>
      <c r="G1667" s="9" t="s">
        <v>3200</v>
      </c>
      <c r="H1667" s="9" t="s">
        <v>18654</v>
      </c>
      <c r="I1667" s="9" t="s">
        <v>3203</v>
      </c>
      <c r="J1667" s="9" t="s">
        <v>3204</v>
      </c>
      <c r="K1667" s="3" t="s">
        <v>15176</v>
      </c>
      <c r="L1667" s="13">
        <v>315</v>
      </c>
      <c r="M1667" t="str">
        <f>VLOOKUP(L1667,[1]Mouse_ARA!$B$2:$C$1328,2,FALSE)</f>
        <v>Isocortex</v>
      </c>
    </row>
    <row r="1668" spans="2:13" x14ac:dyDescent="0.25">
      <c r="B1668" s="31" t="s">
        <v>25743</v>
      </c>
      <c r="C1668" s="20"/>
      <c r="D1668" s="25" t="s">
        <v>3205</v>
      </c>
      <c r="E1668" s="25"/>
      <c r="F1668" s="9" t="str">
        <f>HYPERLINK("https://www.ebi.ac.uk/ols/ontologies/uberon/terms?iri=http://purl.obolibrary.org/obo/UBERON_0001950","neocortex")</f>
        <v>neocortex</v>
      </c>
      <c r="G1668" s="9" t="s">
        <v>3200</v>
      </c>
      <c r="H1668" s="9" t="s">
        <v>22078</v>
      </c>
      <c r="I1668" s="9" t="s">
        <v>3205</v>
      </c>
      <c r="J1668" s="9" t="s">
        <v>3206</v>
      </c>
      <c r="K1668" s="6" t="s">
        <v>15174</v>
      </c>
      <c r="L1668" s="13">
        <v>294021746</v>
      </c>
      <c r="M1668" t="str">
        <f>VLOOKUP(L1668,[1]NonHumanPrimate!$B$2:$C$4000,2,FALSE)</f>
        <v>NCx</v>
      </c>
    </row>
    <row r="1669" spans="2:13" x14ac:dyDescent="0.25">
      <c r="B1669" s="31" t="s">
        <v>25743</v>
      </c>
      <c r="C1669" s="20"/>
      <c r="D1669" s="25" t="s">
        <v>26048</v>
      </c>
      <c r="E1669" s="25"/>
      <c r="F1669" s="9" t="str">
        <f>HYPERLINK("https://www.ebi.ac.uk/ols/ontologies/uberon/terms?iri=http://purl.obolibrary.org/obo/UBERON_0001793","nerve fiber layer of retina")</f>
        <v>nerve fiber layer of retina</v>
      </c>
      <c r="G1669" s="9" t="s">
        <v>3207</v>
      </c>
      <c r="H1669" s="9" t="s">
        <v>15361</v>
      </c>
      <c r="I1669" s="9" t="s">
        <v>975</v>
      </c>
      <c r="J1669" s="9" t="s">
        <v>976</v>
      </c>
      <c r="K1669" s="5" t="s">
        <v>15173</v>
      </c>
      <c r="L1669" s="13">
        <v>15652</v>
      </c>
      <c r="M1669" t="str">
        <f>VLOOKUP(L1669,[1]DevMouse!$B$2:$C$2693,2,FALSE)</f>
        <v>OF</v>
      </c>
    </row>
    <row r="1670" spans="2:13" x14ac:dyDescent="0.25">
      <c r="B1670" s="31" t="s">
        <v>26303</v>
      </c>
      <c r="C1670" s="25" t="s">
        <v>25764</v>
      </c>
      <c r="D1670" s="25" t="s">
        <v>26049</v>
      </c>
      <c r="E1670" s="25"/>
      <c r="F1670" s="9" t="str">
        <f>HYPERLINK("https://www.ebi.ac.uk/ols/ontologies/uberon/terms?iri=http://purl.obolibrary.org/obo/UBERON_0011779","nerve of head region")</f>
        <v>nerve of head region</v>
      </c>
      <c r="G1670" s="9" t="s">
        <v>3208</v>
      </c>
      <c r="H1670" s="9" t="s">
        <v>25512</v>
      </c>
      <c r="I1670" s="9" t="s">
        <v>167</v>
      </c>
      <c r="J1670" s="9" t="s">
        <v>168</v>
      </c>
      <c r="K1670" s="7" t="s">
        <v>15171</v>
      </c>
      <c r="L1670" s="13">
        <v>9340</v>
      </c>
      <c r="M1670" t="str">
        <f>VLOOKUP(L1670,[1]HBA!$B$2:$C$4000,2,FALSE)</f>
        <v>11nf</v>
      </c>
    </row>
    <row r="1671" spans="2:13" x14ac:dyDescent="0.25">
      <c r="B1671" s="31" t="s">
        <v>26303</v>
      </c>
      <c r="C1671" s="25" t="s">
        <v>25764</v>
      </c>
      <c r="D1671" s="25" t="s">
        <v>26049</v>
      </c>
      <c r="E1671" s="25"/>
      <c r="F1671" s="9" t="str">
        <f>HYPERLINK("https://www.ebi.ac.uk/ols/ontologies/uberon/terms?iri=http://purl.obolibrary.org/obo/UBERON_0011779","nerve of head region")</f>
        <v>nerve of head region</v>
      </c>
      <c r="G1671" s="9" t="s">
        <v>3208</v>
      </c>
      <c r="H1671" s="9" t="s">
        <v>20763</v>
      </c>
      <c r="I1671" s="9" t="s">
        <v>169</v>
      </c>
      <c r="J1671" s="9" t="s">
        <v>170</v>
      </c>
      <c r="K1671" s="3" t="s">
        <v>15176</v>
      </c>
      <c r="L1671" s="13">
        <v>717</v>
      </c>
      <c r="M1671" t="str">
        <f>VLOOKUP(L1671,[1]Mouse_ARA!$B$2:$C$1328,2,FALSE)</f>
        <v>XIn</v>
      </c>
    </row>
    <row r="1672" spans="2:13" x14ac:dyDescent="0.25">
      <c r="B1672" s="31" t="s">
        <v>26303</v>
      </c>
      <c r="C1672" s="25" t="s">
        <v>26218</v>
      </c>
      <c r="D1672" s="25" t="s">
        <v>26050</v>
      </c>
      <c r="E1672" s="25"/>
      <c r="F1672" s="9" t="str">
        <f t="shared" ref="F1672:F1679" si="21">HYPERLINK("https://www.ebi.ac.uk/ols/ontologies/uberon/terms?iri=http://purl.obolibrary.org/obo/UBERON_0010313","neural crest-derived structure")</f>
        <v>neural crest-derived structure</v>
      </c>
      <c r="G1672" s="9" t="s">
        <v>3209</v>
      </c>
      <c r="H1672" s="9" t="s">
        <v>24701</v>
      </c>
      <c r="I1672" s="9" t="s">
        <v>3210</v>
      </c>
      <c r="J1672" s="9" t="s">
        <v>3211</v>
      </c>
      <c r="K1672" s="4" t="s">
        <v>15175</v>
      </c>
      <c r="L1672" s="13">
        <v>12864</v>
      </c>
      <c r="M1672" t="str">
        <f>VLOOKUP(L1672,[1]Human_BrainSpan!$B$2:$C$4000,2,FALSE)</f>
        <v>r7in</v>
      </c>
    </row>
    <row r="1673" spans="2:13" x14ac:dyDescent="0.25">
      <c r="B1673" s="31" t="s">
        <v>26303</v>
      </c>
      <c r="C1673" s="25" t="s">
        <v>3212</v>
      </c>
      <c r="D1673" s="25" t="s">
        <v>26050</v>
      </c>
      <c r="E1673" s="25"/>
      <c r="F1673" s="9" t="str">
        <f t="shared" si="21"/>
        <v>neural crest-derived structure</v>
      </c>
      <c r="G1673" s="9" t="s">
        <v>3209</v>
      </c>
      <c r="H1673" s="9" t="s">
        <v>24703</v>
      </c>
      <c r="I1673" s="9" t="s">
        <v>3212</v>
      </c>
      <c r="J1673" s="9" t="s">
        <v>3213</v>
      </c>
      <c r="K1673" s="4" t="s">
        <v>15175</v>
      </c>
      <c r="L1673" s="13">
        <v>12867</v>
      </c>
      <c r="M1673" t="str">
        <f>VLOOKUP(L1673,[1]Human_BrainSpan!$B$2:$C$4000,2,FALSE)</f>
        <v>r5s</v>
      </c>
    </row>
    <row r="1674" spans="2:13" x14ac:dyDescent="0.25">
      <c r="B1674" s="31" t="s">
        <v>26303</v>
      </c>
      <c r="C1674" s="25" t="s">
        <v>5001</v>
      </c>
      <c r="D1674" s="25" t="s">
        <v>26050</v>
      </c>
      <c r="E1674" s="25"/>
      <c r="F1674" s="9" t="str">
        <f t="shared" si="21"/>
        <v>neural crest-derived structure</v>
      </c>
      <c r="G1674" s="9" t="s">
        <v>3209</v>
      </c>
      <c r="H1674" s="9" t="s">
        <v>18500</v>
      </c>
      <c r="I1674" s="9" t="s">
        <v>3214</v>
      </c>
      <c r="J1674" s="9" t="s">
        <v>3215</v>
      </c>
      <c r="K1674" s="5" t="s">
        <v>15173</v>
      </c>
      <c r="L1674" s="13">
        <v>17797</v>
      </c>
      <c r="M1674" t="str">
        <f>VLOOKUP(L1674,[1]DevMouse!$B$2:$C$2693,2,FALSE)</f>
        <v>sp5</v>
      </c>
    </row>
    <row r="1675" spans="2:13" x14ac:dyDescent="0.25">
      <c r="B1675" s="31" t="s">
        <v>26303</v>
      </c>
      <c r="C1675" s="25" t="s">
        <v>26218</v>
      </c>
      <c r="D1675" s="25" t="s">
        <v>26050</v>
      </c>
      <c r="E1675" s="25"/>
      <c r="F1675" s="9" t="str">
        <f t="shared" si="21"/>
        <v>neural crest-derived structure</v>
      </c>
      <c r="G1675" s="9" t="s">
        <v>3209</v>
      </c>
      <c r="H1675" s="9" t="s">
        <v>20750</v>
      </c>
      <c r="I1675" s="9" t="s">
        <v>3216</v>
      </c>
      <c r="J1675" s="9" t="s">
        <v>3217</v>
      </c>
      <c r="K1675" s="3" t="s">
        <v>15176</v>
      </c>
      <c r="L1675" s="13">
        <v>1131</v>
      </c>
      <c r="M1675" t="str">
        <f>VLOOKUP(L1675,[1]Mouse_ARA!$B$2:$C$1328,2,FALSE)</f>
        <v>iVIIn</v>
      </c>
    </row>
    <row r="1676" spans="2:13" x14ac:dyDescent="0.25">
      <c r="B1676" s="31" t="s">
        <v>26303</v>
      </c>
      <c r="C1676" s="25" t="s">
        <v>3212</v>
      </c>
      <c r="D1676" s="25" t="s">
        <v>26050</v>
      </c>
      <c r="E1676" s="25"/>
      <c r="F1676" s="9" t="str">
        <f t="shared" si="21"/>
        <v>neural crest-derived structure</v>
      </c>
      <c r="G1676" s="9" t="s">
        <v>3209</v>
      </c>
      <c r="H1676" s="9" t="s">
        <v>20746</v>
      </c>
      <c r="I1676" s="9" t="s">
        <v>3218</v>
      </c>
      <c r="J1676" s="9" t="s">
        <v>3219</v>
      </c>
      <c r="K1676" s="3" t="s">
        <v>15176</v>
      </c>
      <c r="L1676" s="13">
        <v>229</v>
      </c>
      <c r="M1676" t="str">
        <f>VLOOKUP(L1676,[1]Mouse_ARA!$B$2:$C$1328,2,FALSE)</f>
        <v>sV</v>
      </c>
    </row>
    <row r="1677" spans="2:13" x14ac:dyDescent="0.25">
      <c r="B1677" s="31" t="s">
        <v>26303</v>
      </c>
      <c r="C1677" s="25" t="s">
        <v>26037</v>
      </c>
      <c r="D1677" s="25" t="s">
        <v>26050</v>
      </c>
      <c r="E1677" s="25"/>
      <c r="F1677" s="9" t="str">
        <f t="shared" si="21"/>
        <v>neural crest-derived structure</v>
      </c>
      <c r="G1677" s="9" t="s">
        <v>3209</v>
      </c>
      <c r="H1677" s="9" t="s">
        <v>20747</v>
      </c>
      <c r="I1677" s="9" t="s">
        <v>3083</v>
      </c>
      <c r="J1677" s="9" t="s">
        <v>3084</v>
      </c>
      <c r="K1677" s="3" t="s">
        <v>15176</v>
      </c>
      <c r="L1677" s="13">
        <v>705</v>
      </c>
      <c r="M1677" t="str">
        <f>VLOOKUP(L1677,[1]Mouse_ARA!$B$2:$C$1328,2,FALSE)</f>
        <v>mtV</v>
      </c>
    </row>
    <row r="1678" spans="2:13" x14ac:dyDescent="0.25">
      <c r="B1678" s="31" t="s">
        <v>26303</v>
      </c>
      <c r="C1678" s="25" t="s">
        <v>5001</v>
      </c>
      <c r="D1678" s="25" t="s">
        <v>26050</v>
      </c>
      <c r="E1678" s="25"/>
      <c r="F1678" s="9" t="str">
        <f t="shared" si="21"/>
        <v>neural crest-derived structure</v>
      </c>
      <c r="G1678" s="9" t="s">
        <v>3209</v>
      </c>
      <c r="H1678" s="9" t="s">
        <v>20748</v>
      </c>
      <c r="I1678" s="9" t="s">
        <v>3220</v>
      </c>
      <c r="J1678" s="9" t="s">
        <v>3221</v>
      </c>
      <c r="K1678" s="3" t="s">
        <v>15176</v>
      </c>
      <c r="L1678" s="13">
        <v>794</v>
      </c>
      <c r="M1678" t="str">
        <f>VLOOKUP(L1678,[1]Mouse_ARA!$B$2:$C$1328,2,FALSE)</f>
        <v>sptV</v>
      </c>
    </row>
    <row r="1679" spans="2:13" x14ac:dyDescent="0.25">
      <c r="B1679" s="31" t="s">
        <v>26303</v>
      </c>
      <c r="C1679" s="25" t="s">
        <v>3222</v>
      </c>
      <c r="D1679" s="25" t="s">
        <v>26050</v>
      </c>
      <c r="E1679" s="25"/>
      <c r="F1679" s="9" t="str">
        <f t="shared" si="21"/>
        <v>neural crest-derived structure</v>
      </c>
      <c r="G1679" s="9" t="s">
        <v>3209</v>
      </c>
      <c r="H1679" s="9" t="s">
        <v>20724</v>
      </c>
      <c r="I1679" s="9" t="s">
        <v>3222</v>
      </c>
      <c r="J1679" s="9" t="s">
        <v>3223</v>
      </c>
      <c r="K1679" s="3" t="s">
        <v>15176</v>
      </c>
      <c r="L1679" s="13">
        <v>885</v>
      </c>
      <c r="M1679" t="str">
        <f>VLOOKUP(L1679,[1]Mouse_ARA!$B$2:$C$1328,2,FALSE)</f>
        <v>tn</v>
      </c>
    </row>
    <row r="1680" spans="2:13" x14ac:dyDescent="0.25">
      <c r="B1680" s="31" t="s">
        <v>25743</v>
      </c>
      <c r="C1680" s="20"/>
      <c r="D1680" s="25" t="s">
        <v>3225</v>
      </c>
      <c r="E1680" s="25"/>
      <c r="F1680" s="9" t="str">
        <f>HYPERLINK("https://www.ebi.ac.uk/ols/ontologies/uberon/terms?iri=http://purl.obolibrary.org/obo/UBERON_0003075","neural plate")</f>
        <v>neural plate</v>
      </c>
      <c r="G1680" s="9" t="s">
        <v>3224</v>
      </c>
      <c r="H1680" s="9" t="s">
        <v>15191</v>
      </c>
      <c r="I1680" s="9" t="s">
        <v>3225</v>
      </c>
      <c r="J1680" s="9" t="s">
        <v>3226</v>
      </c>
      <c r="K1680" s="4" t="s">
        <v>15175</v>
      </c>
      <c r="L1680" s="13">
        <v>10153</v>
      </c>
      <c r="M1680" t="str">
        <f>VLOOKUP(L1680,[1]Human_BrainSpan!$B$2:$C$4000,2,FALSE)</f>
        <v>NP</v>
      </c>
    </row>
    <row r="1681" spans="2:13" x14ac:dyDescent="0.25">
      <c r="B1681" s="31" t="s">
        <v>25743</v>
      </c>
      <c r="C1681" s="20"/>
      <c r="D1681" s="25" t="s">
        <v>3225</v>
      </c>
      <c r="E1681" s="25"/>
      <c r="F1681" s="9" t="str">
        <f>HYPERLINK("https://www.ebi.ac.uk/ols/ontologies/uberon/terms?iri=http://purl.obolibrary.org/obo/UBERON_0003075","neural plate")</f>
        <v>neural plate</v>
      </c>
      <c r="G1681" s="9" t="s">
        <v>3224</v>
      </c>
      <c r="H1681" s="9" t="s">
        <v>15191</v>
      </c>
      <c r="I1681" s="9" t="s">
        <v>3225</v>
      </c>
      <c r="J1681" s="9" t="s">
        <v>3227</v>
      </c>
      <c r="K1681" s="5" t="s">
        <v>15173</v>
      </c>
      <c r="L1681" s="13">
        <v>15565</v>
      </c>
      <c r="M1681" t="str">
        <f>VLOOKUP(L1681,[1]DevMouse!$B$2:$C$2693,2,FALSE)</f>
        <v>NP</v>
      </c>
    </row>
    <row r="1682" spans="2:13" x14ac:dyDescent="0.25">
      <c r="B1682" s="31" t="s">
        <v>25743</v>
      </c>
      <c r="C1682" s="20"/>
      <c r="D1682" s="25" t="s">
        <v>3229</v>
      </c>
      <c r="E1682" s="25"/>
      <c r="F1682" s="9" t="str">
        <f>HYPERLINK("https://www.ebi.ac.uk/ols/ontologies/uberon/terms?iri=http://purl.obolibrary.org/obo/UBERON_0001049","neural tube")</f>
        <v>neural tube</v>
      </c>
      <c r="G1682" s="9" t="s">
        <v>3228</v>
      </c>
      <c r="H1682" s="9" t="s">
        <v>20995</v>
      </c>
      <c r="I1682" s="9" t="s">
        <v>3229</v>
      </c>
      <c r="J1682" s="9" t="s">
        <v>3230</v>
      </c>
      <c r="K1682" s="4" t="s">
        <v>15175</v>
      </c>
      <c r="L1682" s="13">
        <v>10154</v>
      </c>
      <c r="M1682" t="str">
        <f>VLOOKUP(L1682,[1]Human_BrainSpan!$B$2:$C$4000,2,FALSE)</f>
        <v>NT</v>
      </c>
    </row>
    <row r="1683" spans="2:13" x14ac:dyDescent="0.25">
      <c r="B1683" s="31" t="s">
        <v>25743</v>
      </c>
      <c r="C1683" s="20"/>
      <c r="D1683" s="25" t="s">
        <v>3232</v>
      </c>
      <c r="E1683" s="25"/>
      <c r="F1683" s="9" t="str">
        <f>HYPERLINK("https://www.ebi.ac.uk/ols/ontologies/uberon/terms?iri=http://purl.obolibrary.org/obo/UBERON_0002198","neurohypophysis")</f>
        <v>neurohypophysis</v>
      </c>
      <c r="G1683" s="9" t="s">
        <v>3231</v>
      </c>
      <c r="H1683" s="9" t="s">
        <v>15431</v>
      </c>
      <c r="I1683" s="9" t="s">
        <v>3232</v>
      </c>
      <c r="J1683" s="9" t="s">
        <v>3233</v>
      </c>
      <c r="K1683" s="5" t="s">
        <v>15173</v>
      </c>
      <c r="L1683" s="13">
        <v>15691</v>
      </c>
      <c r="M1683" t="str">
        <f>VLOOKUP(L1683,[1]DevMouse!$B$2:$C$2693,2,FALSE)</f>
        <v>NHy</v>
      </c>
    </row>
    <row r="1684" spans="2:13" x14ac:dyDescent="0.25">
      <c r="B1684" s="31" t="s">
        <v>26303</v>
      </c>
      <c r="C1684" s="25" t="s">
        <v>3096</v>
      </c>
      <c r="D1684" s="25" t="s">
        <v>26051</v>
      </c>
      <c r="E1684" s="25"/>
      <c r="F1684" s="9" t="str">
        <f>HYPERLINK("https://www.ebi.ac.uk/ols/ontologies/uberon/terms?iri=http://purl.obolibrary.org/obo/UBERON_0004731","neuromere")</f>
        <v>neuromere</v>
      </c>
      <c r="G1684" s="9" t="s">
        <v>3234</v>
      </c>
      <c r="H1684" s="9" t="s">
        <v>24189</v>
      </c>
      <c r="I1684" s="9" t="s">
        <v>3096</v>
      </c>
      <c r="J1684" s="9" t="s">
        <v>3097</v>
      </c>
      <c r="K1684" s="4" t="s">
        <v>15175</v>
      </c>
      <c r="L1684" s="13">
        <v>10655</v>
      </c>
      <c r="M1684" t="str">
        <f>VLOOKUP(L1684,[1]Human_BrainSpan!$B$2:$C$4000,2,FALSE)</f>
        <v>Met</v>
      </c>
    </row>
    <row r="1685" spans="2:13" x14ac:dyDescent="0.25">
      <c r="B1685" s="31" t="s">
        <v>26303</v>
      </c>
      <c r="C1685" s="20"/>
      <c r="D1685" s="25" t="s">
        <v>26051</v>
      </c>
      <c r="E1685" s="25"/>
      <c r="F1685" s="9" t="str">
        <f>HYPERLINK("https://www.ebi.ac.uk/ols/ontologies/uberon/terms?iri=http://purl.obolibrary.org/obo/UBERON_0004731","neuromere")</f>
        <v>neuromere</v>
      </c>
      <c r="G1685" s="9" t="s">
        <v>3234</v>
      </c>
      <c r="H1685" s="9" t="s">
        <v>24365</v>
      </c>
      <c r="I1685" s="9" t="s">
        <v>3196</v>
      </c>
      <c r="J1685" s="9" t="s">
        <v>3197</v>
      </c>
      <c r="K1685" s="4" t="s">
        <v>15175</v>
      </c>
      <c r="L1685" s="13">
        <v>10662</v>
      </c>
      <c r="M1685" t="str">
        <f>VLOOKUP(L1685,[1]Human_BrainSpan!$B$2:$C$4000,2,FALSE)</f>
        <v>Mo</v>
      </c>
    </row>
    <row r="1686" spans="2:13" x14ac:dyDescent="0.25">
      <c r="B1686" s="31" t="s">
        <v>26303</v>
      </c>
      <c r="C1686" s="25" t="s">
        <v>3096</v>
      </c>
      <c r="D1686" s="25" t="s">
        <v>26051</v>
      </c>
      <c r="E1686" s="25"/>
      <c r="F1686" s="9" t="str">
        <f>HYPERLINK("https://www.ebi.ac.uk/ols/ontologies/uberon/terms?iri=http://purl.obolibrary.org/obo/UBERON_0004731","neuromere")</f>
        <v>neuromere</v>
      </c>
      <c r="G1686" s="9" t="s">
        <v>3234</v>
      </c>
      <c r="H1686" s="9" t="s">
        <v>25334</v>
      </c>
      <c r="I1686" s="9" t="s">
        <v>3096</v>
      </c>
      <c r="J1686" s="9" t="s">
        <v>3098</v>
      </c>
      <c r="K1686" s="7" t="s">
        <v>15171</v>
      </c>
      <c r="L1686" s="13">
        <v>4833</v>
      </c>
      <c r="M1686" t="str">
        <f>VLOOKUP(L1686,[1]HBA!$B$2:$C$4000,2,FALSE)</f>
        <v>MET</v>
      </c>
    </row>
    <row r="1687" spans="2:13" x14ac:dyDescent="0.25">
      <c r="B1687" s="31" t="s">
        <v>26303</v>
      </c>
      <c r="C1687" s="20"/>
      <c r="D1687" s="25" t="s">
        <v>26051</v>
      </c>
      <c r="E1687" s="25"/>
      <c r="F1687" s="9" t="str">
        <f>HYPERLINK("https://www.ebi.ac.uk/ols/ontologies/uberon/terms?iri=http://purl.obolibrary.org/obo/UBERON_0004731","neuromere")</f>
        <v>neuromere</v>
      </c>
      <c r="G1687" s="9" t="s">
        <v>3234</v>
      </c>
      <c r="H1687" s="9" t="s">
        <v>20391</v>
      </c>
      <c r="I1687" s="9" t="s">
        <v>3198</v>
      </c>
      <c r="J1687" s="9" t="s">
        <v>3199</v>
      </c>
      <c r="K1687" s="7" t="s">
        <v>15171</v>
      </c>
      <c r="L1687" s="13">
        <v>9512</v>
      </c>
      <c r="M1687" t="str">
        <f>VLOOKUP(L1687,[1]HBA!$B$2:$C$4000,2,FALSE)</f>
        <v>MY</v>
      </c>
    </row>
    <row r="1688" spans="2:13" x14ac:dyDescent="0.25">
      <c r="B1688" s="31" t="s">
        <v>25743</v>
      </c>
      <c r="C1688" s="20"/>
      <c r="D1688" s="25" t="s">
        <v>3236</v>
      </c>
      <c r="E1688" s="25"/>
      <c r="F1688" s="9" t="str">
        <f>HYPERLINK("https://www.ebi.ac.uk/ols/ontologies/uberon/terms?iri=http://purl.obolibrary.org/obo/UBERON_0014169","nigrostriatal tract")</f>
        <v>nigrostriatal tract</v>
      </c>
      <c r="G1688" s="9" t="s">
        <v>3235</v>
      </c>
      <c r="H1688" s="9" t="s">
        <v>20853</v>
      </c>
      <c r="I1688" s="9" t="s">
        <v>3236</v>
      </c>
      <c r="J1688" s="9" t="s">
        <v>3237</v>
      </c>
      <c r="K1688" s="3" t="s">
        <v>15176</v>
      </c>
      <c r="L1688" s="13">
        <v>102</v>
      </c>
      <c r="M1688" t="str">
        <f>VLOOKUP(L1688,[1]Mouse_ARA!$B$2:$C$1328,2,FALSE)</f>
        <v>nst</v>
      </c>
    </row>
    <row r="1689" spans="2:13" x14ac:dyDescent="0.25">
      <c r="B1689" s="31" t="s">
        <v>25743</v>
      </c>
      <c r="C1689" s="20"/>
      <c r="D1689" s="25" t="s">
        <v>3239</v>
      </c>
      <c r="E1689" s="25"/>
      <c r="F1689" s="9" t="str">
        <f>HYPERLINK("https://www.ebi.ac.uk/ols/ontologies/uberon/terms?iri=http://purl.obolibrary.org/obo/UBERON_0001882","nucleus accumbens")</f>
        <v>nucleus accumbens</v>
      </c>
      <c r="G1689" s="9" t="s">
        <v>3238</v>
      </c>
      <c r="H1689" s="9" t="s">
        <v>23259</v>
      </c>
      <c r="I1689" s="9" t="s">
        <v>3239</v>
      </c>
      <c r="J1689" s="9" t="s">
        <v>3240</v>
      </c>
      <c r="K1689" s="4" t="s">
        <v>15175</v>
      </c>
      <c r="L1689" s="13">
        <v>10339</v>
      </c>
      <c r="M1689" t="str">
        <f>VLOOKUP(L1689,[1]Human_BrainSpan!$B$2:$C$4000,2,FALSE)</f>
        <v>NAC</v>
      </c>
    </row>
    <row r="1690" spans="2:13" x14ac:dyDescent="0.25">
      <c r="B1690" s="31" t="s">
        <v>25743</v>
      </c>
      <c r="C1690" s="20"/>
      <c r="D1690" s="25" t="s">
        <v>3239</v>
      </c>
      <c r="E1690" s="25"/>
      <c r="F1690" s="9" t="str">
        <f>HYPERLINK("https://www.ebi.ac.uk/ols/ontologies/uberon/terms?iri=http://purl.obolibrary.org/obo/UBERON_0001882","nucleus accumbens")</f>
        <v>nucleus accumbens</v>
      </c>
      <c r="G1690" s="9" t="s">
        <v>3238</v>
      </c>
      <c r="H1690" s="9" t="s">
        <v>24905</v>
      </c>
      <c r="I1690" s="9" t="s">
        <v>3239</v>
      </c>
      <c r="J1690" s="9" t="s">
        <v>3241</v>
      </c>
      <c r="K1690" s="7" t="s">
        <v>15171</v>
      </c>
      <c r="L1690" s="13">
        <v>4290</v>
      </c>
      <c r="M1690" t="str">
        <f>VLOOKUP(L1690,[1]HBA!$B$2:$C$4000,2,FALSE)</f>
        <v>Acb</v>
      </c>
    </row>
    <row r="1691" spans="2:13" x14ac:dyDescent="0.25">
      <c r="B1691" s="31" t="s">
        <v>25743</v>
      </c>
      <c r="C1691" s="20"/>
      <c r="D1691" s="25" t="s">
        <v>3239</v>
      </c>
      <c r="E1691" s="25"/>
      <c r="F1691" s="9" t="str">
        <f>HYPERLINK("https://www.ebi.ac.uk/ols/ontologies/uberon/terms?iri=http://purl.obolibrary.org/obo/UBERON_0001882","nucleus accumbens")</f>
        <v>nucleus accumbens</v>
      </c>
      <c r="G1691" s="9" t="s">
        <v>3238</v>
      </c>
      <c r="H1691" s="9" t="s">
        <v>19748</v>
      </c>
      <c r="I1691" s="9" t="s">
        <v>3239</v>
      </c>
      <c r="J1691" s="9" t="s">
        <v>3242</v>
      </c>
      <c r="K1691" s="3" t="s">
        <v>15176</v>
      </c>
      <c r="L1691" s="13">
        <v>56</v>
      </c>
      <c r="M1691" t="str">
        <f>VLOOKUP(L1691,[1]Mouse_ARA!$B$2:$C$1328,2,FALSE)</f>
        <v>ACB</v>
      </c>
    </row>
    <row r="1692" spans="2:13" x14ac:dyDescent="0.25">
      <c r="B1692" s="31" t="s">
        <v>25743</v>
      </c>
      <c r="C1692" s="20"/>
      <c r="D1692" s="25" t="s">
        <v>3239</v>
      </c>
      <c r="E1692" s="25"/>
      <c r="F1692" s="9" t="str">
        <f>HYPERLINK("https://www.ebi.ac.uk/ols/ontologies/uberon/terms?iri=http://purl.obolibrary.org/obo/UBERON_0001882","nucleus accumbens")</f>
        <v>nucleus accumbens</v>
      </c>
      <c r="G1692" s="9" t="s">
        <v>3238</v>
      </c>
      <c r="H1692" s="9" t="s">
        <v>23259</v>
      </c>
      <c r="I1692" s="9" t="s">
        <v>3239</v>
      </c>
      <c r="J1692" s="9" t="s">
        <v>3243</v>
      </c>
      <c r="K1692" s="6" t="s">
        <v>15174</v>
      </c>
      <c r="L1692" s="13">
        <v>10092</v>
      </c>
      <c r="M1692" t="str">
        <f>VLOOKUP(L1692,[1]NonHumanPrimate!$B$2:$C$4000,2,FALSE)</f>
        <v>NAC</v>
      </c>
    </row>
    <row r="1693" spans="2:13" x14ac:dyDescent="0.25">
      <c r="B1693" s="31" t="s">
        <v>25743</v>
      </c>
      <c r="C1693" s="20"/>
      <c r="D1693" s="25" t="s">
        <v>3248</v>
      </c>
      <c r="E1693" s="25"/>
      <c r="F1693" s="9" t="str">
        <f>HYPERLINK("https://www.ebi.ac.uk/ols/ontologies/uberon/terms?iri=http://purl.obolibrary.org/obo/UBERON_0001719","nucleus ambiguus")</f>
        <v>nucleus ambiguus</v>
      </c>
      <c r="G1693" s="9" t="s">
        <v>3244</v>
      </c>
      <c r="H1693" s="9" t="s">
        <v>24371</v>
      </c>
      <c r="I1693" s="9" t="s">
        <v>3245</v>
      </c>
      <c r="J1693" s="9" t="s">
        <v>3246</v>
      </c>
      <c r="K1693" s="4" t="s">
        <v>15175</v>
      </c>
      <c r="L1693" s="13">
        <v>12540</v>
      </c>
      <c r="M1693" t="str">
        <f>VLOOKUP(L1693,[1]Human_BrainSpan!$B$2:$C$4000,2,FALSE)</f>
        <v>Amb</v>
      </c>
    </row>
    <row r="1694" spans="2:13" x14ac:dyDescent="0.25">
      <c r="B1694" s="31" t="s">
        <v>25743</v>
      </c>
      <c r="C1694" s="20"/>
      <c r="D1694" s="25" t="s">
        <v>3248</v>
      </c>
      <c r="E1694" s="25"/>
      <c r="F1694" s="9" t="str">
        <f>HYPERLINK("https://www.ebi.ac.uk/ols/ontologies/uberon/terms?iri=http://purl.obolibrary.org/obo/UBERON_0001719","nucleus ambiguus")</f>
        <v>nucleus ambiguus</v>
      </c>
      <c r="G1694" s="9" t="s">
        <v>3244</v>
      </c>
      <c r="H1694" s="9" t="s">
        <v>24371</v>
      </c>
      <c r="I1694" s="9" t="s">
        <v>3245</v>
      </c>
      <c r="J1694" s="9" t="s">
        <v>3247</v>
      </c>
      <c r="K1694" s="7" t="s">
        <v>15171</v>
      </c>
      <c r="L1694" s="13">
        <v>9516</v>
      </c>
      <c r="M1694" t="str">
        <f>VLOOKUP(L1694,[1]HBA!$B$2:$C$4000,2,FALSE)</f>
        <v>Amb</v>
      </c>
    </row>
    <row r="1695" spans="2:13" x14ac:dyDescent="0.25">
      <c r="B1695" s="31" t="s">
        <v>25743</v>
      </c>
      <c r="C1695" s="20"/>
      <c r="D1695" s="25" t="s">
        <v>3248</v>
      </c>
      <c r="E1695" s="25"/>
      <c r="F1695" s="9" t="str">
        <f>HYPERLINK("https://www.ebi.ac.uk/ols/ontologies/uberon/terms?iri=http://purl.obolibrary.org/obo/UBERON_0001719","nucleus ambiguus")</f>
        <v>nucleus ambiguus</v>
      </c>
      <c r="G1695" s="9" t="s">
        <v>3244</v>
      </c>
      <c r="H1695" s="9" t="s">
        <v>20460</v>
      </c>
      <c r="I1695" s="9" t="s">
        <v>3248</v>
      </c>
      <c r="J1695" s="9" t="s">
        <v>3249</v>
      </c>
      <c r="K1695" s="3" t="s">
        <v>15176</v>
      </c>
      <c r="L1695" s="13">
        <v>135</v>
      </c>
      <c r="M1695" t="str">
        <f>VLOOKUP(L1695,[1]Mouse_ARA!$B$2:$C$1328,2,FALSE)</f>
        <v>AMB</v>
      </c>
    </row>
    <row r="1696" spans="2:13" x14ac:dyDescent="0.25">
      <c r="B1696" s="31" t="s">
        <v>25743</v>
      </c>
      <c r="C1696" s="20"/>
      <c r="D1696" s="25" t="s">
        <v>3251</v>
      </c>
      <c r="E1696" s="25"/>
      <c r="F1696" s="9" t="str">
        <f>HYPERLINK("https://www.ebi.ac.uk/ols/ontologies/uberon/terms?iri=http://purl.obolibrary.org/obo/UBERON_0035973","nucleus incertus")</f>
        <v>nucleus incertus</v>
      </c>
      <c r="G1696" s="9" t="s">
        <v>3250</v>
      </c>
      <c r="H1696" s="9" t="s">
        <v>20381</v>
      </c>
      <c r="I1696" s="9" t="s">
        <v>3251</v>
      </c>
      <c r="J1696" s="9" t="s">
        <v>3252</v>
      </c>
      <c r="K1696" s="4" t="s">
        <v>15175</v>
      </c>
      <c r="L1696" s="13">
        <v>146034972</v>
      </c>
      <c r="M1696" t="str">
        <f>VLOOKUP(L1696,[1]Human_BrainSpan!$B$2:$C$4000,2,FALSE)</f>
        <v>NI</v>
      </c>
    </row>
    <row r="1697" spans="2:13" x14ac:dyDescent="0.25">
      <c r="B1697" s="31" t="s">
        <v>25743</v>
      </c>
      <c r="C1697" s="20"/>
      <c r="D1697" s="25" t="s">
        <v>3251</v>
      </c>
      <c r="E1697" s="25"/>
      <c r="F1697" s="9" t="str">
        <f>HYPERLINK("https://www.ebi.ac.uk/ols/ontologies/uberon/terms?iri=http://purl.obolibrary.org/obo/UBERON_0035973","nucleus incertus")</f>
        <v>nucleus incertus</v>
      </c>
      <c r="G1697" s="9" t="s">
        <v>3250</v>
      </c>
      <c r="H1697" s="9" t="s">
        <v>17564</v>
      </c>
      <c r="I1697" s="9" t="s">
        <v>3251</v>
      </c>
      <c r="J1697" s="9" t="s">
        <v>3253</v>
      </c>
      <c r="K1697" s="5" t="s">
        <v>15173</v>
      </c>
      <c r="L1697" s="13">
        <v>17084</v>
      </c>
      <c r="M1697" t="str">
        <f>VLOOKUP(L1697,[1]DevMouse!$B$2:$C$2693,2,FALSE)</f>
        <v>Inc</v>
      </c>
    </row>
    <row r="1698" spans="2:13" x14ac:dyDescent="0.25">
      <c r="B1698" s="31" t="s">
        <v>25743</v>
      </c>
      <c r="C1698" s="20"/>
      <c r="D1698" s="25" t="s">
        <v>3251</v>
      </c>
      <c r="E1698" s="25"/>
      <c r="F1698" s="9" t="str">
        <f>HYPERLINK("https://www.ebi.ac.uk/ols/ontologies/uberon/terms?iri=http://purl.obolibrary.org/obo/UBERON_0035973","nucleus incertus")</f>
        <v>nucleus incertus</v>
      </c>
      <c r="G1698" s="9" t="s">
        <v>3250</v>
      </c>
      <c r="H1698" s="9" t="s">
        <v>20381</v>
      </c>
      <c r="I1698" s="9" t="s">
        <v>3251</v>
      </c>
      <c r="J1698" s="9" t="s">
        <v>3254</v>
      </c>
      <c r="K1698" s="3" t="s">
        <v>15176</v>
      </c>
      <c r="L1698" s="13">
        <v>604</v>
      </c>
      <c r="M1698" t="str">
        <f>VLOOKUP(L1698,[1]Mouse_ARA!$B$2:$C$1328,2,FALSE)</f>
        <v>NI</v>
      </c>
    </row>
    <row r="1699" spans="2:13" x14ac:dyDescent="0.25">
      <c r="B1699" s="31" t="s">
        <v>25743</v>
      </c>
      <c r="C1699" s="20"/>
      <c r="D1699" s="25" t="s">
        <v>3262</v>
      </c>
      <c r="E1699" s="25"/>
      <c r="F1699" s="9" t="str">
        <f>HYPERLINK("https://www.ebi.ac.uk/ols/ontologies/uberon/terms?iri=http://purl.obolibrary.org/obo/UBERON_0002876","nucleus intercalatus")</f>
        <v>nucleus intercalatus</v>
      </c>
      <c r="G1699" s="9" t="s">
        <v>3255</v>
      </c>
      <c r="H1699" s="9" t="s">
        <v>24443</v>
      </c>
      <c r="I1699" s="9" t="s">
        <v>3256</v>
      </c>
      <c r="J1699" s="9" t="s">
        <v>3257</v>
      </c>
      <c r="K1699" s="4" t="s">
        <v>15175</v>
      </c>
      <c r="L1699" s="13">
        <v>12612</v>
      </c>
      <c r="M1699" t="str">
        <f>VLOOKUP(L1699,[1]Human_BrainSpan!$B$2:$C$4000,2,FALSE)</f>
        <v>InM</v>
      </c>
    </row>
    <row r="1700" spans="2:13" x14ac:dyDescent="0.25">
      <c r="B1700" s="31" t="s">
        <v>26302</v>
      </c>
      <c r="C1700" s="20"/>
      <c r="D1700" s="25" t="s">
        <v>3262</v>
      </c>
      <c r="E1700" s="20" t="s">
        <v>26300</v>
      </c>
      <c r="F1700" s="9" t="str">
        <f>HYPERLINK("https://www.ebi.ac.uk/ols/ontologies/uberon/terms?iri=http://purl.obolibrary.org/obo/UBERON_0002876","nucleus intercalatus")</f>
        <v>nucleus intercalatus</v>
      </c>
      <c r="G1700" s="9" t="s">
        <v>3255</v>
      </c>
      <c r="H1700" s="9" t="s">
        <v>16278</v>
      </c>
      <c r="I1700" s="9" t="s">
        <v>3258</v>
      </c>
      <c r="J1700" s="9" t="s">
        <v>3259</v>
      </c>
      <c r="K1700" s="5" t="s">
        <v>15173</v>
      </c>
      <c r="L1700" s="13">
        <v>16339</v>
      </c>
      <c r="M1700" t="str">
        <f>VLOOKUP(L1700,[1]DevMouse!$B$2:$C$2693,2,FALSE)</f>
        <v>IntC</v>
      </c>
    </row>
    <row r="1701" spans="2:13" x14ac:dyDescent="0.25">
      <c r="B1701" s="31" t="s">
        <v>25743</v>
      </c>
      <c r="C1701" s="20"/>
      <c r="D1701" s="25" t="s">
        <v>3262</v>
      </c>
      <c r="E1701" s="25"/>
      <c r="F1701" s="9" t="str">
        <f>HYPERLINK("https://www.ebi.ac.uk/ols/ontologies/uberon/terms?iri=http://purl.obolibrary.org/obo/UBERON_0002876","nucleus intercalatus")</f>
        <v>nucleus intercalatus</v>
      </c>
      <c r="G1701" s="9" t="s">
        <v>3255</v>
      </c>
      <c r="H1701" s="9" t="s">
        <v>20726</v>
      </c>
      <c r="I1701" s="9" t="s">
        <v>3260</v>
      </c>
      <c r="J1701" s="9" t="s">
        <v>3261</v>
      </c>
      <c r="K1701" s="7" t="s">
        <v>15171</v>
      </c>
      <c r="L1701" s="13">
        <v>9572</v>
      </c>
      <c r="M1701" t="str">
        <f>VLOOKUP(L1701,[1]HBA!$B$2:$C$4000,2,FALSE)</f>
        <v>In</v>
      </c>
    </row>
    <row r="1702" spans="2:13" x14ac:dyDescent="0.25">
      <c r="B1702" s="31" t="s">
        <v>25743</v>
      </c>
      <c r="C1702" s="20"/>
      <c r="D1702" s="25" t="s">
        <v>3262</v>
      </c>
      <c r="E1702" s="25"/>
      <c r="F1702" s="9" t="str">
        <f>HYPERLINK("https://www.ebi.ac.uk/ols/ontologies/uberon/terms?iri=http://purl.obolibrary.org/obo/UBERON_0002876","nucleus intercalatus")</f>
        <v>nucleus intercalatus</v>
      </c>
      <c r="G1702" s="9" t="s">
        <v>3255</v>
      </c>
      <c r="H1702" s="9" t="s">
        <v>20508</v>
      </c>
      <c r="I1702" s="9" t="s">
        <v>3262</v>
      </c>
      <c r="J1702" s="9" t="s">
        <v>3263</v>
      </c>
      <c r="K1702" s="3" t="s">
        <v>15176</v>
      </c>
      <c r="L1702" s="13">
        <v>161</v>
      </c>
      <c r="M1702" t="str">
        <f>VLOOKUP(L1702,[1]Mouse_ARA!$B$2:$C$1328,2,FALSE)</f>
        <v>NIS</v>
      </c>
    </row>
    <row r="1703" spans="2:13" x14ac:dyDescent="0.25">
      <c r="B1703" s="31" t="s">
        <v>25743</v>
      </c>
      <c r="C1703" s="20"/>
      <c r="D1703" s="25" t="s">
        <v>26052</v>
      </c>
      <c r="E1703" s="25"/>
      <c r="F1703" s="9" t="str">
        <f>HYPERLINK("https://www.ebi.ac.uk/ols/ontologies/uberon/terms?iri=http://purl.obolibrary.org/obo/UBERON_0002933","nucleus of anterior commissure")</f>
        <v>nucleus of anterior commissure</v>
      </c>
      <c r="G1703" s="9" t="s">
        <v>3264</v>
      </c>
      <c r="H1703" s="9" t="s">
        <v>15577</v>
      </c>
      <c r="I1703" s="9" t="s">
        <v>3265</v>
      </c>
      <c r="J1703" s="9" t="s">
        <v>3266</v>
      </c>
      <c r="K1703" s="5" t="s">
        <v>15173</v>
      </c>
      <c r="L1703" s="13">
        <v>15794</v>
      </c>
      <c r="M1703" t="str">
        <f>VLOOKUP(L1703,[1]DevMouse!$B$2:$C$2693,2,FALSE)</f>
        <v>BAC</v>
      </c>
    </row>
    <row r="1704" spans="2:13" x14ac:dyDescent="0.25">
      <c r="B1704" s="31" t="s">
        <v>25743</v>
      </c>
      <c r="C1704" s="20"/>
      <c r="D1704" s="25" t="s">
        <v>26052</v>
      </c>
      <c r="E1704" s="25"/>
      <c r="F1704" s="9" t="str">
        <f>HYPERLINK("https://www.ebi.ac.uk/ols/ontologies/uberon/terms?iri=http://purl.obolibrary.org/obo/UBERON_0002933","nucleus of anterior commissure")</f>
        <v>nucleus of anterior commissure</v>
      </c>
      <c r="G1704" s="9" t="s">
        <v>3264</v>
      </c>
      <c r="H1704" s="9" t="s">
        <v>24897</v>
      </c>
      <c r="I1704" s="9" t="s">
        <v>3267</v>
      </c>
      <c r="J1704" s="9" t="s">
        <v>3268</v>
      </c>
      <c r="K1704" s="7" t="s">
        <v>15171</v>
      </c>
      <c r="L1704" s="13">
        <v>4312</v>
      </c>
      <c r="M1704" t="str">
        <f>VLOOKUP(L1704,[1]HBA!$B$2:$C$4000,2,FALSE)</f>
        <v>Nac</v>
      </c>
    </row>
    <row r="1705" spans="2:13" x14ac:dyDescent="0.25">
      <c r="B1705" s="31" t="s">
        <v>25743</v>
      </c>
      <c r="C1705" s="20"/>
      <c r="D1705" s="25" t="s">
        <v>26052</v>
      </c>
      <c r="E1705" s="25"/>
      <c r="F1705" s="9" t="str">
        <f>HYPERLINK("https://www.ebi.ac.uk/ols/ontologies/uberon/terms?iri=http://purl.obolibrary.org/obo/UBERON_0002933","nucleus of anterior commissure")</f>
        <v>nucleus of anterior commissure</v>
      </c>
      <c r="G1705" s="9" t="s">
        <v>3264</v>
      </c>
      <c r="H1705" s="9" t="s">
        <v>15577</v>
      </c>
      <c r="I1705" s="9" t="s">
        <v>3265</v>
      </c>
      <c r="J1705" s="9" t="s">
        <v>3269</v>
      </c>
      <c r="K1705" s="3" t="s">
        <v>15176</v>
      </c>
      <c r="L1705" s="13">
        <v>287</v>
      </c>
      <c r="M1705" t="str">
        <f>VLOOKUP(L1705,[1]Mouse_ARA!$B$2:$C$1328,2,FALSE)</f>
        <v>BAC</v>
      </c>
    </row>
    <row r="1706" spans="2:13" x14ac:dyDescent="0.25">
      <c r="B1706" s="31" t="s">
        <v>26303</v>
      </c>
      <c r="C1706" s="25" t="s">
        <v>2721</v>
      </c>
      <c r="D1706" s="25" t="s">
        <v>26053</v>
      </c>
      <c r="E1706" s="25"/>
      <c r="F1706" s="9" t="str">
        <f>HYPERLINK("https://www.ebi.ac.uk/ols/ontologies/uberon/terms?iri=http://purl.obolibrary.org/obo/UBERON_0002308","nucleus of brain")</f>
        <v>nucleus of brain</v>
      </c>
      <c r="G1706" s="9" t="s">
        <v>3270</v>
      </c>
      <c r="H1706" s="9" t="s">
        <v>18360</v>
      </c>
      <c r="I1706" s="9" t="s">
        <v>2721</v>
      </c>
      <c r="J1706" s="9" t="s">
        <v>2722</v>
      </c>
      <c r="K1706" s="5" t="s">
        <v>15173</v>
      </c>
      <c r="L1706" s="13">
        <v>17690</v>
      </c>
      <c r="M1706" t="str">
        <f>VLOOKUP(L1706,[1]DevMouse!$B$2:$C$2693,2,FALSE)</f>
        <v>LSpin</v>
      </c>
    </row>
    <row r="1707" spans="2:13" x14ac:dyDescent="0.25">
      <c r="B1707" s="31" t="s">
        <v>26303</v>
      </c>
      <c r="C1707" s="25" t="s">
        <v>2566</v>
      </c>
      <c r="D1707" s="25" t="s">
        <v>26053</v>
      </c>
      <c r="E1707" s="25"/>
      <c r="F1707" s="9" t="str">
        <f>HYPERLINK("https://www.ebi.ac.uk/ols/ontologies/uberon/terms?iri=http://purl.obolibrary.org/obo/UBERON_0002308","nucleus of brain")</f>
        <v>nucleus of brain</v>
      </c>
      <c r="G1707" s="9" t="s">
        <v>3270</v>
      </c>
      <c r="H1707" s="9" t="s">
        <v>18361</v>
      </c>
      <c r="I1707" s="9" t="s">
        <v>2566</v>
      </c>
      <c r="J1707" s="9" t="s">
        <v>2567</v>
      </c>
      <c r="K1707" s="5" t="s">
        <v>15173</v>
      </c>
      <c r="L1707" s="13">
        <v>17691</v>
      </c>
      <c r="M1707" t="str">
        <f>VLOOKUP(L1707,[1]DevMouse!$B$2:$C$2693,2,FALSE)</f>
        <v>LatC</v>
      </c>
    </row>
    <row r="1708" spans="2:13" x14ac:dyDescent="0.25">
      <c r="B1708" s="31" t="s">
        <v>25743</v>
      </c>
      <c r="C1708" s="20"/>
      <c r="D1708" s="25" t="s">
        <v>3272</v>
      </c>
      <c r="E1708" s="25"/>
      <c r="F1708" s="9" t="str">
        <f>HYPERLINK("https://www.ebi.ac.uk/ols/ontologies/uberon/terms?iri=http://purl.obolibrary.org/obo/UBERON_0001879","nucleus of diagonal band")</f>
        <v>nucleus of diagonal band</v>
      </c>
      <c r="G1708" s="9" t="s">
        <v>3271</v>
      </c>
      <c r="H1708" s="9" t="s">
        <v>19831</v>
      </c>
      <c r="I1708" s="9" t="s">
        <v>3272</v>
      </c>
      <c r="J1708" s="9" t="s">
        <v>3273</v>
      </c>
      <c r="K1708" s="4" t="s">
        <v>15175</v>
      </c>
      <c r="L1708" s="13">
        <v>10354</v>
      </c>
      <c r="M1708" t="str">
        <f>VLOOKUP(L1708,[1]Human_BrainSpan!$B$2:$C$4000,2,FALSE)</f>
        <v>NDB</v>
      </c>
    </row>
    <row r="1709" spans="2:13" x14ac:dyDescent="0.25">
      <c r="B1709" s="31" t="s">
        <v>25743</v>
      </c>
      <c r="C1709" s="20"/>
      <c r="D1709" s="25" t="s">
        <v>3272</v>
      </c>
      <c r="E1709" s="25"/>
      <c r="F1709" s="9" t="str">
        <f>HYPERLINK("https://www.ebi.ac.uk/ols/ontologies/uberon/terms?iri=http://purl.obolibrary.org/obo/UBERON_0001879","nucleus of diagonal band")</f>
        <v>nucleus of diagonal band</v>
      </c>
      <c r="G1709" s="9" t="s">
        <v>3271</v>
      </c>
      <c r="H1709" s="9" t="s">
        <v>24894</v>
      </c>
      <c r="I1709" s="9" t="s">
        <v>3274</v>
      </c>
      <c r="J1709" s="9" t="s">
        <v>3275</v>
      </c>
      <c r="K1709" s="7" t="s">
        <v>15171</v>
      </c>
      <c r="L1709" s="13">
        <v>4309</v>
      </c>
      <c r="M1709" t="str">
        <f>VLOOKUP(L1709,[1]HBA!$B$2:$C$4000,2,FALSE)</f>
        <v>DB</v>
      </c>
    </row>
    <row r="1710" spans="2:13" x14ac:dyDescent="0.25">
      <c r="B1710" s="31" t="s">
        <v>25743</v>
      </c>
      <c r="C1710" s="20"/>
      <c r="D1710" s="25" t="s">
        <v>3272</v>
      </c>
      <c r="E1710" s="25"/>
      <c r="F1710" s="9" t="str">
        <f>HYPERLINK("https://www.ebi.ac.uk/ols/ontologies/uberon/terms?iri=http://purl.obolibrary.org/obo/UBERON_0001879","nucleus of diagonal band")</f>
        <v>nucleus of diagonal band</v>
      </c>
      <c r="G1710" s="9" t="s">
        <v>3271</v>
      </c>
      <c r="H1710" s="9" t="s">
        <v>19831</v>
      </c>
      <c r="I1710" s="9" t="s">
        <v>3276</v>
      </c>
      <c r="J1710" s="9" t="s">
        <v>3277</v>
      </c>
      <c r="K1710" s="3" t="s">
        <v>15176</v>
      </c>
      <c r="L1710" s="13">
        <v>596</v>
      </c>
      <c r="M1710" t="str">
        <f>VLOOKUP(L1710,[1]Mouse_ARA!$B$2:$C$1328,2,FALSE)</f>
        <v>NDB</v>
      </c>
    </row>
    <row r="1711" spans="2:13" x14ac:dyDescent="0.25">
      <c r="B1711" s="31" t="s">
        <v>26303</v>
      </c>
      <c r="C1711" s="25" t="s">
        <v>782</v>
      </c>
      <c r="D1711" s="25" t="s">
        <v>26054</v>
      </c>
      <c r="E1711" s="25"/>
      <c r="F1711" s="9" t="str">
        <f>HYPERLINK("https://www.ebi.ac.uk/ols/ontologies/uberon/terms?iri=http://purl.obolibrary.org/obo/UBERON_0015233","nucleus of dorsal thalamus")</f>
        <v>nucleus of dorsal thalamus</v>
      </c>
      <c r="G1711" s="9" t="s">
        <v>3278</v>
      </c>
      <c r="H1711" s="9" t="s">
        <v>23397</v>
      </c>
      <c r="I1711" s="9" t="s">
        <v>3279</v>
      </c>
      <c r="J1711" s="9" t="s">
        <v>3280</v>
      </c>
      <c r="K1711" s="4" t="s">
        <v>15175</v>
      </c>
      <c r="L1711" s="13">
        <v>13054</v>
      </c>
      <c r="M1711" t="str">
        <f>VLOOKUP(L1711,[1]Human_BrainSpan!$B$2:$C$4000,2,FALSE)</f>
        <v>SPf</v>
      </c>
    </row>
    <row r="1712" spans="2:13" x14ac:dyDescent="0.25">
      <c r="B1712" s="31" t="s">
        <v>26303</v>
      </c>
      <c r="C1712" s="25" t="s">
        <v>14864</v>
      </c>
      <c r="D1712" s="25" t="s">
        <v>26054</v>
      </c>
      <c r="E1712" s="25"/>
      <c r="F1712" s="9" t="str">
        <f>HYPERLINK("https://www.ebi.ac.uk/ols/ontologies/uberon/terms?iri=http://purl.obolibrary.org/obo/UBERON_0015233","nucleus of dorsal thalamus")</f>
        <v>nucleus of dorsal thalamus</v>
      </c>
      <c r="G1712" s="9" t="s">
        <v>3278</v>
      </c>
      <c r="H1712" s="9" t="s">
        <v>16486</v>
      </c>
      <c r="I1712" s="9" t="s">
        <v>700</v>
      </c>
      <c r="J1712" s="9" t="s">
        <v>701</v>
      </c>
      <c r="K1712" s="5" t="s">
        <v>15173</v>
      </c>
      <c r="L1712" s="13">
        <v>16452</v>
      </c>
      <c r="M1712" t="str">
        <f>VLOOKUP(L1712,[1]DevMouse!$B$2:$C$2693,2,FALSE)</f>
        <v>SG</v>
      </c>
    </row>
    <row r="1713" spans="2:13" x14ac:dyDescent="0.25">
      <c r="B1713" s="31" t="s">
        <v>26303</v>
      </c>
      <c r="C1713" s="25" t="s">
        <v>14864</v>
      </c>
      <c r="D1713" s="25" t="s">
        <v>26054</v>
      </c>
      <c r="E1713" s="25"/>
      <c r="F1713" s="9" t="str">
        <f>HYPERLINK("https://www.ebi.ac.uk/ols/ontologies/uberon/terms?iri=http://purl.obolibrary.org/obo/UBERON_0015233","nucleus of dorsal thalamus")</f>
        <v>nucleus of dorsal thalamus</v>
      </c>
      <c r="G1713" s="9" t="s">
        <v>3278</v>
      </c>
      <c r="H1713" s="9" t="s">
        <v>19927</v>
      </c>
      <c r="I1713" s="9" t="s">
        <v>700</v>
      </c>
      <c r="J1713" s="9" t="s">
        <v>772</v>
      </c>
      <c r="K1713" s="3" t="s">
        <v>15176</v>
      </c>
      <c r="L1713" s="13">
        <v>325</v>
      </c>
      <c r="M1713" t="str">
        <f>VLOOKUP(L1713,[1]Mouse_ARA!$B$2:$C$1328,2,FALSE)</f>
        <v>SGN</v>
      </c>
    </row>
    <row r="1714" spans="2:13" x14ac:dyDescent="0.25">
      <c r="B1714" s="31" t="s">
        <v>26302</v>
      </c>
      <c r="C1714" s="25" t="s">
        <v>26018</v>
      </c>
      <c r="D1714" s="25" t="s">
        <v>26054</v>
      </c>
      <c r="E1714" s="25" t="s">
        <v>26300</v>
      </c>
      <c r="F1714" s="9" t="str">
        <f>HYPERLINK("https://www.ebi.ac.uk/ols/ontologies/uberon/terms?iri=http://purl.obolibrary.org/obo/UBERON_0015233","nucleus of dorsal thalamus")</f>
        <v>nucleus of dorsal thalamus</v>
      </c>
      <c r="G1714" s="9" t="s">
        <v>3278</v>
      </c>
      <c r="H1714" s="9" t="s">
        <v>23169</v>
      </c>
      <c r="I1714" s="9" t="s">
        <v>3047</v>
      </c>
      <c r="J1714" s="9" t="s">
        <v>3048</v>
      </c>
      <c r="K1714" s="6" t="s">
        <v>15174</v>
      </c>
      <c r="L1714" s="13">
        <v>10125</v>
      </c>
      <c r="M1714" t="str">
        <f>VLOOKUP(L1714,[1]NonHumanPrimate!$B$2:$C$4000,2,FALSE)</f>
        <v>Me</v>
      </c>
    </row>
    <row r="1715" spans="2:13" x14ac:dyDescent="0.25">
      <c r="B1715" s="31" t="s">
        <v>25743</v>
      </c>
      <c r="C1715" s="20"/>
      <c r="D1715" s="25" t="s">
        <v>26055</v>
      </c>
      <c r="E1715" s="25"/>
      <c r="F1715" s="9" t="str">
        <f>HYPERLINK("https://www.ebi.ac.uk/ols/ontologies/uberon/terms?iri=http://purl.obolibrary.org/obo/UBERON_0006840","nucleus of lateral lemniscus")</f>
        <v>nucleus of lateral lemniscus</v>
      </c>
      <c r="G1715" s="9" t="s">
        <v>3281</v>
      </c>
      <c r="H1715" s="9" t="s">
        <v>24304</v>
      </c>
      <c r="I1715" s="9" t="s">
        <v>644</v>
      </c>
      <c r="J1715" s="9" t="s">
        <v>645</v>
      </c>
      <c r="K1715" s="4" t="s">
        <v>15175</v>
      </c>
      <c r="L1715" s="13">
        <v>12454</v>
      </c>
      <c r="M1715" t="str">
        <f>VLOOKUP(L1715,[1]Human_BrainSpan!$B$2:$C$4000,2,FALSE)</f>
        <v>LLN</v>
      </c>
    </row>
    <row r="1716" spans="2:13" x14ac:dyDescent="0.25">
      <c r="B1716" s="31" t="s">
        <v>25743</v>
      </c>
      <c r="C1716" s="20"/>
      <c r="D1716" s="25" t="s">
        <v>26055</v>
      </c>
      <c r="E1716" s="25"/>
      <c r="F1716" s="9" t="str">
        <f>HYPERLINK("https://www.ebi.ac.uk/ols/ontologies/uberon/terms?iri=http://purl.obolibrary.org/obo/UBERON_0006840","nucleus of lateral lemniscus")</f>
        <v>nucleus of lateral lemniscus</v>
      </c>
      <c r="G1716" s="9" t="s">
        <v>3281</v>
      </c>
      <c r="H1716" s="9" t="s">
        <v>20299</v>
      </c>
      <c r="I1716" s="9" t="s">
        <v>808</v>
      </c>
      <c r="J1716" s="9" t="s">
        <v>809</v>
      </c>
      <c r="K1716" s="3" t="s">
        <v>15176</v>
      </c>
      <c r="L1716" s="13">
        <v>612</v>
      </c>
      <c r="M1716" t="str">
        <f>VLOOKUP(L1716,[1]Mouse_ARA!$B$2:$C$1328,2,FALSE)</f>
        <v>NLL</v>
      </c>
    </row>
    <row r="1717" spans="2:13" x14ac:dyDescent="0.25">
      <c r="B1717" s="31" t="s">
        <v>25743</v>
      </c>
      <c r="C1717" s="20"/>
      <c r="D1717" s="25" t="s">
        <v>3283</v>
      </c>
      <c r="E1717" s="25"/>
      <c r="F1717" s="9" t="str">
        <f>HYPERLINK("https://www.ebi.ac.uk/ols/ontologies/uberon/terms?iri=http://purl.obolibrary.org/obo/UBERON_0002893","nucleus of lateral olfactory tract")</f>
        <v>nucleus of lateral olfactory tract</v>
      </c>
      <c r="G1717" s="9" t="s">
        <v>3282</v>
      </c>
      <c r="H1717" s="9" t="s">
        <v>19475</v>
      </c>
      <c r="I1717" s="9" t="s">
        <v>3283</v>
      </c>
      <c r="J1717" s="9" t="s">
        <v>3284</v>
      </c>
      <c r="K1717" s="4" t="s">
        <v>15175</v>
      </c>
      <c r="L1717" s="13">
        <v>10309</v>
      </c>
      <c r="M1717" t="str">
        <f>VLOOKUP(L1717,[1]Human_BrainSpan!$B$2:$C$4000,2,FALSE)</f>
        <v>NLOT</v>
      </c>
    </row>
    <row r="1718" spans="2:13" x14ac:dyDescent="0.25">
      <c r="B1718" s="31" t="s">
        <v>25743</v>
      </c>
      <c r="C1718" s="20"/>
      <c r="D1718" s="25" t="s">
        <v>3283</v>
      </c>
      <c r="E1718" s="25"/>
      <c r="F1718" s="9" t="str">
        <f>HYPERLINK("https://www.ebi.ac.uk/ols/ontologies/uberon/terms?iri=http://purl.obolibrary.org/obo/UBERON_0002893","nucleus of lateral olfactory tract")</f>
        <v>nucleus of lateral olfactory tract</v>
      </c>
      <c r="G1718" s="9" t="s">
        <v>3282</v>
      </c>
      <c r="H1718" s="9" t="s">
        <v>15741</v>
      </c>
      <c r="I1718" s="9" t="s">
        <v>3285</v>
      </c>
      <c r="J1718" s="9" t="s">
        <v>3286</v>
      </c>
      <c r="K1718" s="5" t="s">
        <v>15173</v>
      </c>
      <c r="L1718" s="13">
        <v>15951</v>
      </c>
      <c r="M1718" t="str">
        <f>VLOOKUP(L1718,[1]DevMouse!$B$2:$C$2693,2,FALSE)</f>
        <v>LOT</v>
      </c>
    </row>
    <row r="1719" spans="2:13" x14ac:dyDescent="0.25">
      <c r="B1719" s="31" t="s">
        <v>25743</v>
      </c>
      <c r="C1719" s="20"/>
      <c r="D1719" s="25" t="s">
        <v>3283</v>
      </c>
      <c r="E1719" s="25"/>
      <c r="F1719" s="9" t="str">
        <f>HYPERLINK("https://www.ebi.ac.uk/ols/ontologies/uberon/terms?iri=http://purl.obolibrary.org/obo/UBERON_0002893","nucleus of lateral olfactory tract")</f>
        <v>nucleus of lateral olfactory tract</v>
      </c>
      <c r="G1719" s="9" t="s">
        <v>3282</v>
      </c>
      <c r="H1719" s="9" t="s">
        <v>19475</v>
      </c>
      <c r="I1719" s="9" t="s">
        <v>3285</v>
      </c>
      <c r="J1719" s="9" t="s">
        <v>3287</v>
      </c>
      <c r="K1719" s="7" t="s">
        <v>15171</v>
      </c>
      <c r="L1719" s="13">
        <v>4385</v>
      </c>
      <c r="M1719" t="str">
        <f>VLOOKUP(L1719,[1]HBA!$B$2:$C$4000,2,FALSE)</f>
        <v>NLOT</v>
      </c>
    </row>
    <row r="1720" spans="2:13" x14ac:dyDescent="0.25">
      <c r="B1720" s="31" t="s">
        <v>25743</v>
      </c>
      <c r="C1720" s="20"/>
      <c r="D1720" s="25" t="s">
        <v>3283</v>
      </c>
      <c r="E1720" s="25"/>
      <c r="F1720" s="9" t="str">
        <f>HYPERLINK("https://www.ebi.ac.uk/ols/ontologies/uberon/terms?iri=http://purl.obolibrary.org/obo/UBERON_0002893","nucleus of lateral olfactory tract")</f>
        <v>nucleus of lateral olfactory tract</v>
      </c>
      <c r="G1720" s="9" t="s">
        <v>3282</v>
      </c>
      <c r="H1720" s="9" t="s">
        <v>19475</v>
      </c>
      <c r="I1720" s="9" t="s">
        <v>3285</v>
      </c>
      <c r="J1720" s="9" t="s">
        <v>3288</v>
      </c>
      <c r="K1720" s="3" t="s">
        <v>15176</v>
      </c>
      <c r="L1720" s="13">
        <v>619</v>
      </c>
      <c r="M1720" t="str">
        <f>VLOOKUP(L1720,[1]Mouse_ARA!$B$2:$C$1328,2,FALSE)</f>
        <v>NLOT</v>
      </c>
    </row>
    <row r="1721" spans="2:13" x14ac:dyDescent="0.25">
      <c r="B1721" s="31" t="s">
        <v>26303</v>
      </c>
      <c r="C1721" s="25" t="s">
        <v>160</v>
      </c>
      <c r="D1721" s="25" t="s">
        <v>26056</v>
      </c>
      <c r="E1721" s="25"/>
      <c r="F1721" s="9" t="str">
        <f t="shared" ref="F1721:F1726" si="22">HYPERLINK("https://www.ebi.ac.uk/ols/ontologies/uberon/terms?iri=http://purl.obolibrary.org/obo/UBERON_0007635","nucleus of medulla oblongata")</f>
        <v>nucleus of medulla oblongata</v>
      </c>
      <c r="G1721" s="9" t="s">
        <v>3289</v>
      </c>
      <c r="H1721" s="9" t="s">
        <v>17823</v>
      </c>
      <c r="I1721" s="9" t="s">
        <v>162</v>
      </c>
      <c r="J1721" s="9" t="s">
        <v>163</v>
      </c>
      <c r="K1721" s="5" t="s">
        <v>15173</v>
      </c>
      <c r="L1721" s="13">
        <v>17279</v>
      </c>
      <c r="M1721" t="str">
        <f>VLOOKUP(L1721,[1]DevMouse!$B$2:$C$2693,2,FALSE)</f>
        <v>6M</v>
      </c>
    </row>
    <row r="1722" spans="2:13" x14ac:dyDescent="0.25">
      <c r="B1722" s="31" t="s">
        <v>26303</v>
      </c>
      <c r="C1722" s="25" t="s">
        <v>1809</v>
      </c>
      <c r="D1722" s="25" t="s">
        <v>26056</v>
      </c>
      <c r="E1722" s="25"/>
      <c r="F1722" s="9" t="str">
        <f t="shared" si="22"/>
        <v>nucleus of medulla oblongata</v>
      </c>
      <c r="G1722" s="9" t="s">
        <v>3289</v>
      </c>
      <c r="H1722" s="9" t="s">
        <v>17880</v>
      </c>
      <c r="I1722" s="9" t="s">
        <v>1809</v>
      </c>
      <c r="J1722" s="9" t="s">
        <v>1810</v>
      </c>
      <c r="K1722" s="5" t="s">
        <v>15173</v>
      </c>
      <c r="L1722" s="13">
        <v>17317</v>
      </c>
      <c r="M1722" t="str">
        <f>VLOOKUP(L1722,[1]DevMouse!$B$2:$C$2693,2,FALSE)</f>
        <v>7M</v>
      </c>
    </row>
    <row r="1723" spans="2:13" x14ac:dyDescent="0.25">
      <c r="B1723" s="31" t="s">
        <v>26303</v>
      </c>
      <c r="C1723" s="25" t="s">
        <v>172</v>
      </c>
      <c r="D1723" s="25" t="s">
        <v>26056</v>
      </c>
      <c r="E1723" s="25"/>
      <c r="F1723" s="9" t="str">
        <f t="shared" si="22"/>
        <v>nucleus of medulla oblongata</v>
      </c>
      <c r="G1723" s="9" t="s">
        <v>3289</v>
      </c>
      <c r="H1723" s="9" t="s">
        <v>20452</v>
      </c>
      <c r="I1723" s="9" t="s">
        <v>172</v>
      </c>
      <c r="J1723" s="9" t="s">
        <v>173</v>
      </c>
      <c r="K1723" s="3" t="s">
        <v>15176</v>
      </c>
      <c r="L1723" s="13">
        <v>568</v>
      </c>
      <c r="M1723" t="str">
        <f>VLOOKUP(L1723,[1]Mouse_ARA!$B$2:$C$1328,2,FALSE)</f>
        <v>ACVI</v>
      </c>
    </row>
    <row r="1724" spans="2:13" x14ac:dyDescent="0.25">
      <c r="B1724" s="31" t="s">
        <v>26303</v>
      </c>
      <c r="C1724" s="25" t="s">
        <v>3323</v>
      </c>
      <c r="D1724" s="25" t="s">
        <v>26056</v>
      </c>
      <c r="E1724" s="25"/>
      <c r="F1724" s="9" t="str">
        <f t="shared" si="22"/>
        <v>nucleus of medulla oblongata</v>
      </c>
      <c r="G1724" s="9" t="s">
        <v>3289</v>
      </c>
      <c r="H1724" s="9" t="s">
        <v>20415</v>
      </c>
      <c r="I1724" s="9" t="s">
        <v>3290</v>
      </c>
      <c r="J1724" s="9" t="s">
        <v>3291</v>
      </c>
      <c r="K1724" s="3" t="s">
        <v>15176</v>
      </c>
      <c r="L1724" s="13">
        <v>642</v>
      </c>
      <c r="M1724" t="str">
        <f>VLOOKUP(L1724,[1]Mouse_ARA!$B$2:$C$1328,2,FALSE)</f>
        <v>NTB</v>
      </c>
    </row>
    <row r="1725" spans="2:13" x14ac:dyDescent="0.25">
      <c r="B1725" s="31" t="s">
        <v>26303</v>
      </c>
      <c r="C1725" s="25" t="s">
        <v>160</v>
      </c>
      <c r="D1725" s="25" t="s">
        <v>26056</v>
      </c>
      <c r="E1725" s="25"/>
      <c r="F1725" s="9" t="str">
        <f t="shared" si="22"/>
        <v>nucleus of medulla oblongata</v>
      </c>
      <c r="G1725" s="9" t="s">
        <v>3289</v>
      </c>
      <c r="H1725" s="9" t="s">
        <v>1095</v>
      </c>
      <c r="I1725" s="9" t="s">
        <v>160</v>
      </c>
      <c r="J1725" s="9" t="s">
        <v>165</v>
      </c>
      <c r="K1725" s="3" t="s">
        <v>15176</v>
      </c>
      <c r="L1725" s="13">
        <v>653</v>
      </c>
      <c r="M1725" t="str">
        <f>VLOOKUP(L1725,[1]Mouse_ARA!$B$2:$C$1328,2,FALSE)</f>
        <v>VI</v>
      </c>
    </row>
    <row r="1726" spans="2:13" x14ac:dyDescent="0.25">
      <c r="B1726" s="31" t="s">
        <v>26303</v>
      </c>
      <c r="C1726" s="25" t="s">
        <v>1809</v>
      </c>
      <c r="D1726" s="25" t="s">
        <v>26056</v>
      </c>
      <c r="E1726" s="25"/>
      <c r="F1726" s="9" t="str">
        <f t="shared" si="22"/>
        <v>nucleus of medulla oblongata</v>
      </c>
      <c r="G1726" s="9" t="s">
        <v>3289</v>
      </c>
      <c r="H1726" s="9" t="s">
        <v>20454</v>
      </c>
      <c r="I1726" s="9" t="s">
        <v>1809</v>
      </c>
      <c r="J1726" s="9" t="s">
        <v>1812</v>
      </c>
      <c r="K1726" s="3" t="s">
        <v>15176</v>
      </c>
      <c r="L1726" s="13">
        <v>661</v>
      </c>
      <c r="M1726" t="str">
        <f>VLOOKUP(L1726,[1]Mouse_ARA!$B$2:$C$1328,2,FALSE)</f>
        <v>VII</v>
      </c>
    </row>
    <row r="1727" spans="2:13" x14ac:dyDescent="0.25">
      <c r="B1727" s="31" t="s">
        <v>25743</v>
      </c>
      <c r="C1727" s="20"/>
      <c r="D1727" s="25" t="s">
        <v>26057</v>
      </c>
      <c r="E1727" s="25"/>
      <c r="F1727" s="9" t="str">
        <f>HYPERLINK("https://www.ebi.ac.uk/ols/ontologies/uberon/terms?iri=http://purl.obolibrary.org/obo/UBERON_0007415","nucleus of midbrain reticular formation")</f>
        <v>nucleus of midbrain reticular formation</v>
      </c>
      <c r="G1727" s="9" t="s">
        <v>3292</v>
      </c>
      <c r="H1727" s="9" t="s">
        <v>20196</v>
      </c>
      <c r="I1727" s="9" t="s">
        <v>3293</v>
      </c>
      <c r="J1727" s="9" t="s">
        <v>3294</v>
      </c>
      <c r="K1727" s="3" t="s">
        <v>15176</v>
      </c>
      <c r="L1727" s="13">
        <v>128</v>
      </c>
      <c r="M1727" t="str">
        <f>VLOOKUP(L1727,[1]Mouse_ARA!$B$2:$C$1328,2,FALSE)</f>
        <v>MRN</v>
      </c>
    </row>
    <row r="1728" spans="2:13" x14ac:dyDescent="0.25">
      <c r="B1728" s="31" t="s">
        <v>25743</v>
      </c>
      <c r="C1728" s="20"/>
      <c r="D1728" s="25" t="s">
        <v>26058</v>
      </c>
      <c r="E1728" s="25"/>
      <c r="F1728" s="9" t="str">
        <f>HYPERLINK("https://www.ebi.ac.uk/ols/ontologies/uberon/terms?iri=http://purl.obolibrary.org/obo/UBERON_0002996","nucleus of optic tract")</f>
        <v>nucleus of optic tract</v>
      </c>
      <c r="G1728" s="9" t="s">
        <v>3295</v>
      </c>
      <c r="H1728" s="9" t="s">
        <v>19752</v>
      </c>
      <c r="I1728" s="9" t="s">
        <v>812</v>
      </c>
      <c r="J1728" s="9" t="s">
        <v>3296</v>
      </c>
      <c r="K1728" s="7" t="s">
        <v>15171</v>
      </c>
      <c r="L1728" s="13">
        <v>9080</v>
      </c>
      <c r="M1728" t="str">
        <f>VLOOKUP(L1728,[1]HBA!$B$2:$C$4000,2,FALSE)</f>
        <v>OT</v>
      </c>
    </row>
    <row r="1729" spans="2:13" x14ac:dyDescent="0.25">
      <c r="B1729" s="31" t="s">
        <v>25743</v>
      </c>
      <c r="C1729" s="20"/>
      <c r="D1729" s="25" t="s">
        <v>26058</v>
      </c>
      <c r="E1729" s="25"/>
      <c r="F1729" s="9" t="str">
        <f>HYPERLINK("https://www.ebi.ac.uk/ols/ontologies/uberon/terms?iri=http://purl.obolibrary.org/obo/UBERON_0002996","nucleus of optic tract")</f>
        <v>nucleus of optic tract</v>
      </c>
      <c r="G1729" s="9" t="s">
        <v>3295</v>
      </c>
      <c r="H1729" s="9" t="s">
        <v>20234</v>
      </c>
      <c r="I1729" s="9" t="s">
        <v>812</v>
      </c>
      <c r="J1729" s="9" t="s">
        <v>813</v>
      </c>
      <c r="K1729" s="3" t="s">
        <v>15176</v>
      </c>
      <c r="L1729" s="13">
        <v>628</v>
      </c>
      <c r="M1729" t="str">
        <f>VLOOKUP(L1729,[1]Mouse_ARA!$B$2:$C$1328,2,FALSE)</f>
        <v>NOT</v>
      </c>
    </row>
    <row r="1730" spans="2:13" x14ac:dyDescent="0.25">
      <c r="B1730" s="31" t="s">
        <v>26303</v>
      </c>
      <c r="C1730" s="25" t="s">
        <v>3298</v>
      </c>
      <c r="D1730" s="25" t="s">
        <v>26059</v>
      </c>
      <c r="E1730" s="25"/>
      <c r="F1730" s="9" t="str">
        <f t="shared" ref="F1730:F1735" si="23">HYPERLINK("https://www.ebi.ac.uk/ols/ontologies/uberon/terms?iri=http://purl.obolibrary.org/obo/UBERON_0007413","nucleus of pontine reticular formation")</f>
        <v>nucleus of pontine reticular formation</v>
      </c>
      <c r="G1730" s="9" t="s">
        <v>3297</v>
      </c>
      <c r="H1730" s="9" t="s">
        <v>24263</v>
      </c>
      <c r="I1730" s="9" t="s">
        <v>3298</v>
      </c>
      <c r="J1730" s="9" t="s">
        <v>3299</v>
      </c>
      <c r="K1730" s="4" t="s">
        <v>15175</v>
      </c>
      <c r="L1730" s="13">
        <v>12414</v>
      </c>
      <c r="M1730" t="str">
        <f>VLOOKUP(L1730,[1]Human_BrainSpan!$B$2:$C$4000,2,FALSE)</f>
        <v>RTg</v>
      </c>
    </row>
    <row r="1731" spans="2:13" x14ac:dyDescent="0.25">
      <c r="B1731" s="31" t="s">
        <v>26303</v>
      </c>
      <c r="C1731" s="25" t="s">
        <v>3562</v>
      </c>
      <c r="D1731" s="25" t="s">
        <v>26059</v>
      </c>
      <c r="E1731" s="25"/>
      <c r="F1731" s="9" t="str">
        <f t="shared" si="23"/>
        <v>nucleus of pontine reticular formation</v>
      </c>
      <c r="G1731" s="9" t="s">
        <v>3297</v>
      </c>
      <c r="H1731" s="9" t="s">
        <v>20309</v>
      </c>
      <c r="I1731" s="9" t="s">
        <v>3300</v>
      </c>
      <c r="J1731" s="9" t="s">
        <v>3301</v>
      </c>
      <c r="K1731" s="4" t="s">
        <v>15175</v>
      </c>
      <c r="L1731" s="13">
        <v>12481</v>
      </c>
      <c r="M1731" t="str">
        <f>VLOOKUP(L1731,[1]Human_BrainSpan!$B$2:$C$4000,2,FALSE)</f>
        <v>PB</v>
      </c>
    </row>
    <row r="1732" spans="2:13" x14ac:dyDescent="0.25">
      <c r="B1732" s="31" t="s">
        <v>25743</v>
      </c>
      <c r="C1732" s="20"/>
      <c r="D1732" s="25" t="s">
        <v>26059</v>
      </c>
      <c r="E1732" s="25"/>
      <c r="F1732" s="9" t="str">
        <f t="shared" si="23"/>
        <v>nucleus of pontine reticular formation</v>
      </c>
      <c r="G1732" s="9" t="s">
        <v>3297</v>
      </c>
      <c r="H1732" s="9" t="s">
        <v>24335</v>
      </c>
      <c r="I1732" s="9" t="s">
        <v>3302</v>
      </c>
      <c r="J1732" s="9" t="s">
        <v>3303</v>
      </c>
      <c r="K1732" s="4" t="s">
        <v>15175</v>
      </c>
      <c r="L1732" s="13">
        <v>12496</v>
      </c>
      <c r="M1732" t="str">
        <f>VLOOKUP(L1732,[1]Human_BrainSpan!$B$2:$C$4000,2,FALSE)</f>
        <v>PMn</v>
      </c>
    </row>
    <row r="1733" spans="2:13" x14ac:dyDescent="0.25">
      <c r="B1733" s="31" t="s">
        <v>26303</v>
      </c>
      <c r="C1733" s="25" t="s">
        <v>3298</v>
      </c>
      <c r="D1733" s="25" t="s">
        <v>26059</v>
      </c>
      <c r="E1733" s="25"/>
      <c r="F1733" s="9" t="str">
        <f t="shared" si="23"/>
        <v>nucleus of pontine reticular formation</v>
      </c>
      <c r="G1733" s="9" t="s">
        <v>3297</v>
      </c>
      <c r="H1733" s="9" t="s">
        <v>24336</v>
      </c>
      <c r="I1733" s="9" t="s">
        <v>3298</v>
      </c>
      <c r="J1733" s="9" t="s">
        <v>3304</v>
      </c>
      <c r="K1733" s="4" t="s">
        <v>15175</v>
      </c>
      <c r="L1733" s="13">
        <v>12497</v>
      </c>
      <c r="M1733" t="str">
        <f>VLOOKUP(L1733,[1]Human_BrainSpan!$B$2:$C$4000,2,FALSE)</f>
        <v>RtTg</v>
      </c>
    </row>
    <row r="1734" spans="2:13" x14ac:dyDescent="0.25">
      <c r="B1734" s="31" t="s">
        <v>26303</v>
      </c>
      <c r="C1734" s="25" t="s">
        <v>3298</v>
      </c>
      <c r="D1734" s="25" t="s">
        <v>26059</v>
      </c>
      <c r="E1734" s="25"/>
      <c r="F1734" s="9" t="str">
        <f t="shared" si="23"/>
        <v>nucleus of pontine reticular formation</v>
      </c>
      <c r="G1734" s="9" t="s">
        <v>3297</v>
      </c>
      <c r="H1734" s="9" t="s">
        <v>24336</v>
      </c>
      <c r="I1734" s="9" t="s">
        <v>3305</v>
      </c>
      <c r="J1734" s="9" t="s">
        <v>3306</v>
      </c>
      <c r="K1734" s="7" t="s">
        <v>15171</v>
      </c>
      <c r="L1734" s="13">
        <v>9167</v>
      </c>
      <c r="M1734" t="str">
        <f>VLOOKUP(L1734,[1]HBA!$B$2:$C$4000,2,FALSE)</f>
        <v>RtTg</v>
      </c>
    </row>
    <row r="1735" spans="2:13" x14ac:dyDescent="0.25">
      <c r="B1735" s="31" t="s">
        <v>25743</v>
      </c>
      <c r="C1735" s="20"/>
      <c r="D1735" s="25" t="s">
        <v>26059</v>
      </c>
      <c r="E1735" s="25"/>
      <c r="F1735" s="9" t="str">
        <f t="shared" si="23"/>
        <v>nucleus of pontine reticular formation</v>
      </c>
      <c r="G1735" s="9" t="s">
        <v>3297</v>
      </c>
      <c r="H1735" s="9" t="s">
        <v>20383</v>
      </c>
      <c r="I1735" s="9" t="s">
        <v>3307</v>
      </c>
      <c r="J1735" s="9" t="s">
        <v>3308</v>
      </c>
      <c r="K1735" s="3" t="s">
        <v>15176</v>
      </c>
      <c r="L1735" s="13">
        <v>146</v>
      </c>
      <c r="M1735" t="str">
        <f>VLOOKUP(L1735,[1]Mouse_ARA!$B$2:$C$1328,2,FALSE)</f>
        <v>PRNr</v>
      </c>
    </row>
    <row r="1736" spans="2:13" x14ac:dyDescent="0.25">
      <c r="B1736" s="31" t="s">
        <v>25743</v>
      </c>
      <c r="C1736" s="20"/>
      <c r="D1736" s="25" t="s">
        <v>26060</v>
      </c>
      <c r="E1736" s="25"/>
      <c r="F1736" s="9" t="str">
        <f>HYPERLINK("https://www.ebi.ac.uk/ols/ontologies/uberon/terms?iri=http://purl.obolibrary.org/obo/UBERON_0002711","nucleus of posterior commissure")</f>
        <v>nucleus of posterior commissure</v>
      </c>
      <c r="G1736" s="9" t="s">
        <v>3309</v>
      </c>
      <c r="H1736" s="9" t="s">
        <v>16607</v>
      </c>
      <c r="I1736" s="9" t="s">
        <v>1485</v>
      </c>
      <c r="J1736" s="9" t="s">
        <v>3310</v>
      </c>
      <c r="K1736" s="7" t="s">
        <v>15171</v>
      </c>
      <c r="L1736" s="13">
        <v>9027</v>
      </c>
      <c r="M1736" t="str">
        <f>VLOOKUP(L1736,[1]HBA!$B$2:$C$4000,2,FALSE)</f>
        <v>PCom</v>
      </c>
    </row>
    <row r="1737" spans="2:13" x14ac:dyDescent="0.25">
      <c r="B1737" s="31" t="s">
        <v>25743</v>
      </c>
      <c r="C1737" s="20"/>
      <c r="D1737" s="25" t="s">
        <v>26060</v>
      </c>
      <c r="E1737" s="25"/>
      <c r="F1737" s="9" t="str">
        <f>HYPERLINK("https://www.ebi.ac.uk/ols/ontologies/uberon/terms?iri=http://purl.obolibrary.org/obo/UBERON_0002711","nucleus of posterior commissure")</f>
        <v>nucleus of posterior commissure</v>
      </c>
      <c r="G1737" s="9" t="s">
        <v>3309</v>
      </c>
      <c r="H1737" s="9" t="s">
        <v>20236</v>
      </c>
      <c r="I1737" s="9" t="s">
        <v>1485</v>
      </c>
      <c r="J1737" s="9" t="s">
        <v>1486</v>
      </c>
      <c r="K1737" s="3" t="s">
        <v>15176</v>
      </c>
      <c r="L1737" s="13">
        <v>634</v>
      </c>
      <c r="M1737" t="str">
        <f>VLOOKUP(L1737,[1]Mouse_ARA!$B$2:$C$1328,2,FALSE)</f>
        <v>NPC</v>
      </c>
    </row>
    <row r="1738" spans="2:13" x14ac:dyDescent="0.25">
      <c r="B1738" s="31" t="s">
        <v>25743</v>
      </c>
      <c r="C1738" s="20"/>
      <c r="D1738" s="25" t="s">
        <v>26061</v>
      </c>
      <c r="E1738" s="25"/>
      <c r="F1738" s="9" t="str">
        <f>HYPERLINK("https://www.ebi.ac.uk/ols/ontologies/uberon/terms?iri=http://purl.obolibrary.org/obo/UBERON_0009050","nucleus of solitary tract")</f>
        <v>nucleus of solitary tract</v>
      </c>
      <c r="G1738" s="9" t="s">
        <v>3311</v>
      </c>
      <c r="H1738" s="9" t="s">
        <v>24390</v>
      </c>
      <c r="I1738" s="9" t="s">
        <v>3312</v>
      </c>
      <c r="J1738" s="9" t="s">
        <v>3313</v>
      </c>
      <c r="K1738" s="4" t="s">
        <v>15175</v>
      </c>
      <c r="L1738" s="13">
        <v>12557</v>
      </c>
      <c r="M1738" t="str">
        <f>VLOOKUP(L1738,[1]Human_BrainSpan!$B$2:$C$4000,2,FALSE)</f>
        <v>Sol</v>
      </c>
    </row>
    <row r="1739" spans="2:13" x14ac:dyDescent="0.25">
      <c r="B1739" s="31" t="s">
        <v>25743</v>
      </c>
      <c r="C1739" s="20"/>
      <c r="D1739" s="25" t="s">
        <v>26061</v>
      </c>
      <c r="E1739" s="25"/>
      <c r="F1739" s="9" t="str">
        <f>HYPERLINK("https://www.ebi.ac.uk/ols/ontologies/uberon/terms?iri=http://purl.obolibrary.org/obo/UBERON_0009050","nucleus of solitary tract")</f>
        <v>nucleus of solitary tract</v>
      </c>
      <c r="G1739" s="9" t="s">
        <v>3311</v>
      </c>
      <c r="H1739" s="9" t="s">
        <v>24390</v>
      </c>
      <c r="I1739" s="9" t="s">
        <v>3312</v>
      </c>
      <c r="J1739" s="9" t="s">
        <v>3314</v>
      </c>
      <c r="K1739" s="7" t="s">
        <v>15171</v>
      </c>
      <c r="L1739" s="13">
        <v>9653</v>
      </c>
      <c r="M1739" t="str">
        <f>VLOOKUP(L1739,[1]HBA!$B$2:$C$4000,2,FALSE)</f>
        <v>Sol</v>
      </c>
    </row>
    <row r="1740" spans="2:13" x14ac:dyDescent="0.25">
      <c r="B1740" s="31" t="s">
        <v>25743</v>
      </c>
      <c r="C1740" s="20"/>
      <c r="D1740" s="25" t="s">
        <v>26061</v>
      </c>
      <c r="E1740" s="25"/>
      <c r="F1740" s="9" t="str">
        <f>HYPERLINK("https://www.ebi.ac.uk/ols/ontologies/uberon/terms?iri=http://purl.obolibrary.org/obo/UBERON_0009050","nucleus of solitary tract")</f>
        <v>nucleus of solitary tract</v>
      </c>
      <c r="G1740" s="9" t="s">
        <v>3311</v>
      </c>
      <c r="H1740" s="9" t="s">
        <v>20417</v>
      </c>
      <c r="I1740" s="9" t="s">
        <v>3315</v>
      </c>
      <c r="J1740" s="9" t="s">
        <v>3316</v>
      </c>
      <c r="K1740" s="3" t="s">
        <v>15176</v>
      </c>
      <c r="L1740" s="13">
        <v>651</v>
      </c>
      <c r="M1740" t="str">
        <f>VLOOKUP(L1740,[1]Mouse_ARA!$B$2:$C$1328,2,FALSE)</f>
        <v>NTS</v>
      </c>
    </row>
    <row r="1741" spans="2:13" x14ac:dyDescent="0.25">
      <c r="B1741" s="31" t="s">
        <v>26303</v>
      </c>
      <c r="C1741" s="25" t="s">
        <v>26142</v>
      </c>
      <c r="D1741" s="25" t="s">
        <v>26062</v>
      </c>
      <c r="E1741" s="25"/>
      <c r="F1741" s="9" t="str">
        <f>HYPERLINK("https://www.ebi.ac.uk/ols/ontologies/uberon/terms?iri=http://purl.obolibrary.org/obo/UBERON_0007692","nucleus of thalamus")</f>
        <v>nucleus of thalamus</v>
      </c>
      <c r="G1741" s="9" t="s">
        <v>3317</v>
      </c>
      <c r="H1741" s="9" t="s">
        <v>16466</v>
      </c>
      <c r="I1741" s="9" t="s">
        <v>696</v>
      </c>
      <c r="J1741" s="9" t="s">
        <v>697</v>
      </c>
      <c r="K1741" s="5" t="s">
        <v>15173</v>
      </c>
      <c r="L1741" s="13">
        <v>16441</v>
      </c>
      <c r="M1741" t="str">
        <f>VLOOKUP(L1741,[1]DevMouse!$B$2:$C$2693,2,FALSE)</f>
        <v>PVP</v>
      </c>
    </row>
    <row r="1742" spans="2:13" x14ac:dyDescent="0.25">
      <c r="B1742" s="31" t="s">
        <v>26302</v>
      </c>
      <c r="C1742" s="25" t="s">
        <v>26142</v>
      </c>
      <c r="D1742" s="25" t="s">
        <v>26062</v>
      </c>
      <c r="E1742" s="25"/>
      <c r="F1742" s="9" t="str">
        <f>HYPERLINK("https://www.ebi.ac.uk/ols/ontologies/uberon/terms?iri=http://purl.obolibrary.org/obo/UBERON_0007692","nucleus of thalamus")</f>
        <v>nucleus of thalamus</v>
      </c>
      <c r="G1742" s="9" t="s">
        <v>3317</v>
      </c>
      <c r="H1742" s="9" t="s">
        <v>20061</v>
      </c>
      <c r="I1742" s="9" t="s">
        <v>743</v>
      </c>
      <c r="J1742" s="9" t="s">
        <v>744</v>
      </c>
      <c r="K1742" s="3" t="s">
        <v>15176</v>
      </c>
      <c r="L1742" s="13">
        <v>126</v>
      </c>
      <c r="M1742" t="str">
        <f>VLOOKUP(L1742,[1]Mouse_ARA!$B$2:$C$1328,2,FALSE)</f>
        <v>PVp</v>
      </c>
    </row>
    <row r="1743" spans="2:13" x14ac:dyDescent="0.25">
      <c r="B1743" s="31" t="s">
        <v>26303</v>
      </c>
      <c r="C1743" s="25" t="s">
        <v>782</v>
      </c>
      <c r="D1743" s="25" t="s">
        <v>26062</v>
      </c>
      <c r="E1743" s="25"/>
      <c r="F1743" s="9" t="str">
        <f>HYPERLINK("https://www.ebi.ac.uk/ols/ontologies/uberon/terms?iri=http://purl.obolibrary.org/obo/UBERON_0007692","nucleus of thalamus")</f>
        <v>nucleus of thalamus</v>
      </c>
      <c r="G1743" s="9" t="s">
        <v>3317</v>
      </c>
      <c r="H1743" s="9" t="s">
        <v>19893</v>
      </c>
      <c r="I1743" s="9" t="s">
        <v>782</v>
      </c>
      <c r="J1743" s="9" t="s">
        <v>783</v>
      </c>
      <c r="K1743" s="3" t="s">
        <v>15176</v>
      </c>
      <c r="L1743" s="13">
        <v>406</v>
      </c>
      <c r="M1743" t="str">
        <f>VLOOKUP(L1743,[1]Mouse_ARA!$B$2:$C$1328,2,FALSE)</f>
        <v>SPF</v>
      </c>
    </row>
    <row r="1744" spans="2:13" x14ac:dyDescent="0.25">
      <c r="B1744" s="31" t="s">
        <v>25743</v>
      </c>
      <c r="C1744" s="25"/>
      <c r="D1744" s="25" t="s">
        <v>3319</v>
      </c>
      <c r="E1744" s="25"/>
      <c r="F1744" s="9" t="str">
        <f>HYPERLINK("https://www.ebi.ac.uk/ols/ontologies/uberon/terms?iri=http://purl.obolibrary.org/obo/UBERON_0036012","nucleus of the brachium of the inferior colliculus")</f>
        <v>nucleus of the brachium of the inferior colliculus</v>
      </c>
      <c r="G1744" s="9" t="s">
        <v>3318</v>
      </c>
      <c r="H1744" s="9" t="s">
        <v>25208</v>
      </c>
      <c r="I1744" s="9" t="s">
        <v>3319</v>
      </c>
      <c r="J1744" s="9" t="s">
        <v>3320</v>
      </c>
      <c r="K1744" s="7" t="s">
        <v>15171</v>
      </c>
      <c r="L1744" s="13">
        <v>9483</v>
      </c>
      <c r="M1744" t="str">
        <f>VLOOKUP(L1744,[1]HBA!$B$2:$C$4000,2,FALSE)</f>
        <v>BrC</v>
      </c>
    </row>
    <row r="1745" spans="2:13" x14ac:dyDescent="0.25">
      <c r="B1745" s="31" t="s">
        <v>25743</v>
      </c>
      <c r="C1745" s="25"/>
      <c r="D1745" s="25" t="s">
        <v>3319</v>
      </c>
      <c r="E1745" s="25"/>
      <c r="F1745" s="9" t="str">
        <f>HYPERLINK("https://www.ebi.ac.uk/ols/ontologies/uberon/terms?iri=http://purl.obolibrary.org/obo/UBERON_0036012","nucleus of the brachium of the inferior colliculus")</f>
        <v>nucleus of the brachium of the inferior colliculus</v>
      </c>
      <c r="G1745" s="9" t="s">
        <v>3318</v>
      </c>
      <c r="H1745" s="9" t="s">
        <v>20179</v>
      </c>
      <c r="I1745" s="9" t="s">
        <v>3319</v>
      </c>
      <c r="J1745" s="9" t="s">
        <v>3321</v>
      </c>
      <c r="K1745" s="3" t="s">
        <v>15176</v>
      </c>
      <c r="L1745" s="13">
        <v>580</v>
      </c>
      <c r="M1745" t="str">
        <f>VLOOKUP(L1745,[1]Mouse_ARA!$B$2:$C$1328,2,FALSE)</f>
        <v>NB</v>
      </c>
    </row>
    <row r="1746" spans="2:13" x14ac:dyDescent="0.25">
      <c r="B1746" s="31" t="s">
        <v>25743</v>
      </c>
      <c r="C1746" s="20"/>
      <c r="D1746" s="25" t="s">
        <v>3323</v>
      </c>
      <c r="E1746" s="25"/>
      <c r="F1746" s="9" t="str">
        <f>HYPERLINK("https://www.ebi.ac.uk/ols/ontologies/uberon/terms?iri=http://purl.obolibrary.org/obo/UBERON_0007633","nucleus of trapezoid body")</f>
        <v>nucleus of trapezoid body</v>
      </c>
      <c r="G1746" s="9" t="s">
        <v>3322</v>
      </c>
      <c r="H1746" s="9" t="s">
        <v>24307</v>
      </c>
      <c r="I1746" s="9" t="s">
        <v>3323</v>
      </c>
      <c r="J1746" s="9" t="s">
        <v>3324</v>
      </c>
      <c r="K1746" s="4" t="s">
        <v>15175</v>
      </c>
      <c r="L1746" s="13">
        <v>12458</v>
      </c>
      <c r="M1746" t="str">
        <f>VLOOKUP(L1746,[1]Human_BrainSpan!$B$2:$C$4000,2,FALSE)</f>
        <v>TrZ</v>
      </c>
    </row>
    <row r="1747" spans="2:13" x14ac:dyDescent="0.25">
      <c r="B1747" s="31" t="s">
        <v>25743</v>
      </c>
      <c r="C1747" s="20"/>
      <c r="D1747" s="25" t="s">
        <v>3323</v>
      </c>
      <c r="E1747" s="25"/>
      <c r="F1747" s="9" t="str">
        <f>HYPERLINK("https://www.ebi.ac.uk/ols/ontologies/uberon/terms?iri=http://purl.obolibrary.org/obo/UBERON_0007633","nucleus of trapezoid body")</f>
        <v>nucleus of trapezoid body</v>
      </c>
      <c r="G1747" s="9" t="s">
        <v>3322</v>
      </c>
      <c r="H1747" s="9" t="s">
        <v>25441</v>
      </c>
      <c r="I1747" s="9" t="s">
        <v>3325</v>
      </c>
      <c r="J1747" s="9" t="s">
        <v>3326</v>
      </c>
      <c r="K1747" s="7" t="s">
        <v>15171</v>
      </c>
      <c r="L1747" s="13">
        <v>9185</v>
      </c>
      <c r="M1747" t="str">
        <f>VLOOKUP(L1747,[1]HBA!$B$2:$C$4000,2,FALSE)</f>
        <v>Tz</v>
      </c>
    </row>
    <row r="1748" spans="2:13" x14ac:dyDescent="0.25">
      <c r="B1748" s="31" t="s">
        <v>25743</v>
      </c>
      <c r="C1748" s="20"/>
      <c r="D1748" s="25" t="s">
        <v>3323</v>
      </c>
      <c r="E1748" s="25"/>
      <c r="F1748" s="9" t="str">
        <f>HYPERLINK("https://www.ebi.ac.uk/ols/ontologies/uberon/terms?iri=http://purl.obolibrary.org/obo/UBERON_0007633","nucleus of trapezoid body")</f>
        <v>nucleus of trapezoid body</v>
      </c>
      <c r="G1748" s="9" t="s">
        <v>3322</v>
      </c>
      <c r="H1748" s="9" t="s">
        <v>20415</v>
      </c>
      <c r="I1748" s="9" t="s">
        <v>3290</v>
      </c>
      <c r="J1748" s="9" t="s">
        <v>3291</v>
      </c>
      <c r="K1748" s="3" t="s">
        <v>15176</v>
      </c>
      <c r="L1748" s="13">
        <v>642</v>
      </c>
      <c r="M1748" t="str">
        <f>VLOOKUP(L1748,[1]Mouse_ARA!$B$2:$C$1328,2,FALSE)</f>
        <v>NTB</v>
      </c>
    </row>
    <row r="1749" spans="2:13" x14ac:dyDescent="0.25">
      <c r="B1749" s="31" t="s">
        <v>26303</v>
      </c>
      <c r="C1749" s="25" t="s">
        <v>3328</v>
      </c>
      <c r="D1749" s="25" t="s">
        <v>26063</v>
      </c>
      <c r="E1749" s="25"/>
      <c r="F1749" s="9" t="str">
        <f t="shared" ref="F1749:F1762" si="24">HYPERLINK("https://www.ebi.ac.uk/ols/ontologies/uberon/terms?iri=http://purl.obolibrary.org/obo/UBERON_0015234","nucleus of ventral thalamus")</f>
        <v>nucleus of ventral thalamus</v>
      </c>
      <c r="G1749" s="9" t="s">
        <v>3327</v>
      </c>
      <c r="H1749" s="9" t="s">
        <v>16444</v>
      </c>
      <c r="I1749" s="9" t="s">
        <v>3328</v>
      </c>
      <c r="J1749" s="9" t="s">
        <v>3329</v>
      </c>
      <c r="K1749" s="4" t="s">
        <v>15175</v>
      </c>
      <c r="L1749" s="13">
        <v>10417</v>
      </c>
      <c r="M1749" t="str">
        <f>VLOOKUP(L1749,[1]Human_BrainSpan!$B$2:$C$4000,2,FALSE)</f>
        <v>VA</v>
      </c>
    </row>
    <row r="1750" spans="2:13" x14ac:dyDescent="0.25">
      <c r="B1750" s="31" t="s">
        <v>26303</v>
      </c>
      <c r="C1750" s="25" t="s">
        <v>690</v>
      </c>
      <c r="D1750" s="25" t="s">
        <v>26063</v>
      </c>
      <c r="E1750" s="25"/>
      <c r="F1750" s="9" t="str">
        <f t="shared" si="24"/>
        <v>nucleus of ventral thalamus</v>
      </c>
      <c r="G1750" s="9" t="s">
        <v>3327</v>
      </c>
      <c r="H1750" s="9" t="s">
        <v>16447</v>
      </c>
      <c r="I1750" s="9" t="s">
        <v>3330</v>
      </c>
      <c r="J1750" s="9" t="s">
        <v>3331</v>
      </c>
      <c r="K1750" s="4" t="s">
        <v>15175</v>
      </c>
      <c r="L1750" s="13">
        <v>10424</v>
      </c>
      <c r="M1750" t="str">
        <f>VLOOKUP(L1750,[1]Human_BrainSpan!$B$2:$C$4000,2,FALSE)</f>
        <v>VPL</v>
      </c>
    </row>
    <row r="1751" spans="2:13" x14ac:dyDescent="0.25">
      <c r="B1751" s="31" t="s">
        <v>26303</v>
      </c>
      <c r="C1751" s="25" t="s">
        <v>26276</v>
      </c>
      <c r="D1751" s="25" t="s">
        <v>26063</v>
      </c>
      <c r="E1751" s="25"/>
      <c r="F1751" s="9" t="str">
        <f t="shared" si="24"/>
        <v>nucleus of ventral thalamus</v>
      </c>
      <c r="G1751" s="9" t="s">
        <v>3327</v>
      </c>
      <c r="H1751" s="9" t="s">
        <v>16446</v>
      </c>
      <c r="I1751" s="9" t="s">
        <v>3332</v>
      </c>
      <c r="J1751" s="9" t="s">
        <v>3333</v>
      </c>
      <c r="K1751" s="4" t="s">
        <v>15175</v>
      </c>
      <c r="L1751" s="13">
        <v>10425</v>
      </c>
      <c r="M1751" t="str">
        <f>VLOOKUP(L1751,[1]Human_BrainSpan!$B$2:$C$4000,2,FALSE)</f>
        <v>VPM</v>
      </c>
    </row>
    <row r="1752" spans="2:13" x14ac:dyDescent="0.25">
      <c r="B1752" s="31" t="s">
        <v>26303</v>
      </c>
      <c r="C1752" s="25" t="s">
        <v>26275</v>
      </c>
      <c r="D1752" s="25" t="s">
        <v>26063</v>
      </c>
      <c r="E1752" s="25"/>
      <c r="F1752" s="9" t="str">
        <f t="shared" si="24"/>
        <v>nucleus of ventral thalamus</v>
      </c>
      <c r="G1752" s="9" t="s">
        <v>3327</v>
      </c>
      <c r="H1752" s="9" t="s">
        <v>23341</v>
      </c>
      <c r="I1752" s="9" t="s">
        <v>3334</v>
      </c>
      <c r="J1752" s="9" t="s">
        <v>3335</v>
      </c>
      <c r="K1752" s="4" t="s">
        <v>15175</v>
      </c>
      <c r="L1752" s="13">
        <v>10426</v>
      </c>
      <c r="M1752" t="str">
        <f>VLOOKUP(L1752,[1]Human_BrainSpan!$B$2:$C$4000,2,FALSE)</f>
        <v>VPI</v>
      </c>
    </row>
    <row r="1753" spans="2:13" x14ac:dyDescent="0.25">
      <c r="B1753" s="31" t="s">
        <v>26303</v>
      </c>
      <c r="C1753" s="20"/>
      <c r="D1753" s="25" t="s">
        <v>26063</v>
      </c>
      <c r="E1753" s="25" t="s">
        <v>26300</v>
      </c>
      <c r="F1753" s="9" t="str">
        <f t="shared" si="24"/>
        <v>nucleus of ventral thalamus</v>
      </c>
      <c r="G1753" s="9" t="s">
        <v>3327</v>
      </c>
      <c r="H1753" s="9" t="s">
        <v>16278</v>
      </c>
      <c r="I1753" s="9" t="s">
        <v>3258</v>
      </c>
      <c r="J1753" s="9" t="s">
        <v>3259</v>
      </c>
      <c r="K1753" s="5" t="s">
        <v>15173</v>
      </c>
      <c r="L1753" s="13">
        <v>16339</v>
      </c>
      <c r="M1753" t="str">
        <f>VLOOKUP(L1753,[1]DevMouse!$B$2:$C$2693,2,FALSE)</f>
        <v>IntC</v>
      </c>
    </row>
    <row r="1754" spans="2:13" x14ac:dyDescent="0.25">
      <c r="B1754" s="31" t="s">
        <v>26303</v>
      </c>
      <c r="C1754" s="25" t="s">
        <v>26270</v>
      </c>
      <c r="D1754" s="25" t="s">
        <v>26063</v>
      </c>
      <c r="E1754" s="25"/>
      <c r="F1754" s="9" t="str">
        <f t="shared" si="24"/>
        <v>nucleus of ventral thalamus</v>
      </c>
      <c r="G1754" s="9" t="s">
        <v>3327</v>
      </c>
      <c r="H1754" s="9" t="s">
        <v>16281</v>
      </c>
      <c r="I1754" s="9" t="s">
        <v>666</v>
      </c>
      <c r="J1754" s="9" t="s">
        <v>667</v>
      </c>
      <c r="K1754" s="5" t="s">
        <v>15173</v>
      </c>
      <c r="L1754" s="13">
        <v>16341</v>
      </c>
      <c r="M1754" t="str">
        <f>VLOOKUP(L1754,[1]DevMouse!$B$2:$C$2693,2,FALSE)</f>
        <v>PreG</v>
      </c>
    </row>
    <row r="1755" spans="2:13" x14ac:dyDescent="0.25">
      <c r="B1755" s="31" t="s">
        <v>26303</v>
      </c>
      <c r="C1755" s="25" t="s">
        <v>3336</v>
      </c>
      <c r="D1755" s="25" t="s">
        <v>26063</v>
      </c>
      <c r="E1755" s="25"/>
      <c r="F1755" s="9" t="str">
        <f t="shared" si="24"/>
        <v>nucleus of ventral thalamus</v>
      </c>
      <c r="G1755" s="9" t="s">
        <v>3327</v>
      </c>
      <c r="H1755" s="9" t="s">
        <v>16282</v>
      </c>
      <c r="I1755" s="9" t="s">
        <v>3336</v>
      </c>
      <c r="J1755" s="9" t="s">
        <v>3337</v>
      </c>
      <c r="K1755" s="5" t="s">
        <v>15173</v>
      </c>
      <c r="L1755" s="13">
        <v>16342</v>
      </c>
      <c r="M1755" t="str">
        <f>VLOOKUP(L1755,[1]DevMouse!$B$2:$C$2693,2,FALSE)</f>
        <v>PP</v>
      </c>
    </row>
    <row r="1756" spans="2:13" x14ac:dyDescent="0.25">
      <c r="B1756" s="31" t="s">
        <v>26303</v>
      </c>
      <c r="C1756" s="25" t="s">
        <v>3328</v>
      </c>
      <c r="D1756" s="25" t="s">
        <v>26063</v>
      </c>
      <c r="E1756" s="25"/>
      <c r="F1756" s="9" t="str">
        <f t="shared" si="24"/>
        <v>nucleus of ventral thalamus</v>
      </c>
      <c r="G1756" s="9" t="s">
        <v>3327</v>
      </c>
      <c r="H1756" s="9" t="s">
        <v>16444</v>
      </c>
      <c r="I1756" s="9" t="s">
        <v>3338</v>
      </c>
      <c r="J1756" s="9" t="s">
        <v>3339</v>
      </c>
      <c r="K1756" s="7" t="s">
        <v>15171</v>
      </c>
      <c r="L1756" s="13">
        <v>4418</v>
      </c>
      <c r="M1756" t="str">
        <f>VLOOKUP(L1756,[1]HBA!$B$2:$C$4000,2,FALSE)</f>
        <v>VA</v>
      </c>
    </row>
    <row r="1757" spans="2:13" x14ac:dyDescent="0.25">
      <c r="B1757" s="31" t="s">
        <v>26303</v>
      </c>
      <c r="C1757" s="25" t="s">
        <v>26276</v>
      </c>
      <c r="D1757" s="25" t="s">
        <v>26063</v>
      </c>
      <c r="E1757" s="25"/>
      <c r="F1757" s="9" t="str">
        <f t="shared" si="24"/>
        <v>nucleus of ventral thalamus</v>
      </c>
      <c r="G1757" s="9" t="s">
        <v>3327</v>
      </c>
      <c r="H1757" s="9" t="s">
        <v>16446</v>
      </c>
      <c r="I1757" s="9" t="s">
        <v>3340</v>
      </c>
      <c r="J1757" s="9" t="s">
        <v>3341</v>
      </c>
      <c r="K1757" s="7" t="s">
        <v>15171</v>
      </c>
      <c r="L1757" s="13">
        <v>4424</v>
      </c>
      <c r="M1757" t="str">
        <f>VLOOKUP(L1757,[1]HBA!$B$2:$C$4000,2,FALSE)</f>
        <v>VPM</v>
      </c>
    </row>
    <row r="1758" spans="2:13" x14ac:dyDescent="0.25">
      <c r="B1758" s="31" t="s">
        <v>26303</v>
      </c>
      <c r="C1758" s="25" t="s">
        <v>690</v>
      </c>
      <c r="D1758" s="25" t="s">
        <v>26063</v>
      </c>
      <c r="E1758" s="25"/>
      <c r="F1758" s="9" t="str">
        <f t="shared" si="24"/>
        <v>nucleus of ventral thalamus</v>
      </c>
      <c r="G1758" s="9" t="s">
        <v>3327</v>
      </c>
      <c r="H1758" s="9" t="s">
        <v>16447</v>
      </c>
      <c r="I1758" s="9" t="s">
        <v>3342</v>
      </c>
      <c r="J1758" s="9" t="s">
        <v>3343</v>
      </c>
      <c r="K1758" s="7" t="s">
        <v>15171</v>
      </c>
      <c r="L1758" s="13">
        <v>4425</v>
      </c>
      <c r="M1758" t="str">
        <f>VLOOKUP(L1758,[1]HBA!$B$2:$C$4000,2,FALSE)</f>
        <v>VPL</v>
      </c>
    </row>
    <row r="1759" spans="2:13" x14ac:dyDescent="0.25">
      <c r="B1759" s="31" t="s">
        <v>26303</v>
      </c>
      <c r="C1759" s="25" t="s">
        <v>26275</v>
      </c>
      <c r="D1759" s="25" t="s">
        <v>26063</v>
      </c>
      <c r="E1759" s="25"/>
      <c r="F1759" s="9" t="str">
        <f t="shared" si="24"/>
        <v>nucleus of ventral thalamus</v>
      </c>
      <c r="G1759" s="9" t="s">
        <v>3327</v>
      </c>
      <c r="H1759" s="9" t="s">
        <v>23341</v>
      </c>
      <c r="I1759" s="9" t="s">
        <v>3344</v>
      </c>
      <c r="J1759" s="9" t="s">
        <v>3345</v>
      </c>
      <c r="K1759" s="7" t="s">
        <v>15171</v>
      </c>
      <c r="L1759" s="13">
        <v>4426</v>
      </c>
      <c r="M1759" t="str">
        <f>VLOOKUP(L1759,[1]HBA!$B$2:$C$4000,2,FALSE)</f>
        <v>VPI</v>
      </c>
    </row>
    <row r="1760" spans="2:13" x14ac:dyDescent="0.25">
      <c r="B1760" s="31" t="s">
        <v>26303</v>
      </c>
      <c r="C1760" s="25" t="s">
        <v>3336</v>
      </c>
      <c r="D1760" s="25" t="s">
        <v>26063</v>
      </c>
      <c r="E1760" s="25"/>
      <c r="F1760" s="9" t="str">
        <f t="shared" si="24"/>
        <v>nucleus of ventral thalamus</v>
      </c>
      <c r="G1760" s="9" t="s">
        <v>3327</v>
      </c>
      <c r="H1760" s="9" t="s">
        <v>16282</v>
      </c>
      <c r="I1760" s="9" t="s">
        <v>3336</v>
      </c>
      <c r="J1760" s="9" t="s">
        <v>3346</v>
      </c>
      <c r="K1760" s="3" t="s">
        <v>15176</v>
      </c>
      <c r="L1760" s="13">
        <v>1044</v>
      </c>
      <c r="M1760" t="str">
        <f>VLOOKUP(L1760,[1]Mouse_ARA!$B$2:$C$1328,2,FALSE)</f>
        <v>PP</v>
      </c>
    </row>
    <row r="1761" spans="2:13" x14ac:dyDescent="0.25">
      <c r="B1761" s="31" t="s">
        <v>26303</v>
      </c>
      <c r="C1761" s="25" t="s">
        <v>3262</v>
      </c>
      <c r="D1761" s="25" t="s">
        <v>26063</v>
      </c>
      <c r="E1761" s="25"/>
      <c r="F1761" s="9" t="str">
        <f t="shared" si="24"/>
        <v>nucleus of ventral thalamus</v>
      </c>
      <c r="G1761" s="9" t="s">
        <v>3327</v>
      </c>
      <c r="H1761" s="9" t="s">
        <v>20508</v>
      </c>
      <c r="I1761" s="9" t="s">
        <v>3262</v>
      </c>
      <c r="J1761" s="9" t="s">
        <v>3263</v>
      </c>
      <c r="K1761" s="3" t="s">
        <v>15176</v>
      </c>
      <c r="L1761" s="13">
        <v>161</v>
      </c>
      <c r="M1761" t="str">
        <f>VLOOKUP(L1761,[1]Mouse_ARA!$B$2:$C$1328,2,FALSE)</f>
        <v>NIS</v>
      </c>
    </row>
    <row r="1762" spans="2:13" x14ac:dyDescent="0.25">
      <c r="B1762" s="31" t="s">
        <v>26302</v>
      </c>
      <c r="C1762" s="25" t="s">
        <v>26270</v>
      </c>
      <c r="D1762" s="25" t="s">
        <v>26063</v>
      </c>
      <c r="E1762" s="25"/>
      <c r="F1762" s="9" t="str">
        <f t="shared" si="24"/>
        <v>nucleus of ventral thalamus</v>
      </c>
      <c r="G1762" s="9" t="s">
        <v>3327</v>
      </c>
      <c r="H1762" s="9" t="s">
        <v>19982</v>
      </c>
      <c r="I1762" s="9" t="s">
        <v>757</v>
      </c>
      <c r="J1762" s="9" t="s">
        <v>758</v>
      </c>
      <c r="K1762" s="3" t="s">
        <v>15176</v>
      </c>
      <c r="L1762" s="13">
        <v>178</v>
      </c>
      <c r="M1762" t="str">
        <f>VLOOKUP(L1762,[1]Mouse_ARA!$B$2:$C$1328,2,FALSE)</f>
        <v>LGv</v>
      </c>
    </row>
    <row r="1763" spans="2:13" x14ac:dyDescent="0.25">
      <c r="B1763" s="31" t="s">
        <v>25743</v>
      </c>
      <c r="C1763" s="20"/>
      <c r="D1763" s="25" t="s">
        <v>3352</v>
      </c>
      <c r="E1763" s="25"/>
      <c r="F1763" s="9" t="str">
        <f>HYPERLINK("https://www.ebi.ac.uk/ols/ontologies/uberon/terms?iri=http://purl.obolibrary.org/obo/UBERON_0002160","nucleus prepositus")</f>
        <v>nucleus prepositus</v>
      </c>
      <c r="G1763" s="9" t="s">
        <v>3347</v>
      </c>
      <c r="H1763" s="9" t="s">
        <v>24445</v>
      </c>
      <c r="I1763" s="9" t="s">
        <v>3348</v>
      </c>
      <c r="J1763" s="9" t="s">
        <v>3349</v>
      </c>
      <c r="K1763" s="4" t="s">
        <v>15175</v>
      </c>
      <c r="L1763" s="13">
        <v>12615</v>
      </c>
      <c r="M1763" t="str">
        <f>VLOOKUP(L1763,[1]Human_BrainSpan!$B$2:$C$4000,2,FALSE)</f>
        <v>PrH</v>
      </c>
    </row>
    <row r="1764" spans="2:13" x14ac:dyDescent="0.25">
      <c r="B1764" s="31" t="s">
        <v>25743</v>
      </c>
      <c r="C1764" s="20"/>
      <c r="D1764" s="25" t="s">
        <v>3352</v>
      </c>
      <c r="E1764" s="25"/>
      <c r="F1764" s="9" t="str">
        <f>HYPERLINK("https://www.ebi.ac.uk/ols/ontologies/uberon/terms?iri=http://purl.obolibrary.org/obo/UBERON_0002160","nucleus prepositus")</f>
        <v>nucleus prepositus</v>
      </c>
      <c r="G1764" s="9" t="s">
        <v>3347</v>
      </c>
      <c r="H1764" s="9" t="s">
        <v>25463</v>
      </c>
      <c r="I1764" s="9" t="s">
        <v>3350</v>
      </c>
      <c r="J1764" s="9" t="s">
        <v>3351</v>
      </c>
      <c r="K1764" s="7" t="s">
        <v>15171</v>
      </c>
      <c r="L1764" s="13">
        <v>9639</v>
      </c>
      <c r="M1764" t="str">
        <f>VLOOKUP(L1764,[1]HBA!$B$2:$C$4000,2,FALSE)</f>
        <v>Pr</v>
      </c>
    </row>
    <row r="1765" spans="2:13" x14ac:dyDescent="0.25">
      <c r="B1765" s="31" t="s">
        <v>25743</v>
      </c>
      <c r="C1765" s="20"/>
      <c r="D1765" s="25" t="s">
        <v>3352</v>
      </c>
      <c r="E1765" s="25"/>
      <c r="F1765" s="9" t="str">
        <f>HYPERLINK("https://www.ebi.ac.uk/ols/ontologies/uberon/terms?iri=http://purl.obolibrary.org/obo/UBERON_0002160","nucleus prepositus")</f>
        <v>nucleus prepositus</v>
      </c>
      <c r="G1765" s="9" t="s">
        <v>3347</v>
      </c>
      <c r="H1765" s="9" t="s">
        <v>20512</v>
      </c>
      <c r="I1765" s="9" t="s">
        <v>3352</v>
      </c>
      <c r="J1765" s="9" t="s">
        <v>3353</v>
      </c>
      <c r="K1765" s="3" t="s">
        <v>15176</v>
      </c>
      <c r="L1765" s="13">
        <v>169</v>
      </c>
      <c r="M1765" t="str">
        <f>VLOOKUP(L1765,[1]Mouse_ARA!$B$2:$C$1328,2,FALSE)</f>
        <v>PRP</v>
      </c>
    </row>
    <row r="1766" spans="2:13" x14ac:dyDescent="0.25">
      <c r="B1766" s="31" t="s">
        <v>25743</v>
      </c>
      <c r="C1766" s="20"/>
      <c r="D1766" s="25" t="s">
        <v>3357</v>
      </c>
      <c r="E1766" s="25"/>
      <c r="F1766" s="9" t="str">
        <f>HYPERLINK("https://www.ebi.ac.uk/ols/ontologies/uberon/terms?iri=http://purl.obolibrary.org/obo/UBERON_0002156","nucleus raphe magnus")</f>
        <v>nucleus raphe magnus</v>
      </c>
      <c r="G1766" s="9" t="s">
        <v>3354</v>
      </c>
      <c r="H1766" s="9" t="s">
        <v>24470</v>
      </c>
      <c r="I1766" s="9" t="s">
        <v>3355</v>
      </c>
      <c r="J1766" s="9" t="s">
        <v>3356</v>
      </c>
      <c r="K1766" s="4" t="s">
        <v>15175</v>
      </c>
      <c r="L1766" s="13">
        <v>12642</v>
      </c>
      <c r="M1766" t="str">
        <f>VLOOKUP(L1766,[1]Human_BrainSpan!$B$2:$C$4000,2,FALSE)</f>
        <v>RMg</v>
      </c>
    </row>
    <row r="1767" spans="2:13" x14ac:dyDescent="0.25">
      <c r="B1767" s="31" t="s">
        <v>25743</v>
      </c>
      <c r="C1767" s="20"/>
      <c r="D1767" s="25" t="s">
        <v>3357</v>
      </c>
      <c r="E1767" s="25"/>
      <c r="F1767" s="9" t="str">
        <f>HYPERLINK("https://www.ebi.ac.uk/ols/ontologies/uberon/terms?iri=http://purl.obolibrary.org/obo/UBERON_0002156","nucleus raphe magnus")</f>
        <v>nucleus raphe magnus</v>
      </c>
      <c r="G1767" s="9" t="s">
        <v>3354</v>
      </c>
      <c r="H1767" s="9" t="s">
        <v>24470</v>
      </c>
      <c r="I1767" s="9" t="s">
        <v>3357</v>
      </c>
      <c r="J1767" s="9" t="s">
        <v>3358</v>
      </c>
      <c r="K1767" s="7" t="s">
        <v>15171</v>
      </c>
      <c r="L1767" s="13">
        <v>9643</v>
      </c>
      <c r="M1767" t="str">
        <f>VLOOKUP(L1767,[1]HBA!$B$2:$C$4000,2,FALSE)</f>
        <v>RMg</v>
      </c>
    </row>
    <row r="1768" spans="2:13" x14ac:dyDescent="0.25">
      <c r="B1768" s="31" t="s">
        <v>25743</v>
      </c>
      <c r="C1768" s="20"/>
      <c r="D1768" s="25" t="s">
        <v>3357</v>
      </c>
      <c r="E1768" s="25"/>
      <c r="F1768" s="9" t="str">
        <f>HYPERLINK("https://www.ebi.ac.uk/ols/ontologies/uberon/terms?iri=http://purl.obolibrary.org/obo/UBERON_0002156","nucleus raphe magnus")</f>
        <v>nucleus raphe magnus</v>
      </c>
      <c r="G1768" s="9" t="s">
        <v>3354</v>
      </c>
      <c r="H1768" s="9" t="s">
        <v>20542</v>
      </c>
      <c r="I1768" s="9" t="s">
        <v>3357</v>
      </c>
      <c r="J1768" s="9" t="s">
        <v>3359</v>
      </c>
      <c r="K1768" s="3" t="s">
        <v>15176</v>
      </c>
      <c r="L1768" s="13">
        <v>206</v>
      </c>
      <c r="M1768" t="str">
        <f>VLOOKUP(L1768,[1]Mouse_ARA!$B$2:$C$1328,2,FALSE)</f>
        <v>RM</v>
      </c>
    </row>
    <row r="1769" spans="2:13" x14ac:dyDescent="0.25">
      <c r="B1769" s="31" t="s">
        <v>25743</v>
      </c>
      <c r="C1769" s="20"/>
      <c r="D1769" s="25" t="s">
        <v>3363</v>
      </c>
      <c r="E1769" s="25"/>
      <c r="F1769" s="9" t="str">
        <f>HYPERLINK("https://www.ebi.ac.uk/ols/ontologies/uberon/terms?iri=http://purl.obolibrary.org/obo/UBERON_0002684","nucleus raphe obscurus")</f>
        <v>nucleus raphe obscurus</v>
      </c>
      <c r="G1769" s="9" t="s">
        <v>3360</v>
      </c>
      <c r="H1769" s="9" t="s">
        <v>24471</v>
      </c>
      <c r="I1769" s="9" t="s">
        <v>3361</v>
      </c>
      <c r="J1769" s="9" t="s">
        <v>3362</v>
      </c>
      <c r="K1769" s="4" t="s">
        <v>15175</v>
      </c>
      <c r="L1769" s="13">
        <v>12643</v>
      </c>
      <c r="M1769" t="str">
        <f>VLOOKUP(L1769,[1]Human_BrainSpan!$B$2:$C$4000,2,FALSE)</f>
        <v>ROb</v>
      </c>
    </row>
    <row r="1770" spans="2:13" x14ac:dyDescent="0.25">
      <c r="B1770" s="31" t="s">
        <v>25743</v>
      </c>
      <c r="C1770" s="20"/>
      <c r="D1770" s="25" t="s">
        <v>3363</v>
      </c>
      <c r="E1770" s="25"/>
      <c r="F1770" s="9" t="str">
        <f>HYPERLINK("https://www.ebi.ac.uk/ols/ontologies/uberon/terms?iri=http://purl.obolibrary.org/obo/UBERON_0002684","nucleus raphe obscurus")</f>
        <v>nucleus raphe obscurus</v>
      </c>
      <c r="G1770" s="9" t="s">
        <v>3360</v>
      </c>
      <c r="H1770" s="9" t="s">
        <v>24471</v>
      </c>
      <c r="I1770" s="9" t="s">
        <v>3363</v>
      </c>
      <c r="J1770" s="9" t="s">
        <v>3364</v>
      </c>
      <c r="K1770" s="7" t="s">
        <v>15171</v>
      </c>
      <c r="L1770" s="13">
        <v>9646</v>
      </c>
      <c r="M1770" t="str">
        <f>VLOOKUP(L1770,[1]HBA!$B$2:$C$4000,2,FALSE)</f>
        <v>ROb</v>
      </c>
    </row>
    <row r="1771" spans="2:13" x14ac:dyDescent="0.25">
      <c r="B1771" s="31" t="s">
        <v>25743</v>
      </c>
      <c r="C1771" s="20"/>
      <c r="D1771" s="25" t="s">
        <v>3363</v>
      </c>
      <c r="E1771" s="25"/>
      <c r="F1771" s="9" t="str">
        <f>HYPERLINK("https://www.ebi.ac.uk/ols/ontologies/uberon/terms?iri=http://purl.obolibrary.org/obo/UBERON_0002684","nucleus raphe obscurus")</f>
        <v>nucleus raphe obscurus</v>
      </c>
      <c r="G1771" s="9" t="s">
        <v>3360</v>
      </c>
      <c r="H1771" s="9" t="s">
        <v>20546</v>
      </c>
      <c r="I1771" s="9" t="s">
        <v>3363</v>
      </c>
      <c r="J1771" s="9" t="s">
        <v>3365</v>
      </c>
      <c r="K1771" s="3" t="s">
        <v>15176</v>
      </c>
      <c r="L1771" s="13">
        <v>222</v>
      </c>
      <c r="M1771" t="str">
        <f>VLOOKUP(L1771,[1]Mouse_ARA!$B$2:$C$1328,2,FALSE)</f>
        <v>RO</v>
      </c>
    </row>
    <row r="1772" spans="2:13" x14ac:dyDescent="0.25">
      <c r="B1772" s="31" t="s">
        <v>25743</v>
      </c>
      <c r="C1772" s="20"/>
      <c r="D1772" s="25" t="s">
        <v>3369</v>
      </c>
      <c r="E1772" s="25"/>
      <c r="F1772" s="9" t="str">
        <f>HYPERLINK("https://www.ebi.ac.uk/ols/ontologies/uberon/terms?iri=http://purl.obolibrary.org/obo/UBERON_0002157","nucleus raphe pallidus")</f>
        <v>nucleus raphe pallidus</v>
      </c>
      <c r="G1772" s="9" t="s">
        <v>3366</v>
      </c>
      <c r="H1772" s="9" t="s">
        <v>15314</v>
      </c>
      <c r="I1772" s="9" t="s">
        <v>3367</v>
      </c>
      <c r="J1772" s="9" t="s">
        <v>3368</v>
      </c>
      <c r="K1772" s="4" t="s">
        <v>15175</v>
      </c>
      <c r="L1772" s="13">
        <v>12644</v>
      </c>
      <c r="M1772" t="str">
        <f>VLOOKUP(L1772,[1]Human_BrainSpan!$B$2:$C$4000,2,FALSE)</f>
        <v>RPa</v>
      </c>
    </row>
    <row r="1773" spans="2:13" x14ac:dyDescent="0.25">
      <c r="B1773" s="31" t="s">
        <v>25743</v>
      </c>
      <c r="C1773" s="20"/>
      <c r="D1773" s="25" t="s">
        <v>3369</v>
      </c>
      <c r="E1773" s="25"/>
      <c r="F1773" s="9" t="str">
        <f>HYPERLINK("https://www.ebi.ac.uk/ols/ontologies/uberon/terms?iri=http://purl.obolibrary.org/obo/UBERON_0002157","nucleus raphe pallidus")</f>
        <v>nucleus raphe pallidus</v>
      </c>
      <c r="G1773" s="9" t="s">
        <v>3366</v>
      </c>
      <c r="H1773" s="9" t="s">
        <v>15314</v>
      </c>
      <c r="I1773" s="9" t="s">
        <v>3369</v>
      </c>
      <c r="J1773" s="9" t="s">
        <v>3370</v>
      </c>
      <c r="K1773" s="7" t="s">
        <v>15171</v>
      </c>
      <c r="L1773" s="13">
        <v>9649</v>
      </c>
      <c r="M1773" t="str">
        <f>VLOOKUP(L1773,[1]HBA!$B$2:$C$4000,2,FALSE)</f>
        <v>RPa</v>
      </c>
    </row>
    <row r="1774" spans="2:13" x14ac:dyDescent="0.25">
      <c r="B1774" s="31" t="s">
        <v>25743</v>
      </c>
      <c r="C1774" s="20"/>
      <c r="D1774" s="25" t="s">
        <v>3369</v>
      </c>
      <c r="E1774" s="25"/>
      <c r="F1774" s="9" t="str">
        <f>HYPERLINK("https://www.ebi.ac.uk/ols/ontologies/uberon/terms?iri=http://purl.obolibrary.org/obo/UBERON_0002157","nucleus raphe pallidus")</f>
        <v>nucleus raphe pallidus</v>
      </c>
      <c r="G1774" s="9" t="s">
        <v>3366</v>
      </c>
      <c r="H1774" s="9" t="s">
        <v>20544</v>
      </c>
      <c r="I1774" s="9" t="s">
        <v>3369</v>
      </c>
      <c r="J1774" s="9" t="s">
        <v>3371</v>
      </c>
      <c r="K1774" s="3" t="s">
        <v>15176</v>
      </c>
      <c r="L1774" s="13">
        <v>230</v>
      </c>
      <c r="M1774" t="str">
        <f>VLOOKUP(L1774,[1]Mouse_ARA!$B$2:$C$1328,2,FALSE)</f>
        <v>RPA</v>
      </c>
    </row>
    <row r="1775" spans="2:13" x14ac:dyDescent="0.25">
      <c r="B1775" s="31" t="s">
        <v>25743</v>
      </c>
      <c r="C1775" s="25"/>
      <c r="D1775" s="25" t="s">
        <v>721</v>
      </c>
      <c r="E1775" s="25"/>
      <c r="F1775" s="9" t="str">
        <f>HYPERLINK("https://www.ebi.ac.uk/ols/ontologies/uberon/terms?iri=http://purl.obolibrary.org/obo/UBERON_0002587","nucleus subceruleus")</f>
        <v>nucleus subceruleus</v>
      </c>
      <c r="G1775" s="9" t="s">
        <v>3372</v>
      </c>
      <c r="H1775" s="9" t="s">
        <v>24339</v>
      </c>
      <c r="I1775" s="9" t="s">
        <v>646</v>
      </c>
      <c r="J1775" s="9" t="s">
        <v>647</v>
      </c>
      <c r="K1775" s="4" t="s">
        <v>15175</v>
      </c>
      <c r="L1775" s="13">
        <v>12500</v>
      </c>
      <c r="M1775" t="str">
        <f>VLOOKUP(L1775,[1]Human_BrainSpan!$B$2:$C$4000,2,FALSE)</f>
        <v>SubC</v>
      </c>
    </row>
    <row r="1776" spans="2:13" x14ac:dyDescent="0.25">
      <c r="B1776" s="31" t="s">
        <v>25743</v>
      </c>
      <c r="C1776" s="20"/>
      <c r="D1776" s="25" t="s">
        <v>721</v>
      </c>
      <c r="E1776" s="25"/>
      <c r="F1776" s="9" t="str">
        <f>HYPERLINK("https://www.ebi.ac.uk/ols/ontologies/uberon/terms?iri=http://purl.obolibrary.org/obo/UBERON_0002587","nucleus subceruleus")</f>
        <v>nucleus subceruleus</v>
      </c>
      <c r="G1776" s="9" t="s">
        <v>3372</v>
      </c>
      <c r="H1776" s="9" t="s">
        <v>24339</v>
      </c>
      <c r="I1776" s="9" t="s">
        <v>721</v>
      </c>
      <c r="J1776" s="9" t="s">
        <v>722</v>
      </c>
      <c r="K1776" s="7" t="s">
        <v>15171</v>
      </c>
      <c r="L1776" s="13">
        <v>9154</v>
      </c>
      <c r="M1776" t="str">
        <f>VLOOKUP(L1776,[1]HBA!$B$2:$C$4000,2,FALSE)</f>
        <v>SubC</v>
      </c>
    </row>
    <row r="1777" spans="2:13" x14ac:dyDescent="0.25">
      <c r="B1777" s="31" t="s">
        <v>25743</v>
      </c>
      <c r="C1777" s="20"/>
      <c r="D1777" s="25" t="s">
        <v>721</v>
      </c>
      <c r="E1777" s="25"/>
      <c r="F1777" s="9" t="str">
        <f>HYPERLINK("https://www.ebi.ac.uk/ols/ontologies/uberon/terms?iri=http://purl.obolibrary.org/obo/UBERON_0002587","nucleus subceruleus")</f>
        <v>nucleus subceruleus</v>
      </c>
      <c r="G1777" s="9" t="s">
        <v>3372</v>
      </c>
      <c r="H1777" s="9" t="s">
        <v>20387</v>
      </c>
      <c r="I1777" s="9" t="s">
        <v>773</v>
      </c>
      <c r="J1777" s="9" t="s">
        <v>774</v>
      </c>
      <c r="K1777" s="3" t="s">
        <v>15176</v>
      </c>
      <c r="L1777" s="13">
        <v>350</v>
      </c>
      <c r="M1777" t="str">
        <f>VLOOKUP(L1777,[1]Mouse_ARA!$B$2:$C$1328,2,FALSE)</f>
        <v>SLC</v>
      </c>
    </row>
    <row r="1778" spans="2:13" x14ac:dyDescent="0.25">
      <c r="B1778" s="31" t="s">
        <v>25743</v>
      </c>
      <c r="C1778" s="20"/>
      <c r="D1778" s="25" t="s">
        <v>3376</v>
      </c>
      <c r="E1778" s="25"/>
      <c r="F1778" s="9" t="str">
        <f>HYPERLINK("https://www.ebi.ac.uk/ols/ontologies/uberon/terms?iri=http://purl.obolibrary.org/obo/UBERON_0016540","occipital cortex")</f>
        <v>occipital cortex</v>
      </c>
      <c r="G1778" s="9" t="s">
        <v>3373</v>
      </c>
      <c r="H1778" s="9" t="s">
        <v>22669</v>
      </c>
      <c r="I1778" s="9" t="s">
        <v>3374</v>
      </c>
      <c r="J1778" s="9" t="s">
        <v>3375</v>
      </c>
      <c r="K1778" s="4" t="s">
        <v>15175</v>
      </c>
      <c r="L1778" s="13">
        <v>10268</v>
      </c>
      <c r="M1778" t="str">
        <f>VLOOKUP(L1778,[1]Human_BrainSpan!$B$2:$C$4000,2,FALSE)</f>
        <v>Ocx</v>
      </c>
    </row>
    <row r="1779" spans="2:13" x14ac:dyDescent="0.25">
      <c r="B1779" s="31" t="s">
        <v>25743</v>
      </c>
      <c r="C1779" s="20"/>
      <c r="D1779" s="25" t="s">
        <v>3376</v>
      </c>
      <c r="E1779" s="25"/>
      <c r="F1779" s="9" t="str">
        <f>HYPERLINK("https://www.ebi.ac.uk/ols/ontologies/uberon/terms?iri=http://purl.obolibrary.org/obo/UBERON_0016540","occipital cortex")</f>
        <v>occipital cortex</v>
      </c>
      <c r="G1779" s="9" t="s">
        <v>3373</v>
      </c>
      <c r="H1779" s="9" t="s">
        <v>15825</v>
      </c>
      <c r="I1779" s="9" t="s">
        <v>3376</v>
      </c>
      <c r="J1779" s="9" t="s">
        <v>3377</v>
      </c>
      <c r="K1779" s="5" t="s">
        <v>15173</v>
      </c>
      <c r="L1779" s="13">
        <v>16030</v>
      </c>
      <c r="M1779" t="str">
        <f>VLOOKUP(L1779,[1]DevMouse!$B$2:$C$2693,2,FALSE)</f>
        <v>OCx</v>
      </c>
    </row>
    <row r="1780" spans="2:13" x14ac:dyDescent="0.25">
      <c r="B1780" s="31" t="s">
        <v>25743</v>
      </c>
      <c r="C1780" s="20"/>
      <c r="D1780" s="25" t="s">
        <v>3376</v>
      </c>
      <c r="E1780" s="25"/>
      <c r="F1780" s="9" t="str">
        <f>HYPERLINK("https://www.ebi.ac.uk/ols/ontologies/uberon/terms?iri=http://purl.obolibrary.org/obo/UBERON_0016540","occipital cortex")</f>
        <v>occipital cortex</v>
      </c>
      <c r="G1780" s="9" t="s">
        <v>3373</v>
      </c>
      <c r="H1780" s="9" t="s">
        <v>22669</v>
      </c>
      <c r="I1780" s="9" t="s">
        <v>3376</v>
      </c>
      <c r="J1780" s="9" t="s">
        <v>3378</v>
      </c>
      <c r="K1780" s="6" t="s">
        <v>15174</v>
      </c>
      <c r="L1780" s="13">
        <v>4004</v>
      </c>
      <c r="M1780" t="str">
        <f>VLOOKUP(L1780,[1]NonHumanPrimate!$B$2:$C$4000,2,FALSE)</f>
        <v>Ocx</v>
      </c>
    </row>
    <row r="1781" spans="2:13" x14ac:dyDescent="0.25">
      <c r="B1781" s="31" t="s">
        <v>25743</v>
      </c>
      <c r="C1781" s="20"/>
      <c r="D1781" s="25" t="s">
        <v>26064</v>
      </c>
      <c r="E1781" s="25"/>
      <c r="F1781" s="9" t="str">
        <f>HYPERLINK("https://www.ebi.ac.uk/ols/ontologies/uberon/terms?iri=http://purl.obolibrary.org/obo/UBERON_0022364","occipital fusiform gyrus")</f>
        <v>occipital fusiform gyrus</v>
      </c>
      <c r="G1781" s="9" t="s">
        <v>3379</v>
      </c>
      <c r="H1781" s="9" t="s">
        <v>23840</v>
      </c>
      <c r="I1781" s="9" t="s">
        <v>3380</v>
      </c>
      <c r="J1781" s="9" t="s">
        <v>3381</v>
      </c>
      <c r="K1781" s="4" t="s">
        <v>15175</v>
      </c>
      <c r="L1781" s="13">
        <v>12152</v>
      </c>
      <c r="M1781" t="str">
        <f>VLOOKUP(L1781,[1]Human_BrainSpan!$B$2:$C$4000,2,FALSE)</f>
        <v>FuGo</v>
      </c>
    </row>
    <row r="1782" spans="2:13" x14ac:dyDescent="0.25">
      <c r="B1782" s="31" t="s">
        <v>25743</v>
      </c>
      <c r="C1782" s="20"/>
      <c r="D1782" s="25" t="s">
        <v>3383</v>
      </c>
      <c r="E1782" s="25"/>
      <c r="F1782" s="9" t="str">
        <f>HYPERLINK("https://www.ebi.ac.uk/ols/ontologies/uberon/terms?iri=http://purl.obolibrary.org/obo/UBERON_0002021","occipital lobe")</f>
        <v>occipital lobe</v>
      </c>
      <c r="G1782" s="9" t="s">
        <v>3382</v>
      </c>
      <c r="H1782" s="9" t="s">
        <v>23835</v>
      </c>
      <c r="I1782" s="9" t="s">
        <v>3383</v>
      </c>
      <c r="J1782" s="9" t="s">
        <v>3384</v>
      </c>
      <c r="K1782" s="4" t="s">
        <v>15175</v>
      </c>
      <c r="L1782" s="13">
        <v>12148</v>
      </c>
      <c r="M1782" t="str">
        <f>VLOOKUP(L1782,[1]Human_BrainSpan!$B$2:$C$4000,2,FALSE)</f>
        <v>OccL</v>
      </c>
    </row>
    <row r="1783" spans="2:13" x14ac:dyDescent="0.25">
      <c r="B1783" s="31" t="s">
        <v>25743</v>
      </c>
      <c r="C1783" s="20"/>
      <c r="D1783" s="25" t="s">
        <v>3383</v>
      </c>
      <c r="E1783" s="25"/>
      <c r="F1783" s="9" t="str">
        <f>HYPERLINK("https://www.ebi.ac.uk/ols/ontologies/uberon/terms?iri=http://purl.obolibrary.org/obo/UBERON_0002021","occipital lobe")</f>
        <v>occipital lobe</v>
      </c>
      <c r="G1783" s="9" t="s">
        <v>3382</v>
      </c>
      <c r="H1783" s="9" t="s">
        <v>24793</v>
      </c>
      <c r="I1783" s="9" t="s">
        <v>3383</v>
      </c>
      <c r="J1783" s="9" t="s">
        <v>3385</v>
      </c>
      <c r="K1783" s="7" t="s">
        <v>15171</v>
      </c>
      <c r="L1783" s="13">
        <v>4180</v>
      </c>
      <c r="M1783" t="str">
        <f>VLOOKUP(L1783,[1]HBA!$B$2:$C$4000,2,FALSE)</f>
        <v>OL</v>
      </c>
    </row>
    <row r="1784" spans="2:13" x14ac:dyDescent="0.25">
      <c r="B1784" s="31" t="s">
        <v>25743</v>
      </c>
      <c r="C1784" s="20"/>
      <c r="D1784" s="25" t="s">
        <v>3387</v>
      </c>
      <c r="E1784" s="25"/>
      <c r="F1784" s="9" t="str">
        <f>HYPERLINK("https://www.ebi.ac.uk/ols/ontologies/uberon/terms?iri=http://purl.obolibrary.org/obo/UBERON_0002902","occipital pole")</f>
        <v>occipital pole</v>
      </c>
      <c r="G1784" s="9" t="s">
        <v>3386</v>
      </c>
      <c r="H1784" s="9" t="s">
        <v>20238</v>
      </c>
      <c r="I1784" s="9" t="s">
        <v>3387</v>
      </c>
      <c r="J1784" s="9" t="s">
        <v>3388</v>
      </c>
      <c r="K1784" s="4" t="s">
        <v>15175</v>
      </c>
      <c r="L1784" s="13">
        <v>12149</v>
      </c>
      <c r="M1784" t="str">
        <f>VLOOKUP(L1784,[1]Human_BrainSpan!$B$2:$C$4000,2,FALSE)</f>
        <v>OP</v>
      </c>
    </row>
    <row r="1785" spans="2:13" x14ac:dyDescent="0.25">
      <c r="B1785" s="31" t="s">
        <v>25743</v>
      </c>
      <c r="C1785" s="20"/>
      <c r="D1785" s="25" t="s">
        <v>3387</v>
      </c>
      <c r="E1785" s="25"/>
      <c r="F1785" s="9" t="str">
        <f>HYPERLINK("https://www.ebi.ac.uk/ols/ontologies/uberon/terms?iri=http://purl.obolibrary.org/obo/UBERON_0002902","occipital pole")</f>
        <v>occipital pole</v>
      </c>
      <c r="G1785" s="9" t="s">
        <v>3386</v>
      </c>
      <c r="H1785" s="9" t="s">
        <v>20238</v>
      </c>
      <c r="I1785" s="9" t="s">
        <v>3387</v>
      </c>
      <c r="J1785" s="9" t="s">
        <v>3389</v>
      </c>
      <c r="K1785" s="7" t="s">
        <v>15171</v>
      </c>
      <c r="L1785" s="13">
        <v>4181</v>
      </c>
      <c r="M1785" t="str">
        <f>VLOOKUP(L1785,[1]HBA!$B$2:$C$4000,2,FALSE)</f>
        <v>OP</v>
      </c>
    </row>
    <row r="1786" spans="2:13" x14ac:dyDescent="0.25">
      <c r="B1786" s="31" t="s">
        <v>25743</v>
      </c>
      <c r="C1786" s="20"/>
      <c r="D1786" s="25" t="s">
        <v>26065</v>
      </c>
      <c r="E1786" s="25"/>
      <c r="F1786" s="9" t="str">
        <f>HYPERLINK("https://www.ebi.ac.uk/ols/ontologies/uberon/terms?iri=http://purl.obolibrary.org/obo/UBERON_0019303","occipital sulcus")</f>
        <v>occipital sulcus</v>
      </c>
      <c r="G1786" s="9" t="s">
        <v>3390</v>
      </c>
      <c r="H1786" s="9" t="s">
        <v>25536</v>
      </c>
      <c r="I1786" s="9" t="s">
        <v>3391</v>
      </c>
      <c r="J1786" s="9" t="s">
        <v>3392</v>
      </c>
      <c r="K1786" s="7" t="s">
        <v>15171</v>
      </c>
      <c r="L1786" s="13">
        <v>9386</v>
      </c>
      <c r="M1786" t="str">
        <f>VLOOKUP(L1786,[1]HBA!$B$2:$C$4000,2,FALSE)</f>
        <v>OLs</v>
      </c>
    </row>
    <row r="1787" spans="2:13" x14ac:dyDescent="0.25">
      <c r="B1787" s="31" t="s">
        <v>25743</v>
      </c>
      <c r="C1787" s="20"/>
      <c r="D1787" s="25" t="s">
        <v>3394</v>
      </c>
      <c r="E1787" s="25"/>
      <c r="F1787" s="9" t="str">
        <f>HYPERLINK("https://www.ebi.ac.uk/ols/ontologies/uberon/terms?iri=http://purl.obolibrary.org/obo/UBERON_0034754","occipitofrontal fasciculus")</f>
        <v>occipitofrontal fasciculus</v>
      </c>
      <c r="G1787" s="9" t="s">
        <v>3393</v>
      </c>
      <c r="H1787" s="9" t="s">
        <v>23619</v>
      </c>
      <c r="I1787" s="9" t="s">
        <v>3394</v>
      </c>
      <c r="J1787" s="9" t="s">
        <v>3395</v>
      </c>
      <c r="K1787" s="4" t="s">
        <v>15175</v>
      </c>
      <c r="L1787" s="13">
        <v>10588</v>
      </c>
      <c r="M1787" t="str">
        <f>VLOOKUP(L1787,[1]Human_BrainSpan!$B$2:$C$4000,2,FALSE)</f>
        <v>off</v>
      </c>
    </row>
    <row r="1788" spans="2:13" x14ac:dyDescent="0.25">
      <c r="B1788" s="31" t="s">
        <v>25743</v>
      </c>
      <c r="C1788" s="20"/>
      <c r="D1788" s="25" t="s">
        <v>3394</v>
      </c>
      <c r="E1788" s="25"/>
      <c r="F1788" s="9" t="str">
        <f>HYPERLINK("https://www.ebi.ac.uk/ols/ontologies/uberon/terms?iri=http://purl.obolibrary.org/obo/UBERON_0034754","occipitofrontal fasciculus")</f>
        <v>occipitofrontal fasciculus</v>
      </c>
      <c r="G1788" s="9" t="s">
        <v>3393</v>
      </c>
      <c r="H1788" s="9" t="s">
        <v>23619</v>
      </c>
      <c r="I1788" s="9" t="s">
        <v>3394</v>
      </c>
      <c r="J1788" s="9" t="s">
        <v>3396</v>
      </c>
      <c r="K1788" s="7" t="s">
        <v>15171</v>
      </c>
      <c r="L1788" s="13">
        <v>9269</v>
      </c>
      <c r="M1788" t="str">
        <f>VLOOKUP(L1788,[1]HBA!$B$2:$C$4000,2,FALSE)</f>
        <v>off</v>
      </c>
    </row>
    <row r="1789" spans="2:13" x14ac:dyDescent="0.25">
      <c r="B1789" s="31" t="s">
        <v>25743</v>
      </c>
      <c r="C1789" s="20"/>
      <c r="D1789" s="25" t="s">
        <v>3398</v>
      </c>
      <c r="E1789" s="25"/>
      <c r="F1789" s="9" t="str">
        <f>HYPERLINK("https://www.ebi.ac.uk/ols/ontologies/uberon/terms?iri=http://purl.obolibrary.org/obo/UBERON_0002693","occipitotemporal sulcus")</f>
        <v>occipitotemporal sulcus</v>
      </c>
      <c r="G1789" s="9" t="s">
        <v>3397</v>
      </c>
      <c r="H1789" s="9" t="s">
        <v>23717</v>
      </c>
      <c r="I1789" s="9" t="s">
        <v>3398</v>
      </c>
      <c r="J1789" s="9" t="s">
        <v>3399</v>
      </c>
      <c r="K1789" s="4" t="s">
        <v>15175</v>
      </c>
      <c r="L1789" s="13">
        <v>10623</v>
      </c>
      <c r="M1789" t="str">
        <f>VLOOKUP(L1789,[1]Human_BrainSpan!$B$2:$C$4000,2,FALSE)</f>
        <v>ots</v>
      </c>
    </row>
    <row r="1790" spans="2:13" x14ac:dyDescent="0.25">
      <c r="B1790" s="31" t="s">
        <v>25743</v>
      </c>
      <c r="C1790" s="20"/>
      <c r="D1790" s="25" t="s">
        <v>3403</v>
      </c>
      <c r="E1790" s="25"/>
      <c r="F1790" s="9" t="str">
        <f>HYPERLINK("https://www.ebi.ac.uk/ols/ontologies/uberon/terms?iri=http://purl.obolibrary.org/obo/UBERON_0001643","oculomotor nerve")</f>
        <v>oculomotor nerve</v>
      </c>
      <c r="G1790" s="9" t="s">
        <v>3400</v>
      </c>
      <c r="H1790" s="9" t="s">
        <v>18414</v>
      </c>
      <c r="I1790" s="38" t="s">
        <v>26311</v>
      </c>
      <c r="J1790" s="9" t="s">
        <v>3402</v>
      </c>
      <c r="K1790" s="7" t="s">
        <v>15171</v>
      </c>
      <c r="L1790" s="13">
        <v>9316</v>
      </c>
      <c r="M1790" t="str">
        <f>VLOOKUP(L1790,[1]HBA!$B$2:$C$4000,2,FALSE)</f>
        <v>3n</v>
      </c>
    </row>
    <row r="1791" spans="2:13" x14ac:dyDescent="0.25">
      <c r="B1791" s="31" t="s">
        <v>25743</v>
      </c>
      <c r="C1791" s="20"/>
      <c r="D1791" s="25" t="s">
        <v>3403</v>
      </c>
      <c r="E1791" s="25"/>
      <c r="F1791" s="9" t="str">
        <f>HYPERLINK("https://www.ebi.ac.uk/ols/ontologies/uberon/terms?iri=http://purl.obolibrary.org/obo/UBERON_0001643","oculomotor nerve")</f>
        <v>oculomotor nerve</v>
      </c>
      <c r="G1791" s="9" t="s">
        <v>3400</v>
      </c>
      <c r="H1791" s="9" t="s">
        <v>20740</v>
      </c>
      <c r="I1791" s="9" t="s">
        <v>3403</v>
      </c>
      <c r="J1791" s="9" t="s">
        <v>3404</v>
      </c>
      <c r="K1791" s="3" t="s">
        <v>15176</v>
      </c>
      <c r="L1791" s="13">
        <v>832</v>
      </c>
      <c r="M1791" t="str">
        <f>VLOOKUP(L1791,[1]Mouse_ARA!$B$2:$C$1328,2,FALSE)</f>
        <v>IIIn</v>
      </c>
    </row>
    <row r="1792" spans="2:13" x14ac:dyDescent="0.25">
      <c r="B1792" s="31" t="s">
        <v>26299</v>
      </c>
      <c r="C1792" s="25" t="s">
        <v>3403</v>
      </c>
      <c r="D1792" s="25" t="s">
        <v>3408</v>
      </c>
      <c r="E1792" s="25"/>
      <c r="F1792" s="9" t="str">
        <f>HYPERLINK("https://www.ebi.ac.uk/ols/ontologies/uberon/terms?iri=http://purl.obolibrary.org/obo/UBERON_0002668","oculomotor nerve root")</f>
        <v>oculomotor nerve root</v>
      </c>
      <c r="G1792" s="9" t="s">
        <v>3405</v>
      </c>
      <c r="H1792" s="9" t="s">
        <v>17578</v>
      </c>
      <c r="I1792" s="9" t="s">
        <v>3406</v>
      </c>
      <c r="J1792" s="9" t="s">
        <v>3407</v>
      </c>
      <c r="K1792" s="4" t="s">
        <v>15175</v>
      </c>
      <c r="L1792" s="13">
        <v>12376</v>
      </c>
      <c r="M1792" t="str">
        <f>VLOOKUP(L1792,[1]Human_BrainSpan!$B$2:$C$4000,2,FALSE)</f>
        <v>r3</v>
      </c>
    </row>
    <row r="1793" spans="2:13" x14ac:dyDescent="0.25">
      <c r="B1793" s="31" t="s">
        <v>26299</v>
      </c>
      <c r="C1793" s="25" t="s">
        <v>3403</v>
      </c>
      <c r="D1793" s="25" t="s">
        <v>3408</v>
      </c>
      <c r="E1793" s="25"/>
      <c r="F1793" s="9" t="str">
        <f>HYPERLINK("https://www.ebi.ac.uk/ols/ontologies/uberon/terms?iri=http://purl.obolibrary.org/obo/UBERON_0002668","oculomotor nerve root")</f>
        <v>oculomotor nerve root</v>
      </c>
      <c r="G1793" s="9" t="s">
        <v>3405</v>
      </c>
      <c r="H1793" s="9" t="s">
        <v>18414</v>
      </c>
      <c r="I1793" s="9" t="s">
        <v>3408</v>
      </c>
      <c r="J1793" s="9" t="s">
        <v>3409</v>
      </c>
      <c r="K1793" s="5" t="s">
        <v>15173</v>
      </c>
      <c r="L1793" s="13">
        <v>17736</v>
      </c>
      <c r="M1793" t="str">
        <f>VLOOKUP(L1793,[1]DevMouse!$B$2:$C$2693,2,FALSE)</f>
        <v>3n</v>
      </c>
    </row>
    <row r="1794" spans="2:13" x14ac:dyDescent="0.25">
      <c r="B1794" s="31" t="s">
        <v>25743</v>
      </c>
      <c r="C1794" s="20"/>
      <c r="D1794" s="25" t="s">
        <v>3413</v>
      </c>
      <c r="E1794" s="25"/>
      <c r="F1794" s="9" t="str">
        <f>HYPERLINK("https://www.ebi.ac.uk/ols/ontologies/uberon/terms?iri=http://purl.obolibrary.org/obo/UBERON_0001715","oculomotor nuclear complex")</f>
        <v>oculomotor nuclear complex</v>
      </c>
      <c r="G1794" s="9" t="s">
        <v>3410</v>
      </c>
      <c r="H1794" s="9" t="s">
        <v>23924</v>
      </c>
      <c r="I1794" s="9" t="s">
        <v>3411</v>
      </c>
      <c r="J1794" s="9" t="s">
        <v>3412</v>
      </c>
      <c r="K1794" s="4" t="s">
        <v>15175</v>
      </c>
      <c r="L1794" s="13">
        <v>12198</v>
      </c>
      <c r="M1794" t="str">
        <f>VLOOKUP(L1794,[1]Human_BrainSpan!$B$2:$C$4000,2,FALSE)</f>
        <v>3N</v>
      </c>
    </row>
    <row r="1795" spans="2:13" x14ac:dyDescent="0.25">
      <c r="B1795" s="31" t="s">
        <v>25743</v>
      </c>
      <c r="C1795" s="20"/>
      <c r="D1795" s="25" t="s">
        <v>3413</v>
      </c>
      <c r="E1795" s="25"/>
      <c r="F1795" s="9" t="str">
        <f>HYPERLINK("https://www.ebi.ac.uk/ols/ontologies/uberon/terms?iri=http://purl.obolibrary.org/obo/UBERON_0001715","oculomotor nuclear complex")</f>
        <v>oculomotor nuclear complex</v>
      </c>
      <c r="G1795" s="9" t="s">
        <v>3410</v>
      </c>
      <c r="H1795" s="9">
        <v>3</v>
      </c>
      <c r="I1795" s="9" t="s">
        <v>3413</v>
      </c>
      <c r="J1795" s="9" t="s">
        <v>3414</v>
      </c>
      <c r="K1795" s="7" t="s">
        <v>15171</v>
      </c>
      <c r="L1795" s="13">
        <v>9030</v>
      </c>
      <c r="M1795">
        <f>VLOOKUP(L1795,[1]HBA!$B$2:$C$4000,2,FALSE)</f>
        <v>3</v>
      </c>
    </row>
    <row r="1796" spans="2:13" x14ac:dyDescent="0.25">
      <c r="B1796" s="31" t="s">
        <v>25743</v>
      </c>
      <c r="C1796" s="20"/>
      <c r="D1796" s="25" t="s">
        <v>3413</v>
      </c>
      <c r="E1796" s="25"/>
      <c r="F1796" s="9" t="str">
        <f>HYPERLINK("https://www.ebi.ac.uk/ols/ontologies/uberon/terms?iri=http://purl.obolibrary.org/obo/UBERON_0001715","oculomotor nuclear complex")</f>
        <v>oculomotor nuclear complex</v>
      </c>
      <c r="G1796" s="9" t="s">
        <v>3410</v>
      </c>
      <c r="H1796" s="9" t="s">
        <v>1089</v>
      </c>
      <c r="I1796" s="9" t="s">
        <v>3411</v>
      </c>
      <c r="J1796" s="9" t="s">
        <v>3415</v>
      </c>
      <c r="K1796" s="3" t="s">
        <v>15176</v>
      </c>
      <c r="L1796" s="13">
        <v>35</v>
      </c>
      <c r="M1796" t="str">
        <f>VLOOKUP(L1796,[1]Mouse_ARA!$B$2:$C$1328,2,FALSE)</f>
        <v>III</v>
      </c>
    </row>
    <row r="1797" spans="2:13" x14ac:dyDescent="0.25">
      <c r="B1797" s="31" t="s">
        <v>25743</v>
      </c>
      <c r="C1797" s="20"/>
      <c r="D1797" s="25" t="s">
        <v>3417</v>
      </c>
      <c r="E1797" s="25"/>
      <c r="F1797" s="9" t="str">
        <f>HYPERLINK("https://www.ebi.ac.uk/ols/ontologies/uberon/terms?iri=http://purl.obolibrary.org/obo/UBERON_0002264","olfactory bulb")</f>
        <v>olfactory bulb</v>
      </c>
      <c r="G1797" s="9" t="s">
        <v>3416</v>
      </c>
      <c r="H1797" s="9" t="s">
        <v>15695</v>
      </c>
      <c r="I1797" s="9" t="s">
        <v>3417</v>
      </c>
      <c r="J1797" s="9" t="s">
        <v>3418</v>
      </c>
      <c r="K1797" s="4" t="s">
        <v>15175</v>
      </c>
      <c r="L1797" s="13">
        <v>10307</v>
      </c>
      <c r="M1797" t="str">
        <f>VLOOKUP(L1797,[1]Human_BrainSpan!$B$2:$C$4000,2,FALSE)</f>
        <v>OB</v>
      </c>
    </row>
    <row r="1798" spans="2:13" x14ac:dyDescent="0.25">
      <c r="B1798" s="31" t="s">
        <v>25743</v>
      </c>
      <c r="C1798" s="20"/>
      <c r="D1798" s="25" t="s">
        <v>3417</v>
      </c>
      <c r="E1798" s="25"/>
      <c r="F1798" s="9" t="str">
        <f>HYPERLINK("https://www.ebi.ac.uk/ols/ontologies/uberon/terms?iri=http://purl.obolibrary.org/obo/UBERON_0002264","olfactory bulb")</f>
        <v>olfactory bulb</v>
      </c>
      <c r="G1798" s="9" t="s">
        <v>3416</v>
      </c>
      <c r="H1798" s="9" t="s">
        <v>25510</v>
      </c>
      <c r="I1798" s="9" t="s">
        <v>3419</v>
      </c>
      <c r="J1798" s="9" t="s">
        <v>3420</v>
      </c>
      <c r="K1798" s="7" t="s">
        <v>15171</v>
      </c>
      <c r="L1798" s="13">
        <v>9303</v>
      </c>
      <c r="M1798" t="str">
        <f>VLOOKUP(L1798,[1]HBA!$B$2:$C$4000,2,FALSE)</f>
        <v>Olf</v>
      </c>
    </row>
    <row r="1799" spans="2:13" x14ac:dyDescent="0.25">
      <c r="B1799" s="31" t="s">
        <v>25743</v>
      </c>
      <c r="C1799" s="20"/>
      <c r="D1799" s="25" t="s">
        <v>26066</v>
      </c>
      <c r="E1799" s="25"/>
      <c r="F1799" s="9" t="str">
        <f>HYPERLINK("https://www.ebi.ac.uk/ols/ontologies/uberon/terms?iri=http://purl.obolibrary.org/obo/UBERON_0005376","olfactory bulb external plexiform layer")</f>
        <v>olfactory bulb external plexiform layer</v>
      </c>
      <c r="G1799" s="9" t="s">
        <v>3421</v>
      </c>
      <c r="H1799" s="9" t="s">
        <v>15703</v>
      </c>
      <c r="I1799" s="9" t="s">
        <v>3422</v>
      </c>
      <c r="J1799" s="9" t="s">
        <v>3423</v>
      </c>
      <c r="K1799" s="5" t="s">
        <v>15173</v>
      </c>
      <c r="L1799" s="13">
        <v>15913</v>
      </c>
      <c r="M1799" t="str">
        <f>VLOOKUP(L1799,[1]DevMouse!$B$2:$C$2693,2,FALSE)</f>
        <v>OB-Opl</v>
      </c>
    </row>
    <row r="1800" spans="2:13" x14ac:dyDescent="0.25">
      <c r="B1800" s="31" t="s">
        <v>25743</v>
      </c>
      <c r="C1800" s="20"/>
      <c r="D1800" s="25" t="s">
        <v>26067</v>
      </c>
      <c r="E1800" s="25"/>
      <c r="F1800" s="9" t="str">
        <f>HYPERLINK("https://www.ebi.ac.uk/ols/ontologies/uberon/terms?iri=http://purl.obolibrary.org/obo/UBERON_0005377","olfactory bulb glomerular layer")</f>
        <v>olfactory bulb glomerular layer</v>
      </c>
      <c r="G1800" s="9" t="s">
        <v>3424</v>
      </c>
      <c r="H1800" s="9" t="s">
        <v>23129</v>
      </c>
      <c r="I1800" s="9" t="s">
        <v>3425</v>
      </c>
      <c r="J1800" s="9" t="s">
        <v>3426</v>
      </c>
      <c r="K1800" s="4" t="s">
        <v>15175</v>
      </c>
      <c r="L1800" s="13">
        <v>11327</v>
      </c>
      <c r="M1800" t="str">
        <f>VLOOKUP(L1800,[1]Human_BrainSpan!$B$2:$C$4000,2,FALSE)</f>
        <v>OBglo</v>
      </c>
    </row>
    <row r="1801" spans="2:13" x14ac:dyDescent="0.25">
      <c r="B1801" s="31" t="s">
        <v>25743</v>
      </c>
      <c r="C1801" s="20"/>
      <c r="D1801" s="25" t="s">
        <v>26067</v>
      </c>
      <c r="E1801" s="25"/>
      <c r="F1801" s="9" t="str">
        <f>HYPERLINK("https://www.ebi.ac.uk/ols/ontologies/uberon/terms?iri=http://purl.obolibrary.org/obo/UBERON_0005377","olfactory bulb glomerular layer")</f>
        <v>olfactory bulb glomerular layer</v>
      </c>
      <c r="G1801" s="9" t="s">
        <v>3424</v>
      </c>
      <c r="H1801" s="9" t="s">
        <v>19396</v>
      </c>
      <c r="I1801" s="9" t="s">
        <v>3427</v>
      </c>
      <c r="J1801" s="9" t="s">
        <v>3428</v>
      </c>
      <c r="K1801" s="3" t="s">
        <v>15176</v>
      </c>
      <c r="L1801" s="13">
        <v>212</v>
      </c>
      <c r="M1801" t="str">
        <f>VLOOKUP(L1801,[1]Mouse_ARA!$B$2:$C$1328,2,FALSE)</f>
        <v>MOBgl</v>
      </c>
    </row>
    <row r="1802" spans="2:13" x14ac:dyDescent="0.25">
      <c r="B1802" s="31" t="s">
        <v>25743</v>
      </c>
      <c r="C1802" s="20"/>
      <c r="D1802" s="25" t="s">
        <v>26068</v>
      </c>
      <c r="E1802" s="25"/>
      <c r="F1802" s="9" t="str">
        <f>HYPERLINK("https://www.ebi.ac.uk/ols/ontologies/uberon/terms?iri=http://purl.obolibrary.org/obo/UBERON_0005378","olfactory bulb granule cell layer")</f>
        <v>olfactory bulb granule cell layer</v>
      </c>
      <c r="G1802" s="9" t="s">
        <v>3429</v>
      </c>
      <c r="H1802" s="9" t="s">
        <v>15699</v>
      </c>
      <c r="I1802" s="9" t="s">
        <v>3430</v>
      </c>
      <c r="J1802" s="9" t="s">
        <v>3431</v>
      </c>
      <c r="K1802" s="5" t="s">
        <v>15173</v>
      </c>
      <c r="L1802" s="13">
        <v>15909</v>
      </c>
      <c r="M1802" t="str">
        <f>VLOOKUP(L1802,[1]DevMouse!$B$2:$C$2693,2,FALSE)</f>
        <v>OB-Gr</v>
      </c>
    </row>
    <row r="1803" spans="2:13" x14ac:dyDescent="0.25">
      <c r="B1803" s="31" t="s">
        <v>25743</v>
      </c>
      <c r="C1803" s="20"/>
      <c r="D1803" s="25" t="s">
        <v>26068</v>
      </c>
      <c r="E1803" s="25"/>
      <c r="F1803" s="9" t="str">
        <f>HYPERLINK("https://www.ebi.ac.uk/ols/ontologies/uberon/terms?iri=http://purl.obolibrary.org/obo/UBERON_0005378","olfactory bulb granule cell layer")</f>
        <v>olfactory bulb granule cell layer</v>
      </c>
      <c r="G1803" s="9" t="s">
        <v>3429</v>
      </c>
      <c r="H1803" s="9" t="s">
        <v>19398</v>
      </c>
      <c r="I1803" s="9" t="s">
        <v>3432</v>
      </c>
      <c r="J1803" s="9" t="s">
        <v>3433</v>
      </c>
      <c r="K1803" s="3" t="s">
        <v>15176</v>
      </c>
      <c r="L1803" s="13">
        <v>220</v>
      </c>
      <c r="M1803" t="str">
        <f>VLOOKUP(L1803,[1]Mouse_ARA!$B$2:$C$1328,2,FALSE)</f>
        <v>MOBgr</v>
      </c>
    </row>
    <row r="1804" spans="2:13" x14ac:dyDescent="0.25">
      <c r="B1804" s="31" t="s">
        <v>25743</v>
      </c>
      <c r="C1804" s="20"/>
      <c r="D1804" s="25" t="s">
        <v>26069</v>
      </c>
      <c r="E1804" s="25"/>
      <c r="F1804" s="9" t="str">
        <f>HYPERLINK("https://www.ebi.ac.uk/ols/ontologies/uberon/terms?iri=http://purl.obolibrary.org/obo/UBERON_0005379","olfactory bulb internal plexiform layer")</f>
        <v>olfactory bulb internal plexiform layer</v>
      </c>
      <c r="G1804" s="9" t="s">
        <v>3434</v>
      </c>
      <c r="H1804" s="9" t="s">
        <v>23132</v>
      </c>
      <c r="I1804" s="9" t="s">
        <v>3435</v>
      </c>
      <c r="J1804" s="9" t="s">
        <v>3436</v>
      </c>
      <c r="K1804" s="4" t="s">
        <v>15175</v>
      </c>
      <c r="L1804" s="13">
        <v>11330</v>
      </c>
      <c r="M1804" t="str">
        <f>VLOOKUP(L1804,[1]Human_BrainSpan!$B$2:$C$4000,2,FALSE)</f>
        <v>OBipl</v>
      </c>
    </row>
    <row r="1805" spans="2:13" x14ac:dyDescent="0.25">
      <c r="B1805" s="31" t="s">
        <v>25743</v>
      </c>
      <c r="C1805" s="20"/>
      <c r="D1805" s="25" t="s">
        <v>26069</v>
      </c>
      <c r="E1805" s="25"/>
      <c r="F1805" s="9" t="str">
        <f>HYPERLINK("https://www.ebi.ac.uk/ols/ontologies/uberon/terms?iri=http://purl.obolibrary.org/obo/UBERON_0005379","olfactory bulb internal plexiform layer")</f>
        <v>olfactory bulb internal plexiform layer</v>
      </c>
      <c r="G1805" s="9" t="s">
        <v>3434</v>
      </c>
      <c r="H1805" s="9" t="s">
        <v>15700</v>
      </c>
      <c r="I1805" s="9" t="s">
        <v>3437</v>
      </c>
      <c r="J1805" s="9" t="s">
        <v>3438</v>
      </c>
      <c r="K1805" s="5" t="s">
        <v>15173</v>
      </c>
      <c r="L1805" s="13">
        <v>15910</v>
      </c>
      <c r="M1805" t="str">
        <f>VLOOKUP(L1805,[1]DevMouse!$B$2:$C$2693,2,FALSE)</f>
        <v>OB-Ipl</v>
      </c>
    </row>
    <row r="1806" spans="2:13" x14ac:dyDescent="0.25">
      <c r="B1806" s="31" t="s">
        <v>25743</v>
      </c>
      <c r="C1806" s="20"/>
      <c r="D1806" s="25" t="s">
        <v>26069</v>
      </c>
      <c r="E1806" s="25"/>
      <c r="F1806" s="9" t="str">
        <f>HYPERLINK("https://www.ebi.ac.uk/ols/ontologies/uberon/terms?iri=http://purl.obolibrary.org/obo/UBERON_0005379","olfactory bulb internal plexiform layer")</f>
        <v>olfactory bulb internal plexiform layer</v>
      </c>
      <c r="G1806" s="9" t="s">
        <v>3434</v>
      </c>
      <c r="H1806" s="9" t="s">
        <v>19400</v>
      </c>
      <c r="I1806" s="9" t="s">
        <v>3439</v>
      </c>
      <c r="J1806" s="9" t="s">
        <v>3440</v>
      </c>
      <c r="K1806" s="3" t="s">
        <v>15176</v>
      </c>
      <c r="L1806" s="13">
        <v>228</v>
      </c>
      <c r="M1806" t="str">
        <f>VLOOKUP(L1806,[1]Mouse_ARA!$B$2:$C$1328,2,FALSE)</f>
        <v>MOBipl</v>
      </c>
    </row>
    <row r="1807" spans="2:13" x14ac:dyDescent="0.25">
      <c r="B1807" s="31" t="s">
        <v>25743</v>
      </c>
      <c r="C1807" s="20"/>
      <c r="D1807" s="25" t="s">
        <v>26070</v>
      </c>
      <c r="E1807" s="25"/>
      <c r="F1807" s="9" t="str">
        <f>HYPERLINK("https://www.ebi.ac.uk/ols/ontologies/uberon/terms?iri=http://purl.obolibrary.org/obo/UBERON_0023934","olfactory bulb main glomerular layer")</f>
        <v>olfactory bulb main glomerular layer</v>
      </c>
      <c r="G1807" s="9" t="s">
        <v>3441</v>
      </c>
      <c r="H1807" s="9" t="s">
        <v>19396</v>
      </c>
      <c r="I1807" s="9" t="s">
        <v>3427</v>
      </c>
      <c r="J1807" s="9" t="s">
        <v>3428</v>
      </c>
      <c r="K1807" s="3" t="s">
        <v>15176</v>
      </c>
      <c r="L1807" s="13">
        <v>212</v>
      </c>
      <c r="M1807" t="str">
        <f>VLOOKUP(L1807,[1]Mouse_ARA!$B$2:$C$1328,2,FALSE)</f>
        <v>MOBgl</v>
      </c>
    </row>
    <row r="1808" spans="2:13" x14ac:dyDescent="0.25">
      <c r="B1808" s="31" t="s">
        <v>25743</v>
      </c>
      <c r="C1808" s="20"/>
      <c r="D1808" s="25" t="s">
        <v>26071</v>
      </c>
      <c r="E1808" s="25"/>
      <c r="F1808" s="9" t="str">
        <f>HYPERLINK("https://www.ebi.ac.uk/ols/ontologies/uberon/terms?iri=http://purl.obolibrary.org/obo/UBERON_0004186","olfactory bulb mitral cell layer")</f>
        <v>olfactory bulb mitral cell layer</v>
      </c>
      <c r="G1808" s="9" t="s">
        <v>3442</v>
      </c>
      <c r="H1808" s="9" t="s">
        <v>23131</v>
      </c>
      <c r="I1808" s="9" t="s">
        <v>3443</v>
      </c>
      <c r="J1808" s="9" t="s">
        <v>3444</v>
      </c>
      <c r="K1808" s="4" t="s">
        <v>15175</v>
      </c>
      <c r="L1808" s="13">
        <v>11329</v>
      </c>
      <c r="M1808" t="str">
        <f>VLOOKUP(L1808,[1]Human_BrainSpan!$B$2:$C$4000,2,FALSE)</f>
        <v>OBmcl</v>
      </c>
    </row>
    <row r="1809" spans="2:13" x14ac:dyDescent="0.25">
      <c r="B1809" s="31" t="s">
        <v>25743</v>
      </c>
      <c r="C1809" s="20"/>
      <c r="D1809" s="25" t="s">
        <v>26071</v>
      </c>
      <c r="E1809" s="25"/>
      <c r="F1809" s="9" t="str">
        <f>HYPERLINK("https://www.ebi.ac.uk/ols/ontologies/uberon/terms?iri=http://purl.obolibrary.org/obo/UBERON_0004186","olfactory bulb mitral cell layer")</f>
        <v>olfactory bulb mitral cell layer</v>
      </c>
      <c r="G1809" s="9" t="s">
        <v>3442</v>
      </c>
      <c r="H1809" s="9" t="s">
        <v>15702</v>
      </c>
      <c r="I1809" s="9" t="s">
        <v>3445</v>
      </c>
      <c r="J1809" s="9" t="s">
        <v>3446</v>
      </c>
      <c r="K1809" s="5" t="s">
        <v>15173</v>
      </c>
      <c r="L1809" s="13">
        <v>15912</v>
      </c>
      <c r="M1809" t="str">
        <f>VLOOKUP(L1809,[1]DevMouse!$B$2:$C$2693,2,FALSE)</f>
        <v>OB-Mtr</v>
      </c>
    </row>
    <row r="1810" spans="2:13" x14ac:dyDescent="0.25">
      <c r="B1810" s="31" t="s">
        <v>25743</v>
      </c>
      <c r="C1810" s="20"/>
      <c r="D1810" s="25" t="s">
        <v>26072</v>
      </c>
      <c r="E1810" s="25"/>
      <c r="F1810" s="9" t="str">
        <f>HYPERLINK("https://www.ebi.ac.uk/ols/ontologies/uberon/terms?iri=http://purl.obolibrary.org/obo/UBERON_0005978","olfactory bulb outer nerve layer")</f>
        <v>olfactory bulb outer nerve layer</v>
      </c>
      <c r="G1810" s="9" t="s">
        <v>3447</v>
      </c>
      <c r="H1810" s="9" t="s">
        <v>23128</v>
      </c>
      <c r="I1810" s="9" t="s">
        <v>3448</v>
      </c>
      <c r="J1810" s="9" t="s">
        <v>3449</v>
      </c>
      <c r="K1810" s="4" t="s">
        <v>15175</v>
      </c>
      <c r="L1810" s="13">
        <v>11326</v>
      </c>
      <c r="M1810" t="str">
        <f>VLOOKUP(L1810,[1]Human_BrainSpan!$B$2:$C$4000,2,FALSE)</f>
        <v>OBonl</v>
      </c>
    </row>
    <row r="1811" spans="2:13" x14ac:dyDescent="0.25">
      <c r="B1811" s="31" t="s">
        <v>25743</v>
      </c>
      <c r="C1811" s="20"/>
      <c r="D1811" s="25" t="s">
        <v>26072</v>
      </c>
      <c r="E1811" s="25"/>
      <c r="F1811" s="9" t="str">
        <f>HYPERLINK("https://www.ebi.ac.uk/ols/ontologies/uberon/terms?iri=http://purl.obolibrary.org/obo/UBERON_0005978","olfactory bulb outer nerve layer")</f>
        <v>olfactory bulb outer nerve layer</v>
      </c>
      <c r="G1811" s="9" t="s">
        <v>3447</v>
      </c>
      <c r="H1811" s="9" t="s">
        <v>20727</v>
      </c>
      <c r="I1811" s="9" t="s">
        <v>3450</v>
      </c>
      <c r="J1811" s="9" t="s">
        <v>3451</v>
      </c>
      <c r="K1811" s="3" t="s">
        <v>15176</v>
      </c>
      <c r="L1811" s="13">
        <v>1016</v>
      </c>
      <c r="M1811" t="str">
        <f>VLOOKUP(L1811,[1]Mouse_ARA!$B$2:$C$1328,2,FALSE)</f>
        <v>onl</v>
      </c>
    </row>
    <row r="1812" spans="2:13" x14ac:dyDescent="0.25">
      <c r="B1812" s="31" t="s">
        <v>25743</v>
      </c>
      <c r="C1812" s="20"/>
      <c r="D1812" s="25" t="s">
        <v>26073</v>
      </c>
      <c r="E1812" s="25"/>
      <c r="F1812" s="9" t="str">
        <f>HYPERLINK("https://www.ebi.ac.uk/ols/ontologies/uberon/terms?iri=http://purl.obolibrary.org/obo/UBERON_0002894","olfactory cortex")</f>
        <v>olfactory cortex</v>
      </c>
      <c r="G1812" s="9" t="s">
        <v>3452</v>
      </c>
      <c r="H1812" s="9" t="s">
        <v>24769</v>
      </c>
      <c r="I1812" s="9" t="s">
        <v>3453</v>
      </c>
      <c r="J1812" s="9" t="s">
        <v>3454</v>
      </c>
      <c r="K1812" s="7" t="s">
        <v>15171</v>
      </c>
      <c r="L1812" s="13">
        <v>265504406</v>
      </c>
      <c r="M1812" t="str">
        <f>VLOOKUP(L1812,[1]HBA!$B$2:$C$4000,2,FALSE)</f>
        <v>OlfA</v>
      </c>
    </row>
    <row r="1813" spans="2:13" x14ac:dyDescent="0.25">
      <c r="B1813" s="31" t="s">
        <v>25743</v>
      </c>
      <c r="C1813" s="20"/>
      <c r="D1813" s="25" t="s">
        <v>3456</v>
      </c>
      <c r="E1813" s="25"/>
      <c r="F1813" s="9" t="str">
        <f>HYPERLINK("https://www.ebi.ac.uk/ols/ontologies/uberon/terms?iri=http://purl.obolibrary.org/obo/UBERON_0001579","olfactory nerve")</f>
        <v>olfactory nerve</v>
      </c>
      <c r="G1813" s="9" t="s">
        <v>3455</v>
      </c>
      <c r="H1813" s="9" t="s">
        <v>25508</v>
      </c>
      <c r="I1813" s="9" t="s">
        <v>3456</v>
      </c>
      <c r="J1813" s="9" t="s">
        <v>3457</v>
      </c>
      <c r="K1813" s="7" t="s">
        <v>15171</v>
      </c>
      <c r="L1813" s="13">
        <v>9300</v>
      </c>
      <c r="M1813" t="str">
        <f>VLOOKUP(L1813,[1]HBA!$B$2:$C$4000,2,FALSE)</f>
        <v>1n</v>
      </c>
    </row>
    <row r="1814" spans="2:13" x14ac:dyDescent="0.25">
      <c r="B1814" s="31" t="s">
        <v>25743</v>
      </c>
      <c r="C1814" s="20"/>
      <c r="D1814" s="25" t="s">
        <v>3456</v>
      </c>
      <c r="E1814" s="25"/>
      <c r="F1814" s="9" t="str">
        <f>HYPERLINK("https://www.ebi.ac.uk/ols/ontologies/uberon/terms?iri=http://purl.obolibrary.org/obo/UBERON_0001579","olfactory nerve")</f>
        <v>olfactory nerve</v>
      </c>
      <c r="G1814" s="9" t="s">
        <v>3455</v>
      </c>
      <c r="H1814" s="9" t="s">
        <v>20726</v>
      </c>
      <c r="I1814" s="9" t="s">
        <v>3456</v>
      </c>
      <c r="J1814" s="9" t="s">
        <v>3458</v>
      </c>
      <c r="K1814" s="3" t="s">
        <v>15176</v>
      </c>
      <c r="L1814" s="13">
        <v>840</v>
      </c>
      <c r="M1814" t="str">
        <f>VLOOKUP(L1814,[1]Mouse_ARA!$B$2:$C$1328,2,FALSE)</f>
        <v>In</v>
      </c>
    </row>
    <row r="1815" spans="2:13" x14ac:dyDescent="0.25">
      <c r="B1815" s="31" t="s">
        <v>25743</v>
      </c>
      <c r="C1815" s="20"/>
      <c r="D1815" s="25" t="s">
        <v>3460</v>
      </c>
      <c r="E1815" s="25"/>
      <c r="F1815" s="9" t="str">
        <f>HYPERLINK("https://www.ebi.ac.uk/ols/ontologies/uberon/terms?iri=http://purl.obolibrary.org/obo/UBERON_0002772","olfactory sulcus")</f>
        <v>olfactory sulcus</v>
      </c>
      <c r="G1815" s="9" t="s">
        <v>3459</v>
      </c>
      <c r="H1815" s="9" t="s">
        <v>23718</v>
      </c>
      <c r="I1815" s="9" t="s">
        <v>3460</v>
      </c>
      <c r="J1815" s="9" t="s">
        <v>3461</v>
      </c>
      <c r="K1815" s="4" t="s">
        <v>15175</v>
      </c>
      <c r="L1815" s="13">
        <v>10624</v>
      </c>
      <c r="M1815" t="str">
        <f>VLOOKUP(L1815,[1]Human_BrainSpan!$B$2:$C$4000,2,FALSE)</f>
        <v>ols</v>
      </c>
    </row>
    <row r="1816" spans="2:13" x14ac:dyDescent="0.25">
      <c r="B1816" s="31" t="s">
        <v>25743</v>
      </c>
      <c r="C1816" s="20"/>
      <c r="D1816" s="25" t="s">
        <v>3460</v>
      </c>
      <c r="E1816" s="25"/>
      <c r="F1816" s="9" t="str">
        <f>HYPERLINK("https://www.ebi.ac.uk/ols/ontologies/uberon/terms?iri=http://purl.obolibrary.org/obo/UBERON_0002772","olfactory sulcus")</f>
        <v>olfactory sulcus</v>
      </c>
      <c r="G1816" s="9" t="s">
        <v>3459</v>
      </c>
      <c r="H1816" s="9" t="s">
        <v>25525</v>
      </c>
      <c r="I1816" s="9" t="s">
        <v>3460</v>
      </c>
      <c r="J1816" s="9" t="s">
        <v>3462</v>
      </c>
      <c r="K1816" s="7" t="s">
        <v>15171</v>
      </c>
      <c r="L1816" s="13">
        <v>9361</v>
      </c>
      <c r="M1816" t="str">
        <f>VLOOKUP(L1816,[1]HBA!$B$2:$C$4000,2,FALSE)</f>
        <v>olfs</v>
      </c>
    </row>
    <row r="1817" spans="2:13" x14ac:dyDescent="0.25">
      <c r="B1817" s="31" t="s">
        <v>25743</v>
      </c>
      <c r="C1817" s="20"/>
      <c r="D1817" s="25" t="s">
        <v>3464</v>
      </c>
      <c r="E1817" s="25"/>
      <c r="F1817" s="9" t="str">
        <f>HYPERLINK("https://www.ebi.ac.uk/ols/ontologies/uberon/terms?iri=http://purl.obolibrary.org/obo/UBERON_0002265","olfactory tract")</f>
        <v>olfactory tract</v>
      </c>
      <c r="G1817" s="9" t="s">
        <v>3463</v>
      </c>
      <c r="H1817" s="9" t="s">
        <v>23622</v>
      </c>
      <c r="I1817" s="9" t="s">
        <v>3464</v>
      </c>
      <c r="J1817" s="9" t="s">
        <v>3465</v>
      </c>
      <c r="K1817" s="4" t="s">
        <v>15175</v>
      </c>
      <c r="L1817" s="13">
        <v>12073</v>
      </c>
      <c r="M1817" t="str">
        <f>VLOOKUP(L1817,[1]Human_BrainSpan!$B$2:$C$4000,2,FALSE)</f>
        <v>olt</v>
      </c>
    </row>
    <row r="1818" spans="2:13" x14ac:dyDescent="0.25">
      <c r="B1818" s="31" t="s">
        <v>25743</v>
      </c>
      <c r="C1818" s="20"/>
      <c r="D1818" s="25" t="s">
        <v>3464</v>
      </c>
      <c r="E1818" s="25"/>
      <c r="F1818" s="9" t="str">
        <f>HYPERLINK("https://www.ebi.ac.uk/ols/ontologies/uberon/terms?iri=http://purl.obolibrary.org/obo/UBERON_0002265","olfactory tract")</f>
        <v>olfactory tract</v>
      </c>
      <c r="G1818" s="9" t="s">
        <v>3463</v>
      </c>
      <c r="H1818" s="9" t="s">
        <v>23623</v>
      </c>
      <c r="I1818" s="9" t="s">
        <v>3466</v>
      </c>
      <c r="J1818" s="9" t="s">
        <v>3467</v>
      </c>
      <c r="K1818" s="4" t="s">
        <v>15175</v>
      </c>
      <c r="L1818" s="13">
        <v>12074</v>
      </c>
      <c r="M1818" t="str">
        <f>VLOOKUP(L1818,[1]Human_BrainSpan!$B$2:$C$4000,2,FALSE)</f>
        <v>ost</v>
      </c>
    </row>
    <row r="1819" spans="2:13" x14ac:dyDescent="0.25">
      <c r="B1819" s="31" t="s">
        <v>25743</v>
      </c>
      <c r="C1819" s="20"/>
      <c r="D1819" s="25" t="s">
        <v>3464</v>
      </c>
      <c r="E1819" s="25"/>
      <c r="F1819" s="9" t="str">
        <f>HYPERLINK("https://www.ebi.ac.uk/ols/ontologies/uberon/terms?iri=http://purl.obolibrary.org/obo/UBERON_0002265","olfactory tract")</f>
        <v>olfactory tract</v>
      </c>
      <c r="G1819" s="9" t="s">
        <v>3463</v>
      </c>
      <c r="H1819" s="9" t="s">
        <v>25509</v>
      </c>
      <c r="I1819" s="9" t="s">
        <v>3468</v>
      </c>
      <c r="J1819" s="9" t="s">
        <v>3469</v>
      </c>
      <c r="K1819" s="7" t="s">
        <v>15171</v>
      </c>
      <c r="L1819" s="13">
        <v>9302</v>
      </c>
      <c r="M1819" t="str">
        <f>VLOOKUP(L1819,[1]HBA!$B$2:$C$4000,2,FALSE)</f>
        <v>olf</v>
      </c>
    </row>
    <row r="1820" spans="2:13" x14ac:dyDescent="0.25">
      <c r="B1820" s="31" t="s">
        <v>25743</v>
      </c>
      <c r="C1820" s="20"/>
      <c r="D1820" s="25" t="s">
        <v>3471</v>
      </c>
      <c r="E1820" s="25"/>
      <c r="F1820" s="9" t="str">
        <f>HYPERLINK("https://www.ebi.ac.uk/ols/ontologies/uberon/terms?iri=http://purl.obolibrary.org/obo/UBERON_0001883","olfactory tubercle")</f>
        <v>olfactory tubercle</v>
      </c>
      <c r="G1820" s="9" t="s">
        <v>3470</v>
      </c>
      <c r="H1820" s="9" t="s">
        <v>19752</v>
      </c>
      <c r="I1820" s="9" t="s">
        <v>3471</v>
      </c>
      <c r="J1820" s="9" t="s">
        <v>3472</v>
      </c>
      <c r="K1820" s="4" t="s">
        <v>15175</v>
      </c>
      <c r="L1820" s="13">
        <v>10310</v>
      </c>
      <c r="M1820" t="str">
        <f>VLOOKUP(L1820,[1]Human_BrainSpan!$B$2:$C$4000,2,FALSE)</f>
        <v>OT</v>
      </c>
    </row>
    <row r="1821" spans="2:13" x14ac:dyDescent="0.25">
      <c r="B1821" s="31" t="s">
        <v>25743</v>
      </c>
      <c r="C1821" s="20"/>
      <c r="D1821" s="25" t="s">
        <v>3471</v>
      </c>
      <c r="E1821" s="25"/>
      <c r="F1821" s="9" t="str">
        <f>HYPERLINK("https://www.ebi.ac.uk/ols/ontologies/uberon/terms?iri=http://purl.obolibrary.org/obo/UBERON_0001883","olfactory tubercle")</f>
        <v>olfactory tubercle</v>
      </c>
      <c r="G1821" s="9" t="s">
        <v>3470</v>
      </c>
      <c r="H1821" s="9" t="s">
        <v>24898</v>
      </c>
      <c r="I1821" s="9" t="s">
        <v>3473</v>
      </c>
      <c r="J1821" s="9" t="s">
        <v>3474</v>
      </c>
      <c r="K1821" s="7" t="s">
        <v>15171</v>
      </c>
      <c r="L1821" s="13">
        <v>10145</v>
      </c>
      <c r="M1821" t="str">
        <f>VLOOKUP(L1821,[1]HBA!$B$2:$C$4000,2,FALSE)</f>
        <v>OlfT</v>
      </c>
    </row>
    <row r="1822" spans="2:13" x14ac:dyDescent="0.25">
      <c r="B1822" s="31" t="s">
        <v>25743</v>
      </c>
      <c r="C1822" s="20"/>
      <c r="D1822" s="25" t="s">
        <v>3471</v>
      </c>
      <c r="E1822" s="25"/>
      <c r="F1822" s="9" t="str">
        <f>HYPERLINK("https://www.ebi.ac.uk/ols/ontologies/uberon/terms?iri=http://purl.obolibrary.org/obo/UBERON_0001883","olfactory tubercle")</f>
        <v>olfactory tubercle</v>
      </c>
      <c r="G1822" s="9" t="s">
        <v>3470</v>
      </c>
      <c r="H1822" s="9" t="s">
        <v>19752</v>
      </c>
      <c r="I1822" s="9" t="s">
        <v>3471</v>
      </c>
      <c r="J1822" s="9" t="s">
        <v>3475</v>
      </c>
      <c r="K1822" s="3" t="s">
        <v>15176</v>
      </c>
      <c r="L1822" s="13">
        <v>754</v>
      </c>
      <c r="M1822" t="str">
        <f>VLOOKUP(L1822,[1]Mouse_ARA!$B$2:$C$1328,2,FALSE)</f>
        <v>OT</v>
      </c>
    </row>
    <row r="1823" spans="2:13" x14ac:dyDescent="0.25">
      <c r="B1823" s="31" t="s">
        <v>25743</v>
      </c>
      <c r="C1823" s="20"/>
      <c r="D1823" s="25" t="s">
        <v>3471</v>
      </c>
      <c r="E1823" s="25"/>
      <c r="F1823" s="9" t="str">
        <f>HYPERLINK("https://www.ebi.ac.uk/ols/ontologies/uberon/terms?iri=http://purl.obolibrary.org/obo/UBERON_0001883","olfactory tubercle")</f>
        <v>olfactory tubercle</v>
      </c>
      <c r="G1823" s="9" t="s">
        <v>3470</v>
      </c>
      <c r="H1823" s="9" t="s">
        <v>15418</v>
      </c>
      <c r="I1823" s="9" t="s">
        <v>3471</v>
      </c>
      <c r="J1823" s="9" t="s">
        <v>3476</v>
      </c>
      <c r="K1823" s="6" t="s">
        <v>15174</v>
      </c>
      <c r="L1823" s="13">
        <v>10096</v>
      </c>
      <c r="M1823" t="str">
        <f>VLOOKUP(L1823,[1]NonHumanPrimate!$B$2:$C$4000,2,FALSE)</f>
        <v>Tu</v>
      </c>
    </row>
    <row r="1824" spans="2:13" x14ac:dyDescent="0.25">
      <c r="B1824" s="31" t="s">
        <v>25743</v>
      </c>
      <c r="C1824" s="20"/>
      <c r="D1824" s="25" t="s">
        <v>706</v>
      </c>
      <c r="E1824" s="25"/>
      <c r="F1824" s="9" t="str">
        <f>HYPERLINK("https://www.ebi.ac.uk/ols/ontologies/uberon/terms?iri=http://purl.obolibrary.org/obo/UBERON_0002565","olivary pretectal nucleus")</f>
        <v>olivary pretectal nucleus</v>
      </c>
      <c r="G1824" s="9" t="s">
        <v>3477</v>
      </c>
      <c r="H1824" s="9" t="s">
        <v>16770</v>
      </c>
      <c r="I1824" s="9" t="s">
        <v>706</v>
      </c>
      <c r="J1824" s="9" t="s">
        <v>3478</v>
      </c>
      <c r="K1824" s="4" t="s">
        <v>15175</v>
      </c>
      <c r="L1824" s="13">
        <v>12186</v>
      </c>
      <c r="M1824" t="str">
        <f>VLOOKUP(L1824,[1]Human_BrainSpan!$B$2:$C$4000,2,FALSE)</f>
        <v>OPT</v>
      </c>
    </row>
    <row r="1825" spans="2:13" x14ac:dyDescent="0.25">
      <c r="B1825" s="31" t="s">
        <v>25743</v>
      </c>
      <c r="C1825" s="20"/>
      <c r="D1825" s="25" t="s">
        <v>706</v>
      </c>
      <c r="E1825" s="25"/>
      <c r="F1825" s="9" t="str">
        <f>HYPERLINK("https://www.ebi.ac.uk/ols/ontologies/uberon/terms?iri=http://purl.obolibrary.org/obo/UBERON_0002565","olivary pretectal nucleus")</f>
        <v>olivary pretectal nucleus</v>
      </c>
      <c r="G1825" s="9" t="s">
        <v>3477</v>
      </c>
      <c r="H1825" s="9" t="s">
        <v>16770</v>
      </c>
      <c r="I1825" s="9" t="s">
        <v>706</v>
      </c>
      <c r="J1825" s="9" t="s">
        <v>707</v>
      </c>
      <c r="K1825" s="5" t="s">
        <v>15173</v>
      </c>
      <c r="L1825" s="13">
        <v>16589</v>
      </c>
      <c r="M1825" t="str">
        <f>VLOOKUP(L1825,[1]DevMouse!$B$2:$C$2693,2,FALSE)</f>
        <v>OPT</v>
      </c>
    </row>
    <row r="1826" spans="2:13" x14ac:dyDescent="0.25">
      <c r="B1826" s="31" t="s">
        <v>25743</v>
      </c>
      <c r="C1826" s="20"/>
      <c r="D1826" s="25" t="s">
        <v>706</v>
      </c>
      <c r="E1826" s="25"/>
      <c r="F1826" s="9" t="str">
        <f>HYPERLINK("https://www.ebi.ac.uk/ols/ontologies/uberon/terms?iri=http://purl.obolibrary.org/obo/UBERON_0002565","olivary pretectal nucleus")</f>
        <v>olivary pretectal nucleus</v>
      </c>
      <c r="G1826" s="9" t="s">
        <v>3477</v>
      </c>
      <c r="H1826" s="9" t="s">
        <v>25325</v>
      </c>
      <c r="I1826" s="9" t="s">
        <v>706</v>
      </c>
      <c r="J1826" s="9" t="s">
        <v>3479</v>
      </c>
      <c r="K1826" s="7" t="s">
        <v>15171</v>
      </c>
      <c r="L1826" s="13">
        <v>9086</v>
      </c>
      <c r="M1826" t="str">
        <f>VLOOKUP(L1826,[1]HBA!$B$2:$C$4000,2,FALSE)</f>
        <v>OPt</v>
      </c>
    </row>
    <row r="1827" spans="2:13" x14ac:dyDescent="0.25">
      <c r="B1827" s="31" t="s">
        <v>25743</v>
      </c>
      <c r="C1827" s="20"/>
      <c r="D1827" s="25" t="s">
        <v>706</v>
      </c>
      <c r="E1827" s="25"/>
      <c r="F1827" s="9" t="str">
        <f>HYPERLINK("https://www.ebi.ac.uk/ols/ontologies/uberon/terms?iri=http://purl.obolibrary.org/obo/UBERON_0002565","olivary pretectal nucleus")</f>
        <v>olivary pretectal nucleus</v>
      </c>
      <c r="G1827" s="9" t="s">
        <v>3477</v>
      </c>
      <c r="H1827" s="9" t="s">
        <v>20238</v>
      </c>
      <c r="I1827" s="9" t="s">
        <v>706</v>
      </c>
      <c r="J1827" s="9" t="s">
        <v>819</v>
      </c>
      <c r="K1827" s="3" t="s">
        <v>15176</v>
      </c>
      <c r="L1827" s="13">
        <v>706</v>
      </c>
      <c r="M1827" t="str">
        <f>VLOOKUP(L1827,[1]Mouse_ARA!$B$2:$C$1328,2,FALSE)</f>
        <v>OP</v>
      </c>
    </row>
    <row r="1828" spans="2:13" x14ac:dyDescent="0.25">
      <c r="B1828" s="37" t="s">
        <v>25743</v>
      </c>
      <c r="C1828" s="20"/>
      <c r="D1828" s="25" t="s">
        <v>3481</v>
      </c>
      <c r="E1828" s="25"/>
      <c r="F1828" s="9" t="str">
        <f>HYPERLINK("https://www.ebi.ac.uk/ols/ontologies/uberon/terms?iri=http://purl.obolibrary.org/obo/UBERON_0002752","olivocerebellar tract")</f>
        <v>olivocerebellar tract</v>
      </c>
      <c r="G1828" s="9" t="s">
        <v>3480</v>
      </c>
      <c r="H1828" s="9" t="s">
        <v>24615</v>
      </c>
      <c r="I1828" s="9" t="s">
        <v>3481</v>
      </c>
      <c r="J1828" s="9" t="s">
        <v>3482</v>
      </c>
      <c r="K1828" s="4" t="s">
        <v>15175</v>
      </c>
      <c r="L1828" s="13">
        <v>12747</v>
      </c>
      <c r="M1828" t="str">
        <f>VLOOKUP(L1828,[1]Human_BrainSpan!$B$2:$C$4000,2,FALSE)</f>
        <v>ocb</v>
      </c>
    </row>
    <row r="1829" spans="2:13" x14ac:dyDescent="0.25">
      <c r="B1829" s="37" t="s">
        <v>25743</v>
      </c>
      <c r="C1829" s="20"/>
      <c r="D1829" s="25" t="s">
        <v>3481</v>
      </c>
      <c r="E1829" s="25"/>
      <c r="F1829" s="9" t="str">
        <f>HYPERLINK("https://www.ebi.ac.uk/ols/ontologies/uberon/terms?iri=http://purl.obolibrary.org/obo/UBERON_0002752","olivocerebellar tract")</f>
        <v>olivocerebellar tract</v>
      </c>
      <c r="G1829" s="9" t="s">
        <v>3480</v>
      </c>
      <c r="H1829" s="9" t="s">
        <v>20810</v>
      </c>
      <c r="I1829" s="9" t="s">
        <v>3481</v>
      </c>
      <c r="J1829" s="9" t="s">
        <v>3483</v>
      </c>
      <c r="K1829" s="3" t="s">
        <v>15176</v>
      </c>
      <c r="L1829" s="13">
        <v>404</v>
      </c>
      <c r="M1829" t="str">
        <f>VLOOKUP(L1829,[1]Mouse_ARA!$B$2:$C$1328,2,FALSE)</f>
        <v>oct</v>
      </c>
    </row>
    <row r="1830" spans="2:13" x14ac:dyDescent="0.25">
      <c r="B1830" s="31" t="s">
        <v>25743</v>
      </c>
      <c r="C1830" s="20"/>
      <c r="D1830" s="25" t="s">
        <v>3485</v>
      </c>
      <c r="E1830" s="25"/>
      <c r="F1830" s="9" t="str">
        <f>HYPERLINK("https://www.ebi.ac.uk/ols/ontologies/uberon/terms?iri=http://purl.obolibrary.org/obo/UBERON_0002775","olivocochlear bundle")</f>
        <v>olivocochlear bundle</v>
      </c>
      <c r="G1830" s="9" t="s">
        <v>3484</v>
      </c>
      <c r="H1830" s="9" t="s">
        <v>24632</v>
      </c>
      <c r="I1830" s="9" t="s">
        <v>3485</v>
      </c>
      <c r="J1830" s="9" t="s">
        <v>3486</v>
      </c>
      <c r="K1830" s="4" t="s">
        <v>15175</v>
      </c>
      <c r="L1830" s="13">
        <v>12771</v>
      </c>
      <c r="M1830" t="str">
        <f>VLOOKUP(L1830,[1]Human_BrainSpan!$B$2:$C$4000,2,FALSE)</f>
        <v>olcob</v>
      </c>
    </row>
    <row r="1831" spans="2:13" x14ac:dyDescent="0.25">
      <c r="B1831" s="31" t="s">
        <v>25743</v>
      </c>
      <c r="C1831" s="20"/>
      <c r="D1831" s="25" t="s">
        <v>26074</v>
      </c>
      <c r="E1831" s="25"/>
      <c r="F1831" s="9" t="str">
        <f>HYPERLINK("https://www.ebi.ac.uk/ols/ontologies/uberon/terms?iri=http://purl.obolibrary.org/obo/UBERON_0002980","opercular part of inferior frontal gyrus")</f>
        <v>opercular part of inferior frontal gyrus</v>
      </c>
      <c r="G1831" s="9" t="s">
        <v>3487</v>
      </c>
      <c r="H1831" s="9" t="s">
        <v>23797</v>
      </c>
      <c r="I1831" s="9" t="s">
        <v>3488</v>
      </c>
      <c r="J1831" s="9" t="s">
        <v>3489</v>
      </c>
      <c r="K1831" s="4" t="s">
        <v>15175</v>
      </c>
      <c r="L1831" s="13">
        <v>12119</v>
      </c>
      <c r="M1831" t="str">
        <f>VLOOKUP(L1831,[1]Human_BrainSpan!$B$2:$C$4000,2,FALSE)</f>
        <v>IFGop</v>
      </c>
    </row>
    <row r="1832" spans="2:13" x14ac:dyDescent="0.25">
      <c r="B1832" s="31" t="s">
        <v>25743</v>
      </c>
      <c r="C1832" s="20"/>
      <c r="D1832" s="25" t="s">
        <v>26074</v>
      </c>
      <c r="E1832" s="25"/>
      <c r="F1832" s="9" t="str">
        <f>HYPERLINK("https://www.ebi.ac.uk/ols/ontologies/uberon/terms?iri=http://purl.obolibrary.org/obo/UBERON_0002980","opercular part of inferior frontal gyrus")</f>
        <v>opercular part of inferior frontal gyrus</v>
      </c>
      <c r="G1832" s="9" t="s">
        <v>3487</v>
      </c>
      <c r="H1832" s="9" t="s">
        <v>24764</v>
      </c>
      <c r="I1832" s="9" t="s">
        <v>3488</v>
      </c>
      <c r="J1832" s="9" t="s">
        <v>3490</v>
      </c>
      <c r="K1832" s="7" t="s">
        <v>15171</v>
      </c>
      <c r="L1832" s="13">
        <v>4041</v>
      </c>
      <c r="M1832" t="str">
        <f>VLOOKUP(L1832,[1]HBA!$B$2:$C$4000,2,FALSE)</f>
        <v>opIFG</v>
      </c>
    </row>
    <row r="1833" spans="2:13" x14ac:dyDescent="0.25">
      <c r="B1833" s="31" t="s">
        <v>25743</v>
      </c>
      <c r="C1833" s="20"/>
      <c r="D1833" s="25" t="s">
        <v>26075</v>
      </c>
      <c r="E1833" s="25"/>
      <c r="F1833" s="9" t="str">
        <f>HYPERLINK("https://www.ebi.ac.uk/ols/ontologies/uberon/terms?iri=http://purl.obolibrary.org/obo/UBERON_0000959","optic chiasma")</f>
        <v>optic chiasma</v>
      </c>
      <c r="G1833" s="9" t="s">
        <v>3491</v>
      </c>
      <c r="H1833" s="9" t="s">
        <v>23626</v>
      </c>
      <c r="I1833" s="9" t="s">
        <v>3492</v>
      </c>
      <c r="J1833" s="9" t="s">
        <v>3493</v>
      </c>
      <c r="K1833" s="4" t="s">
        <v>15175</v>
      </c>
      <c r="L1833" s="13">
        <v>10644</v>
      </c>
      <c r="M1833" t="str">
        <f>VLOOKUP(L1833,[1]Human_BrainSpan!$B$2:$C$4000,2,FALSE)</f>
        <v>ox</v>
      </c>
    </row>
    <row r="1834" spans="2:13" x14ac:dyDescent="0.25">
      <c r="B1834" s="31" t="s">
        <v>25743</v>
      </c>
      <c r="C1834" s="20"/>
      <c r="D1834" s="25" t="s">
        <v>26075</v>
      </c>
      <c r="E1834" s="25"/>
      <c r="F1834" s="9" t="str">
        <f>HYPERLINK("https://www.ebi.ac.uk/ols/ontologies/uberon/terms?iri=http://purl.obolibrary.org/obo/UBERON_0000959","optic chiasma")</f>
        <v>optic chiasma</v>
      </c>
      <c r="G1834" s="9" t="s">
        <v>3491</v>
      </c>
      <c r="H1834" s="9" t="s">
        <v>18480</v>
      </c>
      <c r="I1834" s="9" t="s">
        <v>3492</v>
      </c>
      <c r="J1834" s="9" t="s">
        <v>3494</v>
      </c>
      <c r="K1834" s="5" t="s">
        <v>15173</v>
      </c>
      <c r="L1834" s="13">
        <v>17783</v>
      </c>
      <c r="M1834" t="str">
        <f>VLOOKUP(L1834,[1]DevMouse!$B$2:$C$2693,2,FALSE)</f>
        <v>och</v>
      </c>
    </row>
    <row r="1835" spans="2:13" x14ac:dyDescent="0.25">
      <c r="B1835" s="31" t="s">
        <v>25743</v>
      </c>
      <c r="C1835" s="20"/>
      <c r="D1835" s="25" t="s">
        <v>26075</v>
      </c>
      <c r="E1835" s="25"/>
      <c r="F1835" s="9" t="str">
        <f>HYPERLINK("https://www.ebi.ac.uk/ols/ontologies/uberon/terms?iri=http://purl.obolibrary.org/obo/UBERON_0000959","optic chiasma")</f>
        <v>optic chiasma</v>
      </c>
      <c r="G1835" s="9" t="s">
        <v>3491</v>
      </c>
      <c r="H1835" s="9" t="s">
        <v>23626</v>
      </c>
      <c r="I1835" s="9" t="s">
        <v>3495</v>
      </c>
      <c r="J1835" s="9" t="s">
        <v>3496</v>
      </c>
      <c r="K1835" s="7" t="s">
        <v>15171</v>
      </c>
      <c r="L1835" s="13">
        <v>9310</v>
      </c>
      <c r="M1835" t="str">
        <f>VLOOKUP(L1835,[1]HBA!$B$2:$C$4000,2,FALSE)</f>
        <v>ox</v>
      </c>
    </row>
    <row r="1836" spans="2:13" x14ac:dyDescent="0.25">
      <c r="B1836" s="31" t="s">
        <v>25743</v>
      </c>
      <c r="C1836" s="20"/>
      <c r="D1836" s="25" t="s">
        <v>26075</v>
      </c>
      <c r="E1836" s="25"/>
      <c r="F1836" s="9" t="str">
        <f>HYPERLINK("https://www.ebi.ac.uk/ols/ontologies/uberon/terms?iri=http://purl.obolibrary.org/obo/UBERON_0000959","optic chiasma")</f>
        <v>optic chiasma</v>
      </c>
      <c r="G1836" s="9" t="s">
        <v>3491</v>
      </c>
      <c r="H1836" s="9" t="s">
        <v>18480</v>
      </c>
      <c r="I1836" s="9" t="s">
        <v>3492</v>
      </c>
      <c r="J1836" s="9" t="s">
        <v>3497</v>
      </c>
      <c r="K1836" s="3" t="s">
        <v>15176</v>
      </c>
      <c r="L1836" s="13">
        <v>117</v>
      </c>
      <c r="M1836" t="str">
        <f>VLOOKUP(L1836,[1]Mouse_ARA!$B$2:$C$1328,2,FALSE)</f>
        <v>och</v>
      </c>
    </row>
    <row r="1837" spans="2:13" x14ac:dyDescent="0.25">
      <c r="B1837" s="31" t="s">
        <v>25743</v>
      </c>
      <c r="C1837" s="25"/>
      <c r="D1837" s="25" t="s">
        <v>3499</v>
      </c>
      <c r="E1837" s="25"/>
      <c r="F1837" s="9" t="str">
        <f>HYPERLINK("https://www.ebi.ac.uk/ols/ontologies/uberon/terms?iri=http://purl.obolibrary.org/obo/UBERON_0022264","optic radiation")</f>
        <v>optic radiation</v>
      </c>
      <c r="G1837" s="9" t="s">
        <v>3498</v>
      </c>
      <c r="H1837" s="9" t="s">
        <v>20846</v>
      </c>
      <c r="I1837" s="9" t="s">
        <v>3499</v>
      </c>
      <c r="J1837" s="9" t="s">
        <v>3500</v>
      </c>
      <c r="K1837" s="4" t="s">
        <v>15175</v>
      </c>
      <c r="L1837" s="13">
        <v>266441621</v>
      </c>
      <c r="M1837" t="str">
        <f>VLOOKUP(L1837,[1]Human_BrainSpan!$B$2:$C$4000,2,FALSE)</f>
        <v>or</v>
      </c>
    </row>
    <row r="1838" spans="2:13" x14ac:dyDescent="0.25">
      <c r="B1838" s="31" t="s">
        <v>25743</v>
      </c>
      <c r="C1838" s="25"/>
      <c r="D1838" s="25" t="s">
        <v>3499</v>
      </c>
      <c r="E1838" s="25"/>
      <c r="F1838" s="9" t="str">
        <f>HYPERLINK("https://www.ebi.ac.uk/ols/ontologies/uberon/terms?iri=http://purl.obolibrary.org/obo/UBERON_0022264","optic radiation")</f>
        <v>optic radiation</v>
      </c>
      <c r="G1838" s="9" t="s">
        <v>3498</v>
      </c>
      <c r="H1838" s="9" t="s">
        <v>20846</v>
      </c>
      <c r="I1838" s="9" t="s">
        <v>3501</v>
      </c>
      <c r="J1838" s="9" t="s">
        <v>3502</v>
      </c>
      <c r="K1838" s="7" t="s">
        <v>15171</v>
      </c>
      <c r="L1838" s="13">
        <v>9311</v>
      </c>
      <c r="M1838" t="str">
        <f>VLOOKUP(L1838,[1]HBA!$B$2:$C$4000,2,FALSE)</f>
        <v>or</v>
      </c>
    </row>
    <row r="1839" spans="2:13" x14ac:dyDescent="0.25">
      <c r="B1839" s="31" t="s">
        <v>25743</v>
      </c>
      <c r="C1839" s="20"/>
      <c r="D1839" s="25" t="s">
        <v>3504</v>
      </c>
      <c r="E1839" s="25"/>
      <c r="F1839" s="9" t="str">
        <f>HYPERLINK("https://www.ebi.ac.uk/ols/ontologies/uberon/terms?iri=http://purl.obolibrary.org/obo/UBERON_0001908","optic tract")</f>
        <v>optic tract</v>
      </c>
      <c r="G1839" s="9" t="s">
        <v>3503</v>
      </c>
      <c r="H1839" s="9" t="s">
        <v>23627</v>
      </c>
      <c r="I1839" s="9" t="s">
        <v>3504</v>
      </c>
      <c r="J1839" s="9" t="s">
        <v>3505</v>
      </c>
      <c r="K1839" s="4" t="s">
        <v>15175</v>
      </c>
      <c r="L1839" s="13">
        <v>10589</v>
      </c>
      <c r="M1839" t="str">
        <f>VLOOKUP(L1839,[1]Human_BrainSpan!$B$2:$C$4000,2,FALSE)</f>
        <v>ot</v>
      </c>
    </row>
    <row r="1840" spans="2:13" x14ac:dyDescent="0.25">
      <c r="B1840" s="31" t="s">
        <v>25743</v>
      </c>
      <c r="C1840" s="20"/>
      <c r="D1840" s="25" t="s">
        <v>3504</v>
      </c>
      <c r="E1840" s="25"/>
      <c r="F1840" s="9" t="str">
        <f>HYPERLINK("https://www.ebi.ac.uk/ols/ontologies/uberon/terms?iri=http://purl.obolibrary.org/obo/UBERON_0001908","optic tract")</f>
        <v>optic tract</v>
      </c>
      <c r="G1840" s="9" t="s">
        <v>3503</v>
      </c>
      <c r="H1840" s="9" t="s">
        <v>18483</v>
      </c>
      <c r="I1840" s="9" t="s">
        <v>3504</v>
      </c>
      <c r="J1840" s="9" t="s">
        <v>3506</v>
      </c>
      <c r="K1840" s="5" t="s">
        <v>15173</v>
      </c>
      <c r="L1840" s="13">
        <v>17785</v>
      </c>
      <c r="M1840" t="str">
        <f>VLOOKUP(L1840,[1]DevMouse!$B$2:$C$2693,2,FALSE)</f>
        <v>opt</v>
      </c>
    </row>
    <row r="1841" spans="2:13" x14ac:dyDescent="0.25">
      <c r="B1841" s="31" t="s">
        <v>25743</v>
      </c>
      <c r="C1841" s="20"/>
      <c r="D1841" s="25" t="s">
        <v>3504</v>
      </c>
      <c r="E1841" s="25"/>
      <c r="F1841" s="9" t="str">
        <f>HYPERLINK("https://www.ebi.ac.uk/ols/ontologies/uberon/terms?iri=http://purl.obolibrary.org/obo/UBERON_0001908","optic tract")</f>
        <v>optic tract</v>
      </c>
      <c r="G1841" s="9" t="s">
        <v>3503</v>
      </c>
      <c r="H1841" s="9" t="s">
        <v>18483</v>
      </c>
      <c r="I1841" s="9" t="s">
        <v>3507</v>
      </c>
      <c r="J1841" s="9" t="s">
        <v>3508</v>
      </c>
      <c r="K1841" s="7" t="s">
        <v>15171</v>
      </c>
      <c r="L1841" s="13">
        <v>9309</v>
      </c>
      <c r="M1841" t="str">
        <f>VLOOKUP(L1841,[1]HBA!$B$2:$C$4000,2,FALSE)</f>
        <v>opt</v>
      </c>
    </row>
    <row r="1842" spans="2:13" x14ac:dyDescent="0.25">
      <c r="B1842" s="31" t="s">
        <v>25743</v>
      </c>
      <c r="C1842" s="20"/>
      <c r="D1842" s="25" t="s">
        <v>3504</v>
      </c>
      <c r="E1842" s="25"/>
      <c r="F1842" s="9" t="str">
        <f>HYPERLINK("https://www.ebi.ac.uk/ols/ontologies/uberon/terms?iri=http://purl.obolibrary.org/obo/UBERON_0001908","optic tract")</f>
        <v>optic tract</v>
      </c>
      <c r="G1842" s="9" t="s">
        <v>3503</v>
      </c>
      <c r="H1842" s="9" t="s">
        <v>18483</v>
      </c>
      <c r="I1842" s="9" t="s">
        <v>3504</v>
      </c>
      <c r="J1842" s="9" t="s">
        <v>3509</v>
      </c>
      <c r="K1842" s="3" t="s">
        <v>15176</v>
      </c>
      <c r="L1842" s="13">
        <v>125</v>
      </c>
      <c r="M1842" t="str">
        <f>VLOOKUP(L1842,[1]Mouse_ARA!$B$2:$C$1328,2,FALSE)</f>
        <v>opt</v>
      </c>
    </row>
    <row r="1843" spans="2:13" x14ac:dyDescent="0.25">
      <c r="B1843" s="31" t="s">
        <v>25743</v>
      </c>
      <c r="C1843" s="20"/>
      <c r="D1843" s="25" t="s">
        <v>26076</v>
      </c>
      <c r="E1843" s="25"/>
      <c r="F1843" s="9" t="str">
        <f>HYPERLINK("https://www.ebi.ac.uk/ols/ontologies/uberon/terms?iri=http://purl.obolibrary.org/obo/UBERON_0002591","oral part of spinal trigeminal nucleus")</f>
        <v>oral part of spinal trigeminal nucleus</v>
      </c>
      <c r="G1843" s="9" t="s">
        <v>3510</v>
      </c>
      <c r="H1843" s="9" t="s">
        <v>25471</v>
      </c>
      <c r="I1843" s="9" t="s">
        <v>3511</v>
      </c>
      <c r="J1843" s="9" t="s">
        <v>3512</v>
      </c>
      <c r="K1843" s="7" t="s">
        <v>15171</v>
      </c>
      <c r="L1843" s="13">
        <v>9679</v>
      </c>
      <c r="M1843" t="str">
        <f>VLOOKUP(L1843,[1]HBA!$B$2:$C$4000,2,FALSE)</f>
        <v>Sp5O</v>
      </c>
    </row>
    <row r="1844" spans="2:13" x14ac:dyDescent="0.25">
      <c r="B1844" s="31" t="s">
        <v>25743</v>
      </c>
      <c r="C1844" s="20"/>
      <c r="D1844" s="25" t="s">
        <v>26076</v>
      </c>
      <c r="E1844" s="25"/>
      <c r="F1844" s="9" t="str">
        <f>HYPERLINK("https://www.ebi.ac.uk/ols/ontologies/uberon/terms?iri=http://purl.obolibrary.org/obo/UBERON_0002591","oral part of spinal trigeminal nucleus")</f>
        <v>oral part of spinal trigeminal nucleus</v>
      </c>
      <c r="G1844" s="9" t="s">
        <v>3510</v>
      </c>
      <c r="H1844" s="9" t="s">
        <v>20433</v>
      </c>
      <c r="I1844" s="9" t="s">
        <v>3513</v>
      </c>
      <c r="J1844" s="9" t="s">
        <v>3514</v>
      </c>
      <c r="K1844" s="3" t="s">
        <v>15176</v>
      </c>
      <c r="L1844" s="13">
        <v>445</v>
      </c>
      <c r="M1844" t="str">
        <f>VLOOKUP(L1844,[1]Mouse_ARA!$B$2:$C$1328,2,FALSE)</f>
        <v>SPVO</v>
      </c>
    </row>
    <row r="1845" spans="2:13" x14ac:dyDescent="0.25">
      <c r="B1845" s="31" t="s">
        <v>25743</v>
      </c>
      <c r="C1845" s="20"/>
      <c r="D1845" s="25" t="s">
        <v>26077</v>
      </c>
      <c r="E1845" s="25"/>
      <c r="F1845" s="9" t="str">
        <f>HYPERLINK("https://www.ebi.ac.uk/ols/ontologies/uberon/terms?iri=http://purl.obolibrary.org/obo/UBERON_0002999","oral pontine reticular nucleus")</f>
        <v>oral pontine reticular nucleus</v>
      </c>
      <c r="G1845" s="9" t="s">
        <v>3515</v>
      </c>
      <c r="H1845" s="9" t="s">
        <v>24333</v>
      </c>
      <c r="I1845" s="9" t="s">
        <v>3516</v>
      </c>
      <c r="J1845" s="9" t="s">
        <v>3517</v>
      </c>
      <c r="K1845" s="4" t="s">
        <v>15175</v>
      </c>
      <c r="L1845" s="13">
        <v>12494</v>
      </c>
      <c r="M1845" t="str">
        <f>VLOOKUP(L1845,[1]Human_BrainSpan!$B$2:$C$4000,2,FALSE)</f>
        <v>PnO</v>
      </c>
    </row>
    <row r="1846" spans="2:13" x14ac:dyDescent="0.25">
      <c r="B1846" s="31" t="s">
        <v>25743</v>
      </c>
      <c r="C1846" s="20"/>
      <c r="D1846" s="25" t="s">
        <v>26077</v>
      </c>
      <c r="E1846" s="25"/>
      <c r="F1846" s="9" t="str">
        <f>HYPERLINK("https://www.ebi.ac.uk/ols/ontologies/uberon/terms?iri=http://purl.obolibrary.org/obo/UBERON_0002999","oral pontine reticular nucleus")</f>
        <v>oral pontine reticular nucleus</v>
      </c>
      <c r="G1846" s="9" t="s">
        <v>3515</v>
      </c>
      <c r="H1846" s="9" t="s">
        <v>24333</v>
      </c>
      <c r="I1846" s="9" t="s">
        <v>3518</v>
      </c>
      <c r="J1846" s="9" t="s">
        <v>3519</v>
      </c>
      <c r="K1846" s="7" t="s">
        <v>15171</v>
      </c>
      <c r="L1846" s="13">
        <v>9166</v>
      </c>
      <c r="M1846" t="str">
        <f>VLOOKUP(L1846,[1]HBA!$B$2:$C$4000,2,FALSE)</f>
        <v>PnO</v>
      </c>
    </row>
    <row r="1847" spans="2:13" x14ac:dyDescent="0.25">
      <c r="B1847" s="31" t="s">
        <v>25743</v>
      </c>
      <c r="C1847" s="20"/>
      <c r="D1847" s="25" t="s">
        <v>26077</v>
      </c>
      <c r="E1847" s="25"/>
      <c r="F1847" s="9" t="str">
        <f>HYPERLINK("https://www.ebi.ac.uk/ols/ontologies/uberon/terms?iri=http://purl.obolibrary.org/obo/UBERON_0002999","oral pontine reticular nucleus")</f>
        <v>oral pontine reticular nucleus</v>
      </c>
      <c r="G1847" s="9" t="s">
        <v>3515</v>
      </c>
      <c r="H1847" s="9" t="s">
        <v>20352</v>
      </c>
      <c r="I1847" s="9" t="s">
        <v>3520</v>
      </c>
      <c r="J1847" s="9" t="s">
        <v>3521</v>
      </c>
      <c r="K1847" s="3" t="s">
        <v>15176</v>
      </c>
      <c r="L1847" s="13">
        <v>552</v>
      </c>
      <c r="M1847" t="str">
        <f>VLOOKUP(L1847,[1]Mouse_ARA!$B$2:$C$1328,2,FALSE)</f>
        <v>PRNv</v>
      </c>
    </row>
    <row r="1848" spans="2:13" x14ac:dyDescent="0.25">
      <c r="B1848" s="31" t="s">
        <v>25743</v>
      </c>
      <c r="C1848" s="20"/>
      <c r="D1848" s="25" t="s">
        <v>26078</v>
      </c>
      <c r="E1848" s="25"/>
      <c r="F1848" s="9" t="str">
        <f>HYPERLINK("https://www.ebi.ac.uk/ols/ontologies/uberon/terms?iri=http://purl.obolibrary.org/obo/UBERON_0002641","oral pulvinar nucleus")</f>
        <v>oral pulvinar nucleus</v>
      </c>
      <c r="G1848" s="9" t="s">
        <v>3522</v>
      </c>
      <c r="H1848" s="9" t="s">
        <v>23315</v>
      </c>
      <c r="I1848" s="9" t="s">
        <v>3523</v>
      </c>
      <c r="J1848" s="9" t="s">
        <v>3524</v>
      </c>
      <c r="K1848" s="4" t="s">
        <v>15175</v>
      </c>
      <c r="L1848" s="13">
        <v>10410</v>
      </c>
      <c r="M1848" t="str">
        <f>VLOOKUP(L1848,[1]Human_BrainSpan!$B$2:$C$4000,2,FALSE)</f>
        <v>Pulr</v>
      </c>
    </row>
    <row r="1849" spans="2:13" x14ac:dyDescent="0.25">
      <c r="B1849" s="31" t="s">
        <v>25743</v>
      </c>
      <c r="C1849" s="20"/>
      <c r="D1849" s="25" t="s">
        <v>26078</v>
      </c>
      <c r="E1849" s="25"/>
      <c r="F1849" s="9" t="str">
        <f>HYPERLINK("https://www.ebi.ac.uk/ols/ontologies/uberon/terms?iri=http://purl.obolibrary.org/obo/UBERON_0002641","oral pulvinar nucleus")</f>
        <v>oral pulvinar nucleus</v>
      </c>
      <c r="G1849" s="9" t="s">
        <v>3522</v>
      </c>
      <c r="H1849" s="9" t="s">
        <v>25109</v>
      </c>
      <c r="I1849" s="9" t="s">
        <v>3525</v>
      </c>
      <c r="J1849" s="9" t="s">
        <v>3526</v>
      </c>
      <c r="K1849" s="7" t="s">
        <v>15171</v>
      </c>
      <c r="L1849" s="13">
        <v>4411</v>
      </c>
      <c r="M1849" t="str">
        <f>VLOOKUP(L1849,[1]HBA!$B$2:$C$4000,2,FALSE)</f>
        <v>Pla</v>
      </c>
    </row>
    <row r="1850" spans="2:13" x14ac:dyDescent="0.25">
      <c r="B1850" s="31" t="s">
        <v>25743</v>
      </c>
      <c r="C1850" s="20"/>
      <c r="D1850" s="25" t="s">
        <v>3528</v>
      </c>
      <c r="E1850" s="25"/>
      <c r="F1850" s="9" t="str">
        <f>HYPERLINK("https://www.ebi.ac.uk/ols/ontologies/uberon/terms?iri=http://purl.obolibrary.org/obo/UBERON_0002593","orbital operculum")</f>
        <v>orbital operculum</v>
      </c>
      <c r="G1850" s="9" t="s">
        <v>3527</v>
      </c>
      <c r="H1850" s="9" t="s">
        <v>23807</v>
      </c>
      <c r="I1850" s="9" t="s">
        <v>3528</v>
      </c>
      <c r="J1850" s="9" t="s">
        <v>3529</v>
      </c>
      <c r="K1850" s="4" t="s">
        <v>15175</v>
      </c>
      <c r="L1850" s="13">
        <v>12128</v>
      </c>
      <c r="M1850" t="str">
        <f>VLOOKUP(L1850,[1]Human_BrainSpan!$B$2:$C$4000,2,FALSE)</f>
        <v>OrO</v>
      </c>
    </row>
    <row r="1851" spans="2:13" x14ac:dyDescent="0.25">
      <c r="B1851" s="31" t="s">
        <v>25743</v>
      </c>
      <c r="C1851" s="20"/>
      <c r="D1851" s="25" t="s">
        <v>26079</v>
      </c>
      <c r="E1851" s="25"/>
      <c r="F1851" s="9" t="str">
        <f>HYPERLINK("https://www.ebi.ac.uk/ols/ontologies/uberon/terms?iri=http://purl.obolibrary.org/obo/UBERON_0002624","orbital part of inferior frontal gyrus")</f>
        <v>orbital part of inferior frontal gyrus</v>
      </c>
      <c r="G1851" s="9" t="s">
        <v>3530</v>
      </c>
      <c r="H1851" s="9" t="s">
        <v>23798</v>
      </c>
      <c r="I1851" s="9" t="s">
        <v>3531</v>
      </c>
      <c r="J1851" s="9" t="s">
        <v>3532</v>
      </c>
      <c r="K1851" s="4" t="s">
        <v>15175</v>
      </c>
      <c r="L1851" s="13">
        <v>12120</v>
      </c>
      <c r="M1851" t="str">
        <f>VLOOKUP(L1851,[1]Human_BrainSpan!$B$2:$C$4000,2,FALSE)</f>
        <v>IFGor</v>
      </c>
    </row>
    <row r="1852" spans="2:13" x14ac:dyDescent="0.25">
      <c r="B1852" s="31" t="s">
        <v>25743</v>
      </c>
      <c r="C1852" s="20"/>
      <c r="D1852" s="25" t="s">
        <v>26079</v>
      </c>
      <c r="E1852" s="25"/>
      <c r="F1852" s="9" t="str">
        <f>HYPERLINK("https://www.ebi.ac.uk/ols/ontologies/uberon/terms?iri=http://purl.obolibrary.org/obo/UBERON_0002624","orbital part of inferior frontal gyrus")</f>
        <v>orbital part of inferior frontal gyrus</v>
      </c>
      <c r="G1852" s="9" t="s">
        <v>3530</v>
      </c>
      <c r="H1852" s="9" t="s">
        <v>24765</v>
      </c>
      <c r="I1852" s="9" t="s">
        <v>3531</v>
      </c>
      <c r="J1852" s="9" t="s">
        <v>3533</v>
      </c>
      <c r="K1852" s="7" t="s">
        <v>15171</v>
      </c>
      <c r="L1852" s="13">
        <v>4044</v>
      </c>
      <c r="M1852" t="str">
        <f>VLOOKUP(L1852,[1]HBA!$B$2:$C$4000,2,FALSE)</f>
        <v>orIFG</v>
      </c>
    </row>
    <row r="1853" spans="2:13" x14ac:dyDescent="0.25">
      <c r="B1853" s="31" t="s">
        <v>25743</v>
      </c>
      <c r="C1853" s="20"/>
      <c r="D1853" s="25" t="s">
        <v>3535</v>
      </c>
      <c r="E1853" s="25"/>
      <c r="F1853" s="9" t="str">
        <f>HYPERLINK("https://www.ebi.ac.uk/ols/ontologies/uberon/terms?iri=http://purl.obolibrary.org/obo/UBERON_0002595","orbital sulcus")</f>
        <v>orbital sulcus</v>
      </c>
      <c r="G1853" s="9" t="s">
        <v>3534</v>
      </c>
      <c r="H1853" s="9" t="s">
        <v>23719</v>
      </c>
      <c r="I1853" s="9" t="s">
        <v>3535</v>
      </c>
      <c r="J1853" s="9" t="s">
        <v>3536</v>
      </c>
      <c r="K1853" s="4" t="s">
        <v>15175</v>
      </c>
      <c r="L1853" s="13">
        <v>10625</v>
      </c>
      <c r="M1853" t="str">
        <f>VLOOKUP(L1853,[1]Human_BrainSpan!$B$2:$C$4000,2,FALSE)</f>
        <v>ors</v>
      </c>
    </row>
    <row r="1854" spans="2:13" x14ac:dyDescent="0.25">
      <c r="B1854" s="31" t="s">
        <v>25743</v>
      </c>
      <c r="C1854" s="20"/>
      <c r="D1854" s="25" t="s">
        <v>3535</v>
      </c>
      <c r="E1854" s="25"/>
      <c r="F1854" s="9" t="str">
        <f>HYPERLINK("https://www.ebi.ac.uk/ols/ontologies/uberon/terms?iri=http://purl.obolibrary.org/obo/UBERON_0002595","orbital sulcus")</f>
        <v>orbital sulcus</v>
      </c>
      <c r="G1854" s="9" t="s">
        <v>3534</v>
      </c>
      <c r="H1854" s="9" t="s">
        <v>25526</v>
      </c>
      <c r="I1854" s="9" t="s">
        <v>3535</v>
      </c>
      <c r="J1854" s="9" t="s">
        <v>3537</v>
      </c>
      <c r="K1854" s="7" t="s">
        <v>15171</v>
      </c>
      <c r="L1854" s="13">
        <v>9360</v>
      </c>
      <c r="M1854" t="str">
        <f>VLOOKUP(L1854,[1]HBA!$B$2:$C$4000,2,FALSE)</f>
        <v>orbs</v>
      </c>
    </row>
    <row r="1855" spans="2:13" x14ac:dyDescent="0.25">
      <c r="B1855" s="31" t="s">
        <v>25743</v>
      </c>
      <c r="C1855" s="20"/>
      <c r="D1855" s="25" t="s">
        <v>26080</v>
      </c>
      <c r="E1855" s="25"/>
      <c r="F1855" s="9" t="str">
        <f>HYPERLINK("https://www.ebi.ac.uk/ols/ontologies/uberon/terms?iri=http://purl.obolibrary.org/obo/UBERON_0004167","orbitofrontal cortex")</f>
        <v>orbitofrontal cortex</v>
      </c>
      <c r="G1855" s="9" t="s">
        <v>3538</v>
      </c>
      <c r="H1855" s="9" t="s">
        <v>22215</v>
      </c>
      <c r="I1855" s="9" t="s">
        <v>3539</v>
      </c>
      <c r="J1855" s="9" t="s">
        <v>3540</v>
      </c>
      <c r="K1855" s="4" t="s">
        <v>15175</v>
      </c>
      <c r="L1855" s="13">
        <v>10194</v>
      </c>
      <c r="M1855" t="str">
        <f>VLOOKUP(L1855,[1]Human_BrainSpan!$B$2:$C$4000,2,FALSE)</f>
        <v>OFC</v>
      </c>
    </row>
    <row r="1856" spans="2:13" x14ac:dyDescent="0.25">
      <c r="B1856" s="31" t="s">
        <v>25743</v>
      </c>
      <c r="C1856" s="20"/>
      <c r="D1856" s="25" t="s">
        <v>26081</v>
      </c>
      <c r="E1856" s="25"/>
      <c r="F1856" s="9" t="str">
        <f>HYPERLINK("https://www.ebi.ac.uk/ols/ontologies/uberon/terms?iri=http://purl.obolibrary.org/obo/UBERON_0011176","oval nucleus of stria terminalis")</f>
        <v>oval nucleus of stria terminalis</v>
      </c>
      <c r="G1856" s="9" t="s">
        <v>3541</v>
      </c>
      <c r="H1856" s="9" t="s">
        <v>19853</v>
      </c>
      <c r="I1856" s="9" t="s">
        <v>3542</v>
      </c>
      <c r="J1856" s="9" t="s">
        <v>3543</v>
      </c>
      <c r="K1856" s="3" t="s">
        <v>15176</v>
      </c>
      <c r="L1856" s="13">
        <v>554</v>
      </c>
      <c r="M1856" t="str">
        <f>VLOOKUP(L1856,[1]Mouse_ARA!$B$2:$C$1328,2,FALSE)</f>
        <v>BSTov</v>
      </c>
    </row>
    <row r="1857" spans="2:13" x14ac:dyDescent="0.25">
      <c r="B1857" s="31" t="s">
        <v>25743</v>
      </c>
      <c r="C1857" s="20"/>
      <c r="D1857" s="25" t="s">
        <v>26082</v>
      </c>
      <c r="E1857" s="25"/>
      <c r="F1857" s="9" t="str">
        <f>HYPERLINK("https://www.ebi.ac.uk/ols/ontologies/uberon/terms?iri=http://purl.obolibrary.org/obo/UBERON_0014735","paleocortex")</f>
        <v>paleocortex</v>
      </c>
      <c r="G1857" s="9" t="s">
        <v>3544</v>
      </c>
      <c r="H1857" s="9" t="s">
        <v>23127</v>
      </c>
      <c r="I1857" s="9" t="s">
        <v>3545</v>
      </c>
      <c r="J1857" s="9" t="s">
        <v>3546</v>
      </c>
      <c r="K1857" s="4" t="s">
        <v>15175</v>
      </c>
      <c r="L1857" s="13">
        <v>10306</v>
      </c>
      <c r="M1857" t="str">
        <f>VLOOKUP(L1857,[1]Human_BrainSpan!$B$2:$C$4000,2,FALSE)</f>
        <v>PalCx</v>
      </c>
    </row>
    <row r="1858" spans="2:13" x14ac:dyDescent="0.25">
      <c r="B1858" s="31" t="s">
        <v>25743</v>
      </c>
      <c r="C1858" s="20"/>
      <c r="D1858" s="25" t="s">
        <v>26083</v>
      </c>
      <c r="E1858" s="25"/>
      <c r="F1858" s="9" t="str">
        <f>HYPERLINK("https://www.ebi.ac.uk/ols/ontologies/uberon/terms?iri=http://purl.obolibrary.org/obo/UBERON_0002671","pallidotegmental fasciculus")</f>
        <v>pallidotegmental fasciculus</v>
      </c>
      <c r="G1858" s="9" t="s">
        <v>3547</v>
      </c>
      <c r="H1858" s="9" t="s">
        <v>23630</v>
      </c>
      <c r="I1858" s="9" t="s">
        <v>3548</v>
      </c>
      <c r="J1858" s="9" t="s">
        <v>3549</v>
      </c>
      <c r="K1858" s="4" t="s">
        <v>15175</v>
      </c>
      <c r="L1858" s="13">
        <v>12078</v>
      </c>
      <c r="M1858" t="str">
        <f>VLOOKUP(L1858,[1]Human_BrainSpan!$B$2:$C$4000,2,FALSE)</f>
        <v>ptg</v>
      </c>
    </row>
    <row r="1859" spans="2:13" x14ac:dyDescent="0.25">
      <c r="B1859" s="31" t="s">
        <v>25743</v>
      </c>
      <c r="C1859" s="20"/>
      <c r="D1859" s="25" t="s">
        <v>26083</v>
      </c>
      <c r="E1859" s="25"/>
      <c r="F1859" s="9" t="str">
        <f>HYPERLINK("https://www.ebi.ac.uk/ols/ontologies/uberon/terms?iri=http://purl.obolibrary.org/obo/UBERON_0002671","pallidotegmental fasciculus")</f>
        <v>pallidotegmental fasciculus</v>
      </c>
      <c r="G1859" s="9" t="s">
        <v>3547</v>
      </c>
      <c r="H1859" s="9" t="s">
        <v>20856</v>
      </c>
      <c r="I1859" s="9" t="s">
        <v>3550</v>
      </c>
      <c r="J1859" s="9" t="s">
        <v>3551</v>
      </c>
      <c r="K1859" s="3" t="s">
        <v>15176</v>
      </c>
      <c r="L1859" s="13">
        <v>134</v>
      </c>
      <c r="M1859" t="str">
        <f>VLOOKUP(L1859,[1]Mouse_ARA!$B$2:$C$1328,2,FALSE)</f>
        <v>ptf</v>
      </c>
    </row>
    <row r="1860" spans="2:13" x14ac:dyDescent="0.25">
      <c r="B1860" s="31" t="s">
        <v>25743</v>
      </c>
      <c r="C1860" s="20"/>
      <c r="D1860" s="25" t="s">
        <v>2129</v>
      </c>
      <c r="E1860" s="25"/>
      <c r="F1860" s="9" t="str">
        <f>HYPERLINK("https://www.ebi.ac.uk/ols/ontologies/uberon/terms?iri=http://purl.obolibrary.org/obo/UBERON_0006514","pallidum")</f>
        <v>pallidum</v>
      </c>
      <c r="G1860" s="9" t="s">
        <v>3552</v>
      </c>
      <c r="H1860" s="9" t="s">
        <v>19812</v>
      </c>
      <c r="I1860" s="9" t="s">
        <v>2129</v>
      </c>
      <c r="J1860" s="9" t="s">
        <v>2130</v>
      </c>
      <c r="K1860" s="3" t="s">
        <v>15176</v>
      </c>
      <c r="L1860" s="13">
        <v>803</v>
      </c>
      <c r="M1860" t="str">
        <f>VLOOKUP(L1860,[1]Mouse_ARA!$B$2:$C$1328,2,FALSE)</f>
        <v>PAL</v>
      </c>
    </row>
    <row r="1861" spans="2:13" x14ac:dyDescent="0.25">
      <c r="B1861" s="31" t="s">
        <v>25743</v>
      </c>
      <c r="C1861" s="20"/>
      <c r="D1861" s="25" t="s">
        <v>3554</v>
      </c>
      <c r="E1861" s="25"/>
      <c r="F1861" s="9" t="str">
        <f>HYPERLINK("https://www.ebi.ac.uk/ols/ontologies/uberon/terms?iri=http://purl.obolibrary.org/obo/UBERON_0000203","pallium")</f>
        <v>pallium</v>
      </c>
      <c r="G1861" s="9" t="s">
        <v>3553</v>
      </c>
      <c r="H1861" s="9" t="s">
        <v>15691</v>
      </c>
      <c r="I1861" s="9" t="s">
        <v>3554</v>
      </c>
      <c r="J1861" s="9" t="s">
        <v>3555</v>
      </c>
      <c r="K1861" s="5" t="s">
        <v>15173</v>
      </c>
      <c r="L1861" s="13">
        <v>15903</v>
      </c>
      <c r="M1861" t="str">
        <f>VLOOKUP(L1861,[1]DevMouse!$B$2:$C$2693,2,FALSE)</f>
        <v>Pall</v>
      </c>
    </row>
    <row r="1862" spans="2:13" x14ac:dyDescent="0.25">
      <c r="B1862" s="31" t="s">
        <v>25743</v>
      </c>
      <c r="C1862" s="20"/>
      <c r="D1862" s="25" t="s">
        <v>716</v>
      </c>
      <c r="E1862" s="25"/>
      <c r="F1862" s="9" t="str">
        <f>HYPERLINK("https://www.ebi.ac.uk/ols/ontologies/uberon/terms?iri=http://purl.obolibrary.org/obo/UBERON_0002140","parabigeminal nucleus")</f>
        <v>parabigeminal nucleus</v>
      </c>
      <c r="G1862" s="9" t="s">
        <v>3556</v>
      </c>
      <c r="H1862" s="9" t="s">
        <v>17293</v>
      </c>
      <c r="I1862" s="9" t="s">
        <v>716</v>
      </c>
      <c r="J1862" s="9" t="s">
        <v>3557</v>
      </c>
      <c r="K1862" s="4" t="s">
        <v>15175</v>
      </c>
      <c r="L1862" s="13">
        <v>12312</v>
      </c>
      <c r="M1862" t="str">
        <f>VLOOKUP(L1862,[1]Human_BrainSpan!$B$2:$C$4000,2,FALSE)</f>
        <v>PBG</v>
      </c>
    </row>
    <row r="1863" spans="2:13" x14ac:dyDescent="0.25">
      <c r="B1863" s="31" t="s">
        <v>25743</v>
      </c>
      <c r="C1863" s="20"/>
      <c r="D1863" s="25" t="s">
        <v>716</v>
      </c>
      <c r="E1863" s="25"/>
      <c r="F1863" s="9" t="str">
        <f>HYPERLINK("https://www.ebi.ac.uk/ols/ontologies/uberon/terms?iri=http://purl.obolibrary.org/obo/UBERON_0002140","parabigeminal nucleus")</f>
        <v>parabigeminal nucleus</v>
      </c>
      <c r="G1863" s="9" t="s">
        <v>3556</v>
      </c>
      <c r="H1863" s="9" t="s">
        <v>17293</v>
      </c>
      <c r="I1863" s="9" t="s">
        <v>716</v>
      </c>
      <c r="J1863" s="9" t="s">
        <v>717</v>
      </c>
      <c r="K1863" s="5" t="s">
        <v>15173</v>
      </c>
      <c r="L1863" s="13">
        <v>16862</v>
      </c>
      <c r="M1863" t="str">
        <f>VLOOKUP(L1863,[1]DevMouse!$B$2:$C$2693,2,FALSE)</f>
        <v>PBG</v>
      </c>
    </row>
    <row r="1864" spans="2:13" x14ac:dyDescent="0.25">
      <c r="B1864" s="31" t="s">
        <v>25743</v>
      </c>
      <c r="C1864" s="20"/>
      <c r="D1864" s="25" t="s">
        <v>716</v>
      </c>
      <c r="E1864" s="25"/>
      <c r="F1864" s="9" t="str">
        <f>HYPERLINK("https://www.ebi.ac.uk/ols/ontologies/uberon/terms?iri=http://purl.obolibrary.org/obo/UBERON_0002140","parabigeminal nucleus")</f>
        <v>parabigeminal nucleus</v>
      </c>
      <c r="G1864" s="9" t="s">
        <v>3556</v>
      </c>
      <c r="H1864" s="9" t="s">
        <v>17293</v>
      </c>
      <c r="I1864" s="9" t="s">
        <v>716</v>
      </c>
      <c r="J1864" s="9" t="s">
        <v>3558</v>
      </c>
      <c r="K1864" s="7" t="s">
        <v>15171</v>
      </c>
      <c r="L1864" s="13">
        <v>9111</v>
      </c>
      <c r="M1864" t="str">
        <f>VLOOKUP(L1864,[1]HBA!$B$2:$C$4000,2,FALSE)</f>
        <v>PBG</v>
      </c>
    </row>
    <row r="1865" spans="2:13" x14ac:dyDescent="0.25">
      <c r="B1865" s="31" t="s">
        <v>25743</v>
      </c>
      <c r="C1865" s="20"/>
      <c r="D1865" s="25" t="s">
        <v>716</v>
      </c>
      <c r="E1865" s="25"/>
      <c r="F1865" s="9" t="str">
        <f>HYPERLINK("https://www.ebi.ac.uk/ols/ontologies/uberon/terms?iri=http://purl.obolibrary.org/obo/UBERON_0002140","parabigeminal nucleus")</f>
        <v>parabigeminal nucleus</v>
      </c>
      <c r="G1865" s="9" t="s">
        <v>3556</v>
      </c>
      <c r="H1865" s="9" t="s">
        <v>17293</v>
      </c>
      <c r="I1865" s="9" t="s">
        <v>716</v>
      </c>
      <c r="J1865" s="9" t="s">
        <v>837</v>
      </c>
      <c r="K1865" s="3" t="s">
        <v>15176</v>
      </c>
      <c r="L1865" s="13">
        <v>874</v>
      </c>
      <c r="M1865" t="str">
        <f>VLOOKUP(L1865,[1]Mouse_ARA!$B$2:$C$1328,2,FALSE)</f>
        <v>PBG</v>
      </c>
    </row>
    <row r="1866" spans="2:13" x14ac:dyDescent="0.25">
      <c r="B1866" s="31" t="s">
        <v>25743</v>
      </c>
      <c r="C1866" s="20"/>
      <c r="D1866" s="25" t="s">
        <v>3562</v>
      </c>
      <c r="E1866" s="25"/>
      <c r="F1866" s="9" t="str">
        <f>HYPERLINK("https://www.ebi.ac.uk/ols/ontologies/uberon/terms?iri=http://purl.obolibrary.org/obo/UBERON_0007634","parabrachial nucleus")</f>
        <v>parabrachial nucleus</v>
      </c>
      <c r="G1866" s="9" t="s">
        <v>3559</v>
      </c>
      <c r="H1866" s="9" t="s">
        <v>20309</v>
      </c>
      <c r="I1866" s="9" t="s">
        <v>3300</v>
      </c>
      <c r="J1866" s="9" t="s">
        <v>3301</v>
      </c>
      <c r="K1866" s="4" t="s">
        <v>15175</v>
      </c>
      <c r="L1866" s="13">
        <v>12481</v>
      </c>
      <c r="M1866" t="str">
        <f>VLOOKUP(L1866,[1]Human_BrainSpan!$B$2:$C$4000,2,FALSE)</f>
        <v>PB</v>
      </c>
    </row>
    <row r="1867" spans="2:13" x14ac:dyDescent="0.25">
      <c r="B1867" s="31" t="s">
        <v>25743</v>
      </c>
      <c r="C1867" s="20"/>
      <c r="D1867" s="25" t="s">
        <v>3562</v>
      </c>
      <c r="E1867" s="25"/>
      <c r="F1867" s="9" t="str">
        <f>HYPERLINK("https://www.ebi.ac.uk/ols/ontologies/uberon/terms?iri=http://purl.obolibrary.org/obo/UBERON_0007634","parabrachial nucleus")</f>
        <v>parabrachial nucleus</v>
      </c>
      <c r="G1867" s="9" t="s">
        <v>3559</v>
      </c>
      <c r="H1867" s="9" t="s">
        <v>17275</v>
      </c>
      <c r="I1867" s="9" t="s">
        <v>3560</v>
      </c>
      <c r="J1867" s="9" t="s">
        <v>3561</v>
      </c>
      <c r="K1867" s="5" t="s">
        <v>15173</v>
      </c>
      <c r="L1867" s="13">
        <v>16844</v>
      </c>
      <c r="M1867" t="str">
        <f>VLOOKUP(L1867,[1]DevMouse!$B$2:$C$2693,2,FALSE)</f>
        <v>PBC</v>
      </c>
    </row>
    <row r="1868" spans="2:13" x14ac:dyDescent="0.25">
      <c r="B1868" s="31" t="s">
        <v>25743</v>
      </c>
      <c r="C1868" s="20"/>
      <c r="D1868" s="25" t="s">
        <v>3562</v>
      </c>
      <c r="E1868" s="25"/>
      <c r="F1868" s="9" t="str">
        <f>HYPERLINK("https://www.ebi.ac.uk/ols/ontologies/uberon/terms?iri=http://purl.obolibrary.org/obo/UBERON_0007634","parabrachial nucleus")</f>
        <v>parabrachial nucleus</v>
      </c>
      <c r="G1868" s="9" t="s">
        <v>3559</v>
      </c>
      <c r="H1868" s="9" t="s">
        <v>20309</v>
      </c>
      <c r="I1868" s="9" t="s">
        <v>3562</v>
      </c>
      <c r="J1868" s="9" t="s">
        <v>3563</v>
      </c>
      <c r="K1868" s="3" t="s">
        <v>15176</v>
      </c>
      <c r="L1868" s="13">
        <v>867</v>
      </c>
      <c r="M1868" t="str">
        <f>VLOOKUP(L1868,[1]Mouse_ARA!$B$2:$C$1328,2,FALSE)</f>
        <v>PB</v>
      </c>
    </row>
    <row r="1869" spans="2:13" x14ac:dyDescent="0.25">
      <c r="B1869" s="31" t="s">
        <v>25743</v>
      </c>
      <c r="C1869" s="20"/>
      <c r="D1869" s="25" t="s">
        <v>26084</v>
      </c>
      <c r="E1869" s="25"/>
      <c r="F1869" s="9" t="str">
        <f>HYPERLINK("https://www.ebi.ac.uk/ols/ontologies/uberon/terms?iri=http://purl.obolibrary.org/obo/UBERON_0013738","parabrachial pigmental nucleus")</f>
        <v>parabrachial pigmental nucleus</v>
      </c>
      <c r="G1869" s="9" t="s">
        <v>3564</v>
      </c>
      <c r="H1869" s="9" t="s">
        <v>24012</v>
      </c>
      <c r="I1869" s="9" t="s">
        <v>3565</v>
      </c>
      <c r="J1869" s="9" t="s">
        <v>3566</v>
      </c>
      <c r="K1869" s="4" t="s">
        <v>15175</v>
      </c>
      <c r="L1869" s="13">
        <v>12263</v>
      </c>
      <c r="M1869" t="str">
        <f>VLOOKUP(L1869,[1]Human_BrainSpan!$B$2:$C$4000,2,FALSE)</f>
        <v>PBP</v>
      </c>
    </row>
    <row r="1870" spans="2:13" x14ac:dyDescent="0.25">
      <c r="B1870" s="31" t="s">
        <v>25743</v>
      </c>
      <c r="C1870" s="20"/>
      <c r="D1870" s="25" t="s">
        <v>26084</v>
      </c>
      <c r="E1870" s="25"/>
      <c r="F1870" s="9" t="str">
        <f>HYPERLINK("https://www.ebi.ac.uk/ols/ontologies/uberon/terms?iri=http://purl.obolibrary.org/obo/UBERON_0013738","parabrachial pigmental nucleus")</f>
        <v>parabrachial pigmental nucleus</v>
      </c>
      <c r="G1870" s="9" t="s">
        <v>3564</v>
      </c>
      <c r="H1870" s="9" t="s">
        <v>24012</v>
      </c>
      <c r="I1870" s="9" t="s">
        <v>3567</v>
      </c>
      <c r="J1870" s="9" t="s">
        <v>3568</v>
      </c>
      <c r="K1870" s="7" t="s">
        <v>15171</v>
      </c>
      <c r="L1870" s="13">
        <v>9473</v>
      </c>
      <c r="M1870" t="str">
        <f>VLOOKUP(L1870,[1]HBA!$B$2:$C$4000,2,FALSE)</f>
        <v>PBP</v>
      </c>
    </row>
    <row r="1871" spans="2:13" x14ac:dyDescent="0.25">
      <c r="B1871" s="31" t="s">
        <v>25743</v>
      </c>
      <c r="C1871" s="20"/>
      <c r="D1871" s="25" t="s">
        <v>676</v>
      </c>
      <c r="E1871" s="25"/>
      <c r="F1871" s="9" t="str">
        <f>HYPERLINK("https://www.ebi.ac.uk/ols/ontologies/uberon/terms?iri=http://purl.obolibrary.org/obo/UBERON_0001924","paracentral nucleus")</f>
        <v>paracentral nucleus</v>
      </c>
      <c r="G1871" s="9" t="s">
        <v>3569</v>
      </c>
      <c r="H1871" s="9" t="s">
        <v>16430</v>
      </c>
      <c r="I1871" s="9" t="s">
        <v>3570</v>
      </c>
      <c r="J1871" s="9" t="s">
        <v>3571</v>
      </c>
      <c r="K1871" s="4" t="s">
        <v>15175</v>
      </c>
      <c r="L1871" s="13">
        <v>10446</v>
      </c>
      <c r="M1871" t="str">
        <f>VLOOKUP(L1871,[1]Human_BrainSpan!$B$2:$C$4000,2,FALSE)</f>
        <v>PC</v>
      </c>
    </row>
    <row r="1872" spans="2:13" x14ac:dyDescent="0.25">
      <c r="B1872" s="31" t="s">
        <v>25743</v>
      </c>
      <c r="C1872" s="20"/>
      <c r="D1872" s="25" t="s">
        <v>676</v>
      </c>
      <c r="E1872" s="25"/>
      <c r="F1872" s="9" t="str">
        <f>HYPERLINK("https://www.ebi.ac.uk/ols/ontologies/uberon/terms?iri=http://purl.obolibrary.org/obo/UBERON_0001924","paracentral nucleus")</f>
        <v>paracentral nucleus</v>
      </c>
      <c r="G1872" s="9" t="s">
        <v>3569</v>
      </c>
      <c r="H1872" s="9" t="s">
        <v>16430</v>
      </c>
      <c r="I1872" s="9" t="s">
        <v>676</v>
      </c>
      <c r="J1872" s="9" t="s">
        <v>677</v>
      </c>
      <c r="K1872" s="5" t="s">
        <v>15173</v>
      </c>
      <c r="L1872" s="13">
        <v>16416</v>
      </c>
      <c r="M1872" t="str">
        <f>VLOOKUP(L1872,[1]DevMouse!$B$2:$C$2693,2,FALSE)</f>
        <v>PC</v>
      </c>
    </row>
    <row r="1873" spans="2:13" x14ac:dyDescent="0.25">
      <c r="B1873" s="31" t="s">
        <v>25743</v>
      </c>
      <c r="C1873" s="20"/>
      <c r="D1873" s="25" t="s">
        <v>676</v>
      </c>
      <c r="E1873" s="25"/>
      <c r="F1873" s="9" t="str">
        <f>HYPERLINK("https://www.ebi.ac.uk/ols/ontologies/uberon/terms?iri=http://purl.obolibrary.org/obo/UBERON_0001924","paracentral nucleus")</f>
        <v>paracentral nucleus</v>
      </c>
      <c r="G1873" s="9" t="s">
        <v>3569</v>
      </c>
      <c r="H1873" s="9" t="s">
        <v>25184</v>
      </c>
      <c r="I1873" s="9" t="s">
        <v>3572</v>
      </c>
      <c r="J1873" s="9" t="s">
        <v>3573</v>
      </c>
      <c r="K1873" s="7" t="s">
        <v>15171</v>
      </c>
      <c r="L1873" s="13">
        <v>4435</v>
      </c>
      <c r="M1873" t="str">
        <f>VLOOKUP(L1873,[1]HBA!$B$2:$C$4000,2,FALSE)</f>
        <v>Pc</v>
      </c>
    </row>
    <row r="1874" spans="2:13" x14ac:dyDescent="0.25">
      <c r="B1874" s="31" t="s">
        <v>25743</v>
      </c>
      <c r="C1874" s="20"/>
      <c r="D1874" s="25" t="s">
        <v>676</v>
      </c>
      <c r="E1874" s="25"/>
      <c r="F1874" s="9" t="str">
        <f>HYPERLINK("https://www.ebi.ac.uk/ols/ontologies/uberon/terms?iri=http://purl.obolibrary.org/obo/UBERON_0001924","paracentral nucleus")</f>
        <v>paracentral nucleus</v>
      </c>
      <c r="G1874" s="9" t="s">
        <v>3569</v>
      </c>
      <c r="H1874" s="9" t="s">
        <v>19970</v>
      </c>
      <c r="I1874" s="9" t="s">
        <v>676</v>
      </c>
      <c r="J1874" s="9" t="s">
        <v>838</v>
      </c>
      <c r="K1874" s="3" t="s">
        <v>15176</v>
      </c>
      <c r="L1874" s="13">
        <v>907</v>
      </c>
      <c r="M1874" t="str">
        <f>VLOOKUP(L1874,[1]Mouse_ARA!$B$2:$C$1328,2,FALSE)</f>
        <v>PCN</v>
      </c>
    </row>
    <row r="1875" spans="2:13" x14ac:dyDescent="0.25">
      <c r="B1875" s="31" t="s">
        <v>25743</v>
      </c>
      <c r="C1875" s="20"/>
      <c r="D1875" s="25" t="s">
        <v>3575</v>
      </c>
      <c r="E1875" s="25"/>
      <c r="F1875" s="9" t="str">
        <f>HYPERLINK("https://www.ebi.ac.uk/ols/ontologies/uberon/terms?iri=http://purl.obolibrary.org/obo/UBERON_0002598","paracentral sulcus")</f>
        <v>paracentral sulcus</v>
      </c>
      <c r="G1875" s="9" t="s">
        <v>3574</v>
      </c>
      <c r="H1875" s="9" t="s">
        <v>23752</v>
      </c>
      <c r="I1875" s="9" t="s">
        <v>3575</v>
      </c>
      <c r="J1875" s="9" t="s">
        <v>3576</v>
      </c>
      <c r="K1875" s="4" t="s">
        <v>15175</v>
      </c>
      <c r="L1875" s="13">
        <v>10633</v>
      </c>
      <c r="M1875" t="str">
        <f>VLOOKUP(L1875,[1]Human_BrainSpan!$B$2:$C$4000,2,FALSE)</f>
        <v>pacs</v>
      </c>
    </row>
    <row r="1876" spans="2:13" x14ac:dyDescent="0.25">
      <c r="B1876" s="31" t="s">
        <v>25743</v>
      </c>
      <c r="C1876" s="20"/>
      <c r="D1876" s="25" t="s">
        <v>3575</v>
      </c>
      <c r="E1876" s="25"/>
      <c r="F1876" s="9" t="str">
        <f>HYPERLINK("https://www.ebi.ac.uk/ols/ontologies/uberon/terms?iri=http://purl.obolibrary.org/obo/UBERON_0002598","paracentral sulcus")</f>
        <v>paracentral sulcus</v>
      </c>
      <c r="G1876" s="9" t="s">
        <v>3574</v>
      </c>
      <c r="H1876" s="9" t="s">
        <v>25527</v>
      </c>
      <c r="I1876" s="9" t="s">
        <v>3575</v>
      </c>
      <c r="J1876" s="9" t="s">
        <v>3577</v>
      </c>
      <c r="K1876" s="7" t="s">
        <v>15171</v>
      </c>
      <c r="L1876" s="13">
        <v>9365</v>
      </c>
      <c r="M1876" t="str">
        <f>VLOOKUP(L1876,[1]HBA!$B$2:$C$4000,2,FALSE)</f>
        <v>pcs</v>
      </c>
    </row>
    <row r="1877" spans="2:13" x14ac:dyDescent="0.25">
      <c r="B1877" s="31" t="s">
        <v>25743</v>
      </c>
      <c r="C1877" s="20"/>
      <c r="D1877" s="25" t="s">
        <v>3579</v>
      </c>
      <c r="E1877" s="25"/>
      <c r="F1877" s="9" t="str">
        <f>HYPERLINK("https://www.ebi.ac.uk/ols/ontologies/uberon/terms?iri=http://purl.obolibrary.org/obo/UBERON_0022398","paracingulate gyrus")</f>
        <v>paracingulate gyrus</v>
      </c>
      <c r="G1877" s="9" t="s">
        <v>3578</v>
      </c>
      <c r="H1877" s="9" t="s">
        <v>23805</v>
      </c>
      <c r="I1877" s="9" t="s">
        <v>3579</v>
      </c>
      <c r="J1877" s="9" t="s">
        <v>3580</v>
      </c>
      <c r="K1877" s="4" t="s">
        <v>15175</v>
      </c>
      <c r="L1877" s="13">
        <v>146034872</v>
      </c>
      <c r="M1877" t="str">
        <f>VLOOKUP(L1877,[1]Human_BrainSpan!$B$2:$C$4000,2,FALSE)</f>
        <v>PaCG</v>
      </c>
    </row>
    <row r="1878" spans="2:13" x14ac:dyDescent="0.25">
      <c r="B1878" s="31" t="s">
        <v>25743</v>
      </c>
      <c r="C1878" s="20"/>
      <c r="D1878" s="25" t="s">
        <v>698</v>
      </c>
      <c r="E1878" s="25"/>
      <c r="F1878" s="9" t="str">
        <f>HYPERLINK("https://www.ebi.ac.uk/ols/ontologies/uberon/terms?iri=http://purl.obolibrary.org/obo/UBERON_0001922","parafascicular nucleus")</f>
        <v>parafascicular nucleus</v>
      </c>
      <c r="G1878" s="9" t="s">
        <v>3581</v>
      </c>
      <c r="H1878" s="9" t="s">
        <v>23392</v>
      </c>
      <c r="I1878" s="9" t="s">
        <v>3582</v>
      </c>
      <c r="J1878" s="9" t="s">
        <v>3583</v>
      </c>
      <c r="K1878" s="4" t="s">
        <v>15175</v>
      </c>
      <c r="L1878" s="13">
        <v>10450</v>
      </c>
      <c r="M1878" t="str">
        <f>VLOOKUP(L1878,[1]Human_BrainSpan!$B$2:$C$4000,2,FALSE)</f>
        <v>Pf</v>
      </c>
    </row>
    <row r="1879" spans="2:13" x14ac:dyDescent="0.25">
      <c r="B1879" s="31" t="s">
        <v>25743</v>
      </c>
      <c r="C1879" s="20"/>
      <c r="D1879" s="25" t="s">
        <v>698</v>
      </c>
      <c r="E1879" s="25"/>
      <c r="F1879" s="9" t="str">
        <f>HYPERLINK("https://www.ebi.ac.uk/ols/ontologies/uberon/terms?iri=http://purl.obolibrary.org/obo/UBERON_0001922","parafascicular nucleus")</f>
        <v>parafascicular nucleus</v>
      </c>
      <c r="G1879" s="9" t="s">
        <v>3581</v>
      </c>
      <c r="H1879" s="9" t="s">
        <v>16467</v>
      </c>
      <c r="I1879" s="9" t="s">
        <v>698</v>
      </c>
      <c r="J1879" s="9" t="s">
        <v>699</v>
      </c>
      <c r="K1879" s="5" t="s">
        <v>15173</v>
      </c>
      <c r="L1879" s="13">
        <v>16442</v>
      </c>
      <c r="M1879" t="str">
        <f>VLOOKUP(L1879,[1]DevMouse!$B$2:$C$2693,2,FALSE)</f>
        <v>PF</v>
      </c>
    </row>
    <row r="1880" spans="2:13" x14ac:dyDescent="0.25">
      <c r="B1880" s="31" t="s">
        <v>25743</v>
      </c>
      <c r="C1880" s="20"/>
      <c r="D1880" s="25" t="s">
        <v>698</v>
      </c>
      <c r="E1880" s="25"/>
      <c r="F1880" s="9" t="str">
        <f>HYPERLINK("https://www.ebi.ac.uk/ols/ontologies/uberon/terms?iri=http://purl.obolibrary.org/obo/UBERON_0001922","parafascicular nucleus")</f>
        <v>parafascicular nucleus</v>
      </c>
      <c r="G1880" s="9" t="s">
        <v>3581</v>
      </c>
      <c r="H1880" s="9" t="s">
        <v>25090</v>
      </c>
      <c r="I1880" s="9" t="s">
        <v>3584</v>
      </c>
      <c r="J1880" s="9" t="s">
        <v>3585</v>
      </c>
      <c r="K1880" s="7" t="s">
        <v>15171</v>
      </c>
      <c r="L1880" s="13">
        <v>4439</v>
      </c>
      <c r="M1880" t="str">
        <f>VLOOKUP(L1880,[1]HBA!$B$2:$C$4000,2,FALSE)</f>
        <v>pf</v>
      </c>
    </row>
    <row r="1881" spans="2:13" x14ac:dyDescent="0.25">
      <c r="B1881" s="31" t="s">
        <v>25743</v>
      </c>
      <c r="C1881" s="20"/>
      <c r="D1881" s="25" t="s">
        <v>698</v>
      </c>
      <c r="E1881" s="25"/>
      <c r="F1881" s="9" t="str">
        <f>HYPERLINK("https://www.ebi.ac.uk/ols/ontologies/uberon/terms?iri=http://purl.obolibrary.org/obo/UBERON_0001922","parafascicular nucleus")</f>
        <v>parafascicular nucleus</v>
      </c>
      <c r="G1881" s="9" t="s">
        <v>3581</v>
      </c>
      <c r="H1881" s="9" t="s">
        <v>16467</v>
      </c>
      <c r="I1881" s="9" t="s">
        <v>698</v>
      </c>
      <c r="J1881" s="9" t="s">
        <v>839</v>
      </c>
      <c r="K1881" s="3" t="s">
        <v>15176</v>
      </c>
      <c r="L1881" s="13">
        <v>930</v>
      </c>
      <c r="M1881" t="str">
        <f>VLOOKUP(L1881,[1]Mouse_ARA!$B$2:$C$1328,2,FALSE)</f>
        <v>PF</v>
      </c>
    </row>
    <row r="1882" spans="2:13" x14ac:dyDescent="0.25">
      <c r="B1882" s="31" t="s">
        <v>25743</v>
      </c>
      <c r="C1882" s="20"/>
      <c r="D1882" s="25" t="s">
        <v>3587</v>
      </c>
      <c r="E1882" s="25"/>
      <c r="F1882" s="9" t="str">
        <f>HYPERLINK("https://www.ebi.ac.uk/ols/ontologies/uberon/terms?iri=http://purl.obolibrary.org/obo/UBERON_0005351","paraflocculus")</f>
        <v>paraflocculus</v>
      </c>
      <c r="G1882" s="9" t="s">
        <v>3586</v>
      </c>
      <c r="H1882" s="9" t="s">
        <v>17385</v>
      </c>
      <c r="I1882" s="9" t="s">
        <v>3587</v>
      </c>
      <c r="J1882" s="9" t="s">
        <v>3588</v>
      </c>
      <c r="K1882" s="5" t="s">
        <v>15173</v>
      </c>
      <c r="L1882" s="13">
        <v>16945</v>
      </c>
      <c r="M1882" t="str">
        <f>VLOOKUP(L1882,[1]DevMouse!$B$2:$C$2693,2,FALSE)</f>
        <v>PFl</v>
      </c>
    </row>
    <row r="1883" spans="2:13" x14ac:dyDescent="0.25">
      <c r="B1883" s="31" t="s">
        <v>25743</v>
      </c>
      <c r="C1883" s="20"/>
      <c r="D1883" s="25" t="s">
        <v>3587</v>
      </c>
      <c r="E1883" s="25"/>
      <c r="F1883" s="9" t="str">
        <f>HYPERLINK("https://www.ebi.ac.uk/ols/ontologies/uberon/terms?iri=http://purl.obolibrary.org/obo/UBERON_0005351","paraflocculus")</f>
        <v>paraflocculus</v>
      </c>
      <c r="G1883" s="9" t="s">
        <v>3586</v>
      </c>
      <c r="H1883" s="9" t="s">
        <v>20696</v>
      </c>
      <c r="I1883" s="9" t="s">
        <v>3587</v>
      </c>
      <c r="J1883" s="9" t="s">
        <v>3589</v>
      </c>
      <c r="K1883" s="3" t="s">
        <v>15176</v>
      </c>
      <c r="L1883" s="13">
        <v>1041</v>
      </c>
      <c r="M1883" t="str">
        <f>VLOOKUP(L1883,[1]Mouse_ARA!$B$2:$C$1328,2,FALSE)</f>
        <v>PFL</v>
      </c>
    </row>
    <row r="1884" spans="2:13" x14ac:dyDescent="0.25">
      <c r="B1884" s="31" t="s">
        <v>25743</v>
      </c>
      <c r="C1884" s="20"/>
      <c r="D1884" s="25" t="s">
        <v>3591</v>
      </c>
      <c r="E1884" s="25"/>
      <c r="F1884" s="9" t="str">
        <f>HYPERLINK("https://www.ebi.ac.uk/ols/ontologies/uberon/terms?iri=http://purl.obolibrary.org/obo/UBERON_0016635","paragigantocellular nucleus")</f>
        <v>paragigantocellular nucleus</v>
      </c>
      <c r="G1884" s="9" t="s">
        <v>3590</v>
      </c>
      <c r="H1884" s="9" t="s">
        <v>24455</v>
      </c>
      <c r="I1884" s="9" t="s">
        <v>3591</v>
      </c>
      <c r="J1884" s="9" t="s">
        <v>3592</v>
      </c>
      <c r="K1884" s="4" t="s">
        <v>15175</v>
      </c>
      <c r="L1884" s="13">
        <v>12626</v>
      </c>
      <c r="M1884" t="str">
        <f>VLOOKUP(L1884,[1]Human_BrainSpan!$B$2:$C$4000,2,FALSE)</f>
        <v>PGi</v>
      </c>
    </row>
    <row r="1885" spans="2:13" x14ac:dyDescent="0.25">
      <c r="B1885" s="31" t="s">
        <v>25743</v>
      </c>
      <c r="C1885" s="20"/>
      <c r="D1885" s="25" t="s">
        <v>3591</v>
      </c>
      <c r="E1885" s="25"/>
      <c r="F1885" s="9" t="str">
        <f>HYPERLINK("https://www.ebi.ac.uk/ols/ontologies/uberon/terms?iri=http://purl.obolibrary.org/obo/UBERON_0016635","paragigantocellular nucleus")</f>
        <v>paragigantocellular nucleus</v>
      </c>
      <c r="G1885" s="9" t="s">
        <v>3590</v>
      </c>
      <c r="H1885" s="9" t="s">
        <v>20500</v>
      </c>
      <c r="I1885" s="9" t="s">
        <v>3593</v>
      </c>
      <c r="J1885" s="9" t="s">
        <v>3594</v>
      </c>
      <c r="K1885" s="3" t="s">
        <v>15176</v>
      </c>
      <c r="L1885" s="13">
        <v>938</v>
      </c>
      <c r="M1885" t="str">
        <f>VLOOKUP(L1885,[1]Mouse_ARA!$B$2:$C$1328,2,FALSE)</f>
        <v>PGRN</v>
      </c>
    </row>
    <row r="1886" spans="2:13" x14ac:dyDescent="0.25">
      <c r="B1886" s="31" t="s">
        <v>25743</v>
      </c>
      <c r="C1886" s="20"/>
      <c r="D1886" s="25" t="s">
        <v>3596</v>
      </c>
      <c r="E1886" s="25"/>
      <c r="F1886" s="9" t="str">
        <f>HYPERLINK("https://www.ebi.ac.uk/ols/ontologies/uberon/terms?iri=http://purl.obolibrary.org/obo/UBERON_0002973","parahippocampal gyrus")</f>
        <v>parahippocampal gyrus</v>
      </c>
      <c r="G1886" s="9" t="s">
        <v>3595</v>
      </c>
      <c r="H1886" s="9" t="s">
        <v>23854</v>
      </c>
      <c r="I1886" s="9" t="s">
        <v>3596</v>
      </c>
      <c r="J1886" s="9" t="s">
        <v>3597</v>
      </c>
      <c r="K1886" s="4" t="s">
        <v>15175</v>
      </c>
      <c r="L1886" s="13">
        <v>12162</v>
      </c>
      <c r="M1886" t="str">
        <f>VLOOKUP(L1886,[1]Human_BrainSpan!$B$2:$C$4000,2,FALSE)</f>
        <v>PHG</v>
      </c>
    </row>
    <row r="1887" spans="2:13" x14ac:dyDescent="0.25">
      <c r="B1887" s="31" t="s">
        <v>25743</v>
      </c>
      <c r="C1887" s="20"/>
      <c r="D1887" s="25" t="s">
        <v>3596</v>
      </c>
      <c r="E1887" s="25"/>
      <c r="F1887" s="9" t="str">
        <f>HYPERLINK("https://www.ebi.ac.uk/ols/ontologies/uberon/terms?iri=http://purl.obolibrary.org/obo/UBERON_0002973","parahippocampal gyrus")</f>
        <v>parahippocampal gyrus</v>
      </c>
      <c r="G1887" s="9" t="s">
        <v>3595</v>
      </c>
      <c r="H1887" s="9" t="s">
        <v>23854</v>
      </c>
      <c r="I1887" s="9" t="s">
        <v>3596</v>
      </c>
      <c r="J1887" s="9" t="s">
        <v>3598</v>
      </c>
      <c r="K1887" s="7" t="s">
        <v>15171</v>
      </c>
      <c r="L1887" s="13">
        <v>4242</v>
      </c>
      <c r="M1887" t="str">
        <f>VLOOKUP(L1887,[1]HBA!$B$2:$C$4000,2,FALSE)</f>
        <v>PHG</v>
      </c>
    </row>
    <row r="1888" spans="2:13" x14ac:dyDescent="0.25">
      <c r="B1888" s="31" t="s">
        <v>25743</v>
      </c>
      <c r="C1888" s="20"/>
      <c r="D1888" s="25" t="s">
        <v>1087</v>
      </c>
      <c r="E1888" s="25"/>
      <c r="F1888" s="9" t="str">
        <f>HYPERLINK("https://www.ebi.ac.uk/ols/ontologies/uberon/terms?iri=http://purl.obolibrary.org/obo/UBERON_0005349","paramedian lobule")</f>
        <v>paramedian lobule</v>
      </c>
      <c r="G1888" s="9" t="s">
        <v>3599</v>
      </c>
      <c r="H1888" s="9" t="s">
        <v>24690</v>
      </c>
      <c r="I1888" s="9" t="s">
        <v>1083</v>
      </c>
      <c r="J1888" s="9" t="s">
        <v>1084</v>
      </c>
      <c r="K1888" s="4" t="s">
        <v>15175</v>
      </c>
      <c r="L1888" s="13">
        <v>12850</v>
      </c>
      <c r="M1888" t="str">
        <f>VLOOKUP(L1888,[1]Human_BrainSpan!$B$2:$C$4000,2,FALSE)</f>
        <v>CbVIIIb</v>
      </c>
    </row>
    <row r="1889" spans="2:13" x14ac:dyDescent="0.25">
      <c r="B1889" s="31" t="s">
        <v>25743</v>
      </c>
      <c r="C1889" s="20"/>
      <c r="D1889" s="25" t="s">
        <v>1087</v>
      </c>
      <c r="E1889" s="25"/>
      <c r="F1889" s="9" t="str">
        <f>HYPERLINK("https://www.ebi.ac.uk/ols/ontologies/uberon/terms?iri=http://purl.obolibrary.org/obo/UBERON_0005349","paramedian lobule")</f>
        <v>paramedian lobule</v>
      </c>
      <c r="G1889" s="9" t="s">
        <v>3599</v>
      </c>
      <c r="H1889" s="9" t="s">
        <v>17383</v>
      </c>
      <c r="I1889" s="9" t="s">
        <v>1087</v>
      </c>
      <c r="J1889" s="9" t="s">
        <v>1088</v>
      </c>
      <c r="K1889" s="5" t="s">
        <v>15173</v>
      </c>
      <c r="L1889" s="13">
        <v>16943</v>
      </c>
      <c r="M1889" t="str">
        <f>VLOOKUP(L1889,[1]DevMouse!$B$2:$C$2693,2,FALSE)</f>
        <v>PM</v>
      </c>
    </row>
    <row r="1890" spans="2:13" x14ac:dyDescent="0.25">
      <c r="B1890" s="31" t="s">
        <v>25743</v>
      </c>
      <c r="C1890" s="20"/>
      <c r="D1890" s="25" t="s">
        <v>1087</v>
      </c>
      <c r="E1890" s="25"/>
      <c r="F1890" s="9" t="str">
        <f>HYPERLINK("https://www.ebi.ac.uk/ols/ontologies/uberon/terms?iri=http://purl.obolibrary.org/obo/UBERON_0005349","paramedian lobule")</f>
        <v>paramedian lobule</v>
      </c>
      <c r="G1890" s="9" t="s">
        <v>3599</v>
      </c>
      <c r="H1890" s="9" t="s">
        <v>25413</v>
      </c>
      <c r="I1890" s="9" t="s">
        <v>1099</v>
      </c>
      <c r="J1890" s="9" t="s">
        <v>1100</v>
      </c>
      <c r="K1890" s="7" t="s">
        <v>15171</v>
      </c>
      <c r="L1890" s="13">
        <v>12942</v>
      </c>
      <c r="M1890" t="str">
        <f>VLOOKUP(L1890,[1]HBA!$B$2:$C$4000,2,FALSE)</f>
        <v>Cb-VIIIB</v>
      </c>
    </row>
    <row r="1891" spans="2:13" x14ac:dyDescent="0.25">
      <c r="B1891" s="31" t="s">
        <v>25743</v>
      </c>
      <c r="C1891" s="20"/>
      <c r="D1891" s="25" t="s">
        <v>1087</v>
      </c>
      <c r="E1891" s="25"/>
      <c r="F1891" s="9" t="str">
        <f>HYPERLINK("https://www.ebi.ac.uk/ols/ontologies/uberon/terms?iri=http://purl.obolibrary.org/obo/UBERON_0005349","paramedian lobule")</f>
        <v>paramedian lobule</v>
      </c>
      <c r="G1891" s="9" t="s">
        <v>3599</v>
      </c>
      <c r="H1891" s="9" t="s">
        <v>20680</v>
      </c>
      <c r="I1891" s="9" t="s">
        <v>1087</v>
      </c>
      <c r="J1891" s="9" t="s">
        <v>1106</v>
      </c>
      <c r="K1891" s="3" t="s">
        <v>15176</v>
      </c>
      <c r="L1891" s="13">
        <v>1025</v>
      </c>
      <c r="M1891" t="str">
        <f>VLOOKUP(L1891,[1]Mouse_ARA!$B$2:$C$1328,2,FALSE)</f>
        <v>PRM</v>
      </c>
    </row>
    <row r="1892" spans="2:13" x14ac:dyDescent="0.25">
      <c r="B1892" s="31" t="s">
        <v>25743</v>
      </c>
      <c r="C1892" s="20"/>
      <c r="D1892" s="25" t="s">
        <v>3302</v>
      </c>
      <c r="E1892" s="25"/>
      <c r="F1892" s="9" t="str">
        <f>HYPERLINK("https://www.ebi.ac.uk/ols/ontologies/uberon/terms?iri=http://purl.obolibrary.org/obo/UBERON_0007764","paramedian reticular nucleus")</f>
        <v>paramedian reticular nucleus</v>
      </c>
      <c r="G1892" s="9" t="s">
        <v>3600</v>
      </c>
      <c r="H1892" s="9" t="s">
        <v>24335</v>
      </c>
      <c r="I1892" s="9" t="s">
        <v>3302</v>
      </c>
      <c r="J1892" s="9" t="s">
        <v>3303</v>
      </c>
      <c r="K1892" s="4" t="s">
        <v>15175</v>
      </c>
      <c r="L1892" s="13">
        <v>12496</v>
      </c>
      <c r="M1892" t="str">
        <f>VLOOKUP(L1892,[1]Human_BrainSpan!$B$2:$C$4000,2,FALSE)</f>
        <v>PMn</v>
      </c>
    </row>
    <row r="1893" spans="2:13" x14ac:dyDescent="0.25">
      <c r="B1893" s="31" t="s">
        <v>25743</v>
      </c>
      <c r="C1893" s="20"/>
      <c r="D1893" s="25" t="s">
        <v>3302</v>
      </c>
      <c r="E1893" s="25"/>
      <c r="F1893" s="9" t="str">
        <f>HYPERLINK("https://www.ebi.ac.uk/ols/ontologies/uberon/terms?iri=http://purl.obolibrary.org/obo/UBERON_0007764","paramedian reticular nucleus")</f>
        <v>paramedian reticular nucleus</v>
      </c>
      <c r="G1893" s="9" t="s">
        <v>3600</v>
      </c>
      <c r="H1893" s="9" t="s">
        <v>20514</v>
      </c>
      <c r="I1893" s="9" t="s">
        <v>3302</v>
      </c>
      <c r="J1893" s="9" t="s">
        <v>3601</v>
      </c>
      <c r="K1893" s="3" t="s">
        <v>15176</v>
      </c>
      <c r="L1893" s="13">
        <v>995</v>
      </c>
      <c r="M1893" t="str">
        <f>VLOOKUP(L1893,[1]Mouse_ARA!$B$2:$C$1328,2,FALSE)</f>
        <v>PMR</v>
      </c>
    </row>
    <row r="1894" spans="2:13" x14ac:dyDescent="0.25">
      <c r="B1894" s="31" t="s">
        <v>25743</v>
      </c>
      <c r="C1894" s="20"/>
      <c r="D1894" s="25" t="s">
        <v>3603</v>
      </c>
      <c r="E1894" s="25"/>
      <c r="F1894" s="9" t="str">
        <f>HYPERLINK("https://www.ebi.ac.uk/ols/ontologies/uberon/terms?iri=http://purl.obolibrary.org/obo/UBERON_0013737","paranigral nucleus")</f>
        <v>paranigral nucleus</v>
      </c>
      <c r="G1894" s="9" t="s">
        <v>3602</v>
      </c>
      <c r="H1894" s="9" t="s">
        <v>24015</v>
      </c>
      <c r="I1894" s="9" t="s">
        <v>3603</v>
      </c>
      <c r="J1894" s="9" t="s">
        <v>3604</v>
      </c>
      <c r="K1894" s="4" t="s">
        <v>15175</v>
      </c>
      <c r="L1894" s="13">
        <v>12265</v>
      </c>
      <c r="M1894" t="str">
        <f>VLOOKUP(L1894,[1]Human_BrainSpan!$B$2:$C$4000,2,FALSE)</f>
        <v>PaN</v>
      </c>
    </row>
    <row r="1895" spans="2:13" x14ac:dyDescent="0.25">
      <c r="B1895" s="31" t="s">
        <v>25743</v>
      </c>
      <c r="C1895" s="20"/>
      <c r="D1895" s="25" t="s">
        <v>3603</v>
      </c>
      <c r="E1895" s="25"/>
      <c r="F1895" s="9" t="str">
        <f>HYPERLINK("https://www.ebi.ac.uk/ols/ontologies/uberon/terms?iri=http://purl.obolibrary.org/obo/UBERON_0013737","paranigral nucleus")</f>
        <v>paranigral nucleus</v>
      </c>
      <c r="G1895" s="9" t="s">
        <v>3602</v>
      </c>
      <c r="H1895" s="9" t="s">
        <v>20193</v>
      </c>
      <c r="I1895" s="9" t="s">
        <v>3605</v>
      </c>
      <c r="J1895" s="9" t="s">
        <v>3606</v>
      </c>
      <c r="K1895" s="7" t="s">
        <v>15171</v>
      </c>
      <c r="L1895" s="13">
        <v>9474</v>
      </c>
      <c r="M1895" t="str">
        <f>VLOOKUP(L1895,[1]HBA!$B$2:$C$4000,2,FALSE)</f>
        <v>PN</v>
      </c>
    </row>
    <row r="1896" spans="2:13" x14ac:dyDescent="0.25">
      <c r="B1896" s="31" t="s">
        <v>25743</v>
      </c>
      <c r="C1896" s="20"/>
      <c r="D1896" s="25" t="s">
        <v>3608</v>
      </c>
      <c r="E1896" s="25"/>
      <c r="F1896" s="9" t="str">
        <f>HYPERLINK("https://www.ebi.ac.uk/ols/ontologies/uberon/terms?iri=http://purl.obolibrary.org/obo/UBERON_0002877","parasolitary nucleus")</f>
        <v>parasolitary nucleus</v>
      </c>
      <c r="G1896" s="9" t="s">
        <v>3607</v>
      </c>
      <c r="H1896" s="9" t="s">
        <v>24404</v>
      </c>
      <c r="I1896" s="9" t="s">
        <v>3608</v>
      </c>
      <c r="J1896" s="9" t="s">
        <v>3609</v>
      </c>
      <c r="K1896" s="4" t="s">
        <v>15175</v>
      </c>
      <c r="L1896" s="13">
        <v>12571</v>
      </c>
      <c r="M1896" t="str">
        <f>VLOOKUP(L1896,[1]Human_BrainSpan!$B$2:$C$4000,2,FALSE)</f>
        <v>PSol</v>
      </c>
    </row>
    <row r="1897" spans="2:13" x14ac:dyDescent="0.25">
      <c r="B1897" s="31" t="s">
        <v>25743</v>
      </c>
      <c r="C1897" s="20"/>
      <c r="D1897" s="25" t="s">
        <v>3608</v>
      </c>
      <c r="E1897" s="25"/>
      <c r="F1897" s="9" t="str">
        <f>HYPERLINK("https://www.ebi.ac.uk/ols/ontologies/uberon/terms?iri=http://purl.obolibrary.org/obo/UBERON_0002877","parasolitary nucleus")</f>
        <v>parasolitary nucleus</v>
      </c>
      <c r="G1897" s="9" t="s">
        <v>3607</v>
      </c>
      <c r="H1897" s="9" t="s">
        <v>20498</v>
      </c>
      <c r="I1897" s="9" t="s">
        <v>3608</v>
      </c>
      <c r="J1897" s="9" t="s">
        <v>3610</v>
      </c>
      <c r="K1897" s="3" t="s">
        <v>15176</v>
      </c>
      <c r="L1897" s="13">
        <v>859</v>
      </c>
      <c r="M1897" t="str">
        <f>VLOOKUP(L1897,[1]Mouse_ARA!$B$2:$C$1328,2,FALSE)</f>
        <v>PAS</v>
      </c>
    </row>
    <row r="1898" spans="2:13" x14ac:dyDescent="0.25">
      <c r="B1898" s="31" t="s">
        <v>25743</v>
      </c>
      <c r="C1898" s="20"/>
      <c r="D1898" s="25" t="s">
        <v>3614</v>
      </c>
      <c r="E1898" s="25"/>
      <c r="F1898" s="9" t="str">
        <f>HYPERLINK("https://www.ebi.ac.uk/ols/ontologies/uberon/terms?iri=http://purl.obolibrary.org/obo/UBERON_0004683","parasubiculum")</f>
        <v>parasubiculum</v>
      </c>
      <c r="G1898" s="9" t="s">
        <v>3611</v>
      </c>
      <c r="H1898" s="9" t="s">
        <v>15984</v>
      </c>
      <c r="I1898" s="9" t="s">
        <v>3612</v>
      </c>
      <c r="J1898" s="9" t="s">
        <v>3613</v>
      </c>
      <c r="K1898" s="4" t="s">
        <v>15175</v>
      </c>
      <c r="L1898" s="13">
        <v>10316</v>
      </c>
      <c r="M1898" t="str">
        <f>VLOOKUP(L1898,[1]Human_BrainSpan!$B$2:$C$4000,2,FALSE)</f>
        <v>PaS</v>
      </c>
    </row>
    <row r="1899" spans="2:13" x14ac:dyDescent="0.25">
      <c r="B1899" s="31" t="s">
        <v>25743</v>
      </c>
      <c r="C1899" s="20"/>
      <c r="D1899" s="25" t="s">
        <v>3614</v>
      </c>
      <c r="E1899" s="25"/>
      <c r="F1899" s="9" t="str">
        <f>HYPERLINK("https://www.ebi.ac.uk/ols/ontologies/uberon/terms?iri=http://purl.obolibrary.org/obo/UBERON_0004683","parasubiculum")</f>
        <v>parasubiculum</v>
      </c>
      <c r="G1899" s="9" t="s">
        <v>3611</v>
      </c>
      <c r="H1899" s="9" t="s">
        <v>15984</v>
      </c>
      <c r="I1899" s="9" t="s">
        <v>3614</v>
      </c>
      <c r="J1899" s="9" t="s">
        <v>3615</v>
      </c>
      <c r="K1899" s="5" t="s">
        <v>15173</v>
      </c>
      <c r="L1899" s="13">
        <v>16186</v>
      </c>
      <c r="M1899" t="str">
        <f>VLOOKUP(L1899,[1]DevMouse!$B$2:$C$2693,2,FALSE)</f>
        <v>PaS</v>
      </c>
    </row>
    <row r="1900" spans="2:13" x14ac:dyDescent="0.25">
      <c r="B1900" s="31" t="s">
        <v>25743</v>
      </c>
      <c r="C1900" s="20"/>
      <c r="D1900" s="25" t="s">
        <v>3614</v>
      </c>
      <c r="E1900" s="25"/>
      <c r="F1900" s="9" t="str">
        <f>HYPERLINK("https://www.ebi.ac.uk/ols/ontologies/uberon/terms?iri=http://purl.obolibrary.org/obo/UBERON_0004683","parasubiculum")</f>
        <v>parasubiculum</v>
      </c>
      <c r="G1900" s="9" t="s">
        <v>3611</v>
      </c>
      <c r="H1900" s="9" t="s">
        <v>15984</v>
      </c>
      <c r="I1900" s="9" t="s">
        <v>3616</v>
      </c>
      <c r="J1900" s="9" t="s">
        <v>3617</v>
      </c>
      <c r="K1900" s="7" t="s">
        <v>15171</v>
      </c>
      <c r="L1900" s="13">
        <v>4253</v>
      </c>
      <c r="M1900" t="str">
        <f>VLOOKUP(L1900,[1]HBA!$B$2:$C$4000,2,FALSE)</f>
        <v>PaS</v>
      </c>
    </row>
    <row r="1901" spans="2:13" x14ac:dyDescent="0.25">
      <c r="B1901" s="31" t="s">
        <v>25743</v>
      </c>
      <c r="C1901" s="20"/>
      <c r="D1901" s="25" t="s">
        <v>3614</v>
      </c>
      <c r="E1901" s="25"/>
      <c r="F1901" s="9" t="str">
        <f>HYPERLINK("https://www.ebi.ac.uk/ols/ontologies/uberon/terms?iri=http://purl.obolibrary.org/obo/UBERON_0004683","parasubiculum")</f>
        <v>parasubiculum</v>
      </c>
      <c r="G1901" s="9" t="s">
        <v>3611</v>
      </c>
      <c r="H1901" s="9" t="s">
        <v>19647</v>
      </c>
      <c r="I1901" s="9" t="s">
        <v>3614</v>
      </c>
      <c r="J1901" s="9" t="s">
        <v>3618</v>
      </c>
      <c r="K1901" s="3" t="s">
        <v>15176</v>
      </c>
      <c r="L1901" s="13">
        <v>843</v>
      </c>
      <c r="M1901" t="str">
        <f>VLOOKUP(L1901,[1]Mouse_ARA!$B$2:$C$1328,2,FALSE)</f>
        <v>PAR</v>
      </c>
    </row>
    <row r="1902" spans="2:13" x14ac:dyDescent="0.25">
      <c r="B1902" s="31" t="s">
        <v>25743</v>
      </c>
      <c r="C1902" s="20"/>
      <c r="D1902" s="25" t="s">
        <v>674</v>
      </c>
      <c r="E1902" s="25"/>
      <c r="F1902" s="9" t="str">
        <f>HYPERLINK("https://www.ebi.ac.uk/ols/ontologies/uberon/terms?iri=http://purl.obolibrary.org/obo/UBERON_0002992","paratenial nucleus")</f>
        <v>paratenial nucleus</v>
      </c>
      <c r="G1902" s="9" t="s">
        <v>3619</v>
      </c>
      <c r="H1902" s="9" t="s">
        <v>16604</v>
      </c>
      <c r="I1902" s="9" t="s">
        <v>3620</v>
      </c>
      <c r="J1902" s="9" t="s">
        <v>3621</v>
      </c>
      <c r="K1902" s="4" t="s">
        <v>15175</v>
      </c>
      <c r="L1902" s="13">
        <v>10404</v>
      </c>
      <c r="M1902" t="str">
        <f>VLOOKUP(L1902,[1]Human_BrainSpan!$B$2:$C$4000,2,FALSE)</f>
        <v>Pt</v>
      </c>
    </row>
    <row r="1903" spans="2:13" x14ac:dyDescent="0.25">
      <c r="B1903" s="31" t="s">
        <v>25743</v>
      </c>
      <c r="C1903" s="20"/>
      <c r="D1903" s="25" t="s">
        <v>674</v>
      </c>
      <c r="E1903" s="25"/>
      <c r="F1903" s="9" t="str">
        <f>HYPERLINK("https://www.ebi.ac.uk/ols/ontologies/uberon/terms?iri=http://purl.obolibrary.org/obo/UBERON_0002992","paratenial nucleus")</f>
        <v>paratenial nucleus</v>
      </c>
      <c r="G1903" s="9" t="s">
        <v>3619</v>
      </c>
      <c r="H1903" s="9" t="s">
        <v>16419</v>
      </c>
      <c r="I1903" s="9" t="s">
        <v>674</v>
      </c>
      <c r="J1903" s="9" t="s">
        <v>675</v>
      </c>
      <c r="K1903" s="5" t="s">
        <v>15173</v>
      </c>
      <c r="L1903" s="13">
        <v>16410</v>
      </c>
      <c r="M1903" t="str">
        <f>VLOOKUP(L1903,[1]DevMouse!$B$2:$C$2693,2,FALSE)</f>
        <v>PT</v>
      </c>
    </row>
    <row r="1904" spans="2:13" x14ac:dyDescent="0.25">
      <c r="B1904" s="31" t="s">
        <v>25743</v>
      </c>
      <c r="C1904" s="20"/>
      <c r="D1904" s="25" t="s">
        <v>674</v>
      </c>
      <c r="E1904" s="25"/>
      <c r="F1904" s="9" t="str">
        <f>HYPERLINK("https://www.ebi.ac.uk/ols/ontologies/uberon/terms?iri=http://purl.obolibrary.org/obo/UBERON_0002992","paratenial nucleus")</f>
        <v>paratenial nucleus</v>
      </c>
      <c r="G1904" s="9" t="s">
        <v>3619</v>
      </c>
      <c r="H1904" s="9" t="s">
        <v>16604</v>
      </c>
      <c r="I1904" s="9" t="s">
        <v>3622</v>
      </c>
      <c r="J1904" s="9" t="s">
        <v>3623</v>
      </c>
      <c r="K1904" s="7" t="s">
        <v>15171</v>
      </c>
      <c r="L1904" s="13">
        <v>4405</v>
      </c>
      <c r="M1904" t="str">
        <f>VLOOKUP(L1904,[1]HBA!$B$2:$C$4000,2,FALSE)</f>
        <v>Pt</v>
      </c>
    </row>
    <row r="1905" spans="2:13" x14ac:dyDescent="0.25">
      <c r="B1905" s="31" t="s">
        <v>25743</v>
      </c>
      <c r="C1905" s="20"/>
      <c r="D1905" s="25" t="s">
        <v>674</v>
      </c>
      <c r="E1905" s="25"/>
      <c r="F1905" s="9" t="str">
        <f>HYPERLINK("https://www.ebi.ac.uk/ols/ontologies/uberon/terms?iri=http://purl.obolibrary.org/obo/UBERON_0002992","paratenial nucleus")</f>
        <v>paratenial nucleus</v>
      </c>
      <c r="G1905" s="9" t="s">
        <v>3619</v>
      </c>
      <c r="H1905" s="9" t="s">
        <v>16419</v>
      </c>
      <c r="I1905" s="9" t="s">
        <v>751</v>
      </c>
      <c r="J1905" s="9" t="s">
        <v>752</v>
      </c>
      <c r="K1905" s="3" t="s">
        <v>15176</v>
      </c>
      <c r="L1905" s="13">
        <v>15</v>
      </c>
      <c r="M1905" t="str">
        <f>VLOOKUP(L1905,[1]Mouse_ARA!$B$2:$C$1328,2,FALSE)</f>
        <v>PT</v>
      </c>
    </row>
    <row r="1906" spans="2:13" x14ac:dyDescent="0.25">
      <c r="B1906" s="31" t="s">
        <v>25743</v>
      </c>
      <c r="C1906" s="20"/>
      <c r="D1906" s="25" t="s">
        <v>3625</v>
      </c>
      <c r="E1906" s="25"/>
      <c r="F1906" s="9" t="str">
        <f>HYPERLINK("https://www.ebi.ac.uk/ols/ontologies/uberon/terms?iri=http://purl.obolibrary.org/obo/UBERON_0002603","paraterminal gyrus")</f>
        <v>paraterminal gyrus</v>
      </c>
      <c r="G1906" s="9" t="s">
        <v>3624</v>
      </c>
      <c r="H1906" s="9" t="s">
        <v>23853</v>
      </c>
      <c r="I1906" s="9" t="s">
        <v>3625</v>
      </c>
      <c r="J1906" s="9" t="s">
        <v>3626</v>
      </c>
      <c r="K1906" s="4" t="s">
        <v>15175</v>
      </c>
      <c r="L1906" s="13">
        <v>12161</v>
      </c>
      <c r="M1906" t="str">
        <f>VLOOKUP(L1906,[1]Human_BrainSpan!$B$2:$C$4000,2,FALSE)</f>
        <v>PTG</v>
      </c>
    </row>
    <row r="1907" spans="2:13" x14ac:dyDescent="0.25">
      <c r="B1907" s="31" t="s">
        <v>25743</v>
      </c>
      <c r="C1907" s="20"/>
      <c r="D1907" s="25" t="s">
        <v>3625</v>
      </c>
      <c r="E1907" s="25"/>
      <c r="F1907" s="9" t="str">
        <f>HYPERLINK("https://www.ebi.ac.uk/ols/ontologies/uberon/terms?iri=http://purl.obolibrary.org/obo/UBERON_0002603","paraterminal gyrus")</f>
        <v>paraterminal gyrus</v>
      </c>
      <c r="G1907" s="9" t="s">
        <v>3624</v>
      </c>
      <c r="H1907" s="9" t="s">
        <v>23853</v>
      </c>
      <c r="I1907" s="9" t="s">
        <v>3625</v>
      </c>
      <c r="J1907" s="9" t="s">
        <v>3627</v>
      </c>
      <c r="K1907" s="7" t="s">
        <v>15171</v>
      </c>
      <c r="L1907" s="13">
        <v>4065</v>
      </c>
      <c r="M1907" t="str">
        <f>VLOOKUP(L1907,[1]HBA!$B$2:$C$4000,2,FALSE)</f>
        <v>PTG</v>
      </c>
    </row>
    <row r="1908" spans="2:13" x14ac:dyDescent="0.25">
      <c r="B1908" s="31" t="s">
        <v>25743</v>
      </c>
      <c r="C1908" s="20"/>
      <c r="D1908" s="25" t="s">
        <v>3629</v>
      </c>
      <c r="E1908" s="25"/>
      <c r="F1908" s="9" t="str">
        <f>HYPERLINK("https://www.ebi.ac.uk/ols/ontologies/uberon/terms?iri=http://purl.obolibrary.org/obo/UBERON_0016832","paratrigeminal nucleus")</f>
        <v>paratrigeminal nucleus</v>
      </c>
      <c r="G1908" s="9" t="s">
        <v>3628</v>
      </c>
      <c r="H1908" s="9" t="s">
        <v>20445</v>
      </c>
      <c r="I1908" s="9" t="s">
        <v>3629</v>
      </c>
      <c r="J1908" s="9" t="s">
        <v>3630</v>
      </c>
      <c r="K1908" s="4" t="s">
        <v>15175</v>
      </c>
      <c r="L1908" s="13">
        <v>12656</v>
      </c>
      <c r="M1908" t="str">
        <f>VLOOKUP(L1908,[1]Human_BrainSpan!$B$2:$C$4000,2,FALSE)</f>
        <v>Pa5</v>
      </c>
    </row>
    <row r="1909" spans="2:13" x14ac:dyDescent="0.25">
      <c r="B1909" s="31" t="s">
        <v>25743</v>
      </c>
      <c r="C1909" s="20"/>
      <c r="D1909" s="25" t="s">
        <v>3629</v>
      </c>
      <c r="E1909" s="25"/>
      <c r="F1909" s="9" t="str">
        <f>HYPERLINK("https://www.ebi.ac.uk/ols/ontologies/uberon/terms?iri=http://purl.obolibrary.org/obo/UBERON_0016832","paratrigeminal nucleus")</f>
        <v>paratrigeminal nucleus</v>
      </c>
      <c r="G1909" s="9" t="s">
        <v>3628</v>
      </c>
      <c r="H1909" s="9" t="s">
        <v>20445</v>
      </c>
      <c r="I1909" s="9" t="s">
        <v>3629</v>
      </c>
      <c r="J1909" s="9" t="s">
        <v>3631</v>
      </c>
      <c r="K1909" s="7" t="s">
        <v>15171</v>
      </c>
      <c r="L1909" s="13">
        <v>9630</v>
      </c>
      <c r="M1909" t="str">
        <f>VLOOKUP(L1909,[1]HBA!$B$2:$C$4000,2,FALSE)</f>
        <v>Pa5</v>
      </c>
    </row>
    <row r="1910" spans="2:13" x14ac:dyDescent="0.25">
      <c r="B1910" s="31" t="s">
        <v>25743</v>
      </c>
      <c r="C1910" s="20"/>
      <c r="D1910" s="25" t="s">
        <v>3633</v>
      </c>
      <c r="E1910" s="25"/>
      <c r="F1910" s="9" t="str">
        <f>HYPERLINK("https://www.ebi.ac.uk/ols/ontologies/uberon/terms?iri=http://purl.obolibrary.org/obo/UBERON_0001930","paraventricular nucleus of hypothalamus")</f>
        <v>paraventricular nucleus of hypothalamus</v>
      </c>
      <c r="G1910" s="9" t="s">
        <v>3632</v>
      </c>
      <c r="H1910" s="9" t="s">
        <v>23463</v>
      </c>
      <c r="I1910" s="9" t="s">
        <v>3633</v>
      </c>
      <c r="J1910" s="9" t="s">
        <v>3634</v>
      </c>
      <c r="K1910" s="4" t="s">
        <v>15175</v>
      </c>
      <c r="L1910" s="13">
        <v>10476</v>
      </c>
      <c r="M1910" t="str">
        <f>VLOOKUP(L1910,[1]Human_BrainSpan!$B$2:$C$4000,2,FALSE)</f>
        <v>PV</v>
      </c>
    </row>
    <row r="1911" spans="2:13" x14ac:dyDescent="0.25">
      <c r="B1911" s="31" t="s">
        <v>25743</v>
      </c>
      <c r="C1911" s="20"/>
      <c r="D1911" s="25" t="s">
        <v>3633</v>
      </c>
      <c r="E1911" s="25"/>
      <c r="F1911" s="9" t="str">
        <f>HYPERLINK("https://www.ebi.ac.uk/ols/ontologies/uberon/terms?iri=http://purl.obolibrary.org/obo/UBERON_0001930","paraventricular nucleus of hypothalamus")</f>
        <v>paraventricular nucleus of hypothalamus</v>
      </c>
      <c r="G1911" s="9" t="s">
        <v>3632</v>
      </c>
      <c r="H1911" s="9" t="s">
        <v>20005</v>
      </c>
      <c r="I1911" s="9" t="s">
        <v>3635</v>
      </c>
      <c r="J1911" s="9" t="s">
        <v>3636</v>
      </c>
      <c r="K1911" s="7" t="s">
        <v>15171</v>
      </c>
      <c r="L1911" s="13">
        <v>12905</v>
      </c>
      <c r="M1911" t="str">
        <f>VLOOKUP(L1911,[1]HBA!$B$2:$C$4000,2,FALSE)</f>
        <v>PVH</v>
      </c>
    </row>
    <row r="1912" spans="2:13" x14ac:dyDescent="0.25">
      <c r="B1912" s="31" t="s">
        <v>25743</v>
      </c>
      <c r="C1912" s="20"/>
      <c r="D1912" s="25" t="s">
        <v>3633</v>
      </c>
      <c r="E1912" s="25"/>
      <c r="F1912" s="9" t="str">
        <f>HYPERLINK("https://www.ebi.ac.uk/ols/ontologies/uberon/terms?iri=http://purl.obolibrary.org/obo/UBERON_0001930","paraventricular nucleus of hypothalamus")</f>
        <v>paraventricular nucleus of hypothalamus</v>
      </c>
      <c r="G1912" s="9" t="s">
        <v>3632</v>
      </c>
      <c r="H1912" s="9" t="s">
        <v>20005</v>
      </c>
      <c r="I1912" s="9" t="s">
        <v>779</v>
      </c>
      <c r="J1912" s="9" t="s">
        <v>780</v>
      </c>
      <c r="K1912" s="3" t="s">
        <v>15176</v>
      </c>
      <c r="L1912" s="13">
        <v>38</v>
      </c>
      <c r="M1912" t="str">
        <f>VLOOKUP(L1912,[1]Mouse_ARA!$B$2:$C$1328,2,FALSE)</f>
        <v>PVH</v>
      </c>
    </row>
    <row r="1913" spans="2:13" x14ac:dyDescent="0.25">
      <c r="B1913" s="31" t="s">
        <v>25743</v>
      </c>
      <c r="C1913" s="20"/>
      <c r="D1913" s="25" t="s">
        <v>26085</v>
      </c>
      <c r="E1913" s="25"/>
      <c r="F1913" s="9" t="str">
        <f>HYPERLINK("https://www.ebi.ac.uk/ols/ontologies/uberon/terms?iri=http://purl.obolibrary.org/obo/UBERON_0001920","paraventricular nucleus of thalamus")</f>
        <v>paraventricular nucleus of thalamus</v>
      </c>
      <c r="G1913" s="9" t="s">
        <v>3637</v>
      </c>
      <c r="H1913" s="9" t="s">
        <v>23416</v>
      </c>
      <c r="I1913" s="9" t="s">
        <v>3638</v>
      </c>
      <c r="J1913" s="9" t="s">
        <v>3639</v>
      </c>
      <c r="K1913" s="4" t="s">
        <v>15175</v>
      </c>
      <c r="L1913" s="13">
        <v>10457</v>
      </c>
      <c r="M1913" t="str">
        <f>VLOOKUP(L1913,[1]Human_BrainSpan!$B$2:$C$4000,2,FALSE)</f>
        <v>PaV</v>
      </c>
    </row>
    <row r="1914" spans="2:13" x14ac:dyDescent="0.25">
      <c r="B1914" s="31" t="s">
        <v>25743</v>
      </c>
      <c r="C1914" s="20"/>
      <c r="D1914" s="25" t="s">
        <v>26085</v>
      </c>
      <c r="E1914" s="25"/>
      <c r="F1914" s="9" t="str">
        <f>HYPERLINK("https://www.ebi.ac.uk/ols/ontologies/uberon/terms?iri=http://purl.obolibrary.org/obo/UBERON_0001920","paraventricular nucleus of thalamus")</f>
        <v>paraventricular nucleus of thalamus</v>
      </c>
      <c r="G1914" s="9" t="s">
        <v>3637</v>
      </c>
      <c r="H1914" s="9" t="s">
        <v>24919</v>
      </c>
      <c r="I1914" s="9" t="s">
        <v>3640</v>
      </c>
      <c r="J1914" s="9" t="s">
        <v>3641</v>
      </c>
      <c r="K1914" s="7" t="s">
        <v>15171</v>
      </c>
      <c r="L1914" s="13">
        <v>4533</v>
      </c>
      <c r="M1914" t="str">
        <f>VLOOKUP(L1914,[1]HBA!$B$2:$C$4000,2,FALSE)</f>
        <v>Pa</v>
      </c>
    </row>
    <row r="1915" spans="2:13" x14ac:dyDescent="0.25">
      <c r="B1915" s="31" t="s">
        <v>25743</v>
      </c>
      <c r="C1915" s="20"/>
      <c r="D1915" s="25" t="s">
        <v>26085</v>
      </c>
      <c r="E1915" s="25"/>
      <c r="F1915" s="9" t="str">
        <f>HYPERLINK("https://www.ebi.ac.uk/ols/ontologies/uberon/terms?iri=http://purl.obolibrary.org/obo/UBERON_0001920","paraventricular nucleus of thalamus")</f>
        <v>paraventricular nucleus of thalamus</v>
      </c>
      <c r="G1915" s="9" t="s">
        <v>3637</v>
      </c>
      <c r="H1915" s="9" t="s">
        <v>19958</v>
      </c>
      <c r="I1915" s="9" t="s">
        <v>749</v>
      </c>
      <c r="J1915" s="9" t="s">
        <v>750</v>
      </c>
      <c r="K1915" s="3" t="s">
        <v>15176</v>
      </c>
      <c r="L1915" s="13">
        <v>149</v>
      </c>
      <c r="M1915" t="str">
        <f>VLOOKUP(L1915,[1]Mouse_ARA!$B$2:$C$1328,2,FALSE)</f>
        <v>PVT</v>
      </c>
    </row>
    <row r="1916" spans="2:13" x14ac:dyDescent="0.25">
      <c r="B1916" s="31" t="s">
        <v>25743</v>
      </c>
      <c r="C1916" s="20"/>
      <c r="D1916" s="25" t="s">
        <v>26086</v>
      </c>
      <c r="E1916" s="25"/>
      <c r="F1916" s="9" t="str">
        <f>HYPERLINK("https://www.ebi.ac.uk/ols/ontologies/uberon/terms?iri=http://purl.obolibrary.org/obo/UBERON_0014602","paraventricular nucleus of the hypothalamus descending division")</f>
        <v>paraventricular nucleus of the hypothalamus descending division</v>
      </c>
      <c r="G1916" s="9" t="s">
        <v>3642</v>
      </c>
      <c r="H1916" s="9" t="s">
        <v>23464</v>
      </c>
      <c r="I1916" s="9" t="s">
        <v>3643</v>
      </c>
      <c r="J1916" s="9" t="s">
        <v>3644</v>
      </c>
      <c r="K1916" s="4" t="s">
        <v>15175</v>
      </c>
      <c r="L1916" s="13">
        <v>10477</v>
      </c>
      <c r="M1916" t="str">
        <f>VLOOKUP(L1916,[1]Human_BrainSpan!$B$2:$C$4000,2,FALSE)</f>
        <v>PVd</v>
      </c>
    </row>
    <row r="1917" spans="2:13" x14ac:dyDescent="0.25">
      <c r="B1917" s="31" t="s">
        <v>25743</v>
      </c>
      <c r="C1917" s="20"/>
      <c r="D1917" s="25" t="s">
        <v>26086</v>
      </c>
      <c r="E1917" s="25"/>
      <c r="F1917" s="9" t="str">
        <f>HYPERLINK("https://www.ebi.ac.uk/ols/ontologies/uberon/terms?iri=http://purl.obolibrary.org/obo/UBERON_0014602","paraventricular nucleus of the hypothalamus descending division")</f>
        <v>paraventricular nucleus of the hypothalamus descending division</v>
      </c>
      <c r="G1917" s="9" t="s">
        <v>3642</v>
      </c>
      <c r="H1917" s="9" t="s">
        <v>20119</v>
      </c>
      <c r="I1917" s="9" t="s">
        <v>3645</v>
      </c>
      <c r="J1917" s="9" t="s">
        <v>3646</v>
      </c>
      <c r="K1917" s="7" t="s">
        <v>15171</v>
      </c>
      <c r="L1917" s="13">
        <v>4575</v>
      </c>
      <c r="M1917" t="str">
        <f>VLOOKUP(L1917,[1]HBA!$B$2:$C$4000,2,FALSE)</f>
        <v>PVHd</v>
      </c>
    </row>
    <row r="1918" spans="2:13" x14ac:dyDescent="0.25">
      <c r="B1918" s="31" t="s">
        <v>25743</v>
      </c>
      <c r="C1918" s="20"/>
      <c r="D1918" s="25" t="s">
        <v>26086</v>
      </c>
      <c r="E1918" s="25"/>
      <c r="F1918" s="9" t="str">
        <f>HYPERLINK("https://www.ebi.ac.uk/ols/ontologies/uberon/terms?iri=http://purl.obolibrary.org/obo/UBERON_0014602","paraventricular nucleus of the hypothalamus descending division")</f>
        <v>paraventricular nucleus of the hypothalamus descending division</v>
      </c>
      <c r="G1918" s="9" t="s">
        <v>3642</v>
      </c>
      <c r="H1918" s="9" t="s">
        <v>20119</v>
      </c>
      <c r="I1918" s="9" t="s">
        <v>3647</v>
      </c>
      <c r="J1918" s="9" t="s">
        <v>3648</v>
      </c>
      <c r="K1918" s="3" t="s">
        <v>15176</v>
      </c>
      <c r="L1918" s="13">
        <v>63</v>
      </c>
      <c r="M1918" t="str">
        <f>VLOOKUP(L1918,[1]Mouse_ARA!$B$2:$C$1328,2,FALSE)</f>
        <v>PVHd</v>
      </c>
    </row>
    <row r="1919" spans="2:13" x14ac:dyDescent="0.25">
      <c r="B1919" s="31" t="s">
        <v>25743</v>
      </c>
      <c r="C1919" s="20"/>
      <c r="D1919" s="25" t="s">
        <v>26087</v>
      </c>
      <c r="E1919" s="25"/>
      <c r="F1919" s="9" t="str">
        <f>HYPERLINK("https://www.ebi.ac.uk/ols/ontologies/uberon/terms?iri=http://purl.obolibrary.org/obo/UBERON_0014596","paraventricular nucleus of the hypothalamus descending division - dorsal parvicellular part")</f>
        <v>paraventricular nucleus of the hypothalamus descending division - dorsal parvicellular part</v>
      </c>
      <c r="G1919" s="9" t="s">
        <v>3649</v>
      </c>
      <c r="H1919" s="9" t="s">
        <v>20121</v>
      </c>
      <c r="I1919" s="9" t="s">
        <v>3650</v>
      </c>
      <c r="J1919" s="9" t="s">
        <v>3651</v>
      </c>
      <c r="K1919" s="7" t="s">
        <v>15171</v>
      </c>
      <c r="L1919" s="13">
        <v>4577</v>
      </c>
      <c r="M1919" t="str">
        <f>VLOOKUP(L1919,[1]HBA!$B$2:$C$4000,2,FALSE)</f>
        <v>PVHdp</v>
      </c>
    </row>
    <row r="1920" spans="2:13" x14ac:dyDescent="0.25">
      <c r="B1920" s="31" t="s">
        <v>25743</v>
      </c>
      <c r="C1920" s="20"/>
      <c r="D1920" s="25" t="s">
        <v>26087</v>
      </c>
      <c r="E1920" s="25"/>
      <c r="F1920" s="9" t="str">
        <f>HYPERLINK("https://www.ebi.ac.uk/ols/ontologies/uberon/terms?iri=http://purl.obolibrary.org/obo/UBERON_0014596","paraventricular nucleus of the hypothalamus descending division - dorsal parvicellular part")</f>
        <v>paraventricular nucleus of the hypothalamus descending division - dorsal parvicellular part</v>
      </c>
      <c r="G1920" s="9" t="s">
        <v>3649</v>
      </c>
      <c r="H1920" s="9" t="s">
        <v>20121</v>
      </c>
      <c r="I1920" s="9" t="s">
        <v>3652</v>
      </c>
      <c r="J1920" s="9" t="s">
        <v>3653</v>
      </c>
      <c r="K1920" s="3" t="s">
        <v>15176</v>
      </c>
      <c r="L1920" s="13">
        <v>439</v>
      </c>
      <c r="M1920" t="str">
        <f>VLOOKUP(L1920,[1]Mouse_ARA!$B$2:$C$1328,2,FALSE)</f>
        <v>PVHdp</v>
      </c>
    </row>
    <row r="1921" spans="2:13" x14ac:dyDescent="0.25">
      <c r="B1921" s="31" t="s">
        <v>25743</v>
      </c>
      <c r="C1921" s="20"/>
      <c r="D1921" s="25" t="s">
        <v>26088</v>
      </c>
      <c r="E1921" s="25"/>
      <c r="F1921" s="9" t="str">
        <f>HYPERLINK("https://www.ebi.ac.uk/ols/ontologies/uberon/terms?iri=http://purl.obolibrary.org/obo/UBERON_0014598","paraventricular nucleus of the hypothalamus descending division - forniceal part")</f>
        <v>paraventricular nucleus of the hypothalamus descending division - forniceal part</v>
      </c>
      <c r="G1921" s="9" t="s">
        <v>3654</v>
      </c>
      <c r="H1921" s="9" t="s">
        <v>20123</v>
      </c>
      <c r="I1921" s="9" t="s">
        <v>3655</v>
      </c>
      <c r="J1921" s="9" t="s">
        <v>3656</v>
      </c>
      <c r="K1921" s="7" t="s">
        <v>15171</v>
      </c>
      <c r="L1921" s="13">
        <v>4579</v>
      </c>
      <c r="M1921" t="str">
        <f>VLOOKUP(L1921,[1]HBA!$B$2:$C$4000,2,FALSE)</f>
        <v>PVHf</v>
      </c>
    </row>
    <row r="1922" spans="2:13" x14ac:dyDescent="0.25">
      <c r="B1922" s="31" t="s">
        <v>25743</v>
      </c>
      <c r="C1922" s="20"/>
      <c r="D1922" s="25" t="s">
        <v>26088</v>
      </c>
      <c r="E1922" s="25"/>
      <c r="F1922" s="9" t="str">
        <f>HYPERLINK("https://www.ebi.ac.uk/ols/ontologies/uberon/terms?iri=http://purl.obolibrary.org/obo/UBERON_0014598","paraventricular nucleus of the hypothalamus descending division - forniceal part")</f>
        <v>paraventricular nucleus of the hypothalamus descending division - forniceal part</v>
      </c>
      <c r="G1922" s="9" t="s">
        <v>3654</v>
      </c>
      <c r="H1922" s="9" t="s">
        <v>20123</v>
      </c>
      <c r="I1922" s="9" t="s">
        <v>3657</v>
      </c>
      <c r="J1922" s="9" t="s">
        <v>3658</v>
      </c>
      <c r="K1922" s="3" t="s">
        <v>15176</v>
      </c>
      <c r="L1922" s="13">
        <v>447</v>
      </c>
      <c r="M1922" t="str">
        <f>VLOOKUP(L1922,[1]Mouse_ARA!$B$2:$C$1328,2,FALSE)</f>
        <v>PVHf</v>
      </c>
    </row>
    <row r="1923" spans="2:13" x14ac:dyDescent="0.25">
      <c r="B1923" s="31" t="s">
        <v>25743</v>
      </c>
      <c r="C1923" s="20"/>
      <c r="D1923" s="25" t="s">
        <v>26089</v>
      </c>
      <c r="E1923" s="25"/>
      <c r="F1923" s="9" t="str">
        <f>HYPERLINK("https://www.ebi.ac.uk/ols/ontologies/uberon/terms?iri=http://purl.obolibrary.org/obo/UBERON_0014597","paraventricular nucleus of the hypothalamus descending division - lateral parvicellular part")</f>
        <v>paraventricular nucleus of the hypothalamus descending division - lateral parvicellular part</v>
      </c>
      <c r="G1923" s="9" t="s">
        <v>3659</v>
      </c>
      <c r="H1923" s="9" t="s">
        <v>20125</v>
      </c>
      <c r="I1923" s="9" t="s">
        <v>3660</v>
      </c>
      <c r="J1923" s="9" t="s">
        <v>3661</v>
      </c>
      <c r="K1923" s="7" t="s">
        <v>15171</v>
      </c>
      <c r="L1923" s="13">
        <v>4578</v>
      </c>
      <c r="M1923" t="str">
        <f>VLOOKUP(L1923,[1]HBA!$B$2:$C$4000,2,FALSE)</f>
        <v>PVHlp</v>
      </c>
    </row>
    <row r="1924" spans="2:13" x14ac:dyDescent="0.25">
      <c r="B1924" s="31" t="s">
        <v>25743</v>
      </c>
      <c r="C1924" s="20"/>
      <c r="D1924" s="25" t="s">
        <v>26089</v>
      </c>
      <c r="E1924" s="25"/>
      <c r="F1924" s="9" t="str">
        <f>HYPERLINK("https://www.ebi.ac.uk/ols/ontologies/uberon/terms?iri=http://purl.obolibrary.org/obo/UBERON_0014597","paraventricular nucleus of the hypothalamus descending division - lateral parvicellular part")</f>
        <v>paraventricular nucleus of the hypothalamus descending division - lateral parvicellular part</v>
      </c>
      <c r="G1924" s="9" t="s">
        <v>3659</v>
      </c>
      <c r="H1924" s="9" t="s">
        <v>20125</v>
      </c>
      <c r="I1924" s="9" t="s">
        <v>3662</v>
      </c>
      <c r="J1924" s="9" t="s">
        <v>3663</v>
      </c>
      <c r="K1924" s="3" t="s">
        <v>15176</v>
      </c>
      <c r="L1924" s="13">
        <v>455</v>
      </c>
      <c r="M1924" t="str">
        <f>VLOOKUP(L1924,[1]Mouse_ARA!$B$2:$C$1328,2,FALSE)</f>
        <v>PVHlp</v>
      </c>
    </row>
    <row r="1925" spans="2:13" x14ac:dyDescent="0.25">
      <c r="B1925" s="31" t="s">
        <v>25743</v>
      </c>
      <c r="C1925" s="20"/>
      <c r="D1925" s="25" t="s">
        <v>26090</v>
      </c>
      <c r="E1925" s="25"/>
      <c r="F1925" s="9" t="str">
        <f>HYPERLINK("https://www.ebi.ac.uk/ols/ontologies/uberon/terms?iri=http://purl.obolibrary.org/obo/UBERON_0014595","paraventricular nucleus of the hypothalamus descending division - medial parvicellular part, ventral zone")</f>
        <v>paraventricular nucleus of the hypothalamus descending division - medial parvicellular part, ventral zone</v>
      </c>
      <c r="G1925" s="9" t="s">
        <v>3664</v>
      </c>
      <c r="H1925" s="9" t="s">
        <v>20127</v>
      </c>
      <c r="I1925" s="9" t="s">
        <v>3665</v>
      </c>
      <c r="J1925" s="9" t="s">
        <v>3666</v>
      </c>
      <c r="K1925" s="7" t="s">
        <v>15171</v>
      </c>
      <c r="L1925" s="13">
        <v>4576</v>
      </c>
      <c r="M1925" t="str">
        <f>VLOOKUP(L1925,[1]HBA!$B$2:$C$4000,2,FALSE)</f>
        <v>PVHmpv</v>
      </c>
    </row>
    <row r="1926" spans="2:13" x14ac:dyDescent="0.25">
      <c r="B1926" s="31" t="s">
        <v>25743</v>
      </c>
      <c r="C1926" s="20"/>
      <c r="D1926" s="25" t="s">
        <v>26090</v>
      </c>
      <c r="E1926" s="25"/>
      <c r="F1926" s="9" t="str">
        <f>HYPERLINK("https://www.ebi.ac.uk/ols/ontologies/uberon/terms?iri=http://purl.obolibrary.org/obo/UBERON_0014595","paraventricular nucleus of the hypothalamus descending division - medial parvicellular part, ventral zone")</f>
        <v>paraventricular nucleus of the hypothalamus descending division - medial parvicellular part, ventral zone</v>
      </c>
      <c r="G1926" s="9" t="s">
        <v>3664</v>
      </c>
      <c r="H1926" s="9" t="s">
        <v>20127</v>
      </c>
      <c r="I1926" s="9" t="s">
        <v>3667</v>
      </c>
      <c r="J1926" s="9" t="s">
        <v>3668</v>
      </c>
      <c r="K1926" s="3" t="s">
        <v>15176</v>
      </c>
      <c r="L1926" s="13">
        <v>464</v>
      </c>
      <c r="M1926" t="str">
        <f>VLOOKUP(L1926,[1]Mouse_ARA!$B$2:$C$1328,2,FALSE)</f>
        <v>PVHmpv</v>
      </c>
    </row>
    <row r="1927" spans="2:13" x14ac:dyDescent="0.25">
      <c r="B1927" s="31" t="s">
        <v>25743</v>
      </c>
      <c r="C1927" s="20"/>
      <c r="D1927" s="25" t="s">
        <v>26091</v>
      </c>
      <c r="E1927" s="25"/>
      <c r="F1927" s="9" t="str">
        <f>HYPERLINK("https://www.ebi.ac.uk/ols/ontologies/uberon/terms?iri=http://purl.obolibrary.org/obo/UBERON_0014603","paraventricular nucleus of the hypothalamus magnocellular division")</f>
        <v>paraventricular nucleus of the hypothalamus magnocellular division</v>
      </c>
      <c r="G1927" s="9" t="s">
        <v>3669</v>
      </c>
      <c r="H1927" s="9" t="s">
        <v>23465</v>
      </c>
      <c r="I1927" s="9" t="s">
        <v>3670</v>
      </c>
      <c r="J1927" s="9" t="s">
        <v>3671</v>
      </c>
      <c r="K1927" s="4" t="s">
        <v>15175</v>
      </c>
      <c r="L1927" s="13">
        <v>10478</v>
      </c>
      <c r="M1927" t="str">
        <f>VLOOKUP(L1927,[1]Human_BrainSpan!$B$2:$C$4000,2,FALSE)</f>
        <v>PVmc</v>
      </c>
    </row>
    <row r="1928" spans="2:13" x14ac:dyDescent="0.25">
      <c r="B1928" s="31" t="s">
        <v>25743</v>
      </c>
      <c r="C1928" s="20"/>
      <c r="D1928" s="25" t="s">
        <v>26091</v>
      </c>
      <c r="E1928" s="25"/>
      <c r="F1928" s="9" t="str">
        <f>HYPERLINK("https://www.ebi.ac.uk/ols/ontologies/uberon/terms?iri=http://purl.obolibrary.org/obo/UBERON_0014603","paraventricular nucleus of the hypothalamus magnocellular division")</f>
        <v>paraventricular nucleus of the hypothalamus magnocellular division</v>
      </c>
      <c r="G1928" s="9" t="s">
        <v>3669</v>
      </c>
      <c r="H1928" s="9" t="s">
        <v>20007</v>
      </c>
      <c r="I1928" s="9" t="s">
        <v>3672</v>
      </c>
      <c r="J1928" s="9" t="s">
        <v>3673</v>
      </c>
      <c r="K1928" s="7" t="s">
        <v>15171</v>
      </c>
      <c r="L1928" s="13">
        <v>4580</v>
      </c>
      <c r="M1928" t="str">
        <f>VLOOKUP(L1928,[1]HBA!$B$2:$C$4000,2,FALSE)</f>
        <v>PVHm</v>
      </c>
    </row>
    <row r="1929" spans="2:13" x14ac:dyDescent="0.25">
      <c r="B1929" s="31" t="s">
        <v>25743</v>
      </c>
      <c r="C1929" s="20"/>
      <c r="D1929" s="25" t="s">
        <v>26091</v>
      </c>
      <c r="E1929" s="25"/>
      <c r="F1929" s="9" t="str">
        <f>HYPERLINK("https://www.ebi.ac.uk/ols/ontologies/uberon/terms?iri=http://purl.obolibrary.org/obo/UBERON_0014603","paraventricular nucleus of the hypothalamus magnocellular division")</f>
        <v>paraventricular nucleus of the hypothalamus magnocellular division</v>
      </c>
      <c r="G1929" s="9" t="s">
        <v>3669</v>
      </c>
      <c r="H1929" s="9" t="s">
        <v>20007</v>
      </c>
      <c r="I1929" s="9" t="s">
        <v>3674</v>
      </c>
      <c r="J1929" s="9" t="s">
        <v>3675</v>
      </c>
      <c r="K1929" s="3" t="s">
        <v>15176</v>
      </c>
      <c r="L1929" s="13">
        <v>71</v>
      </c>
      <c r="M1929" t="str">
        <f>VLOOKUP(L1929,[1]Mouse_ARA!$B$2:$C$1328,2,FALSE)</f>
        <v>PVHm</v>
      </c>
    </row>
    <row r="1930" spans="2:13" x14ac:dyDescent="0.25">
      <c r="B1930" s="31" t="s">
        <v>25743</v>
      </c>
      <c r="C1930" s="20"/>
      <c r="D1930" s="25" t="s">
        <v>26092</v>
      </c>
      <c r="E1930" s="25"/>
      <c r="F1930" s="9" t="str">
        <f>HYPERLINK("https://www.ebi.ac.uk/ols/ontologies/uberon/terms?iri=http://purl.obolibrary.org/obo/UBERON_0014599","paraventricular nucleus of the hypothalamus magnocellular division - anterior magnocellular part")</f>
        <v>paraventricular nucleus of the hypothalamus magnocellular division - anterior magnocellular part</v>
      </c>
      <c r="G1930" s="9" t="s">
        <v>3676</v>
      </c>
      <c r="H1930" s="9" t="s">
        <v>20009</v>
      </c>
      <c r="I1930" s="9" t="s">
        <v>3677</v>
      </c>
      <c r="J1930" s="9" t="s">
        <v>3678</v>
      </c>
      <c r="K1930" s="7" t="s">
        <v>15171</v>
      </c>
      <c r="L1930" s="13">
        <v>4581</v>
      </c>
      <c r="M1930" t="str">
        <f>VLOOKUP(L1930,[1]HBA!$B$2:$C$4000,2,FALSE)</f>
        <v>PVHam</v>
      </c>
    </row>
    <row r="1931" spans="2:13" x14ac:dyDescent="0.25">
      <c r="B1931" s="31" t="s">
        <v>25743</v>
      </c>
      <c r="C1931" s="20"/>
      <c r="D1931" s="25" t="s">
        <v>26092</v>
      </c>
      <c r="E1931" s="25"/>
      <c r="F1931" s="9" t="str">
        <f>HYPERLINK("https://www.ebi.ac.uk/ols/ontologies/uberon/terms?iri=http://purl.obolibrary.org/obo/UBERON_0014599","paraventricular nucleus of the hypothalamus magnocellular division - anterior magnocellular part")</f>
        <v>paraventricular nucleus of the hypothalamus magnocellular division - anterior magnocellular part</v>
      </c>
      <c r="G1931" s="9" t="s">
        <v>3676</v>
      </c>
      <c r="H1931" s="9" t="s">
        <v>20009</v>
      </c>
      <c r="I1931" s="9" t="s">
        <v>3679</v>
      </c>
      <c r="J1931" s="9" t="s">
        <v>3680</v>
      </c>
      <c r="K1931" s="3" t="s">
        <v>15176</v>
      </c>
      <c r="L1931" s="13">
        <v>47</v>
      </c>
      <c r="M1931" t="str">
        <f>VLOOKUP(L1931,[1]Mouse_ARA!$B$2:$C$1328,2,FALSE)</f>
        <v>PVHam</v>
      </c>
    </row>
    <row r="1932" spans="2:13" x14ac:dyDescent="0.25">
      <c r="B1932" s="31" t="s">
        <v>25743</v>
      </c>
      <c r="C1932" s="20"/>
      <c r="D1932" s="25" t="s">
        <v>26093</v>
      </c>
      <c r="E1932" s="25"/>
      <c r="F1932" s="9" t="str">
        <f>HYPERLINK("https://www.ebi.ac.uk/ols/ontologies/uberon/terms?iri=http://purl.obolibrary.org/obo/UBERON_0014600","paraventricular nucleus of the hypothalamus magnocellular division - medial magnocellular part")</f>
        <v>paraventricular nucleus of the hypothalamus magnocellular division - medial magnocellular part</v>
      </c>
      <c r="G1932" s="9" t="s">
        <v>3681</v>
      </c>
      <c r="H1932" s="9" t="s">
        <v>20011</v>
      </c>
      <c r="I1932" s="9" t="s">
        <v>3682</v>
      </c>
      <c r="J1932" s="9" t="s">
        <v>3683</v>
      </c>
      <c r="K1932" s="7" t="s">
        <v>15171</v>
      </c>
      <c r="L1932" s="13">
        <v>4582</v>
      </c>
      <c r="M1932" t="str">
        <f>VLOOKUP(L1932,[1]HBA!$B$2:$C$4000,2,FALSE)</f>
        <v>PVHmm</v>
      </c>
    </row>
    <row r="1933" spans="2:13" x14ac:dyDescent="0.25">
      <c r="B1933" s="31" t="s">
        <v>25743</v>
      </c>
      <c r="C1933" s="20"/>
      <c r="D1933" s="25" t="s">
        <v>26093</v>
      </c>
      <c r="E1933" s="25"/>
      <c r="F1933" s="9" t="str">
        <f>HYPERLINK("https://www.ebi.ac.uk/ols/ontologies/uberon/terms?iri=http://purl.obolibrary.org/obo/UBERON_0014600","paraventricular nucleus of the hypothalamus magnocellular division - medial magnocellular part")</f>
        <v>paraventricular nucleus of the hypothalamus magnocellular division - medial magnocellular part</v>
      </c>
      <c r="G1933" s="9" t="s">
        <v>3681</v>
      </c>
      <c r="H1933" s="9" t="s">
        <v>20011</v>
      </c>
      <c r="I1933" s="9" t="s">
        <v>3684</v>
      </c>
      <c r="J1933" s="9" t="s">
        <v>3685</v>
      </c>
      <c r="K1933" s="3" t="s">
        <v>15176</v>
      </c>
      <c r="L1933" s="13">
        <v>79</v>
      </c>
      <c r="M1933" t="str">
        <f>VLOOKUP(L1933,[1]Mouse_ARA!$B$2:$C$1328,2,FALSE)</f>
        <v>PVHmm</v>
      </c>
    </row>
    <row r="1934" spans="2:13" x14ac:dyDescent="0.25">
      <c r="B1934" s="31" t="s">
        <v>25743</v>
      </c>
      <c r="C1934" s="20"/>
      <c r="D1934" s="25" t="s">
        <v>26094</v>
      </c>
      <c r="E1934" s="25"/>
      <c r="F1934" s="9" t="str">
        <f>HYPERLINK("https://www.ebi.ac.uk/ols/ontologies/uberon/terms?iri=http://purl.obolibrary.org/obo/UBERON_0014601","paraventricular nucleus of the hypothalamus magnocellular division - posterior magnocellular part")</f>
        <v>paraventricular nucleus of the hypothalamus magnocellular division - posterior magnocellular part</v>
      </c>
      <c r="G1934" s="9" t="s">
        <v>3686</v>
      </c>
      <c r="H1934" s="9" t="s">
        <v>20013</v>
      </c>
      <c r="I1934" s="9" t="s">
        <v>3687</v>
      </c>
      <c r="J1934" s="9" t="s">
        <v>3688</v>
      </c>
      <c r="K1934" s="7" t="s">
        <v>15171</v>
      </c>
      <c r="L1934" s="13">
        <v>4583</v>
      </c>
      <c r="M1934" t="str">
        <f>VLOOKUP(L1934,[1]HBA!$B$2:$C$4000,2,FALSE)</f>
        <v>PVHpm</v>
      </c>
    </row>
    <row r="1935" spans="2:13" x14ac:dyDescent="0.25">
      <c r="B1935" s="31" t="s">
        <v>25743</v>
      </c>
      <c r="C1935" s="20"/>
      <c r="D1935" s="25" t="s">
        <v>26094</v>
      </c>
      <c r="E1935" s="25"/>
      <c r="F1935" s="9" t="str">
        <f>HYPERLINK("https://www.ebi.ac.uk/ols/ontologies/uberon/terms?iri=http://purl.obolibrary.org/obo/UBERON_0014601","paraventricular nucleus of the hypothalamus magnocellular division - posterior magnocellular part")</f>
        <v>paraventricular nucleus of the hypothalamus magnocellular division - posterior magnocellular part</v>
      </c>
      <c r="G1935" s="9" t="s">
        <v>3686</v>
      </c>
      <c r="H1935" s="9" t="s">
        <v>20013</v>
      </c>
      <c r="I1935" s="9" t="s">
        <v>3689</v>
      </c>
      <c r="J1935" s="9" t="s">
        <v>3690</v>
      </c>
      <c r="K1935" s="3" t="s">
        <v>15176</v>
      </c>
      <c r="L1935" s="13">
        <v>103</v>
      </c>
      <c r="M1935" t="str">
        <f>VLOOKUP(L1935,[1]Mouse_ARA!$B$2:$C$1328,2,FALSE)</f>
        <v>PVHpm</v>
      </c>
    </row>
    <row r="1936" spans="2:13" x14ac:dyDescent="0.25">
      <c r="B1936" s="31" t="s">
        <v>25743</v>
      </c>
      <c r="C1936" s="20"/>
      <c r="D1936" s="25" t="s">
        <v>26095</v>
      </c>
      <c r="E1936" s="25"/>
      <c r="F1936" s="9" t="str">
        <f>HYPERLINK("https://www.ebi.ac.uk/ols/ontologies/uberon/terms?iri=http://purl.obolibrary.org/obo/UBERON_0022791","paraventricular nucleus of the hypothalamus magnocellular division - posterior magnocellular part lateral zone")</f>
        <v>paraventricular nucleus of the hypothalamus magnocellular division - posterior magnocellular part lateral zone</v>
      </c>
      <c r="G1936" s="9" t="s">
        <v>3691</v>
      </c>
      <c r="H1936" s="9" t="s">
        <v>20015</v>
      </c>
      <c r="I1936" s="9" t="s">
        <v>3692</v>
      </c>
      <c r="J1936" s="9" t="s">
        <v>3693</v>
      </c>
      <c r="K1936" s="7" t="s">
        <v>15171</v>
      </c>
      <c r="L1936" s="13">
        <v>4585</v>
      </c>
      <c r="M1936" t="str">
        <f>VLOOKUP(L1936,[1]HBA!$B$2:$C$4000,2,FALSE)</f>
        <v>PVHpml</v>
      </c>
    </row>
    <row r="1937" spans="2:13" x14ac:dyDescent="0.25">
      <c r="B1937" s="31" t="s">
        <v>25743</v>
      </c>
      <c r="C1937" s="20"/>
      <c r="D1937" s="25" t="s">
        <v>26096</v>
      </c>
      <c r="E1937" s="25"/>
      <c r="F1937" s="9" t="str">
        <f>HYPERLINK("https://www.ebi.ac.uk/ols/ontologies/uberon/terms?iri=http://purl.obolibrary.org/obo/UBERON_0022783","paraventricular nucleus of the hypothalamus magnocellular division - posterior magnocellular part medial zone")</f>
        <v>paraventricular nucleus of the hypothalamus magnocellular division - posterior magnocellular part medial zone</v>
      </c>
      <c r="G1937" s="9" t="s">
        <v>3694</v>
      </c>
      <c r="H1937" s="9" t="s">
        <v>20017</v>
      </c>
      <c r="I1937" s="9" t="s">
        <v>3695</v>
      </c>
      <c r="J1937" s="9" t="s">
        <v>3696</v>
      </c>
      <c r="K1937" s="7" t="s">
        <v>15171</v>
      </c>
      <c r="L1937" s="13">
        <v>4584</v>
      </c>
      <c r="M1937" t="str">
        <f>VLOOKUP(L1937,[1]HBA!$B$2:$C$4000,2,FALSE)</f>
        <v>PVHpmm</v>
      </c>
    </row>
    <row r="1938" spans="2:13" x14ac:dyDescent="0.25">
      <c r="B1938" s="31" t="s">
        <v>25743</v>
      </c>
      <c r="C1938" s="20"/>
      <c r="D1938" s="25" t="s">
        <v>26097</v>
      </c>
      <c r="E1938" s="25"/>
      <c r="F1938" s="9" t="str">
        <f>HYPERLINK("https://www.ebi.ac.uk/ols/ontologies/uberon/terms?iri=http://purl.obolibrary.org/obo/UBERON_0014604","paraventricular nucleus of the hypothalamus parvicellular division")</f>
        <v>paraventricular nucleus of the hypothalamus parvicellular division</v>
      </c>
      <c r="G1938" s="9" t="s">
        <v>3697</v>
      </c>
      <c r="H1938" s="9" t="s">
        <v>23466</v>
      </c>
      <c r="I1938" s="9" t="s">
        <v>3698</v>
      </c>
      <c r="J1938" s="9" t="s">
        <v>3699</v>
      </c>
      <c r="K1938" s="4" t="s">
        <v>15175</v>
      </c>
      <c r="L1938" s="13">
        <v>10479</v>
      </c>
      <c r="M1938" t="str">
        <f>VLOOKUP(L1938,[1]Human_BrainSpan!$B$2:$C$4000,2,FALSE)</f>
        <v>PVpc</v>
      </c>
    </row>
    <row r="1939" spans="2:13" x14ac:dyDescent="0.25">
      <c r="B1939" s="31" t="s">
        <v>25743</v>
      </c>
      <c r="C1939" s="20"/>
      <c r="D1939" s="25" t="s">
        <v>26097</v>
      </c>
      <c r="E1939" s="25"/>
      <c r="F1939" s="9" t="str">
        <f>HYPERLINK("https://www.ebi.ac.uk/ols/ontologies/uberon/terms?iri=http://purl.obolibrary.org/obo/UBERON_0014604","paraventricular nucleus of the hypothalamus parvicellular division")</f>
        <v>paraventricular nucleus of the hypothalamus parvicellular division</v>
      </c>
      <c r="G1939" s="9" t="s">
        <v>3697</v>
      </c>
      <c r="H1939" s="9" t="s">
        <v>20019</v>
      </c>
      <c r="I1939" s="9" t="s">
        <v>3700</v>
      </c>
      <c r="J1939" s="9" t="s">
        <v>3701</v>
      </c>
      <c r="K1939" s="7" t="s">
        <v>15171</v>
      </c>
      <c r="L1939" s="13">
        <v>4586</v>
      </c>
      <c r="M1939" t="str">
        <f>VLOOKUP(L1939,[1]HBA!$B$2:$C$4000,2,FALSE)</f>
        <v>PVHp</v>
      </c>
    </row>
    <row r="1940" spans="2:13" x14ac:dyDescent="0.25">
      <c r="B1940" s="31" t="s">
        <v>25743</v>
      </c>
      <c r="C1940" s="20"/>
      <c r="D1940" s="25" t="s">
        <v>26097</v>
      </c>
      <c r="E1940" s="25"/>
      <c r="F1940" s="9" t="str">
        <f>HYPERLINK("https://www.ebi.ac.uk/ols/ontologies/uberon/terms?iri=http://purl.obolibrary.org/obo/UBERON_0014604","paraventricular nucleus of the hypothalamus parvicellular division")</f>
        <v>paraventricular nucleus of the hypothalamus parvicellular division</v>
      </c>
      <c r="G1940" s="9" t="s">
        <v>3697</v>
      </c>
      <c r="H1940" s="9" t="s">
        <v>20019</v>
      </c>
      <c r="I1940" s="9" t="s">
        <v>3702</v>
      </c>
      <c r="J1940" s="9" t="s">
        <v>3703</v>
      </c>
      <c r="K1940" s="3" t="s">
        <v>15176</v>
      </c>
      <c r="L1940" s="13">
        <v>94</v>
      </c>
      <c r="M1940" t="str">
        <f>VLOOKUP(L1940,[1]Mouse_ARA!$B$2:$C$1328,2,FALSE)</f>
        <v>PVHp</v>
      </c>
    </row>
    <row r="1941" spans="2:13" x14ac:dyDescent="0.25">
      <c r="B1941" s="37" t="s">
        <v>25743</v>
      </c>
      <c r="C1941" s="20"/>
      <c r="D1941" s="25" t="s">
        <v>26098</v>
      </c>
      <c r="E1941" s="25"/>
      <c r="F1941" s="9" t="str">
        <f>HYPERLINK("https://www.ebi.ac.uk/ols/ontologies/uberon/terms?iri=http://purl.obolibrary.org/obo/UBERON_0028918","paravermic lobule II")</f>
        <v>paravermic lobule II</v>
      </c>
      <c r="G1941" s="9" t="s">
        <v>3704</v>
      </c>
      <c r="H1941" s="9" t="s">
        <v>25355</v>
      </c>
      <c r="I1941" s="9" t="s">
        <v>3705</v>
      </c>
      <c r="J1941" s="9" t="s">
        <v>3706</v>
      </c>
      <c r="K1941" s="7" t="s">
        <v>15171</v>
      </c>
      <c r="L1941" s="13">
        <v>4717</v>
      </c>
      <c r="M1941" t="str">
        <f>VLOOKUP(L1941,[1]HBA!$B$2:$C$4000,2,FALSE)</f>
        <v>PV-I-II</v>
      </c>
    </row>
    <row r="1942" spans="2:13" x14ac:dyDescent="0.25">
      <c r="B1942" s="37" t="s">
        <v>25743</v>
      </c>
      <c r="C1942" s="20"/>
      <c r="D1942" s="25" t="s">
        <v>26099</v>
      </c>
      <c r="E1942" s="25"/>
      <c r="F1942" s="9" t="str">
        <f>HYPERLINK("https://www.ebi.ac.uk/ols/ontologies/uberon/terms?iri=http://purl.obolibrary.org/obo/UBERON_0028919","paravermic lobule III")</f>
        <v>paravermic lobule III</v>
      </c>
      <c r="G1942" s="9" t="s">
        <v>3707</v>
      </c>
      <c r="H1942" s="9" t="s">
        <v>25361</v>
      </c>
      <c r="I1942" s="9" t="s">
        <v>1146</v>
      </c>
      <c r="J1942" s="9" t="s">
        <v>1147</v>
      </c>
      <c r="K1942" s="7" t="s">
        <v>15171</v>
      </c>
      <c r="L1942" s="13">
        <v>4718</v>
      </c>
      <c r="M1942" t="str">
        <f>VLOOKUP(L1942,[1]HBA!$B$2:$C$4000,2,FALSE)</f>
        <v>PV-III</v>
      </c>
    </row>
    <row r="1943" spans="2:13" x14ac:dyDescent="0.25">
      <c r="B1943" s="37" t="s">
        <v>25743</v>
      </c>
      <c r="C1943" s="25"/>
      <c r="D1943" s="25" t="s">
        <v>26100</v>
      </c>
      <c r="E1943" s="25"/>
      <c r="F1943" s="9" t="str">
        <f>HYPERLINK("https://www.ebi.ac.uk/ols/ontologies/uberon/terms?iri=http://purl.obolibrary.org/obo/UBERON_0028920","paravermic lobule IV")</f>
        <v>paravermic lobule IV</v>
      </c>
      <c r="G1943" s="9" t="s">
        <v>3708</v>
      </c>
      <c r="H1943" s="9" t="s">
        <v>25367</v>
      </c>
      <c r="I1943" s="9" t="s">
        <v>1148</v>
      </c>
      <c r="J1943" s="9" t="s">
        <v>1149</v>
      </c>
      <c r="K1943" s="7" t="s">
        <v>15171</v>
      </c>
      <c r="L1943" s="13">
        <v>4719</v>
      </c>
      <c r="M1943" t="str">
        <f>VLOOKUP(L1943,[1]HBA!$B$2:$C$4000,2,FALSE)</f>
        <v>PV-IV</v>
      </c>
    </row>
    <row r="1944" spans="2:13" x14ac:dyDescent="0.25">
      <c r="B1944" s="37" t="s">
        <v>25743</v>
      </c>
      <c r="C1944" s="25"/>
      <c r="D1944" s="25" t="s">
        <v>26101</v>
      </c>
      <c r="E1944" s="25"/>
      <c r="F1944" s="9" t="str">
        <f>HYPERLINK("https://www.ebi.ac.uk/ols/ontologies/uberon/terms?iri=http://purl.obolibrary.org/obo/UBERON_0028921","paravermic lobule IX")</f>
        <v>paravermic lobule IX</v>
      </c>
      <c r="G1944" s="9" t="s">
        <v>3709</v>
      </c>
      <c r="H1944" s="9" t="s">
        <v>25421</v>
      </c>
      <c r="I1944" s="9" t="s">
        <v>1154</v>
      </c>
      <c r="J1944" s="9" t="s">
        <v>1155</v>
      </c>
      <c r="K1944" s="7" t="s">
        <v>15171</v>
      </c>
      <c r="L1944" s="13">
        <v>4728</v>
      </c>
      <c r="M1944" t="str">
        <f>VLOOKUP(L1944,[1]HBA!$B$2:$C$4000,2,FALSE)</f>
        <v>PV-IX</v>
      </c>
    </row>
    <row r="1945" spans="2:13" x14ac:dyDescent="0.25">
      <c r="B1945" s="37" t="s">
        <v>25743</v>
      </c>
      <c r="C1945" s="25"/>
      <c r="D1945" s="25" t="s">
        <v>26102</v>
      </c>
      <c r="E1945" s="25"/>
      <c r="F1945" s="9" t="str">
        <f>HYPERLINK("https://www.ebi.ac.uk/ols/ontologies/uberon/terms?iri=http://purl.obolibrary.org/obo/UBERON_0028922","paravermic lobule V")</f>
        <v>paravermic lobule V</v>
      </c>
      <c r="G1945" s="9" t="s">
        <v>3710</v>
      </c>
      <c r="H1945" s="9" t="s">
        <v>25373</v>
      </c>
      <c r="I1945" s="9" t="s">
        <v>1150</v>
      </c>
      <c r="J1945" s="9" t="s">
        <v>1151</v>
      </c>
      <c r="K1945" s="7" t="s">
        <v>15171</v>
      </c>
      <c r="L1945" s="13">
        <v>4720</v>
      </c>
      <c r="M1945" t="str">
        <f>VLOOKUP(L1945,[1]HBA!$B$2:$C$4000,2,FALSE)</f>
        <v>PV-V</v>
      </c>
    </row>
    <row r="1946" spans="2:13" x14ac:dyDescent="0.25">
      <c r="B1946" s="37" t="s">
        <v>25743</v>
      </c>
      <c r="C1946" s="25"/>
      <c r="D1946" s="25" t="s">
        <v>26103</v>
      </c>
      <c r="E1946" s="25"/>
      <c r="F1946" s="9" t="str">
        <f>HYPERLINK("https://www.ebi.ac.uk/ols/ontologies/uberon/terms?iri=http://purl.obolibrary.org/obo/UBERON_0028923","paravermic lobule VI")</f>
        <v>paravermic lobule VI</v>
      </c>
      <c r="G1946" s="9" t="s">
        <v>3711</v>
      </c>
      <c r="H1946" s="9" t="s">
        <v>25380</v>
      </c>
      <c r="I1946" s="9" t="s">
        <v>1152</v>
      </c>
      <c r="J1946" s="9" t="s">
        <v>1153</v>
      </c>
      <c r="K1946" s="7" t="s">
        <v>15171</v>
      </c>
      <c r="L1946" s="13">
        <v>4722</v>
      </c>
      <c r="M1946" t="str">
        <f>VLOOKUP(L1946,[1]HBA!$B$2:$C$4000,2,FALSE)</f>
        <v>PV-VI</v>
      </c>
    </row>
    <row r="1947" spans="2:13" x14ac:dyDescent="0.25">
      <c r="B1947" s="37" t="s">
        <v>25743</v>
      </c>
      <c r="C1947" s="25"/>
      <c r="D1947" s="25" t="s">
        <v>26104</v>
      </c>
      <c r="E1947" s="25"/>
      <c r="F1947" s="9" t="str">
        <f>HYPERLINK("https://www.ebi.ac.uk/ols/ontologies/uberon/terms?iri=http://purl.obolibrary.org/obo/UBERON_0036043","paravermic lobule X")</f>
        <v>paravermic lobule X</v>
      </c>
      <c r="G1947" s="9" t="s">
        <v>3712</v>
      </c>
      <c r="H1947" s="9" t="s">
        <v>24222</v>
      </c>
      <c r="I1947" s="9" t="s">
        <v>3713</v>
      </c>
      <c r="J1947" s="9" t="s">
        <v>3714</v>
      </c>
      <c r="K1947" s="4" t="s">
        <v>15175</v>
      </c>
      <c r="L1947" s="13">
        <v>12389</v>
      </c>
      <c r="M1947" t="str">
        <f>VLOOKUP(L1947,[1]Human_BrainSpan!$B$2:$C$4000,2,FALSE)</f>
        <v>PVF</v>
      </c>
    </row>
    <row r="1948" spans="2:13" x14ac:dyDescent="0.25">
      <c r="B1948" s="37" t="s">
        <v>25743</v>
      </c>
      <c r="C1948" s="25"/>
      <c r="D1948" s="25" t="s">
        <v>26104</v>
      </c>
      <c r="E1948" s="25"/>
      <c r="F1948" s="9" t="str">
        <f>HYPERLINK("https://www.ebi.ac.uk/ols/ontologies/uberon/terms?iri=http://purl.obolibrary.org/obo/UBERON_0036043","paravermic lobule X")</f>
        <v>paravermic lobule X</v>
      </c>
      <c r="G1948" s="9" t="s">
        <v>3712</v>
      </c>
      <c r="H1948" s="9" t="s">
        <v>25425</v>
      </c>
      <c r="I1948" s="9" t="s">
        <v>3715</v>
      </c>
      <c r="J1948" s="9" t="s">
        <v>3716</v>
      </c>
      <c r="K1948" s="7" t="s">
        <v>15171</v>
      </c>
      <c r="L1948" s="13">
        <v>4730</v>
      </c>
      <c r="M1948" t="str">
        <f>VLOOKUP(L1948,[1]HBA!$B$2:$C$4000,2,FALSE)</f>
        <v>PV-X</v>
      </c>
    </row>
    <row r="1949" spans="2:13" x14ac:dyDescent="0.25">
      <c r="B1949" s="37" t="s">
        <v>25743</v>
      </c>
      <c r="C1949" s="20"/>
      <c r="D1949" s="25" t="s">
        <v>26105</v>
      </c>
      <c r="E1949" s="25"/>
      <c r="F1949" s="9" t="str">
        <f>HYPERLINK("https://www.ebi.ac.uk/ols/ontologies/uberon/terms?iri=http://purl.obolibrary.org/obo/UBERON_0027285","paravermis lobule area")</f>
        <v>paravermis lobule area</v>
      </c>
      <c r="G1949" s="9" t="s">
        <v>3717</v>
      </c>
      <c r="H1949" s="9" t="s">
        <v>24210</v>
      </c>
      <c r="I1949" s="9" t="s">
        <v>3718</v>
      </c>
      <c r="J1949" s="9" t="s">
        <v>3719</v>
      </c>
      <c r="K1949" s="4" t="s">
        <v>15175</v>
      </c>
      <c r="L1949" s="13">
        <v>12384</v>
      </c>
      <c r="M1949" t="str">
        <f>VLOOKUP(L1949,[1]Human_BrainSpan!$B$2:$C$4000,2,FALSE)</f>
        <v>CBPV</v>
      </c>
    </row>
    <row r="1950" spans="2:13" x14ac:dyDescent="0.25">
      <c r="B1950" s="37" t="s">
        <v>25743</v>
      </c>
      <c r="C1950" s="20"/>
      <c r="D1950" s="25" t="s">
        <v>26106</v>
      </c>
      <c r="E1950" s="25"/>
      <c r="F1950" s="9" t="str">
        <f>HYPERLINK("https://www.ebi.ac.uk/ols/ontologies/uberon/terms?iri=http://purl.obolibrary.org/obo/UBERON_0027310","paravermis of the anterior lobe of the cerebellum")</f>
        <v>paravermis of the anterior lobe of the cerebellum</v>
      </c>
      <c r="G1950" s="9" t="s">
        <v>3720</v>
      </c>
      <c r="H1950" s="9" t="s">
        <v>16402</v>
      </c>
      <c r="I1950" s="9" t="s">
        <v>3721</v>
      </c>
      <c r="J1950" s="9" t="s">
        <v>3722</v>
      </c>
      <c r="K1950" s="4" t="s">
        <v>15175</v>
      </c>
      <c r="L1950" s="13">
        <v>12385</v>
      </c>
      <c r="M1950" t="str">
        <f>VLOOKUP(L1950,[1]Human_BrainSpan!$B$2:$C$4000,2,FALSE)</f>
        <v>PVA</v>
      </c>
    </row>
    <row r="1951" spans="2:13" x14ac:dyDescent="0.25">
      <c r="B1951" s="37" t="s">
        <v>25743</v>
      </c>
      <c r="C1951" s="20"/>
      <c r="D1951" s="25" t="s">
        <v>26107</v>
      </c>
      <c r="E1951" s="25"/>
      <c r="F1951" s="9" t="str">
        <f>HYPERLINK("https://www.ebi.ac.uk/ols/ontologies/uberon/terms?iri=http://purl.obolibrary.org/obo/UBERON_0027309","paravermis of the posterior lobe of the cerebellum")</f>
        <v>paravermis of the posterior lobe of the cerebellum</v>
      </c>
      <c r="G1951" s="9" t="s">
        <v>3723</v>
      </c>
      <c r="H1951" s="9" t="s">
        <v>16466</v>
      </c>
      <c r="I1951" s="9" t="s">
        <v>3724</v>
      </c>
      <c r="J1951" s="9" t="s">
        <v>3725</v>
      </c>
      <c r="K1951" s="4" t="s">
        <v>15175</v>
      </c>
      <c r="L1951" s="13">
        <v>12386</v>
      </c>
      <c r="M1951" t="str">
        <f>VLOOKUP(L1951,[1]Human_BrainSpan!$B$2:$C$4000,2,FALSE)</f>
        <v>PVP</v>
      </c>
    </row>
    <row r="1952" spans="2:13" x14ac:dyDescent="0.25">
      <c r="B1952" s="31" t="s">
        <v>25743</v>
      </c>
      <c r="C1952" s="20"/>
      <c r="D1952" s="25" t="s">
        <v>3729</v>
      </c>
      <c r="E1952" s="25"/>
      <c r="F1952" s="9" t="str">
        <f>HYPERLINK("https://www.ebi.ac.uk/ols/ontologies/uberon/terms?iri=http://purl.obolibrary.org/obo/UBERON_0016530","parietal cortex")</f>
        <v>parietal cortex</v>
      </c>
      <c r="G1952" s="9" t="s">
        <v>3726</v>
      </c>
      <c r="H1952" s="9" t="s">
        <v>15811</v>
      </c>
      <c r="I1952" s="9" t="s">
        <v>3727</v>
      </c>
      <c r="J1952" s="9" t="s">
        <v>3728</v>
      </c>
      <c r="K1952" s="4" t="s">
        <v>15175</v>
      </c>
      <c r="L1952" s="13">
        <v>10208</v>
      </c>
      <c r="M1952" t="str">
        <f>VLOOKUP(L1952,[1]Human_BrainSpan!$B$2:$C$4000,2,FALSE)</f>
        <v>PCx</v>
      </c>
    </row>
    <row r="1953" spans="2:13" x14ac:dyDescent="0.25">
      <c r="B1953" s="31" t="s">
        <v>25743</v>
      </c>
      <c r="C1953" s="20"/>
      <c r="D1953" s="25" t="s">
        <v>3729</v>
      </c>
      <c r="E1953" s="25"/>
      <c r="F1953" s="9" t="str">
        <f>HYPERLINK("https://www.ebi.ac.uk/ols/ontologies/uberon/terms?iri=http://purl.obolibrary.org/obo/UBERON_0016530","parietal cortex")</f>
        <v>parietal cortex</v>
      </c>
      <c r="G1953" s="9" t="s">
        <v>3726</v>
      </c>
      <c r="H1953" s="9" t="s">
        <v>15811</v>
      </c>
      <c r="I1953" s="9" t="s">
        <v>3729</v>
      </c>
      <c r="J1953" s="9" t="s">
        <v>3730</v>
      </c>
      <c r="K1953" s="5" t="s">
        <v>15173</v>
      </c>
      <c r="L1953" s="13">
        <v>16016</v>
      </c>
      <c r="M1953" t="str">
        <f>VLOOKUP(L1953,[1]DevMouse!$B$2:$C$2693,2,FALSE)</f>
        <v>PCx</v>
      </c>
    </row>
    <row r="1954" spans="2:13" x14ac:dyDescent="0.25">
      <c r="B1954" s="31" t="s">
        <v>25743</v>
      </c>
      <c r="C1954" s="20"/>
      <c r="D1954" s="25" t="s">
        <v>3732</v>
      </c>
      <c r="E1954" s="25"/>
      <c r="F1954" s="9" t="str">
        <f>HYPERLINK("https://www.ebi.ac.uk/ols/ontologies/uberon/terms?iri=http://purl.obolibrary.org/obo/UBERON_0001872","parietal lobe")</f>
        <v>parietal lobe</v>
      </c>
      <c r="G1954" s="9" t="s">
        <v>3731</v>
      </c>
      <c r="H1954" s="9" t="s">
        <v>23814</v>
      </c>
      <c r="I1954" s="9" t="s">
        <v>3732</v>
      </c>
      <c r="J1954" s="9" t="s">
        <v>3733</v>
      </c>
      <c r="K1954" s="4" t="s">
        <v>15175</v>
      </c>
      <c r="L1954" s="13">
        <v>12131</v>
      </c>
      <c r="M1954" t="str">
        <f>VLOOKUP(L1954,[1]Human_BrainSpan!$B$2:$C$4000,2,FALSE)</f>
        <v>ParL</v>
      </c>
    </row>
    <row r="1955" spans="2:13" x14ac:dyDescent="0.25">
      <c r="B1955" s="31" t="s">
        <v>25743</v>
      </c>
      <c r="C1955" s="20"/>
      <c r="D1955" s="25" t="s">
        <v>3732</v>
      </c>
      <c r="E1955" s="25"/>
      <c r="F1955" s="9" t="str">
        <f>HYPERLINK("https://www.ebi.ac.uk/ols/ontologies/uberon/terms?iri=http://purl.obolibrary.org/obo/UBERON_0001872","parietal lobe")</f>
        <v>parietal lobe</v>
      </c>
      <c r="G1955" s="9" t="s">
        <v>3731</v>
      </c>
      <c r="H1955" s="9" t="s">
        <v>19111</v>
      </c>
      <c r="I1955" s="9" t="s">
        <v>3732</v>
      </c>
      <c r="J1955" s="9" t="s">
        <v>3734</v>
      </c>
      <c r="K1955" s="7" t="s">
        <v>15171</v>
      </c>
      <c r="L1955" s="13">
        <v>4084</v>
      </c>
      <c r="M1955" t="str">
        <f>VLOOKUP(L1955,[1]HBA!$B$2:$C$4000,2,FALSE)</f>
        <v>PL</v>
      </c>
    </row>
    <row r="1956" spans="2:13" x14ac:dyDescent="0.25">
      <c r="B1956" s="31" t="s">
        <v>25743</v>
      </c>
      <c r="C1956" s="20"/>
      <c r="D1956" s="25" t="s">
        <v>3736</v>
      </c>
      <c r="E1956" s="25"/>
      <c r="F1956" s="9" t="str">
        <f>HYPERLINK("https://www.ebi.ac.uk/ols/ontologies/uberon/terms?iri=http://purl.obolibrary.org/obo/UBERON_0002911","parietal operculum")</f>
        <v>parietal operculum</v>
      </c>
      <c r="G1956" s="9" t="s">
        <v>3735</v>
      </c>
      <c r="H1956" s="9" t="s">
        <v>23821</v>
      </c>
      <c r="I1956" s="9" t="s">
        <v>3736</v>
      </c>
      <c r="J1956" s="9" t="s">
        <v>3737</v>
      </c>
      <c r="K1956" s="4" t="s">
        <v>15175</v>
      </c>
      <c r="L1956" s="13">
        <v>13230</v>
      </c>
      <c r="M1956" t="str">
        <f>VLOOKUP(L1956,[1]Human_BrainSpan!$B$2:$C$4000,2,FALSE)</f>
        <v>PaO</v>
      </c>
    </row>
    <row r="1957" spans="2:13" x14ac:dyDescent="0.25">
      <c r="B1957" s="31" t="s">
        <v>25743</v>
      </c>
      <c r="C1957" s="20"/>
      <c r="D1957" s="25" t="s">
        <v>3741</v>
      </c>
      <c r="E1957" s="25"/>
      <c r="F1957" s="9" t="str">
        <f>HYPERLINK("https://www.ebi.ac.uk/ols/ontologies/uberon/terms?iri=http://purl.obolibrary.org/obo/UBERON_0002695","parieto-occipital sulcus")</f>
        <v>parieto-occipital sulcus</v>
      </c>
      <c r="G1957" s="9" t="s">
        <v>3738</v>
      </c>
      <c r="H1957" s="9" t="s">
        <v>23723</v>
      </c>
      <c r="I1957" s="9" t="s">
        <v>3739</v>
      </c>
      <c r="J1957" s="9" t="s">
        <v>3740</v>
      </c>
      <c r="K1957" s="4" t="s">
        <v>15175</v>
      </c>
      <c r="L1957" s="13">
        <v>10626</v>
      </c>
      <c r="M1957" t="str">
        <f>VLOOKUP(L1957,[1]Human_BrainSpan!$B$2:$C$4000,2,FALSE)</f>
        <v>pos</v>
      </c>
    </row>
    <row r="1958" spans="2:13" x14ac:dyDescent="0.25">
      <c r="B1958" s="31" t="s">
        <v>25743</v>
      </c>
      <c r="C1958" s="20"/>
      <c r="D1958" s="25" t="s">
        <v>3741</v>
      </c>
      <c r="E1958" s="25"/>
      <c r="F1958" s="9" t="str">
        <f>HYPERLINK("https://www.ebi.ac.uk/ols/ontologies/uberon/terms?iri=http://purl.obolibrary.org/obo/UBERON_0002695","parieto-occipital sulcus")</f>
        <v>parieto-occipital sulcus</v>
      </c>
      <c r="G1958" s="9" t="s">
        <v>3738</v>
      </c>
      <c r="H1958" s="9" t="s">
        <v>23723</v>
      </c>
      <c r="I1958" s="9" t="s">
        <v>3741</v>
      </c>
      <c r="J1958" s="9" t="s">
        <v>3742</v>
      </c>
      <c r="K1958" s="7" t="s">
        <v>15171</v>
      </c>
      <c r="L1958" s="13">
        <v>9392</v>
      </c>
      <c r="M1958" t="str">
        <f>VLOOKUP(L1958,[1]HBA!$B$2:$C$4000,2,FALSE)</f>
        <v>pos</v>
      </c>
    </row>
    <row r="1959" spans="2:13" x14ac:dyDescent="0.25">
      <c r="B1959" s="31" t="s">
        <v>26302</v>
      </c>
      <c r="C1959" s="20"/>
      <c r="D1959" s="25" t="s">
        <v>26108</v>
      </c>
      <c r="E1959" s="20" t="s">
        <v>26300</v>
      </c>
      <c r="F1959" s="9" t="str">
        <f>HYPERLINK("https://www.ebi.ac.uk/ols/ontologies/uberon/terms?iri=http://purl.obolibrary.org/obo/UBERON_0002617","pars postrema of ventral lateral nucleus")</f>
        <v>pars postrema of ventral lateral nucleus</v>
      </c>
      <c r="G1959" s="9" t="s">
        <v>3743</v>
      </c>
      <c r="H1959" s="9" t="s">
        <v>15283</v>
      </c>
      <c r="I1959" s="9" t="s">
        <v>3744</v>
      </c>
      <c r="J1959" s="9" t="s">
        <v>3745</v>
      </c>
      <c r="K1959" s="5" t="s">
        <v>15173</v>
      </c>
      <c r="L1959" s="13">
        <v>15612</v>
      </c>
      <c r="M1959" t="str">
        <f>VLOOKUP(L1959,[1]DevMouse!$B$2:$C$2693,2,FALSE)</f>
        <v>VLPO</v>
      </c>
    </row>
    <row r="1960" spans="2:13" x14ac:dyDescent="0.25">
      <c r="B1960" s="31" t="s">
        <v>25743</v>
      </c>
      <c r="C1960" s="20"/>
      <c r="D1960" s="25" t="s">
        <v>26108</v>
      </c>
      <c r="E1960" s="25"/>
      <c r="F1960" s="9" t="str">
        <f>HYPERLINK("https://www.ebi.ac.uk/ols/ontologies/uberon/terms?iri=http://purl.obolibrary.org/obo/UBERON_0002617","pars postrema of ventral lateral nucleus")</f>
        <v>pars postrema of ventral lateral nucleus</v>
      </c>
      <c r="G1960" s="9" t="s">
        <v>3743</v>
      </c>
      <c r="H1960" s="9" t="s">
        <v>25130</v>
      </c>
      <c r="I1960" s="9" t="s">
        <v>3746</v>
      </c>
      <c r="J1960" s="9" t="s">
        <v>3747</v>
      </c>
      <c r="K1960" s="7" t="s">
        <v>15171</v>
      </c>
      <c r="L1960" s="13">
        <v>4423</v>
      </c>
      <c r="M1960" t="str">
        <f>VLOOKUP(L1960,[1]HBA!$B$2:$C$4000,2,FALSE)</f>
        <v>VLp</v>
      </c>
    </row>
    <row r="1961" spans="2:13" x14ac:dyDescent="0.25">
      <c r="B1961" s="31" t="s">
        <v>26302</v>
      </c>
      <c r="C1961" s="20"/>
      <c r="D1961" s="25" t="s">
        <v>26108</v>
      </c>
      <c r="E1961" s="20" t="s">
        <v>26300</v>
      </c>
      <c r="F1961" s="9" t="str">
        <f>HYPERLINK("https://www.ebi.ac.uk/ols/ontologies/uberon/terms?iri=http://purl.obolibrary.org/obo/UBERON_0002617","pars postrema of ventral lateral nucleus")</f>
        <v>pars postrema of ventral lateral nucleus</v>
      </c>
      <c r="G1961" s="9" t="s">
        <v>3743</v>
      </c>
      <c r="H1961" s="9" t="s">
        <v>15283</v>
      </c>
      <c r="I1961" s="9" t="s">
        <v>3744</v>
      </c>
      <c r="J1961" s="9" t="s">
        <v>3748</v>
      </c>
      <c r="K1961" s="3" t="s">
        <v>15176</v>
      </c>
      <c r="L1961" s="13">
        <v>689</v>
      </c>
      <c r="M1961" t="str">
        <f>VLOOKUP(L1961,[1]Mouse_ARA!$B$2:$C$1328,2,FALSE)</f>
        <v>VLPO</v>
      </c>
    </row>
    <row r="1962" spans="2:13" x14ac:dyDescent="0.25">
      <c r="B1962" s="31" t="s">
        <v>25743</v>
      </c>
      <c r="C1962" s="25"/>
      <c r="D1962" s="25" t="s">
        <v>26109</v>
      </c>
      <c r="E1962" s="25"/>
      <c r="F1962" s="9" t="str">
        <f>HYPERLINK("https://www.ebi.ac.uk/ols/ontologies/uberon/terms?iri=http://purl.obolibrary.org/obo/UBERON_0002654","parvicellular part of medial dorsal nucleus")</f>
        <v>parvicellular part of medial dorsal nucleus</v>
      </c>
      <c r="G1962" s="9" t="s">
        <v>3749</v>
      </c>
      <c r="H1962" s="9" t="s">
        <v>25127</v>
      </c>
      <c r="I1962" s="9" t="s">
        <v>3750</v>
      </c>
      <c r="J1962" s="9" t="s">
        <v>3751</v>
      </c>
      <c r="K1962" s="7" t="s">
        <v>15171</v>
      </c>
      <c r="L1962" s="13">
        <v>4419</v>
      </c>
      <c r="M1962" t="str">
        <f>VLOOKUP(L1962,[1]HBA!$B$2:$C$4000,2,FALSE)</f>
        <v>VAp</v>
      </c>
    </row>
    <row r="1963" spans="2:13" x14ac:dyDescent="0.25">
      <c r="B1963" s="31" t="s">
        <v>25743</v>
      </c>
      <c r="C1963" s="20"/>
      <c r="D1963" s="25" t="s">
        <v>26110</v>
      </c>
      <c r="E1963" s="25"/>
      <c r="F1963" s="9" t="str">
        <f>HYPERLINK("https://www.ebi.ac.uk/ols/ontologies/uberon/terms?iri=http://purl.obolibrary.org/obo/UBERON_0003018","parvicellular part of ventral posteromedial nucleus")</f>
        <v>parvicellular part of ventral posteromedial nucleus</v>
      </c>
      <c r="G1963" s="9" t="s">
        <v>3752</v>
      </c>
      <c r="H1963" s="9" t="s">
        <v>19890</v>
      </c>
      <c r="I1963" s="9" t="s">
        <v>3753</v>
      </c>
      <c r="J1963" s="9" t="s">
        <v>3754</v>
      </c>
      <c r="K1963" s="4" t="s">
        <v>15175</v>
      </c>
      <c r="L1963" s="13">
        <v>146034766</v>
      </c>
      <c r="M1963" t="str">
        <f>VLOOKUP(L1963,[1]Human_BrainSpan!$B$2:$C$4000,2,FALSE)</f>
        <v>VPMpc</v>
      </c>
    </row>
    <row r="1964" spans="2:13" x14ac:dyDescent="0.25">
      <c r="B1964" s="31" t="s">
        <v>25743</v>
      </c>
      <c r="C1964" s="25"/>
      <c r="D1964" s="25" t="s">
        <v>26110</v>
      </c>
      <c r="E1964" s="25"/>
      <c r="F1964" s="9" t="str">
        <f>HYPERLINK("https://www.ebi.ac.uk/ols/ontologies/uberon/terms?iri=http://purl.obolibrary.org/obo/UBERON_0003018","parvicellular part of ventral posteromedial nucleus")</f>
        <v>parvicellular part of ventral posteromedial nucleus</v>
      </c>
      <c r="G1964" s="9" t="s">
        <v>3752</v>
      </c>
      <c r="H1964" s="9" t="s">
        <v>19890</v>
      </c>
      <c r="I1964" s="9" t="s">
        <v>3755</v>
      </c>
      <c r="J1964" s="9" t="s">
        <v>3756</v>
      </c>
      <c r="K1964" s="3" t="s">
        <v>15176</v>
      </c>
      <c r="L1964" s="13">
        <v>741</v>
      </c>
      <c r="M1964" t="str">
        <f>VLOOKUP(L1964,[1]Mouse_ARA!$B$2:$C$1328,2,FALSE)</f>
        <v>VPMpc</v>
      </c>
    </row>
    <row r="1965" spans="2:13" x14ac:dyDescent="0.25">
      <c r="B1965" s="31" t="s">
        <v>25743</v>
      </c>
      <c r="C1965" s="20"/>
      <c r="D1965" s="25" t="s">
        <v>26111</v>
      </c>
      <c r="E1965" s="25"/>
      <c r="F1965" s="9" t="str">
        <f>HYPERLINK("https://www.ebi.ac.uk/ols/ontologies/uberon/terms?iri=http://purl.obolibrary.org/obo/UBERON_0013607","parvocellular layer of dorsal nucleus of lateral geniculate body")</f>
        <v>parvocellular layer of dorsal nucleus of lateral geniculate body</v>
      </c>
      <c r="G1965" s="9" t="s">
        <v>3757</v>
      </c>
      <c r="H1965" s="9" t="s">
        <v>23351</v>
      </c>
      <c r="I1965" s="9" t="s">
        <v>3758</v>
      </c>
      <c r="J1965" s="9" t="s">
        <v>3759</v>
      </c>
      <c r="K1965" s="6" t="s">
        <v>15174</v>
      </c>
      <c r="L1965" s="13">
        <v>128013091</v>
      </c>
      <c r="M1965" t="str">
        <f>VLOOKUP(L1965,[1]NonHumanPrimate!$B$2:$C$4000,2,FALSE)</f>
        <v>DLGpc</v>
      </c>
    </row>
    <row r="1966" spans="2:13" x14ac:dyDescent="0.25">
      <c r="B1966" s="31" t="s">
        <v>25743</v>
      </c>
      <c r="C1966" s="20"/>
      <c r="D1966" s="25" t="s">
        <v>26112</v>
      </c>
      <c r="E1966" s="25"/>
      <c r="F1966" s="9" t="str">
        <f>HYPERLINK("https://www.ebi.ac.uk/ols/ontologies/uberon/terms?iri=http://purl.obolibrary.org/obo/UBERON_0002141","parvocellular oculomotor nucleus")</f>
        <v>parvocellular oculomotor nucleus</v>
      </c>
      <c r="G1966" s="9" t="s">
        <v>3760</v>
      </c>
      <c r="H1966" s="9" t="s">
        <v>23952</v>
      </c>
      <c r="I1966" s="9" t="s">
        <v>3761</v>
      </c>
      <c r="J1966" s="9" t="s">
        <v>3762</v>
      </c>
      <c r="K1966" s="4" t="s">
        <v>15175</v>
      </c>
      <c r="L1966" s="13">
        <v>12219</v>
      </c>
      <c r="M1966" t="str">
        <f>VLOOKUP(L1966,[1]Human_BrainSpan!$B$2:$C$4000,2,FALSE)</f>
        <v>PC3</v>
      </c>
    </row>
    <row r="1967" spans="2:13" x14ac:dyDescent="0.25">
      <c r="B1967" s="31" t="s">
        <v>25743</v>
      </c>
      <c r="C1967" s="20"/>
      <c r="D1967" s="25" t="s">
        <v>26112</v>
      </c>
      <c r="E1967" s="25"/>
      <c r="F1967" s="9" t="str">
        <f>HYPERLINK("https://www.ebi.ac.uk/ols/ontologies/uberon/terms?iri=http://purl.obolibrary.org/obo/UBERON_0002141","parvocellular oculomotor nucleus")</f>
        <v>parvocellular oculomotor nucleus</v>
      </c>
      <c r="G1967" s="9" t="s">
        <v>3760</v>
      </c>
      <c r="H1967" s="9" t="s">
        <v>20253</v>
      </c>
      <c r="I1967" s="9" t="s">
        <v>3763</v>
      </c>
      <c r="J1967" s="9" t="s">
        <v>3764</v>
      </c>
      <c r="K1967" s="7" t="s">
        <v>15171</v>
      </c>
      <c r="L1967" s="13">
        <v>9449</v>
      </c>
      <c r="M1967" t="str">
        <f>VLOOKUP(L1967,[1]HBA!$B$2:$C$4000,2,FALSE)</f>
        <v>EW</v>
      </c>
    </row>
    <row r="1968" spans="2:13" x14ac:dyDescent="0.25">
      <c r="B1968" s="31" t="s">
        <v>25743</v>
      </c>
      <c r="C1968" s="20"/>
      <c r="D1968" s="25" t="s">
        <v>26112</v>
      </c>
      <c r="E1968" s="25"/>
      <c r="F1968" s="9" t="str">
        <f>HYPERLINK("https://www.ebi.ac.uk/ols/ontologies/uberon/terms?iri=http://purl.obolibrary.org/obo/UBERON_0002141","parvocellular oculomotor nucleus")</f>
        <v>parvocellular oculomotor nucleus</v>
      </c>
      <c r="G1968" s="9" t="s">
        <v>3760</v>
      </c>
      <c r="H1968" s="9" t="s">
        <v>20253</v>
      </c>
      <c r="I1968" s="9" t="s">
        <v>3765</v>
      </c>
      <c r="J1968" s="9" t="s">
        <v>3766</v>
      </c>
      <c r="K1968" s="3" t="s">
        <v>15176</v>
      </c>
      <c r="L1968" s="13">
        <v>975</v>
      </c>
      <c r="M1968" t="str">
        <f>VLOOKUP(L1968,[1]Mouse_ARA!$B$2:$C$1328,2,FALSE)</f>
        <v>EW</v>
      </c>
    </row>
    <row r="1969" spans="2:13" x14ac:dyDescent="0.25">
      <c r="B1969" s="31" t="s">
        <v>25743</v>
      </c>
      <c r="C1969" s="20"/>
      <c r="D1969" s="25" t="s">
        <v>26113</v>
      </c>
      <c r="E1969" s="25"/>
      <c r="F1969" s="9" t="str">
        <f>HYPERLINK("https://www.ebi.ac.uk/ols/ontologies/uberon/terms?iri=http://purl.obolibrary.org/obo/UBERON_0002938","parvocellular part of red nucleus")</f>
        <v>parvocellular part of red nucleus</v>
      </c>
      <c r="G1969" s="9" t="s">
        <v>3767</v>
      </c>
      <c r="H1969" s="9" t="s">
        <v>23999</v>
      </c>
      <c r="I1969" s="9" t="s">
        <v>2112</v>
      </c>
      <c r="J1969" s="9" t="s">
        <v>3768</v>
      </c>
      <c r="K1969" s="4" t="s">
        <v>15175</v>
      </c>
      <c r="L1969" s="13">
        <v>12250</v>
      </c>
      <c r="M1969" t="str">
        <f>VLOOKUP(L1969,[1]Human_BrainSpan!$B$2:$C$4000,2,FALSE)</f>
        <v>RNpc</v>
      </c>
    </row>
    <row r="1970" spans="2:13" x14ac:dyDescent="0.25">
      <c r="B1970" s="31" t="s">
        <v>25743</v>
      </c>
      <c r="C1970" s="20"/>
      <c r="D1970" s="25" t="s">
        <v>26113</v>
      </c>
      <c r="E1970" s="25"/>
      <c r="F1970" s="9" t="str">
        <f>HYPERLINK("https://www.ebi.ac.uk/ols/ontologies/uberon/terms?iri=http://purl.obolibrary.org/obo/UBERON_0002938","parvocellular part of red nucleus")</f>
        <v>parvocellular part of red nucleus</v>
      </c>
      <c r="G1970" s="9" t="s">
        <v>3767</v>
      </c>
      <c r="H1970" s="9" t="s">
        <v>16858</v>
      </c>
      <c r="I1970" s="9" t="s">
        <v>2112</v>
      </c>
      <c r="J1970" s="9" t="s">
        <v>2113</v>
      </c>
      <c r="K1970" s="5" t="s">
        <v>15173</v>
      </c>
      <c r="L1970" s="13">
        <v>16633</v>
      </c>
      <c r="M1970" t="str">
        <f>VLOOKUP(L1970,[1]DevMouse!$B$2:$C$2693,2,FALSE)</f>
        <v>RPC</v>
      </c>
    </row>
    <row r="1971" spans="2:13" x14ac:dyDescent="0.25">
      <c r="B1971" s="31" t="s">
        <v>25743</v>
      </c>
      <c r="C1971" s="20"/>
      <c r="D1971" s="25" t="s">
        <v>26113</v>
      </c>
      <c r="E1971" s="25"/>
      <c r="F1971" s="9" t="str">
        <f>HYPERLINK("https://www.ebi.ac.uk/ols/ontologies/uberon/terms?iri=http://purl.obolibrary.org/obo/UBERON_0002938","parvocellular part of red nucleus")</f>
        <v>parvocellular part of red nucleus</v>
      </c>
      <c r="G1971" s="9" t="s">
        <v>3767</v>
      </c>
      <c r="H1971" s="9" t="s">
        <v>16858</v>
      </c>
      <c r="I1971" s="9" t="s">
        <v>3769</v>
      </c>
      <c r="J1971" s="9" t="s">
        <v>3770</v>
      </c>
      <c r="K1971" s="7" t="s">
        <v>15171</v>
      </c>
      <c r="L1971" s="13">
        <v>9056</v>
      </c>
      <c r="M1971" t="str">
        <f>VLOOKUP(L1971,[1]HBA!$B$2:$C$4000,2,FALSE)</f>
        <v>RPC</v>
      </c>
    </row>
    <row r="1972" spans="2:13" x14ac:dyDescent="0.25">
      <c r="B1972" s="31" t="s">
        <v>25743</v>
      </c>
      <c r="C1972" s="20"/>
      <c r="D1972" s="25" t="s">
        <v>26114</v>
      </c>
      <c r="E1972" s="25"/>
      <c r="F1972" s="9" t="str">
        <f>HYPERLINK("https://www.ebi.ac.uk/ols/ontologies/uberon/terms?iri=http://purl.obolibrary.org/obo/UBERON_0016633","parvocellular reticular nucleus")</f>
        <v>parvocellular reticular nucleus</v>
      </c>
      <c r="G1972" s="9" t="s">
        <v>3771</v>
      </c>
      <c r="H1972" s="9" t="s">
        <v>24467</v>
      </c>
      <c r="I1972" s="9" t="s">
        <v>3772</v>
      </c>
      <c r="J1972" s="9" t="s">
        <v>3773</v>
      </c>
      <c r="K1972" s="4" t="s">
        <v>15175</v>
      </c>
      <c r="L1972" s="13">
        <v>12618</v>
      </c>
      <c r="M1972" t="str">
        <f>VLOOKUP(L1972,[1]Human_BrainSpan!$B$2:$C$4000,2,FALSE)</f>
        <v>PCRt</v>
      </c>
    </row>
    <row r="1973" spans="2:13" x14ac:dyDescent="0.25">
      <c r="B1973" s="31" t="s">
        <v>25743</v>
      </c>
      <c r="C1973" s="20"/>
      <c r="D1973" s="25" t="s">
        <v>26114</v>
      </c>
      <c r="E1973" s="25"/>
      <c r="F1973" s="9" t="str">
        <f>HYPERLINK("https://www.ebi.ac.uk/ols/ontologies/uberon/terms?iri=http://purl.obolibrary.org/obo/UBERON_0016633","parvocellular reticular nucleus")</f>
        <v>parvocellular reticular nucleus</v>
      </c>
      <c r="G1973" s="9" t="s">
        <v>3771</v>
      </c>
      <c r="H1973" s="9" t="s">
        <v>24467</v>
      </c>
      <c r="I1973" s="9" t="s">
        <v>3772</v>
      </c>
      <c r="J1973" s="9" t="s">
        <v>3774</v>
      </c>
      <c r="K1973" s="7" t="s">
        <v>15171</v>
      </c>
      <c r="L1973" s="13">
        <v>9624</v>
      </c>
      <c r="M1973" t="str">
        <f>VLOOKUP(L1973,[1]HBA!$B$2:$C$4000,2,FALSE)</f>
        <v>PCRt</v>
      </c>
    </row>
    <row r="1974" spans="2:13" x14ac:dyDescent="0.25">
      <c r="B1974" s="31" t="s">
        <v>25743</v>
      </c>
      <c r="C1974" s="20"/>
      <c r="D1974" s="25" t="s">
        <v>26114</v>
      </c>
      <c r="E1974" s="25"/>
      <c r="F1974" s="9" t="str">
        <f>HYPERLINK("https://www.ebi.ac.uk/ols/ontologies/uberon/terms?iri=http://purl.obolibrary.org/obo/UBERON_0016633","parvocellular reticular nucleus")</f>
        <v>parvocellular reticular nucleus</v>
      </c>
      <c r="G1974" s="9" t="s">
        <v>3771</v>
      </c>
      <c r="H1974" s="9" t="s">
        <v>20496</v>
      </c>
      <c r="I1974" s="9" t="s">
        <v>3772</v>
      </c>
      <c r="J1974" s="9" t="s">
        <v>3775</v>
      </c>
      <c r="K1974" s="3" t="s">
        <v>15176</v>
      </c>
      <c r="L1974" s="13">
        <v>852</v>
      </c>
      <c r="M1974" t="str">
        <f>VLOOKUP(L1974,[1]Mouse_ARA!$B$2:$C$1328,2,FALSE)</f>
        <v>PARN</v>
      </c>
    </row>
    <row r="1975" spans="2:13" x14ac:dyDescent="0.25">
      <c r="B1975" s="31" t="s">
        <v>25743</v>
      </c>
      <c r="C1975" s="20"/>
      <c r="D1975" s="25" t="s">
        <v>26115</v>
      </c>
      <c r="E1975" s="25"/>
      <c r="F1975" s="9" t="str">
        <f>HYPERLINK("https://www.ebi.ac.uk/ols/ontologies/uberon/terms?iri=http://purl.obolibrary.org/obo/UBERON_0022236","peduncle of thalamus")</f>
        <v>peduncle of thalamus</v>
      </c>
      <c r="G1975" s="9" t="s">
        <v>3776</v>
      </c>
      <c r="H1975" s="9" t="s">
        <v>20845</v>
      </c>
      <c r="I1975" s="9" t="s">
        <v>3777</v>
      </c>
      <c r="J1975" s="9" t="s">
        <v>3778</v>
      </c>
      <c r="K1975" s="3" t="s">
        <v>15176</v>
      </c>
      <c r="L1975" s="13">
        <v>365</v>
      </c>
      <c r="M1975" t="str">
        <f>VLOOKUP(L1975,[1]Mouse_ARA!$B$2:$C$1328,2,FALSE)</f>
        <v>tp</v>
      </c>
    </row>
    <row r="1976" spans="2:13" x14ac:dyDescent="0.25">
      <c r="B1976" s="31" t="s">
        <v>25743</v>
      </c>
      <c r="C1976" s="20"/>
      <c r="D1976" s="25" t="s">
        <v>2266</v>
      </c>
      <c r="E1976" s="25"/>
      <c r="F1976" s="9" t="str">
        <f>HYPERLINK("https://www.ebi.ac.uk/ols/ontologies/uberon/terms?iri=http://purl.obolibrary.org/obo/UBERON_0002142","pedunculopontine tegmental nucleus")</f>
        <v>pedunculopontine tegmental nucleus</v>
      </c>
      <c r="G1976" s="9" t="s">
        <v>3779</v>
      </c>
      <c r="H1976" s="9" t="s">
        <v>24262</v>
      </c>
      <c r="I1976" s="9" t="s">
        <v>2259</v>
      </c>
      <c r="J1976" s="9" t="s">
        <v>2260</v>
      </c>
      <c r="K1976" s="4" t="s">
        <v>15175</v>
      </c>
      <c r="L1976" s="13">
        <v>12413</v>
      </c>
      <c r="M1976" t="str">
        <f>VLOOKUP(L1976,[1]Human_BrainSpan!$B$2:$C$4000,2,FALSE)</f>
        <v>PNped</v>
      </c>
    </row>
    <row r="1977" spans="2:13" x14ac:dyDescent="0.25">
      <c r="B1977" s="31" t="s">
        <v>25743</v>
      </c>
      <c r="C1977" s="20"/>
      <c r="D1977" s="25" t="s">
        <v>2266</v>
      </c>
      <c r="E1977" s="25"/>
      <c r="F1977" s="9" t="str">
        <f>HYPERLINK("https://www.ebi.ac.uk/ols/ontologies/uberon/terms?iri=http://purl.obolibrary.org/obo/UBERON_0002142","pedunculopontine tegmental nucleus")</f>
        <v>pedunculopontine tegmental nucleus</v>
      </c>
      <c r="G1977" s="9" t="s">
        <v>3779</v>
      </c>
      <c r="H1977" s="9" t="s">
        <v>17416</v>
      </c>
      <c r="I1977" s="9" t="s">
        <v>2266</v>
      </c>
      <c r="J1977" s="9" t="s">
        <v>2267</v>
      </c>
      <c r="K1977" s="5" t="s">
        <v>15173</v>
      </c>
      <c r="L1977" s="13">
        <v>16965</v>
      </c>
      <c r="M1977" t="str">
        <f>VLOOKUP(L1977,[1]DevMouse!$B$2:$C$2693,2,FALSE)</f>
        <v>PPTg</v>
      </c>
    </row>
    <row r="1978" spans="2:13" x14ac:dyDescent="0.25">
      <c r="B1978" s="31" t="s">
        <v>25743</v>
      </c>
      <c r="C1978" s="20"/>
      <c r="D1978" s="25" t="s">
        <v>2266</v>
      </c>
      <c r="E1978" s="25"/>
      <c r="F1978" s="9" t="str">
        <f>HYPERLINK("https://www.ebi.ac.uk/ols/ontologies/uberon/terms?iri=http://purl.obolibrary.org/obo/UBERON_0002142","pedunculopontine tegmental nucleus")</f>
        <v>pedunculopontine tegmental nucleus</v>
      </c>
      <c r="G1978" s="9" t="s">
        <v>3779</v>
      </c>
      <c r="H1978" s="9" t="s">
        <v>17416</v>
      </c>
      <c r="I1978" s="9" t="s">
        <v>2269</v>
      </c>
      <c r="J1978" s="9" t="s">
        <v>2270</v>
      </c>
      <c r="K1978" s="7" t="s">
        <v>15171</v>
      </c>
      <c r="L1978" s="13">
        <v>9021</v>
      </c>
      <c r="M1978" t="str">
        <f>VLOOKUP(L1978,[1]HBA!$B$2:$C$4000,2,FALSE)</f>
        <v>PPTg</v>
      </c>
    </row>
    <row r="1979" spans="2:13" x14ac:dyDescent="0.25">
      <c r="B1979" s="31" t="s">
        <v>25743</v>
      </c>
      <c r="C1979" s="20"/>
      <c r="D1979" s="25" t="s">
        <v>2266</v>
      </c>
      <c r="E1979" s="25"/>
      <c r="F1979" s="9" t="str">
        <f>HYPERLINK("https://www.ebi.ac.uk/ols/ontologies/uberon/terms?iri=http://purl.obolibrary.org/obo/UBERON_0002142","pedunculopontine tegmental nucleus")</f>
        <v>pedunculopontine tegmental nucleus</v>
      </c>
      <c r="G1979" s="9" t="s">
        <v>3779</v>
      </c>
      <c r="H1979" s="9" t="s">
        <v>20271</v>
      </c>
      <c r="I1979" s="9" t="s">
        <v>2274</v>
      </c>
      <c r="J1979" s="9" t="s">
        <v>2275</v>
      </c>
      <c r="K1979" s="3" t="s">
        <v>15176</v>
      </c>
      <c r="L1979" s="13">
        <v>1052</v>
      </c>
      <c r="M1979" t="str">
        <f>VLOOKUP(L1979,[1]Mouse_ARA!$B$2:$C$1328,2,FALSE)</f>
        <v>PPN</v>
      </c>
    </row>
    <row r="1980" spans="2:13" x14ac:dyDescent="0.25">
      <c r="B1980" s="31" t="s">
        <v>25743</v>
      </c>
      <c r="C1980" s="20"/>
      <c r="D1980" s="25" t="s">
        <v>3781</v>
      </c>
      <c r="E1980" s="25"/>
      <c r="F1980" s="9" t="str">
        <f>HYPERLINK("https://www.ebi.ac.uk/ols/ontologies/uberon/terms?iri=http://purl.obolibrary.org/obo/UBERON_0034931","perforant path")</f>
        <v>perforant path</v>
      </c>
      <c r="G1980" s="9" t="s">
        <v>3780</v>
      </c>
      <c r="H1980" s="9" t="s">
        <v>23633</v>
      </c>
      <c r="I1980" s="9" t="s">
        <v>3781</v>
      </c>
      <c r="J1980" s="9" t="s">
        <v>3782</v>
      </c>
      <c r="K1980" s="4" t="s">
        <v>15175</v>
      </c>
      <c r="L1980" s="13">
        <v>12080</v>
      </c>
      <c r="M1980" t="str">
        <f>VLOOKUP(L1980,[1]Human_BrainSpan!$B$2:$C$4000,2,FALSE)</f>
        <v>perf</v>
      </c>
    </row>
    <row r="1981" spans="2:13" x14ac:dyDescent="0.25">
      <c r="B1981" s="31" t="s">
        <v>25743</v>
      </c>
      <c r="C1981" s="20"/>
      <c r="D1981" s="25" t="s">
        <v>3781</v>
      </c>
      <c r="E1981" s="25"/>
      <c r="F1981" s="9" t="str">
        <f>HYPERLINK("https://www.ebi.ac.uk/ols/ontologies/uberon/terms?iri=http://purl.obolibrary.org/obo/UBERON_0034931","perforant path")</f>
        <v>perforant path</v>
      </c>
      <c r="G1981" s="9" t="s">
        <v>3780</v>
      </c>
      <c r="H1981" s="9" t="s">
        <v>23633</v>
      </c>
      <c r="I1981" s="9" t="s">
        <v>3781</v>
      </c>
      <c r="J1981" s="9" t="s">
        <v>3783</v>
      </c>
      <c r="K1981" s="7" t="s">
        <v>15171</v>
      </c>
      <c r="L1981" s="13">
        <v>265505250</v>
      </c>
      <c r="M1981" t="str">
        <f>VLOOKUP(L1981,[1]HBA!$B$2:$C$4000,2,FALSE)</f>
        <v>perf</v>
      </c>
    </row>
    <row r="1982" spans="2:13" x14ac:dyDescent="0.25">
      <c r="B1982" s="31" t="s">
        <v>25743</v>
      </c>
      <c r="C1982" s="20"/>
      <c r="D1982" s="25" t="s">
        <v>3781</v>
      </c>
      <c r="E1982" s="25"/>
      <c r="F1982" s="9" t="str">
        <f>HYPERLINK("https://www.ebi.ac.uk/ols/ontologies/uberon/terms?iri=http://purl.obolibrary.org/obo/UBERON_0034931","perforant path")</f>
        <v>perforant path</v>
      </c>
      <c r="G1982" s="9" t="s">
        <v>3780</v>
      </c>
      <c r="H1982" s="9" t="s">
        <v>20900</v>
      </c>
      <c r="I1982" s="9" t="s">
        <v>3781</v>
      </c>
      <c r="J1982" s="9" t="s">
        <v>3784</v>
      </c>
      <c r="K1982" s="3" t="s">
        <v>15176</v>
      </c>
      <c r="L1982" s="13">
        <v>713</v>
      </c>
      <c r="M1982" t="str">
        <f>VLOOKUP(L1982,[1]Mouse_ARA!$B$2:$C$1328,2,FALSE)</f>
        <v>per</v>
      </c>
    </row>
    <row r="1983" spans="2:13" x14ac:dyDescent="0.25">
      <c r="B1983" s="31" t="s">
        <v>25743</v>
      </c>
      <c r="C1983" s="20"/>
      <c r="D1983" s="25" t="s">
        <v>3786</v>
      </c>
      <c r="E1983" s="20" t="s">
        <v>26300</v>
      </c>
      <c r="F1983" s="9" t="str">
        <f>HYPERLINK("https://www.ebi.ac.uk/ols/ontologies/uberon/terms?iri=http://purl.obolibrary.org/obo/UBERON_0014736","periallocortex")</f>
        <v>periallocortex</v>
      </c>
      <c r="G1983" s="9" t="s">
        <v>3785</v>
      </c>
      <c r="H1983" s="9" t="s">
        <v>22837</v>
      </c>
      <c r="I1983" s="9" t="s">
        <v>3786</v>
      </c>
      <c r="J1983" s="9" t="s">
        <v>3787</v>
      </c>
      <c r="K1983" s="4" t="s">
        <v>15175</v>
      </c>
      <c r="L1983" s="13">
        <v>10313</v>
      </c>
      <c r="M1983" t="str">
        <f>VLOOKUP(L1983,[1]Human_BrainSpan!$B$2:$C$4000,2,FALSE)</f>
        <v>PACx</v>
      </c>
    </row>
    <row r="1984" spans="2:13" x14ac:dyDescent="0.25">
      <c r="B1984" s="31" t="s">
        <v>26299</v>
      </c>
      <c r="C1984" s="25" t="s">
        <v>25883</v>
      </c>
      <c r="D1984" s="25" t="s">
        <v>26116</v>
      </c>
      <c r="E1984" s="20"/>
      <c r="F1984" s="9" t="str">
        <f>HYPERLINK("https://www.ebi.ac.uk/ols/ontologies/uberon/terms?iri=http://purl.obolibrary.org/obo/UBERON_0002656","periamygdaloid area")</f>
        <v>periamygdaloid area</v>
      </c>
      <c r="G1984" s="9" t="s">
        <v>3788</v>
      </c>
      <c r="H1984" s="9" t="s">
        <v>23162</v>
      </c>
      <c r="I1984" s="9" t="s">
        <v>3789</v>
      </c>
      <c r="J1984" s="9" t="s">
        <v>3790</v>
      </c>
      <c r="K1984" s="4" t="s">
        <v>15175</v>
      </c>
      <c r="L1984" s="13">
        <v>10373</v>
      </c>
      <c r="M1984" t="str">
        <f>VLOOKUP(L1984,[1]Human_BrainSpan!$B$2:$C$4000,2,FALSE)</f>
        <v>Co</v>
      </c>
    </row>
    <row r="1985" spans="2:13" x14ac:dyDescent="0.25">
      <c r="B1985" s="31" t="s">
        <v>26302</v>
      </c>
      <c r="C1985" s="20"/>
      <c r="D1985" s="25" t="s">
        <v>26116</v>
      </c>
      <c r="E1985" s="20" t="s">
        <v>26300</v>
      </c>
      <c r="F1985" s="9" t="str">
        <f>HYPERLINK("https://www.ebi.ac.uk/ols/ontologies/uberon/terms?iri=http://purl.obolibrary.org/obo/UBERON_0002656","periamygdaloid area")</f>
        <v>periamygdaloid area</v>
      </c>
      <c r="G1985" s="9" t="s">
        <v>3788</v>
      </c>
      <c r="H1985" s="9" t="s">
        <v>23860</v>
      </c>
      <c r="I1985" s="9" t="s">
        <v>3791</v>
      </c>
      <c r="J1985" s="9" t="s">
        <v>3792</v>
      </c>
      <c r="K1985" s="4" t="s">
        <v>15175</v>
      </c>
      <c r="L1985" s="13">
        <v>12169</v>
      </c>
      <c r="M1985" t="str">
        <f>VLOOKUP(L1985,[1]Human_BrainSpan!$B$2:$C$4000,2,FALSE)</f>
        <v>SLG</v>
      </c>
    </row>
    <row r="1986" spans="2:13" x14ac:dyDescent="0.25">
      <c r="B1986" s="31" t="s">
        <v>26302</v>
      </c>
      <c r="C1986" s="20"/>
      <c r="D1986" s="25" t="s">
        <v>26117</v>
      </c>
      <c r="E1986" s="20" t="s">
        <v>26300</v>
      </c>
      <c r="F1986" s="9" t="str">
        <f>HYPERLINK("https://www.ebi.ac.uk/ols/ontologies/uberon/terms?iri=http://purl.obolibrary.org/obo/UBERON_0002577","pericentral nucleus of inferior colliculus")</f>
        <v>pericentral nucleus of inferior colliculus</v>
      </c>
      <c r="G1986" s="9" t="s">
        <v>3793</v>
      </c>
      <c r="H1986" s="9" t="s">
        <v>24067</v>
      </c>
      <c r="I1986" s="9" t="s">
        <v>3794</v>
      </c>
      <c r="J1986" s="9" t="s">
        <v>3795</v>
      </c>
      <c r="K1986" s="4" t="s">
        <v>15175</v>
      </c>
      <c r="L1986" s="13">
        <v>12306</v>
      </c>
      <c r="M1986" t="str">
        <f>VLOOKUP(L1986,[1]Human_BrainSpan!$B$2:$C$4000,2,FALSE)</f>
        <v>CxIC</v>
      </c>
    </row>
    <row r="1987" spans="2:13" x14ac:dyDescent="0.25">
      <c r="B1987" s="31" t="s">
        <v>25743</v>
      </c>
      <c r="C1987" s="20"/>
      <c r="D1987" s="25" t="s">
        <v>26117</v>
      </c>
      <c r="E1987" s="20"/>
      <c r="F1987" s="9" t="str">
        <f>HYPERLINK("https://www.ebi.ac.uk/ols/ontologies/uberon/terms?iri=http://purl.obolibrary.org/obo/UBERON_0002577","pericentral nucleus of inferior colliculus")</f>
        <v>pericentral nucleus of inferior colliculus</v>
      </c>
      <c r="G1987" s="9" t="s">
        <v>3793</v>
      </c>
      <c r="H1987" s="9" t="s">
        <v>25201</v>
      </c>
      <c r="I1987" s="9" t="s">
        <v>3796</v>
      </c>
      <c r="J1987" s="9" t="s">
        <v>3797</v>
      </c>
      <c r="K1987" s="7" t="s">
        <v>15171</v>
      </c>
      <c r="L1987" s="13">
        <v>9106</v>
      </c>
      <c r="M1987" t="str">
        <f>VLOOKUP(L1987,[1]HBA!$B$2:$C$4000,2,FALSE)</f>
        <v>PCIC</v>
      </c>
    </row>
    <row r="1988" spans="2:13" x14ac:dyDescent="0.25">
      <c r="B1988" s="31" t="s">
        <v>26302</v>
      </c>
      <c r="C1988" s="20"/>
      <c r="D1988" s="25" t="s">
        <v>26117</v>
      </c>
      <c r="E1988" s="20" t="s">
        <v>26300</v>
      </c>
      <c r="F1988" s="9" t="str">
        <f>HYPERLINK("https://www.ebi.ac.uk/ols/ontologies/uberon/terms?iri=http://purl.obolibrary.org/obo/UBERON_0002577","pericentral nucleus of inferior colliculus")</f>
        <v>pericentral nucleus of inferior colliculus</v>
      </c>
      <c r="G1988" s="9" t="s">
        <v>3793</v>
      </c>
      <c r="H1988" s="9" t="s">
        <v>20175</v>
      </c>
      <c r="I1988" s="9" t="s">
        <v>831</v>
      </c>
      <c r="J1988" s="9" t="s">
        <v>832</v>
      </c>
      <c r="K1988" s="3" t="s">
        <v>15176</v>
      </c>
      <c r="L1988" s="13">
        <v>820</v>
      </c>
      <c r="M1988" t="str">
        <f>VLOOKUP(L1988,[1]Mouse_ARA!$B$2:$C$1328,2,FALSE)</f>
        <v>ICd</v>
      </c>
    </row>
    <row r="1989" spans="2:13" x14ac:dyDescent="0.25">
      <c r="B1989" s="31" t="s">
        <v>25743</v>
      </c>
      <c r="C1989" s="20"/>
      <c r="D1989" s="25" t="s">
        <v>3799</v>
      </c>
      <c r="E1989" s="20"/>
      <c r="F1989" s="9" t="str">
        <f>HYPERLINK("https://www.ebi.ac.uk/ols/ontologies/uberon/terms?iri=http://purl.obolibrary.org/obo/UBERON_0002274","perifornical nucleus")</f>
        <v>perifornical nucleus</v>
      </c>
      <c r="G1989" s="9" t="s">
        <v>3798</v>
      </c>
      <c r="H1989" s="9" t="s">
        <v>20147</v>
      </c>
      <c r="I1989" s="9" t="s">
        <v>3799</v>
      </c>
      <c r="J1989" s="9" t="s">
        <v>3800</v>
      </c>
      <c r="K1989" s="4" t="s">
        <v>15175</v>
      </c>
      <c r="L1989" s="13">
        <v>11578</v>
      </c>
      <c r="M1989" t="str">
        <f>VLOOKUP(L1989,[1]Human_BrainSpan!$B$2:$C$4000,2,FALSE)</f>
        <v>PeF</v>
      </c>
    </row>
    <row r="1990" spans="2:13" x14ac:dyDescent="0.25">
      <c r="B1990" s="31" t="s">
        <v>25743</v>
      </c>
      <c r="C1990" s="20"/>
      <c r="D1990" s="25" t="s">
        <v>3799</v>
      </c>
      <c r="E1990" s="20"/>
      <c r="F1990" s="9" t="str">
        <f>HYPERLINK("https://www.ebi.ac.uk/ols/ontologies/uberon/terms?iri=http://purl.obolibrary.org/obo/UBERON_0002274","perifornical nucleus")</f>
        <v>perifornical nucleus</v>
      </c>
      <c r="G1990" s="9" t="s">
        <v>3798</v>
      </c>
      <c r="H1990" s="9" t="s">
        <v>20147</v>
      </c>
      <c r="I1990" s="9" t="s">
        <v>3799</v>
      </c>
      <c r="J1990" s="9" t="s">
        <v>3801</v>
      </c>
      <c r="K1990" s="7" t="s">
        <v>15171</v>
      </c>
      <c r="L1990" s="13">
        <v>12917</v>
      </c>
      <c r="M1990" t="str">
        <f>VLOOKUP(L1990,[1]HBA!$B$2:$C$4000,2,FALSE)</f>
        <v>PeF</v>
      </c>
    </row>
    <row r="1991" spans="2:13" x14ac:dyDescent="0.25">
      <c r="B1991" s="31" t="s">
        <v>25743</v>
      </c>
      <c r="C1991" s="20"/>
      <c r="D1991" s="25" t="s">
        <v>26118</v>
      </c>
      <c r="E1991" s="20"/>
      <c r="F1991" s="9" t="str">
        <f>HYPERLINK("https://www.ebi.ac.uk/ols/ontologies/uberon/terms?iri=http://purl.obolibrary.org/obo/UBERON_0002971","periolivary nucleus")</f>
        <v>periolivary nucleus</v>
      </c>
      <c r="G1991" s="9" t="s">
        <v>3802</v>
      </c>
      <c r="H1991" s="9" t="s">
        <v>24311</v>
      </c>
      <c r="I1991" s="9" t="s">
        <v>3803</v>
      </c>
      <c r="J1991" s="9" t="s">
        <v>3804</v>
      </c>
      <c r="K1991" s="4" t="s">
        <v>15175</v>
      </c>
      <c r="L1991" s="13">
        <v>12464</v>
      </c>
      <c r="M1991" t="str">
        <f>VLOOKUP(L1991,[1]Human_BrainSpan!$B$2:$C$4000,2,FALSE)</f>
        <v>POI</v>
      </c>
    </row>
    <row r="1992" spans="2:13" x14ac:dyDescent="0.25">
      <c r="B1992" s="31" t="s">
        <v>25743</v>
      </c>
      <c r="C1992" s="20"/>
      <c r="D1992" s="25" t="s">
        <v>26118</v>
      </c>
      <c r="E1992" s="20"/>
      <c r="F1992" s="9" t="str">
        <f>HYPERLINK("https://www.ebi.ac.uk/ols/ontologies/uberon/terms?iri=http://purl.obolibrary.org/obo/UBERON_0002971","periolivary nucleus")</f>
        <v>periolivary nucleus</v>
      </c>
      <c r="G1992" s="9" t="s">
        <v>3802</v>
      </c>
      <c r="H1992" s="9" t="s">
        <v>25440</v>
      </c>
      <c r="I1992" s="9" t="s">
        <v>3805</v>
      </c>
      <c r="J1992" s="9" t="s">
        <v>3806</v>
      </c>
      <c r="K1992" s="7" t="s">
        <v>15171</v>
      </c>
      <c r="L1992" s="13">
        <v>9179</v>
      </c>
      <c r="M1992" t="str">
        <f>VLOOKUP(L1992,[1]HBA!$B$2:$C$4000,2,FALSE)</f>
        <v>PeO</v>
      </c>
    </row>
    <row r="1993" spans="2:13" x14ac:dyDescent="0.25">
      <c r="B1993" s="31" t="s">
        <v>25743</v>
      </c>
      <c r="C1993" s="20"/>
      <c r="D1993" s="25" t="s">
        <v>26118</v>
      </c>
      <c r="E1993" s="20" t="s">
        <v>26300</v>
      </c>
      <c r="F1993" s="9" t="str">
        <f>HYPERLINK("https://www.ebi.ac.uk/ols/ontologies/uberon/terms?iri=http://purl.obolibrary.org/obo/UBERON_0002971","periolivary nucleus")</f>
        <v>periolivary nucleus</v>
      </c>
      <c r="G1993" s="9" t="s">
        <v>3802</v>
      </c>
      <c r="H1993" s="9" t="s">
        <v>15198</v>
      </c>
      <c r="I1993" s="9" t="s">
        <v>3807</v>
      </c>
      <c r="J1993" s="9" t="s">
        <v>3808</v>
      </c>
      <c r="K1993" s="3" t="s">
        <v>15176</v>
      </c>
      <c r="L1993" s="13">
        <v>122</v>
      </c>
      <c r="M1993" t="str">
        <f>VLOOKUP(L1993,[1]Mouse_ARA!$B$2:$C$1328,2,FALSE)</f>
        <v>POR</v>
      </c>
    </row>
    <row r="1994" spans="2:13" x14ac:dyDescent="0.25">
      <c r="B1994" s="31" t="s">
        <v>25743</v>
      </c>
      <c r="C1994" s="20"/>
      <c r="D1994" s="25" t="s">
        <v>3336</v>
      </c>
      <c r="E1994" s="20"/>
      <c r="F1994" s="9" t="str">
        <f>HYPERLINK("https://www.ebi.ac.uk/ols/ontologies/uberon/terms?iri=http://purl.obolibrary.org/obo/UBERON_0002144","peripeduncular nucleus")</f>
        <v>peripeduncular nucleus</v>
      </c>
      <c r="G1994" s="9" t="s">
        <v>3809</v>
      </c>
      <c r="H1994" s="9" t="s">
        <v>16282</v>
      </c>
      <c r="I1994" s="9" t="s">
        <v>3336</v>
      </c>
      <c r="J1994" s="9" t="s">
        <v>3810</v>
      </c>
      <c r="K1994" s="4" t="s">
        <v>15175</v>
      </c>
      <c r="L1994" s="13">
        <v>12285</v>
      </c>
      <c r="M1994" t="str">
        <f>VLOOKUP(L1994,[1]Human_BrainSpan!$B$2:$C$4000,2,FALSE)</f>
        <v>PP</v>
      </c>
    </row>
    <row r="1995" spans="2:13" x14ac:dyDescent="0.25">
      <c r="B1995" s="31" t="s">
        <v>25743</v>
      </c>
      <c r="C1995" s="20"/>
      <c r="D1995" s="25" t="s">
        <v>3336</v>
      </c>
      <c r="E1995" s="20"/>
      <c r="F1995" s="9" t="str">
        <f>HYPERLINK("https://www.ebi.ac.uk/ols/ontologies/uberon/terms?iri=http://purl.obolibrary.org/obo/UBERON_0002144","peripeduncular nucleus")</f>
        <v>peripeduncular nucleus</v>
      </c>
      <c r="G1995" s="9" t="s">
        <v>3809</v>
      </c>
      <c r="H1995" s="9" t="s">
        <v>16282</v>
      </c>
      <c r="I1995" s="9" t="s">
        <v>3336</v>
      </c>
      <c r="J1995" s="9" t="s">
        <v>3337</v>
      </c>
      <c r="K1995" s="5" t="s">
        <v>15173</v>
      </c>
      <c r="L1995" s="13">
        <v>16342</v>
      </c>
      <c r="M1995" t="str">
        <f>VLOOKUP(L1995,[1]DevMouse!$B$2:$C$2693,2,FALSE)</f>
        <v>PP</v>
      </c>
    </row>
    <row r="1996" spans="2:13" x14ac:dyDescent="0.25">
      <c r="B1996" s="31" t="s">
        <v>25743</v>
      </c>
      <c r="C1996" s="20"/>
      <c r="D1996" s="25" t="s">
        <v>3336</v>
      </c>
      <c r="E1996" s="20"/>
      <c r="F1996" s="9" t="str">
        <f>HYPERLINK("https://www.ebi.ac.uk/ols/ontologies/uberon/terms?iri=http://purl.obolibrary.org/obo/UBERON_0002144","peripeduncular nucleus")</f>
        <v>peripeduncular nucleus</v>
      </c>
      <c r="G1996" s="9" t="s">
        <v>3809</v>
      </c>
      <c r="H1996" s="9" t="s">
        <v>25296</v>
      </c>
      <c r="I1996" s="9" t="s">
        <v>3336</v>
      </c>
      <c r="J1996" s="9" t="s">
        <v>3811</v>
      </c>
      <c r="K1996" s="7" t="s">
        <v>15171</v>
      </c>
      <c r="L1996" s="13">
        <v>9050</v>
      </c>
      <c r="M1996" t="str">
        <f>VLOOKUP(L1996,[1]HBA!$B$2:$C$4000,2,FALSE)</f>
        <v>PPd</v>
      </c>
    </row>
    <row r="1997" spans="2:13" x14ac:dyDescent="0.25">
      <c r="B1997" s="31" t="s">
        <v>25743</v>
      </c>
      <c r="C1997" s="20"/>
      <c r="D1997" s="25" t="s">
        <v>3336</v>
      </c>
      <c r="E1997" s="20"/>
      <c r="F1997" s="9" t="str">
        <f>HYPERLINK("https://www.ebi.ac.uk/ols/ontologies/uberon/terms?iri=http://purl.obolibrary.org/obo/UBERON_0002144","peripeduncular nucleus")</f>
        <v>peripeduncular nucleus</v>
      </c>
      <c r="G1997" s="9" t="s">
        <v>3809</v>
      </c>
      <c r="H1997" s="9" t="s">
        <v>16282</v>
      </c>
      <c r="I1997" s="9" t="s">
        <v>3336</v>
      </c>
      <c r="J1997" s="9" t="s">
        <v>3346</v>
      </c>
      <c r="K1997" s="3" t="s">
        <v>15176</v>
      </c>
      <c r="L1997" s="13">
        <v>1044</v>
      </c>
      <c r="M1997" t="str">
        <f>VLOOKUP(L1997,[1]Mouse_ARA!$B$2:$C$1328,2,FALSE)</f>
        <v>PP</v>
      </c>
    </row>
    <row r="1998" spans="2:13" x14ac:dyDescent="0.25">
      <c r="B1998" s="31" t="s">
        <v>25743</v>
      </c>
      <c r="C1998" s="20"/>
      <c r="D1998" s="25" t="s">
        <v>3815</v>
      </c>
      <c r="E1998" s="20"/>
      <c r="F1998" s="9" t="str">
        <f>HYPERLINK("https://www.ebi.ac.uk/ols/ontologies/uberon/terms?iri=http://purl.obolibrary.org/obo/UBERON_0006083","perirhinal cortex")</f>
        <v>perirhinal cortex</v>
      </c>
      <c r="G1998" s="9" t="s">
        <v>3812</v>
      </c>
      <c r="H1998" s="9" t="s">
        <v>19368</v>
      </c>
      <c r="I1998" s="9" t="s">
        <v>3813</v>
      </c>
      <c r="J1998" s="9" t="s">
        <v>3814</v>
      </c>
      <c r="K1998" s="3" t="s">
        <v>15176</v>
      </c>
      <c r="L1998" s="13">
        <v>922</v>
      </c>
      <c r="M1998" t="str">
        <f>VLOOKUP(L1998,[1]Mouse_ARA!$B$2:$C$1328,2,FALSE)</f>
        <v>PERI</v>
      </c>
    </row>
    <row r="1999" spans="2:13" x14ac:dyDescent="0.25">
      <c r="B1999" s="31" t="s">
        <v>25743</v>
      </c>
      <c r="C1999" s="20"/>
      <c r="D1999" s="25" t="s">
        <v>3815</v>
      </c>
      <c r="E1999" s="20"/>
      <c r="F1999" s="9" t="str">
        <f>HYPERLINK("https://www.ebi.ac.uk/ols/ontologies/uberon/terms?iri=http://purl.obolibrary.org/obo/UBERON_0006083","perirhinal cortex")</f>
        <v>perirhinal cortex</v>
      </c>
      <c r="G1999" s="9" t="s">
        <v>3812</v>
      </c>
      <c r="H1999" s="9" t="s">
        <v>16430</v>
      </c>
      <c r="I1999" s="9" t="s">
        <v>3815</v>
      </c>
      <c r="J1999" s="9" t="s">
        <v>3816</v>
      </c>
      <c r="K1999" s="6" t="s">
        <v>15174</v>
      </c>
      <c r="L1999" s="13">
        <v>128012080</v>
      </c>
      <c r="M1999" t="str">
        <f>VLOOKUP(L1999,[1]NonHumanPrimate!$B$2:$C$4000,2,FALSE)</f>
        <v>PC</v>
      </c>
    </row>
    <row r="2000" spans="2:13" x14ac:dyDescent="0.25">
      <c r="B2000" s="31" t="s">
        <v>25743</v>
      </c>
      <c r="C2000" s="20"/>
      <c r="D2000" s="25" t="s">
        <v>3818</v>
      </c>
      <c r="E2000" s="20"/>
      <c r="F2000" s="9" t="str">
        <f>HYPERLINK("https://www.ebi.ac.uk/ols/ontologies/uberon/terms?iri=http://purl.obolibrary.org/obo/UBERON_0002879","peritrigeminal nucleus")</f>
        <v>peritrigeminal nucleus</v>
      </c>
      <c r="G2000" s="9" t="s">
        <v>3817</v>
      </c>
      <c r="H2000" s="9" t="s">
        <v>24490</v>
      </c>
      <c r="I2000" s="9" t="s">
        <v>3818</v>
      </c>
      <c r="J2000" s="9" t="s">
        <v>3819</v>
      </c>
      <c r="K2000" s="4" t="s">
        <v>15175</v>
      </c>
      <c r="L2000" s="13">
        <v>12658</v>
      </c>
      <c r="M2000" t="str">
        <f>VLOOKUP(L2000,[1]Human_BrainSpan!$B$2:$C$4000,2,FALSE)</f>
        <v>Pe5</v>
      </c>
    </row>
    <row r="2001" spans="2:13" x14ac:dyDescent="0.25">
      <c r="B2001" s="31" t="s">
        <v>25743</v>
      </c>
      <c r="C2001" s="20"/>
      <c r="D2001" s="25" t="s">
        <v>3818</v>
      </c>
      <c r="E2001" s="20"/>
      <c r="F2001" s="9" t="str">
        <f>HYPERLINK("https://www.ebi.ac.uk/ols/ontologies/uberon/terms?iri=http://purl.obolibrary.org/obo/UBERON_0002879","peritrigeminal nucleus")</f>
        <v>peritrigeminal nucleus</v>
      </c>
      <c r="G2001" s="9" t="s">
        <v>3817</v>
      </c>
      <c r="H2001" s="9" t="s">
        <v>24490</v>
      </c>
      <c r="I2001" s="9" t="s">
        <v>3818</v>
      </c>
      <c r="J2001" s="9" t="s">
        <v>3820</v>
      </c>
      <c r="K2001" s="7" t="s">
        <v>15171</v>
      </c>
      <c r="L2001" s="13">
        <v>9633</v>
      </c>
      <c r="M2001" t="str">
        <f>VLOOKUP(L2001,[1]HBA!$B$2:$C$4000,2,FALSE)</f>
        <v>Pe5</v>
      </c>
    </row>
    <row r="2002" spans="2:13" x14ac:dyDescent="0.25">
      <c r="B2002" s="31" t="s">
        <v>25743</v>
      </c>
      <c r="C2002" s="20"/>
      <c r="D2002" s="25" t="s">
        <v>26119</v>
      </c>
      <c r="E2002" s="25"/>
      <c r="F2002" s="9" t="str">
        <f>HYPERLINK("https://www.ebi.ac.uk/ols/ontologies/uberon/terms?iri=http://purl.obolibrary.org/obo/UBERON_0002271","periventricular zone of hypothalamus")</f>
        <v>periventricular zone of hypothalamus</v>
      </c>
      <c r="G2002" s="9" t="s">
        <v>3821</v>
      </c>
      <c r="H2002" s="9" t="s">
        <v>19998</v>
      </c>
      <c r="I2002" s="9" t="s">
        <v>3822</v>
      </c>
      <c r="J2002" s="9" t="s">
        <v>3823</v>
      </c>
      <c r="K2002" s="3" t="s">
        <v>15176</v>
      </c>
      <c r="L2002" s="13">
        <v>157</v>
      </c>
      <c r="M2002" t="str">
        <f>VLOOKUP(L2002,[1]Mouse_ARA!$B$2:$C$1328,2,FALSE)</f>
        <v>PVZ</v>
      </c>
    </row>
    <row r="2003" spans="2:13" x14ac:dyDescent="0.25">
      <c r="B2003" s="31" t="s">
        <v>25743</v>
      </c>
      <c r="C2003" s="20"/>
      <c r="D2003" s="25" t="s">
        <v>3825</v>
      </c>
      <c r="E2003" s="25"/>
      <c r="F2003" s="9" t="str">
        <f>HYPERLINK("https://www.ebi.ac.uk/ols/ontologies/uberon/terms?iri=http://purl.obolibrary.org/obo/UBERON_0001905","pineal body")</f>
        <v>pineal body</v>
      </c>
      <c r="G2003" s="9" t="s">
        <v>3824</v>
      </c>
      <c r="H2003" s="9" t="s">
        <v>23421</v>
      </c>
      <c r="I2003" s="9" t="s">
        <v>3825</v>
      </c>
      <c r="J2003" s="9" t="s">
        <v>3826</v>
      </c>
      <c r="K2003" s="4" t="s">
        <v>15175</v>
      </c>
      <c r="L2003" s="13">
        <v>10460</v>
      </c>
      <c r="M2003" t="str">
        <f>VLOOKUP(L2003,[1]Human_BrainSpan!$B$2:$C$4000,2,FALSE)</f>
        <v>Pin</v>
      </c>
    </row>
    <row r="2004" spans="2:13" x14ac:dyDescent="0.25">
      <c r="B2004" s="31" t="s">
        <v>25743</v>
      </c>
      <c r="C2004" s="20"/>
      <c r="D2004" s="25" t="s">
        <v>3825</v>
      </c>
      <c r="E2004" s="25"/>
      <c r="F2004" s="9" t="str">
        <f>HYPERLINK("https://www.ebi.ac.uk/ols/ontologies/uberon/terms?iri=http://purl.obolibrary.org/obo/UBERON_0001905","pineal body")</f>
        <v>pineal body</v>
      </c>
      <c r="G2004" s="9" t="s">
        <v>3824</v>
      </c>
      <c r="H2004" s="9" t="s">
        <v>19994</v>
      </c>
      <c r="I2004" s="9" t="s">
        <v>3827</v>
      </c>
      <c r="J2004" s="9" t="s">
        <v>3828</v>
      </c>
      <c r="K2004" s="7" t="s">
        <v>15171</v>
      </c>
      <c r="L2004" s="13">
        <v>4532</v>
      </c>
      <c r="M2004" t="str">
        <f>VLOOKUP(L2004,[1]HBA!$B$2:$C$4000,2,FALSE)</f>
        <v>PIN</v>
      </c>
    </row>
    <row r="2005" spans="2:13" x14ac:dyDescent="0.25">
      <c r="B2005" s="31" t="s">
        <v>25743</v>
      </c>
      <c r="C2005" s="20"/>
      <c r="D2005" s="25" t="s">
        <v>3825</v>
      </c>
      <c r="E2005" s="25"/>
      <c r="F2005" s="9" t="str">
        <f>HYPERLINK("https://www.ebi.ac.uk/ols/ontologies/uberon/terms?iri=http://purl.obolibrary.org/obo/UBERON_0001905","pineal body")</f>
        <v>pineal body</v>
      </c>
      <c r="G2005" s="9" t="s">
        <v>3824</v>
      </c>
      <c r="H2005" s="9" t="s">
        <v>19994</v>
      </c>
      <c r="I2005" s="9" t="s">
        <v>3825</v>
      </c>
      <c r="J2005" s="9" t="s">
        <v>3829</v>
      </c>
      <c r="K2005" s="3" t="s">
        <v>15176</v>
      </c>
      <c r="L2005" s="13">
        <v>953</v>
      </c>
      <c r="M2005" t="str">
        <f>VLOOKUP(L2005,[1]Mouse_ARA!$B$2:$C$1328,2,FALSE)</f>
        <v>PIN</v>
      </c>
    </row>
    <row r="2006" spans="2:13" x14ac:dyDescent="0.25">
      <c r="B2006" s="31" t="s">
        <v>25743</v>
      </c>
      <c r="C2006" s="20"/>
      <c r="D2006" s="25" t="s">
        <v>26120</v>
      </c>
      <c r="E2006" s="25"/>
      <c r="F2006" s="9" t="str">
        <f>HYPERLINK("https://www.ebi.ac.uk/ols/ontologies/uberon/terms?iri=http://purl.obolibrary.org/obo/UBERON_0011768","pineal gland stalk")</f>
        <v>pineal gland stalk</v>
      </c>
      <c r="G2006" s="9" t="s">
        <v>3830</v>
      </c>
      <c r="H2006" s="9" t="s">
        <v>20946</v>
      </c>
      <c r="I2006" s="9" t="s">
        <v>3831</v>
      </c>
      <c r="J2006" s="9" t="s">
        <v>3832</v>
      </c>
      <c r="K2006" s="3" t="s">
        <v>15176</v>
      </c>
      <c r="L2006" s="13">
        <v>730</v>
      </c>
      <c r="M2006" t="str">
        <f>VLOOKUP(L2006,[1]Mouse_ARA!$B$2:$C$1328,2,FALSE)</f>
        <v>PIS</v>
      </c>
    </row>
    <row r="2007" spans="2:13" x14ac:dyDescent="0.25">
      <c r="B2007" s="31" t="s">
        <v>25743</v>
      </c>
      <c r="C2007" s="20"/>
      <c r="D2007" s="25" t="s">
        <v>26121</v>
      </c>
      <c r="E2007" s="25"/>
      <c r="F2007" s="9" t="str">
        <f>HYPERLINK("https://www.ebi.ac.uk/ols/ontologies/uberon/terms?iri=http://purl.obolibrary.org/obo/UBERON_0022283","pineal recess of third ventricle")</f>
        <v>pineal recess of third ventricle</v>
      </c>
      <c r="G2007" s="9" t="s">
        <v>3833</v>
      </c>
      <c r="H2007" s="9" t="s">
        <v>23683</v>
      </c>
      <c r="I2007" s="9" t="s">
        <v>3834</v>
      </c>
      <c r="J2007" s="9" t="s">
        <v>3835</v>
      </c>
      <c r="K2007" s="4" t="s">
        <v>15175</v>
      </c>
      <c r="L2007" s="13">
        <v>266441661</v>
      </c>
      <c r="M2007" t="str">
        <f>VLOOKUP(L2007,[1]Human_BrainSpan!$B$2:$C$4000,2,FALSE)</f>
        <v>pir3V</v>
      </c>
    </row>
    <row r="2008" spans="2:13" x14ac:dyDescent="0.25">
      <c r="B2008" s="31" t="s">
        <v>25743</v>
      </c>
      <c r="C2008" s="20"/>
      <c r="D2008" s="25" t="s">
        <v>3837</v>
      </c>
      <c r="E2008" s="25"/>
      <c r="F2008" s="9" t="str">
        <f>HYPERLINK("https://www.ebi.ac.uk/ols/ontologies/uberon/terms?iri=http://purl.obolibrary.org/obo/UBERON_0004725","piriform cortex")</f>
        <v>piriform cortex</v>
      </c>
      <c r="G2008" s="9" t="s">
        <v>3836</v>
      </c>
      <c r="H2008" s="9" t="s">
        <v>23141</v>
      </c>
      <c r="I2008" s="9" t="s">
        <v>3837</v>
      </c>
      <c r="J2008" s="9" t="s">
        <v>3838</v>
      </c>
      <c r="K2008" s="4" t="s">
        <v>15175</v>
      </c>
      <c r="L2008" s="13">
        <v>10311</v>
      </c>
      <c r="M2008" t="str">
        <f>VLOOKUP(L2008,[1]Human_BrainSpan!$B$2:$C$4000,2,FALSE)</f>
        <v>Pir</v>
      </c>
    </row>
    <row r="2009" spans="2:13" x14ac:dyDescent="0.25">
      <c r="B2009" s="31" t="s">
        <v>25743</v>
      </c>
      <c r="C2009" s="20"/>
      <c r="D2009" s="25" t="s">
        <v>3837</v>
      </c>
      <c r="E2009" s="25"/>
      <c r="F2009" s="9" t="str">
        <f>HYPERLINK("https://www.ebi.ac.uk/ols/ontologies/uberon/terms?iri=http://purl.obolibrary.org/obo/UBERON_0004725","piriform cortex")</f>
        <v>piriform cortex</v>
      </c>
      <c r="G2009" s="9" t="s">
        <v>3836</v>
      </c>
      <c r="H2009" s="9" t="s">
        <v>23141</v>
      </c>
      <c r="I2009" s="9" t="s">
        <v>3837</v>
      </c>
      <c r="J2009" s="9" t="s">
        <v>3839</v>
      </c>
      <c r="K2009" s="7" t="s">
        <v>15171</v>
      </c>
      <c r="L2009" s="13">
        <v>10142</v>
      </c>
      <c r="M2009" t="str">
        <f>VLOOKUP(L2009,[1]HBA!$B$2:$C$4000,2,FALSE)</f>
        <v>Pir</v>
      </c>
    </row>
    <row r="2010" spans="2:13" x14ac:dyDescent="0.25">
      <c r="B2010" s="31" t="s">
        <v>25743</v>
      </c>
      <c r="C2010" s="20"/>
      <c r="D2010" s="25" t="s">
        <v>26122</v>
      </c>
      <c r="E2010" s="25"/>
      <c r="F2010" s="9" t="str">
        <f>HYPERLINK("https://www.ebi.ac.uk/ols/ontologies/uberon/terms?iri=http://purl.obolibrary.org/obo/UBERON_0014280","piriform cortex layer 2")</f>
        <v>piriform cortex layer 2</v>
      </c>
      <c r="G2010" s="9" t="s">
        <v>3840</v>
      </c>
      <c r="H2010" s="9" t="s">
        <v>23143</v>
      </c>
      <c r="I2010" s="9" t="s">
        <v>3841</v>
      </c>
      <c r="J2010" s="9" t="s">
        <v>3842</v>
      </c>
      <c r="K2010" s="4" t="s">
        <v>15175</v>
      </c>
      <c r="L2010" s="13">
        <v>11336</v>
      </c>
      <c r="M2010" t="str">
        <f>VLOOKUP(L2010,[1]Human_BrainSpan!$B$2:$C$4000,2,FALSE)</f>
        <v>Pir2</v>
      </c>
    </row>
    <row r="2011" spans="2:13" x14ac:dyDescent="0.25">
      <c r="B2011" s="31" t="s">
        <v>25743</v>
      </c>
      <c r="C2011" s="20"/>
      <c r="D2011" s="25" t="s">
        <v>26123</v>
      </c>
      <c r="E2011" s="25"/>
      <c r="F2011" s="9" t="str">
        <f>HYPERLINK("https://www.ebi.ac.uk/ols/ontologies/uberon/terms?iri=http://purl.obolibrary.org/obo/UBERON_0000007","pituitary gland")</f>
        <v>pituitary gland</v>
      </c>
      <c r="G2011" s="9" t="s">
        <v>3843</v>
      </c>
      <c r="H2011" s="9" t="s">
        <v>23530</v>
      </c>
      <c r="I2011" s="9" t="s">
        <v>3844</v>
      </c>
      <c r="J2011" s="9" t="s">
        <v>3845</v>
      </c>
      <c r="K2011" s="4" t="s">
        <v>15175</v>
      </c>
      <c r="L2011" s="13">
        <v>10505</v>
      </c>
      <c r="M2011" t="str">
        <f>VLOOKUP(L2011,[1]Human_BrainSpan!$B$2:$C$4000,2,FALSE)</f>
        <v>Pit</v>
      </c>
    </row>
    <row r="2012" spans="2:13" x14ac:dyDescent="0.25">
      <c r="B2012" s="31" t="s">
        <v>25743</v>
      </c>
      <c r="C2012" s="20"/>
      <c r="D2012" s="25" t="s">
        <v>26123</v>
      </c>
      <c r="E2012" s="25"/>
      <c r="F2012" s="9" t="str">
        <f>HYPERLINK("https://www.ebi.ac.uk/ols/ontologies/uberon/terms?iri=http://purl.obolibrary.org/obo/UBERON_0000007","pituitary gland")</f>
        <v>pituitary gland</v>
      </c>
      <c r="G2012" s="9" t="s">
        <v>3843</v>
      </c>
      <c r="H2012" s="9" t="s">
        <v>23530</v>
      </c>
      <c r="I2012" s="9" t="s">
        <v>3844</v>
      </c>
      <c r="J2012" s="9" t="s">
        <v>3846</v>
      </c>
      <c r="K2012" s="7" t="s">
        <v>15171</v>
      </c>
      <c r="L2012" s="13">
        <v>4634</v>
      </c>
      <c r="M2012" t="str">
        <f>VLOOKUP(L2012,[1]HBA!$B$2:$C$4000,2,FALSE)</f>
        <v>Pit</v>
      </c>
    </row>
    <row r="2013" spans="2:13" x14ac:dyDescent="0.25">
      <c r="B2013" s="31" t="s">
        <v>25743</v>
      </c>
      <c r="C2013" s="20"/>
      <c r="D2013" s="25" t="s">
        <v>26124</v>
      </c>
      <c r="E2013" s="25"/>
      <c r="F2013" s="9" t="str">
        <f>HYPERLINK("https://www.ebi.ac.uk/ols/ontologies/uberon/terms?iri=http://purl.obolibrary.org/obo/UBERON_0002434","pituitary stalk")</f>
        <v>pituitary stalk</v>
      </c>
      <c r="G2013" s="9" t="s">
        <v>3847</v>
      </c>
      <c r="H2013" s="9" t="s">
        <v>23873</v>
      </c>
      <c r="I2013" s="9" t="s">
        <v>3848</v>
      </c>
      <c r="J2013" s="9" t="s">
        <v>3849</v>
      </c>
      <c r="K2013" s="4" t="s">
        <v>15175</v>
      </c>
      <c r="L2013" s="13">
        <v>10643</v>
      </c>
      <c r="M2013" t="str">
        <f>VLOOKUP(L2013,[1]Human_BrainSpan!$B$2:$C$4000,2,FALSE)</f>
        <v>InF</v>
      </c>
    </row>
    <row r="2014" spans="2:13" x14ac:dyDescent="0.25">
      <c r="B2014" s="31" t="s">
        <v>25743</v>
      </c>
      <c r="C2014" s="20"/>
      <c r="D2014" s="25" t="s">
        <v>26124</v>
      </c>
      <c r="E2014" s="25"/>
      <c r="F2014" s="9" t="str">
        <f>HYPERLINK("https://www.ebi.ac.uk/ols/ontologies/uberon/terms?iri=http://purl.obolibrary.org/obo/UBERON_0002434","pituitary stalk")</f>
        <v>pituitary stalk</v>
      </c>
      <c r="G2014" s="9" t="s">
        <v>3847</v>
      </c>
      <c r="H2014" s="9" t="s">
        <v>15430</v>
      </c>
      <c r="I2014" s="9" t="s">
        <v>3850</v>
      </c>
      <c r="J2014" s="9" t="s">
        <v>3851</v>
      </c>
      <c r="K2014" s="5" t="s">
        <v>15173</v>
      </c>
      <c r="L2014" s="13">
        <v>15690</v>
      </c>
      <c r="M2014" t="str">
        <f>VLOOKUP(L2014,[1]DevMouse!$B$2:$C$2693,2,FALSE)</f>
        <v>Inf</v>
      </c>
    </row>
    <row r="2015" spans="2:13" x14ac:dyDescent="0.25">
      <c r="B2015" s="31" t="s">
        <v>26302</v>
      </c>
      <c r="C2015" s="20"/>
      <c r="D2015" s="25" t="s">
        <v>26124</v>
      </c>
      <c r="E2015" s="25" t="s">
        <v>26300</v>
      </c>
      <c r="F2015" s="9" t="str">
        <f>HYPERLINK("https://www.ebi.ac.uk/ols/ontologies/uberon/terms?iri=http://purl.obolibrary.org/obo/UBERON_0002434","pituitary stalk")</f>
        <v>pituitary stalk</v>
      </c>
      <c r="G2015" s="9" t="s">
        <v>3847</v>
      </c>
      <c r="H2015" s="9" t="s">
        <v>25524</v>
      </c>
      <c r="I2015" s="9" t="s">
        <v>3852</v>
      </c>
      <c r="J2015" s="9" t="s">
        <v>3853</v>
      </c>
      <c r="K2015" s="7" t="s">
        <v>15171</v>
      </c>
      <c r="L2015" s="13">
        <v>9358</v>
      </c>
      <c r="M2015" t="str">
        <f>VLOOKUP(L2015,[1]HBA!$B$2:$C$4000,2,FALSE)</f>
        <v>infs</v>
      </c>
    </row>
    <row r="2016" spans="2:13" x14ac:dyDescent="0.25">
      <c r="B2016" s="31" t="s">
        <v>25743</v>
      </c>
      <c r="C2016" s="20"/>
      <c r="D2016" s="25" t="s">
        <v>3855</v>
      </c>
      <c r="E2016" s="25"/>
      <c r="F2016" s="9" t="str">
        <f>HYPERLINK("https://www.ebi.ac.uk/ols/ontologies/uberon/terms?iri=http://purl.obolibrary.org/obo/UBERON_0023861","planum polare")</f>
        <v>planum polare</v>
      </c>
      <c r="G2016" s="9" t="s">
        <v>3854</v>
      </c>
      <c r="H2016" s="9" t="s">
        <v>23834</v>
      </c>
      <c r="I2016" s="9" t="s">
        <v>3855</v>
      </c>
      <c r="J2016" s="9" t="s">
        <v>3856</v>
      </c>
      <c r="K2016" s="7" t="s">
        <v>15171</v>
      </c>
      <c r="L2016" s="13">
        <v>4177</v>
      </c>
      <c r="M2016" t="str">
        <f>VLOOKUP(L2016,[1]HBA!$B$2:$C$4000,2,FALSE)</f>
        <v>PLP</v>
      </c>
    </row>
    <row r="2017" spans="2:13" x14ac:dyDescent="0.25">
      <c r="B2017" s="31" t="s">
        <v>25743</v>
      </c>
      <c r="C2017" s="20"/>
      <c r="D2017" s="25" t="s">
        <v>3858</v>
      </c>
      <c r="E2017" s="25"/>
      <c r="F2017" s="9" t="str">
        <f>HYPERLINK("https://www.ebi.ac.uk/ols/ontologies/uberon/terms?iri=http://purl.obolibrary.org/obo/UBERON_0022268","planum temporale")</f>
        <v>planum temporale</v>
      </c>
      <c r="G2017" s="9" t="s">
        <v>3857</v>
      </c>
      <c r="H2017" s="9" t="s">
        <v>23831</v>
      </c>
      <c r="I2017" s="9" t="s">
        <v>3858</v>
      </c>
      <c r="J2017" s="9" t="s">
        <v>3859</v>
      </c>
      <c r="K2017" s="4" t="s">
        <v>15175</v>
      </c>
      <c r="L2017" s="13">
        <v>12145</v>
      </c>
      <c r="M2017" t="str">
        <f>VLOOKUP(L2017,[1]Human_BrainSpan!$B$2:$C$4000,2,FALSE)</f>
        <v>PLT</v>
      </c>
    </row>
    <row r="2018" spans="2:13" x14ac:dyDescent="0.25">
      <c r="B2018" s="31" t="s">
        <v>25743</v>
      </c>
      <c r="C2018" s="20"/>
      <c r="D2018" s="25" t="s">
        <v>3858</v>
      </c>
      <c r="E2018" s="25"/>
      <c r="F2018" s="9" t="str">
        <f>HYPERLINK("https://www.ebi.ac.uk/ols/ontologies/uberon/terms?iri=http://purl.obolibrary.org/obo/UBERON_0022268","planum temporale")</f>
        <v>planum temporale</v>
      </c>
      <c r="G2018" s="9" t="s">
        <v>3857</v>
      </c>
      <c r="H2018" s="9" t="s">
        <v>23831</v>
      </c>
      <c r="I2018" s="9" t="s">
        <v>3858</v>
      </c>
      <c r="J2018" s="9" t="s">
        <v>3860</v>
      </c>
      <c r="K2018" s="7" t="s">
        <v>15171</v>
      </c>
      <c r="L2018" s="13">
        <v>4171</v>
      </c>
      <c r="M2018" t="str">
        <f>VLOOKUP(L2018,[1]HBA!$B$2:$C$4000,2,FALSE)</f>
        <v>PLT</v>
      </c>
    </row>
    <row r="2019" spans="2:13" x14ac:dyDescent="0.25">
      <c r="B2019" s="31" t="s">
        <v>25743</v>
      </c>
      <c r="C2019" s="20"/>
      <c r="D2019" s="25" t="s">
        <v>3862</v>
      </c>
      <c r="E2019" s="25"/>
      <c r="F2019" s="9" t="str">
        <f>HYPERLINK("https://www.ebi.ac.uk/ols/ontologies/uberon/terms?iri=http://purl.obolibrary.org/obo/UBERON_0000988","pons")</f>
        <v>pons</v>
      </c>
      <c r="G2019" s="9" t="s">
        <v>3861</v>
      </c>
      <c r="H2019" s="9" t="s">
        <v>24254</v>
      </c>
      <c r="I2019" s="9" t="s">
        <v>3862</v>
      </c>
      <c r="J2019" s="9" t="s">
        <v>3863</v>
      </c>
      <c r="K2019" s="4" t="s">
        <v>15175</v>
      </c>
      <c r="L2019" s="13">
        <v>10661</v>
      </c>
      <c r="M2019" t="str">
        <f>VLOOKUP(L2019,[1]Human_BrainSpan!$B$2:$C$4000,2,FALSE)</f>
        <v>Pn</v>
      </c>
    </row>
    <row r="2020" spans="2:13" x14ac:dyDescent="0.25">
      <c r="B2020" s="31" t="s">
        <v>25743</v>
      </c>
      <c r="C2020" s="20"/>
      <c r="D2020" s="25" t="s">
        <v>3862</v>
      </c>
      <c r="E2020" s="25"/>
      <c r="F2020" s="9" t="str">
        <f>HYPERLINK("https://www.ebi.ac.uk/ols/ontologies/uberon/terms?iri=http://purl.obolibrary.org/obo/UBERON_0000988","pons")</f>
        <v>pons</v>
      </c>
      <c r="G2020" s="9" t="s">
        <v>3861</v>
      </c>
      <c r="H2020" s="9" t="s">
        <v>20296</v>
      </c>
      <c r="I2020" s="9" t="s">
        <v>3862</v>
      </c>
      <c r="J2020" s="9" t="s">
        <v>3864</v>
      </c>
      <c r="K2020" s="7" t="s">
        <v>15171</v>
      </c>
      <c r="L2020" s="13">
        <v>9131</v>
      </c>
      <c r="M2020" t="str">
        <f>VLOOKUP(L2020,[1]HBA!$B$2:$C$4000,2,FALSE)</f>
        <v>Pons</v>
      </c>
    </row>
    <row r="2021" spans="2:13" x14ac:dyDescent="0.25">
      <c r="B2021" s="31" t="s">
        <v>25743</v>
      </c>
      <c r="C2021" s="20"/>
      <c r="D2021" s="25" t="s">
        <v>3862</v>
      </c>
      <c r="E2021" s="25"/>
      <c r="F2021" s="9" t="str">
        <f>HYPERLINK("https://www.ebi.ac.uk/ols/ontologies/uberon/terms?iri=http://purl.obolibrary.org/obo/UBERON_0000988","pons")</f>
        <v>pons</v>
      </c>
      <c r="G2021" s="9" t="s">
        <v>3861</v>
      </c>
      <c r="H2021" s="9" t="s">
        <v>20295</v>
      </c>
      <c r="I2021" s="9" t="s">
        <v>3862</v>
      </c>
      <c r="J2021" s="9" t="s">
        <v>3865</v>
      </c>
      <c r="K2021" s="3" t="s">
        <v>15176</v>
      </c>
      <c r="L2021" s="13">
        <v>771</v>
      </c>
      <c r="M2021" t="str">
        <f>VLOOKUP(L2021,[1]Mouse_ARA!$B$2:$C$1328,2,FALSE)</f>
        <v>P</v>
      </c>
    </row>
    <row r="2022" spans="2:13" x14ac:dyDescent="0.25">
      <c r="B2022" s="31" t="s">
        <v>25743</v>
      </c>
      <c r="C2022" s="20"/>
      <c r="D2022" s="25" t="s">
        <v>26125</v>
      </c>
      <c r="E2022" s="25"/>
      <c r="F2022" s="9" t="str">
        <f>HYPERLINK("https://www.ebi.ac.uk/ols/ontologies/uberon/terms?iri=http://purl.obolibrary.org/obo/UBERON_0002151","pontine nuclear group")</f>
        <v>pontine nuclear group</v>
      </c>
      <c r="G2022" s="9" t="s">
        <v>3866</v>
      </c>
      <c r="H2022" s="9" t="s">
        <v>20193</v>
      </c>
      <c r="I2022" s="9" t="s">
        <v>3867</v>
      </c>
      <c r="J2022" s="9" t="s">
        <v>3868</v>
      </c>
      <c r="K2022" s="4" t="s">
        <v>15175</v>
      </c>
      <c r="L2022" s="13">
        <v>12406</v>
      </c>
      <c r="M2022" t="str">
        <f>VLOOKUP(L2022,[1]Human_BrainSpan!$B$2:$C$4000,2,FALSE)</f>
        <v>PN</v>
      </c>
    </row>
    <row r="2023" spans="2:13" x14ac:dyDescent="0.25">
      <c r="B2023" s="31" t="s">
        <v>25743</v>
      </c>
      <c r="C2023" s="20"/>
      <c r="D2023" s="25" t="s">
        <v>26125</v>
      </c>
      <c r="E2023" s="25"/>
      <c r="F2023" s="9" t="str">
        <f>HYPERLINK("https://www.ebi.ac.uk/ols/ontologies/uberon/terms?iri=http://purl.obolibrary.org/obo/UBERON_0002151","pontine nuclear group")</f>
        <v>pontine nuclear group</v>
      </c>
      <c r="G2023" s="9" t="s">
        <v>3866</v>
      </c>
      <c r="H2023" s="9" t="s">
        <v>24254</v>
      </c>
      <c r="I2023" s="9" t="s">
        <v>3869</v>
      </c>
      <c r="J2023" s="9" t="s">
        <v>3870</v>
      </c>
      <c r="K2023" s="7" t="s">
        <v>15171</v>
      </c>
      <c r="L2023" s="13">
        <v>9133</v>
      </c>
      <c r="M2023" t="str">
        <f>VLOOKUP(L2023,[1]HBA!$B$2:$C$4000,2,FALSE)</f>
        <v>Pn</v>
      </c>
    </row>
    <row r="2024" spans="2:13" x14ac:dyDescent="0.25">
      <c r="B2024" s="31" t="s">
        <v>25743</v>
      </c>
      <c r="C2024" s="20"/>
      <c r="D2024" s="25" t="s">
        <v>26125</v>
      </c>
      <c r="E2024" s="25"/>
      <c r="F2024" s="9" t="str">
        <f>HYPERLINK("https://www.ebi.ac.uk/ols/ontologies/uberon/terms?iri=http://purl.obolibrary.org/obo/UBERON_0002151","pontine nuclear group")</f>
        <v>pontine nuclear group</v>
      </c>
      <c r="G2024" s="9" t="s">
        <v>3866</v>
      </c>
      <c r="H2024" s="9" t="s">
        <v>20348</v>
      </c>
      <c r="I2024" s="9" t="s">
        <v>3871</v>
      </c>
      <c r="J2024" s="9" t="s">
        <v>3872</v>
      </c>
      <c r="K2024" s="3" t="s">
        <v>15176</v>
      </c>
      <c r="L2024" s="13">
        <v>931</v>
      </c>
      <c r="M2024" t="str">
        <f>VLOOKUP(L2024,[1]Mouse_ARA!$B$2:$C$1328,2,FALSE)</f>
        <v>PG</v>
      </c>
    </row>
    <row r="2025" spans="2:13" x14ac:dyDescent="0.25">
      <c r="B2025" s="31" t="s">
        <v>25743</v>
      </c>
      <c r="C2025" s="20"/>
      <c r="D2025" s="25" t="s">
        <v>12796</v>
      </c>
      <c r="E2025" s="25"/>
      <c r="F2025" s="9" t="str">
        <f>HYPERLINK("https://www.ebi.ac.uk/ols/ontologies/uberon/terms?iri=http://purl.obolibrary.org/obo/UBERON_0002047","pontine raphe nucleus")</f>
        <v>pontine raphe nucleus</v>
      </c>
      <c r="G2025" s="9" t="s">
        <v>3873</v>
      </c>
      <c r="H2025" s="9" t="s">
        <v>24317</v>
      </c>
      <c r="I2025" s="9" t="s">
        <v>3874</v>
      </c>
      <c r="J2025" s="9" t="s">
        <v>3875</v>
      </c>
      <c r="K2025" s="4" t="s">
        <v>15175</v>
      </c>
      <c r="L2025" s="13">
        <v>12471</v>
      </c>
      <c r="M2025" t="str">
        <f>VLOOKUP(L2025,[1]Human_BrainSpan!$B$2:$C$4000,2,FALSE)</f>
        <v>PnRa</v>
      </c>
    </row>
    <row r="2026" spans="2:13" x14ac:dyDescent="0.25">
      <c r="B2026" s="31" t="s">
        <v>25743</v>
      </c>
      <c r="C2026" s="20"/>
      <c r="D2026" s="25" t="s">
        <v>12796</v>
      </c>
      <c r="E2026" s="25"/>
      <c r="F2026" s="9" t="str">
        <f>HYPERLINK("https://www.ebi.ac.uk/ols/ontologies/uberon/terms?iri=http://purl.obolibrary.org/obo/UBERON_0002047","pontine raphe nucleus")</f>
        <v>pontine raphe nucleus</v>
      </c>
      <c r="G2026" s="9" t="s">
        <v>3873</v>
      </c>
      <c r="H2026" s="9" t="s">
        <v>24321</v>
      </c>
      <c r="I2026" s="9" t="s">
        <v>3874</v>
      </c>
      <c r="J2026" s="9" t="s">
        <v>3876</v>
      </c>
      <c r="K2026" s="4" t="s">
        <v>15175</v>
      </c>
      <c r="L2026" s="13">
        <v>12475</v>
      </c>
      <c r="M2026" t="str">
        <f>VLOOKUP(L2026,[1]Human_BrainSpan!$B$2:$C$4000,2,FALSE)</f>
        <v>PRn</v>
      </c>
    </row>
    <row r="2027" spans="2:13" x14ac:dyDescent="0.25">
      <c r="B2027" s="31" t="s">
        <v>25743</v>
      </c>
      <c r="C2027" s="20"/>
      <c r="D2027" s="25" t="s">
        <v>12796</v>
      </c>
      <c r="E2027" s="25"/>
      <c r="F2027" s="9" t="str">
        <f>HYPERLINK("https://www.ebi.ac.uk/ols/ontologies/uberon/terms?iri=http://purl.obolibrary.org/obo/UBERON_0002047","pontine raphe nucleus")</f>
        <v>pontine raphe nucleus</v>
      </c>
      <c r="G2027" s="9" t="s">
        <v>3873</v>
      </c>
      <c r="H2027" s="9" t="s">
        <v>25437</v>
      </c>
      <c r="I2027" s="9" t="s">
        <v>3877</v>
      </c>
      <c r="J2027" s="9" t="s">
        <v>3878</v>
      </c>
      <c r="K2027" s="7" t="s">
        <v>15171</v>
      </c>
      <c r="L2027" s="13">
        <v>9159</v>
      </c>
      <c r="M2027" t="str">
        <f>VLOOKUP(L2027,[1]HBA!$B$2:$C$4000,2,FALSE)</f>
        <v>RPn</v>
      </c>
    </row>
    <row r="2028" spans="2:13" x14ac:dyDescent="0.25">
      <c r="B2028" s="31" t="s">
        <v>25743</v>
      </c>
      <c r="C2028" s="20"/>
      <c r="D2028" s="25" t="s">
        <v>12796</v>
      </c>
      <c r="E2028" s="25"/>
      <c r="F2028" s="9" t="str">
        <f>HYPERLINK("https://www.ebi.ac.uk/ols/ontologies/uberon/terms?iri=http://purl.obolibrary.org/obo/UBERON_0002047","pontine raphe nucleus")</f>
        <v>pontine raphe nucleus</v>
      </c>
      <c r="G2028" s="9" t="s">
        <v>3873</v>
      </c>
      <c r="H2028" s="9" t="s">
        <v>20385</v>
      </c>
      <c r="I2028" s="9" t="s">
        <v>3879</v>
      </c>
      <c r="J2028" s="9" t="s">
        <v>3880</v>
      </c>
      <c r="K2028" s="3" t="s">
        <v>15176</v>
      </c>
      <c r="L2028" s="13">
        <v>238</v>
      </c>
      <c r="M2028" t="str">
        <f>VLOOKUP(L2028,[1]Mouse_ARA!$B$2:$C$1328,2,FALSE)</f>
        <v>RPO</v>
      </c>
    </row>
    <row r="2029" spans="2:13" x14ac:dyDescent="0.25">
      <c r="B2029" s="31" t="s">
        <v>25743</v>
      </c>
      <c r="C2029" s="20"/>
      <c r="D2029" s="25" t="s">
        <v>26126</v>
      </c>
      <c r="E2029" s="25"/>
      <c r="F2029" s="9" t="str">
        <f>HYPERLINK("https://www.ebi.ac.uk/ols/ontologies/uberon/terms?iri=http://purl.obolibrary.org/obo/UBERON_0002573","pontine reticular formation")</f>
        <v>pontine reticular formation</v>
      </c>
      <c r="G2029" s="9" t="s">
        <v>3881</v>
      </c>
      <c r="H2029" s="9" t="s">
        <v>24322</v>
      </c>
      <c r="I2029" s="9" t="s">
        <v>3882</v>
      </c>
      <c r="J2029" s="9" t="s">
        <v>3883</v>
      </c>
      <c r="K2029" s="4" t="s">
        <v>15175</v>
      </c>
      <c r="L2029" s="13">
        <v>12480</v>
      </c>
      <c r="M2029" t="str">
        <f>VLOOKUP(L2029,[1]Human_BrainSpan!$B$2:$C$4000,2,FALSE)</f>
        <v>PnRF</v>
      </c>
    </row>
    <row r="2030" spans="2:13" x14ac:dyDescent="0.25">
      <c r="B2030" s="31" t="s">
        <v>25743</v>
      </c>
      <c r="C2030" s="20"/>
      <c r="D2030" s="25" t="s">
        <v>26126</v>
      </c>
      <c r="E2030" s="25"/>
      <c r="F2030" s="9" t="str">
        <f>HYPERLINK("https://www.ebi.ac.uk/ols/ontologies/uberon/terms?iri=http://purl.obolibrary.org/obo/UBERON_0002573","pontine reticular formation")</f>
        <v>pontine reticular formation</v>
      </c>
      <c r="G2030" s="9" t="s">
        <v>3881</v>
      </c>
      <c r="H2030" s="9" t="s">
        <v>25439</v>
      </c>
      <c r="I2030" s="9" t="s">
        <v>3884</v>
      </c>
      <c r="J2030" s="9" t="s">
        <v>3885</v>
      </c>
      <c r="K2030" s="7" t="s">
        <v>15171</v>
      </c>
      <c r="L2030" s="13">
        <v>9161</v>
      </c>
      <c r="M2030" t="str">
        <f>VLOOKUP(L2030,[1]HBA!$B$2:$C$4000,2,FALSE)</f>
        <v>PRF</v>
      </c>
    </row>
    <row r="2031" spans="2:13" x14ac:dyDescent="0.25">
      <c r="B2031" s="31" t="s">
        <v>25743</v>
      </c>
      <c r="C2031" s="20"/>
      <c r="D2031" s="25" t="s">
        <v>3887</v>
      </c>
      <c r="E2031" s="25"/>
      <c r="F2031" s="9" t="str">
        <f>HYPERLINK("https://www.ebi.ac.uk/ols/ontologies/uberon/terms?iri=http://purl.obolibrary.org/obo/UBERON_0003023","pontine tegmentum")</f>
        <v>pontine tegmentum</v>
      </c>
      <c r="G2031" s="9" t="s">
        <v>3886</v>
      </c>
      <c r="H2031" s="9" t="s">
        <v>24264</v>
      </c>
      <c r="I2031" s="9" t="s">
        <v>3887</v>
      </c>
      <c r="J2031" s="9" t="s">
        <v>3888</v>
      </c>
      <c r="K2031" s="4" t="s">
        <v>15175</v>
      </c>
      <c r="L2031" s="13">
        <v>12416</v>
      </c>
      <c r="M2031" t="str">
        <f>VLOOKUP(L2031,[1]Human_BrainSpan!$B$2:$C$4000,2,FALSE)</f>
        <v>PnTg</v>
      </c>
    </row>
    <row r="2032" spans="2:13" x14ac:dyDescent="0.25">
      <c r="B2032" s="31" t="s">
        <v>25743</v>
      </c>
      <c r="C2032" s="20"/>
      <c r="D2032" s="25" t="s">
        <v>3887</v>
      </c>
      <c r="E2032" s="25"/>
      <c r="F2032" s="9" t="str">
        <f>HYPERLINK("https://www.ebi.ac.uk/ols/ontologies/uberon/terms?iri=http://purl.obolibrary.org/obo/UBERON_0003023","pontine tegmentum")</f>
        <v>pontine tegmentum</v>
      </c>
      <c r="G2032" s="9" t="s">
        <v>3886</v>
      </c>
      <c r="H2032" s="9" t="s">
        <v>17464</v>
      </c>
      <c r="I2032" s="9" t="s">
        <v>3887</v>
      </c>
      <c r="J2032" s="9" t="s">
        <v>3889</v>
      </c>
      <c r="K2032" s="7" t="s">
        <v>15171</v>
      </c>
      <c r="L2032" s="13">
        <v>9135</v>
      </c>
      <c r="M2032" t="str">
        <f>VLOOKUP(L2032,[1]HBA!$B$2:$C$4000,2,FALSE)</f>
        <v>PTg</v>
      </c>
    </row>
    <row r="2033" spans="2:13" x14ac:dyDescent="0.25">
      <c r="B2033" s="31" t="s">
        <v>25743</v>
      </c>
      <c r="C2033" s="20"/>
      <c r="D2033" s="25" t="s">
        <v>3891</v>
      </c>
      <c r="E2033" s="25"/>
      <c r="F2033" s="9" t="str">
        <f>HYPERLINK("https://www.ebi.ac.uk/ols/ontologies/uberon/terms?iri=http://purl.obolibrary.org/obo/UBERON_0002880","pontobulbar nucleus")</f>
        <v>pontobulbar nucleus</v>
      </c>
      <c r="G2033" s="9" t="s">
        <v>3890</v>
      </c>
      <c r="H2033" s="9" t="s">
        <v>24444</v>
      </c>
      <c r="I2033" s="9" t="s">
        <v>3891</v>
      </c>
      <c r="J2033" s="9" t="s">
        <v>3892</v>
      </c>
      <c r="K2033" s="4" t="s">
        <v>15175</v>
      </c>
      <c r="L2033" s="13">
        <v>12614</v>
      </c>
      <c r="M2033" t="str">
        <f>VLOOKUP(L2033,[1]Human_BrainSpan!$B$2:$C$4000,2,FALSE)</f>
        <v>PnbN</v>
      </c>
    </row>
    <row r="2034" spans="2:13" x14ac:dyDescent="0.25">
      <c r="B2034" s="31" t="s">
        <v>25743</v>
      </c>
      <c r="C2034" s="20"/>
      <c r="D2034" s="25" t="s">
        <v>3891</v>
      </c>
      <c r="E2034" s="25"/>
      <c r="F2034" s="9" t="str">
        <f>HYPERLINK("https://www.ebi.ac.uk/ols/ontologies/uberon/terms?iri=http://purl.obolibrary.org/obo/UBERON_0002880","pontobulbar nucleus")</f>
        <v>pontobulbar nucleus</v>
      </c>
      <c r="G2034" s="9" t="s">
        <v>3890</v>
      </c>
      <c r="H2034" s="9" t="s">
        <v>25462</v>
      </c>
      <c r="I2034" s="9" t="s">
        <v>3891</v>
      </c>
      <c r="J2034" s="9" t="s">
        <v>3893</v>
      </c>
      <c r="K2034" s="7" t="s">
        <v>15171</v>
      </c>
      <c r="L2034" s="13">
        <v>9636</v>
      </c>
      <c r="M2034" t="str">
        <f>VLOOKUP(L2034,[1]HBA!$B$2:$C$4000,2,FALSE)</f>
        <v>PnB</v>
      </c>
    </row>
    <row r="2035" spans="2:13" x14ac:dyDescent="0.25">
      <c r="B2035" s="37" t="s">
        <v>25743</v>
      </c>
      <c r="C2035" s="20"/>
      <c r="D2035" s="25" t="s">
        <v>3895</v>
      </c>
      <c r="E2035" s="25"/>
      <c r="F2035" s="9" t="str">
        <f>HYPERLINK("https://www.ebi.ac.uk/ols/ontologies/uberon/terms?iri=http://purl.obolibrary.org/obo/UBERON_0022421","pontocerebellar tract")</f>
        <v>pontocerebellar tract</v>
      </c>
      <c r="G2035" s="9" t="s">
        <v>3894</v>
      </c>
      <c r="H2035" s="9" t="s">
        <v>24630</v>
      </c>
      <c r="I2035" s="9" t="s">
        <v>3895</v>
      </c>
      <c r="J2035" s="9" t="s">
        <v>3896</v>
      </c>
      <c r="K2035" s="4" t="s">
        <v>15175</v>
      </c>
      <c r="L2035" s="13">
        <v>12769</v>
      </c>
      <c r="M2035" t="str">
        <f>VLOOKUP(L2035,[1]Human_BrainSpan!$B$2:$C$4000,2,FALSE)</f>
        <v>pncb</v>
      </c>
    </row>
    <row r="2036" spans="2:13" x14ac:dyDescent="0.25">
      <c r="B2036" s="37" t="s">
        <v>25743</v>
      </c>
      <c r="C2036" s="20"/>
      <c r="D2036" s="25" t="s">
        <v>3895</v>
      </c>
      <c r="E2036" s="25"/>
      <c r="F2036" s="9" t="str">
        <f>HYPERLINK("https://www.ebi.ac.uk/ols/ontologies/uberon/terms?iri=http://purl.obolibrary.org/obo/UBERON_0022421","pontocerebellar tract")</f>
        <v>pontocerebellar tract</v>
      </c>
      <c r="G2036" s="9" t="s">
        <v>3894</v>
      </c>
      <c r="H2036" s="9" t="s">
        <v>24630</v>
      </c>
      <c r="I2036" s="9" t="s">
        <v>3897</v>
      </c>
      <c r="J2036" s="9" t="s">
        <v>3898</v>
      </c>
      <c r="K2036" s="7" t="s">
        <v>15171</v>
      </c>
      <c r="L2036" s="13">
        <v>265505470</v>
      </c>
      <c r="M2036" t="str">
        <f>VLOOKUP(L2036,[1]HBA!$B$2:$C$4000,2,FALSE)</f>
        <v>pncb</v>
      </c>
    </row>
    <row r="2037" spans="2:13" x14ac:dyDescent="0.25">
      <c r="B2037" s="31" t="s">
        <v>25743</v>
      </c>
      <c r="C2037" s="20"/>
      <c r="D2037" s="25" t="s">
        <v>3900</v>
      </c>
      <c r="E2037" s="25"/>
      <c r="F2037" s="9" t="str">
        <f>HYPERLINK("https://www.ebi.ac.uk/ols/ontologies/uberon/terms?iri=http://purl.obolibrary.org/obo/UBERON_0002581","postcentral gyrus")</f>
        <v>postcentral gyrus</v>
      </c>
      <c r="G2037" s="9" t="s">
        <v>3899</v>
      </c>
      <c r="H2037" s="9" t="s">
        <v>23815</v>
      </c>
      <c r="I2037" s="9" t="s">
        <v>3900</v>
      </c>
      <c r="J2037" s="9" t="s">
        <v>3901</v>
      </c>
      <c r="K2037" s="4" t="s">
        <v>15175</v>
      </c>
      <c r="L2037" s="13">
        <v>12132</v>
      </c>
      <c r="M2037" t="str">
        <f>VLOOKUP(L2037,[1]Human_BrainSpan!$B$2:$C$4000,2,FALSE)</f>
        <v>PoCG</v>
      </c>
    </row>
    <row r="2038" spans="2:13" x14ac:dyDescent="0.25">
      <c r="B2038" s="31" t="s">
        <v>25743</v>
      </c>
      <c r="C2038" s="20"/>
      <c r="D2038" s="25" t="s">
        <v>3900</v>
      </c>
      <c r="E2038" s="25"/>
      <c r="F2038" s="9" t="str">
        <f>HYPERLINK("https://www.ebi.ac.uk/ols/ontologies/uberon/terms?iri=http://purl.obolibrary.org/obo/UBERON_0002581","postcentral gyrus")</f>
        <v>postcentral gyrus</v>
      </c>
      <c r="G2038" s="9" t="s">
        <v>3899</v>
      </c>
      <c r="H2038" s="9" t="s">
        <v>24815</v>
      </c>
      <c r="I2038" s="9" t="s">
        <v>3900</v>
      </c>
      <c r="J2038" s="9" t="s">
        <v>3902</v>
      </c>
      <c r="K2038" s="7" t="s">
        <v>15171</v>
      </c>
      <c r="L2038" s="13">
        <v>4085</v>
      </c>
      <c r="M2038" t="str">
        <f>VLOOKUP(L2038,[1]HBA!$B$2:$C$4000,2,FALSE)</f>
        <v>PoG</v>
      </c>
    </row>
    <row r="2039" spans="2:13" x14ac:dyDescent="0.25">
      <c r="B2039" s="31" t="s">
        <v>25743</v>
      </c>
      <c r="C2039" s="20"/>
      <c r="D2039" s="25" t="s">
        <v>26127</v>
      </c>
      <c r="E2039" s="25"/>
      <c r="F2039" s="9" t="str">
        <f>HYPERLINK("https://www.ebi.ac.uk/ols/ontologies/uberon/terms?iri=http://purl.obolibrary.org/obo/UBERON_0002915","postcentral sulcus of parietal lobe")</f>
        <v>postcentral sulcus of parietal lobe</v>
      </c>
      <c r="G2039" s="9" t="s">
        <v>3903</v>
      </c>
      <c r="H2039" s="9" t="s">
        <v>23725</v>
      </c>
      <c r="I2039" s="9" t="s">
        <v>3904</v>
      </c>
      <c r="J2039" s="9" t="s">
        <v>3905</v>
      </c>
      <c r="K2039" s="4" t="s">
        <v>15175</v>
      </c>
      <c r="L2039" s="13">
        <v>10627</v>
      </c>
      <c r="M2039" t="str">
        <f>VLOOKUP(L2039,[1]Human_BrainSpan!$B$2:$C$4000,2,FALSE)</f>
        <v>pocs</v>
      </c>
    </row>
    <row r="2040" spans="2:13" x14ac:dyDescent="0.25">
      <c r="B2040" s="31" t="s">
        <v>25743</v>
      </c>
      <c r="C2040" s="20"/>
      <c r="D2040" s="25" t="s">
        <v>26127</v>
      </c>
      <c r="E2040" s="25"/>
      <c r="F2040" s="9" t="str">
        <f>HYPERLINK("https://www.ebi.ac.uk/ols/ontologies/uberon/terms?iri=http://purl.obolibrary.org/obo/UBERON_0002915","postcentral sulcus of parietal lobe")</f>
        <v>postcentral sulcus of parietal lobe</v>
      </c>
      <c r="G2040" s="9" t="s">
        <v>3903</v>
      </c>
      <c r="H2040" s="9" t="s">
        <v>23725</v>
      </c>
      <c r="I2040" s="9" t="s">
        <v>3904</v>
      </c>
      <c r="J2040" s="9" t="s">
        <v>3906</v>
      </c>
      <c r="K2040" s="7" t="s">
        <v>15171</v>
      </c>
      <c r="L2040" s="13">
        <v>9371</v>
      </c>
      <c r="M2040" t="str">
        <f>VLOOKUP(L2040,[1]HBA!$B$2:$C$4000,2,FALSE)</f>
        <v>pocs</v>
      </c>
    </row>
    <row r="2041" spans="2:13" x14ac:dyDescent="0.25">
      <c r="B2041" s="31" t="s">
        <v>25743</v>
      </c>
      <c r="C2041" s="20"/>
      <c r="D2041" s="25" t="s">
        <v>26128</v>
      </c>
      <c r="E2041" s="25"/>
      <c r="F2041" s="9" t="str">
        <f>HYPERLINK("https://www.ebi.ac.uk/ols/ontologies/uberon/terms?iri=http://purl.obolibrary.org/obo/UBERON_0003016","postcommissural fornix of brain")</f>
        <v>postcommissural fornix of brain</v>
      </c>
      <c r="G2041" s="9" t="s">
        <v>3907</v>
      </c>
      <c r="H2041" s="9" t="s">
        <v>20895</v>
      </c>
      <c r="I2041" s="9" t="s">
        <v>3908</v>
      </c>
      <c r="J2041" s="9" t="s">
        <v>3909</v>
      </c>
      <c r="K2041" s="3" t="s">
        <v>15176</v>
      </c>
      <c r="L2041" s="13">
        <v>737</v>
      </c>
      <c r="M2041" t="str">
        <f>VLOOKUP(L2041,[1]Mouse_ARA!$B$2:$C$1328,2,FALSE)</f>
        <v>fxpo</v>
      </c>
    </row>
    <row r="2042" spans="2:13" x14ac:dyDescent="0.25">
      <c r="B2042" s="31" t="s">
        <v>25743</v>
      </c>
      <c r="C2042" s="20"/>
      <c r="D2042" s="25" t="s">
        <v>26129</v>
      </c>
      <c r="E2042" s="25"/>
      <c r="F2042" s="9" t="str">
        <f>HYPERLINK("https://www.ebi.ac.uk/ols/ontologies/uberon/terms?iri=http://purl.obolibrary.org/obo/UBERON_0022229","posterior amygdaloid nucleus")</f>
        <v>posterior amygdaloid nucleus</v>
      </c>
      <c r="G2042" s="9" t="s">
        <v>3910</v>
      </c>
      <c r="H2042" s="9" t="s">
        <v>19736</v>
      </c>
      <c r="I2042" s="9" t="s">
        <v>3911</v>
      </c>
      <c r="J2042" s="9" t="s">
        <v>3912</v>
      </c>
      <c r="K2042" s="3" t="s">
        <v>15176</v>
      </c>
      <c r="L2042" s="13">
        <v>780</v>
      </c>
      <c r="M2042" t="str">
        <f>VLOOKUP(L2042,[1]Mouse_ARA!$B$2:$C$1328,2,FALSE)</f>
        <v>PA</v>
      </c>
    </row>
    <row r="2043" spans="2:13" x14ac:dyDescent="0.25">
      <c r="B2043" s="31" t="s">
        <v>26302</v>
      </c>
      <c r="C2043" s="25" t="s">
        <v>1242</v>
      </c>
      <c r="D2043" s="25" t="s">
        <v>26130</v>
      </c>
      <c r="E2043" s="25"/>
      <c r="F2043" s="9" t="str">
        <f>HYPERLINK("https://www.ebi.ac.uk/ols/ontologies/uberon/terms?iri=http://purl.obolibrary.org/obo/UBERON_0002901","posterior calcarine sulcus")</f>
        <v>posterior calcarine sulcus</v>
      </c>
      <c r="G2043" s="9" t="s">
        <v>3913</v>
      </c>
      <c r="H2043" s="9" t="s">
        <v>22822</v>
      </c>
      <c r="I2043" s="9" t="s">
        <v>3914</v>
      </c>
      <c r="J2043" s="9" t="s">
        <v>3915</v>
      </c>
      <c r="K2043" s="4" t="s">
        <v>15175</v>
      </c>
      <c r="L2043" s="13">
        <v>10285</v>
      </c>
      <c r="M2043" t="str">
        <f>VLOOKUP(L2043,[1]Human_BrainSpan!$B$2:$C$4000,2,FALSE)</f>
        <v>PCC</v>
      </c>
    </row>
    <row r="2044" spans="2:13" x14ac:dyDescent="0.25">
      <c r="B2044" s="31" t="s">
        <v>25743</v>
      </c>
      <c r="C2044" s="20"/>
      <c r="D2044" s="25" t="s">
        <v>26131</v>
      </c>
      <c r="E2044" s="25"/>
      <c r="F2044" s="9" t="str">
        <f>HYPERLINK("https://www.ebi.ac.uk/ols/ontologies/uberon/terms?iri=http://purl.obolibrary.org/obo/UBERON_0006115","posterior column of fornix")</f>
        <v>posterior column of fornix</v>
      </c>
      <c r="G2044" s="9" t="s">
        <v>3916</v>
      </c>
      <c r="H2044" s="9" t="s">
        <v>23582</v>
      </c>
      <c r="I2044" s="9" t="s">
        <v>3917</v>
      </c>
      <c r="J2044" s="9" t="s">
        <v>3918</v>
      </c>
      <c r="K2044" s="4" t="s">
        <v>15175</v>
      </c>
      <c r="L2044" s="13">
        <v>10579</v>
      </c>
      <c r="M2044" t="str">
        <f>VLOOKUP(L2044,[1]Human_BrainSpan!$B$2:$C$4000,2,FALSE)</f>
        <v>fx-cr</v>
      </c>
    </row>
    <row r="2045" spans="2:13" x14ac:dyDescent="0.25">
      <c r="B2045" s="31" t="s">
        <v>25743</v>
      </c>
      <c r="C2045" s="20"/>
      <c r="D2045" s="25" t="s">
        <v>26131</v>
      </c>
      <c r="E2045" s="25"/>
      <c r="F2045" s="9" t="str">
        <f>HYPERLINK("https://www.ebi.ac.uk/ols/ontologies/uberon/terms?iri=http://purl.obolibrary.org/obo/UBERON_0006115","posterior column of fornix")</f>
        <v>posterior column of fornix</v>
      </c>
      <c r="G2045" s="9" t="s">
        <v>3916</v>
      </c>
      <c r="H2045" s="9" t="s">
        <v>25488</v>
      </c>
      <c r="I2045" s="9" t="s">
        <v>3919</v>
      </c>
      <c r="J2045" s="9" t="s">
        <v>3920</v>
      </c>
      <c r="K2045" s="7" t="s">
        <v>15171</v>
      </c>
      <c r="L2045" s="13">
        <v>9254</v>
      </c>
      <c r="M2045" t="str">
        <f>VLOOKUP(L2045,[1]HBA!$B$2:$C$4000,2,FALSE)</f>
        <v>pfx</v>
      </c>
    </row>
    <row r="2046" spans="2:13" x14ac:dyDescent="0.25">
      <c r="B2046" s="31" t="s">
        <v>25743</v>
      </c>
      <c r="C2046" s="20"/>
      <c r="D2046" s="25" t="s">
        <v>3922</v>
      </c>
      <c r="E2046" s="25"/>
      <c r="F2046" s="9" t="str">
        <f>HYPERLINK("https://www.ebi.ac.uk/ols/ontologies/uberon/terms?iri=http://purl.obolibrary.org/obo/UBERON_0000936","posterior commissure")</f>
        <v>posterior commissure</v>
      </c>
      <c r="G2046" s="9" t="s">
        <v>3921</v>
      </c>
      <c r="H2046" s="9" t="s">
        <v>20912</v>
      </c>
      <c r="I2046" s="9" t="s">
        <v>3922</v>
      </c>
      <c r="J2046" s="9" t="s">
        <v>3923</v>
      </c>
      <c r="K2046" s="4" t="s">
        <v>15175</v>
      </c>
      <c r="L2046" s="13">
        <v>10567</v>
      </c>
      <c r="M2046" t="str">
        <f>VLOOKUP(L2046,[1]Human_BrainSpan!$B$2:$C$4000,2,FALSE)</f>
        <v>poc</v>
      </c>
    </row>
    <row r="2047" spans="2:13" x14ac:dyDescent="0.25">
      <c r="B2047" s="31" t="s">
        <v>25743</v>
      </c>
      <c r="C2047" s="20"/>
      <c r="D2047" s="25" t="s">
        <v>3922</v>
      </c>
      <c r="E2047" s="25"/>
      <c r="F2047" s="9" t="str">
        <f>HYPERLINK("https://www.ebi.ac.uk/ols/ontologies/uberon/terms?iri=http://purl.obolibrary.org/obo/UBERON_0000936","posterior commissure")</f>
        <v>posterior commissure</v>
      </c>
      <c r="G2047" s="9" t="s">
        <v>3921</v>
      </c>
      <c r="H2047" s="9" t="s">
        <v>18486</v>
      </c>
      <c r="I2047" s="9" t="s">
        <v>3922</v>
      </c>
      <c r="J2047" s="9" t="s">
        <v>3924</v>
      </c>
      <c r="K2047" s="5" t="s">
        <v>15173</v>
      </c>
      <c r="L2047" s="13">
        <v>17787</v>
      </c>
      <c r="M2047" t="str">
        <f>VLOOKUP(L2047,[1]DevMouse!$B$2:$C$2693,2,FALSE)</f>
        <v>pc</v>
      </c>
    </row>
    <row r="2048" spans="2:13" x14ac:dyDescent="0.25">
      <c r="B2048" s="31" t="s">
        <v>25743</v>
      </c>
      <c r="C2048" s="20"/>
      <c r="D2048" s="25" t="s">
        <v>3922</v>
      </c>
      <c r="E2048" s="25"/>
      <c r="F2048" s="9" t="str">
        <f>HYPERLINK("https://www.ebi.ac.uk/ols/ontologies/uberon/terms?iri=http://purl.obolibrary.org/obo/UBERON_0000936","posterior commissure")</f>
        <v>posterior commissure</v>
      </c>
      <c r="G2048" s="9" t="s">
        <v>3921</v>
      </c>
      <c r="H2048" s="9" t="s">
        <v>18486</v>
      </c>
      <c r="I2048" s="9" t="s">
        <v>3922</v>
      </c>
      <c r="J2048" s="9" t="s">
        <v>3925</v>
      </c>
      <c r="K2048" s="7" t="s">
        <v>15171</v>
      </c>
      <c r="L2048" s="13">
        <v>9229</v>
      </c>
      <c r="M2048" t="str">
        <f>VLOOKUP(L2048,[1]HBA!$B$2:$C$4000,2,FALSE)</f>
        <v>pc</v>
      </c>
    </row>
    <row r="2049" spans="2:13" x14ac:dyDescent="0.25">
      <c r="B2049" s="31" t="s">
        <v>25743</v>
      </c>
      <c r="C2049" s="20"/>
      <c r="D2049" s="25" t="s">
        <v>3922</v>
      </c>
      <c r="E2049" s="25"/>
      <c r="F2049" s="9" t="str">
        <f>HYPERLINK("https://www.ebi.ac.uk/ols/ontologies/uberon/terms?iri=http://purl.obolibrary.org/obo/UBERON_0000936","posterior commissure")</f>
        <v>posterior commissure</v>
      </c>
      <c r="G2049" s="9" t="s">
        <v>3921</v>
      </c>
      <c r="H2049" s="9" t="s">
        <v>18486</v>
      </c>
      <c r="I2049" s="9" t="s">
        <v>3922</v>
      </c>
      <c r="J2049" s="9" t="s">
        <v>3926</v>
      </c>
      <c r="K2049" s="3" t="s">
        <v>15176</v>
      </c>
      <c r="L2049" s="13">
        <v>158</v>
      </c>
      <c r="M2049" t="str">
        <f>VLOOKUP(L2049,[1]Mouse_ARA!$B$2:$C$1328,2,FALSE)</f>
        <v>pc</v>
      </c>
    </row>
    <row r="2050" spans="2:13" x14ac:dyDescent="0.25">
      <c r="B2050" s="31" t="s">
        <v>25743</v>
      </c>
      <c r="C2050" s="20"/>
      <c r="D2050" s="25" t="s">
        <v>26132</v>
      </c>
      <c r="E2050" s="25"/>
      <c r="F2050" s="9" t="str">
        <f>HYPERLINK("https://www.ebi.ac.uk/ols/ontologies/uberon/terms?iri=http://purl.obolibrary.org/obo/UBERON_0022427","posterior corona radiata")</f>
        <v>posterior corona radiata</v>
      </c>
      <c r="G2050" s="9" t="s">
        <v>3927</v>
      </c>
      <c r="H2050" s="9" t="s">
        <v>23563</v>
      </c>
      <c r="I2050" s="9" t="s">
        <v>3928</v>
      </c>
      <c r="J2050" s="9" t="s">
        <v>3929</v>
      </c>
      <c r="K2050" s="4" t="s">
        <v>15175</v>
      </c>
      <c r="L2050" s="13">
        <v>15543</v>
      </c>
      <c r="M2050" t="str">
        <f>VLOOKUP(L2050,[1]Human_BrainSpan!$B$2:$C$4000,2,FALSE)</f>
        <v>cor-p</v>
      </c>
    </row>
    <row r="2051" spans="2:13" x14ac:dyDescent="0.25">
      <c r="B2051" s="31" t="s">
        <v>25743</v>
      </c>
      <c r="C2051" s="20"/>
      <c r="D2051" s="25" t="s">
        <v>26133</v>
      </c>
      <c r="E2051" s="25"/>
      <c r="F2051" s="9" t="str">
        <f>HYPERLINK("https://www.ebi.ac.uk/ols/ontologies/uberon/terms?iri=http://purl.obolibrary.org/obo/UBERON_0011177","posterior division of bed nuclei of stria terminalis")</f>
        <v>posterior division of bed nuclei of stria terminalis</v>
      </c>
      <c r="G2051" s="9" t="s">
        <v>3930</v>
      </c>
      <c r="H2051" s="9" t="s">
        <v>19859</v>
      </c>
      <c r="I2051" s="9" t="s">
        <v>3931</v>
      </c>
      <c r="J2051" s="9" t="s">
        <v>3932</v>
      </c>
      <c r="K2051" s="3" t="s">
        <v>15176</v>
      </c>
      <c r="L2051" s="13">
        <v>367</v>
      </c>
      <c r="M2051" t="str">
        <f>VLOOKUP(L2051,[1]Mouse_ARA!$B$2:$C$1328,2,FALSE)</f>
        <v>BSTp</v>
      </c>
    </row>
    <row r="2052" spans="2:13" x14ac:dyDescent="0.25">
      <c r="B2052" s="31" t="s">
        <v>25743</v>
      </c>
      <c r="C2052" s="20"/>
      <c r="D2052" s="25" t="s">
        <v>26134</v>
      </c>
      <c r="E2052" s="25"/>
      <c r="F2052" s="9" t="str">
        <f>HYPERLINK("https://www.ebi.ac.uk/ols/ontologies/uberon/terms?iri=http://purl.obolibrary.org/obo/UBERON_0004672","posterior horn lateral ventricle")</f>
        <v>posterior horn lateral ventricle</v>
      </c>
      <c r="G2052" s="9" t="s">
        <v>3933</v>
      </c>
      <c r="H2052" s="9" t="s">
        <v>23674</v>
      </c>
      <c r="I2052" s="9" t="s">
        <v>3934</v>
      </c>
      <c r="J2052" s="9" t="s">
        <v>3935</v>
      </c>
      <c r="K2052" s="4" t="s">
        <v>15175</v>
      </c>
      <c r="L2052" s="13">
        <v>10599</v>
      </c>
      <c r="M2052" t="str">
        <f>VLOOKUP(L2052,[1]Human_BrainSpan!$B$2:$C$4000,2,FALSE)</f>
        <v>pLV</v>
      </c>
    </row>
    <row r="2053" spans="2:13" x14ac:dyDescent="0.25">
      <c r="B2053" s="31" t="s">
        <v>25743</v>
      </c>
      <c r="C2053" s="20"/>
      <c r="D2053" s="25" t="s">
        <v>26135</v>
      </c>
      <c r="E2053" s="25"/>
      <c r="F2053" s="9" t="str">
        <f>HYPERLINK("https://www.ebi.ac.uk/ols/ontologies/uberon/terms?iri=http://purl.obolibrary.org/obo/UBERON_0002770","posterior hypothalamic region")</f>
        <v>posterior hypothalamic region</v>
      </c>
      <c r="G2053" s="9" t="s">
        <v>3936</v>
      </c>
      <c r="H2053" s="9" t="s">
        <v>24976</v>
      </c>
      <c r="I2053" s="9" t="s">
        <v>3937</v>
      </c>
      <c r="J2053" s="9" t="s">
        <v>3938</v>
      </c>
      <c r="K2053" s="7" t="s">
        <v>15171</v>
      </c>
      <c r="L2053" s="13">
        <v>4665</v>
      </c>
      <c r="M2053" t="str">
        <f>VLOOKUP(L2053,[1]HBA!$B$2:$C$4000,2,FALSE)</f>
        <v>MamR</v>
      </c>
    </row>
    <row r="2054" spans="2:13" x14ac:dyDescent="0.25">
      <c r="B2054" s="31" t="s">
        <v>26303</v>
      </c>
      <c r="C2054" s="25" t="s">
        <v>25996</v>
      </c>
      <c r="D2054" s="25" t="s">
        <v>26136</v>
      </c>
      <c r="E2054" s="25"/>
      <c r="F2054" s="9" t="str">
        <f>HYPERLINK("https://www.ebi.ac.uk/ols/ontologies/uberon/terms?iri=http://purl.obolibrary.org/obo/UBERON_0006334","posterior lateral line")</f>
        <v>posterior lateral line</v>
      </c>
      <c r="G2054" s="9" t="s">
        <v>3939</v>
      </c>
      <c r="H2054" s="9" t="s">
        <v>25115</v>
      </c>
      <c r="I2054" s="9" t="s">
        <v>1751</v>
      </c>
      <c r="J2054" s="9" t="s">
        <v>1752</v>
      </c>
      <c r="K2054" s="7" t="s">
        <v>15171</v>
      </c>
      <c r="L2054" s="13">
        <v>4413</v>
      </c>
      <c r="M2054" t="str">
        <f>VLOOKUP(L2054,[1]HBA!$B$2:$C$4000,2,FALSE)</f>
        <v>Pll</v>
      </c>
    </row>
    <row r="2055" spans="2:13" x14ac:dyDescent="0.25">
      <c r="B2055" s="31" t="s">
        <v>25743</v>
      </c>
      <c r="C2055" s="20"/>
      <c r="D2055" s="25" t="s">
        <v>3941</v>
      </c>
      <c r="E2055" s="25"/>
      <c r="F2055" s="9" t="str">
        <f>HYPERLINK("https://www.ebi.ac.uk/ols/ontologies/uberon/terms?iri=http://purl.obolibrary.org/obo/UBERON_0014527","posterior limb of internal capsule")</f>
        <v>posterior limb of internal capsule</v>
      </c>
      <c r="G2055" s="9" t="s">
        <v>3940</v>
      </c>
      <c r="H2055" s="9" t="s">
        <v>23593</v>
      </c>
      <c r="I2055" s="9" t="s">
        <v>3941</v>
      </c>
      <c r="J2055" s="9" t="s">
        <v>3942</v>
      </c>
      <c r="K2055" s="4" t="s">
        <v>15175</v>
      </c>
      <c r="L2055" s="13">
        <v>10584</v>
      </c>
      <c r="M2055" t="str">
        <f>VLOOKUP(L2055,[1]Human_BrainSpan!$B$2:$C$4000,2,FALSE)</f>
        <v>pic</v>
      </c>
    </row>
    <row r="2056" spans="2:13" x14ac:dyDescent="0.25">
      <c r="B2056" s="31" t="s">
        <v>25743</v>
      </c>
      <c r="C2056" s="20"/>
      <c r="D2056" s="25" t="s">
        <v>26137</v>
      </c>
      <c r="E2056" s="25"/>
      <c r="F2056" s="9" t="str">
        <f>HYPERLINK("https://www.ebi.ac.uk/ols/ontologies/uberon/terms?iri=http://purl.obolibrary.org/obo/UBERON_0004002","posterior lobe of cerebellum")</f>
        <v>posterior lobe of cerebellum</v>
      </c>
      <c r="G2056" s="9" t="s">
        <v>3943</v>
      </c>
      <c r="H2056" s="9" t="s">
        <v>24684</v>
      </c>
      <c r="I2056" s="9" t="s">
        <v>3944</v>
      </c>
      <c r="J2056" s="9" t="s">
        <v>3945</v>
      </c>
      <c r="K2056" s="4" t="s">
        <v>15175</v>
      </c>
      <c r="L2056" s="13">
        <v>12844</v>
      </c>
      <c r="M2056" t="str">
        <f>VLOOKUP(L2056,[1]Human_BrainSpan!$B$2:$C$4000,2,FALSE)</f>
        <v>PCb</v>
      </c>
    </row>
    <row r="2057" spans="2:13" x14ac:dyDescent="0.25">
      <c r="B2057" s="31" t="s">
        <v>26299</v>
      </c>
      <c r="C2057" s="20"/>
      <c r="D2057" s="25" t="s">
        <v>26138</v>
      </c>
      <c r="E2057" s="25"/>
      <c r="F2057" s="9" t="str">
        <f>HYPERLINK("https://www.ebi.ac.uk/ols/ontologies/uberon/terms?iri=http://purl.obolibrary.org/obo/UBERON_0002652","posterior median eminence")</f>
        <v>posterior median eminence</v>
      </c>
      <c r="G2057" s="9" t="s">
        <v>3946</v>
      </c>
      <c r="H2057" s="9" t="s">
        <v>24699</v>
      </c>
      <c r="I2057" s="9" t="s">
        <v>3947</v>
      </c>
      <c r="J2057" s="9" t="s">
        <v>3948</v>
      </c>
      <c r="K2057" s="4" t="s">
        <v>15175</v>
      </c>
      <c r="L2057" s="13">
        <v>12860</v>
      </c>
      <c r="M2057" t="str">
        <f>VLOOKUP(L2057,[1]Human_BrainSpan!$B$2:$C$4000,2,FALSE)</f>
        <v>pmes</v>
      </c>
    </row>
    <row r="2058" spans="2:13" x14ac:dyDescent="0.25">
      <c r="B2058" s="31" t="s">
        <v>25743</v>
      </c>
      <c r="C2058" s="20"/>
      <c r="D2058" s="25" t="s">
        <v>3950</v>
      </c>
      <c r="E2058" s="25"/>
      <c r="F2058" s="9" t="str">
        <f>HYPERLINK("https://www.ebi.ac.uk/ols/ontologies/uberon/terms?iri=http://purl.obolibrary.org/obo/UBERON_0002709","posterior nuclear complex of thalamus")</f>
        <v>posterior nuclear complex of thalamus</v>
      </c>
      <c r="G2058" s="9" t="s">
        <v>3949</v>
      </c>
      <c r="H2058" s="9" t="s">
        <v>23344</v>
      </c>
      <c r="I2058" s="9" t="s">
        <v>3950</v>
      </c>
      <c r="J2058" s="9" t="s">
        <v>3951</v>
      </c>
      <c r="K2058" s="4" t="s">
        <v>15175</v>
      </c>
      <c r="L2058" s="13">
        <v>10428</v>
      </c>
      <c r="M2058" t="str">
        <f>VLOOKUP(L2058,[1]Human_BrainSpan!$B$2:$C$4000,2,FALSE)</f>
        <v>PoN</v>
      </c>
    </row>
    <row r="2059" spans="2:13" x14ac:dyDescent="0.25">
      <c r="B2059" s="31" t="s">
        <v>25743</v>
      </c>
      <c r="C2059" s="20"/>
      <c r="D2059" s="25" t="s">
        <v>3950</v>
      </c>
      <c r="E2059" s="25"/>
      <c r="F2059" s="9" t="str">
        <f>HYPERLINK("https://www.ebi.ac.uk/ols/ontologies/uberon/terms?iri=http://purl.obolibrary.org/obo/UBERON_0002709","posterior nuclear complex of thalamus")</f>
        <v>posterior nuclear complex of thalamus</v>
      </c>
      <c r="G2059" s="9" t="s">
        <v>3949</v>
      </c>
      <c r="H2059" s="9" t="s">
        <v>15212</v>
      </c>
      <c r="I2059" s="9" t="s">
        <v>3952</v>
      </c>
      <c r="J2059" s="9" t="s">
        <v>3953</v>
      </c>
      <c r="K2059" s="3" t="s">
        <v>15176</v>
      </c>
      <c r="L2059" s="13">
        <v>1020</v>
      </c>
      <c r="M2059" t="str">
        <f>VLOOKUP(L2059,[1]Mouse_ARA!$B$2:$C$1328,2,FALSE)</f>
        <v>PO</v>
      </c>
    </row>
    <row r="2060" spans="2:13" x14ac:dyDescent="0.25">
      <c r="B2060" s="31" t="s">
        <v>25743</v>
      </c>
      <c r="C2060" s="20"/>
      <c r="D2060" s="25" t="s">
        <v>26139</v>
      </c>
      <c r="E2060" s="25"/>
      <c r="F2060" s="9" t="str">
        <f>HYPERLINK("https://www.ebi.ac.uk/ols/ontologies/uberon/terms?iri=http://purl.obolibrary.org/obo/UBERON_0002706","posterior nucleus of hypothalamus")</f>
        <v>posterior nucleus of hypothalamus</v>
      </c>
      <c r="G2060" s="9" t="s">
        <v>3954</v>
      </c>
      <c r="H2060" s="9" t="s">
        <v>23524</v>
      </c>
      <c r="I2060" s="9" t="s">
        <v>840</v>
      </c>
      <c r="J2060" s="9" t="s">
        <v>3955</v>
      </c>
      <c r="K2060" s="4" t="s">
        <v>15175</v>
      </c>
      <c r="L2060" s="13">
        <v>10503</v>
      </c>
      <c r="M2060" t="str">
        <f>VLOOKUP(L2060,[1]Human_BrainSpan!$B$2:$C$4000,2,FALSE)</f>
        <v>PHN</v>
      </c>
    </row>
    <row r="2061" spans="2:13" x14ac:dyDescent="0.25">
      <c r="B2061" s="31" t="s">
        <v>25743</v>
      </c>
      <c r="C2061" s="20"/>
      <c r="D2061" s="25" t="s">
        <v>26139</v>
      </c>
      <c r="E2061" s="25"/>
      <c r="F2061" s="9" t="str">
        <f>HYPERLINK("https://www.ebi.ac.uk/ols/ontologies/uberon/terms?iri=http://purl.obolibrary.org/obo/UBERON_0002706","posterior nucleus of hypothalamus")</f>
        <v>posterior nucleus of hypothalamus</v>
      </c>
      <c r="G2061" s="9" t="s">
        <v>3954</v>
      </c>
      <c r="H2061" s="9" t="s">
        <v>24996</v>
      </c>
      <c r="I2061" s="9" t="s">
        <v>3956</v>
      </c>
      <c r="J2061" s="9" t="s">
        <v>3957</v>
      </c>
      <c r="K2061" s="7" t="s">
        <v>15171</v>
      </c>
      <c r="L2061" s="13">
        <v>12910</v>
      </c>
      <c r="M2061" t="str">
        <f>VLOOKUP(L2061,[1]HBA!$B$2:$C$4000,2,FALSE)</f>
        <v>PHA</v>
      </c>
    </row>
    <row r="2062" spans="2:13" x14ac:dyDescent="0.25">
      <c r="B2062" s="31" t="s">
        <v>25743</v>
      </c>
      <c r="C2062" s="20"/>
      <c r="D2062" s="25" t="s">
        <v>26139</v>
      </c>
      <c r="E2062" s="25"/>
      <c r="F2062" s="9" t="str">
        <f>HYPERLINK("https://www.ebi.ac.uk/ols/ontologies/uberon/terms?iri=http://purl.obolibrary.org/obo/UBERON_0002706","posterior nucleus of hypothalamus")</f>
        <v>posterior nucleus of hypothalamus</v>
      </c>
      <c r="G2062" s="9" t="s">
        <v>3954</v>
      </c>
      <c r="H2062" s="9" t="s">
        <v>17577</v>
      </c>
      <c r="I2062" s="9" t="s">
        <v>840</v>
      </c>
      <c r="J2062" s="9" t="s">
        <v>841</v>
      </c>
      <c r="K2062" s="3" t="s">
        <v>15176</v>
      </c>
      <c r="L2062" s="13">
        <v>946</v>
      </c>
      <c r="M2062" t="str">
        <f>VLOOKUP(L2062,[1]Mouse_ARA!$B$2:$C$1328,2,FALSE)</f>
        <v>PH</v>
      </c>
    </row>
    <row r="2063" spans="2:13" x14ac:dyDescent="0.25">
      <c r="B2063" s="31" t="s">
        <v>25743</v>
      </c>
      <c r="C2063" s="20"/>
      <c r="D2063" s="25" t="s">
        <v>3959</v>
      </c>
      <c r="E2063" s="25"/>
      <c r="F2063" s="9" t="str">
        <f>HYPERLINK("https://www.ebi.ac.uk/ols/ontologies/uberon/terms?iri=http://purl.obolibrary.org/obo/UBERON_0003030","posterior nucleus of thalamus")</f>
        <v>posterior nucleus of thalamus</v>
      </c>
      <c r="G2063" s="9" t="s">
        <v>3958</v>
      </c>
      <c r="H2063" s="9" t="s">
        <v>16450</v>
      </c>
      <c r="I2063" s="9" t="s">
        <v>3959</v>
      </c>
      <c r="J2063" s="9" t="s">
        <v>3960</v>
      </c>
      <c r="K2063" s="4" t="s">
        <v>15175</v>
      </c>
      <c r="L2063" s="13">
        <v>10440</v>
      </c>
      <c r="M2063" t="str">
        <f>VLOOKUP(L2063,[1]Human_BrainSpan!$B$2:$C$4000,2,FALSE)</f>
        <v>Po</v>
      </c>
    </row>
    <row r="2064" spans="2:13" x14ac:dyDescent="0.25">
      <c r="B2064" s="31" t="s">
        <v>25743</v>
      </c>
      <c r="C2064" s="20"/>
      <c r="D2064" s="25" t="s">
        <v>3959</v>
      </c>
      <c r="E2064" s="25"/>
      <c r="F2064" s="9" t="str">
        <f>HYPERLINK("https://www.ebi.ac.uk/ols/ontologies/uberon/terms?iri=http://purl.obolibrary.org/obo/UBERON_0003030","posterior nucleus of thalamus")</f>
        <v>posterior nucleus of thalamus</v>
      </c>
      <c r="G2064" s="9" t="s">
        <v>3958</v>
      </c>
      <c r="H2064" s="9" t="s">
        <v>16450</v>
      </c>
      <c r="I2064" s="9" t="s">
        <v>3961</v>
      </c>
      <c r="J2064" s="9" t="s">
        <v>3962</v>
      </c>
      <c r="K2064" s="7" t="s">
        <v>15171</v>
      </c>
      <c r="L2064" s="13">
        <v>4431</v>
      </c>
      <c r="M2064" t="str">
        <f>VLOOKUP(L2064,[1]HBA!$B$2:$C$4000,2,FALSE)</f>
        <v>Po</v>
      </c>
    </row>
    <row r="2065" spans="2:13" x14ac:dyDescent="0.25">
      <c r="B2065" s="31" t="s">
        <v>25743</v>
      </c>
      <c r="C2065" s="20"/>
      <c r="D2065" s="25" t="s">
        <v>3964</v>
      </c>
      <c r="E2065" s="25"/>
      <c r="F2065" s="9" t="str">
        <f>HYPERLINK("https://www.ebi.ac.uk/ols/ontologies/uberon/terms?iri=http://purl.obolibrary.org/obo/UBERON_0002575","posterior orbital gyrus")</f>
        <v>posterior orbital gyrus</v>
      </c>
      <c r="G2065" s="9" t="s">
        <v>3963</v>
      </c>
      <c r="H2065" s="9" t="s">
        <v>23802</v>
      </c>
      <c r="I2065" s="9" t="s">
        <v>3964</v>
      </c>
      <c r="J2065" s="9" t="s">
        <v>3965</v>
      </c>
      <c r="K2065" s="7" t="s">
        <v>15171</v>
      </c>
      <c r="L2065" s="13">
        <v>4056</v>
      </c>
      <c r="M2065" t="str">
        <f>VLOOKUP(L2065,[1]HBA!$B$2:$C$4000,2,FALSE)</f>
        <v>POrG</v>
      </c>
    </row>
    <row r="2066" spans="2:13" x14ac:dyDescent="0.25">
      <c r="B2066" s="31" t="s">
        <v>25743</v>
      </c>
      <c r="C2066" s="20"/>
      <c r="D2066" s="25" t="s">
        <v>3967</v>
      </c>
      <c r="E2066" s="25"/>
      <c r="F2066" s="9" t="str">
        <f>HYPERLINK("https://www.ebi.ac.uk/ols/ontologies/uberon/terms?iri=http://purl.obolibrary.org/obo/UBERON_0002657","posterior parahippocampal gyrus")</f>
        <v>posterior parahippocampal gyrus</v>
      </c>
      <c r="G2066" s="9" t="s">
        <v>3966</v>
      </c>
      <c r="H2066" s="9" t="s">
        <v>17231</v>
      </c>
      <c r="I2066" s="9" t="s">
        <v>3967</v>
      </c>
      <c r="J2066" s="9" t="s">
        <v>3968</v>
      </c>
      <c r="K2066" s="4" t="s">
        <v>15175</v>
      </c>
      <c r="L2066" s="13">
        <v>12164</v>
      </c>
      <c r="M2066" t="str">
        <f>VLOOKUP(L2066,[1]Human_BrainSpan!$B$2:$C$4000,2,FALSE)</f>
        <v>PPH</v>
      </c>
    </row>
    <row r="2067" spans="2:13" x14ac:dyDescent="0.25">
      <c r="B2067" s="31" t="s">
        <v>25743</v>
      </c>
      <c r="C2067" s="20"/>
      <c r="D2067" s="25" t="s">
        <v>26140</v>
      </c>
      <c r="E2067" s="25"/>
      <c r="F2067" s="9" t="str">
        <f>HYPERLINK("https://www.ebi.ac.uk/ols/ontologies/uberon/terms?iri=http://purl.obolibrary.org/obo/UBERON_0000433","posterior paraventricular nucleus of thalamus")</f>
        <v>posterior paraventricular nucleus of thalamus</v>
      </c>
      <c r="G2067" s="9" t="s">
        <v>3969</v>
      </c>
      <c r="H2067" s="9" t="s">
        <v>24923</v>
      </c>
      <c r="I2067" s="9" t="s">
        <v>3970</v>
      </c>
      <c r="J2067" s="9" t="s">
        <v>3971</v>
      </c>
      <c r="K2067" s="7" t="s">
        <v>15171</v>
      </c>
      <c r="L2067" s="13">
        <v>4536</v>
      </c>
      <c r="M2067" t="str">
        <f>VLOOKUP(L2067,[1]HBA!$B$2:$C$4000,2,FALSE)</f>
        <v>PARP</v>
      </c>
    </row>
    <row r="2068" spans="2:13" x14ac:dyDescent="0.25">
      <c r="B2068" s="31" t="s">
        <v>25743</v>
      </c>
      <c r="C2068" s="20"/>
      <c r="D2068" s="25" t="s">
        <v>3973</v>
      </c>
      <c r="E2068" s="25"/>
      <c r="F2068" s="9" t="str">
        <f>HYPERLINK("https://www.ebi.ac.uk/ols/ontologies/uberon/terms?iri=http://purl.obolibrary.org/obo/UBERON_0035886","posterior parietal association areas")</f>
        <v>posterior parietal association areas</v>
      </c>
      <c r="G2068" s="9" t="s">
        <v>3972</v>
      </c>
      <c r="H2068" s="9" t="s">
        <v>19312</v>
      </c>
      <c r="I2068" s="9" t="s">
        <v>3973</v>
      </c>
      <c r="J2068" s="9" t="s">
        <v>3974</v>
      </c>
      <c r="K2068" s="3" t="s">
        <v>15176</v>
      </c>
      <c r="L2068" s="13">
        <v>22</v>
      </c>
      <c r="M2068" t="str">
        <f>VLOOKUP(L2068,[1]Mouse_ARA!$B$2:$C$1328,2,FALSE)</f>
        <v>PTLp</v>
      </c>
    </row>
    <row r="2069" spans="2:13" x14ac:dyDescent="0.25">
      <c r="B2069" s="31" t="s">
        <v>25743</v>
      </c>
      <c r="C2069" s="20"/>
      <c r="D2069" s="25" t="s">
        <v>3976</v>
      </c>
      <c r="E2069" s="25"/>
      <c r="F2069" s="9" t="str">
        <f>HYPERLINK("https://www.ebi.ac.uk/ols/ontologies/uberon/terms?iri=http://purl.obolibrary.org/obo/UBERON_0034889","posterior parietal cortex")</f>
        <v>posterior parietal cortex</v>
      </c>
      <c r="G2069" s="9" t="s">
        <v>3975</v>
      </c>
      <c r="H2069" s="9" t="s">
        <v>22359</v>
      </c>
      <c r="I2069" s="9" t="s">
        <v>3976</v>
      </c>
      <c r="J2069" s="9" t="s">
        <v>3977</v>
      </c>
      <c r="K2069" s="4" t="s">
        <v>15175</v>
      </c>
      <c r="L2069" s="13">
        <v>10214</v>
      </c>
      <c r="M2069" t="str">
        <f>VLOOKUP(L2069,[1]Human_BrainSpan!$B$2:$C$4000,2,FALSE)</f>
        <v>PoPC</v>
      </c>
    </row>
    <row r="2070" spans="2:13" x14ac:dyDescent="0.25">
      <c r="B2070" s="31" t="s">
        <v>25743</v>
      </c>
      <c r="C2070" s="20"/>
      <c r="D2070" s="25" t="s">
        <v>3981</v>
      </c>
      <c r="E2070" s="25"/>
      <c r="F2070" s="9" t="str">
        <f>HYPERLINK("https://www.ebi.ac.uk/ols/ontologies/uberon/terms?iri=http://purl.obolibrary.org/obo/UBERON_0002923","posterior parolfactory sulcus")</f>
        <v>posterior parolfactory sulcus</v>
      </c>
      <c r="G2070" s="9" t="s">
        <v>3978</v>
      </c>
      <c r="H2070" s="9" t="s">
        <v>23760</v>
      </c>
      <c r="I2070" s="9" t="s">
        <v>3979</v>
      </c>
      <c r="J2070" s="9" t="s">
        <v>3980</v>
      </c>
      <c r="K2070" s="4" t="s">
        <v>15175</v>
      </c>
      <c r="L2070" s="13">
        <v>146034828</v>
      </c>
      <c r="M2070" t="str">
        <f>VLOOKUP(L2070,[1]Human_BrainSpan!$B$2:$C$4000,2,FALSE)</f>
        <v>pols-c</v>
      </c>
    </row>
    <row r="2071" spans="2:13" x14ac:dyDescent="0.25">
      <c r="B2071" s="31" t="s">
        <v>25743</v>
      </c>
      <c r="C2071" s="20"/>
      <c r="D2071" s="25" t="s">
        <v>3981</v>
      </c>
      <c r="E2071" s="25"/>
      <c r="F2071" s="9" t="str">
        <f>HYPERLINK("https://www.ebi.ac.uk/ols/ontologies/uberon/terms?iri=http://purl.obolibrary.org/obo/UBERON_0002923","posterior parolfactory sulcus")</f>
        <v>posterior parolfactory sulcus</v>
      </c>
      <c r="G2071" s="9" t="s">
        <v>3978</v>
      </c>
      <c r="H2071" s="9" t="s">
        <v>25528</v>
      </c>
      <c r="I2071" s="9" t="s">
        <v>3981</v>
      </c>
      <c r="J2071" s="9" t="s">
        <v>3982</v>
      </c>
      <c r="K2071" s="7" t="s">
        <v>15171</v>
      </c>
      <c r="L2071" s="13">
        <v>9369</v>
      </c>
      <c r="M2071" t="str">
        <f>VLOOKUP(L2071,[1]HBA!$B$2:$C$4000,2,FALSE)</f>
        <v>ppos</v>
      </c>
    </row>
    <row r="2072" spans="2:13" x14ac:dyDescent="0.25">
      <c r="B2072" s="31" t="s">
        <v>26299</v>
      </c>
      <c r="C2072" s="25" t="s">
        <v>25781</v>
      </c>
      <c r="D2072" s="25" t="s">
        <v>26141</v>
      </c>
      <c r="E2072" s="25"/>
      <c r="F2072" s="9" t="str">
        <f>HYPERLINK("https://www.ebi.ac.uk/ols/ontologies/uberon/terms?iri=http://purl.obolibrary.org/obo/UBERON_0003043","posterior part of anterior commissure")</f>
        <v>posterior part of anterior commissure</v>
      </c>
      <c r="G2072" s="9" t="s">
        <v>3983</v>
      </c>
      <c r="H2072" s="9" t="s">
        <v>20885</v>
      </c>
      <c r="I2072" s="9" t="s">
        <v>3984</v>
      </c>
      <c r="J2072" s="9" t="s">
        <v>3985</v>
      </c>
      <c r="K2072" s="3" t="s">
        <v>15176</v>
      </c>
      <c r="L2072" s="13">
        <v>908</v>
      </c>
      <c r="M2072" t="str">
        <f>VLOOKUP(L2072,[1]Mouse_ARA!$B$2:$C$1328,2,FALSE)</f>
        <v>act</v>
      </c>
    </row>
    <row r="2073" spans="2:13" x14ac:dyDescent="0.25">
      <c r="B2073" s="31" t="s">
        <v>25743</v>
      </c>
      <c r="C2073" s="20"/>
      <c r="D2073" s="25" t="s">
        <v>26142</v>
      </c>
      <c r="E2073" s="25"/>
      <c r="F2073" s="9" t="str">
        <f>HYPERLINK("https://www.ebi.ac.uk/ols/ontologies/uberon/terms?iri=http://purl.obolibrary.org/obo/UBERON_0002708","posterior periventricular nucleus")</f>
        <v>posterior periventricular nucleus</v>
      </c>
      <c r="G2073" s="9" t="s">
        <v>3986</v>
      </c>
      <c r="H2073" s="9" t="s">
        <v>16466</v>
      </c>
      <c r="I2073" s="9" t="s">
        <v>696</v>
      </c>
      <c r="J2073" s="9" t="s">
        <v>697</v>
      </c>
      <c r="K2073" s="5" t="s">
        <v>15173</v>
      </c>
      <c r="L2073" s="13">
        <v>16441</v>
      </c>
      <c r="M2073" t="str">
        <f>VLOOKUP(L2073,[1]DevMouse!$B$2:$C$2693,2,FALSE)</f>
        <v>PVP</v>
      </c>
    </row>
    <row r="2074" spans="2:13" x14ac:dyDescent="0.25">
      <c r="B2074" s="31" t="s">
        <v>25743</v>
      </c>
      <c r="C2074" s="20"/>
      <c r="D2074" s="25" t="s">
        <v>26142</v>
      </c>
      <c r="E2074" s="25"/>
      <c r="F2074" s="9" t="str">
        <f>HYPERLINK("https://www.ebi.ac.uk/ols/ontologies/uberon/terms?iri=http://purl.obolibrary.org/obo/UBERON_0002708","posterior periventricular nucleus")</f>
        <v>posterior periventricular nucleus</v>
      </c>
      <c r="G2074" s="9" t="s">
        <v>3986</v>
      </c>
      <c r="H2074" s="9" t="s">
        <v>20061</v>
      </c>
      <c r="I2074" s="9" t="s">
        <v>743</v>
      </c>
      <c r="J2074" s="9" t="s">
        <v>744</v>
      </c>
      <c r="K2074" s="3" t="s">
        <v>15176</v>
      </c>
      <c r="L2074" s="13">
        <v>126</v>
      </c>
      <c r="M2074" t="str">
        <f>VLOOKUP(L2074,[1]Mouse_ARA!$B$2:$C$1328,2,FALSE)</f>
        <v>PVp</v>
      </c>
    </row>
    <row r="2075" spans="2:13" x14ac:dyDescent="0.25">
      <c r="B2075" s="31" t="s">
        <v>25743</v>
      </c>
      <c r="C2075" s="20"/>
      <c r="D2075" s="25" t="s">
        <v>731</v>
      </c>
      <c r="E2075" s="25"/>
      <c r="F2075" s="9" t="str">
        <f>HYPERLINK("https://www.ebi.ac.uk/ols/ontologies/uberon/terms?iri=http://purl.obolibrary.org/obo/UBERON_0006848","posterior pretectal nucleus")</f>
        <v>posterior pretectal nucleus</v>
      </c>
      <c r="G2075" s="9" t="s">
        <v>3987</v>
      </c>
      <c r="H2075" s="9" t="s">
        <v>20240</v>
      </c>
      <c r="I2075" s="9" t="s">
        <v>731</v>
      </c>
      <c r="J2075" s="9" t="s">
        <v>732</v>
      </c>
      <c r="K2075" s="3" t="s">
        <v>15176</v>
      </c>
      <c r="L2075" s="13">
        <v>1061</v>
      </c>
      <c r="M2075" t="str">
        <f>VLOOKUP(L2075,[1]Mouse_ARA!$B$2:$C$1328,2,FALSE)</f>
        <v>PPT</v>
      </c>
    </row>
    <row r="2076" spans="2:13" x14ac:dyDescent="0.25">
      <c r="B2076" s="31" t="s">
        <v>25743</v>
      </c>
      <c r="C2076" s="20"/>
      <c r="D2076" s="25" t="s">
        <v>26143</v>
      </c>
      <c r="E2076" s="25"/>
      <c r="F2076" s="9" t="str">
        <f>HYPERLINK("https://www.ebi.ac.uk/ols/ontologies/uberon/terms?iri=http://purl.obolibrary.org/obo/UBERON_0035934","posterior segment of paracentral lobule")</f>
        <v>posterior segment of paracentral lobule</v>
      </c>
      <c r="G2076" s="9" t="s">
        <v>3988</v>
      </c>
      <c r="H2076" s="9" t="s">
        <v>24812</v>
      </c>
      <c r="I2076" s="9" t="s">
        <v>3989</v>
      </c>
      <c r="J2076" s="9" t="s">
        <v>3990</v>
      </c>
      <c r="K2076" s="7" t="s">
        <v>15171</v>
      </c>
      <c r="L2076" s="13">
        <v>4125</v>
      </c>
      <c r="M2076" t="str">
        <f>VLOOKUP(L2076,[1]HBA!$B$2:$C$4000,2,FALSE)</f>
        <v>PCLp</v>
      </c>
    </row>
    <row r="2077" spans="2:13" x14ac:dyDescent="0.25">
      <c r="B2077" s="37" t="s">
        <v>25743</v>
      </c>
      <c r="C2077" s="25"/>
      <c r="D2077" s="25" t="s">
        <v>26144</v>
      </c>
      <c r="E2077" s="25"/>
      <c r="F2077" s="9" t="str">
        <f>HYPERLINK("https://www.ebi.ac.uk/ols/ontologies/uberon/terms?iri=http://purl.obolibrary.org/obo/UBERON_0002753","posterior spinocerebellar tract")</f>
        <v>posterior spinocerebellar tract</v>
      </c>
      <c r="G2077" s="9" t="s">
        <v>3991</v>
      </c>
      <c r="H2077" s="9" t="s">
        <v>18452</v>
      </c>
      <c r="I2077" s="9" t="s">
        <v>3992</v>
      </c>
      <c r="J2077" s="9" t="s">
        <v>3993</v>
      </c>
      <c r="K2077" s="4" t="s">
        <v>15175</v>
      </c>
      <c r="L2077" s="13">
        <v>12746</v>
      </c>
      <c r="M2077" t="str">
        <f>VLOOKUP(L2077,[1]Human_BrainSpan!$B$2:$C$4000,2,FALSE)</f>
        <v>dsc</v>
      </c>
    </row>
    <row r="2078" spans="2:13" x14ac:dyDescent="0.25">
      <c r="B2078" s="37" t="s">
        <v>25743</v>
      </c>
      <c r="C2078" s="25"/>
      <c r="D2078" s="25" t="s">
        <v>26144</v>
      </c>
      <c r="E2078" s="25"/>
      <c r="F2078" s="9" t="str">
        <f>HYPERLINK("https://www.ebi.ac.uk/ols/ontologies/uberon/terms?iri=http://purl.obolibrary.org/obo/UBERON_0002753","posterior spinocerebellar tract")</f>
        <v>posterior spinocerebellar tract</v>
      </c>
      <c r="G2078" s="9" t="s">
        <v>3991</v>
      </c>
      <c r="H2078" s="9" t="s">
        <v>18452</v>
      </c>
      <c r="I2078" s="9" t="s">
        <v>3992</v>
      </c>
      <c r="J2078" s="9" t="s">
        <v>3994</v>
      </c>
      <c r="K2078" s="5" t="s">
        <v>15173</v>
      </c>
      <c r="L2078" s="13">
        <v>17761</v>
      </c>
      <c r="M2078" t="str">
        <f>VLOOKUP(L2078,[1]DevMouse!$B$2:$C$2693,2,FALSE)</f>
        <v>dsc</v>
      </c>
    </row>
    <row r="2079" spans="2:13" x14ac:dyDescent="0.25">
      <c r="B2079" s="37" t="s">
        <v>25743</v>
      </c>
      <c r="C2079" s="25"/>
      <c r="D2079" s="25" t="s">
        <v>26144</v>
      </c>
      <c r="E2079" s="25"/>
      <c r="F2079" s="9" t="str">
        <f>HYPERLINK("https://www.ebi.ac.uk/ols/ontologies/uberon/terms?iri=http://purl.obolibrary.org/obo/UBERON_0002753","posterior spinocerebellar tract")</f>
        <v>posterior spinocerebellar tract</v>
      </c>
      <c r="G2079" s="9" t="s">
        <v>3991</v>
      </c>
      <c r="H2079" s="9" t="s">
        <v>20806</v>
      </c>
      <c r="I2079" s="9" t="s">
        <v>3992</v>
      </c>
      <c r="J2079" s="9" t="s">
        <v>3995</v>
      </c>
      <c r="K2079" s="3" t="s">
        <v>15176</v>
      </c>
      <c r="L2079" s="13">
        <v>553</v>
      </c>
      <c r="M2079" t="str">
        <f>VLOOKUP(L2079,[1]Mouse_ARA!$B$2:$C$1328,2,FALSE)</f>
        <v>sctd</v>
      </c>
    </row>
    <row r="2080" spans="2:13" x14ac:dyDescent="0.25">
      <c r="B2080" s="31" t="s">
        <v>25743</v>
      </c>
      <c r="C2080" s="20"/>
      <c r="D2080" s="25" t="s">
        <v>26145</v>
      </c>
      <c r="E2080" s="25"/>
      <c r="F2080" s="9" t="str">
        <f>HYPERLINK("https://www.ebi.ac.uk/ols/ontologies/uberon/terms?iri=http://purl.obolibrary.org/obo/UBERON_0002814","posterior superior fissure of cerebellum")</f>
        <v>posterior superior fissure of cerebellum</v>
      </c>
      <c r="G2080" s="9" t="s">
        <v>3996</v>
      </c>
      <c r="H2080" s="9" t="s">
        <v>25557</v>
      </c>
      <c r="I2080" s="9" t="s">
        <v>3997</v>
      </c>
      <c r="J2080" s="9" t="s">
        <v>3998</v>
      </c>
      <c r="K2080" s="7" t="s">
        <v>15171</v>
      </c>
      <c r="L2080" s="13">
        <v>9411</v>
      </c>
      <c r="M2080" t="str">
        <f>VLOOKUP(L2080,[1]HBA!$B$2:$C$4000,2,FALSE)</f>
        <v>spf</v>
      </c>
    </row>
    <row r="2081" spans="2:13" x14ac:dyDescent="0.25">
      <c r="B2081" s="31" t="s">
        <v>25743</v>
      </c>
      <c r="C2081" s="20"/>
      <c r="D2081" s="25" t="s">
        <v>26145</v>
      </c>
      <c r="E2081" s="25"/>
      <c r="F2081" s="9" t="str">
        <f>HYPERLINK("https://www.ebi.ac.uk/ols/ontologies/uberon/terms?iri=http://purl.obolibrary.org/obo/UBERON_0002814","posterior superior fissure of cerebellum")</f>
        <v>posterior superior fissure of cerebellum</v>
      </c>
      <c r="G2081" s="9" t="s">
        <v>3996</v>
      </c>
      <c r="H2081" s="9" t="s">
        <v>20976</v>
      </c>
      <c r="I2081" s="9" t="s">
        <v>3999</v>
      </c>
      <c r="J2081" s="9" t="s">
        <v>4000</v>
      </c>
      <c r="K2081" s="3" t="s">
        <v>15176</v>
      </c>
      <c r="L2081" s="13">
        <v>1112</v>
      </c>
      <c r="M2081" t="str">
        <f>VLOOKUP(L2081,[1]Mouse_ARA!$B$2:$C$1328,2,FALSE)</f>
        <v>psf</v>
      </c>
    </row>
    <row r="2082" spans="2:13" x14ac:dyDescent="0.25">
      <c r="B2082" s="31" t="s">
        <v>25743</v>
      </c>
      <c r="C2082" s="20"/>
      <c r="D2082" s="25" t="s">
        <v>4002</v>
      </c>
      <c r="E2082" s="25"/>
      <c r="F2082" s="9" t="str">
        <f>HYPERLINK("https://www.ebi.ac.uk/ols/ontologies/uberon/terms?iri=http://purl.obolibrary.org/obo/UBERON_0034747","posterior thalamic radiation")</f>
        <v>posterior thalamic radiation</v>
      </c>
      <c r="G2082" s="9" t="s">
        <v>4001</v>
      </c>
      <c r="H2082" s="9" t="s">
        <v>23599</v>
      </c>
      <c r="I2082" s="9" t="s">
        <v>4002</v>
      </c>
      <c r="J2082" s="9" t="s">
        <v>4003</v>
      </c>
      <c r="K2082" s="4" t="s">
        <v>15175</v>
      </c>
      <c r="L2082" s="13">
        <v>12053</v>
      </c>
      <c r="M2082" t="str">
        <f>VLOOKUP(L2082,[1]Human_BrainSpan!$B$2:$C$4000,2,FALSE)</f>
        <v>pthr</v>
      </c>
    </row>
    <row r="2083" spans="2:13" x14ac:dyDescent="0.25">
      <c r="B2083" s="31" t="s">
        <v>25743</v>
      </c>
      <c r="C2083" s="20"/>
      <c r="D2083" s="25" t="s">
        <v>26146</v>
      </c>
      <c r="E2083" s="25"/>
      <c r="F2083" s="9" t="str">
        <f>HYPERLINK("https://www.ebi.ac.uk/ols/ontologies/uberon/terms?iri=http://purl.obolibrary.org/obo/UBERON_0023094","posterodorsal nucleus of medial geniculate body")</f>
        <v>posterodorsal nucleus of medial geniculate body</v>
      </c>
      <c r="G2083" s="9" t="s">
        <v>4004</v>
      </c>
      <c r="H2083" s="9" t="s">
        <v>25150</v>
      </c>
      <c r="I2083" s="9" t="s">
        <v>4005</v>
      </c>
      <c r="J2083" s="9" t="s">
        <v>4006</v>
      </c>
      <c r="K2083" s="7" t="s">
        <v>15171</v>
      </c>
      <c r="L2083" s="13">
        <v>4447</v>
      </c>
      <c r="M2083" t="str">
        <f>VLOOKUP(L2083,[1]HBA!$B$2:$C$4000,2,FALSE)</f>
        <v>MGpd</v>
      </c>
    </row>
    <row r="2084" spans="2:13" x14ac:dyDescent="0.25">
      <c r="B2084" s="31" t="s">
        <v>25743</v>
      </c>
      <c r="C2084" s="20"/>
      <c r="D2084" s="25" t="s">
        <v>26147</v>
      </c>
      <c r="E2084" s="25"/>
      <c r="F2084" s="9" t="str">
        <f>HYPERLINK("https://www.ebi.ac.uk/ols/ontologies/uberon/terms?iri=http://purl.obolibrary.org/obo/UBERON_0034999","posterolateral cortical amygdaloid nucleus")</f>
        <v>posterolateral cortical amygdaloid nucleus</v>
      </c>
      <c r="G2084" s="9" t="s">
        <v>4007</v>
      </c>
      <c r="H2084" s="9" t="s">
        <v>15789</v>
      </c>
      <c r="I2084" s="9" t="s">
        <v>4008</v>
      </c>
      <c r="J2084" s="9" t="s">
        <v>4009</v>
      </c>
      <c r="K2084" s="5" t="s">
        <v>15173</v>
      </c>
      <c r="L2084" s="13">
        <v>15999</v>
      </c>
      <c r="M2084" t="str">
        <f>VLOOKUP(L2084,[1]DevMouse!$B$2:$C$2693,2,FALSE)</f>
        <v>PLCo</v>
      </c>
    </row>
    <row r="2085" spans="2:13" x14ac:dyDescent="0.25">
      <c r="B2085" s="31" t="s">
        <v>25743</v>
      </c>
      <c r="C2085" s="20"/>
      <c r="D2085" s="25" t="s">
        <v>26148</v>
      </c>
      <c r="E2085" s="25"/>
      <c r="F2085" s="9" t="str">
        <f>HYPERLINK("https://www.ebi.ac.uk/ols/ontologies/uberon/terms?iri=http://purl.obolibrary.org/obo/UBERON_0002818","posterolateral fissure of cerebellum")</f>
        <v>posterolateral fissure of cerebellum</v>
      </c>
      <c r="G2085" s="9" t="s">
        <v>4010</v>
      </c>
      <c r="H2085" s="9" t="s">
        <v>20979</v>
      </c>
      <c r="I2085" s="9" t="s">
        <v>4011</v>
      </c>
      <c r="J2085" s="9" t="s">
        <v>4012</v>
      </c>
      <c r="K2085" s="7" t="s">
        <v>15171</v>
      </c>
      <c r="L2085" s="13">
        <v>9417</v>
      </c>
      <c r="M2085" t="str">
        <f>VLOOKUP(L2085,[1]HBA!$B$2:$C$4000,2,FALSE)</f>
        <v>plf</v>
      </c>
    </row>
    <row r="2086" spans="2:13" x14ac:dyDescent="0.25">
      <c r="B2086" s="31" t="s">
        <v>25743</v>
      </c>
      <c r="C2086" s="20"/>
      <c r="D2086" s="25" t="s">
        <v>26148</v>
      </c>
      <c r="E2086" s="25"/>
      <c r="F2086" s="9" t="str">
        <f>HYPERLINK("https://www.ebi.ac.uk/ols/ontologies/uberon/terms?iri=http://purl.obolibrary.org/obo/UBERON_0002818","posterolateral fissure of cerebellum")</f>
        <v>posterolateral fissure of cerebellum</v>
      </c>
      <c r="G2086" s="9" t="s">
        <v>4010</v>
      </c>
      <c r="H2086" s="9" t="s">
        <v>20979</v>
      </c>
      <c r="I2086" s="9" t="s">
        <v>4011</v>
      </c>
      <c r="J2086" s="9" t="s">
        <v>4013</v>
      </c>
      <c r="K2086" s="3" t="s">
        <v>15176</v>
      </c>
      <c r="L2086" s="13">
        <v>11</v>
      </c>
      <c r="M2086" t="str">
        <f>VLOOKUP(L2086,[1]Mouse_ARA!$B$2:$C$1328,2,FALSE)</f>
        <v>plf</v>
      </c>
    </row>
    <row r="2087" spans="2:13" x14ac:dyDescent="0.25">
      <c r="B2087" s="31" t="s">
        <v>25743</v>
      </c>
      <c r="C2087" s="20"/>
      <c r="D2087" s="25" t="s">
        <v>4015</v>
      </c>
      <c r="E2087" s="25"/>
      <c r="F2087" s="9" t="str">
        <f>HYPERLINK("https://www.ebi.ac.uk/ols/ontologies/uberon/terms?iri=http://purl.obolibrary.org/obo/UBERON_0035897","posterolateral visual area")</f>
        <v>posterolateral visual area</v>
      </c>
      <c r="G2087" s="9" t="s">
        <v>4014</v>
      </c>
      <c r="H2087" s="9" t="s">
        <v>19026</v>
      </c>
      <c r="I2087" s="9" t="s">
        <v>4015</v>
      </c>
      <c r="J2087" s="9" t="s">
        <v>4016</v>
      </c>
      <c r="K2087" s="3" t="s">
        <v>15176</v>
      </c>
      <c r="L2087" s="13">
        <v>425</v>
      </c>
      <c r="M2087" t="str">
        <f>VLOOKUP(L2087,[1]Mouse_ARA!$B$2:$C$1328,2,FALSE)</f>
        <v>VISpl</v>
      </c>
    </row>
    <row r="2088" spans="2:13" x14ac:dyDescent="0.25">
      <c r="B2088" s="31" t="s">
        <v>25743</v>
      </c>
      <c r="C2088" s="25"/>
      <c r="D2088" s="25" t="s">
        <v>4018</v>
      </c>
      <c r="E2088" s="25"/>
      <c r="F2088" s="9" t="str">
        <f>HYPERLINK("https://www.ebi.ac.uk/ols/ontologies/uberon/terms?iri=http://purl.obolibrary.org/obo/UBERON_0035919","posterolateral visual area, layer 4")</f>
        <v>posterolateral visual area, layer 4</v>
      </c>
      <c r="G2088" s="9" t="s">
        <v>4017</v>
      </c>
      <c r="H2088" s="9" t="s">
        <v>19032</v>
      </c>
      <c r="I2088" s="9" t="s">
        <v>4018</v>
      </c>
      <c r="J2088" s="9" t="s">
        <v>4019</v>
      </c>
      <c r="K2088" s="3" t="s">
        <v>15176</v>
      </c>
      <c r="L2088" s="13">
        <v>869</v>
      </c>
      <c r="M2088" t="str">
        <f>VLOOKUP(L2088,[1]Mouse_ARA!$B$2:$C$1328,2,FALSE)</f>
        <v>VISpl4</v>
      </c>
    </row>
    <row r="2089" spans="2:13" x14ac:dyDescent="0.25">
      <c r="B2089" s="31" t="s">
        <v>25743</v>
      </c>
      <c r="C2089" s="20"/>
      <c r="D2089" s="25" t="s">
        <v>26149</v>
      </c>
      <c r="E2089" s="25"/>
      <c r="F2089" s="9" t="str">
        <f>HYPERLINK("https://www.ebi.ac.uk/ols/ontologies/uberon/terms?iri=http://purl.obolibrary.org/obo/UBERON_0035001","posteromedial cortical amygdaloid nucleus")</f>
        <v>posteromedial cortical amygdaloid nucleus</v>
      </c>
      <c r="G2089" s="9" t="s">
        <v>4020</v>
      </c>
      <c r="H2089" s="9" t="s">
        <v>15740</v>
      </c>
      <c r="I2089" s="9" t="s">
        <v>4021</v>
      </c>
      <c r="J2089" s="9" t="s">
        <v>4022</v>
      </c>
      <c r="K2089" s="5" t="s">
        <v>15173</v>
      </c>
      <c r="L2089" s="13">
        <v>15950</v>
      </c>
      <c r="M2089" t="str">
        <f>VLOOKUP(L2089,[1]DevMouse!$B$2:$C$2693,2,FALSE)</f>
        <v>PMCo</v>
      </c>
    </row>
    <row r="2090" spans="2:13" x14ac:dyDescent="0.25">
      <c r="B2090" s="31" t="s">
        <v>25743</v>
      </c>
      <c r="C2090" s="20"/>
      <c r="D2090" s="25" t="s">
        <v>4024</v>
      </c>
      <c r="E2090" s="25"/>
      <c r="F2090" s="9" t="str">
        <f>HYPERLINK("https://www.ebi.ac.uk/ols/ontologies/uberon/terms?iri=http://purl.obolibrary.org/obo/UBERON_0035900","posteromedial visual area")</f>
        <v>posteromedial visual area</v>
      </c>
      <c r="G2090" s="9" t="s">
        <v>4023</v>
      </c>
      <c r="H2090" s="9" t="s">
        <v>19040</v>
      </c>
      <c r="I2090" s="9" t="s">
        <v>4024</v>
      </c>
      <c r="J2090" s="9" t="s">
        <v>4025</v>
      </c>
      <c r="K2090" s="3" t="s">
        <v>15176</v>
      </c>
      <c r="L2090" s="13">
        <v>533</v>
      </c>
      <c r="M2090" t="str">
        <f>VLOOKUP(L2090,[1]Mouse_ARA!$B$2:$C$1328,2,FALSE)</f>
        <v>VISpm</v>
      </c>
    </row>
    <row r="2091" spans="2:13" x14ac:dyDescent="0.25">
      <c r="B2091" s="31" t="s">
        <v>25743</v>
      </c>
      <c r="C2091" s="20"/>
      <c r="D2091" s="25" t="s">
        <v>4027</v>
      </c>
      <c r="E2091" s="25"/>
      <c r="F2091" s="9" t="str">
        <f>HYPERLINK("https://www.ebi.ac.uk/ols/ontologies/uberon/terms?iri=http://purl.obolibrary.org/obo/UBERON_0035914","posteromedial visual area, layer 4")</f>
        <v>posteromedial visual area, layer 4</v>
      </c>
      <c r="G2091" s="9" t="s">
        <v>4026</v>
      </c>
      <c r="H2091" s="9" t="s">
        <v>19043</v>
      </c>
      <c r="I2091" s="9" t="s">
        <v>4027</v>
      </c>
      <c r="J2091" s="9" t="s">
        <v>4028</v>
      </c>
      <c r="K2091" s="3" t="s">
        <v>15176</v>
      </c>
      <c r="L2091" s="13">
        <v>501</v>
      </c>
      <c r="M2091" t="str">
        <f>VLOOKUP(L2091,[1]Mouse_ARA!$B$2:$C$1328,2,FALSE)</f>
        <v>VISpm4</v>
      </c>
    </row>
    <row r="2092" spans="2:13" x14ac:dyDescent="0.25">
      <c r="B2092" s="31" t="s">
        <v>25743</v>
      </c>
      <c r="C2092" s="20"/>
      <c r="D2092" s="25" t="s">
        <v>4030</v>
      </c>
      <c r="E2092" s="25"/>
      <c r="F2092" s="9" t="str">
        <f>HYPERLINK("https://www.ebi.ac.uk/ols/ontologies/uberon/terms?iri=http://purl.obolibrary.org/obo/UBERON_0035909","posteromedial visual area, layer 6a")</f>
        <v>posteromedial visual area, layer 6a</v>
      </c>
      <c r="G2092" s="9" t="s">
        <v>4029</v>
      </c>
      <c r="H2092" s="9" t="s">
        <v>19045</v>
      </c>
      <c r="I2092" s="9" t="s">
        <v>4030</v>
      </c>
      <c r="J2092" s="9" t="s">
        <v>4031</v>
      </c>
      <c r="K2092" s="3" t="s">
        <v>15176</v>
      </c>
      <c r="L2092" s="13">
        <v>257</v>
      </c>
      <c r="M2092" t="str">
        <f>VLOOKUP(L2092,[1]Mouse_ARA!$B$2:$C$1328,2,FALSE)</f>
        <v>VISpm6a</v>
      </c>
    </row>
    <row r="2093" spans="2:13" x14ac:dyDescent="0.25">
      <c r="B2093" s="31" t="s">
        <v>25743</v>
      </c>
      <c r="C2093" s="20"/>
      <c r="D2093" s="25" t="s">
        <v>26150</v>
      </c>
      <c r="E2093" s="25"/>
      <c r="F2093" s="9" t="str">
        <f>HYPERLINK("https://www.ebi.ac.uk/ols/ontologies/uberon/terms?iri=http://purl.obolibrary.org/obo/UBERON_0002831","posteroventral cochlear nucleus")</f>
        <v>posteroventral cochlear nucleus</v>
      </c>
      <c r="G2093" s="9" t="s">
        <v>4032</v>
      </c>
      <c r="H2093" s="9" t="s">
        <v>24288</v>
      </c>
      <c r="I2093" s="9" t="s">
        <v>4033</v>
      </c>
      <c r="J2093" s="9" t="s">
        <v>4034</v>
      </c>
      <c r="K2093" s="4" t="s">
        <v>15175</v>
      </c>
      <c r="L2093" s="13">
        <v>12441</v>
      </c>
      <c r="M2093" t="str">
        <f>VLOOKUP(L2093,[1]Human_BrainSpan!$B$2:$C$4000,2,FALSE)</f>
        <v>VCoC</v>
      </c>
    </row>
    <row r="2094" spans="2:13" x14ac:dyDescent="0.25">
      <c r="B2094" s="31" t="s">
        <v>25743</v>
      </c>
      <c r="C2094" s="20"/>
      <c r="D2094" s="25" t="s">
        <v>26150</v>
      </c>
      <c r="E2094" s="25"/>
      <c r="F2094" s="9" t="str">
        <f>HYPERLINK("https://www.ebi.ac.uk/ols/ontologies/uberon/terms?iri=http://purl.obolibrary.org/obo/UBERON_0002831","posteroventral cochlear nucleus")</f>
        <v>posteroventral cochlear nucleus</v>
      </c>
      <c r="G2094" s="9" t="s">
        <v>4032</v>
      </c>
      <c r="H2094" s="9" t="s">
        <v>25446</v>
      </c>
      <c r="I2094" s="9" t="s">
        <v>4035</v>
      </c>
      <c r="J2094" s="9" t="s">
        <v>4036</v>
      </c>
      <c r="K2094" s="7" t="s">
        <v>15171</v>
      </c>
      <c r="L2094" s="13">
        <v>9533</v>
      </c>
      <c r="M2094" t="str">
        <f>VLOOKUP(L2094,[1]HBA!$B$2:$C$4000,2,FALSE)</f>
        <v>PVCo</v>
      </c>
    </row>
    <row r="2095" spans="2:13" x14ac:dyDescent="0.25">
      <c r="B2095" s="31" t="s">
        <v>26303</v>
      </c>
      <c r="C2095" s="25" t="s">
        <v>25862</v>
      </c>
      <c r="D2095" s="25" t="s">
        <v>26151</v>
      </c>
      <c r="E2095" s="25"/>
      <c r="F2095" s="9" t="str">
        <f>HYPERLINK("https://www.ebi.ac.uk/ols/ontologies/uberon/terms?iri=http://purl.obolibrary.org/obo/UBERON_0004922","postnatal subventricular zone")</f>
        <v>postnatal subventricular zone</v>
      </c>
      <c r="G2095" s="9" t="s">
        <v>4037</v>
      </c>
      <c r="H2095" s="9" t="s">
        <v>21586</v>
      </c>
      <c r="I2095" s="9" t="s">
        <v>1188</v>
      </c>
      <c r="J2095" s="9" t="s">
        <v>4038</v>
      </c>
      <c r="K2095" s="4" t="s">
        <v>15175</v>
      </c>
      <c r="L2095" s="13">
        <v>10536</v>
      </c>
      <c r="M2095" t="str">
        <f>VLOOKUP(L2095,[1]Human_BrainSpan!$B$2:$C$4000,2,FALSE)</f>
        <v>SZ</v>
      </c>
    </row>
    <row r="2096" spans="2:13" x14ac:dyDescent="0.25">
      <c r="B2096" s="31" t="s">
        <v>26299</v>
      </c>
      <c r="C2096" s="20"/>
      <c r="D2096" s="25" t="s">
        <v>26151</v>
      </c>
      <c r="E2096" s="25"/>
      <c r="F2096" s="9" t="str">
        <f>HYPERLINK("https://www.ebi.ac.uk/ols/ontologies/uberon/terms?iri=http://purl.obolibrary.org/obo/UBERON_0004922","postnatal subventricular zone")</f>
        <v>postnatal subventricular zone</v>
      </c>
      <c r="G2096" s="9" t="s">
        <v>4037</v>
      </c>
      <c r="H2096" s="9" t="s">
        <v>20954</v>
      </c>
      <c r="I2096" s="9" t="s">
        <v>4039</v>
      </c>
      <c r="J2096" s="9" t="s">
        <v>4040</v>
      </c>
      <c r="K2096" s="3" t="s">
        <v>15176</v>
      </c>
      <c r="L2096" s="13">
        <v>98</v>
      </c>
      <c r="M2096" t="str">
        <f>VLOOKUP(L2096,[1]Mouse_ARA!$B$2:$C$1328,2,FALSE)</f>
        <v>SEZ</v>
      </c>
    </row>
    <row r="2097" spans="2:13" x14ac:dyDescent="0.25">
      <c r="B2097" s="31" t="s">
        <v>26303</v>
      </c>
      <c r="C2097" s="25" t="s">
        <v>25862</v>
      </c>
      <c r="D2097" s="25" t="s">
        <v>26151</v>
      </c>
      <c r="E2097" s="25"/>
      <c r="F2097" s="9" t="str">
        <f>HYPERLINK("https://www.ebi.ac.uk/ols/ontologies/uberon/terms?iri=http://purl.obolibrary.org/obo/UBERON_0004922","postnatal subventricular zone")</f>
        <v>postnatal subventricular zone</v>
      </c>
      <c r="G2097" s="9" t="s">
        <v>4037</v>
      </c>
      <c r="H2097" s="9" t="s">
        <v>21586</v>
      </c>
      <c r="I2097" s="9" t="s">
        <v>1188</v>
      </c>
      <c r="J2097" s="9" t="s">
        <v>1189</v>
      </c>
      <c r="K2097" s="6" t="s">
        <v>15174</v>
      </c>
      <c r="L2097" s="13">
        <v>294021970</v>
      </c>
      <c r="M2097" t="str">
        <f>VLOOKUP(L2097,[1]NonHumanPrimate!$B$2:$C$4000,2,FALSE)</f>
        <v>SZ</v>
      </c>
    </row>
    <row r="2098" spans="2:13" x14ac:dyDescent="0.25">
      <c r="B2098" s="31" t="s">
        <v>26302</v>
      </c>
      <c r="C2098" s="25" t="s">
        <v>26127</v>
      </c>
      <c r="D2098" s="25" t="s">
        <v>26152</v>
      </c>
      <c r="E2098" s="25"/>
      <c r="F2098" s="9" t="str">
        <f>HYPERLINK("https://www.ebi.ac.uk/ols/ontologies/uberon/terms?iri=http://purl.obolibrary.org/obo/UBERON_0003936","postoptic commissure")</f>
        <v>postoptic commissure</v>
      </c>
      <c r="G2098" s="9" t="s">
        <v>4041</v>
      </c>
      <c r="H2098" s="9" t="s">
        <v>23725</v>
      </c>
      <c r="I2098" s="9" t="s">
        <v>3904</v>
      </c>
      <c r="J2098" s="9" t="s">
        <v>3906</v>
      </c>
      <c r="K2098" s="7" t="s">
        <v>15171</v>
      </c>
      <c r="L2098" s="13">
        <v>9371</v>
      </c>
      <c r="M2098" t="str">
        <f>VLOOKUP(L2098,[1]HBA!$B$2:$C$4000,2,FALSE)</f>
        <v>pocs</v>
      </c>
    </row>
    <row r="2099" spans="2:13" x14ac:dyDescent="0.25">
      <c r="B2099" s="31" t="s">
        <v>25743</v>
      </c>
      <c r="C2099" s="20"/>
      <c r="D2099" s="25" t="s">
        <v>26152</v>
      </c>
      <c r="E2099" s="25"/>
      <c r="F2099" s="9" t="str">
        <f>HYPERLINK("https://www.ebi.ac.uk/ols/ontologies/uberon/terms?iri=http://purl.obolibrary.org/obo/UBERON_0003936","postoptic commissure")</f>
        <v>postoptic commissure</v>
      </c>
      <c r="G2099" s="9" t="s">
        <v>4041</v>
      </c>
      <c r="H2099" s="9" t="s">
        <v>20912</v>
      </c>
      <c r="I2099" s="9" t="s">
        <v>4042</v>
      </c>
      <c r="J2099" s="9" t="s">
        <v>4043</v>
      </c>
      <c r="K2099" s="3" t="s">
        <v>15176</v>
      </c>
      <c r="L2099" s="13">
        <v>174</v>
      </c>
      <c r="M2099" t="str">
        <f>VLOOKUP(L2099,[1]Mouse_ARA!$B$2:$C$1328,2,FALSE)</f>
        <v>poc</v>
      </c>
    </row>
    <row r="2100" spans="2:13" x14ac:dyDescent="0.25">
      <c r="B2100" s="31" t="s">
        <v>25743</v>
      </c>
      <c r="C2100" s="20"/>
      <c r="D2100" s="25" t="s">
        <v>4045</v>
      </c>
      <c r="E2100" s="25"/>
      <c r="F2100" s="9" t="str">
        <f>HYPERLINK("https://www.ebi.ac.uk/ols/ontologies/uberon/terms?iri=http://purl.obolibrary.org/obo/UBERON_0035890","postrhinal area")</f>
        <v>postrhinal area</v>
      </c>
      <c r="G2100" s="9" t="s">
        <v>4044</v>
      </c>
      <c r="H2100" s="9" t="s">
        <v>19061</v>
      </c>
      <c r="I2100" s="9" t="s">
        <v>4045</v>
      </c>
      <c r="J2100" s="9" t="s">
        <v>4046</v>
      </c>
      <c r="K2100" s="3" t="s">
        <v>15176</v>
      </c>
      <c r="L2100" s="13">
        <v>312782628</v>
      </c>
      <c r="M2100" t="str">
        <f>VLOOKUP(L2100,[1]Mouse_ARA!$B$2:$C$1328,2,FALSE)</f>
        <v>VISpor</v>
      </c>
    </row>
    <row r="2101" spans="2:13" x14ac:dyDescent="0.25">
      <c r="B2101" s="31" t="s">
        <v>25743</v>
      </c>
      <c r="C2101" s="20"/>
      <c r="D2101" s="25" t="s">
        <v>4048</v>
      </c>
      <c r="E2101" s="25"/>
      <c r="F2101" s="9" t="str">
        <f>HYPERLINK("https://www.ebi.ac.uk/ols/ontologies/uberon/terms?iri=http://purl.obolibrary.org/obo/UBERON_0035911","postrhinal area, layer 4")</f>
        <v>postrhinal area, layer 4</v>
      </c>
      <c r="G2101" s="9" t="s">
        <v>4047</v>
      </c>
      <c r="H2101" s="9" t="s">
        <v>19067</v>
      </c>
      <c r="I2101" s="9" t="s">
        <v>4048</v>
      </c>
      <c r="J2101" s="9" t="s">
        <v>4049</v>
      </c>
      <c r="K2101" s="3" t="s">
        <v>15176</v>
      </c>
      <c r="L2101" s="13">
        <v>312782640</v>
      </c>
      <c r="M2101" t="str">
        <f>VLOOKUP(L2101,[1]Mouse_ARA!$B$2:$C$1328,2,FALSE)</f>
        <v>VISpor4</v>
      </c>
    </row>
    <row r="2102" spans="2:13" x14ac:dyDescent="0.25">
      <c r="B2102" s="31" t="s">
        <v>25743</v>
      </c>
      <c r="C2102" s="20"/>
      <c r="D2102" s="25" t="s">
        <v>4051</v>
      </c>
      <c r="E2102" s="25"/>
      <c r="F2102" s="9" t="str">
        <f>HYPERLINK("https://www.ebi.ac.uk/ols/ontologies/uberon/terms?iri=http://purl.obolibrary.org/obo/UBERON_0035971","postsubiculum")</f>
        <v>postsubiculum</v>
      </c>
      <c r="G2102" s="9" t="s">
        <v>4050</v>
      </c>
      <c r="H2102" s="9" t="s">
        <v>19655</v>
      </c>
      <c r="I2102" s="9" t="s">
        <v>4051</v>
      </c>
      <c r="J2102" s="9" t="s">
        <v>4052</v>
      </c>
      <c r="K2102" s="3" t="s">
        <v>15176</v>
      </c>
      <c r="L2102" s="13">
        <v>1037</v>
      </c>
      <c r="M2102" t="str">
        <f>VLOOKUP(L2102,[1]Mouse_ARA!$B$2:$C$1328,2,FALSE)</f>
        <v>POST</v>
      </c>
    </row>
    <row r="2103" spans="2:13" x14ac:dyDescent="0.25">
      <c r="B2103" s="31" t="s">
        <v>25743</v>
      </c>
      <c r="C2103" s="20"/>
      <c r="D2103" s="25" t="s">
        <v>4054</v>
      </c>
      <c r="E2103" s="25"/>
      <c r="F2103" s="9" t="str">
        <f>HYPERLINK("https://www.ebi.ac.uk/ols/ontologies/uberon/terms?iri=http://purl.obolibrary.org/obo/UBERON_0006007","pre-Botzinger complex")</f>
        <v>pre-Botzinger complex</v>
      </c>
      <c r="G2103" s="9" t="s">
        <v>4053</v>
      </c>
      <c r="H2103" s="9" t="s">
        <v>24491</v>
      </c>
      <c r="I2103" s="9" t="s">
        <v>4054</v>
      </c>
      <c r="J2103" s="9" t="s">
        <v>4055</v>
      </c>
      <c r="K2103" s="4" t="s">
        <v>15175</v>
      </c>
      <c r="L2103" s="13">
        <v>12659</v>
      </c>
      <c r="M2103" t="str">
        <f>VLOOKUP(L2103,[1]Human_BrainSpan!$B$2:$C$4000,2,FALSE)</f>
        <v>PrBo</v>
      </c>
    </row>
    <row r="2104" spans="2:13" x14ac:dyDescent="0.25">
      <c r="B2104" s="31" t="s">
        <v>25743</v>
      </c>
      <c r="C2104" s="20"/>
      <c r="D2104" s="25" t="s">
        <v>26153</v>
      </c>
      <c r="E2104" s="25"/>
      <c r="F2104" s="9" t="str">
        <f>HYPERLINK("https://www.ebi.ac.uk/ols/ontologies/uberon/terms?iri=http://purl.obolibrary.org/obo/UBERON_0014473","precentral fissure of cerebellum")</f>
        <v>precentral fissure of cerebellum</v>
      </c>
      <c r="G2104" s="9" t="s">
        <v>4056</v>
      </c>
      <c r="H2104" s="9" t="s">
        <v>25556</v>
      </c>
      <c r="I2104" s="9" t="s">
        <v>4057</v>
      </c>
      <c r="J2104" s="9" t="s">
        <v>4058</v>
      </c>
      <c r="K2104" s="7" t="s">
        <v>15171</v>
      </c>
      <c r="L2104" s="13">
        <v>9407</v>
      </c>
      <c r="M2104" t="str">
        <f>VLOOKUP(L2104,[1]HBA!$B$2:$C$4000,2,FALSE)</f>
        <v>prf</v>
      </c>
    </row>
    <row r="2105" spans="2:13" x14ac:dyDescent="0.25">
      <c r="B2105" s="31" t="s">
        <v>25743</v>
      </c>
      <c r="C2105" s="20"/>
      <c r="D2105" s="25" t="s">
        <v>26153</v>
      </c>
      <c r="E2105" s="25"/>
      <c r="F2105" s="9" t="str">
        <f>HYPERLINK("https://www.ebi.ac.uk/ols/ontologies/uberon/terms?iri=http://purl.obolibrary.org/obo/UBERON_0014473","precentral fissure of cerebellum")</f>
        <v>precentral fissure of cerebellum</v>
      </c>
      <c r="G2105" s="9" t="s">
        <v>4056</v>
      </c>
      <c r="H2105" s="9" t="s">
        <v>20973</v>
      </c>
      <c r="I2105" s="9" t="s">
        <v>4057</v>
      </c>
      <c r="J2105" s="9" t="s">
        <v>4059</v>
      </c>
      <c r="K2105" s="3" t="s">
        <v>15176</v>
      </c>
      <c r="L2105" s="13">
        <v>1087</v>
      </c>
      <c r="M2105" t="str">
        <f>VLOOKUP(L2105,[1]Mouse_ARA!$B$2:$C$1328,2,FALSE)</f>
        <v>pce</v>
      </c>
    </row>
    <row r="2106" spans="2:13" x14ac:dyDescent="0.25">
      <c r="B2106" s="31" t="s">
        <v>25743</v>
      </c>
      <c r="C2106" s="20"/>
      <c r="D2106" s="25" t="s">
        <v>4061</v>
      </c>
      <c r="E2106" s="25"/>
      <c r="F2106" s="9" t="str">
        <f>HYPERLINK("https://www.ebi.ac.uk/ols/ontologies/uberon/terms?iri=http://purl.obolibrary.org/obo/UBERON_0002703","precentral gyrus")</f>
        <v>precentral gyrus</v>
      </c>
      <c r="G2106" s="9" t="s">
        <v>4060</v>
      </c>
      <c r="H2106" s="9" t="s">
        <v>23792</v>
      </c>
      <c r="I2106" s="9" t="s">
        <v>4061</v>
      </c>
      <c r="J2106" s="9" t="s">
        <v>4062</v>
      </c>
      <c r="K2106" s="4" t="s">
        <v>15175</v>
      </c>
      <c r="L2106" s="13">
        <v>12114</v>
      </c>
      <c r="M2106" t="str">
        <f>VLOOKUP(L2106,[1]Human_BrainSpan!$B$2:$C$4000,2,FALSE)</f>
        <v>PrCG</v>
      </c>
    </row>
    <row r="2107" spans="2:13" x14ac:dyDescent="0.25">
      <c r="B2107" s="31" t="s">
        <v>25743</v>
      </c>
      <c r="C2107" s="20"/>
      <c r="D2107" s="25" t="s">
        <v>4061</v>
      </c>
      <c r="E2107" s="25"/>
      <c r="F2107" s="9" t="str">
        <f>HYPERLINK("https://www.ebi.ac.uk/ols/ontologies/uberon/terms?iri=http://purl.obolibrary.org/obo/UBERON_0002703","precentral gyrus")</f>
        <v>precentral gyrus</v>
      </c>
      <c r="G2107" s="9" t="s">
        <v>4060</v>
      </c>
      <c r="H2107" s="9" t="s">
        <v>24774</v>
      </c>
      <c r="I2107" s="9" t="s">
        <v>4061</v>
      </c>
      <c r="J2107" s="9" t="s">
        <v>4063</v>
      </c>
      <c r="K2107" s="7" t="s">
        <v>15171</v>
      </c>
      <c r="L2107" s="13">
        <v>4010</v>
      </c>
      <c r="M2107" t="str">
        <f>VLOOKUP(L2107,[1]HBA!$B$2:$C$4000,2,FALSE)</f>
        <v>PrG</v>
      </c>
    </row>
    <row r="2108" spans="2:13" x14ac:dyDescent="0.25">
      <c r="B2108" s="31" t="s">
        <v>25743</v>
      </c>
      <c r="C2108" s="20"/>
      <c r="D2108" s="25" t="s">
        <v>4065</v>
      </c>
      <c r="E2108" s="25"/>
      <c r="F2108" s="9" t="str">
        <f>HYPERLINK("https://www.ebi.ac.uk/ols/ontologies/uberon/terms?iri=http://purl.obolibrary.org/obo/UBERON_0022252","precentral sulcus")</f>
        <v>precentral sulcus</v>
      </c>
      <c r="G2108" s="9" t="s">
        <v>4064</v>
      </c>
      <c r="H2108" s="9" t="s">
        <v>23726</v>
      </c>
      <c r="I2108" s="9" t="s">
        <v>4065</v>
      </c>
      <c r="J2108" s="9" t="s">
        <v>4066</v>
      </c>
      <c r="K2108" s="4" t="s">
        <v>15175</v>
      </c>
      <c r="L2108" s="13">
        <v>10628</v>
      </c>
      <c r="M2108" t="str">
        <f>VLOOKUP(L2108,[1]Human_BrainSpan!$B$2:$C$4000,2,FALSE)</f>
        <v>prcs</v>
      </c>
    </row>
    <row r="2109" spans="2:13" x14ac:dyDescent="0.25">
      <c r="B2109" s="31" t="s">
        <v>25743</v>
      </c>
      <c r="C2109" s="20"/>
      <c r="D2109" s="25" t="s">
        <v>4065</v>
      </c>
      <c r="E2109" s="25"/>
      <c r="F2109" s="9" t="str">
        <f>HYPERLINK("https://www.ebi.ac.uk/ols/ontologies/uberon/terms?iri=http://purl.obolibrary.org/obo/UBERON_0022252","precentral sulcus")</f>
        <v>precentral sulcus</v>
      </c>
      <c r="G2109" s="9" t="s">
        <v>4064</v>
      </c>
      <c r="H2109" s="9" t="s">
        <v>23726</v>
      </c>
      <c r="I2109" s="9" t="s">
        <v>4065</v>
      </c>
      <c r="J2109" s="9" t="s">
        <v>4067</v>
      </c>
      <c r="K2109" s="7" t="s">
        <v>15171</v>
      </c>
      <c r="L2109" s="13">
        <v>9355</v>
      </c>
      <c r="M2109" t="str">
        <f>VLOOKUP(L2109,[1]HBA!$B$2:$C$4000,2,FALSE)</f>
        <v>prcs</v>
      </c>
    </row>
    <row r="2110" spans="2:13" x14ac:dyDescent="0.25">
      <c r="B2110" s="31" t="s">
        <v>25743</v>
      </c>
      <c r="C2110" s="20"/>
      <c r="D2110" s="25" t="s">
        <v>26154</v>
      </c>
      <c r="E2110" s="25"/>
      <c r="F2110" s="9" t="str">
        <f>HYPERLINK("https://www.ebi.ac.uk/ols/ontologies/uberon/terms?iri=http://purl.obolibrary.org/obo/UBERON_0035926","preculminate fissure of cerebellum")</f>
        <v>preculminate fissure of cerebellum</v>
      </c>
      <c r="G2110" s="9" t="s">
        <v>4068</v>
      </c>
      <c r="H2110" s="9" t="s">
        <v>20974</v>
      </c>
      <c r="I2110" s="9" t="s">
        <v>4069</v>
      </c>
      <c r="J2110" s="9" t="s">
        <v>4070</v>
      </c>
      <c r="K2110" s="7" t="s">
        <v>15171</v>
      </c>
      <c r="L2110" s="13">
        <v>9408</v>
      </c>
      <c r="M2110" t="str">
        <f>VLOOKUP(L2110,[1]HBA!$B$2:$C$4000,2,FALSE)</f>
        <v>pcf</v>
      </c>
    </row>
    <row r="2111" spans="2:13" x14ac:dyDescent="0.25">
      <c r="B2111" s="31" t="s">
        <v>25743</v>
      </c>
      <c r="C2111" s="20"/>
      <c r="D2111" s="25" t="s">
        <v>26154</v>
      </c>
      <c r="E2111" s="25"/>
      <c r="F2111" s="9" t="str">
        <f>HYPERLINK("https://www.ebi.ac.uk/ols/ontologies/uberon/terms?iri=http://purl.obolibrary.org/obo/UBERON_0035926","preculminate fissure of cerebellum")</f>
        <v>preculminate fissure of cerebellum</v>
      </c>
      <c r="G2111" s="9" t="s">
        <v>4068</v>
      </c>
      <c r="H2111" s="9" t="s">
        <v>20974</v>
      </c>
      <c r="I2111" s="9" t="s">
        <v>4069</v>
      </c>
      <c r="J2111" s="9" t="s">
        <v>4071</v>
      </c>
      <c r="K2111" s="3" t="s">
        <v>15176</v>
      </c>
      <c r="L2111" s="13">
        <v>1095</v>
      </c>
      <c r="M2111" t="str">
        <f>VLOOKUP(L2111,[1]Mouse_ARA!$B$2:$C$1328,2,FALSE)</f>
        <v>pcf</v>
      </c>
    </row>
    <row r="2112" spans="2:13" x14ac:dyDescent="0.25">
      <c r="B2112" s="31" t="s">
        <v>25743</v>
      </c>
      <c r="C2112" s="20"/>
      <c r="D2112" s="25" t="s">
        <v>26155</v>
      </c>
      <c r="E2112" s="25"/>
      <c r="F2112" s="9" t="str">
        <f>HYPERLINK("https://www.ebi.ac.uk/ols/ontologies/uberon/terms?iri=http://purl.obolibrary.org/obo/UBERON_0006093","precuneus cortex")</f>
        <v>precuneus cortex</v>
      </c>
      <c r="G2112" s="9" t="s">
        <v>4072</v>
      </c>
      <c r="H2112" s="9" t="s">
        <v>23819</v>
      </c>
      <c r="I2112" s="9" t="s">
        <v>4073</v>
      </c>
      <c r="J2112" s="9" t="s">
        <v>4074</v>
      </c>
      <c r="K2112" s="4" t="s">
        <v>15175</v>
      </c>
      <c r="L2112" s="13">
        <v>12137</v>
      </c>
      <c r="M2112" t="str">
        <f>VLOOKUP(L2112,[1]Human_BrainSpan!$B$2:$C$4000,2,FALSE)</f>
        <v>PrCun</v>
      </c>
    </row>
    <row r="2113" spans="2:13" x14ac:dyDescent="0.25">
      <c r="B2113" s="31" t="s">
        <v>25743</v>
      </c>
      <c r="C2113" s="20"/>
      <c r="D2113" s="25" t="s">
        <v>26155</v>
      </c>
      <c r="E2113" s="25"/>
      <c r="F2113" s="9" t="str">
        <f>HYPERLINK("https://www.ebi.ac.uk/ols/ontologies/uberon/terms?iri=http://purl.obolibrary.org/obo/UBERON_0006093","precuneus cortex")</f>
        <v>precuneus cortex</v>
      </c>
      <c r="G2113" s="9" t="s">
        <v>4072</v>
      </c>
      <c r="H2113" s="9" t="s">
        <v>24820</v>
      </c>
      <c r="I2113" s="9" t="s">
        <v>4073</v>
      </c>
      <c r="J2113" s="9" t="s">
        <v>4075</v>
      </c>
      <c r="K2113" s="7" t="s">
        <v>15171</v>
      </c>
      <c r="L2113" s="13">
        <v>4118</v>
      </c>
      <c r="M2113" t="str">
        <f>VLOOKUP(L2113,[1]HBA!$B$2:$C$4000,2,FALSE)</f>
        <v>PCu</v>
      </c>
    </row>
    <row r="2114" spans="2:13" x14ac:dyDescent="0.25">
      <c r="B2114" s="31" t="s">
        <v>25743</v>
      </c>
      <c r="C2114" s="20"/>
      <c r="D2114" s="25" t="s">
        <v>4077</v>
      </c>
      <c r="E2114" s="25"/>
      <c r="F2114" s="9" t="str">
        <f>HYPERLINK("https://www.ebi.ac.uk/ols/ontologies/uberon/terms?iri=http://purl.obolibrary.org/obo/UBERON_0000451","prefrontal cortex")</f>
        <v>prefrontal cortex</v>
      </c>
      <c r="G2114" s="9" t="s">
        <v>4076</v>
      </c>
      <c r="H2114" s="9" t="s">
        <v>22079</v>
      </c>
      <c r="I2114" s="9" t="s">
        <v>4077</v>
      </c>
      <c r="J2114" s="9" t="s">
        <v>4078</v>
      </c>
      <c r="K2114" s="4" t="s">
        <v>15175</v>
      </c>
      <c r="L2114" s="13">
        <v>10172</v>
      </c>
      <c r="M2114" t="str">
        <f>VLOOKUP(L2114,[1]Human_BrainSpan!$B$2:$C$4000,2,FALSE)</f>
        <v>PFC</v>
      </c>
    </row>
    <row r="2115" spans="2:13" x14ac:dyDescent="0.25">
      <c r="B2115" s="31" t="s">
        <v>25743</v>
      </c>
      <c r="C2115" s="20"/>
      <c r="D2115" s="25" t="s">
        <v>26156</v>
      </c>
      <c r="E2115" s="25"/>
      <c r="F2115" s="9" t="str">
        <f>HYPERLINK("https://www.ebi.ac.uk/ols/ontologies/uberon/terms?iri=http://purl.obolibrary.org/obo/UBERON_0002712","premammillary nucleus")</f>
        <v>premammillary nucleus</v>
      </c>
      <c r="G2115" s="9" t="s">
        <v>4079</v>
      </c>
      <c r="H2115" s="9" t="s">
        <v>24986</v>
      </c>
      <c r="I2115" s="9" t="s">
        <v>4080</v>
      </c>
      <c r="J2115" s="9" t="s">
        <v>4081</v>
      </c>
      <c r="K2115" s="7" t="s">
        <v>15171</v>
      </c>
      <c r="L2115" s="13">
        <v>4676</v>
      </c>
      <c r="M2115" t="str">
        <f>VLOOKUP(L2115,[1]HBA!$B$2:$C$4000,2,FALSE)</f>
        <v>PMm</v>
      </c>
    </row>
    <row r="2116" spans="2:13" x14ac:dyDescent="0.25">
      <c r="B2116" s="31" t="s">
        <v>25743</v>
      </c>
      <c r="C2116" s="20"/>
      <c r="D2116" s="25" t="s">
        <v>26157</v>
      </c>
      <c r="E2116" s="25"/>
      <c r="F2116" s="9" t="str">
        <f>HYPERLINK("https://www.ebi.ac.uk/ols/ontologies/uberon/terms?iri=http://purl.obolibrary.org/obo/UBERON_0016634","premotor cortex")</f>
        <v>premotor cortex</v>
      </c>
      <c r="G2116" s="9" t="s">
        <v>4082</v>
      </c>
      <c r="H2116" s="9" t="s">
        <v>22302</v>
      </c>
      <c r="I2116" s="9" t="s">
        <v>4083</v>
      </c>
      <c r="J2116" s="9" t="s">
        <v>4084</v>
      </c>
      <c r="K2116" s="4" t="s">
        <v>15175</v>
      </c>
      <c r="L2116" s="13">
        <v>10168</v>
      </c>
      <c r="M2116" t="str">
        <f>VLOOKUP(L2116,[1]Human_BrainSpan!$B$2:$C$4000,2,FALSE)</f>
        <v>PMC</v>
      </c>
    </row>
    <row r="2117" spans="2:13" x14ac:dyDescent="0.25">
      <c r="B2117" s="31" t="s">
        <v>25743</v>
      </c>
      <c r="C2117" s="20"/>
      <c r="D2117" s="25" t="s">
        <v>26157</v>
      </c>
      <c r="E2117" s="25"/>
      <c r="F2117" s="9" t="str">
        <f>HYPERLINK("https://www.ebi.ac.uk/ols/ontologies/uberon/terms?iri=http://purl.obolibrary.org/obo/UBERON_0016634","premotor cortex")</f>
        <v>premotor cortex</v>
      </c>
      <c r="G2117" s="9" t="s">
        <v>4082</v>
      </c>
      <c r="H2117" s="9" t="s">
        <v>18691</v>
      </c>
      <c r="I2117" s="9" t="s">
        <v>4085</v>
      </c>
      <c r="J2117" s="9" t="s">
        <v>4086</v>
      </c>
      <c r="K2117" s="3" t="s">
        <v>15176</v>
      </c>
      <c r="L2117" s="13">
        <v>993</v>
      </c>
      <c r="M2117" t="str">
        <f>VLOOKUP(L2117,[1]Mouse_ARA!$B$2:$C$1328,2,FALSE)</f>
        <v>MOs</v>
      </c>
    </row>
    <row r="2118" spans="2:13" x14ac:dyDescent="0.25">
      <c r="B2118" s="31" t="s">
        <v>25743</v>
      </c>
      <c r="C2118" s="20"/>
      <c r="D2118" s="25" t="s">
        <v>4088</v>
      </c>
      <c r="E2118" s="25"/>
      <c r="F2118" s="9" t="str">
        <f>HYPERLINK("https://www.ebi.ac.uk/ols/ontologies/uberon/terms?iri=http://purl.obolibrary.org/obo/UBERON_0002698","preoccipital notch")</f>
        <v>preoccipital notch</v>
      </c>
      <c r="G2118" s="9" t="s">
        <v>4087</v>
      </c>
      <c r="H2118" s="9" t="s">
        <v>23875</v>
      </c>
      <c r="I2118" s="9" t="s">
        <v>4088</v>
      </c>
      <c r="J2118" s="9" t="s">
        <v>4089</v>
      </c>
      <c r="K2118" s="4" t="s">
        <v>15175</v>
      </c>
      <c r="L2118" s="13">
        <v>10645</v>
      </c>
      <c r="M2118" t="str">
        <f>VLOOKUP(L2118,[1]Human_BrainSpan!$B$2:$C$4000,2,FALSE)</f>
        <v>PrN</v>
      </c>
    </row>
    <row r="2119" spans="2:13" x14ac:dyDescent="0.25">
      <c r="B2119" s="31" t="s">
        <v>25743</v>
      </c>
      <c r="C2119" s="20"/>
      <c r="D2119" s="25" t="s">
        <v>4088</v>
      </c>
      <c r="E2119" s="25"/>
      <c r="F2119" s="9" t="str">
        <f>HYPERLINK("https://www.ebi.ac.uk/ols/ontologies/uberon/terms?iri=http://purl.obolibrary.org/obo/UBERON_0002698","preoccipital notch")</f>
        <v>preoccipital notch</v>
      </c>
      <c r="G2119" s="9" t="s">
        <v>4087</v>
      </c>
      <c r="H2119" s="9" t="s">
        <v>25538</v>
      </c>
      <c r="I2119" s="9" t="s">
        <v>4088</v>
      </c>
      <c r="J2119" s="9" t="s">
        <v>4090</v>
      </c>
      <c r="K2119" s="7" t="s">
        <v>15171</v>
      </c>
      <c r="L2119" s="13">
        <v>9387</v>
      </c>
      <c r="M2119" t="str">
        <f>VLOOKUP(L2119,[1]HBA!$B$2:$C$4000,2,FALSE)</f>
        <v>pon</v>
      </c>
    </row>
    <row r="2120" spans="2:13" x14ac:dyDescent="0.25">
      <c r="B2120" s="31" t="s">
        <v>25743</v>
      </c>
      <c r="C2120" s="20"/>
      <c r="D2120" s="25" t="s">
        <v>4092</v>
      </c>
      <c r="E2120" s="25"/>
      <c r="F2120" s="9" t="str">
        <f>HYPERLINK("https://www.ebi.ac.uk/ols/ontologies/uberon/terms?iri=http://purl.obolibrary.org/obo/UBERON_0002976","preolivary nucleus")</f>
        <v>preolivary nucleus</v>
      </c>
      <c r="G2120" s="9" t="s">
        <v>4091</v>
      </c>
      <c r="H2120" s="9" t="s">
        <v>24316</v>
      </c>
      <c r="I2120" s="9" t="s">
        <v>4092</v>
      </c>
      <c r="J2120" s="9" t="s">
        <v>4093</v>
      </c>
      <c r="K2120" s="4" t="s">
        <v>15175</v>
      </c>
      <c r="L2120" s="13">
        <v>266441709</v>
      </c>
      <c r="M2120" t="str">
        <f>VLOOKUP(L2120,[1]Human_BrainSpan!$B$2:$C$4000,2,FALSE)</f>
        <v>PrO</v>
      </c>
    </row>
    <row r="2121" spans="2:13" x14ac:dyDescent="0.25">
      <c r="B2121" s="31" t="s">
        <v>25743</v>
      </c>
      <c r="C2121" s="20"/>
      <c r="D2121" s="25" t="s">
        <v>4092</v>
      </c>
      <c r="E2121" s="25"/>
      <c r="F2121" s="9" t="str">
        <f>HYPERLINK("https://www.ebi.ac.uk/ols/ontologies/uberon/terms?iri=http://purl.obolibrary.org/obo/UBERON_0002976","preolivary nucleus")</f>
        <v>preolivary nucleus</v>
      </c>
      <c r="G2121" s="9" t="s">
        <v>4091</v>
      </c>
      <c r="H2121" s="9" t="s">
        <v>24316</v>
      </c>
      <c r="I2121" s="9" t="s">
        <v>4094</v>
      </c>
      <c r="J2121" s="9" t="s">
        <v>4095</v>
      </c>
      <c r="K2121" s="7" t="s">
        <v>15171</v>
      </c>
      <c r="L2121" s="13">
        <v>9180</v>
      </c>
      <c r="M2121" t="str">
        <f>VLOOKUP(L2121,[1]HBA!$B$2:$C$4000,2,FALSE)</f>
        <v>PrO</v>
      </c>
    </row>
    <row r="2122" spans="2:13" x14ac:dyDescent="0.25">
      <c r="B2122" s="31" t="s">
        <v>25743</v>
      </c>
      <c r="C2122" s="20"/>
      <c r="D2122" s="25" t="s">
        <v>4097</v>
      </c>
      <c r="E2122" s="25"/>
      <c r="F2122" s="9" t="str">
        <f>HYPERLINK("https://www.ebi.ac.uk/ols/ontologies/uberon/terms?iri=http://purl.obolibrary.org/obo/UBERON_0001928","preoptic area")</f>
        <v>preoptic area</v>
      </c>
      <c r="G2122" s="9" t="s">
        <v>4096</v>
      </c>
      <c r="H2122" s="9" t="s">
        <v>15212</v>
      </c>
      <c r="I2122" s="9" t="s">
        <v>4097</v>
      </c>
      <c r="J2122" s="9" t="s">
        <v>4098</v>
      </c>
      <c r="K2122" s="5" t="s">
        <v>15173</v>
      </c>
      <c r="L2122" s="13">
        <v>15577</v>
      </c>
      <c r="M2122" t="str">
        <f>VLOOKUP(L2122,[1]DevMouse!$B$2:$C$2693,2,FALSE)</f>
        <v>PO</v>
      </c>
    </row>
    <row r="2123" spans="2:13" x14ac:dyDescent="0.25">
      <c r="B2123" s="31" t="s">
        <v>25743</v>
      </c>
      <c r="C2123" s="20"/>
      <c r="D2123" s="25" t="s">
        <v>4097</v>
      </c>
      <c r="E2123" s="25"/>
      <c r="F2123" s="9" t="str">
        <f>HYPERLINK("https://www.ebi.ac.uk/ols/ontologies/uberon/terms?iri=http://purl.obolibrary.org/obo/UBERON_0001928","preoptic area")</f>
        <v>preoptic area</v>
      </c>
      <c r="G2123" s="9" t="s">
        <v>4096</v>
      </c>
      <c r="H2123" s="9" t="s">
        <v>25010</v>
      </c>
      <c r="I2123" s="9" t="s">
        <v>4099</v>
      </c>
      <c r="J2123" s="9" t="s">
        <v>4100</v>
      </c>
      <c r="K2123" s="7" t="s">
        <v>15171</v>
      </c>
      <c r="L2123" s="13">
        <v>4541</v>
      </c>
      <c r="M2123" t="str">
        <f>VLOOKUP(L2123,[1]HBA!$B$2:$C$4000,2,FALSE)</f>
        <v>PrOR</v>
      </c>
    </row>
    <row r="2124" spans="2:13" x14ac:dyDescent="0.25">
      <c r="B2124" s="31" t="s">
        <v>26303</v>
      </c>
      <c r="C2124" s="25" t="s">
        <v>25995</v>
      </c>
      <c r="D2124" s="25" t="s">
        <v>26158</v>
      </c>
      <c r="E2124" s="25"/>
      <c r="F2124" s="9" t="str">
        <f>HYPERLINK("https://www.ebi.ac.uk/ols/ontologies/uberon/terms?iri=http://purl.obolibrary.org/obo/UBERON_0007251","preoptic nucleus")</f>
        <v>preoptic nucleus</v>
      </c>
      <c r="G2124" s="9" t="s">
        <v>4101</v>
      </c>
      <c r="H2124" s="9" t="s">
        <v>23454</v>
      </c>
      <c r="I2124" s="9" t="s">
        <v>767</v>
      </c>
      <c r="J2124" s="9" t="s">
        <v>2695</v>
      </c>
      <c r="K2124" s="4" t="s">
        <v>15175</v>
      </c>
      <c r="L2124" s="13">
        <v>10471</v>
      </c>
      <c r="M2124" t="str">
        <f>VLOOKUP(L2124,[1]Human_BrainSpan!$B$2:$C$4000,2,FALSE)</f>
        <v>LPA</v>
      </c>
    </row>
    <row r="2125" spans="2:13" x14ac:dyDescent="0.25">
      <c r="B2125" s="31" t="s">
        <v>26302</v>
      </c>
      <c r="C2125" s="25" t="s">
        <v>483</v>
      </c>
      <c r="D2125" s="25" t="s">
        <v>26158</v>
      </c>
      <c r="E2125" s="25"/>
      <c r="F2125" s="9" t="str">
        <f>HYPERLINK("https://www.ebi.ac.uk/ols/ontologies/uberon/terms?iri=http://purl.obolibrary.org/obo/UBERON_0007251","preoptic nucleus")</f>
        <v>preoptic nucleus</v>
      </c>
      <c r="G2125" s="9" t="s">
        <v>4101</v>
      </c>
      <c r="H2125" s="9" t="s">
        <v>15242</v>
      </c>
      <c r="I2125" s="9" t="s">
        <v>483</v>
      </c>
      <c r="J2125" s="9" t="s">
        <v>484</v>
      </c>
      <c r="K2125" s="4" t="s">
        <v>15175</v>
      </c>
      <c r="L2125" s="13">
        <v>13061</v>
      </c>
      <c r="M2125" t="str">
        <f>VLOOKUP(L2125,[1]Human_BrainSpan!$B$2:$C$4000,2,FALSE)</f>
        <v>AVPe</v>
      </c>
    </row>
    <row r="2126" spans="2:13" x14ac:dyDescent="0.25">
      <c r="B2126" s="31" t="s">
        <v>26302</v>
      </c>
      <c r="C2126" s="25" t="s">
        <v>483</v>
      </c>
      <c r="D2126" s="25" t="s">
        <v>26158</v>
      </c>
      <c r="E2126" s="25"/>
      <c r="F2126" s="9" t="str">
        <f>HYPERLINK("https://www.ebi.ac.uk/ols/ontologies/uberon/terms?iri=http://purl.obolibrary.org/obo/UBERON_0007251","preoptic nucleus")</f>
        <v>preoptic nucleus</v>
      </c>
      <c r="G2126" s="9" t="s">
        <v>4101</v>
      </c>
      <c r="H2126" s="9" t="s">
        <v>20041</v>
      </c>
      <c r="I2126" s="9" t="s">
        <v>485</v>
      </c>
      <c r="J2126" s="9" t="s">
        <v>486</v>
      </c>
      <c r="K2126" s="7" t="s">
        <v>15171</v>
      </c>
      <c r="L2126" s="13">
        <v>4550</v>
      </c>
      <c r="M2126" t="str">
        <f>VLOOKUP(L2126,[1]HBA!$B$2:$C$4000,2,FALSE)</f>
        <v>AVPV</v>
      </c>
    </row>
    <row r="2127" spans="2:13" x14ac:dyDescent="0.25">
      <c r="B2127" s="31" t="s">
        <v>26303</v>
      </c>
      <c r="C2127" s="25" t="s">
        <v>25995</v>
      </c>
      <c r="D2127" s="25" t="s">
        <v>26158</v>
      </c>
      <c r="E2127" s="25"/>
      <c r="F2127" s="9" t="str">
        <f>HYPERLINK("https://www.ebi.ac.uk/ols/ontologies/uberon/terms?iri=http://purl.obolibrary.org/obo/UBERON_0007251","preoptic nucleus")</f>
        <v>preoptic nucleus</v>
      </c>
      <c r="G2127" s="9" t="s">
        <v>4101</v>
      </c>
      <c r="H2127" s="9" t="s">
        <v>20141</v>
      </c>
      <c r="I2127" s="9" t="s">
        <v>2696</v>
      </c>
      <c r="J2127" s="9" t="s">
        <v>2697</v>
      </c>
      <c r="K2127" s="7" t="s">
        <v>15171</v>
      </c>
      <c r="L2127" s="13">
        <v>4552</v>
      </c>
      <c r="M2127" t="str">
        <f>VLOOKUP(L2127,[1]HBA!$B$2:$C$4000,2,FALSE)</f>
        <v>LPO</v>
      </c>
    </row>
    <row r="2128" spans="2:13" x14ac:dyDescent="0.25">
      <c r="B2128" s="31" t="s">
        <v>25743</v>
      </c>
      <c r="C2128" s="20"/>
      <c r="D2128" s="25" t="s">
        <v>26159</v>
      </c>
      <c r="E2128" s="25"/>
      <c r="F2128" s="9" t="str">
        <f>HYPERLINK("https://www.ebi.ac.uk/ols/ontologies/uberon/terms?iri=http://purl.obolibrary.org/obo/UBERON_0002622","preoptic periventricular nucleus")</f>
        <v>preoptic periventricular nucleus</v>
      </c>
      <c r="G2128" s="9" t="s">
        <v>4102</v>
      </c>
      <c r="H2128" s="9" t="s">
        <v>20063</v>
      </c>
      <c r="I2128" s="9" t="s">
        <v>2335</v>
      </c>
      <c r="J2128" s="9" t="s">
        <v>2336</v>
      </c>
      <c r="K2128" s="7" t="s">
        <v>15171</v>
      </c>
      <c r="L2128" s="13">
        <v>4549</v>
      </c>
      <c r="M2128" t="str">
        <f>VLOOKUP(L2128,[1]HBA!$B$2:$C$4000,2,FALSE)</f>
        <v>PVpo</v>
      </c>
    </row>
    <row r="2129" spans="2:13" x14ac:dyDescent="0.25">
      <c r="B2129" s="31" t="s">
        <v>25743</v>
      </c>
      <c r="C2129" s="20"/>
      <c r="D2129" s="25" t="s">
        <v>26159</v>
      </c>
      <c r="E2129" s="25"/>
      <c r="F2129" s="9" t="str">
        <f>HYPERLINK("https://www.ebi.ac.uk/ols/ontologies/uberon/terms?iri=http://purl.obolibrary.org/obo/UBERON_0002622","preoptic periventricular nucleus")</f>
        <v>preoptic periventricular nucleus</v>
      </c>
      <c r="G2129" s="9" t="s">
        <v>4102</v>
      </c>
      <c r="H2129" s="9" t="s">
        <v>20063</v>
      </c>
      <c r="I2129" s="9" t="s">
        <v>745</v>
      </c>
      <c r="J2129" s="9" t="s">
        <v>746</v>
      </c>
      <c r="K2129" s="3" t="s">
        <v>15176</v>
      </c>
      <c r="L2129" s="13">
        <v>133</v>
      </c>
      <c r="M2129" t="str">
        <f>VLOOKUP(L2129,[1]Mouse_ARA!$B$2:$C$1328,2,FALSE)</f>
        <v>PVpo</v>
      </c>
    </row>
    <row r="2130" spans="2:13" x14ac:dyDescent="0.25">
      <c r="B2130" s="31" t="s">
        <v>25743</v>
      </c>
      <c r="C2130" s="20"/>
      <c r="D2130" s="25" t="s">
        <v>26160</v>
      </c>
      <c r="E2130" s="25"/>
      <c r="F2130" s="9" t="str">
        <f>HYPERLINK("https://www.ebi.ac.uk/ols/ontologies/uberon/terms?iri=http://purl.obolibrary.org/obo/UBERON_0002816","prepyramidal fissure of cerebellum")</f>
        <v>prepyramidal fissure of cerebellum</v>
      </c>
      <c r="G2130" s="9" t="s">
        <v>4103</v>
      </c>
      <c r="H2130" s="9" t="s">
        <v>20977</v>
      </c>
      <c r="I2130" s="9" t="s">
        <v>4104</v>
      </c>
      <c r="J2130" s="9" t="s">
        <v>4105</v>
      </c>
      <c r="K2130" s="3" t="s">
        <v>15176</v>
      </c>
      <c r="L2130" s="13">
        <v>1119</v>
      </c>
      <c r="M2130" t="str">
        <f>VLOOKUP(L2130,[1]Mouse_ARA!$B$2:$C$1328,2,FALSE)</f>
        <v>ppf</v>
      </c>
    </row>
    <row r="2131" spans="2:13" x14ac:dyDescent="0.25">
      <c r="B2131" s="31" t="s">
        <v>25743</v>
      </c>
      <c r="C2131" s="20"/>
      <c r="D2131" s="25" t="s">
        <v>26161</v>
      </c>
      <c r="E2131" s="25"/>
      <c r="F2131" s="9" t="str">
        <f>HYPERLINK("https://www.ebi.ac.uk/ols/ontologies/uberon/terms?iri=http://purl.obolibrary.org/obo/UBERON_0002590","prepyriform area")</f>
        <v>prepyriform area</v>
      </c>
      <c r="G2131" s="9" t="s">
        <v>4106</v>
      </c>
      <c r="H2131" s="9" t="s">
        <v>23811</v>
      </c>
      <c r="I2131" s="9" t="s">
        <v>4107</v>
      </c>
      <c r="J2131" s="9" t="s">
        <v>4108</v>
      </c>
      <c r="K2131" s="4" t="s">
        <v>15175</v>
      </c>
      <c r="L2131" s="13">
        <v>13229</v>
      </c>
      <c r="M2131" t="str">
        <f>VLOOKUP(L2131,[1]Human_BrainSpan!$B$2:$C$4000,2,FALSE)</f>
        <v>LOG</v>
      </c>
    </row>
    <row r="2132" spans="2:13" x14ac:dyDescent="0.25">
      <c r="B2132" s="31" t="s">
        <v>25743</v>
      </c>
      <c r="C2132" s="20"/>
      <c r="D2132" s="25" t="s">
        <v>26161</v>
      </c>
      <c r="E2132" s="25"/>
      <c r="F2132" s="9" t="str">
        <f>HYPERLINK("https://www.ebi.ac.uk/ols/ontologies/uberon/terms?iri=http://purl.obolibrary.org/obo/UBERON_0002590","prepyriform area")</f>
        <v>prepyriform area</v>
      </c>
      <c r="G2132" s="9" t="s">
        <v>4106</v>
      </c>
      <c r="H2132" s="9" t="s">
        <v>23869</v>
      </c>
      <c r="I2132" s="9" t="s">
        <v>4109</v>
      </c>
      <c r="J2132" s="9" t="s">
        <v>4110</v>
      </c>
      <c r="K2132" s="4" t="s">
        <v>15175</v>
      </c>
      <c r="L2132" s="13">
        <v>266441677</v>
      </c>
      <c r="M2132" t="str">
        <f>VLOOKUP(L2132,[1]Human_BrainSpan!$B$2:$C$4000,2,FALSE)</f>
        <v>PrPir</v>
      </c>
    </row>
    <row r="2133" spans="2:13" x14ac:dyDescent="0.25">
      <c r="B2133" s="31" t="s">
        <v>26302</v>
      </c>
      <c r="C2133" s="25" t="s">
        <v>3837</v>
      </c>
      <c r="D2133" s="25" t="s">
        <v>26161</v>
      </c>
      <c r="E2133" s="25"/>
      <c r="F2133" s="9" t="str">
        <f>HYPERLINK("https://www.ebi.ac.uk/ols/ontologies/uberon/terms?iri=http://purl.obolibrary.org/obo/UBERON_0002590","prepyriform area")</f>
        <v>prepyriform area</v>
      </c>
      <c r="G2133" s="9" t="s">
        <v>4106</v>
      </c>
      <c r="H2133" s="9" t="s">
        <v>19465</v>
      </c>
      <c r="I2133" s="9" t="s">
        <v>4111</v>
      </c>
      <c r="J2133" s="9" t="s">
        <v>4112</v>
      </c>
      <c r="K2133" s="3" t="s">
        <v>15176</v>
      </c>
      <c r="L2133" s="13">
        <v>961</v>
      </c>
      <c r="M2133" t="str">
        <f>VLOOKUP(L2133,[1]Mouse_ARA!$B$2:$C$1328,2,FALSE)</f>
        <v>PIR</v>
      </c>
    </row>
    <row r="2134" spans="2:13" x14ac:dyDescent="0.25">
      <c r="B2134" s="31" t="s">
        <v>25743</v>
      </c>
      <c r="C2134" s="20"/>
      <c r="D2134" s="25" t="s">
        <v>4116</v>
      </c>
      <c r="E2134" s="25"/>
      <c r="F2134" s="9" t="str">
        <f>HYPERLINK("https://www.ebi.ac.uk/ols/ontologies/uberon/terms?iri=http://purl.obolibrary.org/obo/UBERON_0001953","presubiculum")</f>
        <v>presubiculum</v>
      </c>
      <c r="G2134" s="9" t="s">
        <v>4113</v>
      </c>
      <c r="H2134" s="9" t="s">
        <v>15970</v>
      </c>
      <c r="I2134" s="9" t="s">
        <v>4114</v>
      </c>
      <c r="J2134" s="9" t="s">
        <v>4115</v>
      </c>
      <c r="K2134" s="4" t="s">
        <v>15175</v>
      </c>
      <c r="L2134" s="13">
        <v>10315</v>
      </c>
      <c r="M2134" t="str">
        <f>VLOOKUP(L2134,[1]Human_BrainSpan!$B$2:$C$4000,2,FALSE)</f>
        <v>PrS</v>
      </c>
    </row>
    <row r="2135" spans="2:13" x14ac:dyDescent="0.25">
      <c r="B2135" s="31" t="s">
        <v>25743</v>
      </c>
      <c r="C2135" s="20"/>
      <c r="D2135" s="25" t="s">
        <v>4116</v>
      </c>
      <c r="E2135" s="25"/>
      <c r="F2135" s="9" t="str">
        <f>HYPERLINK("https://www.ebi.ac.uk/ols/ontologies/uberon/terms?iri=http://purl.obolibrary.org/obo/UBERON_0001953","presubiculum")</f>
        <v>presubiculum</v>
      </c>
      <c r="G2135" s="9" t="s">
        <v>4113</v>
      </c>
      <c r="H2135" s="9" t="s">
        <v>15970</v>
      </c>
      <c r="I2135" s="9" t="s">
        <v>4116</v>
      </c>
      <c r="J2135" s="9" t="s">
        <v>4117</v>
      </c>
      <c r="K2135" s="5" t="s">
        <v>15173</v>
      </c>
      <c r="L2135" s="13">
        <v>16172</v>
      </c>
      <c r="M2135" t="str">
        <f>VLOOKUP(L2135,[1]DevMouse!$B$2:$C$2693,2,FALSE)</f>
        <v>PrS</v>
      </c>
    </row>
    <row r="2136" spans="2:13" x14ac:dyDescent="0.25">
      <c r="B2136" s="31" t="s">
        <v>25743</v>
      </c>
      <c r="C2136" s="20"/>
      <c r="D2136" s="25" t="s">
        <v>4116</v>
      </c>
      <c r="E2136" s="25"/>
      <c r="F2136" s="9" t="str">
        <f>HYPERLINK("https://www.ebi.ac.uk/ols/ontologies/uberon/terms?iri=http://purl.obolibrary.org/obo/UBERON_0001953","presubiculum")</f>
        <v>presubiculum</v>
      </c>
      <c r="G2136" s="9" t="s">
        <v>4113</v>
      </c>
      <c r="H2136" s="9" t="s">
        <v>15970</v>
      </c>
      <c r="I2136" s="9" t="s">
        <v>4118</v>
      </c>
      <c r="J2136" s="9" t="s">
        <v>4119</v>
      </c>
      <c r="K2136" s="7" t="s">
        <v>15171</v>
      </c>
      <c r="L2136" s="13">
        <v>4252</v>
      </c>
      <c r="M2136" t="str">
        <f>VLOOKUP(L2136,[1]HBA!$B$2:$C$4000,2,FALSE)</f>
        <v>PrS</v>
      </c>
    </row>
    <row r="2137" spans="2:13" x14ac:dyDescent="0.25">
      <c r="B2137" s="31" t="s">
        <v>25743</v>
      </c>
      <c r="C2137" s="20"/>
      <c r="D2137" s="25" t="s">
        <v>4116</v>
      </c>
      <c r="E2137" s="25"/>
      <c r="F2137" s="9" t="str">
        <f>HYPERLINK("https://www.ebi.ac.uk/ols/ontologies/uberon/terms?iri=http://purl.obolibrary.org/obo/UBERON_0001953","presubiculum")</f>
        <v>presubiculum</v>
      </c>
      <c r="G2137" s="9" t="s">
        <v>4113</v>
      </c>
      <c r="H2137" s="9" t="s">
        <v>19663</v>
      </c>
      <c r="I2137" s="9" t="s">
        <v>4116</v>
      </c>
      <c r="J2137" s="9" t="s">
        <v>4120</v>
      </c>
      <c r="K2137" s="3" t="s">
        <v>15176</v>
      </c>
      <c r="L2137" s="13">
        <v>1084</v>
      </c>
      <c r="M2137" t="str">
        <f>VLOOKUP(L2137,[1]Mouse_ARA!$B$2:$C$1328,2,FALSE)</f>
        <v>PRE</v>
      </c>
    </row>
    <row r="2138" spans="2:13" x14ac:dyDescent="0.25">
      <c r="B2138" s="31" t="s">
        <v>26303</v>
      </c>
      <c r="C2138" s="25" t="s">
        <v>1347</v>
      </c>
      <c r="D2138" s="25" t="s">
        <v>26162</v>
      </c>
      <c r="E2138" s="25"/>
      <c r="F2138" s="9" t="str">
        <f>HYPERLINK("https://www.ebi.ac.uk/ols/ontologies/uberon/terms?iri=http://purl.obolibrary.org/obo/UBERON_0006598","presumptive structure")</f>
        <v>presumptive structure</v>
      </c>
      <c r="G2138" s="9" t="s">
        <v>4121</v>
      </c>
      <c r="H2138" s="9" t="s">
        <v>19744</v>
      </c>
      <c r="I2138" s="9" t="s">
        <v>1347</v>
      </c>
      <c r="J2138" s="9" t="s">
        <v>1348</v>
      </c>
      <c r="K2138" s="4" t="s">
        <v>15175</v>
      </c>
      <c r="L2138" s="13">
        <v>10515</v>
      </c>
      <c r="M2138" t="str">
        <f>VLOOKUP(L2138,[1]Human_BrainSpan!$B$2:$C$4000,2,FALSE)</f>
        <v>CP</v>
      </c>
    </row>
    <row r="2139" spans="2:13" x14ac:dyDescent="0.25">
      <c r="B2139" s="31" t="s">
        <v>25743</v>
      </c>
      <c r="C2139" s="20"/>
      <c r="D2139" s="25" t="s">
        <v>26163</v>
      </c>
      <c r="E2139" s="25"/>
      <c r="F2139" s="9" t="str">
        <f t="shared" ref="F2139:F2144" si="25">HYPERLINK("https://www.ebi.ac.uk/ols/ontologies/uberon/terms?iri=http://purl.obolibrary.org/obo/UBERON_0014450","pretectal nucleus")</f>
        <v>pretectal nucleus</v>
      </c>
      <c r="G2139" s="9" t="s">
        <v>4122</v>
      </c>
      <c r="H2139" s="9" t="s">
        <v>23904</v>
      </c>
      <c r="I2139" s="9" t="s">
        <v>3121</v>
      </c>
      <c r="J2139" s="9" t="s">
        <v>3122</v>
      </c>
      <c r="K2139" s="4" t="s">
        <v>15175</v>
      </c>
      <c r="L2139" s="13">
        <v>12182</v>
      </c>
      <c r="M2139" t="str">
        <f>VLOOKUP(L2139,[1]Human_BrainSpan!$B$2:$C$4000,2,FALSE)</f>
        <v>PTN</v>
      </c>
    </row>
    <row r="2140" spans="2:13" x14ac:dyDescent="0.25">
      <c r="B2140" s="31" t="s">
        <v>26302</v>
      </c>
      <c r="C2140" s="25" t="s">
        <v>25908</v>
      </c>
      <c r="D2140" s="25" t="s">
        <v>26163</v>
      </c>
      <c r="E2140" s="25"/>
      <c r="F2140" s="9" t="str">
        <f t="shared" si="25"/>
        <v>pretectal nucleus</v>
      </c>
      <c r="G2140" s="9" t="s">
        <v>4122</v>
      </c>
      <c r="H2140" s="9" t="s">
        <v>16771</v>
      </c>
      <c r="I2140" s="9" t="s">
        <v>708</v>
      </c>
      <c r="J2140" s="9" t="s">
        <v>709</v>
      </c>
      <c r="K2140" s="5" t="s">
        <v>15173</v>
      </c>
      <c r="L2140" s="13">
        <v>16590</v>
      </c>
      <c r="M2140" t="str">
        <f>VLOOKUP(L2140,[1]DevMouse!$B$2:$C$2693,2,FALSE)</f>
        <v>DT</v>
      </c>
    </row>
    <row r="2141" spans="2:13" x14ac:dyDescent="0.25">
      <c r="B2141" s="31" t="s">
        <v>25743</v>
      </c>
      <c r="C2141" s="20"/>
      <c r="D2141" s="25" t="s">
        <v>26163</v>
      </c>
      <c r="E2141" s="25"/>
      <c r="F2141" s="9" t="str">
        <f t="shared" si="25"/>
        <v>pretectal nucleus</v>
      </c>
      <c r="G2141" s="9" t="s">
        <v>4122</v>
      </c>
      <c r="H2141" s="9" t="s">
        <v>25322</v>
      </c>
      <c r="I2141" s="9" t="s">
        <v>3123</v>
      </c>
      <c r="J2141" s="9" t="s">
        <v>3124</v>
      </c>
      <c r="K2141" s="7" t="s">
        <v>15171</v>
      </c>
      <c r="L2141" s="13">
        <v>9083</v>
      </c>
      <c r="M2141" t="str">
        <f>VLOOKUP(L2141,[1]HBA!$B$2:$C$4000,2,FALSE)</f>
        <v>PTA</v>
      </c>
    </row>
    <row r="2142" spans="2:13" x14ac:dyDescent="0.25">
      <c r="B2142" s="31" t="s">
        <v>26303</v>
      </c>
      <c r="C2142" s="25" t="s">
        <v>731</v>
      </c>
      <c r="D2142" s="25" t="s">
        <v>26163</v>
      </c>
      <c r="E2142" s="25"/>
      <c r="F2142" s="9" t="str">
        <f t="shared" si="25"/>
        <v>pretectal nucleus</v>
      </c>
      <c r="G2142" s="9" t="s">
        <v>4122</v>
      </c>
      <c r="H2142" s="9" t="s">
        <v>20240</v>
      </c>
      <c r="I2142" s="9" t="s">
        <v>731</v>
      </c>
      <c r="J2142" s="9" t="s">
        <v>732</v>
      </c>
      <c r="K2142" s="3" t="s">
        <v>15176</v>
      </c>
      <c r="L2142" s="13">
        <v>1061</v>
      </c>
      <c r="M2142" t="str">
        <f>VLOOKUP(L2142,[1]Mouse_ARA!$B$2:$C$1328,2,FALSE)</f>
        <v>PPT</v>
      </c>
    </row>
    <row r="2143" spans="2:13" x14ac:dyDescent="0.25">
      <c r="B2143" s="31" t="s">
        <v>26302</v>
      </c>
      <c r="C2143" s="25" t="s">
        <v>26060</v>
      </c>
      <c r="D2143" s="25" t="s">
        <v>26163</v>
      </c>
      <c r="E2143" s="25"/>
      <c r="F2143" s="9" t="str">
        <f t="shared" si="25"/>
        <v>pretectal nucleus</v>
      </c>
      <c r="G2143" s="9" t="s">
        <v>4122</v>
      </c>
      <c r="H2143" s="9" t="s">
        <v>20236</v>
      </c>
      <c r="I2143" s="9" t="s">
        <v>1485</v>
      </c>
      <c r="J2143" s="9" t="s">
        <v>1486</v>
      </c>
      <c r="K2143" s="3" t="s">
        <v>15176</v>
      </c>
      <c r="L2143" s="13">
        <v>634</v>
      </c>
      <c r="M2143" t="str">
        <f>VLOOKUP(L2143,[1]Mouse_ARA!$B$2:$C$1328,2,FALSE)</f>
        <v>NPC</v>
      </c>
    </row>
    <row r="2144" spans="2:13" x14ac:dyDescent="0.25">
      <c r="B2144" s="31" t="s">
        <v>26302</v>
      </c>
      <c r="C2144" s="25" t="s">
        <v>25908</v>
      </c>
      <c r="D2144" s="25" t="s">
        <v>26163</v>
      </c>
      <c r="E2144" s="25"/>
      <c r="F2144" s="9" t="str">
        <f t="shared" si="25"/>
        <v>pretectal nucleus</v>
      </c>
      <c r="G2144" s="9" t="s">
        <v>4122</v>
      </c>
      <c r="H2144" s="9" t="s">
        <v>16771</v>
      </c>
      <c r="I2144" s="9" t="s">
        <v>708</v>
      </c>
      <c r="J2144" s="9" t="s">
        <v>826</v>
      </c>
      <c r="K2144" s="3" t="s">
        <v>15176</v>
      </c>
      <c r="L2144" s="13">
        <v>75</v>
      </c>
      <c r="M2144" t="str">
        <f>VLOOKUP(L2144,[1]Mouse_ARA!$B$2:$C$1328,2,FALSE)</f>
        <v>DT</v>
      </c>
    </row>
    <row r="2145" spans="2:13" x14ac:dyDescent="0.25">
      <c r="B2145" s="31" t="s">
        <v>25743</v>
      </c>
      <c r="C2145" s="20"/>
      <c r="D2145" s="25" t="s">
        <v>2114</v>
      </c>
      <c r="E2145" s="25"/>
      <c r="F2145" s="9" t="str">
        <f>HYPERLINK("https://www.ebi.ac.uk/ols/ontologies/uberon/terms?iri=http://purl.obolibrary.org/obo/UBERON_0001944","pretectal region")</f>
        <v>pretectal region</v>
      </c>
      <c r="G2145" s="9" t="s">
        <v>4123</v>
      </c>
      <c r="H2145" s="9" t="s">
        <v>23903</v>
      </c>
      <c r="I2145" s="9" t="s">
        <v>2114</v>
      </c>
      <c r="J2145" s="9" t="s">
        <v>4124</v>
      </c>
      <c r="K2145" s="4" t="s">
        <v>15175</v>
      </c>
      <c r="L2145" s="13">
        <v>12181</v>
      </c>
      <c r="M2145" t="str">
        <f>VLOOKUP(L2145,[1]Human_BrainSpan!$B$2:$C$4000,2,FALSE)</f>
        <v>PTR</v>
      </c>
    </row>
    <row r="2146" spans="2:13" x14ac:dyDescent="0.25">
      <c r="B2146" s="31" t="s">
        <v>25743</v>
      </c>
      <c r="C2146" s="25"/>
      <c r="D2146" s="25" t="s">
        <v>2114</v>
      </c>
      <c r="E2146" s="25"/>
      <c r="F2146" s="9" t="str">
        <f>HYPERLINK("https://www.ebi.ac.uk/ols/ontologies/uberon/terms?iri=http://purl.obolibrary.org/obo/UBERON_0001944","pretectal region")</f>
        <v>pretectal region</v>
      </c>
      <c r="G2146" s="9" t="s">
        <v>4123</v>
      </c>
      <c r="H2146" s="9" t="s">
        <v>16604</v>
      </c>
      <c r="I2146" s="9" t="s">
        <v>2110</v>
      </c>
      <c r="J2146" s="9" t="s">
        <v>2111</v>
      </c>
      <c r="K2146" s="5" t="s">
        <v>15173</v>
      </c>
      <c r="L2146" s="13">
        <v>16510</v>
      </c>
      <c r="M2146" t="str">
        <f>VLOOKUP(L2146,[1]DevMouse!$B$2:$C$2693,2,FALSE)</f>
        <v>Pt</v>
      </c>
    </row>
    <row r="2147" spans="2:13" x14ac:dyDescent="0.25">
      <c r="B2147" s="31" t="s">
        <v>25743</v>
      </c>
      <c r="C2147" s="20"/>
      <c r="D2147" s="25" t="s">
        <v>2114</v>
      </c>
      <c r="E2147" s="25"/>
      <c r="F2147" s="9" t="str">
        <f>HYPERLINK("https://www.ebi.ac.uk/ols/ontologies/uberon/terms?iri=http://purl.obolibrary.org/obo/UBERON_0001944","pretectal region")</f>
        <v>pretectal region</v>
      </c>
      <c r="G2147" s="9" t="s">
        <v>4123</v>
      </c>
      <c r="H2147" s="9" t="s">
        <v>25319</v>
      </c>
      <c r="I2147" s="9" t="s">
        <v>2114</v>
      </c>
      <c r="J2147" s="9" t="s">
        <v>4125</v>
      </c>
      <c r="K2147" s="7" t="s">
        <v>15171</v>
      </c>
      <c r="L2147" s="13">
        <v>9079</v>
      </c>
      <c r="M2147" t="str">
        <f>VLOOKUP(L2147,[1]HBA!$B$2:$C$4000,2,FALSE)</f>
        <v>PTec</v>
      </c>
    </row>
    <row r="2148" spans="2:13" x14ac:dyDescent="0.25">
      <c r="B2148" s="31" t="s">
        <v>25743</v>
      </c>
      <c r="C2148" s="20"/>
      <c r="D2148" s="25" t="s">
        <v>2114</v>
      </c>
      <c r="E2148" s="25"/>
      <c r="F2148" s="9" t="str">
        <f>HYPERLINK("https://www.ebi.ac.uk/ols/ontologies/uberon/terms?iri=http://purl.obolibrary.org/obo/UBERON_0001944","pretectal region")</f>
        <v>pretectal region</v>
      </c>
      <c r="G2148" s="9" t="s">
        <v>4123</v>
      </c>
      <c r="H2148" s="9" t="s">
        <v>20229</v>
      </c>
      <c r="I2148" s="9" t="s">
        <v>2114</v>
      </c>
      <c r="J2148" s="9" t="s">
        <v>2115</v>
      </c>
      <c r="K2148" s="3" t="s">
        <v>15176</v>
      </c>
      <c r="L2148" s="13">
        <v>1100</v>
      </c>
      <c r="M2148" t="str">
        <f>VLOOKUP(L2148,[1]Mouse_ARA!$B$2:$C$1328,2,FALSE)</f>
        <v>PRT</v>
      </c>
    </row>
    <row r="2149" spans="2:13" x14ac:dyDescent="0.25">
      <c r="B2149" s="31" t="s">
        <v>25743</v>
      </c>
      <c r="C2149" s="20"/>
      <c r="D2149" s="25" t="s">
        <v>26164</v>
      </c>
      <c r="E2149" s="25"/>
      <c r="F2149" s="9" t="str">
        <f>HYPERLINK("https://www.ebi.ac.uk/ols/ontologies/uberon/terms?iri=http://purl.obolibrary.org/obo/UBERON_0034751","primary auditory cortex")</f>
        <v>primary auditory cortex</v>
      </c>
      <c r="G2149" s="9" t="s">
        <v>4126</v>
      </c>
      <c r="H2149" s="9" t="s">
        <v>22479</v>
      </c>
      <c r="I2149" s="9" t="s">
        <v>4127</v>
      </c>
      <c r="J2149" s="9" t="s">
        <v>4128</v>
      </c>
      <c r="K2149" s="4" t="s">
        <v>15175</v>
      </c>
      <c r="L2149" s="13">
        <v>10236</v>
      </c>
      <c r="M2149" t="str">
        <f>VLOOKUP(L2149,[1]Human_BrainSpan!$B$2:$C$4000,2,FALSE)</f>
        <v>A1C</v>
      </c>
    </row>
    <row r="2150" spans="2:13" x14ac:dyDescent="0.25">
      <c r="B2150" s="31" t="s">
        <v>25743</v>
      </c>
      <c r="C2150" s="20"/>
      <c r="D2150" s="25" t="s">
        <v>26165</v>
      </c>
      <c r="E2150" s="25"/>
      <c r="F2150" s="9" t="str">
        <f>HYPERLINK("https://www.ebi.ac.uk/ols/ontologies/uberon/terms?iri=http://purl.obolibrary.org/obo/UBERON_0014471","primary fissure of cerebellum")</f>
        <v>primary fissure of cerebellum</v>
      </c>
      <c r="G2150" s="9" t="s">
        <v>4129</v>
      </c>
      <c r="H2150" s="9" t="s">
        <v>24672</v>
      </c>
      <c r="I2150" s="9" t="s">
        <v>4130</v>
      </c>
      <c r="J2150" s="9" t="s">
        <v>4131</v>
      </c>
      <c r="K2150" s="7" t="s">
        <v>15171</v>
      </c>
      <c r="L2150" s="13">
        <v>9410</v>
      </c>
      <c r="M2150" t="str">
        <f>VLOOKUP(L2150,[1]HBA!$B$2:$C$4000,2,FALSE)</f>
        <v>prif</v>
      </c>
    </row>
    <row r="2151" spans="2:13" x14ac:dyDescent="0.25">
      <c r="B2151" s="31" t="s">
        <v>25743</v>
      </c>
      <c r="C2151" s="20"/>
      <c r="D2151" s="25" t="s">
        <v>26165</v>
      </c>
      <c r="E2151" s="25"/>
      <c r="F2151" s="9" t="str">
        <f>HYPERLINK("https://www.ebi.ac.uk/ols/ontologies/uberon/terms?iri=http://purl.obolibrary.org/obo/UBERON_0014471","primary fissure of cerebellum")</f>
        <v>primary fissure of cerebellum</v>
      </c>
      <c r="G2151" s="9" t="s">
        <v>4129</v>
      </c>
      <c r="H2151" s="9" t="s">
        <v>20975</v>
      </c>
      <c r="I2151" s="9" t="s">
        <v>4130</v>
      </c>
      <c r="J2151" s="9" t="s">
        <v>4132</v>
      </c>
      <c r="K2151" s="3" t="s">
        <v>15176</v>
      </c>
      <c r="L2151" s="13">
        <v>1103</v>
      </c>
      <c r="M2151" t="str">
        <f>VLOOKUP(L2151,[1]Mouse_ARA!$B$2:$C$1328,2,FALSE)</f>
        <v>pri</v>
      </c>
    </row>
    <row r="2152" spans="2:13" x14ac:dyDescent="0.25">
      <c r="B2152" s="31" t="s">
        <v>25743</v>
      </c>
      <c r="C2152" s="20"/>
      <c r="D2152" s="25" t="s">
        <v>26166</v>
      </c>
      <c r="E2152" s="25"/>
      <c r="F2152" s="9" t="str">
        <f>HYPERLINK("https://www.ebi.ac.uk/ols/ontologies/uberon/terms?iri=http://purl.obolibrary.org/obo/UBERON_0001384","primary motor cortex")</f>
        <v>primary motor cortex</v>
      </c>
      <c r="G2152" s="9" t="s">
        <v>4133</v>
      </c>
      <c r="H2152" s="9" t="s">
        <v>22276</v>
      </c>
      <c r="I2152" s="9" t="s">
        <v>4134</v>
      </c>
      <c r="J2152" s="9" t="s">
        <v>4135</v>
      </c>
      <c r="K2152" s="4" t="s">
        <v>15175</v>
      </c>
      <c r="L2152" s="13">
        <v>10162</v>
      </c>
      <c r="M2152" t="str">
        <f>VLOOKUP(L2152,[1]Human_BrainSpan!$B$2:$C$4000,2,FALSE)</f>
        <v>PoFC</v>
      </c>
    </row>
    <row r="2153" spans="2:13" x14ac:dyDescent="0.25">
      <c r="B2153" s="31" t="s">
        <v>25743</v>
      </c>
      <c r="C2153" s="20"/>
      <c r="D2153" s="25" t="s">
        <v>26166</v>
      </c>
      <c r="E2153" s="25" t="s">
        <v>26300</v>
      </c>
      <c r="F2153" s="9" t="str">
        <f>HYPERLINK("https://www.ebi.ac.uk/ols/ontologies/uberon/terms?iri=http://purl.obolibrary.org/obo/UBERON_0001384","primary motor cortex")</f>
        <v>primary motor cortex</v>
      </c>
      <c r="G2153" s="9" t="s">
        <v>4133</v>
      </c>
      <c r="H2153" s="9" t="s">
        <v>18679</v>
      </c>
      <c r="I2153" s="9" t="s">
        <v>4136</v>
      </c>
      <c r="J2153" s="9" t="s">
        <v>4137</v>
      </c>
      <c r="K2153" s="3" t="s">
        <v>15176</v>
      </c>
      <c r="L2153" s="13">
        <v>985</v>
      </c>
      <c r="M2153" t="str">
        <f>VLOOKUP(L2153,[1]Mouse_ARA!$B$2:$C$1328,2,FALSE)</f>
        <v>MOp</v>
      </c>
    </row>
    <row r="2154" spans="2:13" x14ac:dyDescent="0.25">
      <c r="B2154" s="31" t="s">
        <v>25743</v>
      </c>
      <c r="C2154" s="20"/>
      <c r="D2154" s="25" t="s">
        <v>26167</v>
      </c>
      <c r="E2154" s="25" t="s">
        <v>26306</v>
      </c>
      <c r="F2154" s="9" t="str">
        <f>HYPERLINK("https://www.ebi.ac.uk/ols/ontologies/uberon/terms?iri=http://purl.obolibrary.org/obo/UBERON_0035873","primary somatosensory area barrel field layer 1")</f>
        <v>primary somatosensory area barrel field layer 1</v>
      </c>
      <c r="G2154" s="9" t="s">
        <v>4138</v>
      </c>
      <c r="H2154" s="9" t="s">
        <v>18746</v>
      </c>
      <c r="I2154" s="9" t="s">
        <v>4139</v>
      </c>
      <c r="J2154" s="9" t="s">
        <v>4140</v>
      </c>
      <c r="K2154" s="3" t="s">
        <v>15176</v>
      </c>
      <c r="L2154" s="13">
        <v>981</v>
      </c>
      <c r="M2154" t="str">
        <f>VLOOKUP(L2154,[1]Mouse_ARA!$B$2:$C$1328,2,FALSE)</f>
        <v>SSp-bfd1</v>
      </c>
    </row>
    <row r="2155" spans="2:13" x14ac:dyDescent="0.25">
      <c r="B2155" s="31" t="s">
        <v>25743</v>
      </c>
      <c r="C2155" s="20"/>
      <c r="D2155" s="25" t="s">
        <v>26168</v>
      </c>
      <c r="E2155" s="25" t="s">
        <v>26306</v>
      </c>
      <c r="F2155" s="9" t="str">
        <f>HYPERLINK("https://www.ebi.ac.uk/ols/ontologies/uberon/terms?iri=http://purl.obolibrary.org/obo/UBERON_0035874","primary somatosensory area barrel field layer 2/3")</f>
        <v>primary somatosensory area barrel field layer 2/3</v>
      </c>
      <c r="G2155" s="9" t="s">
        <v>4141</v>
      </c>
      <c r="H2155" s="9" t="s">
        <v>18748</v>
      </c>
      <c r="I2155" s="9" t="s">
        <v>4142</v>
      </c>
      <c r="J2155" s="9" t="s">
        <v>4143</v>
      </c>
      <c r="K2155" s="3" t="s">
        <v>15176</v>
      </c>
      <c r="L2155" s="13">
        <v>201</v>
      </c>
      <c r="M2155" t="str">
        <f>VLOOKUP(L2155,[1]Mouse_ARA!$B$2:$C$1328,2,FALSE)</f>
        <v>SSp-bfd2/3</v>
      </c>
    </row>
    <row r="2156" spans="2:13" x14ac:dyDescent="0.25">
      <c r="B2156" s="31" t="s">
        <v>25743</v>
      </c>
      <c r="C2156" s="20"/>
      <c r="D2156" s="25" t="s">
        <v>26169</v>
      </c>
      <c r="E2156" s="25" t="s">
        <v>26306</v>
      </c>
      <c r="F2156" s="9" t="str">
        <f>HYPERLINK("https://www.ebi.ac.uk/ols/ontologies/uberon/terms?iri=http://purl.obolibrary.org/obo/UBERON_0035877","primary somatosensory area barrel field layer 4")</f>
        <v>primary somatosensory area barrel field layer 4</v>
      </c>
      <c r="G2156" s="9" t="s">
        <v>4144</v>
      </c>
      <c r="H2156" s="9" t="s">
        <v>18750</v>
      </c>
      <c r="I2156" s="9" t="s">
        <v>4145</v>
      </c>
      <c r="J2156" s="9" t="s">
        <v>4146</v>
      </c>
      <c r="K2156" s="3" t="s">
        <v>15176</v>
      </c>
      <c r="L2156" s="13">
        <v>1047</v>
      </c>
      <c r="M2156" t="str">
        <f>VLOOKUP(L2156,[1]Mouse_ARA!$B$2:$C$1328,2,FALSE)</f>
        <v>SSp-bfd4</v>
      </c>
    </row>
    <row r="2157" spans="2:13" x14ac:dyDescent="0.25">
      <c r="B2157" s="31" t="s">
        <v>25743</v>
      </c>
      <c r="C2157" s="20"/>
      <c r="D2157" s="25" t="s">
        <v>26170</v>
      </c>
      <c r="E2157" s="25" t="s">
        <v>26306</v>
      </c>
      <c r="F2157" s="9" t="str">
        <f>HYPERLINK("https://www.ebi.ac.uk/ols/ontologies/uberon/terms?iri=http://purl.obolibrary.org/obo/UBERON_0035872","primary somatosensory area barrel field layer 5")</f>
        <v>primary somatosensory area barrel field layer 5</v>
      </c>
      <c r="G2157" s="9" t="s">
        <v>4147</v>
      </c>
      <c r="H2157" s="9" t="s">
        <v>18752</v>
      </c>
      <c r="I2157" s="9" t="s">
        <v>4148</v>
      </c>
      <c r="J2157" s="9" t="s">
        <v>4149</v>
      </c>
      <c r="K2157" s="3" t="s">
        <v>15176</v>
      </c>
      <c r="L2157" s="13">
        <v>1070</v>
      </c>
      <c r="M2157" t="str">
        <f>VLOOKUP(L2157,[1]Mouse_ARA!$B$2:$C$1328,2,FALSE)</f>
        <v>SSp-bfd5</v>
      </c>
    </row>
    <row r="2158" spans="2:13" x14ac:dyDescent="0.25">
      <c r="B2158" s="31" t="s">
        <v>25743</v>
      </c>
      <c r="C2158" s="20"/>
      <c r="D2158" s="25" t="s">
        <v>26171</v>
      </c>
      <c r="E2158" s="25" t="s">
        <v>26306</v>
      </c>
      <c r="F2158" s="9" t="str">
        <f>HYPERLINK("https://www.ebi.ac.uk/ols/ontologies/uberon/terms?iri=http://purl.obolibrary.org/obo/UBERON_0035876","primary somatosensory area barrel field layer 6a")</f>
        <v>primary somatosensory area barrel field layer 6a</v>
      </c>
      <c r="G2158" s="9" t="s">
        <v>4150</v>
      </c>
      <c r="H2158" s="9" t="s">
        <v>18754</v>
      </c>
      <c r="I2158" s="9" t="s">
        <v>4151</v>
      </c>
      <c r="J2158" s="9" t="s">
        <v>4152</v>
      </c>
      <c r="K2158" s="3" t="s">
        <v>15176</v>
      </c>
      <c r="L2158" s="13">
        <v>1038</v>
      </c>
      <c r="M2158" t="str">
        <f>VLOOKUP(L2158,[1]Mouse_ARA!$B$2:$C$1328,2,FALSE)</f>
        <v>SSp-bfd6a</v>
      </c>
    </row>
    <row r="2159" spans="2:13" x14ac:dyDescent="0.25">
      <c r="B2159" s="31" t="s">
        <v>25743</v>
      </c>
      <c r="C2159" s="20"/>
      <c r="D2159" s="25" t="s">
        <v>26172</v>
      </c>
      <c r="E2159" s="25" t="s">
        <v>26306</v>
      </c>
      <c r="F2159" s="9" t="str">
        <f>HYPERLINK("https://www.ebi.ac.uk/ols/ontologies/uberon/terms?iri=http://purl.obolibrary.org/obo/UBERON_0035875","primary somatosensory area barrel field layer 6b")</f>
        <v>primary somatosensory area barrel field layer 6b</v>
      </c>
      <c r="G2159" s="9" t="s">
        <v>4153</v>
      </c>
      <c r="H2159" s="9" t="s">
        <v>18756</v>
      </c>
      <c r="I2159" s="9" t="s">
        <v>4154</v>
      </c>
      <c r="J2159" s="9" t="s">
        <v>4155</v>
      </c>
      <c r="K2159" s="3" t="s">
        <v>15176</v>
      </c>
      <c r="L2159" s="13">
        <v>1062</v>
      </c>
      <c r="M2159" t="str">
        <f>VLOOKUP(L2159,[1]Mouse_ARA!$B$2:$C$1328,2,FALSE)</f>
        <v>SSp-bfd6b</v>
      </c>
    </row>
    <row r="2160" spans="2:13" x14ac:dyDescent="0.25">
      <c r="B2160" s="31" t="s">
        <v>25743</v>
      </c>
      <c r="C2160" s="20"/>
      <c r="D2160" s="25" t="s">
        <v>26173</v>
      </c>
      <c r="E2160" s="25"/>
      <c r="F2160" s="9" t="str">
        <f>HYPERLINK("https://www.ebi.ac.uk/ols/ontologies/uberon/terms?iri=http://purl.obolibrary.org/obo/UBERON_0008933","primary somatosensory cortex")</f>
        <v>primary somatosensory cortex</v>
      </c>
      <c r="G2160" s="9" t="s">
        <v>4156</v>
      </c>
      <c r="H2160" s="9" t="s">
        <v>22329</v>
      </c>
      <c r="I2160" s="9" t="s">
        <v>4157</v>
      </c>
      <c r="J2160" s="9" t="s">
        <v>4158</v>
      </c>
      <c r="K2160" s="4" t="s">
        <v>15175</v>
      </c>
      <c r="L2160" s="13">
        <v>10209</v>
      </c>
      <c r="M2160" t="str">
        <f>VLOOKUP(L2160,[1]Human_BrainSpan!$B$2:$C$4000,2,FALSE)</f>
        <v>S1C</v>
      </c>
    </row>
    <row r="2161" spans="2:13" x14ac:dyDescent="0.25">
      <c r="B2161" s="31" t="s">
        <v>25743</v>
      </c>
      <c r="C2161" s="20"/>
      <c r="D2161" s="25" t="s">
        <v>26173</v>
      </c>
      <c r="E2161" s="25"/>
      <c r="F2161" s="9" t="str">
        <f>HYPERLINK("https://www.ebi.ac.uk/ols/ontologies/uberon/terms?iri=http://purl.obolibrary.org/obo/UBERON_0008933","primary somatosensory cortex")</f>
        <v>primary somatosensory cortex</v>
      </c>
      <c r="G2161" s="9" t="s">
        <v>4156</v>
      </c>
      <c r="H2161" s="9" t="s">
        <v>18716</v>
      </c>
      <c r="I2161" s="9" t="s">
        <v>4159</v>
      </c>
      <c r="J2161" s="9" t="s">
        <v>4160</v>
      </c>
      <c r="K2161" s="3" t="s">
        <v>15176</v>
      </c>
      <c r="L2161" s="13">
        <v>322</v>
      </c>
      <c r="M2161" t="str">
        <f>VLOOKUP(L2161,[1]Mouse_ARA!$B$2:$C$1328,2,FALSE)</f>
        <v>SSp</v>
      </c>
    </row>
    <row r="2162" spans="2:13" x14ac:dyDescent="0.25">
      <c r="B2162" s="31" t="s">
        <v>25743</v>
      </c>
      <c r="C2162" s="20"/>
      <c r="D2162" s="25" t="s">
        <v>26174</v>
      </c>
      <c r="E2162" s="25"/>
      <c r="F2162" s="9" t="str">
        <f>HYPERLINK("https://www.ebi.ac.uk/ols/ontologies/uberon/terms?iri=http://purl.obolibrary.org/obo/UBERON_0022434","primary superior olive")</f>
        <v>primary superior olive</v>
      </c>
      <c r="G2162" s="9" t="s">
        <v>4161</v>
      </c>
      <c r="H2162" s="9" t="s">
        <v>24314</v>
      </c>
      <c r="I2162" s="9" t="s">
        <v>4162</v>
      </c>
      <c r="J2162" s="9" t="s">
        <v>4163</v>
      </c>
      <c r="K2162" s="4" t="s">
        <v>15175</v>
      </c>
      <c r="L2162" s="13">
        <v>12468</v>
      </c>
      <c r="M2162" t="str">
        <f>VLOOKUP(L2162,[1]Human_BrainSpan!$B$2:$C$4000,2,FALSE)</f>
        <v>SOI</v>
      </c>
    </row>
    <row r="2163" spans="2:13" x14ac:dyDescent="0.25">
      <c r="B2163" s="31" t="s">
        <v>25743</v>
      </c>
      <c r="C2163" s="20"/>
      <c r="D2163" s="25" t="s">
        <v>26174</v>
      </c>
      <c r="E2163" s="25"/>
      <c r="F2163" s="9" t="str">
        <f>HYPERLINK("https://www.ebi.ac.uk/ols/ontologies/uberon/terms?iri=http://purl.obolibrary.org/obo/UBERON_0022434","primary superior olive")</f>
        <v>primary superior olive</v>
      </c>
      <c r="G2163" s="9" t="s">
        <v>4161</v>
      </c>
      <c r="H2163" s="9" t="s">
        <v>23479</v>
      </c>
      <c r="I2163" s="9" t="s">
        <v>4164</v>
      </c>
      <c r="J2163" s="9" t="s">
        <v>4165</v>
      </c>
      <c r="K2163" s="7" t="s">
        <v>15171</v>
      </c>
      <c r="L2163" s="13">
        <v>9182</v>
      </c>
      <c r="M2163" t="str">
        <f>VLOOKUP(L2163,[1]HBA!$B$2:$C$4000,2,FALSE)</f>
        <v>SOl</v>
      </c>
    </row>
    <row r="2164" spans="2:13" x14ac:dyDescent="0.25">
      <c r="B2164" s="31" t="s">
        <v>25743</v>
      </c>
      <c r="C2164" s="20"/>
      <c r="D2164" s="25" t="s">
        <v>4167</v>
      </c>
      <c r="E2164" s="25" t="s">
        <v>26306</v>
      </c>
      <c r="F2164" s="9" t="str">
        <f>HYPERLINK("https://www.ebi.ac.uk/ols/ontologies/uberon/terms?iri=http://purl.obolibrary.org/obo/UBERON_0035907","primary visual area, layer 2/3")</f>
        <v>primary visual area, layer 2/3</v>
      </c>
      <c r="G2164" s="9" t="s">
        <v>4166</v>
      </c>
      <c r="H2164" s="9" t="s">
        <v>19016</v>
      </c>
      <c r="I2164" s="9" t="s">
        <v>4167</v>
      </c>
      <c r="J2164" s="9" t="s">
        <v>4168</v>
      </c>
      <c r="K2164" s="3" t="s">
        <v>15176</v>
      </c>
      <c r="L2164" s="13">
        <v>821</v>
      </c>
      <c r="M2164" t="str">
        <f>VLOOKUP(L2164,[1]Mouse_ARA!$B$2:$C$1328,2,FALSE)</f>
        <v>VISp2/3</v>
      </c>
    </row>
    <row r="2165" spans="2:13" x14ac:dyDescent="0.25">
      <c r="B2165" s="31" t="s">
        <v>25743</v>
      </c>
      <c r="C2165" s="20"/>
      <c r="D2165" s="25" t="s">
        <v>4170</v>
      </c>
      <c r="E2165" s="25" t="s">
        <v>26306</v>
      </c>
      <c r="F2165" s="9" t="str">
        <f>HYPERLINK("https://www.ebi.ac.uk/ols/ontologies/uberon/terms?iri=http://purl.obolibrary.org/obo/UBERON_0035904","primary visual area, layer 4")</f>
        <v>primary visual area, layer 4</v>
      </c>
      <c r="G2165" s="9" t="s">
        <v>4169</v>
      </c>
      <c r="H2165" s="9" t="s">
        <v>19018</v>
      </c>
      <c r="I2165" s="9" t="s">
        <v>4170</v>
      </c>
      <c r="J2165" s="9" t="s">
        <v>4171</v>
      </c>
      <c r="K2165" s="3" t="s">
        <v>15176</v>
      </c>
      <c r="L2165" s="13">
        <v>721</v>
      </c>
      <c r="M2165" t="str">
        <f>VLOOKUP(L2165,[1]Mouse_ARA!$B$2:$C$1328,2,FALSE)</f>
        <v>VISp4</v>
      </c>
    </row>
    <row r="2166" spans="2:13" x14ac:dyDescent="0.25">
      <c r="B2166" s="31" t="s">
        <v>25743</v>
      </c>
      <c r="C2166" s="20"/>
      <c r="D2166" s="25" t="s">
        <v>4173</v>
      </c>
      <c r="E2166" s="25" t="s">
        <v>26306</v>
      </c>
      <c r="F2166" s="9" t="str">
        <f>HYPERLINK("https://www.ebi.ac.uk/ols/ontologies/uberon/terms?iri=http://purl.obolibrary.org/obo/UBERON_0035906","primary visual area, layer 5")</f>
        <v>primary visual area, layer 5</v>
      </c>
      <c r="G2166" s="9" t="s">
        <v>4172</v>
      </c>
      <c r="H2166" s="9" t="s">
        <v>19020</v>
      </c>
      <c r="I2166" s="9" t="s">
        <v>4173</v>
      </c>
      <c r="J2166" s="9" t="s">
        <v>4174</v>
      </c>
      <c r="K2166" s="3" t="s">
        <v>15176</v>
      </c>
      <c r="L2166" s="13">
        <v>778</v>
      </c>
      <c r="M2166" t="str">
        <f>VLOOKUP(L2166,[1]Mouse_ARA!$B$2:$C$1328,2,FALSE)</f>
        <v>VISp5</v>
      </c>
    </row>
    <row r="2167" spans="2:13" x14ac:dyDescent="0.25">
      <c r="B2167" s="31" t="s">
        <v>25743</v>
      </c>
      <c r="C2167" s="20"/>
      <c r="D2167" s="25" t="s">
        <v>4176</v>
      </c>
      <c r="E2167" s="25" t="s">
        <v>26306</v>
      </c>
      <c r="F2167" s="9" t="str">
        <f>HYPERLINK("https://www.ebi.ac.uk/ols/ontologies/uberon/terms?iri=http://purl.obolibrary.org/obo/UBERON_0035892","primary visual area, layer 6a")</f>
        <v>primary visual area, layer 6a</v>
      </c>
      <c r="G2167" s="9" t="s">
        <v>4175</v>
      </c>
      <c r="H2167" s="9" t="s">
        <v>19022</v>
      </c>
      <c r="I2167" s="9" t="s">
        <v>4176</v>
      </c>
      <c r="J2167" s="9" t="s">
        <v>4177</v>
      </c>
      <c r="K2167" s="3" t="s">
        <v>15176</v>
      </c>
      <c r="L2167" s="13">
        <v>33</v>
      </c>
      <c r="M2167" t="str">
        <f>VLOOKUP(L2167,[1]Mouse_ARA!$B$2:$C$1328,2,FALSE)</f>
        <v>VISp6a</v>
      </c>
    </row>
    <row r="2168" spans="2:13" x14ac:dyDescent="0.25">
      <c r="B2168" s="31" t="s">
        <v>25743</v>
      </c>
      <c r="C2168" s="20"/>
      <c r="D2168" s="25" t="s">
        <v>26175</v>
      </c>
      <c r="E2168" s="25"/>
      <c r="F2168" s="9" t="str">
        <f>HYPERLINK("https://www.ebi.ac.uk/ols/ontologies/uberon/terms?iri=http://purl.obolibrary.org/obo/UBERON_0002436","primary visual cortex")</f>
        <v>primary visual cortex</v>
      </c>
      <c r="G2168" s="9" t="s">
        <v>4178</v>
      </c>
      <c r="H2168" s="9" t="s">
        <v>19012</v>
      </c>
      <c r="I2168" s="9" t="s">
        <v>4179</v>
      </c>
      <c r="J2168" s="9" t="s">
        <v>4180</v>
      </c>
      <c r="K2168" s="3" t="s">
        <v>15176</v>
      </c>
      <c r="L2168" s="13">
        <v>385</v>
      </c>
      <c r="M2168" t="str">
        <f>VLOOKUP(L2168,[1]Mouse_ARA!$B$2:$C$1328,2,FALSE)</f>
        <v>VISp</v>
      </c>
    </row>
    <row r="2169" spans="2:13" x14ac:dyDescent="0.25">
      <c r="B2169" s="31" t="s">
        <v>25743</v>
      </c>
      <c r="C2169" s="25"/>
      <c r="D2169" s="25" t="s">
        <v>26175</v>
      </c>
      <c r="E2169" s="25"/>
      <c r="F2169" s="9" t="str">
        <f>HYPERLINK("https://www.ebi.ac.uk/ols/ontologies/uberon/terms?iri=http://purl.obolibrary.org/obo/UBERON_0002436","primary visual cortex")</f>
        <v>primary visual cortex</v>
      </c>
      <c r="G2169" s="9" t="s">
        <v>4178</v>
      </c>
      <c r="H2169" s="9" t="s">
        <v>25573</v>
      </c>
      <c r="I2169" s="9" t="s">
        <v>4181</v>
      </c>
      <c r="J2169" s="9" t="s">
        <v>4182</v>
      </c>
      <c r="K2169" s="6" t="s">
        <v>15174</v>
      </c>
      <c r="L2169" s="13">
        <v>10026</v>
      </c>
      <c r="M2169" t="str">
        <f>VLOOKUP(L2169,[1]NonHumanPrimate!$B$2:$C$4000,2,FALSE)</f>
        <v>V1</v>
      </c>
    </row>
    <row r="2170" spans="2:13" x14ac:dyDescent="0.25">
      <c r="B2170" s="31" t="s">
        <v>25743</v>
      </c>
      <c r="C2170" s="20"/>
      <c r="D2170" s="25" t="s">
        <v>26176</v>
      </c>
      <c r="E2170" s="25"/>
      <c r="F2170" s="9" t="str">
        <f>HYPERLINK("https://www.ebi.ac.uk/ols/ontologies/uberon/terms?iri=http://purl.obolibrary.org/obo/UBERON_0002158","principal inferior olivary nucleus")</f>
        <v>principal inferior olivary nucleus</v>
      </c>
      <c r="G2170" s="9" t="s">
        <v>4183</v>
      </c>
      <c r="H2170" s="9" t="s">
        <v>24441</v>
      </c>
      <c r="I2170" s="9" t="s">
        <v>4184</v>
      </c>
      <c r="J2170" s="9" t="s">
        <v>4185</v>
      </c>
      <c r="K2170" s="4" t="s">
        <v>15175</v>
      </c>
      <c r="L2170" s="13">
        <v>12610</v>
      </c>
      <c r="M2170" t="str">
        <f>VLOOKUP(L2170,[1]Human_BrainSpan!$B$2:$C$4000,2,FALSE)</f>
        <v>IOPr</v>
      </c>
    </row>
    <row r="2171" spans="2:13" x14ac:dyDescent="0.25">
      <c r="B2171" s="31" t="s">
        <v>25743</v>
      </c>
      <c r="C2171" s="20"/>
      <c r="D2171" s="25" t="s">
        <v>26176</v>
      </c>
      <c r="E2171" s="25"/>
      <c r="F2171" s="9" t="str">
        <f>HYPERLINK("https://www.ebi.ac.uk/ols/ontologies/uberon/terms?iri=http://purl.obolibrary.org/obo/UBERON_0002158","principal inferior olivary nucleus")</f>
        <v>principal inferior olivary nucleus</v>
      </c>
      <c r="G2171" s="9" t="s">
        <v>4183</v>
      </c>
      <c r="H2171" s="9" t="s">
        <v>25450</v>
      </c>
      <c r="I2171" s="9" t="s">
        <v>4186</v>
      </c>
      <c r="J2171" s="9" t="s">
        <v>4187</v>
      </c>
      <c r="K2171" s="7" t="s">
        <v>15171</v>
      </c>
      <c r="L2171" s="13">
        <v>9564</v>
      </c>
      <c r="M2171" t="str">
        <f>VLOOKUP(L2171,[1]HBA!$B$2:$C$4000,2,FALSE)</f>
        <v>PrIO</v>
      </c>
    </row>
    <row r="2172" spans="2:13" x14ac:dyDescent="0.25">
      <c r="B2172" s="31" t="s">
        <v>25743</v>
      </c>
      <c r="C2172" s="20"/>
      <c r="D2172" s="25" t="s">
        <v>26177</v>
      </c>
      <c r="E2172" s="25"/>
      <c r="F2172" s="9" t="str">
        <f>HYPERLINK("https://www.ebi.ac.uk/ols/ontologies/uberon/terms?iri=http://purl.obolibrary.org/obo/UBERON_0011178","principal nucleus of stria terminalis")</f>
        <v>principal nucleus of stria terminalis</v>
      </c>
      <c r="G2172" s="9" t="s">
        <v>4188</v>
      </c>
      <c r="H2172" s="9" t="s">
        <v>19863</v>
      </c>
      <c r="I2172" s="9" t="s">
        <v>4189</v>
      </c>
      <c r="J2172" s="9" t="s">
        <v>4190</v>
      </c>
      <c r="K2172" s="3" t="s">
        <v>15176</v>
      </c>
      <c r="L2172" s="13">
        <v>578</v>
      </c>
      <c r="M2172" t="str">
        <f>VLOOKUP(L2172,[1]Mouse_ARA!$B$2:$C$1328,2,FALSE)</f>
        <v>BSTpr</v>
      </c>
    </row>
    <row r="2173" spans="2:13" x14ac:dyDescent="0.25">
      <c r="B2173" s="31" t="s">
        <v>25743</v>
      </c>
      <c r="C2173" s="20"/>
      <c r="D2173" s="25" t="s">
        <v>704</v>
      </c>
      <c r="E2173" s="25"/>
      <c r="F2173" s="9" t="str">
        <f>HYPERLINK("https://www.ebi.ac.uk/ols/ontologies/uberon/terms?iri=http://purl.obolibrary.org/obo/UBERON_0002572","principal pretectal nucleus")</f>
        <v>principal pretectal nucleus</v>
      </c>
      <c r="G2173" s="9" t="s">
        <v>4191</v>
      </c>
      <c r="H2173" s="9" t="s">
        <v>16765</v>
      </c>
      <c r="I2173" s="9" t="s">
        <v>704</v>
      </c>
      <c r="J2173" s="9" t="s">
        <v>705</v>
      </c>
      <c r="K2173" s="5" t="s">
        <v>15173</v>
      </c>
      <c r="L2173" s="13">
        <v>16586</v>
      </c>
      <c r="M2173" t="str">
        <f>VLOOKUP(L2173,[1]DevMouse!$B$2:$C$2693,2,FALSE)</f>
        <v>PrPT</v>
      </c>
    </row>
    <row r="2174" spans="2:13" x14ac:dyDescent="0.25">
      <c r="B2174" s="31" t="s">
        <v>25743</v>
      </c>
      <c r="C2174" s="20"/>
      <c r="D2174" s="25" t="s">
        <v>704</v>
      </c>
      <c r="E2174" s="25"/>
      <c r="F2174" s="9" t="str">
        <f>HYPERLINK("https://www.ebi.ac.uk/ols/ontologies/uberon/terms?iri=http://purl.obolibrary.org/obo/UBERON_0002572","principal pretectal nucleus")</f>
        <v>principal pretectal nucleus</v>
      </c>
      <c r="G2174" s="9" t="s">
        <v>4191</v>
      </c>
      <c r="H2174" s="9" t="s">
        <v>25328</v>
      </c>
      <c r="I2174" s="9" t="s">
        <v>704</v>
      </c>
      <c r="J2174" s="9" t="s">
        <v>4192</v>
      </c>
      <c r="K2174" s="7" t="s">
        <v>15171</v>
      </c>
      <c r="L2174" s="13">
        <v>9089</v>
      </c>
      <c r="M2174" t="str">
        <f>VLOOKUP(L2174,[1]HBA!$B$2:$C$4000,2,FALSE)</f>
        <v>PPt</v>
      </c>
    </row>
    <row r="2175" spans="2:13" x14ac:dyDescent="0.25">
      <c r="B2175" s="31" t="s">
        <v>25743</v>
      </c>
      <c r="C2175" s="20"/>
      <c r="D2175" s="25" t="s">
        <v>4194</v>
      </c>
      <c r="E2175" s="25"/>
      <c r="F2175" s="9" t="str">
        <f>HYPERLINK("https://www.ebi.ac.uk/ols/ontologies/uberon/terms?iri=http://purl.obolibrary.org/obo/UBERON_0002597","principal sensory nucleus of trigeminal nerve")</f>
        <v>principal sensory nucleus of trigeminal nerve</v>
      </c>
      <c r="G2175" s="9" t="s">
        <v>4193</v>
      </c>
      <c r="H2175" s="9" t="s">
        <v>24290</v>
      </c>
      <c r="I2175" s="9" t="s">
        <v>4194</v>
      </c>
      <c r="J2175" s="9" t="s">
        <v>4195</v>
      </c>
      <c r="K2175" s="4" t="s">
        <v>15175</v>
      </c>
      <c r="L2175" s="13">
        <v>12444</v>
      </c>
      <c r="M2175" t="str">
        <f>VLOOKUP(L2175,[1]Human_BrainSpan!$B$2:$C$4000,2,FALSE)</f>
        <v>Pr5</v>
      </c>
    </row>
    <row r="2176" spans="2:13" x14ac:dyDescent="0.25">
      <c r="B2176" s="31" t="s">
        <v>25743</v>
      </c>
      <c r="C2176" s="20"/>
      <c r="D2176" s="25" t="s">
        <v>4194</v>
      </c>
      <c r="E2176" s="25"/>
      <c r="F2176" s="9" t="str">
        <f>HYPERLINK("https://www.ebi.ac.uk/ols/ontologies/uberon/terms?iri=http://purl.obolibrary.org/obo/UBERON_0002597","principal sensory nucleus of trigeminal nerve")</f>
        <v>principal sensory nucleus of trigeminal nerve</v>
      </c>
      <c r="G2176" s="9" t="s">
        <v>4193</v>
      </c>
      <c r="H2176" s="9" t="s">
        <v>24290</v>
      </c>
      <c r="I2176" s="9" t="s">
        <v>4196</v>
      </c>
      <c r="J2176" s="9" t="s">
        <v>4197</v>
      </c>
      <c r="K2176" s="7" t="s">
        <v>15171</v>
      </c>
      <c r="L2176" s="13">
        <v>9207</v>
      </c>
      <c r="M2176" t="str">
        <f>VLOOKUP(L2176,[1]HBA!$B$2:$C$4000,2,FALSE)</f>
        <v>Pr5</v>
      </c>
    </row>
    <row r="2177" spans="1:13" x14ac:dyDescent="0.25">
      <c r="B2177" s="31" t="s">
        <v>25743</v>
      </c>
      <c r="C2177" s="20"/>
      <c r="D2177" s="25" t="s">
        <v>4194</v>
      </c>
      <c r="E2177" s="25"/>
      <c r="F2177" s="9" t="str">
        <f>HYPERLINK("https://www.ebi.ac.uk/ols/ontologies/uberon/terms?iri=http://purl.obolibrary.org/obo/UBERON_0002597","principal sensory nucleus of trigeminal nerve")</f>
        <v>principal sensory nucleus of trigeminal nerve</v>
      </c>
      <c r="G2177" s="9" t="s">
        <v>4193</v>
      </c>
      <c r="H2177" s="9" t="s">
        <v>20307</v>
      </c>
      <c r="I2177" s="9" t="s">
        <v>4198</v>
      </c>
      <c r="J2177" s="9" t="s">
        <v>4199</v>
      </c>
      <c r="K2177" s="3" t="s">
        <v>15176</v>
      </c>
      <c r="L2177" s="13">
        <v>7</v>
      </c>
      <c r="M2177" t="str">
        <f>VLOOKUP(L2177,[1]Mouse_ARA!$B$2:$C$1328,2,FALSE)</f>
        <v>PSV</v>
      </c>
    </row>
    <row r="2178" spans="1:13" x14ac:dyDescent="0.25">
      <c r="B2178" s="31" t="s">
        <v>25743</v>
      </c>
      <c r="C2178" s="20"/>
      <c r="D2178" s="25" t="s">
        <v>26178</v>
      </c>
      <c r="E2178" s="25"/>
      <c r="F2178" s="9" t="str">
        <f>HYPERLINK("https://www.ebi.ac.uk/ols/ontologies/uberon/terms?iri=http://purl.obolibrary.org/obo/UBERON_0002981","pulvinar nucleus")</f>
        <v>pulvinar nucleus</v>
      </c>
      <c r="G2178" s="9" t="s">
        <v>4200</v>
      </c>
      <c r="H2178" s="9" t="s">
        <v>23314</v>
      </c>
      <c r="I2178" s="9" t="s">
        <v>4201</v>
      </c>
      <c r="J2178" s="9" t="s">
        <v>4202</v>
      </c>
      <c r="K2178" s="4" t="s">
        <v>15175</v>
      </c>
      <c r="L2178" s="13">
        <v>10409</v>
      </c>
      <c r="M2178" t="str">
        <f>VLOOKUP(L2178,[1]Human_BrainSpan!$B$2:$C$4000,2,FALSE)</f>
        <v>Pul</v>
      </c>
    </row>
    <row r="2179" spans="1:13" x14ac:dyDescent="0.25">
      <c r="B2179" s="31" t="s">
        <v>25743</v>
      </c>
      <c r="C2179" s="20"/>
      <c r="D2179" s="25" t="s">
        <v>4204</v>
      </c>
      <c r="E2179" s="25"/>
      <c r="F2179" s="9" t="str">
        <f>HYPERLINK("https://www.ebi.ac.uk/ols/ontologies/uberon/terms?iri=http://purl.obolibrary.org/obo/UBERON_0001874","putamen")</f>
        <v>putamen</v>
      </c>
      <c r="G2179" s="9" t="s">
        <v>4203</v>
      </c>
      <c r="H2179" s="9" t="s">
        <v>23250</v>
      </c>
      <c r="I2179" s="9" t="s">
        <v>4204</v>
      </c>
      <c r="J2179" s="9" t="s">
        <v>4205</v>
      </c>
      <c r="K2179" s="4" t="s">
        <v>15175</v>
      </c>
      <c r="L2179" s="13">
        <v>10338</v>
      </c>
      <c r="M2179" t="str">
        <f>VLOOKUP(L2179,[1]Human_BrainSpan!$B$2:$C$4000,2,FALSE)</f>
        <v>Pu</v>
      </c>
    </row>
    <row r="2180" spans="1:13" x14ac:dyDescent="0.25">
      <c r="B2180" s="31" t="s">
        <v>25743</v>
      </c>
      <c r="C2180" s="20"/>
      <c r="D2180" s="25" t="s">
        <v>4204</v>
      </c>
      <c r="E2180" s="25"/>
      <c r="F2180" s="9" t="str">
        <f>HYPERLINK("https://www.ebi.ac.uk/ols/ontologies/uberon/terms?iri=http://purl.obolibrary.org/obo/UBERON_0001874","putamen")</f>
        <v>putamen</v>
      </c>
      <c r="G2180" s="9" t="s">
        <v>4203</v>
      </c>
      <c r="H2180" s="9" t="s">
        <v>15645</v>
      </c>
      <c r="I2180" s="9" t="s">
        <v>4204</v>
      </c>
      <c r="J2180" s="9" t="s">
        <v>4206</v>
      </c>
      <c r="K2180" s="5" t="s">
        <v>15173</v>
      </c>
      <c r="L2180" s="13">
        <v>15857</v>
      </c>
      <c r="M2180" t="str">
        <f>VLOOKUP(L2180,[1]DevMouse!$B$2:$C$2693,2,FALSE)</f>
        <v>Put</v>
      </c>
    </row>
    <row r="2181" spans="1:13" x14ac:dyDescent="0.25">
      <c r="B2181" s="31" t="s">
        <v>25743</v>
      </c>
      <c r="C2181" s="20"/>
      <c r="D2181" s="25" t="s">
        <v>4204</v>
      </c>
      <c r="E2181" s="25"/>
      <c r="F2181" s="9" t="str">
        <f>HYPERLINK("https://www.ebi.ac.uk/ols/ontologies/uberon/terms?iri=http://purl.obolibrary.org/obo/UBERON_0001874","putamen")</f>
        <v>putamen</v>
      </c>
      <c r="G2181" s="9" t="s">
        <v>4203</v>
      </c>
      <c r="H2181" s="9" t="s">
        <v>23250</v>
      </c>
      <c r="I2181" s="9" t="s">
        <v>4204</v>
      </c>
      <c r="J2181" s="9" t="s">
        <v>4207</v>
      </c>
      <c r="K2181" s="7" t="s">
        <v>15171</v>
      </c>
      <c r="L2181" s="13">
        <v>4287</v>
      </c>
      <c r="M2181" t="str">
        <f>VLOOKUP(L2181,[1]HBA!$B$2:$C$4000,2,FALSE)</f>
        <v>Pu</v>
      </c>
    </row>
    <row r="2182" spans="1:13" x14ac:dyDescent="0.25">
      <c r="B2182" s="31" t="s">
        <v>25743</v>
      </c>
      <c r="C2182" s="20"/>
      <c r="D2182" s="25" t="s">
        <v>4204</v>
      </c>
      <c r="E2182" s="25"/>
      <c r="F2182" s="9" t="str">
        <f>HYPERLINK("https://www.ebi.ac.uk/ols/ontologies/uberon/terms?iri=http://purl.obolibrary.org/obo/UBERON_0001874","putamen")</f>
        <v>putamen</v>
      </c>
      <c r="G2182" s="9" t="s">
        <v>4203</v>
      </c>
      <c r="H2182" s="9" t="s">
        <v>23250</v>
      </c>
      <c r="I2182" s="9" t="s">
        <v>4204</v>
      </c>
      <c r="J2182" s="9" t="s">
        <v>4208</v>
      </c>
      <c r="K2182" s="6" t="s">
        <v>15174</v>
      </c>
      <c r="L2182" s="13">
        <v>10086</v>
      </c>
      <c r="M2182" t="str">
        <f>VLOOKUP(L2182,[1]NonHumanPrimate!$B$2:$C$4000,2,FALSE)</f>
        <v>Pu</v>
      </c>
    </row>
    <row r="2183" spans="1:13" x14ac:dyDescent="0.25">
      <c r="B2183" s="31" t="s">
        <v>25743</v>
      </c>
      <c r="C2183" s="20"/>
      <c r="D2183" s="25" t="s">
        <v>26179</v>
      </c>
      <c r="E2183" s="25"/>
      <c r="F2183" s="9" t="str">
        <f>HYPERLINK("https://www.ebi.ac.uk/ols/ontologies/uberon/terms?iri=http://purl.obolibrary.org/obo/UBERON_0005159","pyramid of medulla oblongata")</f>
        <v>pyramid of medulla oblongata</v>
      </c>
      <c r="G2183" s="9" t="s">
        <v>4209</v>
      </c>
      <c r="H2183" s="9" t="s">
        <v>24366</v>
      </c>
      <c r="I2183" s="9" t="s">
        <v>4210</v>
      </c>
      <c r="J2183" s="9" t="s">
        <v>4211</v>
      </c>
      <c r="K2183" s="4" t="s">
        <v>15175</v>
      </c>
      <c r="L2183" s="13">
        <v>12535</v>
      </c>
      <c r="M2183" t="str">
        <f>VLOOKUP(L2183,[1]Human_BrainSpan!$B$2:$C$4000,2,FALSE)</f>
        <v>MoPy</v>
      </c>
    </row>
    <row r="2184" spans="1:13" x14ac:dyDescent="0.25">
      <c r="B2184" s="31" t="s">
        <v>25743</v>
      </c>
      <c r="C2184" s="20"/>
      <c r="D2184" s="25" t="s">
        <v>4213</v>
      </c>
      <c r="E2184" s="25"/>
      <c r="F2184" s="9" t="str">
        <f>HYPERLINK("https://www.ebi.ac.uk/ols/ontologies/uberon/terms?iri=http://purl.obolibrary.org/obo/UBERON_0002755","pyramidal decussation")</f>
        <v>pyramidal decussation</v>
      </c>
      <c r="G2184" s="9" t="s">
        <v>4212</v>
      </c>
      <c r="H2184" s="9" t="s">
        <v>24633</v>
      </c>
      <c r="I2184" s="9" t="s">
        <v>4213</v>
      </c>
      <c r="J2184" s="9" t="s">
        <v>4214</v>
      </c>
      <c r="K2184" s="4" t="s">
        <v>15175</v>
      </c>
      <c r="L2184" s="13">
        <v>12772</v>
      </c>
      <c r="M2184" t="str">
        <f>VLOOKUP(L2184,[1]Human_BrainSpan!$B$2:$C$4000,2,FALSE)</f>
        <v>xpy</v>
      </c>
    </row>
    <row r="2185" spans="1:13" x14ac:dyDescent="0.25">
      <c r="B2185" s="31" t="s">
        <v>25743</v>
      </c>
      <c r="C2185" s="20"/>
      <c r="D2185" s="25" t="s">
        <v>4213</v>
      </c>
      <c r="E2185" s="25"/>
      <c r="F2185" s="9" t="str">
        <f>HYPERLINK("https://www.ebi.ac.uk/ols/ontologies/uberon/terms?iri=http://purl.obolibrary.org/obo/UBERON_0002755","pyramidal decussation")</f>
        <v>pyramidal decussation</v>
      </c>
      <c r="G2185" s="9" t="s">
        <v>4212</v>
      </c>
      <c r="H2185" s="9" t="s">
        <v>18451</v>
      </c>
      <c r="I2185" s="9" t="s">
        <v>4215</v>
      </c>
      <c r="J2185" s="9" t="s">
        <v>4216</v>
      </c>
      <c r="K2185" s="5" t="s">
        <v>15173</v>
      </c>
      <c r="L2185" s="13">
        <v>17760</v>
      </c>
      <c r="M2185" t="str">
        <f>VLOOKUP(L2185,[1]DevMouse!$B$2:$C$2693,2,FALSE)</f>
        <v>dpy</v>
      </c>
    </row>
    <row r="2186" spans="1:13" x14ac:dyDescent="0.25">
      <c r="B2186" s="31" t="s">
        <v>25743</v>
      </c>
      <c r="C2186" s="20"/>
      <c r="D2186" s="25" t="s">
        <v>4213</v>
      </c>
      <c r="E2186" s="25"/>
      <c r="F2186" s="9" t="str">
        <f>HYPERLINK("https://www.ebi.ac.uk/ols/ontologies/uberon/terms?iri=http://purl.obolibrary.org/obo/UBERON_0002755","pyramidal decussation")</f>
        <v>pyramidal decussation</v>
      </c>
      <c r="G2186" s="9" t="s">
        <v>4212</v>
      </c>
      <c r="H2186" s="9" t="s">
        <v>25513</v>
      </c>
      <c r="I2186" s="9" t="s">
        <v>4213</v>
      </c>
      <c r="J2186" s="9" t="s">
        <v>4217</v>
      </c>
      <c r="K2186" s="7" t="s">
        <v>15171</v>
      </c>
      <c r="L2186" s="13">
        <v>12965</v>
      </c>
      <c r="M2186" t="str">
        <f>VLOOKUP(L2186,[1]HBA!$B$2:$C$4000,2,FALSE)</f>
        <v>pyx</v>
      </c>
    </row>
    <row r="2187" spans="1:13" x14ac:dyDescent="0.25">
      <c r="B2187" s="31" t="s">
        <v>25743</v>
      </c>
      <c r="C2187" s="20"/>
      <c r="D2187" s="25" t="s">
        <v>4213</v>
      </c>
      <c r="E2187" s="25"/>
      <c r="F2187" s="9" t="str">
        <f>HYPERLINK("https://www.ebi.ac.uk/ols/ontologies/uberon/terms?iri=http://purl.obolibrary.org/obo/UBERON_0002755","pyramidal decussation")</f>
        <v>pyramidal decussation</v>
      </c>
      <c r="G2187" s="9" t="s">
        <v>4212</v>
      </c>
      <c r="H2187" s="9" t="s">
        <v>20836</v>
      </c>
      <c r="I2187" s="9" t="s">
        <v>4213</v>
      </c>
      <c r="J2187" s="9" t="s">
        <v>4218</v>
      </c>
      <c r="K2187" s="3" t="s">
        <v>15176</v>
      </c>
      <c r="L2187" s="13">
        <v>198</v>
      </c>
      <c r="M2187" t="str">
        <f>VLOOKUP(L2187,[1]Mouse_ARA!$B$2:$C$1328,2,FALSE)</f>
        <v>pyd</v>
      </c>
    </row>
    <row r="2188" spans="1:13" x14ac:dyDescent="0.25">
      <c r="A2188" t="s">
        <v>26296</v>
      </c>
      <c r="B2188" s="31" t="s">
        <v>25743</v>
      </c>
      <c r="C2188" s="34"/>
      <c r="D2188" s="35" t="s">
        <v>26180</v>
      </c>
      <c r="E2188" s="35"/>
      <c r="F2188" s="9" t="str">
        <f>HYPERLINK("https://www.ebi.ac.uk/ols/ontologies/uberon/terms?iri=http://purl.obolibrary.org/obo/UBERON_0014548","pyramidal layer of CA1")</f>
        <v>pyramidal layer of CA1</v>
      </c>
      <c r="G2188" s="9" t="s">
        <v>4219</v>
      </c>
      <c r="H2188" s="9" t="s">
        <v>15932</v>
      </c>
      <c r="I2188" s="9" t="s">
        <v>4220</v>
      </c>
      <c r="J2188" s="9" t="s">
        <v>4221</v>
      </c>
      <c r="K2188" s="5" t="s">
        <v>15173</v>
      </c>
      <c r="L2188" s="13">
        <v>16133</v>
      </c>
      <c r="M2188" t="str">
        <f>VLOOKUP(L2188,[1]DevMouse!$B$2:$C$2693,2,FALSE)</f>
        <v>CA1sp</v>
      </c>
    </row>
    <row r="2189" spans="1:13" x14ac:dyDescent="0.25">
      <c r="A2189" t="s">
        <v>26296</v>
      </c>
      <c r="B2189" s="31" t="s">
        <v>25743</v>
      </c>
      <c r="C2189" s="34"/>
      <c r="D2189" s="35" t="s">
        <v>26180</v>
      </c>
      <c r="E2189" s="35"/>
      <c r="F2189" s="9" t="str">
        <f>HYPERLINK("https://www.ebi.ac.uk/ols/ontologies/uberon/terms?iri=http://purl.obolibrary.org/obo/UBERON_0014548","pyramidal layer of CA1")</f>
        <v>pyramidal layer of CA1</v>
      </c>
      <c r="G2189" s="9" t="s">
        <v>4219</v>
      </c>
      <c r="H2189" s="9" t="s">
        <v>15932</v>
      </c>
      <c r="I2189" s="9" t="s">
        <v>4222</v>
      </c>
      <c r="J2189" s="9" t="s">
        <v>4223</v>
      </c>
      <c r="K2189" s="3" t="s">
        <v>15176</v>
      </c>
      <c r="L2189" s="13">
        <v>407</v>
      </c>
      <c r="M2189" t="str">
        <f>VLOOKUP(L2189,[1]Mouse_ARA!$B$2:$C$1328,2,FALSE)</f>
        <v>CA1sp</v>
      </c>
    </row>
    <row r="2190" spans="1:13" x14ac:dyDescent="0.25">
      <c r="A2190" t="s">
        <v>26296</v>
      </c>
      <c r="B2190" s="31" t="s">
        <v>25743</v>
      </c>
      <c r="C2190" s="34"/>
      <c r="D2190" s="35" t="s">
        <v>26180</v>
      </c>
      <c r="E2190" s="35"/>
      <c r="F2190" s="9" t="str">
        <f>HYPERLINK("https://www.ebi.ac.uk/ols/ontologies/uberon/terms?iri=http://purl.obolibrary.org/obo/UBERON_0014548","pyramidal layer of CA1")</f>
        <v>pyramidal layer of CA1</v>
      </c>
      <c r="G2190" s="9" t="s">
        <v>4219</v>
      </c>
      <c r="H2190" s="9" t="s">
        <v>25689</v>
      </c>
      <c r="I2190" s="9" t="s">
        <v>4224</v>
      </c>
      <c r="J2190" s="9" t="s">
        <v>4225</v>
      </c>
      <c r="K2190" s="6" t="s">
        <v>15174</v>
      </c>
      <c r="L2190" s="13">
        <v>10060</v>
      </c>
      <c r="M2190" t="str">
        <f>VLOOKUP(L2190,[1]NonHumanPrimate!$B$2:$C$4000,2,FALSE)</f>
        <v>CA1py</v>
      </c>
    </row>
    <row r="2191" spans="1:13" x14ac:dyDescent="0.25">
      <c r="A2191" t="s">
        <v>26296</v>
      </c>
      <c r="B2191" s="31" t="s">
        <v>25743</v>
      </c>
      <c r="C2191" s="34"/>
      <c r="D2191" s="35" t="s">
        <v>26181</v>
      </c>
      <c r="E2191" s="35"/>
      <c r="F2191" s="9" t="str">
        <f>HYPERLINK("https://www.ebi.ac.uk/ols/ontologies/uberon/terms?iri=http://purl.obolibrary.org/obo/UBERON_0014549","pyramidal layer of CA2")</f>
        <v>pyramidal layer of CA2</v>
      </c>
      <c r="G2191" s="9" t="s">
        <v>4226</v>
      </c>
      <c r="H2191" s="9" t="s">
        <v>15938</v>
      </c>
      <c r="I2191" s="9" t="s">
        <v>4227</v>
      </c>
      <c r="J2191" s="9" t="s">
        <v>4228</v>
      </c>
      <c r="K2191" s="3" t="s">
        <v>15176</v>
      </c>
      <c r="L2191" s="13">
        <v>446</v>
      </c>
      <c r="M2191" t="str">
        <f>VLOOKUP(L2191,[1]Mouse_ARA!$B$2:$C$1328,2,FALSE)</f>
        <v>CA2sp</v>
      </c>
    </row>
    <row r="2192" spans="1:13" x14ac:dyDescent="0.25">
      <c r="A2192" t="s">
        <v>26296</v>
      </c>
      <c r="B2192" s="31" t="s">
        <v>25743</v>
      </c>
      <c r="C2192" s="34"/>
      <c r="D2192" s="35" t="s">
        <v>26181</v>
      </c>
      <c r="E2192" s="35"/>
      <c r="F2192" s="9" t="str">
        <f>HYPERLINK("https://www.ebi.ac.uk/ols/ontologies/uberon/terms?iri=http://purl.obolibrary.org/obo/UBERON_0014549","pyramidal layer of CA2")</f>
        <v>pyramidal layer of CA2</v>
      </c>
      <c r="G2192" s="9" t="s">
        <v>4226</v>
      </c>
      <c r="H2192" s="9" t="s">
        <v>25698</v>
      </c>
      <c r="I2192" s="9" t="s">
        <v>4229</v>
      </c>
      <c r="J2192" s="9" t="s">
        <v>4230</v>
      </c>
      <c r="K2192" s="6" t="s">
        <v>15174</v>
      </c>
      <c r="L2192" s="13">
        <v>10065</v>
      </c>
      <c r="M2192" t="str">
        <f>VLOOKUP(L2192,[1]NonHumanPrimate!$B$2:$C$4000,2,FALSE)</f>
        <v>CA2py</v>
      </c>
    </row>
    <row r="2193" spans="1:13" x14ac:dyDescent="0.25">
      <c r="A2193" t="s">
        <v>26296</v>
      </c>
      <c r="B2193" s="31" t="s">
        <v>25743</v>
      </c>
      <c r="C2193" s="34"/>
      <c r="D2193" s="35" t="s">
        <v>26182</v>
      </c>
      <c r="E2193" s="35"/>
      <c r="F2193" s="9" t="str">
        <f>HYPERLINK("https://www.ebi.ac.uk/ols/ontologies/uberon/terms?iri=http://purl.obolibrary.org/obo/UBERON_0014550","pyramidal layer of CA3")</f>
        <v>pyramidal layer of CA3</v>
      </c>
      <c r="G2193" s="9" t="s">
        <v>4231</v>
      </c>
      <c r="H2193" s="9" t="s">
        <v>15942</v>
      </c>
      <c r="I2193" s="9" t="s">
        <v>4232</v>
      </c>
      <c r="J2193" s="9" t="s">
        <v>4233</v>
      </c>
      <c r="K2193" s="3" t="s">
        <v>15176</v>
      </c>
      <c r="L2193" s="13">
        <v>495</v>
      </c>
      <c r="M2193" t="str">
        <f>VLOOKUP(L2193,[1]Mouse_ARA!$B$2:$C$1328,2,FALSE)</f>
        <v>CA3sp</v>
      </c>
    </row>
    <row r="2194" spans="1:13" x14ac:dyDescent="0.25">
      <c r="A2194" t="s">
        <v>26296</v>
      </c>
      <c r="B2194" s="31" t="s">
        <v>25743</v>
      </c>
      <c r="C2194" s="34"/>
      <c r="D2194" s="35" t="s">
        <v>26182</v>
      </c>
      <c r="E2194" s="35"/>
      <c r="F2194" s="9" t="str">
        <f>HYPERLINK("https://www.ebi.ac.uk/ols/ontologies/uberon/terms?iri=http://purl.obolibrary.org/obo/UBERON_0014550","pyramidal layer of CA3")</f>
        <v>pyramidal layer of CA3</v>
      </c>
      <c r="G2194" s="9" t="s">
        <v>4231</v>
      </c>
      <c r="H2194" s="9" t="s">
        <v>25704</v>
      </c>
      <c r="I2194" s="9" t="s">
        <v>4234</v>
      </c>
      <c r="J2194" s="9" t="s">
        <v>4235</v>
      </c>
      <c r="K2194" s="6" t="s">
        <v>15174</v>
      </c>
      <c r="L2194" s="13">
        <v>10070</v>
      </c>
      <c r="M2194" t="str">
        <f>VLOOKUP(L2194,[1]NonHumanPrimate!$B$2:$C$4000,2,FALSE)</f>
        <v>CA3py</v>
      </c>
    </row>
    <row r="2195" spans="1:13" x14ac:dyDescent="0.25">
      <c r="B2195" s="31" t="s">
        <v>25743</v>
      </c>
      <c r="C2195" s="20"/>
      <c r="D2195" s="25" t="s">
        <v>26183</v>
      </c>
      <c r="E2195" s="25"/>
      <c r="F2195" s="9" t="str">
        <f>HYPERLINK("https://www.ebi.ac.uk/ols/ontologies/uberon/terms?iri=http://purl.obolibrary.org/obo/UBERON_0035924","radiation of corpus callosum")</f>
        <v>radiation of corpus callosum</v>
      </c>
      <c r="G2195" s="9" t="s">
        <v>4236</v>
      </c>
      <c r="H2195" s="9" t="s">
        <v>23542</v>
      </c>
      <c r="I2195" s="9" t="s">
        <v>4237</v>
      </c>
      <c r="J2195" s="9" t="s">
        <v>4238</v>
      </c>
      <c r="K2195" s="4" t="s">
        <v>15175</v>
      </c>
      <c r="L2195" s="13">
        <v>12026</v>
      </c>
      <c r="M2195" t="str">
        <f>VLOOKUP(L2195,[1]Human_BrainSpan!$B$2:$C$4000,2,FALSE)</f>
        <v>ccrd</v>
      </c>
    </row>
    <row r="2196" spans="1:13" x14ac:dyDescent="0.25">
      <c r="B2196" s="31" t="s">
        <v>25743</v>
      </c>
      <c r="C2196" s="20"/>
      <c r="D2196" s="25" t="s">
        <v>26183</v>
      </c>
      <c r="E2196" s="25"/>
      <c r="F2196" s="9" t="str">
        <f>HYPERLINK("https://www.ebi.ac.uk/ols/ontologies/uberon/terms?iri=http://purl.obolibrary.org/obo/UBERON_0035924","radiation of corpus callosum")</f>
        <v>radiation of corpus callosum</v>
      </c>
      <c r="G2196" s="9" t="s">
        <v>4236</v>
      </c>
      <c r="H2196" s="9" t="s">
        <v>25480</v>
      </c>
      <c r="I2196" s="9" t="s">
        <v>4237</v>
      </c>
      <c r="J2196" s="9" t="s">
        <v>4239</v>
      </c>
      <c r="K2196" s="7" t="s">
        <v>15171</v>
      </c>
      <c r="L2196" s="13">
        <v>265504962</v>
      </c>
      <c r="M2196" t="str">
        <f>VLOOKUP(L2196,[1]HBA!$B$2:$C$4000,2,FALSE)</f>
        <v>rdcc</v>
      </c>
    </row>
    <row r="2197" spans="1:13" x14ac:dyDescent="0.25">
      <c r="B2197" s="31" t="s">
        <v>25743</v>
      </c>
      <c r="C2197" s="20"/>
      <c r="D2197" s="25" t="s">
        <v>4241</v>
      </c>
      <c r="E2197" s="25"/>
      <c r="F2197" s="9" t="str">
        <f>HYPERLINK("https://www.ebi.ac.uk/ols/ontologies/uberon/terms?iri=http://purl.obolibrary.org/obo/UBERON_0001947","red nucleus")</f>
        <v>red nucleus</v>
      </c>
      <c r="G2197" s="9" t="s">
        <v>4240</v>
      </c>
      <c r="H2197" s="9" t="s">
        <v>20248</v>
      </c>
      <c r="I2197" s="9" t="s">
        <v>4241</v>
      </c>
      <c r="J2197" s="9" t="s">
        <v>4242</v>
      </c>
      <c r="K2197" s="4" t="s">
        <v>15175</v>
      </c>
      <c r="L2197" s="13">
        <v>12247</v>
      </c>
      <c r="M2197" t="str">
        <f>VLOOKUP(L2197,[1]Human_BrainSpan!$B$2:$C$4000,2,FALSE)</f>
        <v>RN</v>
      </c>
    </row>
    <row r="2198" spans="1:13" x14ac:dyDescent="0.25">
      <c r="B2198" s="31" t="s">
        <v>25743</v>
      </c>
      <c r="C2198" s="20"/>
      <c r="D2198" s="25" t="s">
        <v>4241</v>
      </c>
      <c r="E2198" s="25"/>
      <c r="F2198" s="9" t="str">
        <f>HYPERLINK("https://www.ebi.ac.uk/ols/ontologies/uberon/terms?iri=http://purl.obolibrary.org/obo/UBERON_0001947","red nucleus")</f>
        <v>red nucleus</v>
      </c>
      <c r="G2198" s="9" t="s">
        <v>4240</v>
      </c>
      <c r="H2198" s="9" t="s">
        <v>20248</v>
      </c>
      <c r="I2198" s="9" t="s">
        <v>4241</v>
      </c>
      <c r="J2198" s="9" t="s">
        <v>4243</v>
      </c>
      <c r="K2198" s="7" t="s">
        <v>15171</v>
      </c>
      <c r="L2198" s="13">
        <v>9053</v>
      </c>
      <c r="M2198" t="str">
        <f>VLOOKUP(L2198,[1]HBA!$B$2:$C$4000,2,FALSE)</f>
        <v>RN</v>
      </c>
    </row>
    <row r="2199" spans="1:13" x14ac:dyDescent="0.25">
      <c r="B2199" s="31" t="s">
        <v>25743</v>
      </c>
      <c r="C2199" s="20"/>
      <c r="D2199" s="25" t="s">
        <v>4241</v>
      </c>
      <c r="E2199" s="25"/>
      <c r="F2199" s="9" t="str">
        <f>HYPERLINK("https://www.ebi.ac.uk/ols/ontologies/uberon/terms?iri=http://purl.obolibrary.org/obo/UBERON_0001947","red nucleus")</f>
        <v>red nucleus</v>
      </c>
      <c r="G2199" s="9" t="s">
        <v>4240</v>
      </c>
      <c r="H2199" s="9" t="s">
        <v>20248</v>
      </c>
      <c r="I2199" s="9" t="s">
        <v>4241</v>
      </c>
      <c r="J2199" s="9" t="s">
        <v>4244</v>
      </c>
      <c r="K2199" s="3" t="s">
        <v>15176</v>
      </c>
      <c r="L2199" s="13">
        <v>214</v>
      </c>
      <c r="M2199" t="str">
        <f>VLOOKUP(L2199,[1]Mouse_ARA!$B$2:$C$1328,2,FALSE)</f>
        <v>RN</v>
      </c>
    </row>
    <row r="2200" spans="1:13" x14ac:dyDescent="0.25">
      <c r="B2200" s="37"/>
      <c r="C2200" s="25" t="s">
        <v>25838</v>
      </c>
      <c r="D2200" s="25" t="s">
        <v>26184</v>
      </c>
      <c r="E2200" s="25"/>
      <c r="F2200" s="9" t="str">
        <f t="shared" ref="F2200:F2231" si="26">HYPERLINK("https://www.ebi.ac.uk/ols/ontologies/uberon/terms?iri=http://purl.obolibrary.org/obo/UBERON_0002749","regional part of cerebellar cortex")</f>
        <v>regional part of cerebellar cortex</v>
      </c>
      <c r="G2200" s="9" t="s">
        <v>4245</v>
      </c>
      <c r="H2200" s="9" t="s">
        <v>24192</v>
      </c>
      <c r="I2200" s="9" t="s">
        <v>4246</v>
      </c>
      <c r="J2200" s="9" t="s">
        <v>4247</v>
      </c>
      <c r="K2200" s="4" t="s">
        <v>15175</v>
      </c>
      <c r="L2200" s="13">
        <v>12379</v>
      </c>
      <c r="M2200" t="str">
        <f>VLOOKUP(L2200,[1]Human_BrainSpan!$B$2:$C$4000,2,FALSE)</f>
        <v>VeA</v>
      </c>
    </row>
    <row r="2201" spans="1:13" x14ac:dyDescent="0.25">
      <c r="B2201" s="37"/>
      <c r="C2201" s="25" t="s">
        <v>25845</v>
      </c>
      <c r="D2201" s="25" t="s">
        <v>26184</v>
      </c>
      <c r="E2201" s="25"/>
      <c r="F2201" s="9" t="str">
        <f t="shared" si="26"/>
        <v>regional part of cerebellar cortex</v>
      </c>
      <c r="G2201" s="9" t="s">
        <v>4245</v>
      </c>
      <c r="H2201" s="9" t="s">
        <v>24196</v>
      </c>
      <c r="I2201" s="9" t="s">
        <v>4248</v>
      </c>
      <c r="J2201" s="9" t="s">
        <v>4249</v>
      </c>
      <c r="K2201" s="4" t="s">
        <v>15175</v>
      </c>
      <c r="L2201" s="13">
        <v>12380</v>
      </c>
      <c r="M2201" t="str">
        <f>VLOOKUP(L2201,[1]Human_BrainSpan!$B$2:$C$4000,2,FALSE)</f>
        <v>VePo</v>
      </c>
    </row>
    <row r="2202" spans="1:13" x14ac:dyDescent="0.25">
      <c r="B2202" s="37"/>
      <c r="C2202" s="25" t="s">
        <v>25845</v>
      </c>
      <c r="D2202" s="25" t="s">
        <v>26184</v>
      </c>
      <c r="E2202" s="25"/>
      <c r="F2202" s="9" t="str">
        <f t="shared" si="26"/>
        <v>regional part of cerebellar cortex</v>
      </c>
      <c r="G2202" s="9" t="s">
        <v>4245</v>
      </c>
      <c r="H2202" s="9" t="s">
        <v>24197</v>
      </c>
      <c r="I2202" s="9" t="s">
        <v>4250</v>
      </c>
      <c r="J2202" s="9" t="s">
        <v>4251</v>
      </c>
      <c r="K2202" s="4" t="s">
        <v>15175</v>
      </c>
      <c r="L2202" s="13">
        <v>12381</v>
      </c>
      <c r="M2202" t="str">
        <f>VLOOKUP(L2202,[1]Human_BrainSpan!$B$2:$C$4000,2,FALSE)</f>
        <v>VePs</v>
      </c>
    </row>
    <row r="2203" spans="1:13" x14ac:dyDescent="0.25">
      <c r="B2203" s="37"/>
      <c r="C2203" s="25" t="s">
        <v>25845</v>
      </c>
      <c r="D2203" s="25" t="s">
        <v>26184</v>
      </c>
      <c r="E2203" s="25"/>
      <c r="F2203" s="9" t="str">
        <f t="shared" si="26"/>
        <v>regional part of cerebellar cortex</v>
      </c>
      <c r="G2203" s="9" t="s">
        <v>4245</v>
      </c>
      <c r="H2203" s="9" t="s">
        <v>24201</v>
      </c>
      <c r="I2203" s="9" t="s">
        <v>4252</v>
      </c>
      <c r="J2203" s="9" t="s">
        <v>4253</v>
      </c>
      <c r="K2203" s="4" t="s">
        <v>15175</v>
      </c>
      <c r="L2203" s="13">
        <v>12382</v>
      </c>
      <c r="M2203" t="str">
        <f>VLOOKUP(L2203,[1]Human_BrainSpan!$B$2:$C$4000,2,FALSE)</f>
        <v>VePi</v>
      </c>
    </row>
    <row r="2204" spans="1:13" x14ac:dyDescent="0.25">
      <c r="B2204" s="37"/>
      <c r="C2204" s="25" t="s">
        <v>25845</v>
      </c>
      <c r="D2204" s="25" t="s">
        <v>26184</v>
      </c>
      <c r="E2204" s="25"/>
      <c r="F2204" s="9" t="str">
        <f t="shared" si="26"/>
        <v>regional part of cerebellar cortex</v>
      </c>
      <c r="G2204" s="9" t="s">
        <v>4245</v>
      </c>
      <c r="H2204" s="9" t="s">
        <v>24205</v>
      </c>
      <c r="I2204" s="9" t="s">
        <v>4254</v>
      </c>
      <c r="J2204" s="9" t="s">
        <v>4255</v>
      </c>
      <c r="K2204" s="4" t="s">
        <v>15175</v>
      </c>
      <c r="L2204" s="13">
        <v>12383</v>
      </c>
      <c r="M2204" t="str">
        <f>VLOOKUP(L2204,[1]Human_BrainSpan!$B$2:$C$4000,2,FALSE)</f>
        <v>VeF</v>
      </c>
    </row>
    <row r="2205" spans="1:13" x14ac:dyDescent="0.25">
      <c r="B2205" s="37"/>
      <c r="C2205" s="25" t="s">
        <v>26107</v>
      </c>
      <c r="D2205" s="25" t="s">
        <v>26184</v>
      </c>
      <c r="E2205" s="25"/>
      <c r="F2205" s="9" t="str">
        <f t="shared" si="26"/>
        <v>regional part of cerebellar cortex</v>
      </c>
      <c r="G2205" s="9" t="s">
        <v>4245</v>
      </c>
      <c r="H2205" s="9" t="s">
        <v>24214</v>
      </c>
      <c r="I2205" s="9" t="s">
        <v>4256</v>
      </c>
      <c r="J2205" s="9" t="s">
        <v>4257</v>
      </c>
      <c r="K2205" s="4" t="s">
        <v>15175</v>
      </c>
      <c r="L2205" s="13">
        <v>12387</v>
      </c>
      <c r="M2205" t="str">
        <f>VLOOKUP(L2205,[1]Human_BrainSpan!$B$2:$C$4000,2,FALSE)</f>
        <v>PVPs</v>
      </c>
    </row>
    <row r="2206" spans="1:13" x14ac:dyDescent="0.25">
      <c r="B2206" s="37"/>
      <c r="C2206" s="25" t="s">
        <v>26107</v>
      </c>
      <c r="D2206" s="25" t="s">
        <v>26184</v>
      </c>
      <c r="E2206" s="25"/>
      <c r="F2206" s="9" t="str">
        <f t="shared" si="26"/>
        <v>regional part of cerebellar cortex</v>
      </c>
      <c r="G2206" s="9" t="s">
        <v>4245</v>
      </c>
      <c r="H2206" s="9" t="s">
        <v>24218</v>
      </c>
      <c r="I2206" s="9" t="s">
        <v>4258</v>
      </c>
      <c r="J2206" s="9" t="s">
        <v>4259</v>
      </c>
      <c r="K2206" s="4" t="s">
        <v>15175</v>
      </c>
      <c r="L2206" s="13">
        <v>12388</v>
      </c>
      <c r="M2206" t="str">
        <f>VLOOKUP(L2206,[1]Human_BrainSpan!$B$2:$C$4000,2,FALSE)</f>
        <v>PVPi</v>
      </c>
    </row>
    <row r="2207" spans="1:13" x14ac:dyDescent="0.25">
      <c r="B2207" s="37"/>
      <c r="C2207" s="25" t="s">
        <v>25868</v>
      </c>
      <c r="D2207" s="25" t="s">
        <v>26184</v>
      </c>
      <c r="E2207" s="25"/>
      <c r="F2207" s="9" t="str">
        <f t="shared" si="26"/>
        <v>regional part of cerebellar cortex</v>
      </c>
      <c r="G2207" s="9" t="s">
        <v>4245</v>
      </c>
      <c r="H2207" s="9" t="s">
        <v>24227</v>
      </c>
      <c r="I2207" s="9" t="s">
        <v>4260</v>
      </c>
      <c r="J2207" s="9" t="s">
        <v>4261</v>
      </c>
      <c r="K2207" s="4" t="s">
        <v>15175</v>
      </c>
      <c r="L2207" s="13">
        <v>12391</v>
      </c>
      <c r="M2207" t="str">
        <f>VLOOKUP(L2207,[1]Human_BrainSpan!$B$2:$C$4000,2,FALSE)</f>
        <v>CBLA</v>
      </c>
    </row>
    <row r="2208" spans="1:13" x14ac:dyDescent="0.25">
      <c r="B2208" s="37"/>
      <c r="C2208" s="25" t="s">
        <v>25868</v>
      </c>
      <c r="D2208" s="25" t="s">
        <v>26184</v>
      </c>
      <c r="E2208" s="25"/>
      <c r="F2208" s="9" t="str">
        <f t="shared" si="26"/>
        <v>regional part of cerebellar cortex</v>
      </c>
      <c r="G2208" s="9" t="s">
        <v>4245</v>
      </c>
      <c r="H2208" s="9" t="s">
        <v>24231</v>
      </c>
      <c r="I2208" s="9" t="s">
        <v>4262</v>
      </c>
      <c r="J2208" s="9" t="s">
        <v>4263</v>
      </c>
      <c r="K2208" s="4" t="s">
        <v>15175</v>
      </c>
      <c r="L2208" s="13">
        <v>12392</v>
      </c>
      <c r="M2208" t="str">
        <f>VLOOKUP(L2208,[1]Human_BrainSpan!$B$2:$C$4000,2,FALSE)</f>
        <v>CBLP</v>
      </c>
    </row>
    <row r="2209" spans="2:13" x14ac:dyDescent="0.25">
      <c r="B2209" s="37"/>
      <c r="C2209" s="25" t="s">
        <v>25868</v>
      </c>
      <c r="D2209" s="25" t="s">
        <v>26184</v>
      </c>
      <c r="E2209" s="25"/>
      <c r="F2209" s="9" t="str">
        <f t="shared" si="26"/>
        <v>regional part of cerebellar cortex</v>
      </c>
      <c r="G2209" s="9" t="s">
        <v>4245</v>
      </c>
      <c r="H2209" s="9" t="s">
        <v>24232</v>
      </c>
      <c r="I2209" s="9" t="s">
        <v>4264</v>
      </c>
      <c r="J2209" s="9" t="s">
        <v>4265</v>
      </c>
      <c r="K2209" s="4" t="s">
        <v>15175</v>
      </c>
      <c r="L2209" s="13">
        <v>12393</v>
      </c>
      <c r="M2209" t="str">
        <f>VLOOKUP(L2209,[1]Human_BrainSpan!$B$2:$C$4000,2,FALSE)</f>
        <v>CBLPs</v>
      </c>
    </row>
    <row r="2210" spans="2:13" x14ac:dyDescent="0.25">
      <c r="B2210" s="37"/>
      <c r="C2210" s="25" t="s">
        <v>25868</v>
      </c>
      <c r="D2210" s="25" t="s">
        <v>26184</v>
      </c>
      <c r="E2210" s="25"/>
      <c r="F2210" s="9" t="str">
        <f t="shared" si="26"/>
        <v>regional part of cerebellar cortex</v>
      </c>
      <c r="G2210" s="9" t="s">
        <v>4245</v>
      </c>
      <c r="H2210" s="9" t="s">
        <v>24236</v>
      </c>
      <c r="I2210" s="9" t="s">
        <v>4266</v>
      </c>
      <c r="J2210" s="9" t="s">
        <v>4267</v>
      </c>
      <c r="K2210" s="4" t="s">
        <v>15175</v>
      </c>
      <c r="L2210" s="13">
        <v>12394</v>
      </c>
      <c r="M2210" t="str">
        <f>VLOOKUP(L2210,[1]Human_BrainSpan!$B$2:$C$4000,2,FALSE)</f>
        <v>CBLPi</v>
      </c>
    </row>
    <row r="2211" spans="2:13" x14ac:dyDescent="0.25">
      <c r="B2211" s="37"/>
      <c r="C2211" s="25" t="s">
        <v>25868</v>
      </c>
      <c r="D2211" s="25" t="s">
        <v>26184</v>
      </c>
      <c r="E2211" s="25"/>
      <c r="F2211" s="9" t="str">
        <f t="shared" si="26"/>
        <v>regional part of cerebellar cortex</v>
      </c>
      <c r="G2211" s="9" t="s">
        <v>4245</v>
      </c>
      <c r="H2211" s="9" t="s">
        <v>24240</v>
      </c>
      <c r="I2211" s="9" t="s">
        <v>4268</v>
      </c>
      <c r="J2211" s="9" t="s">
        <v>4269</v>
      </c>
      <c r="K2211" s="4" t="s">
        <v>15175</v>
      </c>
      <c r="L2211" s="13">
        <v>12395</v>
      </c>
      <c r="M2211" t="str">
        <f>VLOOKUP(L2211,[1]Human_BrainSpan!$B$2:$C$4000,2,FALSE)</f>
        <v>CBLF</v>
      </c>
    </row>
    <row r="2212" spans="2:13" x14ac:dyDescent="0.25">
      <c r="B2212" s="37" t="s">
        <v>26299</v>
      </c>
      <c r="C2212" s="25" t="s">
        <v>25848</v>
      </c>
      <c r="D2212" s="25" t="s">
        <v>26184</v>
      </c>
      <c r="E2212" s="25"/>
      <c r="F2212" s="9" t="str">
        <f t="shared" si="26"/>
        <v>regional part of cerebellar cortex</v>
      </c>
      <c r="G2212" s="9" t="s">
        <v>4245</v>
      </c>
      <c r="H2212" s="9" t="s">
        <v>24680</v>
      </c>
      <c r="I2212" s="9" t="s">
        <v>4270</v>
      </c>
      <c r="J2212" s="9" t="s">
        <v>4271</v>
      </c>
      <c r="K2212" s="4" t="s">
        <v>15175</v>
      </c>
      <c r="L2212" s="13">
        <v>12839</v>
      </c>
      <c r="M2212" t="str">
        <f>VLOOKUP(L2212,[1]Human_BrainSpan!$B$2:$C$4000,2,FALSE)</f>
        <v>CbI</v>
      </c>
    </row>
    <row r="2213" spans="2:13" x14ac:dyDescent="0.25">
      <c r="B2213" s="37" t="s">
        <v>26299</v>
      </c>
      <c r="C2213" s="20"/>
      <c r="D2213" s="25" t="s">
        <v>26184</v>
      </c>
      <c r="E2213" s="25"/>
      <c r="F2213" s="9" t="str">
        <f t="shared" si="26"/>
        <v>regional part of cerebellar cortex</v>
      </c>
      <c r="G2213" s="9" t="s">
        <v>4245</v>
      </c>
      <c r="H2213" s="9" t="s">
        <v>24681</v>
      </c>
      <c r="I2213" s="9" t="s">
        <v>4272</v>
      </c>
      <c r="J2213" s="9" t="s">
        <v>4273</v>
      </c>
      <c r="K2213" s="4" t="s">
        <v>15175</v>
      </c>
      <c r="L2213" s="13">
        <v>12840</v>
      </c>
      <c r="M2213" t="str">
        <f>VLOOKUP(L2213,[1]Human_BrainSpan!$B$2:$C$4000,2,FALSE)</f>
        <v>CbII</v>
      </c>
    </row>
    <row r="2214" spans="2:13" x14ac:dyDescent="0.25">
      <c r="B2214" s="37" t="s">
        <v>26299</v>
      </c>
      <c r="C2214" s="20"/>
      <c r="D2214" s="25" t="s">
        <v>26184</v>
      </c>
      <c r="E2214" s="25"/>
      <c r="F2214" s="9" t="str">
        <f t="shared" si="26"/>
        <v>regional part of cerebellar cortex</v>
      </c>
      <c r="G2214" s="9" t="s">
        <v>4245</v>
      </c>
      <c r="H2214" s="9" t="s">
        <v>24689</v>
      </c>
      <c r="I2214" s="9" t="s">
        <v>4274</v>
      </c>
      <c r="J2214" s="9" t="s">
        <v>4275</v>
      </c>
      <c r="K2214" s="4" t="s">
        <v>15175</v>
      </c>
      <c r="L2214" s="13">
        <v>12849</v>
      </c>
      <c r="M2214" t="str">
        <f>VLOOKUP(L2214,[1]Human_BrainSpan!$B$2:$C$4000,2,FALSE)</f>
        <v>CbVIIIa</v>
      </c>
    </row>
    <row r="2215" spans="2:13" x14ac:dyDescent="0.25">
      <c r="B2215" s="37"/>
      <c r="C2215" s="20"/>
      <c r="D2215" s="25" t="s">
        <v>26184</v>
      </c>
      <c r="E2215" s="25"/>
      <c r="F2215" s="9" t="str">
        <f t="shared" si="26"/>
        <v>regional part of cerebellar cortex</v>
      </c>
      <c r="G2215" s="9" t="s">
        <v>4245</v>
      </c>
      <c r="H2215" s="9" t="s">
        <v>24193</v>
      </c>
      <c r="I2215" s="9" t="s">
        <v>4276</v>
      </c>
      <c r="J2215" s="9" t="s">
        <v>4277</v>
      </c>
      <c r="K2215" s="4" t="s">
        <v>15175</v>
      </c>
      <c r="L2215" s="13">
        <v>13237</v>
      </c>
      <c r="M2215" t="str">
        <f>VLOOKUP(L2215,[1]Human_BrainSpan!$B$2:$C$4000,2,FALSE)</f>
        <v>VeAm</v>
      </c>
    </row>
    <row r="2216" spans="2:13" x14ac:dyDescent="0.25">
      <c r="B2216" s="37"/>
      <c r="C2216" s="25" t="s">
        <v>25763</v>
      </c>
      <c r="D2216" s="25" t="s">
        <v>26184</v>
      </c>
      <c r="E2216" s="25" t="s">
        <v>26306</v>
      </c>
      <c r="F2216" s="9" t="str">
        <f t="shared" si="26"/>
        <v>regional part of cerebellar cortex</v>
      </c>
      <c r="G2216" s="9" t="s">
        <v>4245</v>
      </c>
      <c r="H2216" s="9" t="s">
        <v>24194</v>
      </c>
      <c r="I2216" s="9" t="s">
        <v>4278</v>
      </c>
      <c r="J2216" s="9" t="s">
        <v>4279</v>
      </c>
      <c r="K2216" s="4" t="s">
        <v>15175</v>
      </c>
      <c r="L2216" s="13">
        <v>13238</v>
      </c>
      <c r="M2216" t="str">
        <f>VLOOKUP(L2216,[1]Human_BrainSpan!$B$2:$C$4000,2,FALSE)</f>
        <v>VeAp</v>
      </c>
    </row>
    <row r="2217" spans="2:13" x14ac:dyDescent="0.25">
      <c r="B2217" s="37"/>
      <c r="C2217" s="20"/>
      <c r="D2217" s="25" t="s">
        <v>26184</v>
      </c>
      <c r="E2217" s="25"/>
      <c r="F2217" s="9" t="str">
        <f t="shared" si="26"/>
        <v>regional part of cerebellar cortex</v>
      </c>
      <c r="G2217" s="9" t="s">
        <v>4245</v>
      </c>
      <c r="H2217" s="9" t="s">
        <v>24195</v>
      </c>
      <c r="I2217" s="9" t="s">
        <v>4280</v>
      </c>
      <c r="J2217" s="9" t="s">
        <v>4281</v>
      </c>
      <c r="K2217" s="4" t="s">
        <v>15175</v>
      </c>
      <c r="L2217" s="13">
        <v>13239</v>
      </c>
      <c r="M2217" t="str">
        <f>VLOOKUP(L2217,[1]Human_BrainSpan!$B$2:$C$4000,2,FALSE)</f>
        <v>VeAg</v>
      </c>
    </row>
    <row r="2218" spans="2:13" x14ac:dyDescent="0.25">
      <c r="B2218" s="37"/>
      <c r="C2218" s="20"/>
      <c r="D2218" s="25" t="s">
        <v>26184</v>
      </c>
      <c r="E2218" s="25"/>
      <c r="F2218" s="9" t="str">
        <f t="shared" si="26"/>
        <v>regional part of cerebellar cortex</v>
      </c>
      <c r="G2218" s="9" t="s">
        <v>4245</v>
      </c>
      <c r="H2218" s="9" t="s">
        <v>24198</v>
      </c>
      <c r="I2218" s="9" t="s">
        <v>4282</v>
      </c>
      <c r="J2218" s="9" t="s">
        <v>4283</v>
      </c>
      <c r="K2218" s="4" t="s">
        <v>15175</v>
      </c>
      <c r="L2218" s="13">
        <v>13240</v>
      </c>
      <c r="M2218" t="str">
        <f>VLOOKUP(L2218,[1]Human_BrainSpan!$B$2:$C$4000,2,FALSE)</f>
        <v>VePsm</v>
      </c>
    </row>
    <row r="2219" spans="2:13" x14ac:dyDescent="0.25">
      <c r="B2219" s="37"/>
      <c r="C2219" s="25" t="s">
        <v>25763</v>
      </c>
      <c r="D2219" s="25" t="s">
        <v>26184</v>
      </c>
      <c r="E2219" s="25" t="s">
        <v>26306</v>
      </c>
      <c r="F2219" s="9" t="str">
        <f t="shared" si="26"/>
        <v>regional part of cerebellar cortex</v>
      </c>
      <c r="G2219" s="9" t="s">
        <v>4245</v>
      </c>
      <c r="H2219" s="9" t="s">
        <v>24199</v>
      </c>
      <c r="I2219" s="9" t="s">
        <v>4284</v>
      </c>
      <c r="J2219" s="9" t="s">
        <v>4285</v>
      </c>
      <c r="K2219" s="4" t="s">
        <v>15175</v>
      </c>
      <c r="L2219" s="13">
        <v>13241</v>
      </c>
      <c r="M2219" t="str">
        <f>VLOOKUP(L2219,[1]Human_BrainSpan!$B$2:$C$4000,2,FALSE)</f>
        <v>VePsp</v>
      </c>
    </row>
    <row r="2220" spans="2:13" x14ac:dyDescent="0.25">
      <c r="B2220" s="37"/>
      <c r="C2220" s="20"/>
      <c r="D2220" s="25" t="s">
        <v>26184</v>
      </c>
      <c r="E2220" s="25"/>
      <c r="F2220" s="9" t="str">
        <f t="shared" si="26"/>
        <v>regional part of cerebellar cortex</v>
      </c>
      <c r="G2220" s="9" t="s">
        <v>4245</v>
      </c>
      <c r="H2220" s="9" t="s">
        <v>24200</v>
      </c>
      <c r="I2220" s="9" t="s">
        <v>4286</v>
      </c>
      <c r="J2220" s="9" t="s">
        <v>4287</v>
      </c>
      <c r="K2220" s="4" t="s">
        <v>15175</v>
      </c>
      <c r="L2220" s="13">
        <v>13242</v>
      </c>
      <c r="M2220" t="str">
        <f>VLOOKUP(L2220,[1]Human_BrainSpan!$B$2:$C$4000,2,FALSE)</f>
        <v>VePsg</v>
      </c>
    </row>
    <row r="2221" spans="2:13" x14ac:dyDescent="0.25">
      <c r="B2221" s="37"/>
      <c r="C2221" s="20"/>
      <c r="D2221" s="25" t="s">
        <v>26184</v>
      </c>
      <c r="E2221" s="25"/>
      <c r="F2221" s="9" t="str">
        <f t="shared" si="26"/>
        <v>regional part of cerebellar cortex</v>
      </c>
      <c r="G2221" s="9" t="s">
        <v>4245</v>
      </c>
      <c r="H2221" s="9" t="s">
        <v>24202</v>
      </c>
      <c r="I2221" s="9" t="s">
        <v>4288</v>
      </c>
      <c r="J2221" s="9" t="s">
        <v>4289</v>
      </c>
      <c r="K2221" s="4" t="s">
        <v>15175</v>
      </c>
      <c r="L2221" s="13">
        <v>13243</v>
      </c>
      <c r="M2221" t="str">
        <f>VLOOKUP(L2221,[1]Human_BrainSpan!$B$2:$C$4000,2,FALSE)</f>
        <v>VePim</v>
      </c>
    </row>
    <row r="2222" spans="2:13" x14ac:dyDescent="0.25">
      <c r="B2222" s="37"/>
      <c r="C2222" s="25" t="s">
        <v>25763</v>
      </c>
      <c r="D2222" s="25" t="s">
        <v>26184</v>
      </c>
      <c r="E2222" s="25" t="s">
        <v>26306</v>
      </c>
      <c r="F2222" s="9" t="str">
        <f t="shared" si="26"/>
        <v>regional part of cerebellar cortex</v>
      </c>
      <c r="G2222" s="9" t="s">
        <v>4245</v>
      </c>
      <c r="H2222" s="9" t="s">
        <v>24203</v>
      </c>
      <c r="I2222" s="9" t="s">
        <v>4290</v>
      </c>
      <c r="J2222" s="9" t="s">
        <v>4291</v>
      </c>
      <c r="K2222" s="4" t="s">
        <v>15175</v>
      </c>
      <c r="L2222" s="13">
        <v>13244</v>
      </c>
      <c r="M2222" t="str">
        <f>VLOOKUP(L2222,[1]Human_BrainSpan!$B$2:$C$4000,2,FALSE)</f>
        <v>VePip</v>
      </c>
    </row>
    <row r="2223" spans="2:13" x14ac:dyDescent="0.25">
      <c r="B2223" s="37"/>
      <c r="C2223" s="20"/>
      <c r="D2223" s="25" t="s">
        <v>26184</v>
      </c>
      <c r="E2223" s="25"/>
      <c r="F2223" s="9" t="str">
        <f t="shared" si="26"/>
        <v>regional part of cerebellar cortex</v>
      </c>
      <c r="G2223" s="9" t="s">
        <v>4245</v>
      </c>
      <c r="H2223" s="9" t="s">
        <v>24204</v>
      </c>
      <c r="I2223" s="9" t="s">
        <v>4292</v>
      </c>
      <c r="J2223" s="9" t="s">
        <v>4293</v>
      </c>
      <c r="K2223" s="4" t="s">
        <v>15175</v>
      </c>
      <c r="L2223" s="13">
        <v>13245</v>
      </c>
      <c r="M2223" t="str">
        <f>VLOOKUP(L2223,[1]Human_BrainSpan!$B$2:$C$4000,2,FALSE)</f>
        <v>VePig</v>
      </c>
    </row>
    <row r="2224" spans="2:13" x14ac:dyDescent="0.25">
      <c r="B2224" s="37"/>
      <c r="C2224" s="20"/>
      <c r="D2224" s="25" t="s">
        <v>26184</v>
      </c>
      <c r="E2224" s="25"/>
      <c r="F2224" s="9" t="str">
        <f t="shared" si="26"/>
        <v>regional part of cerebellar cortex</v>
      </c>
      <c r="G2224" s="9" t="s">
        <v>4245</v>
      </c>
      <c r="H2224" s="9" t="s">
        <v>24206</v>
      </c>
      <c r="I2224" s="9" t="s">
        <v>4294</v>
      </c>
      <c r="J2224" s="9" t="s">
        <v>4295</v>
      </c>
      <c r="K2224" s="4" t="s">
        <v>15175</v>
      </c>
      <c r="L2224" s="13">
        <v>13246</v>
      </c>
      <c r="M2224" t="str">
        <f>VLOOKUP(L2224,[1]Human_BrainSpan!$B$2:$C$4000,2,FALSE)</f>
        <v>VeFm</v>
      </c>
    </row>
    <row r="2225" spans="2:13" x14ac:dyDescent="0.25">
      <c r="B2225" s="37"/>
      <c r="C2225" s="25" t="s">
        <v>25763</v>
      </c>
      <c r="D2225" s="25" t="s">
        <v>26184</v>
      </c>
      <c r="E2225" s="25" t="s">
        <v>26306</v>
      </c>
      <c r="F2225" s="9" t="str">
        <f t="shared" si="26"/>
        <v>regional part of cerebellar cortex</v>
      </c>
      <c r="G2225" s="9" t="s">
        <v>4245</v>
      </c>
      <c r="H2225" s="9" t="s">
        <v>24207</v>
      </c>
      <c r="I2225" s="9" t="s">
        <v>4296</v>
      </c>
      <c r="J2225" s="9" t="s">
        <v>4297</v>
      </c>
      <c r="K2225" s="4" t="s">
        <v>15175</v>
      </c>
      <c r="L2225" s="13">
        <v>13247</v>
      </c>
      <c r="M2225" t="str">
        <f>VLOOKUP(L2225,[1]Human_BrainSpan!$B$2:$C$4000,2,FALSE)</f>
        <v>VeFp</v>
      </c>
    </row>
    <row r="2226" spans="2:13" x14ac:dyDescent="0.25">
      <c r="B2226" s="37"/>
      <c r="C2226" s="20"/>
      <c r="D2226" s="25" t="s">
        <v>26184</v>
      </c>
      <c r="E2226" s="25"/>
      <c r="F2226" s="9" t="str">
        <f t="shared" si="26"/>
        <v>regional part of cerebellar cortex</v>
      </c>
      <c r="G2226" s="9" t="s">
        <v>4245</v>
      </c>
      <c r="H2226" s="9" t="s">
        <v>24208</v>
      </c>
      <c r="I2226" s="9" t="s">
        <v>4298</v>
      </c>
      <c r="J2226" s="9" t="s">
        <v>4299</v>
      </c>
      <c r="K2226" s="4" t="s">
        <v>15175</v>
      </c>
      <c r="L2226" s="13">
        <v>13248</v>
      </c>
      <c r="M2226" t="str">
        <f>VLOOKUP(L2226,[1]Human_BrainSpan!$B$2:$C$4000,2,FALSE)</f>
        <v>VeFg</v>
      </c>
    </row>
    <row r="2227" spans="2:13" x14ac:dyDescent="0.25">
      <c r="B2227" s="37"/>
      <c r="C2227" s="20"/>
      <c r="D2227" s="25" t="s">
        <v>26184</v>
      </c>
      <c r="E2227" s="25"/>
      <c r="F2227" s="9" t="str">
        <f t="shared" si="26"/>
        <v>regional part of cerebellar cortex</v>
      </c>
      <c r="G2227" s="9" t="s">
        <v>4245</v>
      </c>
      <c r="H2227" s="9" t="s">
        <v>24211</v>
      </c>
      <c r="I2227" s="9" t="s">
        <v>4300</v>
      </c>
      <c r="J2227" s="9" t="s">
        <v>4301</v>
      </c>
      <c r="K2227" s="4" t="s">
        <v>15175</v>
      </c>
      <c r="L2227" s="13">
        <v>13249</v>
      </c>
      <c r="M2227" t="str">
        <f>VLOOKUP(L2227,[1]Human_BrainSpan!$B$2:$C$4000,2,FALSE)</f>
        <v>PVAm</v>
      </c>
    </row>
    <row r="2228" spans="2:13" x14ac:dyDescent="0.25">
      <c r="B2228" s="37"/>
      <c r="C2228" s="25" t="s">
        <v>25763</v>
      </c>
      <c r="D2228" s="25" t="s">
        <v>26184</v>
      </c>
      <c r="E2228" s="25" t="s">
        <v>26306</v>
      </c>
      <c r="F2228" s="9" t="str">
        <f t="shared" si="26"/>
        <v>regional part of cerebellar cortex</v>
      </c>
      <c r="G2228" s="9" t="s">
        <v>4245</v>
      </c>
      <c r="H2228" s="9" t="s">
        <v>24212</v>
      </c>
      <c r="I2228" s="9" t="s">
        <v>4302</v>
      </c>
      <c r="J2228" s="9" t="s">
        <v>4303</v>
      </c>
      <c r="K2228" s="4" t="s">
        <v>15175</v>
      </c>
      <c r="L2228" s="13">
        <v>13250</v>
      </c>
      <c r="M2228" t="str">
        <f>VLOOKUP(L2228,[1]Human_BrainSpan!$B$2:$C$4000,2,FALSE)</f>
        <v>PVAp</v>
      </c>
    </row>
    <row r="2229" spans="2:13" x14ac:dyDescent="0.25">
      <c r="B2229" s="37"/>
      <c r="C2229" s="20"/>
      <c r="D2229" s="25" t="s">
        <v>26184</v>
      </c>
      <c r="E2229" s="25"/>
      <c r="F2229" s="9" t="str">
        <f t="shared" si="26"/>
        <v>regional part of cerebellar cortex</v>
      </c>
      <c r="G2229" s="9" t="s">
        <v>4245</v>
      </c>
      <c r="H2229" s="9" t="s">
        <v>24213</v>
      </c>
      <c r="I2229" s="9" t="s">
        <v>4304</v>
      </c>
      <c r="J2229" s="9" t="s">
        <v>4305</v>
      </c>
      <c r="K2229" s="4" t="s">
        <v>15175</v>
      </c>
      <c r="L2229" s="13">
        <v>13251</v>
      </c>
      <c r="M2229" t="str">
        <f>VLOOKUP(L2229,[1]Human_BrainSpan!$B$2:$C$4000,2,FALSE)</f>
        <v>PVAg</v>
      </c>
    </row>
    <row r="2230" spans="2:13" x14ac:dyDescent="0.25">
      <c r="B2230" s="37"/>
      <c r="C2230" s="20"/>
      <c r="D2230" s="25" t="s">
        <v>26184</v>
      </c>
      <c r="E2230" s="25"/>
      <c r="F2230" s="9" t="str">
        <f t="shared" si="26"/>
        <v>regional part of cerebellar cortex</v>
      </c>
      <c r="G2230" s="9" t="s">
        <v>4245</v>
      </c>
      <c r="H2230" s="9" t="s">
        <v>24215</v>
      </c>
      <c r="I2230" s="9" t="s">
        <v>4306</v>
      </c>
      <c r="J2230" s="9" t="s">
        <v>4307</v>
      </c>
      <c r="K2230" s="4" t="s">
        <v>15175</v>
      </c>
      <c r="L2230" s="13">
        <v>13252</v>
      </c>
      <c r="M2230" t="str">
        <f>VLOOKUP(L2230,[1]Human_BrainSpan!$B$2:$C$4000,2,FALSE)</f>
        <v>PVPsm</v>
      </c>
    </row>
    <row r="2231" spans="2:13" x14ac:dyDescent="0.25">
      <c r="B2231" s="37"/>
      <c r="C2231" s="25" t="s">
        <v>25763</v>
      </c>
      <c r="D2231" s="25" t="s">
        <v>26184</v>
      </c>
      <c r="E2231" s="25" t="s">
        <v>26306</v>
      </c>
      <c r="F2231" s="9" t="str">
        <f t="shared" si="26"/>
        <v>regional part of cerebellar cortex</v>
      </c>
      <c r="G2231" s="9" t="s">
        <v>4245</v>
      </c>
      <c r="H2231" s="9" t="s">
        <v>24216</v>
      </c>
      <c r="I2231" s="9" t="s">
        <v>4308</v>
      </c>
      <c r="J2231" s="9" t="s">
        <v>4309</v>
      </c>
      <c r="K2231" s="4" t="s">
        <v>15175</v>
      </c>
      <c r="L2231" s="13">
        <v>13253</v>
      </c>
      <c r="M2231" t="str">
        <f>VLOOKUP(L2231,[1]Human_BrainSpan!$B$2:$C$4000,2,FALSE)</f>
        <v>PVPsp</v>
      </c>
    </row>
    <row r="2232" spans="2:13" x14ac:dyDescent="0.25">
      <c r="B2232" s="37"/>
      <c r="C2232" s="20"/>
      <c r="D2232" s="25" t="s">
        <v>26184</v>
      </c>
      <c r="E2232" s="25"/>
      <c r="F2232" s="9" t="str">
        <f t="shared" ref="F2232:F2263" si="27">HYPERLINK("https://www.ebi.ac.uk/ols/ontologies/uberon/terms?iri=http://purl.obolibrary.org/obo/UBERON_0002749","regional part of cerebellar cortex")</f>
        <v>regional part of cerebellar cortex</v>
      </c>
      <c r="G2232" s="9" t="s">
        <v>4245</v>
      </c>
      <c r="H2232" s="9" t="s">
        <v>24217</v>
      </c>
      <c r="I2232" s="9" t="s">
        <v>4310</v>
      </c>
      <c r="J2232" s="9" t="s">
        <v>4311</v>
      </c>
      <c r="K2232" s="4" t="s">
        <v>15175</v>
      </c>
      <c r="L2232" s="13">
        <v>13254</v>
      </c>
      <c r="M2232" t="str">
        <f>VLOOKUP(L2232,[1]Human_BrainSpan!$B$2:$C$4000,2,FALSE)</f>
        <v>PVPsg</v>
      </c>
    </row>
    <row r="2233" spans="2:13" x14ac:dyDescent="0.25">
      <c r="B2233" s="37"/>
      <c r="C2233" s="20"/>
      <c r="D2233" s="25" t="s">
        <v>26184</v>
      </c>
      <c r="E2233" s="25"/>
      <c r="F2233" s="9" t="str">
        <f t="shared" si="27"/>
        <v>regional part of cerebellar cortex</v>
      </c>
      <c r="G2233" s="9" t="s">
        <v>4245</v>
      </c>
      <c r="H2233" s="9" t="s">
        <v>24219</v>
      </c>
      <c r="I2233" s="9" t="s">
        <v>4312</v>
      </c>
      <c r="J2233" s="9" t="s">
        <v>4313</v>
      </c>
      <c r="K2233" s="4" t="s">
        <v>15175</v>
      </c>
      <c r="L2233" s="13">
        <v>13255</v>
      </c>
      <c r="M2233" t="str">
        <f>VLOOKUP(L2233,[1]Human_BrainSpan!$B$2:$C$4000,2,FALSE)</f>
        <v>PVPim</v>
      </c>
    </row>
    <row r="2234" spans="2:13" x14ac:dyDescent="0.25">
      <c r="B2234" s="37"/>
      <c r="C2234" s="25" t="s">
        <v>25763</v>
      </c>
      <c r="D2234" s="25" t="s">
        <v>26184</v>
      </c>
      <c r="E2234" s="25" t="s">
        <v>26306</v>
      </c>
      <c r="F2234" s="9" t="str">
        <f t="shared" si="27"/>
        <v>regional part of cerebellar cortex</v>
      </c>
      <c r="G2234" s="9" t="s">
        <v>4245</v>
      </c>
      <c r="H2234" s="9" t="s">
        <v>24220</v>
      </c>
      <c r="I2234" s="9" t="s">
        <v>4314</v>
      </c>
      <c r="J2234" s="9" t="s">
        <v>4315</v>
      </c>
      <c r="K2234" s="4" t="s">
        <v>15175</v>
      </c>
      <c r="L2234" s="13">
        <v>13256</v>
      </c>
      <c r="M2234" t="str">
        <f>VLOOKUP(L2234,[1]Human_BrainSpan!$B$2:$C$4000,2,FALSE)</f>
        <v>PVPip</v>
      </c>
    </row>
    <row r="2235" spans="2:13" x14ac:dyDescent="0.25">
      <c r="B2235" s="37"/>
      <c r="C2235" s="20"/>
      <c r="D2235" s="25" t="s">
        <v>26184</v>
      </c>
      <c r="E2235" s="25"/>
      <c r="F2235" s="9" t="str">
        <f t="shared" si="27"/>
        <v>regional part of cerebellar cortex</v>
      </c>
      <c r="G2235" s="9" t="s">
        <v>4245</v>
      </c>
      <c r="H2235" s="9" t="s">
        <v>24221</v>
      </c>
      <c r="I2235" s="9" t="s">
        <v>4316</v>
      </c>
      <c r="J2235" s="9" t="s">
        <v>4317</v>
      </c>
      <c r="K2235" s="4" t="s">
        <v>15175</v>
      </c>
      <c r="L2235" s="13">
        <v>13257</v>
      </c>
      <c r="M2235" t="str">
        <f>VLOOKUP(L2235,[1]Human_BrainSpan!$B$2:$C$4000,2,FALSE)</f>
        <v>PVPig</v>
      </c>
    </row>
    <row r="2236" spans="2:13" x14ac:dyDescent="0.25">
      <c r="B2236" s="37"/>
      <c r="C2236" s="20"/>
      <c r="D2236" s="25" t="s">
        <v>26184</v>
      </c>
      <c r="E2236" s="25"/>
      <c r="F2236" s="9" t="str">
        <f t="shared" si="27"/>
        <v>regional part of cerebellar cortex</v>
      </c>
      <c r="G2236" s="9" t="s">
        <v>4245</v>
      </c>
      <c r="H2236" s="9" t="s">
        <v>24228</v>
      </c>
      <c r="I2236" s="9" t="s">
        <v>4318</v>
      </c>
      <c r="J2236" s="9" t="s">
        <v>4319</v>
      </c>
      <c r="K2236" s="4" t="s">
        <v>15175</v>
      </c>
      <c r="L2236" s="13">
        <v>13261</v>
      </c>
      <c r="M2236" t="str">
        <f>VLOOKUP(L2236,[1]Human_BrainSpan!$B$2:$C$4000,2,FALSE)</f>
        <v>CBLAm</v>
      </c>
    </row>
    <row r="2237" spans="2:13" x14ac:dyDescent="0.25">
      <c r="B2237" s="37"/>
      <c r="C2237" s="25" t="s">
        <v>25763</v>
      </c>
      <c r="D2237" s="25" t="s">
        <v>26184</v>
      </c>
      <c r="E2237" s="25" t="s">
        <v>26306</v>
      </c>
      <c r="F2237" s="9" t="str">
        <f t="shared" si="27"/>
        <v>regional part of cerebellar cortex</v>
      </c>
      <c r="G2237" s="9" t="s">
        <v>4245</v>
      </c>
      <c r="H2237" s="9" t="s">
        <v>24229</v>
      </c>
      <c r="I2237" s="9" t="s">
        <v>4320</v>
      </c>
      <c r="J2237" s="9" t="s">
        <v>4321</v>
      </c>
      <c r="K2237" s="4" t="s">
        <v>15175</v>
      </c>
      <c r="L2237" s="13">
        <v>13262</v>
      </c>
      <c r="M2237" t="str">
        <f>VLOOKUP(L2237,[1]Human_BrainSpan!$B$2:$C$4000,2,FALSE)</f>
        <v>CBLAp</v>
      </c>
    </row>
    <row r="2238" spans="2:13" x14ac:dyDescent="0.25">
      <c r="B2238" s="37"/>
      <c r="C2238" s="20"/>
      <c r="D2238" s="25" t="s">
        <v>26184</v>
      </c>
      <c r="E2238" s="25"/>
      <c r="F2238" s="9" t="str">
        <f t="shared" si="27"/>
        <v>regional part of cerebellar cortex</v>
      </c>
      <c r="G2238" s="9" t="s">
        <v>4245</v>
      </c>
      <c r="H2238" s="9" t="s">
        <v>24230</v>
      </c>
      <c r="I2238" s="9" t="s">
        <v>4322</v>
      </c>
      <c r="J2238" s="9" t="s">
        <v>4323</v>
      </c>
      <c r="K2238" s="4" t="s">
        <v>15175</v>
      </c>
      <c r="L2238" s="13">
        <v>13263</v>
      </c>
      <c r="M2238" t="str">
        <f>VLOOKUP(L2238,[1]Human_BrainSpan!$B$2:$C$4000,2,FALSE)</f>
        <v>CBLAg</v>
      </c>
    </row>
    <row r="2239" spans="2:13" x14ac:dyDescent="0.25">
      <c r="B2239" s="37"/>
      <c r="C2239" s="20"/>
      <c r="D2239" s="25" t="s">
        <v>26184</v>
      </c>
      <c r="E2239" s="25"/>
      <c r="F2239" s="9" t="str">
        <f t="shared" si="27"/>
        <v>regional part of cerebellar cortex</v>
      </c>
      <c r="G2239" s="9" t="s">
        <v>4245</v>
      </c>
      <c r="H2239" s="9" t="s">
        <v>24233</v>
      </c>
      <c r="I2239" s="9" t="s">
        <v>4324</v>
      </c>
      <c r="J2239" s="9" t="s">
        <v>4325</v>
      </c>
      <c r="K2239" s="4" t="s">
        <v>15175</v>
      </c>
      <c r="L2239" s="13">
        <v>13264</v>
      </c>
      <c r="M2239" t="str">
        <f>VLOOKUP(L2239,[1]Human_BrainSpan!$B$2:$C$4000,2,FALSE)</f>
        <v>CBLPsm</v>
      </c>
    </row>
    <row r="2240" spans="2:13" x14ac:dyDescent="0.25">
      <c r="B2240" s="37"/>
      <c r="C2240" s="25" t="s">
        <v>25763</v>
      </c>
      <c r="D2240" s="25" t="s">
        <v>26184</v>
      </c>
      <c r="E2240" s="25" t="s">
        <v>26306</v>
      </c>
      <c r="F2240" s="9" t="str">
        <f t="shared" si="27"/>
        <v>regional part of cerebellar cortex</v>
      </c>
      <c r="G2240" s="9" t="s">
        <v>4245</v>
      </c>
      <c r="H2240" s="9" t="s">
        <v>24234</v>
      </c>
      <c r="I2240" s="9" t="s">
        <v>4326</v>
      </c>
      <c r="J2240" s="9" t="s">
        <v>4327</v>
      </c>
      <c r="K2240" s="4" t="s">
        <v>15175</v>
      </c>
      <c r="L2240" s="13">
        <v>13265</v>
      </c>
      <c r="M2240" t="str">
        <f>VLOOKUP(L2240,[1]Human_BrainSpan!$B$2:$C$4000,2,FALSE)</f>
        <v>CBLPsp</v>
      </c>
    </row>
    <row r="2241" spans="2:13" x14ac:dyDescent="0.25">
      <c r="B2241" s="37"/>
      <c r="C2241" s="20"/>
      <c r="D2241" s="25" t="s">
        <v>26184</v>
      </c>
      <c r="E2241" s="25"/>
      <c r="F2241" s="9" t="str">
        <f t="shared" si="27"/>
        <v>regional part of cerebellar cortex</v>
      </c>
      <c r="G2241" s="9" t="s">
        <v>4245</v>
      </c>
      <c r="H2241" s="9" t="s">
        <v>24235</v>
      </c>
      <c r="I2241" s="9" t="s">
        <v>4328</v>
      </c>
      <c r="J2241" s="9" t="s">
        <v>4329</v>
      </c>
      <c r="K2241" s="4" t="s">
        <v>15175</v>
      </c>
      <c r="L2241" s="13">
        <v>13266</v>
      </c>
      <c r="M2241" t="str">
        <f>VLOOKUP(L2241,[1]Human_BrainSpan!$B$2:$C$4000,2,FALSE)</f>
        <v>CBLPsg</v>
      </c>
    </row>
    <row r="2242" spans="2:13" x14ac:dyDescent="0.25">
      <c r="B2242" s="37"/>
      <c r="C2242" s="20"/>
      <c r="D2242" s="25" t="s">
        <v>26184</v>
      </c>
      <c r="E2242" s="25"/>
      <c r="F2242" s="9" t="str">
        <f t="shared" si="27"/>
        <v>regional part of cerebellar cortex</v>
      </c>
      <c r="G2242" s="9" t="s">
        <v>4245</v>
      </c>
      <c r="H2242" s="9" t="s">
        <v>24237</v>
      </c>
      <c r="I2242" s="9" t="s">
        <v>4330</v>
      </c>
      <c r="J2242" s="9" t="s">
        <v>4331</v>
      </c>
      <c r="K2242" s="4" t="s">
        <v>15175</v>
      </c>
      <c r="L2242" s="13">
        <v>13267</v>
      </c>
      <c r="M2242" t="str">
        <f>VLOOKUP(L2242,[1]Human_BrainSpan!$B$2:$C$4000,2,FALSE)</f>
        <v>CBLPim</v>
      </c>
    </row>
    <row r="2243" spans="2:13" x14ac:dyDescent="0.25">
      <c r="B2243" s="37"/>
      <c r="C2243" s="25" t="s">
        <v>25763</v>
      </c>
      <c r="D2243" s="25" t="s">
        <v>26184</v>
      </c>
      <c r="E2243" s="25" t="s">
        <v>26306</v>
      </c>
      <c r="F2243" s="9" t="str">
        <f t="shared" si="27"/>
        <v>regional part of cerebellar cortex</v>
      </c>
      <c r="G2243" s="9" t="s">
        <v>4245</v>
      </c>
      <c r="H2243" s="9" t="s">
        <v>24238</v>
      </c>
      <c r="I2243" s="9" t="s">
        <v>4332</v>
      </c>
      <c r="J2243" s="9" t="s">
        <v>4333</v>
      </c>
      <c r="K2243" s="4" t="s">
        <v>15175</v>
      </c>
      <c r="L2243" s="13">
        <v>13268</v>
      </c>
      <c r="M2243" t="str">
        <f>VLOOKUP(L2243,[1]Human_BrainSpan!$B$2:$C$4000,2,FALSE)</f>
        <v>CBLPip</v>
      </c>
    </row>
    <row r="2244" spans="2:13" x14ac:dyDescent="0.25">
      <c r="B2244" s="37"/>
      <c r="C2244" s="20"/>
      <c r="D2244" s="25" t="s">
        <v>26184</v>
      </c>
      <c r="E2244" s="25"/>
      <c r="F2244" s="9" t="str">
        <f t="shared" si="27"/>
        <v>regional part of cerebellar cortex</v>
      </c>
      <c r="G2244" s="9" t="s">
        <v>4245</v>
      </c>
      <c r="H2244" s="9" t="s">
        <v>24239</v>
      </c>
      <c r="I2244" s="9" t="s">
        <v>4334</v>
      </c>
      <c r="J2244" s="9" t="s">
        <v>4335</v>
      </c>
      <c r="K2244" s="4" t="s">
        <v>15175</v>
      </c>
      <c r="L2244" s="13">
        <v>13269</v>
      </c>
      <c r="M2244" t="str">
        <f>VLOOKUP(L2244,[1]Human_BrainSpan!$B$2:$C$4000,2,FALSE)</f>
        <v>CBLPig</v>
      </c>
    </row>
    <row r="2245" spans="2:13" x14ac:dyDescent="0.25">
      <c r="B2245" s="37"/>
      <c r="C2245" s="20"/>
      <c r="D2245" s="25" t="s">
        <v>26184</v>
      </c>
      <c r="E2245" s="25"/>
      <c r="F2245" s="9" t="str">
        <f t="shared" si="27"/>
        <v>regional part of cerebellar cortex</v>
      </c>
      <c r="G2245" s="9" t="s">
        <v>4245</v>
      </c>
      <c r="H2245" s="9" t="s">
        <v>24241</v>
      </c>
      <c r="I2245" s="9" t="s">
        <v>4336</v>
      </c>
      <c r="J2245" s="9" t="s">
        <v>4337</v>
      </c>
      <c r="K2245" s="4" t="s">
        <v>15175</v>
      </c>
      <c r="L2245" s="13">
        <v>13270</v>
      </c>
      <c r="M2245" t="str">
        <f>VLOOKUP(L2245,[1]Human_BrainSpan!$B$2:$C$4000,2,FALSE)</f>
        <v>CBLFm</v>
      </c>
    </row>
    <row r="2246" spans="2:13" x14ac:dyDescent="0.25">
      <c r="B2246" s="37"/>
      <c r="C2246" s="25" t="s">
        <v>25763</v>
      </c>
      <c r="D2246" s="25" t="s">
        <v>26184</v>
      </c>
      <c r="E2246" s="25" t="s">
        <v>26306</v>
      </c>
      <c r="F2246" s="9" t="str">
        <f t="shared" si="27"/>
        <v>regional part of cerebellar cortex</v>
      </c>
      <c r="G2246" s="9" t="s">
        <v>4245</v>
      </c>
      <c r="H2246" s="9" t="s">
        <v>24242</v>
      </c>
      <c r="I2246" s="9" t="s">
        <v>4338</v>
      </c>
      <c r="J2246" s="9" t="s">
        <v>4339</v>
      </c>
      <c r="K2246" s="4" t="s">
        <v>15175</v>
      </c>
      <c r="L2246" s="13">
        <v>13271</v>
      </c>
      <c r="M2246" t="str">
        <f>VLOOKUP(L2246,[1]Human_BrainSpan!$B$2:$C$4000,2,FALSE)</f>
        <v>CBLFp</v>
      </c>
    </row>
    <row r="2247" spans="2:13" x14ac:dyDescent="0.25">
      <c r="B2247" s="37"/>
      <c r="C2247" s="20"/>
      <c r="D2247" s="25" t="s">
        <v>26184</v>
      </c>
      <c r="E2247" s="25"/>
      <c r="F2247" s="9" t="str">
        <f t="shared" si="27"/>
        <v>regional part of cerebellar cortex</v>
      </c>
      <c r="G2247" s="9" t="s">
        <v>4245</v>
      </c>
      <c r="H2247" s="9" t="s">
        <v>24243</v>
      </c>
      <c r="I2247" s="9" t="s">
        <v>4340</v>
      </c>
      <c r="J2247" s="9" t="s">
        <v>4341</v>
      </c>
      <c r="K2247" s="4" t="s">
        <v>15175</v>
      </c>
      <c r="L2247" s="13">
        <v>13272</v>
      </c>
      <c r="M2247" t="str">
        <f>VLOOKUP(L2247,[1]Human_BrainSpan!$B$2:$C$4000,2,FALSE)</f>
        <v>CBLFg</v>
      </c>
    </row>
    <row r="2248" spans="2:13" x14ac:dyDescent="0.25">
      <c r="B2248" s="37" t="s">
        <v>26303</v>
      </c>
      <c r="C2248" s="25" t="s">
        <v>25979</v>
      </c>
      <c r="D2248" s="25" t="s">
        <v>26184</v>
      </c>
      <c r="E2248" s="25"/>
      <c r="F2248" s="9" t="str">
        <f t="shared" si="27"/>
        <v>regional part of cerebellar cortex</v>
      </c>
      <c r="G2248" s="9" t="s">
        <v>4245</v>
      </c>
      <c r="H2248" s="9" t="s">
        <v>20984</v>
      </c>
      <c r="I2248" s="9" t="s">
        <v>2524</v>
      </c>
      <c r="J2248" s="9" t="s">
        <v>2525</v>
      </c>
      <c r="K2248" s="4" t="s">
        <v>15175</v>
      </c>
      <c r="L2248" s="13">
        <v>266441729</v>
      </c>
      <c r="M2248" t="str">
        <f>VLOOKUP(L2248,[1]Human_BrainSpan!$B$2:$C$4000,2,FALSE)</f>
        <v>icf</v>
      </c>
    </row>
    <row r="2249" spans="2:13" x14ac:dyDescent="0.25">
      <c r="B2249" s="37"/>
      <c r="C2249" s="25" t="s">
        <v>1045</v>
      </c>
      <c r="D2249" s="25" t="s">
        <v>26184</v>
      </c>
      <c r="E2249" s="25"/>
      <c r="F2249" s="9" t="str">
        <f t="shared" si="27"/>
        <v>regional part of cerebellar cortex</v>
      </c>
      <c r="G2249" s="9" t="s">
        <v>4245</v>
      </c>
      <c r="H2249" s="9" t="s">
        <v>17241</v>
      </c>
      <c r="I2249" s="9" t="s">
        <v>4342</v>
      </c>
      <c r="J2249" s="9" t="s">
        <v>4343</v>
      </c>
      <c r="K2249" s="5" t="s">
        <v>15173</v>
      </c>
      <c r="L2249" s="13">
        <v>16815</v>
      </c>
      <c r="M2249" t="str">
        <f>VLOOKUP(L2249,[1]DevMouse!$B$2:$C$2693,2,FALSE)</f>
        <v>CbVLip</v>
      </c>
    </row>
    <row r="2250" spans="2:13" x14ac:dyDescent="0.25">
      <c r="B2250" s="37"/>
      <c r="C2250" s="20"/>
      <c r="D2250" s="25" t="s">
        <v>26184</v>
      </c>
      <c r="E2250" s="25"/>
      <c r="F2250" s="9" t="str">
        <f t="shared" si="27"/>
        <v>regional part of cerebellar cortex</v>
      </c>
      <c r="G2250" s="9" t="s">
        <v>4245</v>
      </c>
      <c r="H2250" s="9" t="s">
        <v>17242</v>
      </c>
      <c r="I2250" s="9" t="s">
        <v>4344</v>
      </c>
      <c r="J2250" s="9" t="s">
        <v>4345</v>
      </c>
      <c r="K2250" s="5" t="s">
        <v>15173</v>
      </c>
      <c r="L2250" s="13">
        <v>16816</v>
      </c>
      <c r="M2250" t="str">
        <f>VLOOKUP(L2250,[1]DevMouse!$B$2:$C$2693,2,FALSE)</f>
        <v>CbV-EGL</v>
      </c>
    </row>
    <row r="2251" spans="2:13" x14ac:dyDescent="0.25">
      <c r="B2251" s="37"/>
      <c r="C2251" s="25" t="s">
        <v>1045</v>
      </c>
      <c r="D2251" s="25" t="s">
        <v>26184</v>
      </c>
      <c r="E2251" s="25"/>
      <c r="F2251" s="9" t="str">
        <f t="shared" si="27"/>
        <v>regional part of cerebellar cortex</v>
      </c>
      <c r="G2251" s="9" t="s">
        <v>4245</v>
      </c>
      <c r="H2251" s="9" t="s">
        <v>17243</v>
      </c>
      <c r="I2251" s="9" t="s">
        <v>4346</v>
      </c>
      <c r="J2251" s="9" t="s">
        <v>4347</v>
      </c>
      <c r="K2251" s="5" t="s">
        <v>15173</v>
      </c>
      <c r="L2251" s="13">
        <v>16817</v>
      </c>
      <c r="M2251" t="str">
        <f>VLOOKUP(L2251,[1]DevMouse!$B$2:$C$2693,2,FALSE)</f>
        <v>CbVv</v>
      </c>
    </row>
    <row r="2252" spans="2:13" x14ac:dyDescent="0.25">
      <c r="B2252" s="37"/>
      <c r="C2252" s="25" t="s">
        <v>1045</v>
      </c>
      <c r="D2252" s="25" t="s">
        <v>26184</v>
      </c>
      <c r="E2252" s="20" t="s">
        <v>26300</v>
      </c>
      <c r="F2252" s="9" t="str">
        <f t="shared" si="27"/>
        <v>regional part of cerebellar cortex</v>
      </c>
      <c r="G2252" s="9" t="s">
        <v>4245</v>
      </c>
      <c r="H2252" s="9" t="s">
        <v>17244</v>
      </c>
      <c r="I2252" s="9" t="s">
        <v>4348</v>
      </c>
      <c r="J2252" s="9" t="s">
        <v>4349</v>
      </c>
      <c r="K2252" s="5" t="s">
        <v>15173</v>
      </c>
      <c r="L2252" s="13">
        <v>16818</v>
      </c>
      <c r="M2252" t="str">
        <f>VLOOKUP(L2252,[1]DevMouse!$B$2:$C$2693,2,FALSE)</f>
        <v>CbVm</v>
      </c>
    </row>
    <row r="2253" spans="2:13" x14ac:dyDescent="0.25">
      <c r="B2253" s="37"/>
      <c r="C2253" s="25" t="s">
        <v>1045</v>
      </c>
      <c r="D2253" s="25" t="s">
        <v>26184</v>
      </c>
      <c r="E2253" s="25"/>
      <c r="F2253" s="9" t="str">
        <f t="shared" si="27"/>
        <v>regional part of cerebellar cortex</v>
      </c>
      <c r="G2253" s="9" t="s">
        <v>4245</v>
      </c>
      <c r="H2253" s="9" t="s">
        <v>17245</v>
      </c>
      <c r="I2253" s="9" t="s">
        <v>4350</v>
      </c>
      <c r="J2253" s="9" t="s">
        <v>4351</v>
      </c>
      <c r="K2253" s="5" t="s">
        <v>15173</v>
      </c>
      <c r="L2253" s="13">
        <v>16819</v>
      </c>
      <c r="M2253" t="str">
        <f>VLOOKUP(L2253,[1]DevMouse!$B$2:$C$2693,2,FALSE)</f>
        <v>CbVp</v>
      </c>
    </row>
    <row r="2254" spans="2:13" x14ac:dyDescent="0.25">
      <c r="B2254" s="37"/>
      <c r="C2254" s="25" t="s">
        <v>26290</v>
      </c>
      <c r="D2254" s="25" t="s">
        <v>26184</v>
      </c>
      <c r="E2254" s="25"/>
      <c r="F2254" s="9" t="str">
        <f t="shared" si="27"/>
        <v>regional part of cerebellar cortex</v>
      </c>
      <c r="G2254" s="9" t="s">
        <v>4245</v>
      </c>
      <c r="H2254" s="9" t="s">
        <v>17246</v>
      </c>
      <c r="I2254" s="9" t="s">
        <v>4352</v>
      </c>
      <c r="J2254" s="9" t="s">
        <v>4353</v>
      </c>
      <c r="K2254" s="5" t="s">
        <v>15173</v>
      </c>
      <c r="L2254" s="13">
        <v>16820</v>
      </c>
      <c r="M2254" t="str">
        <f>VLOOKUP(L2254,[1]DevMouse!$B$2:$C$2693,2,FALSE)</f>
        <v>CbVWM</v>
      </c>
    </row>
    <row r="2255" spans="2:13" x14ac:dyDescent="0.25">
      <c r="B2255" s="37"/>
      <c r="C2255" s="25" t="s">
        <v>1045</v>
      </c>
      <c r="D2255" s="25" t="s">
        <v>26184</v>
      </c>
      <c r="E2255" s="25"/>
      <c r="F2255" s="9" t="str">
        <f t="shared" si="27"/>
        <v>regional part of cerebellar cortex</v>
      </c>
      <c r="G2255" s="9" t="s">
        <v>4245</v>
      </c>
      <c r="H2255" s="9" t="s">
        <v>17247</v>
      </c>
      <c r="I2255" s="9" t="s">
        <v>4354</v>
      </c>
      <c r="J2255" s="9" t="s">
        <v>4355</v>
      </c>
      <c r="K2255" s="5" t="s">
        <v>15173</v>
      </c>
      <c r="L2255" s="13">
        <v>16821</v>
      </c>
      <c r="M2255" t="str">
        <f>VLOOKUP(L2255,[1]DevMouse!$B$2:$C$2693,2,FALSE)</f>
        <v>CbVi</v>
      </c>
    </row>
    <row r="2256" spans="2:13" x14ac:dyDescent="0.25">
      <c r="B2256" s="37"/>
      <c r="C2256" s="25" t="s">
        <v>25835</v>
      </c>
      <c r="D2256" s="25" t="s">
        <v>26184</v>
      </c>
      <c r="E2256" s="25"/>
      <c r="F2256" s="9" t="str">
        <f t="shared" si="27"/>
        <v>regional part of cerebellar cortex</v>
      </c>
      <c r="G2256" s="9" t="s">
        <v>4245</v>
      </c>
      <c r="H2256" s="9" t="s">
        <v>17248</v>
      </c>
      <c r="I2256" s="9" t="s">
        <v>4356</v>
      </c>
      <c r="J2256" s="9" t="s">
        <v>4357</v>
      </c>
      <c r="K2256" s="5" t="s">
        <v>15173</v>
      </c>
      <c r="L2256" s="13">
        <v>16822</v>
      </c>
      <c r="M2256" t="str">
        <f>VLOOKUP(L2256,[1]DevMouse!$B$2:$C$2693,2,FALSE)</f>
        <v>CbVN</v>
      </c>
    </row>
    <row r="2257" spans="2:13" x14ac:dyDescent="0.25">
      <c r="B2257" s="37" t="s">
        <v>26303</v>
      </c>
      <c r="C2257" s="25" t="s">
        <v>843</v>
      </c>
      <c r="D2257" s="25" t="s">
        <v>26184</v>
      </c>
      <c r="E2257" s="25"/>
      <c r="F2257" s="9" t="str">
        <f t="shared" si="27"/>
        <v>regional part of cerebellar cortex</v>
      </c>
      <c r="G2257" s="9" t="s">
        <v>4245</v>
      </c>
      <c r="H2257" s="9" t="s">
        <v>17249</v>
      </c>
      <c r="I2257" s="9" t="s">
        <v>714</v>
      </c>
      <c r="J2257" s="9" t="s">
        <v>715</v>
      </c>
      <c r="K2257" s="5" t="s">
        <v>15173</v>
      </c>
      <c r="L2257" s="13">
        <v>16823</v>
      </c>
      <c r="M2257" t="str">
        <f>VLOOKUP(L2257,[1]DevMouse!$B$2:$C$2693,2,FALSE)</f>
        <v>Med</v>
      </c>
    </row>
    <row r="2258" spans="2:13" x14ac:dyDescent="0.25">
      <c r="B2258" s="37"/>
      <c r="C2258" s="20"/>
      <c r="D2258" s="25" t="s">
        <v>26184</v>
      </c>
      <c r="E2258" s="25"/>
      <c r="F2258" s="9" t="str">
        <f t="shared" si="27"/>
        <v>regional part of cerebellar cortex</v>
      </c>
      <c r="G2258" s="9" t="s">
        <v>4245</v>
      </c>
      <c r="H2258" s="9" t="s">
        <v>17250</v>
      </c>
      <c r="I2258" s="9" t="s">
        <v>4358</v>
      </c>
      <c r="J2258" s="9" t="s">
        <v>4359</v>
      </c>
      <c r="K2258" s="5" t="s">
        <v>15173</v>
      </c>
      <c r="L2258" s="13">
        <v>16824</v>
      </c>
      <c r="M2258" t="str">
        <f>VLOOKUP(L2258,[1]DevMouse!$B$2:$C$2693,2,FALSE)</f>
        <v>MedM</v>
      </c>
    </row>
    <row r="2259" spans="2:13" x14ac:dyDescent="0.25">
      <c r="B2259" s="37"/>
      <c r="C2259" s="20"/>
      <c r="D2259" s="25" t="s">
        <v>26184</v>
      </c>
      <c r="E2259" s="25"/>
      <c r="F2259" s="9" t="str">
        <f t="shared" si="27"/>
        <v>regional part of cerebellar cortex</v>
      </c>
      <c r="G2259" s="9" t="s">
        <v>4245</v>
      </c>
      <c r="H2259" s="9" t="s">
        <v>17251</v>
      </c>
      <c r="I2259" s="9" t="s">
        <v>4360</v>
      </c>
      <c r="J2259" s="9" t="s">
        <v>4361</v>
      </c>
      <c r="K2259" s="5" t="s">
        <v>15173</v>
      </c>
      <c r="L2259" s="13">
        <v>16825</v>
      </c>
      <c r="M2259" t="str">
        <f>VLOOKUP(L2259,[1]DevMouse!$B$2:$C$2693,2,FALSE)</f>
        <v>MedL</v>
      </c>
    </row>
    <row r="2260" spans="2:13" x14ac:dyDescent="0.25">
      <c r="B2260" s="37"/>
      <c r="C2260" s="20"/>
      <c r="D2260" s="25" t="s">
        <v>26184</v>
      </c>
      <c r="E2260" s="25"/>
      <c r="F2260" s="9" t="str">
        <f t="shared" si="27"/>
        <v>regional part of cerebellar cortex</v>
      </c>
      <c r="G2260" s="9" t="s">
        <v>4245</v>
      </c>
      <c r="H2260" s="9" t="s">
        <v>17252</v>
      </c>
      <c r="I2260" s="9" t="s">
        <v>4362</v>
      </c>
      <c r="J2260" s="9" t="s">
        <v>4363</v>
      </c>
      <c r="K2260" s="5" t="s">
        <v>15173</v>
      </c>
      <c r="L2260" s="13">
        <v>16826</v>
      </c>
      <c r="M2260" t="str">
        <f>VLOOKUP(L2260,[1]DevMouse!$B$2:$C$2693,2,FALSE)</f>
        <v>MedDL</v>
      </c>
    </row>
    <row r="2261" spans="2:13" x14ac:dyDescent="0.25">
      <c r="B2261" s="37"/>
      <c r="C2261" s="20"/>
      <c r="D2261" s="25" t="s">
        <v>26184</v>
      </c>
      <c r="E2261" s="25"/>
      <c r="F2261" s="9" t="str">
        <f t="shared" si="27"/>
        <v>regional part of cerebellar cortex</v>
      </c>
      <c r="G2261" s="9" t="s">
        <v>4245</v>
      </c>
      <c r="H2261" s="9" t="s">
        <v>17253</v>
      </c>
      <c r="I2261" s="9" t="s">
        <v>4364</v>
      </c>
      <c r="J2261" s="9" t="s">
        <v>4365</v>
      </c>
      <c r="K2261" s="5" t="s">
        <v>15173</v>
      </c>
      <c r="L2261" s="13">
        <v>16827</v>
      </c>
      <c r="M2261" t="str">
        <f>VLOOKUP(L2261,[1]DevMouse!$B$2:$C$2693,2,FALSE)</f>
        <v>isVeCb</v>
      </c>
    </row>
    <row r="2262" spans="2:13" x14ac:dyDescent="0.25">
      <c r="B2262" s="37"/>
      <c r="C2262" s="25" t="s">
        <v>1045</v>
      </c>
      <c r="D2262" s="25" t="s">
        <v>26184</v>
      </c>
      <c r="E2262" s="25"/>
      <c r="F2262" s="9" t="str">
        <f t="shared" si="27"/>
        <v>regional part of cerebellar cortex</v>
      </c>
      <c r="G2262" s="9" t="s">
        <v>4245</v>
      </c>
      <c r="H2262" s="9" t="s">
        <v>17254</v>
      </c>
      <c r="I2262" s="9" t="s">
        <v>4366</v>
      </c>
      <c r="J2262" s="9" t="s">
        <v>4367</v>
      </c>
      <c r="K2262" s="5" t="s">
        <v>15173</v>
      </c>
      <c r="L2262" s="13">
        <v>16828</v>
      </c>
      <c r="M2262" t="str">
        <f>VLOOKUP(L2262,[1]DevMouse!$B$2:$C$2693,2,FALSE)</f>
        <v>CbVs</v>
      </c>
    </row>
    <row r="2263" spans="2:13" x14ac:dyDescent="0.25">
      <c r="B2263" s="37"/>
      <c r="C2263" s="25" t="s">
        <v>1045</v>
      </c>
      <c r="D2263" s="25" t="s">
        <v>26184</v>
      </c>
      <c r="E2263" s="25"/>
      <c r="F2263" s="9" t="str">
        <f t="shared" si="27"/>
        <v>regional part of cerebellar cortex</v>
      </c>
      <c r="G2263" s="9" t="s">
        <v>4245</v>
      </c>
      <c r="H2263" s="9" t="s">
        <v>17255</v>
      </c>
      <c r="I2263" s="9" t="s">
        <v>4368</v>
      </c>
      <c r="J2263" s="9" t="s">
        <v>4369</v>
      </c>
      <c r="K2263" s="5" t="s">
        <v>15173</v>
      </c>
      <c r="L2263" s="13">
        <v>16829</v>
      </c>
      <c r="M2263" t="str">
        <f>VLOOKUP(L2263,[1]DevMouse!$B$2:$C$2693,2,FALSE)</f>
        <v>CbVCx</v>
      </c>
    </row>
    <row r="2264" spans="2:13" x14ac:dyDescent="0.25">
      <c r="B2264" s="37"/>
      <c r="C2264" s="25" t="s">
        <v>25848</v>
      </c>
      <c r="D2264" s="25" t="s">
        <v>26184</v>
      </c>
      <c r="E2264" s="25"/>
      <c r="F2264" s="9" t="str">
        <f t="shared" ref="F2264:F2295" si="28">HYPERLINK("https://www.ebi.ac.uk/ols/ontologies/uberon/terms?iri=http://purl.obolibrary.org/obo/UBERON_0002749","regional part of cerebellar cortex")</f>
        <v>regional part of cerebellar cortex</v>
      </c>
      <c r="G2264" s="9" t="s">
        <v>4245</v>
      </c>
      <c r="H2264" s="9" t="s">
        <v>17256</v>
      </c>
      <c r="I2264" s="9" t="s">
        <v>4370</v>
      </c>
      <c r="J2264" s="9" t="s">
        <v>4371</v>
      </c>
      <c r="K2264" s="5" t="s">
        <v>15173</v>
      </c>
      <c r="L2264" s="13">
        <v>16830</v>
      </c>
      <c r="M2264" t="str">
        <f>VLOOKUP(L2264,[1]DevMouse!$B$2:$C$2693,2,FALSE)</f>
        <v>1Cb</v>
      </c>
    </row>
    <row r="2265" spans="2:13" x14ac:dyDescent="0.25">
      <c r="B2265" s="37"/>
      <c r="C2265" s="25" t="s">
        <v>25849</v>
      </c>
      <c r="D2265" s="25" t="s">
        <v>26184</v>
      </c>
      <c r="E2265" s="25"/>
      <c r="F2265" s="9" t="str">
        <f t="shared" si="28"/>
        <v>regional part of cerebellar cortex</v>
      </c>
      <c r="G2265" s="9" t="s">
        <v>4245</v>
      </c>
      <c r="H2265" s="9" t="s">
        <v>17257</v>
      </c>
      <c r="I2265" s="9" t="s">
        <v>4372</v>
      </c>
      <c r="J2265" s="9" t="s">
        <v>4373</v>
      </c>
      <c r="K2265" s="5" t="s">
        <v>15173</v>
      </c>
      <c r="L2265" s="13">
        <v>16831</v>
      </c>
      <c r="M2265" t="str">
        <f>VLOOKUP(L2265,[1]DevMouse!$B$2:$C$2693,2,FALSE)</f>
        <v>2Cb</v>
      </c>
    </row>
    <row r="2266" spans="2:13" x14ac:dyDescent="0.25">
      <c r="B2266" s="37"/>
      <c r="C2266" s="25" t="s">
        <v>25850</v>
      </c>
      <c r="D2266" s="25" t="s">
        <v>26184</v>
      </c>
      <c r="E2266" s="25"/>
      <c r="F2266" s="9" t="str">
        <f t="shared" si="28"/>
        <v>regional part of cerebellar cortex</v>
      </c>
      <c r="G2266" s="9" t="s">
        <v>4245</v>
      </c>
      <c r="H2266" s="9" t="s">
        <v>17258</v>
      </c>
      <c r="I2266" s="9" t="s">
        <v>4374</v>
      </c>
      <c r="J2266" s="9" t="s">
        <v>4375</v>
      </c>
      <c r="K2266" s="5" t="s">
        <v>15173</v>
      </c>
      <c r="L2266" s="13">
        <v>16832</v>
      </c>
      <c r="M2266" t="str">
        <f>VLOOKUP(L2266,[1]DevMouse!$B$2:$C$2693,2,FALSE)</f>
        <v>3Cb</v>
      </c>
    </row>
    <row r="2267" spans="2:13" x14ac:dyDescent="0.25">
      <c r="B2267" s="37"/>
      <c r="C2267" s="25" t="s">
        <v>25851</v>
      </c>
      <c r="D2267" s="25" t="s">
        <v>26184</v>
      </c>
      <c r="E2267" s="25"/>
      <c r="F2267" s="9" t="str">
        <f t="shared" si="28"/>
        <v>regional part of cerebellar cortex</v>
      </c>
      <c r="G2267" s="9" t="s">
        <v>4245</v>
      </c>
      <c r="H2267" s="9" t="s">
        <v>17259</v>
      </c>
      <c r="I2267" s="9" t="s">
        <v>4376</v>
      </c>
      <c r="J2267" s="9" t="s">
        <v>4377</v>
      </c>
      <c r="K2267" s="5" t="s">
        <v>15173</v>
      </c>
      <c r="L2267" s="13">
        <v>16833</v>
      </c>
      <c r="M2267" t="str">
        <f>VLOOKUP(L2267,[1]DevMouse!$B$2:$C$2693,2,FALSE)</f>
        <v>4Cb</v>
      </c>
    </row>
    <row r="2268" spans="2:13" x14ac:dyDescent="0.25">
      <c r="B2268" s="37"/>
      <c r="C2268" s="25" t="s">
        <v>25853</v>
      </c>
      <c r="D2268" s="25" t="s">
        <v>26184</v>
      </c>
      <c r="E2268" s="25"/>
      <c r="F2268" s="9" t="str">
        <f t="shared" si="28"/>
        <v>regional part of cerebellar cortex</v>
      </c>
      <c r="G2268" s="9" t="s">
        <v>4245</v>
      </c>
      <c r="H2268" s="9" t="s">
        <v>17260</v>
      </c>
      <c r="I2268" s="9" t="s">
        <v>4378</v>
      </c>
      <c r="J2268" s="9" t="s">
        <v>4379</v>
      </c>
      <c r="K2268" s="5" t="s">
        <v>15173</v>
      </c>
      <c r="L2268" s="13">
        <v>16834</v>
      </c>
      <c r="M2268" t="str">
        <f>VLOOKUP(L2268,[1]DevMouse!$B$2:$C$2693,2,FALSE)</f>
        <v>5Cb</v>
      </c>
    </row>
    <row r="2269" spans="2:13" x14ac:dyDescent="0.25">
      <c r="B2269" s="37"/>
      <c r="C2269" s="25" t="s">
        <v>25854</v>
      </c>
      <c r="D2269" s="25" t="s">
        <v>26184</v>
      </c>
      <c r="E2269" s="25"/>
      <c r="F2269" s="9" t="str">
        <f t="shared" si="28"/>
        <v>regional part of cerebellar cortex</v>
      </c>
      <c r="G2269" s="9" t="s">
        <v>4245</v>
      </c>
      <c r="H2269" s="9" t="s">
        <v>17261</v>
      </c>
      <c r="I2269" s="9" t="s">
        <v>4380</v>
      </c>
      <c r="J2269" s="9" t="s">
        <v>4381</v>
      </c>
      <c r="K2269" s="5" t="s">
        <v>15173</v>
      </c>
      <c r="L2269" s="13">
        <v>16835</v>
      </c>
      <c r="M2269" t="str">
        <f>VLOOKUP(L2269,[1]DevMouse!$B$2:$C$2693,2,FALSE)</f>
        <v>6Cb</v>
      </c>
    </row>
    <row r="2270" spans="2:13" x14ac:dyDescent="0.25">
      <c r="B2270" s="37"/>
      <c r="C2270" s="25" t="s">
        <v>25855</v>
      </c>
      <c r="D2270" s="25" t="s">
        <v>26184</v>
      </c>
      <c r="E2270" s="25"/>
      <c r="F2270" s="9" t="str">
        <f t="shared" si="28"/>
        <v>regional part of cerebellar cortex</v>
      </c>
      <c r="G2270" s="9" t="s">
        <v>4245</v>
      </c>
      <c r="H2270" s="9" t="s">
        <v>17262</v>
      </c>
      <c r="I2270" s="9" t="s">
        <v>4382</v>
      </c>
      <c r="J2270" s="9" t="s">
        <v>4383</v>
      </c>
      <c r="K2270" s="5" t="s">
        <v>15173</v>
      </c>
      <c r="L2270" s="13">
        <v>16836</v>
      </c>
      <c r="M2270" t="str">
        <f>VLOOKUP(L2270,[1]DevMouse!$B$2:$C$2693,2,FALSE)</f>
        <v>7Cb</v>
      </c>
    </row>
    <row r="2271" spans="2:13" x14ac:dyDescent="0.25">
      <c r="B2271" s="37"/>
      <c r="C2271" s="25" t="s">
        <v>25859</v>
      </c>
      <c r="D2271" s="25" t="s">
        <v>26184</v>
      </c>
      <c r="E2271" s="25"/>
      <c r="F2271" s="9" t="str">
        <f t="shared" si="28"/>
        <v>regional part of cerebellar cortex</v>
      </c>
      <c r="G2271" s="9" t="s">
        <v>4245</v>
      </c>
      <c r="H2271" s="9" t="s">
        <v>17263</v>
      </c>
      <c r="I2271" s="9" t="s">
        <v>4384</v>
      </c>
      <c r="J2271" s="9" t="s">
        <v>4385</v>
      </c>
      <c r="K2271" s="5" t="s">
        <v>15173</v>
      </c>
      <c r="L2271" s="13">
        <v>16837</v>
      </c>
      <c r="M2271" t="str">
        <f>VLOOKUP(L2271,[1]DevMouse!$B$2:$C$2693,2,FALSE)</f>
        <v>8Cb</v>
      </c>
    </row>
    <row r="2272" spans="2:13" x14ac:dyDescent="0.25">
      <c r="B2272" s="37"/>
      <c r="C2272" s="25" t="s">
        <v>25852</v>
      </c>
      <c r="D2272" s="25" t="s">
        <v>26184</v>
      </c>
      <c r="E2272" s="25"/>
      <c r="F2272" s="9" t="str">
        <f t="shared" si="28"/>
        <v>regional part of cerebellar cortex</v>
      </c>
      <c r="G2272" s="9" t="s">
        <v>4245</v>
      </c>
      <c r="H2272" s="9" t="s">
        <v>17264</v>
      </c>
      <c r="I2272" s="9" t="s">
        <v>4386</v>
      </c>
      <c r="J2272" s="9" t="s">
        <v>4387</v>
      </c>
      <c r="K2272" s="5" t="s">
        <v>15173</v>
      </c>
      <c r="L2272" s="13">
        <v>16838</v>
      </c>
      <c r="M2272" t="str">
        <f>VLOOKUP(L2272,[1]DevMouse!$B$2:$C$2693,2,FALSE)</f>
        <v>9Cb</v>
      </c>
    </row>
    <row r="2273" spans="2:13" x14ac:dyDescent="0.25">
      <c r="B2273" s="37"/>
      <c r="C2273" s="25" t="s">
        <v>25860</v>
      </c>
      <c r="D2273" s="25" t="s">
        <v>26184</v>
      </c>
      <c r="E2273" s="25"/>
      <c r="F2273" s="9" t="str">
        <f t="shared" si="28"/>
        <v>regional part of cerebellar cortex</v>
      </c>
      <c r="G2273" s="9" t="s">
        <v>4245</v>
      </c>
      <c r="H2273" s="9" t="s">
        <v>17265</v>
      </c>
      <c r="I2273" s="9" t="s">
        <v>4388</v>
      </c>
      <c r="J2273" s="9" t="s">
        <v>4389</v>
      </c>
      <c r="K2273" s="5" t="s">
        <v>15173</v>
      </c>
      <c r="L2273" s="13">
        <v>16839</v>
      </c>
      <c r="M2273" t="str">
        <f>VLOOKUP(L2273,[1]DevMouse!$B$2:$C$2693,2,FALSE)</f>
        <v>10Cb</v>
      </c>
    </row>
    <row r="2274" spans="2:13" x14ac:dyDescent="0.25">
      <c r="B2274" s="37"/>
      <c r="C2274" s="20"/>
      <c r="D2274" s="25" t="s">
        <v>26184</v>
      </c>
      <c r="E2274" s="25"/>
      <c r="F2274" s="9" t="str">
        <f t="shared" si="28"/>
        <v>regional part of cerebellar cortex</v>
      </c>
      <c r="G2274" s="9" t="s">
        <v>4245</v>
      </c>
      <c r="H2274" s="9" t="s">
        <v>17266</v>
      </c>
      <c r="I2274" s="9" t="s">
        <v>4390</v>
      </c>
      <c r="J2274" s="9" t="s">
        <v>4391</v>
      </c>
      <c r="K2274" s="5" t="s">
        <v>15173</v>
      </c>
      <c r="L2274" s="13">
        <v>16840</v>
      </c>
      <c r="M2274" t="str">
        <f>VLOOKUP(L2274,[1]DevMouse!$B$2:$C$2693,2,FALSE)</f>
        <v>MolV</v>
      </c>
    </row>
    <row r="2275" spans="2:13" x14ac:dyDescent="0.25">
      <c r="B2275" s="37"/>
      <c r="C2275" s="25" t="s">
        <v>25763</v>
      </c>
      <c r="D2275" s="25" t="s">
        <v>26184</v>
      </c>
      <c r="E2275" s="25" t="s">
        <v>26306</v>
      </c>
      <c r="F2275" s="9" t="str">
        <f t="shared" si="28"/>
        <v>regional part of cerebellar cortex</v>
      </c>
      <c r="G2275" s="9" t="s">
        <v>4245</v>
      </c>
      <c r="H2275" s="9" t="s">
        <v>17267</v>
      </c>
      <c r="I2275" s="9" t="s">
        <v>4392</v>
      </c>
      <c r="J2275" s="9" t="s">
        <v>4393</v>
      </c>
      <c r="K2275" s="5" t="s">
        <v>15173</v>
      </c>
      <c r="L2275" s="13">
        <v>16841</v>
      </c>
      <c r="M2275" t="str">
        <f>VLOOKUP(L2275,[1]DevMouse!$B$2:$C$2693,2,FALSE)</f>
        <v>PkV</v>
      </c>
    </row>
    <row r="2276" spans="2:13" x14ac:dyDescent="0.25">
      <c r="B2276" s="37"/>
      <c r="C2276" s="20"/>
      <c r="D2276" s="25" t="s">
        <v>26184</v>
      </c>
      <c r="E2276" s="25"/>
      <c r="F2276" s="9" t="str">
        <f t="shared" si="28"/>
        <v>regional part of cerebellar cortex</v>
      </c>
      <c r="G2276" s="9" t="s">
        <v>4245</v>
      </c>
      <c r="H2276" s="9" t="s">
        <v>17268</v>
      </c>
      <c r="I2276" s="9" t="s">
        <v>4394</v>
      </c>
      <c r="J2276" s="9" t="s">
        <v>4395</v>
      </c>
      <c r="K2276" s="5" t="s">
        <v>15173</v>
      </c>
      <c r="L2276" s="13">
        <v>16842</v>
      </c>
      <c r="M2276" t="str">
        <f>VLOOKUP(L2276,[1]DevMouse!$B$2:$C$2693,2,FALSE)</f>
        <v>IGrV</v>
      </c>
    </row>
    <row r="2277" spans="2:13" x14ac:dyDescent="0.25">
      <c r="B2277" s="37"/>
      <c r="C2277" s="20"/>
      <c r="D2277" s="25" t="s">
        <v>26184</v>
      </c>
      <c r="E2277" s="25"/>
      <c r="F2277" s="9" t="str">
        <f t="shared" si="28"/>
        <v>regional part of cerebellar cortex</v>
      </c>
      <c r="G2277" s="9" t="s">
        <v>4245</v>
      </c>
      <c r="H2277" s="9" t="s">
        <v>17361</v>
      </c>
      <c r="I2277" s="9" t="s">
        <v>4396</v>
      </c>
      <c r="J2277" s="9" t="s">
        <v>4397</v>
      </c>
      <c r="K2277" s="5" t="s">
        <v>15173</v>
      </c>
      <c r="L2277" s="13">
        <v>16921</v>
      </c>
      <c r="M2277" t="str">
        <f>VLOOKUP(L2277,[1]DevMouse!$B$2:$C$2693,2,FALSE)</f>
        <v>CbH-EGL</v>
      </c>
    </row>
    <row r="2278" spans="2:13" x14ac:dyDescent="0.25">
      <c r="B2278" s="37"/>
      <c r="C2278" s="20"/>
      <c r="D2278" s="25" t="s">
        <v>26184</v>
      </c>
      <c r="E2278" s="25"/>
      <c r="F2278" s="9" t="str">
        <f t="shared" si="28"/>
        <v>regional part of cerebellar cortex</v>
      </c>
      <c r="G2278" s="9" t="s">
        <v>4245</v>
      </c>
      <c r="H2278" s="9" t="s">
        <v>17362</v>
      </c>
      <c r="I2278" s="9" t="s">
        <v>4398</v>
      </c>
      <c r="J2278" s="9" t="s">
        <v>4399</v>
      </c>
      <c r="K2278" s="5" t="s">
        <v>15173</v>
      </c>
      <c r="L2278" s="13">
        <v>16922</v>
      </c>
      <c r="M2278" t="str">
        <f>VLOOKUP(L2278,[1]DevMouse!$B$2:$C$2693,2,FALSE)</f>
        <v>CbHv</v>
      </c>
    </row>
    <row r="2279" spans="2:13" x14ac:dyDescent="0.25">
      <c r="B2279" s="37" t="s">
        <v>26299</v>
      </c>
      <c r="C2279" s="25" t="s">
        <v>4756</v>
      </c>
      <c r="D2279" s="25" t="s">
        <v>26184</v>
      </c>
      <c r="E2279" s="25"/>
      <c r="F2279" s="9" t="str">
        <f t="shared" si="28"/>
        <v>regional part of cerebellar cortex</v>
      </c>
      <c r="G2279" s="9" t="s">
        <v>4245</v>
      </c>
      <c r="H2279" s="9" t="s">
        <v>17363</v>
      </c>
      <c r="I2279" s="9" t="s">
        <v>4400</v>
      </c>
      <c r="J2279" s="9" t="s">
        <v>4401</v>
      </c>
      <c r="K2279" s="5" t="s">
        <v>15173</v>
      </c>
      <c r="L2279" s="13">
        <v>16923</v>
      </c>
      <c r="M2279" t="str">
        <f>VLOOKUP(L2279,[1]DevMouse!$B$2:$C$2693,2,FALSE)</f>
        <v>CbHLip</v>
      </c>
    </row>
    <row r="2280" spans="2:13" x14ac:dyDescent="0.25">
      <c r="B2280" s="37"/>
      <c r="C2280" s="20"/>
      <c r="D2280" s="25" t="s">
        <v>26184</v>
      </c>
      <c r="E2280" s="20" t="s">
        <v>26300</v>
      </c>
      <c r="F2280" s="9" t="str">
        <f t="shared" si="28"/>
        <v>regional part of cerebellar cortex</v>
      </c>
      <c r="G2280" s="9" t="s">
        <v>4245</v>
      </c>
      <c r="H2280" s="9" t="s">
        <v>17364</v>
      </c>
      <c r="I2280" s="9" t="s">
        <v>4402</v>
      </c>
      <c r="J2280" s="9" t="s">
        <v>4403</v>
      </c>
      <c r="K2280" s="5" t="s">
        <v>15173</v>
      </c>
      <c r="L2280" s="13">
        <v>16924</v>
      </c>
      <c r="M2280" t="str">
        <f>VLOOKUP(L2280,[1]DevMouse!$B$2:$C$2693,2,FALSE)</f>
        <v>CbHm</v>
      </c>
    </row>
    <row r="2281" spans="2:13" x14ac:dyDescent="0.25">
      <c r="B2281" s="37" t="s">
        <v>26303</v>
      </c>
      <c r="C2281" s="20"/>
      <c r="D2281" s="25" t="s">
        <v>26184</v>
      </c>
      <c r="E2281" s="25" t="s">
        <v>26300</v>
      </c>
      <c r="F2281" s="9" t="str">
        <f t="shared" si="28"/>
        <v>regional part of cerebellar cortex</v>
      </c>
      <c r="G2281" s="9" t="s">
        <v>4245</v>
      </c>
      <c r="H2281" s="9" t="s">
        <v>17365</v>
      </c>
      <c r="I2281" s="9" t="s">
        <v>4404</v>
      </c>
      <c r="J2281" s="9" t="s">
        <v>4405</v>
      </c>
      <c r="K2281" s="5" t="s">
        <v>15173</v>
      </c>
      <c r="L2281" s="13">
        <v>16925</v>
      </c>
      <c r="M2281" t="str">
        <f>VLOOKUP(L2281,[1]DevMouse!$B$2:$C$2693,2,FALSE)</f>
        <v>CbHp</v>
      </c>
    </row>
    <row r="2282" spans="2:13" x14ac:dyDescent="0.25">
      <c r="B2282" s="37"/>
      <c r="C2282" s="25" t="s">
        <v>26290</v>
      </c>
      <c r="D2282" s="25" t="s">
        <v>26184</v>
      </c>
      <c r="E2282" s="25"/>
      <c r="F2282" s="9" t="str">
        <f t="shared" si="28"/>
        <v>regional part of cerebellar cortex</v>
      </c>
      <c r="G2282" s="9" t="s">
        <v>4245</v>
      </c>
      <c r="H2282" s="9" t="s">
        <v>17366</v>
      </c>
      <c r="I2282" s="9" t="s">
        <v>846</v>
      </c>
      <c r="J2282" s="9" t="s">
        <v>847</v>
      </c>
      <c r="K2282" s="5" t="s">
        <v>15173</v>
      </c>
      <c r="L2282" s="13">
        <v>16926</v>
      </c>
      <c r="M2282" t="str">
        <f>VLOOKUP(L2282,[1]DevMouse!$B$2:$C$2693,2,FALSE)</f>
        <v>CbHWM</v>
      </c>
    </row>
    <row r="2283" spans="2:13" x14ac:dyDescent="0.25">
      <c r="B2283" s="37"/>
      <c r="C2283" s="20"/>
      <c r="D2283" s="25" t="s">
        <v>26184</v>
      </c>
      <c r="E2283" s="25"/>
      <c r="F2283" s="9" t="str">
        <f t="shared" si="28"/>
        <v>regional part of cerebellar cortex</v>
      </c>
      <c r="G2283" s="9" t="s">
        <v>4245</v>
      </c>
      <c r="H2283" s="9" t="s">
        <v>17367</v>
      </c>
      <c r="I2283" s="9" t="s">
        <v>4406</v>
      </c>
      <c r="J2283" s="9" t="s">
        <v>4407</v>
      </c>
      <c r="K2283" s="5" t="s">
        <v>15173</v>
      </c>
      <c r="L2283" s="13">
        <v>16927</v>
      </c>
      <c r="M2283" t="str">
        <f>VLOOKUP(L2283,[1]DevMouse!$B$2:$C$2693,2,FALSE)</f>
        <v>CbHi</v>
      </c>
    </row>
    <row r="2284" spans="2:13" x14ac:dyDescent="0.25">
      <c r="B2284" s="37"/>
      <c r="C2284" s="25" t="s">
        <v>25835</v>
      </c>
      <c r="D2284" s="25" t="s">
        <v>26184</v>
      </c>
      <c r="E2284" s="25"/>
      <c r="F2284" s="9" t="str">
        <f t="shared" si="28"/>
        <v>regional part of cerebellar cortex</v>
      </c>
      <c r="G2284" s="9" t="s">
        <v>4245</v>
      </c>
      <c r="H2284" s="9" t="s">
        <v>17368</v>
      </c>
      <c r="I2284" s="9" t="s">
        <v>4408</v>
      </c>
      <c r="J2284" s="9" t="s">
        <v>4409</v>
      </c>
      <c r="K2284" s="5" t="s">
        <v>15173</v>
      </c>
      <c r="L2284" s="13">
        <v>16928</v>
      </c>
      <c r="M2284" t="str">
        <f>VLOOKUP(L2284,[1]DevMouse!$B$2:$C$2693,2,FALSE)</f>
        <v>CbHN</v>
      </c>
    </row>
    <row r="2285" spans="2:13" x14ac:dyDescent="0.25">
      <c r="B2285" s="37" t="s">
        <v>26303</v>
      </c>
      <c r="C2285" s="25" t="s">
        <v>25843</v>
      </c>
      <c r="D2285" s="25" t="s">
        <v>26184</v>
      </c>
      <c r="E2285" s="25"/>
      <c r="F2285" s="9" t="str">
        <f t="shared" si="28"/>
        <v>regional part of cerebellar cortex</v>
      </c>
      <c r="G2285" s="9" t="s">
        <v>4245</v>
      </c>
      <c r="H2285" s="9" t="s">
        <v>17369</v>
      </c>
      <c r="I2285" s="9" t="s">
        <v>718</v>
      </c>
      <c r="J2285" s="9" t="s">
        <v>719</v>
      </c>
      <c r="K2285" s="5" t="s">
        <v>15173</v>
      </c>
      <c r="L2285" s="13">
        <v>16929</v>
      </c>
      <c r="M2285" t="str">
        <f>VLOOKUP(L2285,[1]DevMouse!$B$2:$C$2693,2,FALSE)</f>
        <v>Int</v>
      </c>
    </row>
    <row r="2286" spans="2:13" x14ac:dyDescent="0.25">
      <c r="B2286" s="37"/>
      <c r="C2286" s="20"/>
      <c r="D2286" s="25" t="s">
        <v>26184</v>
      </c>
      <c r="E2286" s="25"/>
      <c r="F2286" s="9" t="str">
        <f t="shared" si="28"/>
        <v>regional part of cerebellar cortex</v>
      </c>
      <c r="G2286" s="9" t="s">
        <v>4245</v>
      </c>
      <c r="H2286" s="9" t="s">
        <v>17371</v>
      </c>
      <c r="I2286" s="9" t="s">
        <v>4410</v>
      </c>
      <c r="J2286" s="9" t="s">
        <v>4411</v>
      </c>
      <c r="K2286" s="5" t="s">
        <v>15173</v>
      </c>
      <c r="L2286" s="13">
        <v>16931</v>
      </c>
      <c r="M2286" t="str">
        <f>VLOOKUP(L2286,[1]DevMouse!$B$2:$C$2693,2,FALSE)</f>
        <v>IntDL</v>
      </c>
    </row>
    <row r="2287" spans="2:13" x14ac:dyDescent="0.25">
      <c r="B2287" s="37"/>
      <c r="C2287" s="20"/>
      <c r="D2287" s="25" t="s">
        <v>26184</v>
      </c>
      <c r="E2287" s="25"/>
      <c r="F2287" s="9" t="str">
        <f t="shared" si="28"/>
        <v>regional part of cerebellar cortex</v>
      </c>
      <c r="G2287" s="9" t="s">
        <v>4245</v>
      </c>
      <c r="H2287" s="9" t="s">
        <v>17373</v>
      </c>
      <c r="I2287" s="9" t="s">
        <v>4412</v>
      </c>
      <c r="J2287" s="9" t="s">
        <v>4413</v>
      </c>
      <c r="K2287" s="5" t="s">
        <v>15173</v>
      </c>
      <c r="L2287" s="13">
        <v>16933</v>
      </c>
      <c r="M2287" t="str">
        <f>VLOOKUP(L2287,[1]DevMouse!$B$2:$C$2693,2,FALSE)</f>
        <v>Lat</v>
      </c>
    </row>
    <row r="2288" spans="2:13" x14ac:dyDescent="0.25">
      <c r="B2288" s="37"/>
      <c r="C2288" s="20"/>
      <c r="D2288" s="25" t="s">
        <v>26184</v>
      </c>
      <c r="E2288" s="25"/>
      <c r="F2288" s="9" t="str">
        <f t="shared" si="28"/>
        <v>regional part of cerebellar cortex</v>
      </c>
      <c r="G2288" s="9" t="s">
        <v>4245</v>
      </c>
      <c r="H2288" s="9" t="s">
        <v>17374</v>
      </c>
      <c r="I2288" s="9" t="s">
        <v>4414</v>
      </c>
      <c r="J2288" s="9" t="s">
        <v>4415</v>
      </c>
      <c r="K2288" s="5" t="s">
        <v>15173</v>
      </c>
      <c r="L2288" s="13">
        <v>16934</v>
      </c>
      <c r="M2288" t="str">
        <f>VLOOKUP(L2288,[1]DevMouse!$B$2:$C$2693,2,FALSE)</f>
        <v>LatDL</v>
      </c>
    </row>
    <row r="2289" spans="2:13" x14ac:dyDescent="0.25">
      <c r="B2289" s="37"/>
      <c r="C2289" s="20"/>
      <c r="D2289" s="25" t="s">
        <v>26184</v>
      </c>
      <c r="E2289" s="25"/>
      <c r="F2289" s="9" t="str">
        <f t="shared" si="28"/>
        <v>regional part of cerebellar cortex</v>
      </c>
      <c r="G2289" s="9" t="s">
        <v>4245</v>
      </c>
      <c r="H2289" s="9" t="s">
        <v>17375</v>
      </c>
      <c r="I2289" s="9" t="s">
        <v>4416</v>
      </c>
      <c r="J2289" s="9" t="s">
        <v>4417</v>
      </c>
      <c r="K2289" s="5" t="s">
        <v>15173</v>
      </c>
      <c r="L2289" s="13">
        <v>16935</v>
      </c>
      <c r="M2289" t="str">
        <f>VLOOKUP(L2289,[1]DevMouse!$B$2:$C$2693,2,FALSE)</f>
        <v>LatPC</v>
      </c>
    </row>
    <row r="2290" spans="2:13" x14ac:dyDescent="0.25">
      <c r="B2290" s="37"/>
      <c r="C2290" s="20"/>
      <c r="D2290" s="25" t="s">
        <v>26184</v>
      </c>
      <c r="E2290" s="25"/>
      <c r="F2290" s="9" t="str">
        <f t="shared" si="28"/>
        <v>regional part of cerebellar cortex</v>
      </c>
      <c r="G2290" s="9" t="s">
        <v>4245</v>
      </c>
      <c r="H2290" s="9" t="s">
        <v>17376</v>
      </c>
      <c r="I2290" s="9" t="s">
        <v>4418</v>
      </c>
      <c r="J2290" s="9" t="s">
        <v>4419</v>
      </c>
      <c r="K2290" s="5" t="s">
        <v>15173</v>
      </c>
      <c r="L2290" s="13">
        <v>16936</v>
      </c>
      <c r="M2290" t="str">
        <f>VLOOKUP(L2290,[1]DevMouse!$B$2:$C$2693,2,FALSE)</f>
        <v>r1VeCb</v>
      </c>
    </row>
    <row r="2291" spans="2:13" x14ac:dyDescent="0.25">
      <c r="B2291" s="37" t="s">
        <v>26303</v>
      </c>
      <c r="C2291" s="20"/>
      <c r="D2291" s="25" t="s">
        <v>26184</v>
      </c>
      <c r="E2291" s="25" t="s">
        <v>26300</v>
      </c>
      <c r="F2291" s="9" t="str">
        <f t="shared" si="28"/>
        <v>regional part of cerebellar cortex</v>
      </c>
      <c r="G2291" s="9" t="s">
        <v>4245</v>
      </c>
      <c r="H2291" s="9" t="s">
        <v>17377</v>
      </c>
      <c r="I2291" s="9" t="s">
        <v>4420</v>
      </c>
      <c r="J2291" s="9" t="s">
        <v>4421</v>
      </c>
      <c r="K2291" s="5" t="s">
        <v>15173</v>
      </c>
      <c r="L2291" s="13">
        <v>16937</v>
      </c>
      <c r="M2291" t="str">
        <f>VLOOKUP(L2291,[1]DevMouse!$B$2:$C$2693,2,FALSE)</f>
        <v>A4</v>
      </c>
    </row>
    <row r="2292" spans="2:13" x14ac:dyDescent="0.25">
      <c r="B2292" s="37" t="s">
        <v>26299</v>
      </c>
      <c r="C2292" s="25" t="s">
        <v>1017</v>
      </c>
      <c r="D2292" s="25" t="s">
        <v>26184</v>
      </c>
      <c r="E2292" s="25"/>
      <c r="F2292" s="9" t="str">
        <f t="shared" si="28"/>
        <v>regional part of cerebellar cortex</v>
      </c>
      <c r="G2292" s="9" t="s">
        <v>4245</v>
      </c>
      <c r="H2292" s="9" t="s">
        <v>17378</v>
      </c>
      <c r="I2292" s="9" t="s">
        <v>4422</v>
      </c>
      <c r="J2292" s="9" t="s">
        <v>4423</v>
      </c>
      <c r="K2292" s="5" t="s">
        <v>15173</v>
      </c>
      <c r="L2292" s="13">
        <v>16938</v>
      </c>
      <c r="M2292" t="str">
        <f>VLOOKUP(L2292,[1]DevMouse!$B$2:$C$2693,2,FALSE)</f>
        <v>CbHs</v>
      </c>
    </row>
    <row r="2293" spans="2:13" x14ac:dyDescent="0.25">
      <c r="B2293" s="37" t="s">
        <v>26299</v>
      </c>
      <c r="C2293" s="25" t="s">
        <v>1017</v>
      </c>
      <c r="D2293" s="25" t="s">
        <v>26184</v>
      </c>
      <c r="E2293" s="25"/>
      <c r="F2293" s="9" t="str">
        <f t="shared" si="28"/>
        <v>regional part of cerebellar cortex</v>
      </c>
      <c r="G2293" s="9" t="s">
        <v>4245</v>
      </c>
      <c r="H2293" s="9" t="s">
        <v>17379</v>
      </c>
      <c r="I2293" s="9" t="s">
        <v>1019</v>
      </c>
      <c r="J2293" s="9" t="s">
        <v>1020</v>
      </c>
      <c r="K2293" s="5" t="s">
        <v>15173</v>
      </c>
      <c r="L2293" s="13">
        <v>16939</v>
      </c>
      <c r="M2293" t="str">
        <f>VLOOKUP(L2293,[1]DevMouse!$B$2:$C$2693,2,FALSE)</f>
        <v>CbHCx</v>
      </c>
    </row>
    <row r="2294" spans="2:13" x14ac:dyDescent="0.25">
      <c r="B2294" s="37" t="s">
        <v>26303</v>
      </c>
      <c r="C2294" s="25" t="s">
        <v>25777</v>
      </c>
      <c r="D2294" s="25" t="s">
        <v>26184</v>
      </c>
      <c r="E2294" s="25"/>
      <c r="F2294" s="9" t="str">
        <f t="shared" si="28"/>
        <v>regional part of cerebellar cortex</v>
      </c>
      <c r="G2294" s="9" t="s">
        <v>4245</v>
      </c>
      <c r="H2294" s="9" t="s">
        <v>17381</v>
      </c>
      <c r="I2294" s="9" t="s">
        <v>4424</v>
      </c>
      <c r="J2294" s="9" t="s">
        <v>4425</v>
      </c>
      <c r="K2294" s="5" t="s">
        <v>15173</v>
      </c>
      <c r="L2294" s="13">
        <v>16941</v>
      </c>
      <c r="M2294" t="str">
        <f>VLOOKUP(L2294,[1]DevMouse!$B$2:$C$2693,2,FALSE)</f>
        <v>Crus1</v>
      </c>
    </row>
    <row r="2295" spans="2:13" x14ac:dyDescent="0.25">
      <c r="B2295" s="37" t="s">
        <v>26303</v>
      </c>
      <c r="C2295" s="25" t="s">
        <v>25778</v>
      </c>
      <c r="D2295" s="25" t="s">
        <v>26184</v>
      </c>
      <c r="E2295" s="25"/>
      <c r="F2295" s="9" t="str">
        <f t="shared" si="28"/>
        <v>regional part of cerebellar cortex</v>
      </c>
      <c r="G2295" s="9" t="s">
        <v>4245</v>
      </c>
      <c r="H2295" s="9" t="s">
        <v>17382</v>
      </c>
      <c r="I2295" s="9" t="s">
        <v>4426</v>
      </c>
      <c r="J2295" s="9" t="s">
        <v>4427</v>
      </c>
      <c r="K2295" s="5" t="s">
        <v>15173</v>
      </c>
      <c r="L2295" s="13">
        <v>16942</v>
      </c>
      <c r="M2295" t="str">
        <f>VLOOKUP(L2295,[1]DevMouse!$B$2:$C$2693,2,FALSE)</f>
        <v>Crus2</v>
      </c>
    </row>
    <row r="2296" spans="2:13" x14ac:dyDescent="0.25">
      <c r="B2296" s="37"/>
      <c r="C2296" s="20"/>
      <c r="D2296" s="25" t="s">
        <v>26184</v>
      </c>
      <c r="E2296" s="25"/>
      <c r="F2296" s="9" t="str">
        <f t="shared" ref="F2296:F2326" si="29">HYPERLINK("https://www.ebi.ac.uk/ols/ontologies/uberon/terms?iri=http://purl.obolibrary.org/obo/UBERON_0002749","regional part of cerebellar cortex")</f>
        <v>regional part of cerebellar cortex</v>
      </c>
      <c r="G2296" s="9" t="s">
        <v>4245</v>
      </c>
      <c r="H2296" s="9" t="s">
        <v>17384</v>
      </c>
      <c r="I2296" s="9" t="s">
        <v>4428</v>
      </c>
      <c r="J2296" s="9" t="s">
        <v>4429</v>
      </c>
      <c r="K2296" s="5" t="s">
        <v>15173</v>
      </c>
      <c r="L2296" s="13">
        <v>16944</v>
      </c>
      <c r="M2296" t="str">
        <f>VLOOKUP(L2296,[1]DevMouse!$B$2:$C$2693,2,FALSE)</f>
        <v>Cop</v>
      </c>
    </row>
    <row r="2297" spans="2:13" x14ac:dyDescent="0.25">
      <c r="B2297" s="37"/>
      <c r="C2297" s="20"/>
      <c r="D2297" s="25" t="s">
        <v>26184</v>
      </c>
      <c r="E2297" s="25"/>
      <c r="F2297" s="9" t="str">
        <f t="shared" si="29"/>
        <v>regional part of cerebellar cortex</v>
      </c>
      <c r="G2297" s="9" t="s">
        <v>4245</v>
      </c>
      <c r="H2297" s="9" t="s">
        <v>17387</v>
      </c>
      <c r="I2297" s="9" t="s">
        <v>4430</v>
      </c>
      <c r="J2297" s="9" t="s">
        <v>4431</v>
      </c>
      <c r="K2297" s="5" t="s">
        <v>15173</v>
      </c>
      <c r="L2297" s="13">
        <v>16947</v>
      </c>
      <c r="M2297" t="str">
        <f>VLOOKUP(L2297,[1]DevMouse!$B$2:$C$2693,2,FALSE)</f>
        <v>MolH</v>
      </c>
    </row>
    <row r="2298" spans="2:13" x14ac:dyDescent="0.25">
      <c r="B2298" s="37"/>
      <c r="C2298" s="25" t="s">
        <v>25763</v>
      </c>
      <c r="D2298" s="25" t="s">
        <v>26184</v>
      </c>
      <c r="E2298" s="25" t="s">
        <v>26306</v>
      </c>
      <c r="F2298" s="9" t="str">
        <f t="shared" si="29"/>
        <v>regional part of cerebellar cortex</v>
      </c>
      <c r="G2298" s="9" t="s">
        <v>4245</v>
      </c>
      <c r="H2298" s="9" t="s">
        <v>17388</v>
      </c>
      <c r="I2298" s="9" t="s">
        <v>4432</v>
      </c>
      <c r="J2298" s="9" t="s">
        <v>4433</v>
      </c>
      <c r="K2298" s="5" t="s">
        <v>15173</v>
      </c>
      <c r="L2298" s="13">
        <v>16948</v>
      </c>
      <c r="M2298" t="str">
        <f>VLOOKUP(L2298,[1]DevMouse!$B$2:$C$2693,2,FALSE)</f>
        <v>PkH</v>
      </c>
    </row>
    <row r="2299" spans="2:13" x14ac:dyDescent="0.25">
      <c r="B2299" s="37"/>
      <c r="C2299" s="20"/>
      <c r="D2299" s="25" t="s">
        <v>26184</v>
      </c>
      <c r="E2299" s="25"/>
      <c r="F2299" s="9" t="str">
        <f t="shared" si="29"/>
        <v>regional part of cerebellar cortex</v>
      </c>
      <c r="G2299" s="9" t="s">
        <v>4245</v>
      </c>
      <c r="H2299" s="9" t="s">
        <v>17389</v>
      </c>
      <c r="I2299" s="9" t="s">
        <v>4434</v>
      </c>
      <c r="J2299" s="9" t="s">
        <v>4435</v>
      </c>
      <c r="K2299" s="5" t="s">
        <v>15173</v>
      </c>
      <c r="L2299" s="13">
        <v>16949</v>
      </c>
      <c r="M2299" t="str">
        <f>VLOOKUP(L2299,[1]DevMouse!$B$2:$C$2693,2,FALSE)</f>
        <v>IGrH</v>
      </c>
    </row>
    <row r="2300" spans="2:13" x14ac:dyDescent="0.25">
      <c r="B2300" s="37" t="s">
        <v>26299</v>
      </c>
      <c r="C2300" s="25" t="s">
        <v>26246</v>
      </c>
      <c r="D2300" s="25" t="s">
        <v>26184</v>
      </c>
      <c r="E2300" s="25"/>
      <c r="F2300" s="9" t="str">
        <f t="shared" si="29"/>
        <v>regional part of cerebellar cortex</v>
      </c>
      <c r="G2300" s="9" t="s">
        <v>4245</v>
      </c>
      <c r="H2300" s="9" t="s">
        <v>23650</v>
      </c>
      <c r="I2300" s="9" t="s">
        <v>4436</v>
      </c>
      <c r="J2300" s="9" t="s">
        <v>4437</v>
      </c>
      <c r="K2300" s="7" t="s">
        <v>15171</v>
      </c>
      <c r="L2300" s="13">
        <v>265505362</v>
      </c>
      <c r="M2300" t="str">
        <f>VLOOKUP(L2300,[1]HBA!$B$2:$C$4000,2,FALSE)</f>
        <v>sprs</v>
      </c>
    </row>
    <row r="2301" spans="2:13" x14ac:dyDescent="0.25">
      <c r="B2301" s="37" t="s">
        <v>26299</v>
      </c>
      <c r="C2301" s="25" t="s">
        <v>26246</v>
      </c>
      <c r="D2301" s="25" t="s">
        <v>26184</v>
      </c>
      <c r="E2301" s="25"/>
      <c r="F2301" s="9" t="str">
        <f t="shared" si="29"/>
        <v>regional part of cerebellar cortex</v>
      </c>
      <c r="G2301" s="9" t="s">
        <v>4245</v>
      </c>
      <c r="H2301" s="9" t="s">
        <v>23650</v>
      </c>
      <c r="I2301" s="9" t="s">
        <v>4438</v>
      </c>
      <c r="J2301" s="9" t="s">
        <v>4439</v>
      </c>
      <c r="K2301" s="7" t="s">
        <v>15171</v>
      </c>
      <c r="L2301" s="13">
        <v>265505366</v>
      </c>
      <c r="M2301" t="str">
        <f>VLOOKUP(L2301,[1]HBA!$B$2:$C$4000,2,FALSE)</f>
        <v>sprs</v>
      </c>
    </row>
    <row r="2302" spans="2:13" x14ac:dyDescent="0.25">
      <c r="B2302" s="37" t="s">
        <v>26299</v>
      </c>
      <c r="C2302" s="25" t="s">
        <v>26246</v>
      </c>
      <c r="D2302" s="25" t="s">
        <v>26184</v>
      </c>
      <c r="E2302" s="25"/>
      <c r="F2302" s="9" t="str">
        <f t="shared" si="29"/>
        <v>regional part of cerebellar cortex</v>
      </c>
      <c r="G2302" s="9" t="s">
        <v>4245</v>
      </c>
      <c r="H2302" s="9" t="s">
        <v>23650</v>
      </c>
      <c r="I2302" s="9" t="s">
        <v>4440</v>
      </c>
      <c r="J2302" s="9" t="s">
        <v>4441</v>
      </c>
      <c r="K2302" s="7" t="s">
        <v>15171</v>
      </c>
      <c r="L2302" s="13">
        <v>265505370</v>
      </c>
      <c r="M2302" t="str">
        <f>VLOOKUP(L2302,[1]HBA!$B$2:$C$4000,2,FALSE)</f>
        <v>sprs</v>
      </c>
    </row>
    <row r="2303" spans="2:13" x14ac:dyDescent="0.25">
      <c r="B2303" s="37"/>
      <c r="C2303" s="20"/>
      <c r="D2303" s="25" t="s">
        <v>26184</v>
      </c>
      <c r="E2303" s="25"/>
      <c r="F2303" s="9" t="str">
        <f t="shared" si="29"/>
        <v>regional part of cerebellar cortex</v>
      </c>
      <c r="G2303" s="9" t="s">
        <v>4245</v>
      </c>
      <c r="H2303" s="9" t="s">
        <v>25339</v>
      </c>
      <c r="I2303" s="9" t="s">
        <v>4442</v>
      </c>
      <c r="J2303" s="9" t="s">
        <v>4443</v>
      </c>
      <c r="K2303" s="7" t="s">
        <v>15171</v>
      </c>
      <c r="L2303" s="13">
        <v>4700</v>
      </c>
      <c r="M2303" t="str">
        <f>VLOOKUP(L2303,[1]HBA!$B$2:$C$4000,2,FALSE)</f>
        <v>Ve-I-II</v>
      </c>
    </row>
    <row r="2304" spans="2:13" x14ac:dyDescent="0.25">
      <c r="B2304" s="37"/>
      <c r="C2304" s="20"/>
      <c r="D2304" s="25" t="s">
        <v>26184</v>
      </c>
      <c r="E2304" s="25"/>
      <c r="F2304" s="9" t="str">
        <f t="shared" si="29"/>
        <v>regional part of cerebellar cortex</v>
      </c>
      <c r="G2304" s="9" t="s">
        <v>4245</v>
      </c>
      <c r="H2304" s="9" t="s">
        <v>25340</v>
      </c>
      <c r="I2304" s="9" t="s">
        <v>1089</v>
      </c>
      <c r="J2304" s="9" t="s">
        <v>4444</v>
      </c>
      <c r="K2304" s="7" t="s">
        <v>15171</v>
      </c>
      <c r="L2304" s="13">
        <v>4701</v>
      </c>
      <c r="M2304" t="str">
        <f>VLOOKUP(L2304,[1]HBA!$B$2:$C$4000,2,FALSE)</f>
        <v>Ve-III</v>
      </c>
    </row>
    <row r="2305" spans="2:13" x14ac:dyDescent="0.25">
      <c r="B2305" s="37"/>
      <c r="C2305" s="20"/>
      <c r="D2305" s="25" t="s">
        <v>26184</v>
      </c>
      <c r="E2305" s="25"/>
      <c r="F2305" s="9" t="str">
        <f t="shared" si="29"/>
        <v>regional part of cerebellar cortex</v>
      </c>
      <c r="G2305" s="9" t="s">
        <v>4245</v>
      </c>
      <c r="H2305" s="9" t="s">
        <v>25341</v>
      </c>
      <c r="I2305" s="9" t="s">
        <v>1091</v>
      </c>
      <c r="J2305" s="9" t="s">
        <v>4445</v>
      </c>
      <c r="K2305" s="7" t="s">
        <v>15171</v>
      </c>
      <c r="L2305" s="13">
        <v>4702</v>
      </c>
      <c r="M2305" t="str">
        <f>VLOOKUP(L2305,[1]HBA!$B$2:$C$4000,2,FALSE)</f>
        <v>Ve-IV</v>
      </c>
    </row>
    <row r="2306" spans="2:13" x14ac:dyDescent="0.25">
      <c r="B2306" s="37"/>
      <c r="C2306" s="20"/>
      <c r="D2306" s="25" t="s">
        <v>26184</v>
      </c>
      <c r="E2306" s="25"/>
      <c r="F2306" s="9" t="str">
        <f t="shared" si="29"/>
        <v>regional part of cerebellar cortex</v>
      </c>
      <c r="G2306" s="9" t="s">
        <v>4245</v>
      </c>
      <c r="H2306" s="9" t="s">
        <v>25342</v>
      </c>
      <c r="I2306" s="9" t="s">
        <v>1093</v>
      </c>
      <c r="J2306" s="9" t="s">
        <v>4446</v>
      </c>
      <c r="K2306" s="7" t="s">
        <v>15171</v>
      </c>
      <c r="L2306" s="13">
        <v>4703</v>
      </c>
      <c r="M2306" t="str">
        <f>VLOOKUP(L2306,[1]HBA!$B$2:$C$4000,2,FALSE)</f>
        <v>Ve-V</v>
      </c>
    </row>
    <row r="2307" spans="2:13" x14ac:dyDescent="0.25">
      <c r="B2307" s="37"/>
      <c r="C2307" s="20"/>
      <c r="D2307" s="25" t="s">
        <v>26184</v>
      </c>
      <c r="E2307" s="25"/>
      <c r="F2307" s="9" t="str">
        <f t="shared" si="29"/>
        <v>regional part of cerebellar cortex</v>
      </c>
      <c r="G2307" s="9" t="s">
        <v>4245</v>
      </c>
      <c r="H2307" s="9" t="s">
        <v>25344</v>
      </c>
      <c r="I2307" s="9" t="s">
        <v>1095</v>
      </c>
      <c r="J2307" s="9" t="s">
        <v>4447</v>
      </c>
      <c r="K2307" s="7" t="s">
        <v>15171</v>
      </c>
      <c r="L2307" s="13">
        <v>4705</v>
      </c>
      <c r="M2307" t="str">
        <f>VLOOKUP(L2307,[1]HBA!$B$2:$C$4000,2,FALSE)</f>
        <v>Ve-VI</v>
      </c>
    </row>
    <row r="2308" spans="2:13" x14ac:dyDescent="0.25">
      <c r="B2308" s="37"/>
      <c r="C2308" s="20"/>
      <c r="D2308" s="25" t="s">
        <v>26184</v>
      </c>
      <c r="E2308" s="25"/>
      <c r="F2308" s="9" t="str">
        <f t="shared" si="29"/>
        <v>regional part of cerebellar cortex</v>
      </c>
      <c r="G2308" s="9" t="s">
        <v>4245</v>
      </c>
      <c r="H2308" s="9" t="s">
        <v>25348</v>
      </c>
      <c r="I2308" s="9" t="s">
        <v>4448</v>
      </c>
      <c r="J2308" s="9" t="s">
        <v>4449</v>
      </c>
      <c r="K2308" s="7" t="s">
        <v>15171</v>
      </c>
      <c r="L2308" s="13">
        <v>4709</v>
      </c>
      <c r="M2308" t="str">
        <f>VLOOKUP(L2308,[1]HBA!$B$2:$C$4000,2,FALSE)</f>
        <v>Ve-VIIIA</v>
      </c>
    </row>
    <row r="2309" spans="2:13" x14ac:dyDescent="0.25">
      <c r="B2309" s="37"/>
      <c r="C2309" s="20"/>
      <c r="D2309" s="25" t="s">
        <v>26184</v>
      </c>
      <c r="E2309" s="25"/>
      <c r="F2309" s="9" t="str">
        <f t="shared" si="29"/>
        <v>regional part of cerebellar cortex</v>
      </c>
      <c r="G2309" s="9" t="s">
        <v>4245</v>
      </c>
      <c r="H2309" s="9" t="s">
        <v>25349</v>
      </c>
      <c r="I2309" s="9" t="s">
        <v>1099</v>
      </c>
      <c r="J2309" s="9" t="s">
        <v>4450</v>
      </c>
      <c r="K2309" s="7" t="s">
        <v>15171</v>
      </c>
      <c r="L2309" s="13">
        <v>4710</v>
      </c>
      <c r="M2309" t="str">
        <f>VLOOKUP(L2309,[1]HBA!$B$2:$C$4000,2,FALSE)</f>
        <v>Ve-VIIIB</v>
      </c>
    </row>
    <row r="2310" spans="2:13" x14ac:dyDescent="0.25">
      <c r="B2310" s="37"/>
      <c r="C2310" s="20"/>
      <c r="D2310" s="25" t="s">
        <v>26184</v>
      </c>
      <c r="E2310" s="25"/>
      <c r="F2310" s="9" t="str">
        <f t="shared" si="29"/>
        <v>regional part of cerebellar cortex</v>
      </c>
      <c r="G2310" s="9" t="s">
        <v>4245</v>
      </c>
      <c r="H2310" s="9" t="s">
        <v>25350</v>
      </c>
      <c r="I2310" s="9" t="s">
        <v>1101</v>
      </c>
      <c r="J2310" s="9" t="s">
        <v>4451</v>
      </c>
      <c r="K2310" s="7" t="s">
        <v>15171</v>
      </c>
      <c r="L2310" s="13">
        <v>4711</v>
      </c>
      <c r="M2310" t="str">
        <f>VLOOKUP(L2310,[1]HBA!$B$2:$C$4000,2,FALSE)</f>
        <v>Ve-IX</v>
      </c>
    </row>
    <row r="2311" spans="2:13" x14ac:dyDescent="0.25">
      <c r="B2311" s="37"/>
      <c r="C2311" s="25" t="s">
        <v>1842</v>
      </c>
      <c r="D2311" s="25" t="s">
        <v>26184</v>
      </c>
      <c r="E2311" s="25"/>
      <c r="F2311" s="9" t="str">
        <f t="shared" si="29"/>
        <v>regional part of cerebellar cortex</v>
      </c>
      <c r="G2311" s="9" t="s">
        <v>4245</v>
      </c>
      <c r="H2311" s="9" t="s">
        <v>25351</v>
      </c>
      <c r="I2311" s="9" t="s">
        <v>4452</v>
      </c>
      <c r="J2311" s="9" t="s">
        <v>4453</v>
      </c>
      <c r="K2311" s="7" t="s">
        <v>15171</v>
      </c>
      <c r="L2311" s="13">
        <v>4712</v>
      </c>
      <c r="M2311" t="str">
        <f>VLOOKUP(L2311,[1]HBA!$B$2:$C$4000,2,FALSE)</f>
        <v>FNL</v>
      </c>
    </row>
    <row r="2312" spans="2:13" x14ac:dyDescent="0.25">
      <c r="B2312" s="37" t="s">
        <v>26303</v>
      </c>
      <c r="C2312" s="25" t="s">
        <v>26153</v>
      </c>
      <c r="D2312" s="25" t="s">
        <v>26184</v>
      </c>
      <c r="E2312" s="25"/>
      <c r="F2312" s="9" t="str">
        <f t="shared" si="29"/>
        <v>regional part of cerebellar cortex</v>
      </c>
      <c r="G2312" s="9" t="s">
        <v>4245</v>
      </c>
      <c r="H2312" s="9" t="s">
        <v>25556</v>
      </c>
      <c r="I2312" s="9" t="s">
        <v>4057</v>
      </c>
      <c r="J2312" s="9" t="s">
        <v>4058</v>
      </c>
      <c r="K2312" s="7" t="s">
        <v>15171</v>
      </c>
      <c r="L2312" s="13">
        <v>9407</v>
      </c>
      <c r="M2312" t="str">
        <f>VLOOKUP(L2312,[1]HBA!$B$2:$C$4000,2,FALSE)</f>
        <v>prf</v>
      </c>
    </row>
    <row r="2313" spans="2:13" x14ac:dyDescent="0.25">
      <c r="B2313" s="37" t="s">
        <v>26303</v>
      </c>
      <c r="C2313" s="25" t="s">
        <v>25979</v>
      </c>
      <c r="D2313" s="25" t="s">
        <v>26184</v>
      </c>
      <c r="E2313" s="25"/>
      <c r="F2313" s="9" t="str">
        <f t="shared" si="29"/>
        <v>regional part of cerebellar cortex</v>
      </c>
      <c r="G2313" s="9" t="s">
        <v>4245</v>
      </c>
      <c r="H2313" s="9" t="s">
        <v>20984</v>
      </c>
      <c r="I2313" s="9" t="s">
        <v>2524</v>
      </c>
      <c r="J2313" s="9" t="s">
        <v>2526</v>
      </c>
      <c r="K2313" s="7" t="s">
        <v>15171</v>
      </c>
      <c r="L2313" s="13">
        <v>9409</v>
      </c>
      <c r="M2313" t="str">
        <f>VLOOKUP(L2313,[1]HBA!$B$2:$C$4000,2,FALSE)</f>
        <v>icf</v>
      </c>
    </row>
    <row r="2314" spans="2:13" x14ac:dyDescent="0.25">
      <c r="B2314" s="37" t="s">
        <v>25743</v>
      </c>
      <c r="C2314" s="35" t="s">
        <v>1307</v>
      </c>
      <c r="D2314" s="35" t="s">
        <v>26184</v>
      </c>
      <c r="E2314" s="35" t="s">
        <v>26306</v>
      </c>
      <c r="F2314" s="9" t="str">
        <f t="shared" si="29"/>
        <v>regional part of cerebellar cortex</v>
      </c>
      <c r="G2314" s="9" t="s">
        <v>4245</v>
      </c>
      <c r="H2314" s="9" t="s">
        <v>20694</v>
      </c>
      <c r="I2314" s="9" t="s">
        <v>4454</v>
      </c>
      <c r="J2314" s="9" t="s">
        <v>4455</v>
      </c>
      <c r="K2314" s="3" t="s">
        <v>15176</v>
      </c>
      <c r="L2314" s="13">
        <v>10684</v>
      </c>
      <c r="M2314" t="str">
        <f>VLOOKUP(L2314,[1]Mouse_ARA!$B$2:$C$1328,2,FALSE)</f>
        <v>COPYgr</v>
      </c>
    </row>
    <row r="2315" spans="2:13" x14ac:dyDescent="0.25">
      <c r="B2315" s="37" t="s">
        <v>25743</v>
      </c>
      <c r="C2315" s="35" t="s">
        <v>1307</v>
      </c>
      <c r="D2315" s="35" t="s">
        <v>26184</v>
      </c>
      <c r="E2315" s="35"/>
      <c r="F2315" s="9" t="str">
        <f t="shared" si="29"/>
        <v>regional part of cerebellar cortex</v>
      </c>
      <c r="G2315" s="9" t="s">
        <v>4245</v>
      </c>
      <c r="H2315" s="9" t="s">
        <v>20692</v>
      </c>
      <c r="I2315" s="9" t="s">
        <v>4456</v>
      </c>
      <c r="J2315" s="9" t="s">
        <v>4457</v>
      </c>
      <c r="K2315" s="3" t="s">
        <v>15176</v>
      </c>
      <c r="L2315" s="13">
        <v>10685</v>
      </c>
      <c r="M2315" t="str">
        <f>VLOOKUP(L2315,[1]Mouse_ARA!$B$2:$C$1328,2,FALSE)</f>
        <v>COPYpu</v>
      </c>
    </row>
    <row r="2316" spans="2:13" x14ac:dyDescent="0.25">
      <c r="B2316" s="37" t="s">
        <v>25743</v>
      </c>
      <c r="C2316" s="35" t="s">
        <v>1307</v>
      </c>
      <c r="D2316" s="35" t="s">
        <v>26184</v>
      </c>
      <c r="E2316" s="35"/>
      <c r="F2316" s="9" t="str">
        <f t="shared" si="29"/>
        <v>regional part of cerebellar cortex</v>
      </c>
      <c r="G2316" s="9" t="s">
        <v>4245</v>
      </c>
      <c r="H2316" s="9" t="s">
        <v>20690</v>
      </c>
      <c r="I2316" s="9" t="s">
        <v>4458</v>
      </c>
      <c r="J2316" s="9" t="s">
        <v>4459</v>
      </c>
      <c r="K2316" s="3" t="s">
        <v>15176</v>
      </c>
      <c r="L2316" s="13">
        <v>10686</v>
      </c>
      <c r="M2316" t="str">
        <f>VLOOKUP(L2316,[1]Mouse_ARA!$B$2:$C$1328,2,FALSE)</f>
        <v>COPYmo</v>
      </c>
    </row>
    <row r="2317" spans="2:13" x14ac:dyDescent="0.25">
      <c r="B2317" s="37" t="s">
        <v>26303</v>
      </c>
      <c r="C2317" s="25" t="s">
        <v>26153</v>
      </c>
      <c r="D2317" s="25" t="s">
        <v>26184</v>
      </c>
      <c r="E2317" s="25"/>
      <c r="F2317" s="9" t="str">
        <f t="shared" si="29"/>
        <v>regional part of cerebellar cortex</v>
      </c>
      <c r="G2317" s="9" t="s">
        <v>4245</v>
      </c>
      <c r="H2317" s="9" t="s">
        <v>20973</v>
      </c>
      <c r="I2317" s="9" t="s">
        <v>4057</v>
      </c>
      <c r="J2317" s="9" t="s">
        <v>4059</v>
      </c>
      <c r="K2317" s="3" t="s">
        <v>15176</v>
      </c>
      <c r="L2317" s="13">
        <v>1087</v>
      </c>
      <c r="M2317" t="str">
        <f>VLOOKUP(L2317,[1]Mouse_ARA!$B$2:$C$1328,2,FALSE)</f>
        <v>pce</v>
      </c>
    </row>
    <row r="2318" spans="2:13" x14ac:dyDescent="0.25">
      <c r="B2318" s="37" t="s">
        <v>26303</v>
      </c>
      <c r="C2318" s="25" t="s">
        <v>25950</v>
      </c>
      <c r="D2318" s="25" t="s">
        <v>26184</v>
      </c>
      <c r="E2318" s="25"/>
      <c r="F2318" s="9" t="str">
        <f t="shared" si="29"/>
        <v>regional part of cerebellar cortex</v>
      </c>
      <c r="G2318" s="9" t="s">
        <v>4245</v>
      </c>
      <c r="H2318" s="9" t="s">
        <v>20556</v>
      </c>
      <c r="I2318" s="9" t="s">
        <v>2106</v>
      </c>
      <c r="J2318" s="9" t="s">
        <v>2107</v>
      </c>
      <c r="K2318" s="3" t="s">
        <v>15176</v>
      </c>
      <c r="L2318" s="13">
        <v>1143</v>
      </c>
      <c r="M2318" t="str">
        <f>VLOOKUP(L2318,[1]Mouse_ARA!$B$2:$C$1328,2,FALSE)</f>
        <v>CBXgr</v>
      </c>
    </row>
    <row r="2319" spans="2:13" x14ac:dyDescent="0.25">
      <c r="B2319" s="37" t="s">
        <v>26303</v>
      </c>
      <c r="C2319" s="25" t="s">
        <v>26047</v>
      </c>
      <c r="D2319" s="25" t="s">
        <v>26184</v>
      </c>
      <c r="E2319" s="25"/>
      <c r="F2319" s="9" t="str">
        <f t="shared" si="29"/>
        <v>regional part of cerebellar cortex</v>
      </c>
      <c r="G2319" s="9" t="s">
        <v>4245</v>
      </c>
      <c r="H2319" s="9" t="s">
        <v>20552</v>
      </c>
      <c r="I2319" s="9" t="s">
        <v>3178</v>
      </c>
      <c r="J2319" s="9" t="s">
        <v>3179</v>
      </c>
      <c r="K2319" s="3" t="s">
        <v>15176</v>
      </c>
      <c r="L2319" s="13">
        <v>1144</v>
      </c>
      <c r="M2319" t="str">
        <f>VLOOKUP(L2319,[1]Mouse_ARA!$B$2:$C$1328,2,FALSE)</f>
        <v>CBXmo</v>
      </c>
    </row>
    <row r="2320" spans="2:13" x14ac:dyDescent="0.25">
      <c r="B2320" s="37" t="s">
        <v>26303</v>
      </c>
      <c r="C2320" s="25" t="s">
        <v>25763</v>
      </c>
      <c r="D2320" s="25" t="s">
        <v>26184</v>
      </c>
      <c r="E2320" s="25"/>
      <c r="F2320" s="9" t="str">
        <f t="shared" si="29"/>
        <v>regional part of cerebellar cortex</v>
      </c>
      <c r="G2320" s="9" t="s">
        <v>4245</v>
      </c>
      <c r="H2320" s="9" t="s">
        <v>20554</v>
      </c>
      <c r="I2320" s="9" t="s">
        <v>153</v>
      </c>
      <c r="J2320" s="9" t="s">
        <v>154</v>
      </c>
      <c r="K2320" s="3" t="s">
        <v>15176</v>
      </c>
      <c r="L2320" s="13">
        <v>1145</v>
      </c>
      <c r="M2320" t="str">
        <f>VLOOKUP(L2320,[1]Mouse_ARA!$B$2:$C$1328,2,FALSE)</f>
        <v>CBXpu</v>
      </c>
    </row>
    <row r="2321" spans="2:13" x14ac:dyDescent="0.25">
      <c r="B2321" s="37" t="s">
        <v>26303</v>
      </c>
      <c r="C2321" s="25" t="s">
        <v>1017</v>
      </c>
      <c r="D2321" s="25" t="s">
        <v>26184</v>
      </c>
      <c r="E2321" s="25"/>
      <c r="F2321" s="9" t="str">
        <f t="shared" si="29"/>
        <v>regional part of cerebellar cortex</v>
      </c>
      <c r="G2321" s="9" t="s">
        <v>4245</v>
      </c>
      <c r="H2321" s="9" t="s">
        <v>20550</v>
      </c>
      <c r="I2321" s="9" t="s">
        <v>1017</v>
      </c>
      <c r="J2321" s="9" t="s">
        <v>1022</v>
      </c>
      <c r="K2321" s="3" t="s">
        <v>15176</v>
      </c>
      <c r="L2321" s="13">
        <v>528</v>
      </c>
      <c r="M2321" t="str">
        <f>VLOOKUP(L2321,[1]Mouse_ARA!$B$2:$C$1328,2,FALSE)</f>
        <v>CBX</v>
      </c>
    </row>
    <row r="2322" spans="2:13" x14ac:dyDescent="0.25">
      <c r="B2322" s="37" t="s">
        <v>26303</v>
      </c>
      <c r="C2322" s="25" t="s">
        <v>843</v>
      </c>
      <c r="D2322" s="25" t="s">
        <v>26184</v>
      </c>
      <c r="E2322" s="25"/>
      <c r="F2322" s="9" t="str">
        <f t="shared" si="29"/>
        <v>regional part of cerebellar cortex</v>
      </c>
      <c r="G2322" s="9" t="s">
        <v>4245</v>
      </c>
      <c r="H2322" s="9" t="s">
        <v>20714</v>
      </c>
      <c r="I2322" s="9" t="s">
        <v>843</v>
      </c>
      <c r="J2322" s="9" t="s">
        <v>844</v>
      </c>
      <c r="K2322" s="3" t="s">
        <v>15176</v>
      </c>
      <c r="L2322" s="13">
        <v>989</v>
      </c>
      <c r="M2322" t="str">
        <f>VLOOKUP(L2322,[1]Mouse_ARA!$B$2:$C$1328,2,FALSE)</f>
        <v>FN</v>
      </c>
    </row>
    <row r="2323" spans="2:13" x14ac:dyDescent="0.25">
      <c r="B2323" s="37" t="s">
        <v>26302</v>
      </c>
      <c r="C2323" s="25" t="s">
        <v>1242</v>
      </c>
      <c r="D2323" s="25" t="s">
        <v>26184</v>
      </c>
      <c r="E2323" s="20" t="s">
        <v>26300</v>
      </c>
      <c r="F2323" s="9" t="str">
        <f t="shared" si="29"/>
        <v>regional part of cerebellar cortex</v>
      </c>
      <c r="G2323" s="9" t="s">
        <v>4245</v>
      </c>
      <c r="H2323" s="9" t="s">
        <v>25632</v>
      </c>
      <c r="I2323" s="9" t="s">
        <v>4460</v>
      </c>
      <c r="J2323" s="9" t="s">
        <v>4461</v>
      </c>
      <c r="K2323" s="6" t="s">
        <v>15174</v>
      </c>
      <c r="L2323" s="13">
        <v>128011650</v>
      </c>
      <c r="M2323" t="str">
        <f>VLOOKUP(L2323,[1]NonHumanPrimate!$B$2:$C$4000,2,FALSE)</f>
        <v>rCGiz</v>
      </c>
    </row>
    <row r="2324" spans="2:13" x14ac:dyDescent="0.25">
      <c r="B2324" s="31" t="s">
        <v>26303</v>
      </c>
      <c r="C2324" s="25" t="s">
        <v>26173</v>
      </c>
      <c r="D2324" s="25" t="s">
        <v>26184</v>
      </c>
      <c r="E2324" s="20" t="s">
        <v>26306</v>
      </c>
      <c r="F2324" s="9" t="str">
        <f t="shared" si="29"/>
        <v>regional part of cerebellar cortex</v>
      </c>
      <c r="G2324" s="9" t="s">
        <v>4245</v>
      </c>
      <c r="H2324" s="9" t="s">
        <v>25633</v>
      </c>
      <c r="I2324" s="9" t="s">
        <v>4462</v>
      </c>
      <c r="J2324" s="9" t="s">
        <v>4463</v>
      </c>
      <c r="K2324" s="6" t="s">
        <v>15174</v>
      </c>
      <c r="L2324" s="13">
        <v>128011824</v>
      </c>
      <c r="M2324" t="str">
        <f>VLOOKUP(L2324,[1]NonHumanPrimate!$B$2:$C$4000,2,FALSE)</f>
        <v>S1iz</v>
      </c>
    </row>
    <row r="2325" spans="2:13" x14ac:dyDescent="0.25">
      <c r="B2325" s="31" t="s">
        <v>26302</v>
      </c>
      <c r="C2325" s="25" t="s">
        <v>26175</v>
      </c>
      <c r="D2325" s="25" t="s">
        <v>26184</v>
      </c>
      <c r="E2325" s="25"/>
      <c r="F2325" s="9" t="str">
        <f t="shared" si="29"/>
        <v>regional part of cerebellar cortex</v>
      </c>
      <c r="G2325" s="9" t="s">
        <v>4245</v>
      </c>
      <c r="H2325" s="9" t="s">
        <v>25635</v>
      </c>
      <c r="I2325" s="9" t="s">
        <v>4464</v>
      </c>
      <c r="J2325" s="9" t="s">
        <v>4465</v>
      </c>
      <c r="K2325" s="6" t="s">
        <v>15174</v>
      </c>
      <c r="L2325" s="13">
        <v>128012470</v>
      </c>
      <c r="M2325" t="str">
        <f>VLOOKUP(L2325,[1]NonHumanPrimate!$B$2:$C$4000,2,FALSE)</f>
        <v>V1icd</v>
      </c>
    </row>
    <row r="2326" spans="2:13" x14ac:dyDescent="0.25">
      <c r="B2326" s="31" t="s">
        <v>26302</v>
      </c>
      <c r="C2326" s="25" t="s">
        <v>26175</v>
      </c>
      <c r="D2326" s="25" t="s">
        <v>26184</v>
      </c>
      <c r="E2326" s="20" t="s">
        <v>26300</v>
      </c>
      <c r="F2326" s="9" t="str">
        <f t="shared" si="29"/>
        <v>regional part of cerebellar cortex</v>
      </c>
      <c r="G2326" s="9" t="s">
        <v>4245</v>
      </c>
      <c r="H2326" s="9" t="s">
        <v>25634</v>
      </c>
      <c r="I2326" s="9" t="s">
        <v>4466</v>
      </c>
      <c r="J2326" s="9" t="s">
        <v>4467</v>
      </c>
      <c r="K2326" s="6" t="s">
        <v>15174</v>
      </c>
      <c r="L2326" s="13">
        <v>128012474</v>
      </c>
      <c r="M2326" t="str">
        <f>VLOOKUP(L2326,[1]NonHumanPrimate!$B$2:$C$4000,2,FALSE)</f>
        <v>V1iz</v>
      </c>
    </row>
    <row r="2327" spans="2:13" x14ac:dyDescent="0.25">
      <c r="B2327" s="31" t="s">
        <v>26303</v>
      </c>
      <c r="C2327" s="20"/>
      <c r="D2327" s="25" t="s">
        <v>26185</v>
      </c>
      <c r="E2327" s="25" t="s">
        <v>26309</v>
      </c>
      <c r="F2327" s="9" t="str">
        <f t="shared" ref="F2327:F2358" si="30">HYPERLINK("https://www.ebi.ac.uk/ols/ontologies/uberon/terms?iri=http://purl.obolibrary.org/obo/UBERON_0001948","regional part of spinal cord")</f>
        <v>regional part of spinal cord</v>
      </c>
      <c r="G2327" s="9" t="s">
        <v>4468</v>
      </c>
      <c r="H2327" s="9" t="s">
        <v>24477</v>
      </c>
      <c r="I2327" s="9" t="s">
        <v>4469</v>
      </c>
      <c r="J2327" s="9" t="s">
        <v>4470</v>
      </c>
      <c r="K2327" s="4" t="s">
        <v>15175</v>
      </c>
      <c r="L2327" s="13">
        <v>12647</v>
      </c>
      <c r="M2327" t="str">
        <f>VLOOKUP(L2327,[1]Human_BrainSpan!$B$2:$C$4000,2,FALSE)</f>
        <v>CGL</v>
      </c>
    </row>
    <row r="2328" spans="2:13" x14ac:dyDescent="0.25">
      <c r="B2328" s="31" t="s">
        <v>25743</v>
      </c>
      <c r="C2328" s="25" t="s">
        <v>2126</v>
      </c>
      <c r="D2328" s="25" t="s">
        <v>26185</v>
      </c>
      <c r="E2328" s="25"/>
      <c r="F2328" s="9" t="str">
        <f t="shared" si="30"/>
        <v>regional part of spinal cord</v>
      </c>
      <c r="G2328" s="9" t="s">
        <v>4468</v>
      </c>
      <c r="H2328" s="9" t="s">
        <v>24738</v>
      </c>
      <c r="I2328" s="9" t="s">
        <v>2126</v>
      </c>
      <c r="J2328" s="9" t="s">
        <v>2127</v>
      </c>
      <c r="K2328" s="4" t="s">
        <v>15175</v>
      </c>
      <c r="L2328" s="13">
        <v>146035048</v>
      </c>
      <c r="M2328" t="str">
        <f>VLOOKUP(L2328,[1]Human_BrainSpan!$B$2:$C$4000,2,FALSE)</f>
        <v>SGM</v>
      </c>
    </row>
    <row r="2329" spans="2:13" x14ac:dyDescent="0.25">
      <c r="B2329" s="31" t="s">
        <v>26303</v>
      </c>
      <c r="C2329" s="20"/>
      <c r="D2329" s="25" t="s">
        <v>26185</v>
      </c>
      <c r="E2329" s="25" t="s">
        <v>26300</v>
      </c>
      <c r="F2329" s="9" t="str">
        <f t="shared" si="30"/>
        <v>regional part of spinal cord</v>
      </c>
      <c r="G2329" s="9" t="s">
        <v>4468</v>
      </c>
      <c r="H2329" s="9" t="s">
        <v>24739</v>
      </c>
      <c r="I2329" s="9" t="s">
        <v>4471</v>
      </c>
      <c r="J2329" s="9" t="s">
        <v>4472</v>
      </c>
      <c r="K2329" s="4" t="s">
        <v>15175</v>
      </c>
      <c r="L2329" s="13">
        <v>146035052</v>
      </c>
      <c r="M2329" t="str">
        <f>VLOOKUP(L2329,[1]Human_BrainSpan!$B$2:$C$4000,2,FALSE)</f>
        <v>SpI</v>
      </c>
    </row>
    <row r="2330" spans="2:13" x14ac:dyDescent="0.25">
      <c r="B2330" s="31" t="s">
        <v>26303</v>
      </c>
      <c r="C2330" s="20"/>
      <c r="D2330" s="25" t="s">
        <v>26185</v>
      </c>
      <c r="E2330" s="25" t="s">
        <v>26300</v>
      </c>
      <c r="F2330" s="9" t="str">
        <f t="shared" si="30"/>
        <v>regional part of spinal cord</v>
      </c>
      <c r="G2330" s="9" t="s">
        <v>4468</v>
      </c>
      <c r="H2330" s="9" t="s">
        <v>24740</v>
      </c>
      <c r="I2330" s="9" t="s">
        <v>4473</v>
      </c>
      <c r="J2330" s="9" t="s">
        <v>4474</v>
      </c>
      <c r="K2330" s="4" t="s">
        <v>15175</v>
      </c>
      <c r="L2330" s="13">
        <v>146035056</v>
      </c>
      <c r="M2330" t="str">
        <f>VLOOKUP(L2330,[1]Human_BrainSpan!$B$2:$C$4000,2,FALSE)</f>
        <v>SpII</v>
      </c>
    </row>
    <row r="2331" spans="2:13" x14ac:dyDescent="0.25">
      <c r="B2331" s="31" t="s">
        <v>26303</v>
      </c>
      <c r="C2331" s="20"/>
      <c r="D2331" s="25" t="s">
        <v>26185</v>
      </c>
      <c r="E2331" s="25" t="s">
        <v>26300</v>
      </c>
      <c r="F2331" s="9" t="str">
        <f t="shared" si="30"/>
        <v>regional part of spinal cord</v>
      </c>
      <c r="G2331" s="9" t="s">
        <v>4468</v>
      </c>
      <c r="H2331" s="9" t="s">
        <v>24741</v>
      </c>
      <c r="I2331" s="9" t="s">
        <v>4475</v>
      </c>
      <c r="J2331" s="9" t="s">
        <v>4476</v>
      </c>
      <c r="K2331" s="4" t="s">
        <v>15175</v>
      </c>
      <c r="L2331" s="13">
        <v>146035060</v>
      </c>
      <c r="M2331" t="str">
        <f>VLOOKUP(L2331,[1]Human_BrainSpan!$B$2:$C$4000,2,FALSE)</f>
        <v>SpIII-IV</v>
      </c>
    </row>
    <row r="2332" spans="2:13" x14ac:dyDescent="0.25">
      <c r="B2332" s="31" t="s">
        <v>26303</v>
      </c>
      <c r="C2332" s="20"/>
      <c r="D2332" s="25" t="s">
        <v>26185</v>
      </c>
      <c r="E2332" s="25" t="s">
        <v>26300</v>
      </c>
      <c r="F2332" s="9" t="str">
        <f t="shared" si="30"/>
        <v>regional part of spinal cord</v>
      </c>
      <c r="G2332" s="9" t="s">
        <v>4468</v>
      </c>
      <c r="H2332" s="9" t="s">
        <v>24742</v>
      </c>
      <c r="I2332" s="9" t="s">
        <v>4477</v>
      </c>
      <c r="J2332" s="9" t="s">
        <v>4478</v>
      </c>
      <c r="K2332" s="4" t="s">
        <v>15175</v>
      </c>
      <c r="L2332" s="13">
        <v>146035064</v>
      </c>
      <c r="M2332" t="str">
        <f>VLOOKUP(L2332,[1]Human_BrainSpan!$B$2:$C$4000,2,FALSE)</f>
        <v>SpV-VI</v>
      </c>
    </row>
    <row r="2333" spans="2:13" x14ac:dyDescent="0.25">
      <c r="B2333" s="31" t="s">
        <v>26303</v>
      </c>
      <c r="C2333" s="20"/>
      <c r="D2333" s="25" t="s">
        <v>26185</v>
      </c>
      <c r="E2333" s="25" t="s">
        <v>26300</v>
      </c>
      <c r="F2333" s="9" t="str">
        <f t="shared" si="30"/>
        <v>regional part of spinal cord</v>
      </c>
      <c r="G2333" s="9" t="s">
        <v>4468</v>
      </c>
      <c r="H2333" s="9" t="s">
        <v>24743</v>
      </c>
      <c r="I2333" s="9" t="s">
        <v>4479</v>
      </c>
      <c r="J2333" s="9" t="s">
        <v>4480</v>
      </c>
      <c r="K2333" s="4" t="s">
        <v>15175</v>
      </c>
      <c r="L2333" s="13">
        <v>146035068</v>
      </c>
      <c r="M2333" t="str">
        <f>VLOOKUP(L2333,[1]Human_BrainSpan!$B$2:$C$4000,2,FALSE)</f>
        <v>SpVII</v>
      </c>
    </row>
    <row r="2334" spans="2:13" x14ac:dyDescent="0.25">
      <c r="B2334" s="31" t="s">
        <v>26303</v>
      </c>
      <c r="C2334" s="20"/>
      <c r="D2334" s="25" t="s">
        <v>26185</v>
      </c>
      <c r="E2334" s="25" t="s">
        <v>26309</v>
      </c>
      <c r="F2334" s="9" t="str">
        <f t="shared" si="30"/>
        <v>regional part of spinal cord</v>
      </c>
      <c r="G2334" s="9" t="s">
        <v>4468</v>
      </c>
      <c r="H2334" s="9" t="s">
        <v>18374</v>
      </c>
      <c r="I2334" s="9" t="s">
        <v>4481</v>
      </c>
      <c r="J2334" s="9" t="s">
        <v>4482</v>
      </c>
      <c r="K2334" s="4" t="s">
        <v>15175</v>
      </c>
      <c r="L2334" s="13">
        <v>146035072</v>
      </c>
      <c r="M2334" t="str">
        <f>VLOOKUP(L2334,[1]Human_BrainSpan!$B$2:$C$4000,2,FALSE)</f>
        <v>CeCv</v>
      </c>
    </row>
    <row r="2335" spans="2:13" x14ac:dyDescent="0.25">
      <c r="B2335" s="31" t="s">
        <v>26303</v>
      </c>
      <c r="C2335" s="20"/>
      <c r="D2335" s="25" t="s">
        <v>26185</v>
      </c>
      <c r="E2335" s="25" t="s">
        <v>26300</v>
      </c>
      <c r="F2335" s="9" t="str">
        <f t="shared" si="30"/>
        <v>regional part of spinal cord</v>
      </c>
      <c r="G2335" s="9" t="s">
        <v>4468</v>
      </c>
      <c r="H2335" s="9" t="s">
        <v>24744</v>
      </c>
      <c r="I2335" s="9" t="s">
        <v>4483</v>
      </c>
      <c r="J2335" s="9" t="s">
        <v>4484</v>
      </c>
      <c r="K2335" s="4" t="s">
        <v>15175</v>
      </c>
      <c r="L2335" s="13">
        <v>146035076</v>
      </c>
      <c r="M2335" t="str">
        <f>VLOOKUP(L2335,[1]Human_BrainSpan!$B$2:$C$4000,2,FALSE)</f>
        <v>SpVIII</v>
      </c>
    </row>
    <row r="2336" spans="2:13" x14ac:dyDescent="0.25">
      <c r="B2336" s="31" t="s">
        <v>26303</v>
      </c>
      <c r="C2336" s="20"/>
      <c r="D2336" s="25" t="s">
        <v>26185</v>
      </c>
      <c r="E2336" s="25" t="s">
        <v>26300</v>
      </c>
      <c r="F2336" s="9" t="str">
        <f t="shared" si="30"/>
        <v>regional part of spinal cord</v>
      </c>
      <c r="G2336" s="9" t="s">
        <v>4468</v>
      </c>
      <c r="H2336" s="9" t="s">
        <v>24745</v>
      </c>
      <c r="I2336" s="9" t="s">
        <v>4485</v>
      </c>
      <c r="J2336" s="9" t="s">
        <v>4486</v>
      </c>
      <c r="K2336" s="4" t="s">
        <v>15175</v>
      </c>
      <c r="L2336" s="13">
        <v>146035080</v>
      </c>
      <c r="M2336" t="str">
        <f>VLOOKUP(L2336,[1]Human_BrainSpan!$B$2:$C$4000,2,FALSE)</f>
        <v>SpIX</v>
      </c>
    </row>
    <row r="2337" spans="2:13" x14ac:dyDescent="0.25">
      <c r="B2337" s="31" t="s">
        <v>26303</v>
      </c>
      <c r="C2337" s="20"/>
      <c r="D2337" s="25" t="s">
        <v>26185</v>
      </c>
      <c r="E2337" s="25" t="s">
        <v>26300</v>
      </c>
      <c r="F2337" s="9" t="str">
        <f t="shared" si="30"/>
        <v>regional part of spinal cord</v>
      </c>
      <c r="G2337" s="9" t="s">
        <v>4468</v>
      </c>
      <c r="H2337" s="9" t="s">
        <v>24746</v>
      </c>
      <c r="I2337" s="9" t="s">
        <v>4487</v>
      </c>
      <c r="J2337" s="9" t="s">
        <v>4488</v>
      </c>
      <c r="K2337" s="4" t="s">
        <v>15175</v>
      </c>
      <c r="L2337" s="13">
        <v>146035084</v>
      </c>
      <c r="M2337" t="str">
        <f>VLOOKUP(L2337,[1]Human_BrainSpan!$B$2:$C$4000,2,FALSE)</f>
        <v>SpX</v>
      </c>
    </row>
    <row r="2338" spans="2:13" x14ac:dyDescent="0.25">
      <c r="B2338" s="31" t="s">
        <v>26303</v>
      </c>
      <c r="C2338" s="25" t="s">
        <v>4489</v>
      </c>
      <c r="D2338" s="25" t="s">
        <v>26185</v>
      </c>
      <c r="E2338" s="25"/>
      <c r="F2338" s="9" t="str">
        <f t="shared" si="30"/>
        <v>regional part of spinal cord</v>
      </c>
      <c r="G2338" s="9" t="s">
        <v>4468</v>
      </c>
      <c r="H2338" s="9" t="s">
        <v>24747</v>
      </c>
      <c r="I2338" s="9" t="s">
        <v>4489</v>
      </c>
      <c r="J2338" s="9" t="s">
        <v>4490</v>
      </c>
      <c r="K2338" s="4" t="s">
        <v>15175</v>
      </c>
      <c r="L2338" s="13">
        <v>146035088</v>
      </c>
      <c r="M2338" t="str">
        <f>VLOOKUP(L2338,[1]Human_BrainSpan!$B$2:$C$4000,2,FALSE)</f>
        <v>SWM</v>
      </c>
    </row>
    <row r="2339" spans="2:13" x14ac:dyDescent="0.25">
      <c r="B2339" s="31" t="s">
        <v>26303</v>
      </c>
      <c r="C2339" s="20"/>
      <c r="D2339" s="25" t="s">
        <v>26185</v>
      </c>
      <c r="E2339" s="25" t="s">
        <v>26300</v>
      </c>
      <c r="F2339" s="9" t="str">
        <f t="shared" si="30"/>
        <v>regional part of spinal cord</v>
      </c>
      <c r="G2339" s="9" t="s">
        <v>4468</v>
      </c>
      <c r="H2339" s="9" t="s">
        <v>24748</v>
      </c>
      <c r="I2339" s="9" t="s">
        <v>4491</v>
      </c>
      <c r="J2339" s="9" t="s">
        <v>4492</v>
      </c>
      <c r="K2339" s="4" t="s">
        <v>15175</v>
      </c>
      <c r="L2339" s="13">
        <v>146035092</v>
      </c>
      <c r="M2339" t="str">
        <f>VLOOKUP(L2339,[1]Human_BrainSpan!$B$2:$C$4000,2,FALSE)</f>
        <v>dfs</v>
      </c>
    </row>
    <row r="2340" spans="2:13" x14ac:dyDescent="0.25">
      <c r="B2340" s="31" t="s">
        <v>26303</v>
      </c>
      <c r="C2340" s="20"/>
      <c r="D2340" s="25" t="s">
        <v>26185</v>
      </c>
      <c r="E2340" s="25" t="s">
        <v>26300</v>
      </c>
      <c r="F2340" s="9" t="str">
        <f t="shared" si="30"/>
        <v>regional part of spinal cord</v>
      </c>
      <c r="G2340" s="9" t="s">
        <v>4468</v>
      </c>
      <c r="H2340" s="9" t="s">
        <v>24749</v>
      </c>
      <c r="I2340" s="9" t="s">
        <v>4493</v>
      </c>
      <c r="J2340" s="9" t="s">
        <v>4494</v>
      </c>
      <c r="K2340" s="4" t="s">
        <v>15175</v>
      </c>
      <c r="L2340" s="13">
        <v>146035096</v>
      </c>
      <c r="M2340" t="str">
        <f>VLOOKUP(L2340,[1]Human_BrainSpan!$B$2:$C$4000,2,FALSE)</f>
        <v>lfs</v>
      </c>
    </row>
    <row r="2341" spans="2:13" x14ac:dyDescent="0.25">
      <c r="B2341" s="31" t="s">
        <v>26303</v>
      </c>
      <c r="C2341" s="20"/>
      <c r="D2341" s="25" t="s">
        <v>26185</v>
      </c>
      <c r="E2341" s="25" t="s">
        <v>26300</v>
      </c>
      <c r="F2341" s="9" t="str">
        <f t="shared" si="30"/>
        <v>regional part of spinal cord</v>
      </c>
      <c r="G2341" s="9" t="s">
        <v>4468</v>
      </c>
      <c r="H2341" s="9" t="s">
        <v>24750</v>
      </c>
      <c r="I2341" s="9" t="s">
        <v>4495</v>
      </c>
      <c r="J2341" s="9" t="s">
        <v>4496</v>
      </c>
      <c r="K2341" s="4" t="s">
        <v>15175</v>
      </c>
      <c r="L2341" s="13">
        <v>146035100</v>
      </c>
      <c r="M2341" t="str">
        <f>VLOOKUP(L2341,[1]Human_BrainSpan!$B$2:$C$4000,2,FALSE)</f>
        <v>polt</v>
      </c>
    </row>
    <row r="2342" spans="2:13" x14ac:dyDescent="0.25">
      <c r="B2342" s="31" t="s">
        <v>26303</v>
      </c>
      <c r="C2342" s="20"/>
      <c r="D2342" s="25" t="s">
        <v>26185</v>
      </c>
      <c r="E2342" s="25" t="s">
        <v>26300</v>
      </c>
      <c r="F2342" s="9" t="str">
        <f t="shared" si="30"/>
        <v>regional part of spinal cord</v>
      </c>
      <c r="G2342" s="9" t="s">
        <v>4468</v>
      </c>
      <c r="H2342" s="9" t="s">
        <v>24751</v>
      </c>
      <c r="I2342" s="9" t="s">
        <v>4497</v>
      </c>
      <c r="J2342" s="9" t="s">
        <v>4498</v>
      </c>
      <c r="K2342" s="4" t="s">
        <v>15175</v>
      </c>
      <c r="L2342" s="13">
        <v>146035104</v>
      </c>
      <c r="M2342" t="str">
        <f>VLOOKUP(L2342,[1]Human_BrainSpan!$B$2:$C$4000,2,FALSE)</f>
        <v>vfs</v>
      </c>
    </row>
    <row r="2343" spans="2:13" x14ac:dyDescent="0.25">
      <c r="B2343" s="31" t="s">
        <v>26303</v>
      </c>
      <c r="C2343" s="20"/>
      <c r="D2343" s="25" t="s">
        <v>26185</v>
      </c>
      <c r="E2343" s="25" t="s">
        <v>26300</v>
      </c>
      <c r="F2343" s="9" t="str">
        <f t="shared" si="30"/>
        <v>regional part of spinal cord</v>
      </c>
      <c r="G2343" s="9" t="s">
        <v>4468</v>
      </c>
      <c r="H2343" s="9" t="s">
        <v>24752</v>
      </c>
      <c r="I2343" s="9" t="s">
        <v>923</v>
      </c>
      <c r="J2343" s="9" t="s">
        <v>924</v>
      </c>
      <c r="K2343" s="4" t="s">
        <v>15175</v>
      </c>
      <c r="L2343" s="13">
        <v>146035108</v>
      </c>
      <c r="M2343" t="str">
        <f>VLOOKUP(L2343,[1]Human_BrainSpan!$B$2:$C$4000,2,FALSE)</f>
        <v>SV</v>
      </c>
    </row>
    <row r="2344" spans="2:13" x14ac:dyDescent="0.25">
      <c r="B2344" s="31" t="s">
        <v>26299</v>
      </c>
      <c r="C2344" s="25" t="s">
        <v>25828</v>
      </c>
      <c r="D2344" s="25" t="s">
        <v>26185</v>
      </c>
      <c r="E2344" s="25"/>
      <c r="F2344" s="9" t="str">
        <f t="shared" si="30"/>
        <v>regional part of spinal cord</v>
      </c>
      <c r="G2344" s="9" t="s">
        <v>4468</v>
      </c>
      <c r="H2344" s="9" t="s">
        <v>24753</v>
      </c>
      <c r="I2344" s="9" t="s">
        <v>4499</v>
      </c>
      <c r="J2344" s="9" t="s">
        <v>4500</v>
      </c>
      <c r="K2344" s="4" t="s">
        <v>15175</v>
      </c>
      <c r="L2344" s="13">
        <v>146035112</v>
      </c>
      <c r="M2344" t="str">
        <f>VLOOKUP(L2344,[1]Human_BrainSpan!$B$2:$C$4000,2,FALSE)</f>
        <v>cces</v>
      </c>
    </row>
    <row r="2345" spans="2:13" x14ac:dyDescent="0.25">
      <c r="B2345" s="31" t="s">
        <v>26299</v>
      </c>
      <c r="C2345" s="20"/>
      <c r="D2345" s="25" t="s">
        <v>26185</v>
      </c>
      <c r="E2345" s="25"/>
      <c r="F2345" s="9" t="str">
        <f t="shared" si="30"/>
        <v>regional part of spinal cord</v>
      </c>
      <c r="G2345" s="9" t="s">
        <v>4468</v>
      </c>
      <c r="H2345" s="9" t="s">
        <v>24754</v>
      </c>
      <c r="I2345" s="9" t="s">
        <v>4501</v>
      </c>
      <c r="J2345" s="9" t="s">
        <v>4502</v>
      </c>
      <c r="K2345" s="4" t="s">
        <v>15175</v>
      </c>
      <c r="L2345" s="13">
        <v>146035116</v>
      </c>
      <c r="M2345" t="str">
        <f>VLOOKUP(L2345,[1]Human_BrainSpan!$B$2:$C$4000,2,FALSE)</f>
        <v>SSS</v>
      </c>
    </row>
    <row r="2346" spans="2:13" x14ac:dyDescent="0.25">
      <c r="B2346" s="31" t="s">
        <v>26303</v>
      </c>
      <c r="C2346" s="25" t="s">
        <v>26224</v>
      </c>
      <c r="D2346" s="25" t="s">
        <v>26185</v>
      </c>
      <c r="E2346" s="25"/>
      <c r="F2346" s="9" t="str">
        <f t="shared" si="30"/>
        <v>regional part of spinal cord</v>
      </c>
      <c r="G2346" s="9" t="s">
        <v>4468</v>
      </c>
      <c r="H2346" s="9" t="s">
        <v>24755</v>
      </c>
      <c r="I2346" s="9" t="s">
        <v>973</v>
      </c>
      <c r="J2346" s="9" t="s">
        <v>974</v>
      </c>
      <c r="K2346" s="4" t="s">
        <v>15175</v>
      </c>
      <c r="L2346" s="13">
        <v>146035120</v>
      </c>
      <c r="M2346" t="str">
        <f>VLOOKUP(L2346,[1]Human_BrainSpan!$B$2:$C$4000,2,FALSE)</f>
        <v>rsn</v>
      </c>
    </row>
    <row r="2347" spans="2:13" x14ac:dyDescent="0.25">
      <c r="B2347" s="31" t="s">
        <v>26303</v>
      </c>
      <c r="C2347" s="20"/>
      <c r="D2347" s="25" t="s">
        <v>26185</v>
      </c>
      <c r="E2347" s="25"/>
      <c r="F2347" s="9" t="str">
        <f t="shared" si="30"/>
        <v>regional part of spinal cord</v>
      </c>
      <c r="G2347" s="9" t="s">
        <v>4468</v>
      </c>
      <c r="H2347" s="9" t="s">
        <v>24756</v>
      </c>
      <c r="I2347" s="9" t="s">
        <v>4503</v>
      </c>
      <c r="J2347" s="9" t="s">
        <v>4504</v>
      </c>
      <c r="K2347" s="4" t="s">
        <v>15175</v>
      </c>
      <c r="L2347" s="13">
        <v>146035124</v>
      </c>
      <c r="M2347" t="str">
        <f>VLOOKUP(L2347,[1]Human_BrainSpan!$B$2:$C$4000,2,FALSE)</f>
        <v>vmss</v>
      </c>
    </row>
    <row r="2348" spans="2:13" x14ac:dyDescent="0.25">
      <c r="B2348" s="31" t="s">
        <v>26303</v>
      </c>
      <c r="C2348" s="20"/>
      <c r="D2348" s="25" t="s">
        <v>26185</v>
      </c>
      <c r="E2348" s="25" t="s">
        <v>26300</v>
      </c>
      <c r="F2348" s="9" t="str">
        <f t="shared" si="30"/>
        <v>regional part of spinal cord</v>
      </c>
      <c r="G2348" s="9" t="s">
        <v>4468</v>
      </c>
      <c r="H2348" s="9" t="s">
        <v>24757</v>
      </c>
      <c r="I2348" s="9" t="s">
        <v>4505</v>
      </c>
      <c r="J2348" s="9" t="s">
        <v>4506</v>
      </c>
      <c r="K2348" s="4" t="s">
        <v>15175</v>
      </c>
      <c r="L2348" s="13">
        <v>266441741</v>
      </c>
      <c r="M2348" t="str">
        <f>VLOOKUP(L2348,[1]Human_BrainSpan!$B$2:$C$4000,2,FALSE)</f>
        <v>spbv</v>
      </c>
    </row>
    <row r="2349" spans="2:13" x14ac:dyDescent="0.25">
      <c r="B2349" s="31" t="s">
        <v>26303</v>
      </c>
      <c r="C2349" s="20"/>
      <c r="D2349" s="25" t="s">
        <v>26185</v>
      </c>
      <c r="E2349" s="20" t="s">
        <v>26300</v>
      </c>
      <c r="F2349" s="9" t="str">
        <f t="shared" si="30"/>
        <v>regional part of spinal cord</v>
      </c>
      <c r="G2349" s="9" t="s">
        <v>4468</v>
      </c>
      <c r="H2349" s="9" t="s">
        <v>18322</v>
      </c>
      <c r="I2349" s="9" t="s">
        <v>4507</v>
      </c>
      <c r="J2349" s="9" t="s">
        <v>4508</v>
      </c>
      <c r="K2349" s="5" t="s">
        <v>15173</v>
      </c>
      <c r="L2349" s="13">
        <v>111220942</v>
      </c>
      <c r="M2349" t="str">
        <f>VLOOKUP(L2349,[1]DevMouse!$B$2:$C$2693,2,FALSE)</f>
        <v>SpAv</v>
      </c>
    </row>
    <row r="2350" spans="2:13" x14ac:dyDescent="0.25">
      <c r="B2350" s="31" t="s">
        <v>26303</v>
      </c>
      <c r="C2350" s="20"/>
      <c r="D2350" s="25" t="s">
        <v>26185</v>
      </c>
      <c r="E2350" s="20" t="s">
        <v>26300</v>
      </c>
      <c r="F2350" s="9" t="str">
        <f t="shared" si="30"/>
        <v>regional part of spinal cord</v>
      </c>
      <c r="G2350" s="9" t="s">
        <v>4468</v>
      </c>
      <c r="H2350" s="9" t="s">
        <v>18323</v>
      </c>
      <c r="I2350" s="9" t="s">
        <v>4509</v>
      </c>
      <c r="J2350" s="9" t="s">
        <v>4510</v>
      </c>
      <c r="K2350" s="5" t="s">
        <v>15173</v>
      </c>
      <c r="L2350" s="13">
        <v>111220944</v>
      </c>
      <c r="M2350" t="str">
        <f>VLOOKUP(L2350,[1]DevMouse!$B$2:$C$2693,2,FALSE)</f>
        <v>SpAm</v>
      </c>
    </row>
    <row r="2351" spans="2:13" x14ac:dyDescent="0.25">
      <c r="B2351" s="31" t="s">
        <v>26303</v>
      </c>
      <c r="C2351" s="20"/>
      <c r="D2351" s="25" t="s">
        <v>26185</v>
      </c>
      <c r="E2351" s="20" t="s">
        <v>26300</v>
      </c>
      <c r="F2351" s="9" t="str">
        <f t="shared" si="30"/>
        <v>regional part of spinal cord</v>
      </c>
      <c r="G2351" s="9" t="s">
        <v>4468</v>
      </c>
      <c r="H2351" s="9" t="s">
        <v>18363</v>
      </c>
      <c r="I2351" s="9" t="s">
        <v>4511</v>
      </c>
      <c r="J2351" s="9" t="s">
        <v>4512</v>
      </c>
      <c r="K2351" s="5" t="s">
        <v>15173</v>
      </c>
      <c r="L2351" s="13">
        <v>111220946</v>
      </c>
      <c r="M2351" t="str">
        <f>VLOOKUP(L2351,[1]DevMouse!$B$2:$C$2693,2,FALSE)</f>
        <v>SpBv</v>
      </c>
    </row>
    <row r="2352" spans="2:13" x14ac:dyDescent="0.25">
      <c r="B2352" s="31" t="s">
        <v>26303</v>
      </c>
      <c r="C2352" s="20"/>
      <c r="D2352" s="25" t="s">
        <v>26185</v>
      </c>
      <c r="E2352" s="20" t="s">
        <v>26300</v>
      </c>
      <c r="F2352" s="9" t="str">
        <f t="shared" si="30"/>
        <v>regional part of spinal cord</v>
      </c>
      <c r="G2352" s="9" t="s">
        <v>4468</v>
      </c>
      <c r="H2352" s="9" t="s">
        <v>18364</v>
      </c>
      <c r="I2352" s="9" t="s">
        <v>4513</v>
      </c>
      <c r="J2352" s="9" t="s">
        <v>4514</v>
      </c>
      <c r="K2352" s="5" t="s">
        <v>15173</v>
      </c>
      <c r="L2352" s="13">
        <v>111220948</v>
      </c>
      <c r="M2352" t="str">
        <f>VLOOKUP(L2352,[1]DevMouse!$B$2:$C$2693,2,FALSE)</f>
        <v>SpBm</v>
      </c>
    </row>
    <row r="2353" spans="2:13" x14ac:dyDescent="0.25">
      <c r="B2353" s="31" t="s">
        <v>26303</v>
      </c>
      <c r="C2353" s="20"/>
      <c r="D2353" s="25" t="s">
        <v>26185</v>
      </c>
      <c r="E2353" s="20" t="s">
        <v>26300</v>
      </c>
      <c r="F2353" s="9" t="str">
        <f t="shared" si="30"/>
        <v>regional part of spinal cord</v>
      </c>
      <c r="G2353" s="9" t="s">
        <v>4468</v>
      </c>
      <c r="H2353" s="9" t="s">
        <v>18407</v>
      </c>
      <c r="I2353" s="9" t="s">
        <v>4515</v>
      </c>
      <c r="J2353" s="9" t="s">
        <v>4516</v>
      </c>
      <c r="K2353" s="5" t="s">
        <v>15173</v>
      </c>
      <c r="L2353" s="13">
        <v>112892439</v>
      </c>
      <c r="M2353" t="str">
        <f>VLOOKUP(L2353,[1]DevMouse!$B$2:$C$2693,2,FALSE)</f>
        <v>SpFv</v>
      </c>
    </row>
    <row r="2354" spans="2:13" x14ac:dyDescent="0.25">
      <c r="B2354" s="31" t="s">
        <v>26303</v>
      </c>
      <c r="C2354" s="20"/>
      <c r="D2354" s="25" t="s">
        <v>26185</v>
      </c>
      <c r="E2354" s="20" t="s">
        <v>26300</v>
      </c>
      <c r="F2354" s="9" t="str">
        <f t="shared" si="30"/>
        <v>regional part of spinal cord</v>
      </c>
      <c r="G2354" s="9" t="s">
        <v>4468</v>
      </c>
      <c r="H2354" s="9" t="s">
        <v>18408</v>
      </c>
      <c r="I2354" s="9" t="s">
        <v>4517</v>
      </c>
      <c r="J2354" s="9" t="s">
        <v>4518</v>
      </c>
      <c r="K2354" s="5" t="s">
        <v>15173</v>
      </c>
      <c r="L2354" s="13">
        <v>112892441</v>
      </c>
      <c r="M2354" t="str">
        <f>VLOOKUP(L2354,[1]DevMouse!$B$2:$C$2693,2,FALSE)</f>
        <v>SpFm</v>
      </c>
    </row>
    <row r="2355" spans="2:13" x14ac:dyDescent="0.25">
      <c r="B2355" s="31" t="s">
        <v>26303</v>
      </c>
      <c r="C2355" s="20"/>
      <c r="D2355" s="25" t="s">
        <v>26185</v>
      </c>
      <c r="E2355" s="20" t="s">
        <v>26300</v>
      </c>
      <c r="F2355" s="9" t="str">
        <f t="shared" si="30"/>
        <v>regional part of spinal cord</v>
      </c>
      <c r="G2355" s="9" t="s">
        <v>4468</v>
      </c>
      <c r="H2355" s="9" t="s">
        <v>18409</v>
      </c>
      <c r="I2355" s="9" t="s">
        <v>4519</v>
      </c>
      <c r="J2355" s="9" t="s">
        <v>4520</v>
      </c>
      <c r="K2355" s="5" t="s">
        <v>15173</v>
      </c>
      <c r="L2355" s="13">
        <v>112892443</v>
      </c>
      <c r="M2355" t="str">
        <f>VLOOKUP(L2355,[1]DevMouse!$B$2:$C$2693,2,FALSE)</f>
        <v>SpFp</v>
      </c>
    </row>
    <row r="2356" spans="2:13" x14ac:dyDescent="0.25">
      <c r="B2356" s="31" t="s">
        <v>26303</v>
      </c>
      <c r="C2356" s="20"/>
      <c r="D2356" s="25" t="s">
        <v>26185</v>
      </c>
      <c r="E2356" s="20" t="s">
        <v>26300</v>
      </c>
      <c r="F2356" s="9" t="str">
        <f t="shared" si="30"/>
        <v>regional part of spinal cord</v>
      </c>
      <c r="G2356" s="9" t="s">
        <v>4468</v>
      </c>
      <c r="H2356" s="9" t="s">
        <v>18410</v>
      </c>
      <c r="I2356" s="9" t="s">
        <v>4521</v>
      </c>
      <c r="J2356" s="9" t="s">
        <v>4522</v>
      </c>
      <c r="K2356" s="5" t="s">
        <v>15173</v>
      </c>
      <c r="L2356" s="13">
        <v>112892445</v>
      </c>
      <c r="M2356" t="str">
        <f>VLOOKUP(L2356,[1]DevMouse!$B$2:$C$2693,2,FALSE)</f>
        <v>SpFi</v>
      </c>
    </row>
    <row r="2357" spans="2:13" x14ac:dyDescent="0.25">
      <c r="B2357" s="31" t="s">
        <v>26303</v>
      </c>
      <c r="C2357" s="20"/>
      <c r="D2357" s="25" t="s">
        <v>26185</v>
      </c>
      <c r="E2357" s="20" t="s">
        <v>26300</v>
      </c>
      <c r="F2357" s="9" t="str">
        <f t="shared" si="30"/>
        <v>regional part of spinal cord</v>
      </c>
      <c r="G2357" s="9" t="s">
        <v>4468</v>
      </c>
      <c r="H2357" s="9" t="s">
        <v>18411</v>
      </c>
      <c r="I2357" s="9" t="s">
        <v>4523</v>
      </c>
      <c r="J2357" s="9" t="s">
        <v>4524</v>
      </c>
      <c r="K2357" s="5" t="s">
        <v>15173</v>
      </c>
      <c r="L2357" s="13">
        <v>112892447</v>
      </c>
      <c r="M2357" t="str">
        <f>VLOOKUP(L2357,[1]DevMouse!$B$2:$C$2693,2,FALSE)</f>
        <v>SpFs</v>
      </c>
    </row>
    <row r="2358" spans="2:13" x14ac:dyDescent="0.25">
      <c r="B2358" s="31" t="s">
        <v>26303</v>
      </c>
      <c r="C2358" s="20"/>
      <c r="D2358" s="25" t="s">
        <v>26185</v>
      </c>
      <c r="E2358" s="20" t="s">
        <v>26300</v>
      </c>
      <c r="F2358" s="9" t="str">
        <f t="shared" si="30"/>
        <v>regional part of spinal cord</v>
      </c>
      <c r="G2358" s="9" t="s">
        <v>4468</v>
      </c>
      <c r="H2358" s="9" t="s">
        <v>18641</v>
      </c>
      <c r="I2358" s="9" t="s">
        <v>925</v>
      </c>
      <c r="J2358" s="9" t="s">
        <v>926</v>
      </c>
      <c r="K2358" s="5" t="s">
        <v>15173</v>
      </c>
      <c r="L2358" s="13">
        <v>126652042</v>
      </c>
      <c r="M2358" t="str">
        <f>VLOOKUP(L2358,[1]DevMouse!$B$2:$C$2693,2,FALSE)</f>
        <v>v_SpC</v>
      </c>
    </row>
    <row r="2359" spans="2:13" x14ac:dyDescent="0.25">
      <c r="B2359" s="31" t="s">
        <v>26303</v>
      </c>
      <c r="C2359" s="20"/>
      <c r="D2359" s="25" t="s">
        <v>26185</v>
      </c>
      <c r="E2359" s="20" t="s">
        <v>26300</v>
      </c>
      <c r="F2359" s="9" t="str">
        <f t="shared" ref="F2359:F2390" si="31">HYPERLINK("https://www.ebi.ac.uk/ols/ontologies/uberon/terms?iri=http://purl.obolibrary.org/obo/UBERON_0001948","regional part of spinal cord")</f>
        <v>regional part of spinal cord</v>
      </c>
      <c r="G2359" s="9" t="s">
        <v>4468</v>
      </c>
      <c r="H2359" s="9" t="s">
        <v>18642</v>
      </c>
      <c r="I2359" s="9" t="s">
        <v>4525</v>
      </c>
      <c r="J2359" s="9" t="s">
        <v>4526</v>
      </c>
      <c r="K2359" s="5" t="s">
        <v>15173</v>
      </c>
      <c r="L2359" s="13">
        <v>126652046</v>
      </c>
      <c r="M2359" t="str">
        <f>VLOOKUP(L2359,[1]DevMouse!$B$2:$C$2693,2,FALSE)</f>
        <v>v_SpR</v>
      </c>
    </row>
    <row r="2360" spans="2:13" x14ac:dyDescent="0.25">
      <c r="B2360" s="31" t="s">
        <v>26303</v>
      </c>
      <c r="C2360" s="20"/>
      <c r="D2360" s="25" t="s">
        <v>26185</v>
      </c>
      <c r="E2360" s="20" t="s">
        <v>26300</v>
      </c>
      <c r="F2360" s="9" t="str">
        <f t="shared" si="31"/>
        <v>regional part of spinal cord</v>
      </c>
      <c r="G2360" s="9" t="s">
        <v>4468</v>
      </c>
      <c r="H2360" s="9" t="s">
        <v>18643</v>
      </c>
      <c r="I2360" s="9" t="s">
        <v>4527</v>
      </c>
      <c r="J2360" s="9" t="s">
        <v>4528</v>
      </c>
      <c r="K2360" s="5" t="s">
        <v>15173</v>
      </c>
      <c r="L2360" s="13">
        <v>126652050</v>
      </c>
      <c r="M2360" t="str">
        <f>VLOOKUP(L2360,[1]DevMouse!$B$2:$C$2693,2,FALSE)</f>
        <v>v_SpA</v>
      </c>
    </row>
    <row r="2361" spans="2:13" x14ac:dyDescent="0.25">
      <c r="B2361" s="31" t="s">
        <v>26303</v>
      </c>
      <c r="C2361" s="20"/>
      <c r="D2361" s="25" t="s">
        <v>26185</v>
      </c>
      <c r="E2361" s="20" t="s">
        <v>26300</v>
      </c>
      <c r="F2361" s="9" t="str">
        <f t="shared" si="31"/>
        <v>regional part of spinal cord</v>
      </c>
      <c r="G2361" s="9" t="s">
        <v>4468</v>
      </c>
      <c r="H2361" s="9" t="s">
        <v>18644</v>
      </c>
      <c r="I2361" s="9" t="s">
        <v>4529</v>
      </c>
      <c r="J2361" s="9" t="s">
        <v>4530</v>
      </c>
      <c r="K2361" s="5" t="s">
        <v>15173</v>
      </c>
      <c r="L2361" s="13">
        <v>126652054</v>
      </c>
      <c r="M2361" t="str">
        <f>VLOOKUP(L2361,[1]DevMouse!$B$2:$C$2693,2,FALSE)</f>
        <v>v_SpB</v>
      </c>
    </row>
    <row r="2362" spans="2:13" x14ac:dyDescent="0.25">
      <c r="B2362" s="31" t="s">
        <v>26303</v>
      </c>
      <c r="C2362" s="20"/>
      <c r="D2362" s="25" t="s">
        <v>26185</v>
      </c>
      <c r="E2362" s="20" t="s">
        <v>26300</v>
      </c>
      <c r="F2362" s="9" t="str">
        <f t="shared" si="31"/>
        <v>regional part of spinal cord</v>
      </c>
      <c r="G2362" s="9" t="s">
        <v>4468</v>
      </c>
      <c r="H2362" s="9" t="s">
        <v>18645</v>
      </c>
      <c r="I2362" s="9" t="s">
        <v>4531</v>
      </c>
      <c r="J2362" s="9" t="s">
        <v>4532</v>
      </c>
      <c r="K2362" s="5" t="s">
        <v>15173</v>
      </c>
      <c r="L2362" s="13">
        <v>126652058</v>
      </c>
      <c r="M2362" t="str">
        <f>VLOOKUP(L2362,[1]DevMouse!$B$2:$C$2693,2,FALSE)</f>
        <v>v_SpF</v>
      </c>
    </row>
    <row r="2363" spans="2:13" x14ac:dyDescent="0.25">
      <c r="B2363" s="31" t="s">
        <v>26303</v>
      </c>
      <c r="C2363" s="20"/>
      <c r="D2363" s="25" t="s">
        <v>26185</v>
      </c>
      <c r="E2363" s="20" t="s">
        <v>26300</v>
      </c>
      <c r="F2363" s="9" t="str">
        <f t="shared" si="31"/>
        <v>regional part of spinal cord</v>
      </c>
      <c r="G2363" s="9" t="s">
        <v>4468</v>
      </c>
      <c r="H2363" s="9" t="s">
        <v>18320</v>
      </c>
      <c r="I2363" s="9" t="s">
        <v>4533</v>
      </c>
      <c r="J2363" s="9" t="s">
        <v>4534</v>
      </c>
      <c r="K2363" s="5" t="s">
        <v>15173</v>
      </c>
      <c r="L2363" s="13">
        <v>17652</v>
      </c>
      <c r="M2363" t="str">
        <f>VLOOKUP(L2363,[1]DevMouse!$B$2:$C$2693,2,FALSE)</f>
        <v>SpR</v>
      </c>
    </row>
    <row r="2364" spans="2:13" x14ac:dyDescent="0.25">
      <c r="B2364" s="31" t="s">
        <v>26303</v>
      </c>
      <c r="C2364" s="20"/>
      <c r="D2364" s="25" t="s">
        <v>26185</v>
      </c>
      <c r="E2364" s="20" t="s">
        <v>26300</v>
      </c>
      <c r="F2364" s="9" t="str">
        <f t="shared" si="31"/>
        <v>regional part of spinal cord</v>
      </c>
      <c r="G2364" s="9" t="s">
        <v>4468</v>
      </c>
      <c r="H2364" s="9" t="s">
        <v>18321</v>
      </c>
      <c r="I2364" s="9" t="s">
        <v>4535</v>
      </c>
      <c r="J2364" s="9" t="s">
        <v>4536</v>
      </c>
      <c r="K2364" s="5" t="s">
        <v>15173</v>
      </c>
      <c r="L2364" s="13">
        <v>17653</v>
      </c>
      <c r="M2364" t="str">
        <f>VLOOKUP(L2364,[1]DevMouse!$B$2:$C$2693,2,FALSE)</f>
        <v>SpA</v>
      </c>
    </row>
    <row r="2365" spans="2:13" x14ac:dyDescent="0.25">
      <c r="B2365" s="31" t="s">
        <v>26303</v>
      </c>
      <c r="C2365" s="20"/>
      <c r="D2365" s="25" t="s">
        <v>26185</v>
      </c>
      <c r="E2365" s="20" t="s">
        <v>26300</v>
      </c>
      <c r="F2365" s="9" t="str">
        <f t="shared" si="31"/>
        <v>regional part of spinal cord</v>
      </c>
      <c r="G2365" s="9" t="s">
        <v>4468</v>
      </c>
      <c r="H2365" s="9" t="s">
        <v>18324</v>
      </c>
      <c r="I2365" s="9" t="s">
        <v>4537</v>
      </c>
      <c r="J2365" s="9" t="s">
        <v>4538</v>
      </c>
      <c r="K2365" s="5" t="s">
        <v>15173</v>
      </c>
      <c r="L2365" s="13">
        <v>17654</v>
      </c>
      <c r="M2365" t="str">
        <f>VLOOKUP(L2365,[1]DevMouse!$B$2:$C$2693,2,FALSE)</f>
        <v>SpAM</v>
      </c>
    </row>
    <row r="2366" spans="2:13" x14ac:dyDescent="0.25">
      <c r="B2366" s="31" t="s">
        <v>26303</v>
      </c>
      <c r="C2366" s="20"/>
      <c r="D2366" s="25" t="s">
        <v>26185</v>
      </c>
      <c r="E2366" s="20" t="s">
        <v>26300</v>
      </c>
      <c r="F2366" s="9" t="str">
        <f t="shared" si="31"/>
        <v>regional part of spinal cord</v>
      </c>
      <c r="G2366" s="9" t="s">
        <v>4468</v>
      </c>
      <c r="H2366" s="9" t="s">
        <v>18325</v>
      </c>
      <c r="I2366" s="9" t="s">
        <v>4539</v>
      </c>
      <c r="J2366" s="9" t="s">
        <v>4540</v>
      </c>
      <c r="K2366" s="5" t="s">
        <v>15173</v>
      </c>
      <c r="L2366" s="13">
        <v>17655</v>
      </c>
      <c r="M2366" t="str">
        <f>VLOOKUP(L2366,[1]DevMouse!$B$2:$C$2693,2,FALSE)</f>
        <v>SpAMv</v>
      </c>
    </row>
    <row r="2367" spans="2:13" x14ac:dyDescent="0.25">
      <c r="B2367" s="31" t="s">
        <v>26303</v>
      </c>
      <c r="C2367" s="20"/>
      <c r="D2367" s="25" t="s">
        <v>26185</v>
      </c>
      <c r="E2367" s="20" t="s">
        <v>26300</v>
      </c>
      <c r="F2367" s="9" t="str">
        <f t="shared" si="31"/>
        <v>regional part of spinal cord</v>
      </c>
      <c r="G2367" s="9" t="s">
        <v>4468</v>
      </c>
      <c r="H2367" s="9" t="s">
        <v>18326</v>
      </c>
      <c r="I2367" s="9" t="s">
        <v>4541</v>
      </c>
      <c r="J2367" s="9" t="s">
        <v>4542</v>
      </c>
      <c r="K2367" s="5" t="s">
        <v>15173</v>
      </c>
      <c r="L2367" s="13">
        <v>17656</v>
      </c>
      <c r="M2367" t="str">
        <f>VLOOKUP(L2367,[1]DevMouse!$B$2:$C$2693,2,FALSE)</f>
        <v>SpAMm</v>
      </c>
    </row>
    <row r="2368" spans="2:13" x14ac:dyDescent="0.25">
      <c r="B2368" s="31" t="s">
        <v>26303</v>
      </c>
      <c r="C2368" s="20"/>
      <c r="D2368" s="25" t="s">
        <v>26185</v>
      </c>
      <c r="E2368" s="20" t="s">
        <v>26300</v>
      </c>
      <c r="F2368" s="9" t="str">
        <f t="shared" si="31"/>
        <v>regional part of spinal cord</v>
      </c>
      <c r="G2368" s="9" t="s">
        <v>4468</v>
      </c>
      <c r="H2368" s="9" t="s">
        <v>18327</v>
      </c>
      <c r="I2368" s="9" t="s">
        <v>4543</v>
      </c>
      <c r="J2368" s="9" t="s">
        <v>4544</v>
      </c>
      <c r="K2368" s="5" t="s">
        <v>15173</v>
      </c>
      <c r="L2368" s="13">
        <v>17657</v>
      </c>
      <c r="M2368" t="str">
        <f>VLOOKUP(L2368,[1]DevMouse!$B$2:$C$2693,2,FALSE)</f>
        <v>SpAMp</v>
      </c>
    </row>
    <row r="2369" spans="2:13" x14ac:dyDescent="0.25">
      <c r="B2369" s="31" t="s">
        <v>26303</v>
      </c>
      <c r="C2369" s="20"/>
      <c r="D2369" s="25" t="s">
        <v>26185</v>
      </c>
      <c r="E2369" s="25" t="s">
        <v>26307</v>
      </c>
      <c r="F2369" s="9" t="str">
        <f t="shared" si="31"/>
        <v>regional part of spinal cord</v>
      </c>
      <c r="G2369" s="9" t="s">
        <v>4468</v>
      </c>
      <c r="H2369" s="9" t="s">
        <v>18328</v>
      </c>
      <c r="I2369" s="9" t="s">
        <v>4545</v>
      </c>
      <c r="J2369" s="9" t="s">
        <v>4546</v>
      </c>
      <c r="K2369" s="5" t="s">
        <v>15173</v>
      </c>
      <c r="L2369" s="13">
        <v>17658</v>
      </c>
      <c r="M2369" t="str">
        <f>VLOOKUP(L2369,[1]DevMouse!$B$2:$C$2693,2,FALSE)</f>
        <v>AM10Sp</v>
      </c>
    </row>
    <row r="2370" spans="2:13" x14ac:dyDescent="0.25">
      <c r="B2370" s="31" t="s">
        <v>26303</v>
      </c>
      <c r="C2370" s="20"/>
      <c r="D2370" s="25" t="s">
        <v>26185</v>
      </c>
      <c r="E2370" s="20" t="s">
        <v>26300</v>
      </c>
      <c r="F2370" s="9" t="str">
        <f t="shared" si="31"/>
        <v>regional part of spinal cord</v>
      </c>
      <c r="G2370" s="9" t="s">
        <v>4468</v>
      </c>
      <c r="H2370" s="9" t="s">
        <v>18329</v>
      </c>
      <c r="I2370" s="9" t="s">
        <v>4547</v>
      </c>
      <c r="J2370" s="9" t="s">
        <v>4548</v>
      </c>
      <c r="K2370" s="5" t="s">
        <v>15173</v>
      </c>
      <c r="L2370" s="13">
        <v>17659</v>
      </c>
      <c r="M2370" t="str">
        <f>VLOOKUP(L2370,[1]DevMouse!$B$2:$C$2693,2,FALSE)</f>
        <v>SpAMi</v>
      </c>
    </row>
    <row r="2371" spans="2:13" x14ac:dyDescent="0.25">
      <c r="B2371" s="31" t="s">
        <v>26303</v>
      </c>
      <c r="C2371" s="20"/>
      <c r="D2371" s="25" t="s">
        <v>26185</v>
      </c>
      <c r="E2371" s="25" t="s">
        <v>26300</v>
      </c>
      <c r="F2371" s="9" t="str">
        <f t="shared" si="31"/>
        <v>regional part of spinal cord</v>
      </c>
      <c r="G2371" s="9" t="s">
        <v>4468</v>
      </c>
      <c r="H2371" s="9" t="s">
        <v>18330</v>
      </c>
      <c r="I2371" s="9" t="s">
        <v>4549</v>
      </c>
      <c r="J2371" s="9" t="s">
        <v>4550</v>
      </c>
      <c r="K2371" s="5" t="s">
        <v>15173</v>
      </c>
      <c r="L2371" s="13">
        <v>17660</v>
      </c>
      <c r="M2371" t="str">
        <f>VLOOKUP(L2371,[1]DevMouse!$B$2:$C$2693,2,FALSE)</f>
        <v>4SpCC</v>
      </c>
    </row>
    <row r="2372" spans="2:13" x14ac:dyDescent="0.25">
      <c r="B2372" s="31" t="s">
        <v>26303</v>
      </c>
      <c r="C2372" s="25"/>
      <c r="D2372" s="25" t="s">
        <v>26185</v>
      </c>
      <c r="E2372" s="25" t="s">
        <v>26300</v>
      </c>
      <c r="F2372" s="9" t="str">
        <f t="shared" si="31"/>
        <v>regional part of spinal cord</v>
      </c>
      <c r="G2372" s="9" t="s">
        <v>4468</v>
      </c>
      <c r="H2372" s="9" t="s">
        <v>18331</v>
      </c>
      <c r="I2372" s="9" t="s">
        <v>4551</v>
      </c>
      <c r="J2372" s="9" t="s">
        <v>4552</v>
      </c>
      <c r="K2372" s="5" t="s">
        <v>15173</v>
      </c>
      <c r="L2372" s="13">
        <v>17661</v>
      </c>
      <c r="M2372" t="str">
        <f>VLOOKUP(L2372,[1]DevMouse!$B$2:$C$2693,2,FALSE)</f>
        <v>IB</v>
      </c>
    </row>
    <row r="2373" spans="2:13" x14ac:dyDescent="0.25">
      <c r="B2373" s="31" t="s">
        <v>26303</v>
      </c>
      <c r="C2373" s="20"/>
      <c r="D2373" s="25" t="s">
        <v>26185</v>
      </c>
      <c r="E2373" s="25" t="s">
        <v>26300</v>
      </c>
      <c r="F2373" s="9" t="str">
        <f t="shared" si="31"/>
        <v>regional part of spinal cord</v>
      </c>
      <c r="G2373" s="9" t="s">
        <v>4468</v>
      </c>
      <c r="H2373" s="9" t="s">
        <v>18332</v>
      </c>
      <c r="I2373" s="9" t="s">
        <v>4553</v>
      </c>
      <c r="J2373" s="9" t="s">
        <v>4554</v>
      </c>
      <c r="K2373" s="5" t="s">
        <v>15173</v>
      </c>
      <c r="L2373" s="13">
        <v>17662</v>
      </c>
      <c r="M2373" t="str">
        <f>VLOOKUP(L2373,[1]DevMouse!$B$2:$C$2693,2,FALSE)</f>
        <v>Dth</v>
      </c>
    </row>
    <row r="2374" spans="2:13" x14ac:dyDescent="0.25">
      <c r="B2374" s="31" t="s">
        <v>26303</v>
      </c>
      <c r="C2374" s="20"/>
      <c r="D2374" s="25" t="s">
        <v>26185</v>
      </c>
      <c r="E2374" s="25" t="s">
        <v>26300</v>
      </c>
      <c r="F2374" s="9" t="str">
        <f t="shared" si="31"/>
        <v>regional part of spinal cord</v>
      </c>
      <c r="G2374" s="9" t="s">
        <v>4468</v>
      </c>
      <c r="H2374" s="9" t="s">
        <v>18333</v>
      </c>
      <c r="I2374" s="9" t="s">
        <v>4555</v>
      </c>
      <c r="J2374" s="9" t="s">
        <v>4556</v>
      </c>
      <c r="K2374" s="5" t="s">
        <v>15173</v>
      </c>
      <c r="L2374" s="13">
        <v>17663</v>
      </c>
      <c r="M2374" t="str">
        <f>VLOOKUP(L2374,[1]DevMouse!$B$2:$C$2693,2,FALSE)</f>
        <v>LuDCom</v>
      </c>
    </row>
    <row r="2375" spans="2:13" x14ac:dyDescent="0.25">
      <c r="B2375" s="31" t="s">
        <v>26303</v>
      </c>
      <c r="C2375" s="20"/>
      <c r="D2375" s="25" t="s">
        <v>26185</v>
      </c>
      <c r="E2375" s="25" t="s">
        <v>26300</v>
      </c>
      <c r="F2375" s="9" t="str">
        <f t="shared" si="31"/>
        <v>regional part of spinal cord</v>
      </c>
      <c r="G2375" s="9" t="s">
        <v>4468</v>
      </c>
      <c r="H2375" s="9" t="s">
        <v>18334</v>
      </c>
      <c r="I2375" s="9" t="s">
        <v>4557</v>
      </c>
      <c r="J2375" s="9" t="s">
        <v>4558</v>
      </c>
      <c r="K2375" s="5" t="s">
        <v>15173</v>
      </c>
      <c r="L2375" s="13">
        <v>17664</v>
      </c>
      <c r="M2375" t="str">
        <f>VLOOKUP(L2375,[1]DevMouse!$B$2:$C$2693,2,FALSE)</f>
        <v>SDCom</v>
      </c>
    </row>
    <row r="2376" spans="2:13" x14ac:dyDescent="0.25">
      <c r="B2376" s="31" t="s">
        <v>26303</v>
      </c>
      <c r="C2376" s="20"/>
      <c r="D2376" s="25" t="s">
        <v>26185</v>
      </c>
      <c r="E2376" s="20" t="s">
        <v>26300</v>
      </c>
      <c r="F2376" s="9" t="str">
        <f t="shared" si="31"/>
        <v>regional part of spinal cord</v>
      </c>
      <c r="G2376" s="9" t="s">
        <v>4468</v>
      </c>
      <c r="H2376" s="9" t="s">
        <v>18335</v>
      </c>
      <c r="I2376" s="9" t="s">
        <v>4559</v>
      </c>
      <c r="J2376" s="9" t="s">
        <v>4560</v>
      </c>
      <c r="K2376" s="5" t="s">
        <v>15173</v>
      </c>
      <c r="L2376" s="13">
        <v>17665</v>
      </c>
      <c r="M2376" t="str">
        <f>VLOOKUP(L2376,[1]DevMouse!$B$2:$C$2693,2,FALSE)</f>
        <v>SpAMs</v>
      </c>
    </row>
    <row r="2377" spans="2:13" x14ac:dyDescent="0.25">
      <c r="B2377" s="31" t="s">
        <v>26303</v>
      </c>
      <c r="C2377" s="20"/>
      <c r="D2377" s="25" t="s">
        <v>26185</v>
      </c>
      <c r="E2377" s="20" t="s">
        <v>26300</v>
      </c>
      <c r="F2377" s="9" t="str">
        <f t="shared" si="31"/>
        <v>regional part of spinal cord</v>
      </c>
      <c r="G2377" s="9" t="s">
        <v>4468</v>
      </c>
      <c r="H2377" s="9" t="s">
        <v>18336</v>
      </c>
      <c r="I2377" s="9" t="s">
        <v>4561</v>
      </c>
      <c r="J2377" s="9" t="s">
        <v>4562</v>
      </c>
      <c r="K2377" s="5" t="s">
        <v>15173</v>
      </c>
      <c r="L2377" s="13">
        <v>17666</v>
      </c>
      <c r="M2377" t="str">
        <f>VLOOKUP(L2377,[1]DevMouse!$B$2:$C$2693,2,FALSE)</f>
        <v>SpAL</v>
      </c>
    </row>
    <row r="2378" spans="2:13" x14ac:dyDescent="0.25">
      <c r="B2378" s="31" t="s">
        <v>26303</v>
      </c>
      <c r="C2378" s="20"/>
      <c r="D2378" s="25" t="s">
        <v>26185</v>
      </c>
      <c r="E2378" s="20" t="s">
        <v>26300</v>
      </c>
      <c r="F2378" s="9" t="str">
        <f t="shared" si="31"/>
        <v>regional part of spinal cord</v>
      </c>
      <c r="G2378" s="9" t="s">
        <v>4468</v>
      </c>
      <c r="H2378" s="9" t="s">
        <v>18337</v>
      </c>
      <c r="I2378" s="9" t="s">
        <v>4563</v>
      </c>
      <c r="J2378" s="9" t="s">
        <v>4564</v>
      </c>
      <c r="K2378" s="5" t="s">
        <v>15173</v>
      </c>
      <c r="L2378" s="13">
        <v>17667</v>
      </c>
      <c r="M2378" t="str">
        <f>VLOOKUP(L2378,[1]DevMouse!$B$2:$C$2693,2,FALSE)</f>
        <v>SpALv</v>
      </c>
    </row>
    <row r="2379" spans="2:13" x14ac:dyDescent="0.25">
      <c r="B2379" s="31" t="s">
        <v>26303</v>
      </c>
      <c r="C2379" s="20"/>
      <c r="D2379" s="25" t="s">
        <v>26185</v>
      </c>
      <c r="E2379" s="25" t="s">
        <v>26307</v>
      </c>
      <c r="F2379" s="9" t="str">
        <f t="shared" si="31"/>
        <v>regional part of spinal cord</v>
      </c>
      <c r="G2379" s="9" t="s">
        <v>4468</v>
      </c>
      <c r="H2379" s="9" t="s">
        <v>18338</v>
      </c>
      <c r="I2379" s="9" t="s">
        <v>4565</v>
      </c>
      <c r="J2379" s="9" t="s">
        <v>4566</v>
      </c>
      <c r="K2379" s="5" t="s">
        <v>15173</v>
      </c>
      <c r="L2379" s="13">
        <v>17668</v>
      </c>
      <c r="M2379" t="str">
        <f>VLOOKUP(L2379,[1]DevMouse!$B$2:$C$2693,2,FALSE)</f>
        <v>AL10Sp</v>
      </c>
    </row>
    <row r="2380" spans="2:13" x14ac:dyDescent="0.25">
      <c r="B2380" s="31" t="s">
        <v>26303</v>
      </c>
      <c r="C2380" s="20"/>
      <c r="D2380" s="25" t="s">
        <v>26185</v>
      </c>
      <c r="E2380" s="20" t="s">
        <v>26300</v>
      </c>
      <c r="F2380" s="9" t="str">
        <f t="shared" si="31"/>
        <v>regional part of spinal cord</v>
      </c>
      <c r="G2380" s="9" t="s">
        <v>4468</v>
      </c>
      <c r="H2380" s="9" t="s">
        <v>18339</v>
      </c>
      <c r="I2380" s="9" t="s">
        <v>4567</v>
      </c>
      <c r="J2380" s="9" t="s">
        <v>4568</v>
      </c>
      <c r="K2380" s="5" t="s">
        <v>15173</v>
      </c>
      <c r="L2380" s="13">
        <v>17669</v>
      </c>
      <c r="M2380" t="str">
        <f>VLOOKUP(L2380,[1]DevMouse!$B$2:$C$2693,2,FALSE)</f>
        <v>SpALm</v>
      </c>
    </row>
    <row r="2381" spans="2:13" x14ac:dyDescent="0.25">
      <c r="B2381" s="31" t="s">
        <v>26303</v>
      </c>
      <c r="C2381" s="20"/>
      <c r="D2381" s="25" t="s">
        <v>26185</v>
      </c>
      <c r="E2381" s="20" t="s">
        <v>26300</v>
      </c>
      <c r="F2381" s="9" t="str">
        <f t="shared" si="31"/>
        <v>regional part of spinal cord</v>
      </c>
      <c r="G2381" s="9" t="s">
        <v>4468</v>
      </c>
      <c r="H2381" s="9" t="s">
        <v>18340</v>
      </c>
      <c r="I2381" s="9" t="s">
        <v>4569</v>
      </c>
      <c r="J2381" s="9" t="s">
        <v>4570</v>
      </c>
      <c r="K2381" s="5" t="s">
        <v>15173</v>
      </c>
      <c r="L2381" s="13">
        <v>17670</v>
      </c>
      <c r="M2381" t="str">
        <f>VLOOKUP(L2381,[1]DevMouse!$B$2:$C$2693,2,FALSE)</f>
        <v>SpALp</v>
      </c>
    </row>
    <row r="2382" spans="2:13" x14ac:dyDescent="0.25">
      <c r="B2382" s="31" t="s">
        <v>26303</v>
      </c>
      <c r="C2382" s="20"/>
      <c r="D2382" s="25" t="s">
        <v>26185</v>
      </c>
      <c r="E2382" s="20" t="s">
        <v>26300</v>
      </c>
      <c r="F2382" s="9" t="str">
        <f t="shared" si="31"/>
        <v>regional part of spinal cord</v>
      </c>
      <c r="G2382" s="9" t="s">
        <v>4468</v>
      </c>
      <c r="H2382" s="9" t="s">
        <v>18341</v>
      </c>
      <c r="I2382" s="9" t="s">
        <v>4571</v>
      </c>
      <c r="J2382" s="9" t="s">
        <v>4572</v>
      </c>
      <c r="K2382" s="5" t="s">
        <v>15173</v>
      </c>
      <c r="L2382" s="13">
        <v>17671</v>
      </c>
      <c r="M2382" t="str">
        <f>VLOOKUP(L2382,[1]DevMouse!$B$2:$C$2693,2,FALSE)</f>
        <v>SpALi</v>
      </c>
    </row>
    <row r="2383" spans="2:13" x14ac:dyDescent="0.25">
      <c r="B2383" s="31" t="s">
        <v>26303</v>
      </c>
      <c r="C2383" s="20"/>
      <c r="D2383" s="25" t="s">
        <v>26185</v>
      </c>
      <c r="E2383" s="25" t="s">
        <v>26307</v>
      </c>
      <c r="F2383" s="9" t="str">
        <f t="shared" si="31"/>
        <v>regional part of spinal cord</v>
      </c>
      <c r="G2383" s="9" t="s">
        <v>4468</v>
      </c>
      <c r="H2383" s="9" t="s">
        <v>18342</v>
      </c>
      <c r="I2383" s="9" t="s">
        <v>4573</v>
      </c>
      <c r="J2383" s="9" t="s">
        <v>4574</v>
      </c>
      <c r="K2383" s="5" t="s">
        <v>15173</v>
      </c>
      <c r="L2383" s="13">
        <v>17672</v>
      </c>
      <c r="M2383" t="str">
        <f>VLOOKUP(L2383,[1]DevMouse!$B$2:$C$2693,2,FALSE)</f>
        <v>3Sp</v>
      </c>
    </row>
    <row r="2384" spans="2:13" x14ac:dyDescent="0.25">
      <c r="B2384" s="31" t="s">
        <v>26303</v>
      </c>
      <c r="C2384" s="20"/>
      <c r="D2384" s="25" t="s">
        <v>26185</v>
      </c>
      <c r="E2384" s="25" t="s">
        <v>26307</v>
      </c>
      <c r="F2384" s="9" t="str">
        <f t="shared" si="31"/>
        <v>regional part of spinal cord</v>
      </c>
      <c r="G2384" s="9" t="s">
        <v>4468</v>
      </c>
      <c r="H2384" s="9" t="s">
        <v>18343</v>
      </c>
      <c r="I2384" s="9" t="s">
        <v>4575</v>
      </c>
      <c r="J2384" s="9" t="s">
        <v>4576</v>
      </c>
      <c r="K2384" s="5" t="s">
        <v>15173</v>
      </c>
      <c r="L2384" s="13">
        <v>17673</v>
      </c>
      <c r="M2384" t="str">
        <f>VLOOKUP(L2384,[1]DevMouse!$B$2:$C$2693,2,FALSE)</f>
        <v>4SpL</v>
      </c>
    </row>
    <row r="2385" spans="2:13" x14ac:dyDescent="0.25">
      <c r="B2385" s="31" t="s">
        <v>26303</v>
      </c>
      <c r="C2385" s="20"/>
      <c r="D2385" s="25" t="s">
        <v>26185</v>
      </c>
      <c r="E2385" s="20" t="s">
        <v>26300</v>
      </c>
      <c r="F2385" s="9" t="str">
        <f t="shared" si="31"/>
        <v>regional part of spinal cord</v>
      </c>
      <c r="G2385" s="9" t="s">
        <v>4468</v>
      </c>
      <c r="H2385" s="9" t="s">
        <v>18344</v>
      </c>
      <c r="I2385" s="9" t="s">
        <v>4577</v>
      </c>
      <c r="J2385" s="9" t="s">
        <v>4578</v>
      </c>
      <c r="K2385" s="5" t="s">
        <v>15173</v>
      </c>
      <c r="L2385" s="13">
        <v>17674</v>
      </c>
      <c r="M2385" t="str">
        <f>VLOOKUP(L2385,[1]DevMouse!$B$2:$C$2693,2,FALSE)</f>
        <v>SpALs</v>
      </c>
    </row>
    <row r="2386" spans="2:13" x14ac:dyDescent="0.25">
      <c r="B2386" s="31" t="s">
        <v>26303</v>
      </c>
      <c r="C2386" s="20"/>
      <c r="D2386" s="25" t="s">
        <v>26185</v>
      </c>
      <c r="E2386" s="25" t="s">
        <v>26307</v>
      </c>
      <c r="F2386" s="9" t="str">
        <f t="shared" si="31"/>
        <v>regional part of spinal cord</v>
      </c>
      <c r="G2386" s="9" t="s">
        <v>4468</v>
      </c>
      <c r="H2386" s="9" t="s">
        <v>18345</v>
      </c>
      <c r="I2386" s="9" t="s">
        <v>4579</v>
      </c>
      <c r="J2386" s="9" t="s">
        <v>4580</v>
      </c>
      <c r="K2386" s="5" t="s">
        <v>15173</v>
      </c>
      <c r="L2386" s="13">
        <v>17675</v>
      </c>
      <c r="M2386" t="str">
        <f>VLOOKUP(L2386,[1]DevMouse!$B$2:$C$2693,2,FALSE)</f>
        <v>1Sp</v>
      </c>
    </row>
    <row r="2387" spans="2:13" x14ac:dyDescent="0.25">
      <c r="B2387" s="31" t="s">
        <v>26303</v>
      </c>
      <c r="C2387" s="20"/>
      <c r="D2387" s="25" t="s">
        <v>26185</v>
      </c>
      <c r="E2387" s="25" t="s">
        <v>26307</v>
      </c>
      <c r="F2387" s="9" t="str">
        <f t="shared" si="31"/>
        <v>regional part of spinal cord</v>
      </c>
      <c r="G2387" s="9" t="s">
        <v>4468</v>
      </c>
      <c r="H2387" s="9" t="s">
        <v>18346</v>
      </c>
      <c r="I2387" s="9" t="s">
        <v>4581</v>
      </c>
      <c r="J2387" s="9" t="s">
        <v>4582</v>
      </c>
      <c r="K2387" s="5" t="s">
        <v>15173</v>
      </c>
      <c r="L2387" s="13">
        <v>17676</v>
      </c>
      <c r="M2387" t="str">
        <f>VLOOKUP(L2387,[1]DevMouse!$B$2:$C$2693,2,FALSE)</f>
        <v>2Sp</v>
      </c>
    </row>
    <row r="2388" spans="2:13" x14ac:dyDescent="0.25">
      <c r="B2388" s="31" t="s">
        <v>26303</v>
      </c>
      <c r="C2388" s="20"/>
      <c r="D2388" s="25" t="s">
        <v>26185</v>
      </c>
      <c r="E2388" s="20" t="s">
        <v>26300</v>
      </c>
      <c r="F2388" s="9" t="str">
        <f t="shared" si="31"/>
        <v>regional part of spinal cord</v>
      </c>
      <c r="G2388" s="9" t="s">
        <v>4468</v>
      </c>
      <c r="H2388" s="9" t="s">
        <v>18347</v>
      </c>
      <c r="I2388" s="9" t="s">
        <v>4583</v>
      </c>
      <c r="J2388" s="9" t="s">
        <v>4584</v>
      </c>
      <c r="K2388" s="5" t="s">
        <v>15173</v>
      </c>
      <c r="L2388" s="13">
        <v>17677</v>
      </c>
      <c r="M2388" t="str">
        <f>VLOOKUP(L2388,[1]DevMouse!$B$2:$C$2693,2,FALSE)</f>
        <v>SpAV</v>
      </c>
    </row>
    <row r="2389" spans="2:13" x14ac:dyDescent="0.25">
      <c r="B2389" s="31" t="s">
        <v>26303</v>
      </c>
      <c r="C2389" s="20"/>
      <c r="D2389" s="25" t="s">
        <v>26185</v>
      </c>
      <c r="E2389" s="20" t="s">
        <v>26300</v>
      </c>
      <c r="F2389" s="9" t="str">
        <f t="shared" si="31"/>
        <v>regional part of spinal cord</v>
      </c>
      <c r="G2389" s="9" t="s">
        <v>4468</v>
      </c>
      <c r="H2389" s="9" t="s">
        <v>18348</v>
      </c>
      <c r="I2389" s="9" t="s">
        <v>4585</v>
      </c>
      <c r="J2389" s="9" t="s">
        <v>4586</v>
      </c>
      <c r="K2389" s="5" t="s">
        <v>15173</v>
      </c>
      <c r="L2389" s="13">
        <v>17678</v>
      </c>
      <c r="M2389" t="str">
        <f>VLOOKUP(L2389,[1]DevMouse!$B$2:$C$2693,2,FALSE)</f>
        <v>SpAVv</v>
      </c>
    </row>
    <row r="2390" spans="2:13" x14ac:dyDescent="0.25">
      <c r="B2390" s="31" t="s">
        <v>26303</v>
      </c>
      <c r="C2390" s="20"/>
      <c r="D2390" s="25" t="s">
        <v>26185</v>
      </c>
      <c r="E2390" s="20" t="s">
        <v>26300</v>
      </c>
      <c r="F2390" s="9" t="str">
        <f t="shared" si="31"/>
        <v>regional part of spinal cord</v>
      </c>
      <c r="G2390" s="9" t="s">
        <v>4468</v>
      </c>
      <c r="H2390" s="9" t="s">
        <v>18349</v>
      </c>
      <c r="I2390" s="9" t="s">
        <v>4587</v>
      </c>
      <c r="J2390" s="9" t="s">
        <v>4588</v>
      </c>
      <c r="K2390" s="5" t="s">
        <v>15173</v>
      </c>
      <c r="L2390" s="13">
        <v>17679</v>
      </c>
      <c r="M2390" t="str">
        <f>VLOOKUP(L2390,[1]DevMouse!$B$2:$C$2693,2,FALSE)</f>
        <v>SpAVm</v>
      </c>
    </row>
    <row r="2391" spans="2:13" x14ac:dyDescent="0.25">
      <c r="B2391" s="31" t="s">
        <v>26303</v>
      </c>
      <c r="C2391" s="20"/>
      <c r="D2391" s="25" t="s">
        <v>26185</v>
      </c>
      <c r="E2391" s="20" t="s">
        <v>26300</v>
      </c>
      <c r="F2391" s="9" t="str">
        <f t="shared" ref="F2391:F2422" si="32">HYPERLINK("https://www.ebi.ac.uk/ols/ontologies/uberon/terms?iri=http://purl.obolibrary.org/obo/UBERON_0001948","regional part of spinal cord")</f>
        <v>regional part of spinal cord</v>
      </c>
      <c r="G2391" s="9" t="s">
        <v>4468</v>
      </c>
      <c r="H2391" s="9" t="s">
        <v>18350</v>
      </c>
      <c r="I2391" s="9" t="s">
        <v>4589</v>
      </c>
      <c r="J2391" s="9" t="s">
        <v>4590</v>
      </c>
      <c r="K2391" s="5" t="s">
        <v>15173</v>
      </c>
      <c r="L2391" s="13">
        <v>17680</v>
      </c>
      <c r="M2391" t="str">
        <f>VLOOKUP(L2391,[1]DevMouse!$B$2:$C$2693,2,FALSE)</f>
        <v>SpAVp</v>
      </c>
    </row>
    <row r="2392" spans="2:13" x14ac:dyDescent="0.25">
      <c r="B2392" s="31" t="s">
        <v>26303</v>
      </c>
      <c r="C2392" s="20"/>
      <c r="D2392" s="25" t="s">
        <v>26185</v>
      </c>
      <c r="E2392" s="25" t="s">
        <v>26307</v>
      </c>
      <c r="F2392" s="9" t="str">
        <f t="shared" si="32"/>
        <v>regional part of spinal cord</v>
      </c>
      <c r="G2392" s="9" t="s">
        <v>4468</v>
      </c>
      <c r="H2392" s="9" t="s">
        <v>18351</v>
      </c>
      <c r="I2392" s="9" t="s">
        <v>4591</v>
      </c>
      <c r="J2392" s="9" t="s">
        <v>4592</v>
      </c>
      <c r="K2392" s="5" t="s">
        <v>15173</v>
      </c>
      <c r="L2392" s="13">
        <v>17681</v>
      </c>
      <c r="M2392" t="str">
        <f>VLOOKUP(L2392,[1]DevMouse!$B$2:$C$2693,2,FALSE)</f>
        <v>AV10Sp</v>
      </c>
    </row>
    <row r="2393" spans="2:13" x14ac:dyDescent="0.25">
      <c r="B2393" s="31" t="s">
        <v>26303</v>
      </c>
      <c r="C2393" s="20"/>
      <c r="D2393" s="25" t="s">
        <v>26185</v>
      </c>
      <c r="E2393" s="20" t="s">
        <v>26300</v>
      </c>
      <c r="F2393" s="9" t="str">
        <f t="shared" si="32"/>
        <v>regional part of spinal cord</v>
      </c>
      <c r="G2393" s="9" t="s">
        <v>4468</v>
      </c>
      <c r="H2393" s="9" t="s">
        <v>18352</v>
      </c>
      <c r="I2393" s="9" t="s">
        <v>4593</v>
      </c>
      <c r="J2393" s="9" t="s">
        <v>4594</v>
      </c>
      <c r="K2393" s="5" t="s">
        <v>15173</v>
      </c>
      <c r="L2393" s="13">
        <v>17682</v>
      </c>
      <c r="M2393" t="str">
        <f>VLOOKUP(L2393,[1]DevMouse!$B$2:$C$2693,2,FALSE)</f>
        <v>SpAVi</v>
      </c>
    </row>
    <row r="2394" spans="2:13" x14ac:dyDescent="0.25">
      <c r="B2394" s="31" t="s">
        <v>26303</v>
      </c>
      <c r="C2394" s="20"/>
      <c r="D2394" s="25" t="s">
        <v>26185</v>
      </c>
      <c r="E2394" s="25" t="s">
        <v>26307</v>
      </c>
      <c r="F2394" s="9" t="str">
        <f t="shared" si="32"/>
        <v>regional part of spinal cord</v>
      </c>
      <c r="G2394" s="9" t="s">
        <v>4468</v>
      </c>
      <c r="H2394" s="9" t="s">
        <v>18353</v>
      </c>
      <c r="I2394" s="9" t="s">
        <v>4595</v>
      </c>
      <c r="J2394" s="9" t="s">
        <v>4596</v>
      </c>
      <c r="K2394" s="5" t="s">
        <v>15173</v>
      </c>
      <c r="L2394" s="13">
        <v>17683</v>
      </c>
      <c r="M2394" t="str">
        <f>VLOOKUP(L2394,[1]DevMouse!$B$2:$C$2693,2,FALSE)</f>
        <v>5Sp</v>
      </c>
    </row>
    <row r="2395" spans="2:13" x14ac:dyDescent="0.25">
      <c r="B2395" s="31" t="s">
        <v>26303</v>
      </c>
      <c r="C2395" s="20"/>
      <c r="D2395" s="25" t="s">
        <v>26185</v>
      </c>
      <c r="E2395" s="20" t="s">
        <v>26300</v>
      </c>
      <c r="F2395" s="9" t="str">
        <f t="shared" si="32"/>
        <v>regional part of spinal cord</v>
      </c>
      <c r="G2395" s="9" t="s">
        <v>4468</v>
      </c>
      <c r="H2395" s="9" t="s">
        <v>18354</v>
      </c>
      <c r="I2395" s="9" t="s">
        <v>4597</v>
      </c>
      <c r="J2395" s="9" t="s">
        <v>4598</v>
      </c>
      <c r="K2395" s="5" t="s">
        <v>15173</v>
      </c>
      <c r="L2395" s="13">
        <v>17684</v>
      </c>
      <c r="M2395" t="str">
        <f>VLOOKUP(L2395,[1]DevMouse!$B$2:$C$2693,2,FALSE)</f>
        <v>5SpM</v>
      </c>
    </row>
    <row r="2396" spans="2:13" x14ac:dyDescent="0.25">
      <c r="B2396" s="31" t="s">
        <v>26303</v>
      </c>
      <c r="C2396" s="20"/>
      <c r="D2396" s="25" t="s">
        <v>26185</v>
      </c>
      <c r="E2396" s="20" t="s">
        <v>26300</v>
      </c>
      <c r="F2396" s="9" t="str">
        <f t="shared" si="32"/>
        <v>regional part of spinal cord</v>
      </c>
      <c r="G2396" s="9" t="s">
        <v>4468</v>
      </c>
      <c r="H2396" s="9" t="s">
        <v>18355</v>
      </c>
      <c r="I2396" s="9" t="s">
        <v>4599</v>
      </c>
      <c r="J2396" s="9" t="s">
        <v>4600</v>
      </c>
      <c r="K2396" s="5" t="s">
        <v>15173</v>
      </c>
      <c r="L2396" s="13">
        <v>17685</v>
      </c>
      <c r="M2396" t="str">
        <f>VLOOKUP(L2396,[1]DevMouse!$B$2:$C$2693,2,FALSE)</f>
        <v>5SpL</v>
      </c>
    </row>
    <row r="2397" spans="2:13" x14ac:dyDescent="0.25">
      <c r="B2397" s="31" t="s">
        <v>26303</v>
      </c>
      <c r="C2397" s="20"/>
      <c r="D2397" s="25" t="s">
        <v>26185</v>
      </c>
      <c r="E2397" s="25" t="s">
        <v>26307</v>
      </c>
      <c r="F2397" s="9" t="str">
        <f t="shared" si="32"/>
        <v>regional part of spinal cord</v>
      </c>
      <c r="G2397" s="9" t="s">
        <v>4468</v>
      </c>
      <c r="H2397" s="9" t="s">
        <v>18356</v>
      </c>
      <c r="I2397" s="9" t="s">
        <v>4601</v>
      </c>
      <c r="J2397" s="9" t="s">
        <v>4602</v>
      </c>
      <c r="K2397" s="5" t="s">
        <v>15173</v>
      </c>
      <c r="L2397" s="13">
        <v>17686</v>
      </c>
      <c r="M2397" t="str">
        <f>VLOOKUP(L2397,[1]DevMouse!$B$2:$C$2693,2,FALSE)</f>
        <v>6Sp</v>
      </c>
    </row>
    <row r="2398" spans="2:13" x14ac:dyDescent="0.25">
      <c r="B2398" s="31" t="s">
        <v>26303</v>
      </c>
      <c r="C2398" s="20"/>
      <c r="D2398" s="25" t="s">
        <v>26185</v>
      </c>
      <c r="E2398" s="20" t="s">
        <v>26300</v>
      </c>
      <c r="F2398" s="9" t="str">
        <f t="shared" si="32"/>
        <v>regional part of spinal cord</v>
      </c>
      <c r="G2398" s="9" t="s">
        <v>4468</v>
      </c>
      <c r="H2398" s="9" t="s">
        <v>18357</v>
      </c>
      <c r="I2398" s="9" t="s">
        <v>4603</v>
      </c>
      <c r="J2398" s="9" t="s">
        <v>4604</v>
      </c>
      <c r="K2398" s="5" t="s">
        <v>15173</v>
      </c>
      <c r="L2398" s="13">
        <v>17687</v>
      </c>
      <c r="M2398" t="str">
        <f>VLOOKUP(L2398,[1]DevMouse!$B$2:$C$2693,2,FALSE)</f>
        <v>6SpM</v>
      </c>
    </row>
    <row r="2399" spans="2:13" x14ac:dyDescent="0.25">
      <c r="B2399" s="31" t="s">
        <v>26303</v>
      </c>
      <c r="C2399" s="20"/>
      <c r="D2399" s="25" t="s">
        <v>26185</v>
      </c>
      <c r="E2399" s="20" t="s">
        <v>26300</v>
      </c>
      <c r="F2399" s="9" t="str">
        <f t="shared" si="32"/>
        <v>regional part of spinal cord</v>
      </c>
      <c r="G2399" s="9" t="s">
        <v>4468</v>
      </c>
      <c r="H2399" s="9" t="s">
        <v>18358</v>
      </c>
      <c r="I2399" s="9" t="s">
        <v>4605</v>
      </c>
      <c r="J2399" s="9" t="s">
        <v>4606</v>
      </c>
      <c r="K2399" s="5" t="s">
        <v>15173</v>
      </c>
      <c r="L2399" s="13">
        <v>17688</v>
      </c>
      <c r="M2399" t="str">
        <f>VLOOKUP(L2399,[1]DevMouse!$B$2:$C$2693,2,FALSE)</f>
        <v>6SpL</v>
      </c>
    </row>
    <row r="2400" spans="2:13" x14ac:dyDescent="0.25">
      <c r="B2400" s="31" t="s">
        <v>26303</v>
      </c>
      <c r="C2400" s="20"/>
      <c r="D2400" s="25" t="s">
        <v>26185</v>
      </c>
      <c r="E2400" s="20" t="s">
        <v>26300</v>
      </c>
      <c r="F2400" s="9" t="str">
        <f t="shared" si="32"/>
        <v>regional part of spinal cord</v>
      </c>
      <c r="G2400" s="9" t="s">
        <v>4468</v>
      </c>
      <c r="H2400" s="9" t="s">
        <v>18359</v>
      </c>
      <c r="I2400" s="9" t="s">
        <v>4607</v>
      </c>
      <c r="J2400" s="9" t="s">
        <v>4608</v>
      </c>
      <c r="K2400" s="5" t="s">
        <v>15173</v>
      </c>
      <c r="L2400" s="13">
        <v>17689</v>
      </c>
      <c r="M2400" t="str">
        <f>VLOOKUP(L2400,[1]DevMouse!$B$2:$C$2693,2,FALSE)</f>
        <v>SpAVs</v>
      </c>
    </row>
    <row r="2401" spans="2:13" x14ac:dyDescent="0.25">
      <c r="B2401" s="31" t="s">
        <v>26303</v>
      </c>
      <c r="C2401" s="25" t="s">
        <v>2721</v>
      </c>
      <c r="D2401" s="25" t="s">
        <v>26185</v>
      </c>
      <c r="E2401" s="25"/>
      <c r="F2401" s="9" t="str">
        <f t="shared" si="32"/>
        <v>regional part of spinal cord</v>
      </c>
      <c r="G2401" s="9" t="s">
        <v>4468</v>
      </c>
      <c r="H2401" s="9" t="s">
        <v>18360</v>
      </c>
      <c r="I2401" s="9" t="s">
        <v>2721</v>
      </c>
      <c r="J2401" s="9" t="s">
        <v>2722</v>
      </c>
      <c r="K2401" s="5" t="s">
        <v>15173</v>
      </c>
      <c r="L2401" s="13">
        <v>17690</v>
      </c>
      <c r="M2401" t="str">
        <f>VLOOKUP(L2401,[1]DevMouse!$B$2:$C$2693,2,FALSE)</f>
        <v>LSpin</v>
      </c>
    </row>
    <row r="2402" spans="2:13" x14ac:dyDescent="0.25">
      <c r="B2402" s="31" t="s">
        <v>26303</v>
      </c>
      <c r="C2402" s="25" t="s">
        <v>2566</v>
      </c>
      <c r="D2402" s="25" t="s">
        <v>26185</v>
      </c>
      <c r="E2402" s="25"/>
      <c r="F2402" s="9" t="str">
        <f t="shared" si="32"/>
        <v>regional part of spinal cord</v>
      </c>
      <c r="G2402" s="9" t="s">
        <v>4468</v>
      </c>
      <c r="H2402" s="9" t="s">
        <v>18361</v>
      </c>
      <c r="I2402" s="9" t="s">
        <v>2566</v>
      </c>
      <c r="J2402" s="9" t="s">
        <v>2567</v>
      </c>
      <c r="K2402" s="5" t="s">
        <v>15173</v>
      </c>
      <c r="L2402" s="13">
        <v>17691</v>
      </c>
      <c r="M2402" t="str">
        <f>VLOOKUP(L2402,[1]DevMouse!$B$2:$C$2693,2,FALSE)</f>
        <v>LatC</v>
      </c>
    </row>
    <row r="2403" spans="2:13" x14ac:dyDescent="0.25">
      <c r="B2403" s="31" t="s">
        <v>26303</v>
      </c>
      <c r="C2403" s="20"/>
      <c r="D2403" s="25" t="s">
        <v>26185</v>
      </c>
      <c r="E2403" s="20" t="s">
        <v>26300</v>
      </c>
      <c r="F2403" s="9" t="str">
        <f t="shared" si="32"/>
        <v>regional part of spinal cord</v>
      </c>
      <c r="G2403" s="9" t="s">
        <v>4468</v>
      </c>
      <c r="H2403" s="9" t="s">
        <v>18362</v>
      </c>
      <c r="I2403" s="9" t="s">
        <v>4609</v>
      </c>
      <c r="J2403" s="9" t="s">
        <v>4610</v>
      </c>
      <c r="K2403" s="5" t="s">
        <v>15173</v>
      </c>
      <c r="L2403" s="13">
        <v>17692</v>
      </c>
      <c r="M2403" t="str">
        <f>VLOOKUP(L2403,[1]DevMouse!$B$2:$C$2693,2,FALSE)</f>
        <v>SpB</v>
      </c>
    </row>
    <row r="2404" spans="2:13" x14ac:dyDescent="0.25">
      <c r="B2404" s="31" t="s">
        <v>26303</v>
      </c>
      <c r="C2404" s="20"/>
      <c r="D2404" s="25" t="s">
        <v>26185</v>
      </c>
      <c r="E2404" s="20" t="s">
        <v>26300</v>
      </c>
      <c r="F2404" s="9" t="str">
        <f t="shared" si="32"/>
        <v>regional part of spinal cord</v>
      </c>
      <c r="G2404" s="9" t="s">
        <v>4468</v>
      </c>
      <c r="H2404" s="9" t="s">
        <v>18365</v>
      </c>
      <c r="I2404" s="9" t="s">
        <v>4611</v>
      </c>
      <c r="J2404" s="9" t="s">
        <v>4612</v>
      </c>
      <c r="K2404" s="5" t="s">
        <v>15173</v>
      </c>
      <c r="L2404" s="13">
        <v>17693</v>
      </c>
      <c r="M2404" t="str">
        <f>VLOOKUP(L2404,[1]DevMouse!$B$2:$C$2693,2,FALSE)</f>
        <v>SpBL</v>
      </c>
    </row>
    <row r="2405" spans="2:13" x14ac:dyDescent="0.25">
      <c r="B2405" s="31" t="s">
        <v>26303</v>
      </c>
      <c r="C2405" s="20"/>
      <c r="D2405" s="25" t="s">
        <v>26185</v>
      </c>
      <c r="E2405" s="20" t="s">
        <v>26300</v>
      </c>
      <c r="F2405" s="9" t="str">
        <f t="shared" si="32"/>
        <v>regional part of spinal cord</v>
      </c>
      <c r="G2405" s="9" t="s">
        <v>4468</v>
      </c>
      <c r="H2405" s="9" t="s">
        <v>18366</v>
      </c>
      <c r="I2405" s="9" t="s">
        <v>4613</v>
      </c>
      <c r="J2405" s="9" t="s">
        <v>4614</v>
      </c>
      <c r="K2405" s="5" t="s">
        <v>15173</v>
      </c>
      <c r="L2405" s="13">
        <v>17694</v>
      </c>
      <c r="M2405" t="str">
        <f>VLOOKUP(L2405,[1]DevMouse!$B$2:$C$2693,2,FALSE)</f>
        <v>SpBLv</v>
      </c>
    </row>
    <row r="2406" spans="2:13" x14ac:dyDescent="0.25">
      <c r="B2406" s="31" t="s">
        <v>26303</v>
      </c>
      <c r="C2406" s="20"/>
      <c r="D2406" s="25" t="s">
        <v>26185</v>
      </c>
      <c r="E2406" s="20" t="s">
        <v>26300</v>
      </c>
      <c r="F2406" s="9" t="str">
        <f t="shared" si="32"/>
        <v>regional part of spinal cord</v>
      </c>
      <c r="G2406" s="9" t="s">
        <v>4468</v>
      </c>
      <c r="H2406" s="9" t="s">
        <v>18367</v>
      </c>
      <c r="I2406" s="9" t="s">
        <v>4615</v>
      </c>
      <c r="J2406" s="9" t="s">
        <v>4616</v>
      </c>
      <c r="K2406" s="5" t="s">
        <v>15173</v>
      </c>
      <c r="L2406" s="13">
        <v>17695</v>
      </c>
      <c r="M2406" t="str">
        <f>VLOOKUP(L2406,[1]DevMouse!$B$2:$C$2693,2,FALSE)</f>
        <v>SpBLm</v>
      </c>
    </row>
    <row r="2407" spans="2:13" x14ac:dyDescent="0.25">
      <c r="B2407" s="31" t="s">
        <v>26303</v>
      </c>
      <c r="C2407" s="20"/>
      <c r="D2407" s="25" t="s">
        <v>26185</v>
      </c>
      <c r="E2407" s="20" t="s">
        <v>26300</v>
      </c>
      <c r="F2407" s="9" t="str">
        <f t="shared" si="32"/>
        <v>regional part of spinal cord</v>
      </c>
      <c r="G2407" s="9" t="s">
        <v>4468</v>
      </c>
      <c r="H2407" s="9" t="s">
        <v>18368</v>
      </c>
      <c r="I2407" s="9" t="s">
        <v>4617</v>
      </c>
      <c r="J2407" s="9" t="s">
        <v>4618</v>
      </c>
      <c r="K2407" s="5" t="s">
        <v>15173</v>
      </c>
      <c r="L2407" s="13">
        <v>17696</v>
      </c>
      <c r="M2407" t="str">
        <f>VLOOKUP(L2407,[1]DevMouse!$B$2:$C$2693,2,FALSE)</f>
        <v>SpBLp</v>
      </c>
    </row>
    <row r="2408" spans="2:13" x14ac:dyDescent="0.25">
      <c r="B2408" s="31" t="s">
        <v>26303</v>
      </c>
      <c r="C2408" s="20"/>
      <c r="D2408" s="25" t="s">
        <v>26185</v>
      </c>
      <c r="E2408" s="25" t="s">
        <v>26307</v>
      </c>
      <c r="F2408" s="9" t="str">
        <f t="shared" si="32"/>
        <v>regional part of spinal cord</v>
      </c>
      <c r="G2408" s="9" t="s">
        <v>4468</v>
      </c>
      <c r="H2408" s="9" t="s">
        <v>18369</v>
      </c>
      <c r="I2408" s="9" t="s">
        <v>4619</v>
      </c>
      <c r="J2408" s="9" t="s">
        <v>4620</v>
      </c>
      <c r="K2408" s="5" t="s">
        <v>15173</v>
      </c>
      <c r="L2408" s="13">
        <v>17697</v>
      </c>
      <c r="M2408" t="str">
        <f>VLOOKUP(L2408,[1]DevMouse!$B$2:$C$2693,2,FALSE)</f>
        <v>BL10Sp</v>
      </c>
    </row>
    <row r="2409" spans="2:13" x14ac:dyDescent="0.25">
      <c r="B2409" s="31" t="s">
        <v>26303</v>
      </c>
      <c r="C2409" s="20"/>
      <c r="D2409" s="25" t="s">
        <v>26185</v>
      </c>
      <c r="E2409" s="20" t="s">
        <v>26300</v>
      </c>
      <c r="F2409" s="9" t="str">
        <f t="shared" si="32"/>
        <v>regional part of spinal cord</v>
      </c>
      <c r="G2409" s="9" t="s">
        <v>4468</v>
      </c>
      <c r="H2409" s="9" t="s">
        <v>18370</v>
      </c>
      <c r="I2409" s="9" t="s">
        <v>4621</v>
      </c>
      <c r="J2409" s="9" t="s">
        <v>4622</v>
      </c>
      <c r="K2409" s="5" t="s">
        <v>15173</v>
      </c>
      <c r="L2409" s="13">
        <v>17698</v>
      </c>
      <c r="M2409" t="str">
        <f>VLOOKUP(L2409,[1]DevMouse!$B$2:$C$2693,2,FALSE)</f>
        <v>SpBLi</v>
      </c>
    </row>
    <row r="2410" spans="2:13" x14ac:dyDescent="0.25">
      <c r="B2410" s="31" t="s">
        <v>26303</v>
      </c>
      <c r="C2410" s="20"/>
      <c r="D2410" s="25" t="s">
        <v>26185</v>
      </c>
      <c r="E2410" s="25" t="s">
        <v>26307</v>
      </c>
      <c r="F2410" s="9" t="str">
        <f t="shared" si="32"/>
        <v>regional part of spinal cord</v>
      </c>
      <c r="G2410" s="9" t="s">
        <v>4468</v>
      </c>
      <c r="H2410" s="9" t="s">
        <v>18371</v>
      </c>
      <c r="I2410" s="9" t="s">
        <v>4623</v>
      </c>
      <c r="J2410" s="9" t="s">
        <v>4624</v>
      </c>
      <c r="K2410" s="5" t="s">
        <v>15173</v>
      </c>
      <c r="L2410" s="13">
        <v>17699</v>
      </c>
      <c r="M2410" t="str">
        <f>VLOOKUP(L2410,[1]DevMouse!$B$2:$C$2693,2,FALSE)</f>
        <v>7Sp</v>
      </c>
    </row>
    <row r="2411" spans="2:13" x14ac:dyDescent="0.25">
      <c r="B2411" s="37" t="s">
        <v>26303</v>
      </c>
      <c r="C2411" s="20"/>
      <c r="D2411" s="25" t="s">
        <v>26185</v>
      </c>
      <c r="E2411" s="25" t="s">
        <v>26300</v>
      </c>
      <c r="F2411" s="9" t="str">
        <f t="shared" si="32"/>
        <v>regional part of spinal cord</v>
      </c>
      <c r="G2411" s="9" t="s">
        <v>4468</v>
      </c>
      <c r="H2411" s="9" t="s">
        <v>18372</v>
      </c>
      <c r="I2411" s="9" t="s">
        <v>4625</v>
      </c>
      <c r="J2411" s="9" t="s">
        <v>4626</v>
      </c>
      <c r="K2411" s="5" t="s">
        <v>15173</v>
      </c>
      <c r="L2411" s="13">
        <v>17700</v>
      </c>
      <c r="M2411" t="str">
        <f>VLOOKUP(L2411,[1]DevMouse!$B$2:$C$2693,2,FALSE)</f>
        <v>LPrCb</v>
      </c>
    </row>
    <row r="2412" spans="2:13" x14ac:dyDescent="0.25">
      <c r="B2412" s="37" t="s">
        <v>26303</v>
      </c>
      <c r="C2412" s="20"/>
      <c r="D2412" s="25" t="s">
        <v>26185</v>
      </c>
      <c r="E2412" s="25" t="s">
        <v>26300</v>
      </c>
      <c r="F2412" s="9" t="str">
        <f t="shared" si="32"/>
        <v>regional part of spinal cord</v>
      </c>
      <c r="G2412" s="9" t="s">
        <v>4468</v>
      </c>
      <c r="H2412" s="9" t="s">
        <v>18373</v>
      </c>
      <c r="I2412" s="9" t="s">
        <v>4627</v>
      </c>
      <c r="J2412" s="9" t="s">
        <v>4628</v>
      </c>
      <c r="K2412" s="5" t="s">
        <v>15173</v>
      </c>
      <c r="L2412" s="13">
        <v>17701</v>
      </c>
      <c r="M2412" t="str">
        <f>VLOOKUP(L2412,[1]DevMouse!$B$2:$C$2693,2,FALSE)</f>
        <v>SPrCb</v>
      </c>
    </row>
    <row r="2413" spans="2:13" x14ac:dyDescent="0.25">
      <c r="B2413" s="31" t="s">
        <v>26303</v>
      </c>
      <c r="C2413" s="20"/>
      <c r="D2413" s="25" t="s">
        <v>26185</v>
      </c>
      <c r="E2413" s="25" t="s">
        <v>26309</v>
      </c>
      <c r="F2413" s="9" t="str">
        <f t="shared" si="32"/>
        <v>regional part of spinal cord</v>
      </c>
      <c r="G2413" s="9" t="s">
        <v>4468</v>
      </c>
      <c r="H2413" s="9" t="s">
        <v>18374</v>
      </c>
      <c r="I2413" s="9" t="s">
        <v>4629</v>
      </c>
      <c r="J2413" s="9" t="s">
        <v>4630</v>
      </c>
      <c r="K2413" s="5" t="s">
        <v>15173</v>
      </c>
      <c r="L2413" s="13">
        <v>17702</v>
      </c>
      <c r="M2413" t="str">
        <f>VLOOKUP(L2413,[1]DevMouse!$B$2:$C$2693,2,FALSE)</f>
        <v>CeCv</v>
      </c>
    </row>
    <row r="2414" spans="2:13" x14ac:dyDescent="0.25">
      <c r="B2414" s="31" t="s">
        <v>26303</v>
      </c>
      <c r="C2414" s="20"/>
      <c r="D2414" s="25" t="s">
        <v>26185</v>
      </c>
      <c r="E2414" s="25" t="s">
        <v>26300</v>
      </c>
      <c r="F2414" s="9" t="str">
        <f t="shared" si="32"/>
        <v>regional part of spinal cord</v>
      </c>
      <c r="G2414" s="9" t="s">
        <v>4468</v>
      </c>
      <c r="H2414" s="9" t="s">
        <v>18375</v>
      </c>
      <c r="I2414" s="9" t="s">
        <v>4631</v>
      </c>
      <c r="J2414" s="9" t="s">
        <v>4632</v>
      </c>
      <c r="K2414" s="5" t="s">
        <v>15173</v>
      </c>
      <c r="L2414" s="13">
        <v>17703</v>
      </c>
      <c r="M2414" t="str">
        <f>VLOOKUP(L2414,[1]DevMouse!$B$2:$C$2693,2,FALSE)</f>
        <v>VHLI</v>
      </c>
    </row>
    <row r="2415" spans="2:13" x14ac:dyDescent="0.25">
      <c r="B2415" s="36"/>
      <c r="C2415" s="20"/>
      <c r="D2415" s="25" t="s">
        <v>26185</v>
      </c>
      <c r="E2415" s="25"/>
      <c r="F2415" s="9" t="str">
        <f t="shared" si="32"/>
        <v>regional part of spinal cord</v>
      </c>
      <c r="G2415" s="9" t="s">
        <v>4468</v>
      </c>
      <c r="H2415" s="9" t="s">
        <v>18376</v>
      </c>
      <c r="I2415" s="9" t="s">
        <v>4633</v>
      </c>
      <c r="J2415" s="9" t="s">
        <v>4634</v>
      </c>
      <c r="K2415" s="5" t="s">
        <v>15173</v>
      </c>
      <c r="L2415" s="13">
        <v>17704</v>
      </c>
      <c r="M2415" t="str">
        <f>VLOOKUP(L2415,[1]DevMouse!$B$2:$C$2693,2,FALSE)</f>
        <v>TSyP</v>
      </c>
    </row>
    <row r="2416" spans="2:13" x14ac:dyDescent="0.25">
      <c r="B2416" s="31" t="s">
        <v>26303</v>
      </c>
      <c r="C2416" s="20"/>
      <c r="D2416" s="25" t="s">
        <v>26185</v>
      </c>
      <c r="E2416" s="25" t="s">
        <v>26300</v>
      </c>
      <c r="F2416" s="9" t="str">
        <f t="shared" si="32"/>
        <v>regional part of spinal cord</v>
      </c>
      <c r="G2416" s="9" t="s">
        <v>4468</v>
      </c>
      <c r="H2416" s="9" t="s">
        <v>18377</v>
      </c>
      <c r="I2416" s="9" t="s">
        <v>4635</v>
      </c>
      <c r="J2416" s="9" t="s">
        <v>4636</v>
      </c>
      <c r="K2416" s="5" t="s">
        <v>15173</v>
      </c>
      <c r="L2416" s="13">
        <v>17705</v>
      </c>
      <c r="M2416" t="str">
        <f>VLOOKUP(L2416,[1]DevMouse!$B$2:$C$2693,2,FALSE)</f>
        <v>IMM</v>
      </c>
    </row>
    <row r="2417" spans="2:13" x14ac:dyDescent="0.25">
      <c r="B2417" s="31" t="s">
        <v>26303</v>
      </c>
      <c r="C2417" s="20"/>
      <c r="D2417" s="25" t="s">
        <v>26185</v>
      </c>
      <c r="E2417" s="25" t="s">
        <v>26300</v>
      </c>
      <c r="F2417" s="9" t="str">
        <f t="shared" si="32"/>
        <v>regional part of spinal cord</v>
      </c>
      <c r="G2417" s="9" t="s">
        <v>4468</v>
      </c>
      <c r="H2417" s="9" t="s">
        <v>18378</v>
      </c>
      <c r="I2417" s="9" t="s">
        <v>4637</v>
      </c>
      <c r="J2417" s="9" t="s">
        <v>4638</v>
      </c>
      <c r="K2417" s="5" t="s">
        <v>15173</v>
      </c>
      <c r="L2417" s="13">
        <v>17706</v>
      </c>
      <c r="M2417" t="str">
        <f>VLOOKUP(L2417,[1]DevMouse!$B$2:$C$2693,2,FALSE)</f>
        <v>IML</v>
      </c>
    </row>
    <row r="2418" spans="2:13" x14ac:dyDescent="0.25">
      <c r="B2418" s="31" t="s">
        <v>26303</v>
      </c>
      <c r="C2418" s="20"/>
      <c r="D2418" s="25" t="s">
        <v>26185</v>
      </c>
      <c r="E2418" s="25" t="s">
        <v>26300</v>
      </c>
      <c r="F2418" s="9" t="str">
        <f t="shared" si="32"/>
        <v>regional part of spinal cord</v>
      </c>
      <c r="G2418" s="9" t="s">
        <v>4468</v>
      </c>
      <c r="H2418" s="9" t="s">
        <v>18379</v>
      </c>
      <c r="I2418" s="9" t="s">
        <v>4639</v>
      </c>
      <c r="J2418" s="9" t="s">
        <v>4640</v>
      </c>
      <c r="K2418" s="5" t="s">
        <v>15173</v>
      </c>
      <c r="L2418" s="13">
        <v>17707</v>
      </c>
      <c r="M2418" t="str">
        <f>VLOOKUP(L2418,[1]DevMouse!$B$2:$C$2693,2,FALSE)</f>
        <v>LDCom</v>
      </c>
    </row>
    <row r="2419" spans="2:13" x14ac:dyDescent="0.25">
      <c r="B2419" s="31" t="s">
        <v>26303</v>
      </c>
      <c r="C2419" s="20"/>
      <c r="D2419" s="25" t="s">
        <v>26185</v>
      </c>
      <c r="E2419" s="25" t="s">
        <v>26300</v>
      </c>
      <c r="F2419" s="9" t="str">
        <f t="shared" si="32"/>
        <v>regional part of spinal cord</v>
      </c>
      <c r="G2419" s="9" t="s">
        <v>4468</v>
      </c>
      <c r="H2419" s="9" t="s">
        <v>18380</v>
      </c>
      <c r="I2419" s="9" t="s">
        <v>4641</v>
      </c>
      <c r="J2419" s="9" t="s">
        <v>4642</v>
      </c>
      <c r="K2419" s="5" t="s">
        <v>15173</v>
      </c>
      <c r="L2419" s="13">
        <v>17708</v>
      </c>
      <c r="M2419" t="str">
        <f>VLOOKUP(L2419,[1]DevMouse!$B$2:$C$2693,2,FALSE)</f>
        <v>SPSy</v>
      </c>
    </row>
    <row r="2420" spans="2:13" x14ac:dyDescent="0.25">
      <c r="B2420" s="31" t="s">
        <v>26303</v>
      </c>
      <c r="C2420" s="20"/>
      <c r="D2420" s="25" t="s">
        <v>26185</v>
      </c>
      <c r="E2420" s="20" t="s">
        <v>26300</v>
      </c>
      <c r="F2420" s="9" t="str">
        <f t="shared" si="32"/>
        <v>regional part of spinal cord</v>
      </c>
      <c r="G2420" s="9" t="s">
        <v>4468</v>
      </c>
      <c r="H2420" s="9" t="s">
        <v>18381</v>
      </c>
      <c r="I2420" s="9" t="s">
        <v>4643</v>
      </c>
      <c r="J2420" s="9" t="s">
        <v>4644</v>
      </c>
      <c r="K2420" s="5" t="s">
        <v>15173</v>
      </c>
      <c r="L2420" s="13">
        <v>17709</v>
      </c>
      <c r="M2420" t="str">
        <f>VLOOKUP(L2420,[1]DevMouse!$B$2:$C$2693,2,FALSE)</f>
        <v>SpBLs</v>
      </c>
    </row>
    <row r="2421" spans="2:13" x14ac:dyDescent="0.25">
      <c r="B2421" s="31" t="s">
        <v>26303</v>
      </c>
      <c r="C2421" s="20"/>
      <c r="D2421" s="25" t="s">
        <v>26185</v>
      </c>
      <c r="E2421" s="20" t="s">
        <v>26300</v>
      </c>
      <c r="F2421" s="9" t="str">
        <f t="shared" si="32"/>
        <v>regional part of spinal cord</v>
      </c>
      <c r="G2421" s="9" t="s">
        <v>4468</v>
      </c>
      <c r="H2421" s="9" t="s">
        <v>18382</v>
      </c>
      <c r="I2421" s="9" t="s">
        <v>4645</v>
      </c>
      <c r="J2421" s="9" t="s">
        <v>4646</v>
      </c>
      <c r="K2421" s="5" t="s">
        <v>15173</v>
      </c>
      <c r="L2421" s="13">
        <v>17710</v>
      </c>
      <c r="M2421" t="str">
        <f>VLOOKUP(L2421,[1]DevMouse!$B$2:$C$2693,2,FALSE)</f>
        <v>SpBI</v>
      </c>
    </row>
    <row r="2422" spans="2:13" x14ac:dyDescent="0.25">
      <c r="B2422" s="31" t="s">
        <v>26303</v>
      </c>
      <c r="C2422" s="20"/>
      <c r="D2422" s="25" t="s">
        <v>26185</v>
      </c>
      <c r="E2422" s="20" t="s">
        <v>26300</v>
      </c>
      <c r="F2422" s="9" t="str">
        <f t="shared" si="32"/>
        <v>regional part of spinal cord</v>
      </c>
      <c r="G2422" s="9" t="s">
        <v>4468</v>
      </c>
      <c r="H2422" s="9" t="s">
        <v>18383</v>
      </c>
      <c r="I2422" s="9" t="s">
        <v>4647</v>
      </c>
      <c r="J2422" s="9" t="s">
        <v>4648</v>
      </c>
      <c r="K2422" s="5" t="s">
        <v>15173</v>
      </c>
      <c r="L2422" s="13">
        <v>17711</v>
      </c>
      <c r="M2422" t="str">
        <f>VLOOKUP(L2422,[1]DevMouse!$B$2:$C$2693,2,FALSE)</f>
        <v>SpBIv</v>
      </c>
    </row>
    <row r="2423" spans="2:13" x14ac:dyDescent="0.25">
      <c r="B2423" s="31" t="s">
        <v>26303</v>
      </c>
      <c r="C2423" s="20"/>
      <c r="D2423" s="25" t="s">
        <v>26185</v>
      </c>
      <c r="E2423" s="20" t="s">
        <v>26300</v>
      </c>
      <c r="F2423" s="9" t="str">
        <f t="shared" ref="F2423:F2455" si="33">HYPERLINK("https://www.ebi.ac.uk/ols/ontologies/uberon/terms?iri=http://purl.obolibrary.org/obo/UBERON_0001948","regional part of spinal cord")</f>
        <v>regional part of spinal cord</v>
      </c>
      <c r="G2423" s="9" t="s">
        <v>4468</v>
      </c>
      <c r="H2423" s="9" t="s">
        <v>18384</v>
      </c>
      <c r="I2423" s="9" t="s">
        <v>4649</v>
      </c>
      <c r="J2423" s="9" t="s">
        <v>4650</v>
      </c>
      <c r="K2423" s="5" t="s">
        <v>15173</v>
      </c>
      <c r="L2423" s="13">
        <v>17712</v>
      </c>
      <c r="M2423" t="str">
        <f>VLOOKUP(L2423,[1]DevMouse!$B$2:$C$2693,2,FALSE)</f>
        <v>SpBIm</v>
      </c>
    </row>
    <row r="2424" spans="2:13" x14ac:dyDescent="0.25">
      <c r="B2424" s="31" t="s">
        <v>26303</v>
      </c>
      <c r="C2424" s="20"/>
      <c r="D2424" s="25" t="s">
        <v>26185</v>
      </c>
      <c r="E2424" s="20" t="s">
        <v>26300</v>
      </c>
      <c r="F2424" s="9" t="str">
        <f t="shared" si="33"/>
        <v>regional part of spinal cord</v>
      </c>
      <c r="G2424" s="9" t="s">
        <v>4468</v>
      </c>
      <c r="H2424" s="9" t="s">
        <v>18385</v>
      </c>
      <c r="I2424" s="9" t="s">
        <v>4651</v>
      </c>
      <c r="J2424" s="9" t="s">
        <v>4652</v>
      </c>
      <c r="K2424" s="5" t="s">
        <v>15173</v>
      </c>
      <c r="L2424" s="13">
        <v>17713</v>
      </c>
      <c r="M2424" t="str">
        <f>VLOOKUP(L2424,[1]DevMouse!$B$2:$C$2693,2,FALSE)</f>
        <v>SpBIp</v>
      </c>
    </row>
    <row r="2425" spans="2:13" x14ac:dyDescent="0.25">
      <c r="B2425" s="31" t="s">
        <v>26303</v>
      </c>
      <c r="C2425" s="20"/>
      <c r="D2425" s="25" t="s">
        <v>26185</v>
      </c>
      <c r="E2425" s="25" t="s">
        <v>26307</v>
      </c>
      <c r="F2425" s="9" t="str">
        <f t="shared" si="33"/>
        <v>regional part of spinal cord</v>
      </c>
      <c r="G2425" s="9" t="s">
        <v>4468</v>
      </c>
      <c r="H2425" s="9" t="s">
        <v>18386</v>
      </c>
      <c r="I2425" s="9" t="s">
        <v>4653</v>
      </c>
      <c r="J2425" s="9" t="s">
        <v>4654</v>
      </c>
      <c r="K2425" s="5" t="s">
        <v>15173</v>
      </c>
      <c r="L2425" s="13">
        <v>17714</v>
      </c>
      <c r="M2425" t="str">
        <f>VLOOKUP(L2425,[1]DevMouse!$B$2:$C$2693,2,FALSE)</f>
        <v>BI10Sp</v>
      </c>
    </row>
    <row r="2426" spans="2:13" x14ac:dyDescent="0.25">
      <c r="B2426" s="31" t="s">
        <v>26303</v>
      </c>
      <c r="C2426" s="20"/>
      <c r="D2426" s="25" t="s">
        <v>26185</v>
      </c>
      <c r="E2426" s="20" t="s">
        <v>26300</v>
      </c>
      <c r="F2426" s="9" t="str">
        <f t="shared" si="33"/>
        <v>regional part of spinal cord</v>
      </c>
      <c r="G2426" s="9" t="s">
        <v>4468</v>
      </c>
      <c r="H2426" s="9" t="s">
        <v>18387</v>
      </c>
      <c r="I2426" s="9" t="s">
        <v>4655</v>
      </c>
      <c r="J2426" s="9" t="s">
        <v>4656</v>
      </c>
      <c r="K2426" s="5" t="s">
        <v>15173</v>
      </c>
      <c r="L2426" s="13">
        <v>17715</v>
      </c>
      <c r="M2426" t="str">
        <f>VLOOKUP(L2426,[1]DevMouse!$B$2:$C$2693,2,FALSE)</f>
        <v>SpBIi</v>
      </c>
    </row>
    <row r="2427" spans="2:13" x14ac:dyDescent="0.25">
      <c r="B2427" s="31" t="s">
        <v>26303</v>
      </c>
      <c r="C2427" s="20"/>
      <c r="D2427" s="25" t="s">
        <v>26185</v>
      </c>
      <c r="E2427" s="25" t="s">
        <v>26307</v>
      </c>
      <c r="F2427" s="9" t="str">
        <f t="shared" si="33"/>
        <v>regional part of spinal cord</v>
      </c>
      <c r="G2427" s="9" t="s">
        <v>4468</v>
      </c>
      <c r="H2427" s="9" t="s">
        <v>18388</v>
      </c>
      <c r="I2427" s="9" t="s">
        <v>4657</v>
      </c>
      <c r="J2427" s="9" t="s">
        <v>4658</v>
      </c>
      <c r="K2427" s="5" t="s">
        <v>15173</v>
      </c>
      <c r="L2427" s="13">
        <v>17716</v>
      </c>
      <c r="M2427" t="str">
        <f>VLOOKUP(L2427,[1]DevMouse!$B$2:$C$2693,2,FALSE)</f>
        <v>9Sp</v>
      </c>
    </row>
    <row r="2428" spans="2:13" x14ac:dyDescent="0.25">
      <c r="B2428" s="31" t="s">
        <v>26303</v>
      </c>
      <c r="C2428" s="20"/>
      <c r="D2428" s="25" t="s">
        <v>26185</v>
      </c>
      <c r="E2428" s="20" t="s">
        <v>26300</v>
      </c>
      <c r="F2428" s="9" t="str">
        <f t="shared" si="33"/>
        <v>regional part of spinal cord</v>
      </c>
      <c r="G2428" s="9" t="s">
        <v>4468</v>
      </c>
      <c r="H2428" s="9" t="s">
        <v>18389</v>
      </c>
      <c r="I2428" s="9" t="s">
        <v>4659</v>
      </c>
      <c r="J2428" s="9" t="s">
        <v>4660</v>
      </c>
      <c r="K2428" s="5" t="s">
        <v>15173</v>
      </c>
      <c r="L2428" s="13">
        <v>17717</v>
      </c>
      <c r="M2428" t="str">
        <f>VLOOKUP(L2428,[1]DevMouse!$B$2:$C$2693,2,FALSE)</f>
        <v>MC</v>
      </c>
    </row>
    <row r="2429" spans="2:13" x14ac:dyDescent="0.25">
      <c r="B2429" s="31" t="s">
        <v>26303</v>
      </c>
      <c r="C2429" s="20"/>
      <c r="D2429" s="25" t="s">
        <v>26185</v>
      </c>
      <c r="E2429" s="20" t="s">
        <v>26300</v>
      </c>
      <c r="F2429" s="9" t="str">
        <f t="shared" si="33"/>
        <v>regional part of spinal cord</v>
      </c>
      <c r="G2429" s="9" t="s">
        <v>4468</v>
      </c>
      <c r="H2429" s="9" t="s">
        <v>18390</v>
      </c>
      <c r="I2429" s="9" t="s">
        <v>4661</v>
      </c>
      <c r="J2429" s="9" t="s">
        <v>4662</v>
      </c>
      <c r="K2429" s="5" t="s">
        <v>15173</v>
      </c>
      <c r="L2429" s="13">
        <v>17718</v>
      </c>
      <c r="M2429" t="str">
        <f>VLOOKUP(L2429,[1]DevMouse!$B$2:$C$2693,2,FALSE)</f>
        <v>MMC</v>
      </c>
    </row>
    <row r="2430" spans="2:13" x14ac:dyDescent="0.25">
      <c r="B2430" s="31" t="s">
        <v>26303</v>
      </c>
      <c r="C2430" s="20"/>
      <c r="D2430" s="25" t="s">
        <v>26185</v>
      </c>
      <c r="E2430" s="20" t="s">
        <v>26300</v>
      </c>
      <c r="F2430" s="9" t="str">
        <f t="shared" si="33"/>
        <v>regional part of spinal cord</v>
      </c>
      <c r="G2430" s="9" t="s">
        <v>4468</v>
      </c>
      <c r="H2430" s="9" t="s">
        <v>18391</v>
      </c>
      <c r="I2430" s="9" t="s">
        <v>4663</v>
      </c>
      <c r="J2430" s="9" t="s">
        <v>4664</v>
      </c>
      <c r="K2430" s="5" t="s">
        <v>15173</v>
      </c>
      <c r="L2430" s="13">
        <v>17719</v>
      </c>
      <c r="M2430" t="str">
        <f>VLOOKUP(L2430,[1]DevMouse!$B$2:$C$2693,2,FALSE)</f>
        <v>LMC</v>
      </c>
    </row>
    <row r="2431" spans="2:13" x14ac:dyDescent="0.25">
      <c r="B2431" s="31" t="s">
        <v>26303</v>
      </c>
      <c r="C2431" s="20"/>
      <c r="D2431" s="25" t="s">
        <v>26185</v>
      </c>
      <c r="E2431" s="20" t="s">
        <v>26300</v>
      </c>
      <c r="F2431" s="9" t="str">
        <f t="shared" si="33"/>
        <v>regional part of spinal cord</v>
      </c>
      <c r="G2431" s="9" t="s">
        <v>4468</v>
      </c>
      <c r="H2431" s="9" t="s">
        <v>18392</v>
      </c>
      <c r="I2431" s="9" t="s">
        <v>4665</v>
      </c>
      <c r="J2431" s="9" t="s">
        <v>4666</v>
      </c>
      <c r="K2431" s="5" t="s">
        <v>15173</v>
      </c>
      <c r="L2431" s="13">
        <v>17720</v>
      </c>
      <c r="M2431" t="str">
        <f>VLOOKUP(L2431,[1]DevMouse!$B$2:$C$2693,2,FALSE)</f>
        <v>CMC</v>
      </c>
    </row>
    <row r="2432" spans="2:13" x14ac:dyDescent="0.25">
      <c r="B2432" s="31" t="s">
        <v>26303</v>
      </c>
      <c r="C2432" s="20"/>
      <c r="D2432" s="25" t="s">
        <v>26185</v>
      </c>
      <c r="E2432" s="25" t="s">
        <v>26300</v>
      </c>
      <c r="F2432" s="9" t="str">
        <f t="shared" si="33"/>
        <v>regional part of spinal cord</v>
      </c>
      <c r="G2432" s="9" t="s">
        <v>4468</v>
      </c>
      <c r="H2432" s="9" t="s">
        <v>18393</v>
      </c>
      <c r="I2432" s="9" t="s">
        <v>4667</v>
      </c>
      <c r="J2432" s="9" t="s">
        <v>4668</v>
      </c>
      <c r="K2432" s="5" t="s">
        <v>15173</v>
      </c>
      <c r="L2432" s="13">
        <v>17721</v>
      </c>
      <c r="M2432" t="str">
        <f>VLOOKUP(L2432,[1]DevMouse!$B$2:$C$2693,2,FALSE)</f>
        <v>Onuf</v>
      </c>
    </row>
    <row r="2433" spans="2:13" x14ac:dyDescent="0.25">
      <c r="B2433" s="31" t="s">
        <v>26303</v>
      </c>
      <c r="C2433" s="20"/>
      <c r="D2433" s="25" t="s">
        <v>26185</v>
      </c>
      <c r="E2433" s="25" t="s">
        <v>26300</v>
      </c>
      <c r="F2433" s="9" t="str">
        <f t="shared" si="33"/>
        <v>regional part of spinal cord</v>
      </c>
      <c r="G2433" s="9" t="s">
        <v>4468</v>
      </c>
      <c r="H2433" s="9" t="s">
        <v>18394</v>
      </c>
      <c r="I2433" s="9" t="s">
        <v>4669</v>
      </c>
      <c r="J2433" s="9" t="s">
        <v>4670</v>
      </c>
      <c r="K2433" s="5" t="s">
        <v>15173</v>
      </c>
      <c r="L2433" s="13">
        <v>17722</v>
      </c>
      <c r="M2433" t="str">
        <f>VLOOKUP(L2433,[1]DevMouse!$B$2:$C$2693,2,FALSE)</f>
        <v>OnufM</v>
      </c>
    </row>
    <row r="2434" spans="2:13" x14ac:dyDescent="0.25">
      <c r="B2434" s="31" t="s">
        <v>26303</v>
      </c>
      <c r="C2434" s="20"/>
      <c r="D2434" s="25" t="s">
        <v>26185</v>
      </c>
      <c r="E2434" s="25" t="s">
        <v>26300</v>
      </c>
      <c r="F2434" s="9" t="str">
        <f t="shared" si="33"/>
        <v>regional part of spinal cord</v>
      </c>
      <c r="G2434" s="9" t="s">
        <v>4468</v>
      </c>
      <c r="H2434" s="9" t="s">
        <v>18395</v>
      </c>
      <c r="I2434" s="9" t="s">
        <v>4671</v>
      </c>
      <c r="J2434" s="9" t="s">
        <v>4672</v>
      </c>
      <c r="K2434" s="5" t="s">
        <v>15173</v>
      </c>
      <c r="L2434" s="13">
        <v>17723</v>
      </c>
      <c r="M2434" t="str">
        <f>VLOOKUP(L2434,[1]DevMouse!$B$2:$C$2693,2,FALSE)</f>
        <v>OnufL</v>
      </c>
    </row>
    <row r="2435" spans="2:13" x14ac:dyDescent="0.25">
      <c r="B2435" s="31" t="s">
        <v>26303</v>
      </c>
      <c r="C2435" s="20"/>
      <c r="D2435" s="25" t="s">
        <v>26185</v>
      </c>
      <c r="E2435" s="20" t="s">
        <v>26300</v>
      </c>
      <c r="F2435" s="9" t="str">
        <f t="shared" si="33"/>
        <v>regional part of spinal cord</v>
      </c>
      <c r="G2435" s="9" t="s">
        <v>4468</v>
      </c>
      <c r="H2435" s="9" t="s">
        <v>18396</v>
      </c>
      <c r="I2435" s="9" t="s">
        <v>4673</v>
      </c>
      <c r="J2435" s="9" t="s">
        <v>4674</v>
      </c>
      <c r="K2435" s="5" t="s">
        <v>15173</v>
      </c>
      <c r="L2435" s="13">
        <v>17724</v>
      </c>
      <c r="M2435" t="str">
        <f>VLOOKUP(L2435,[1]DevMouse!$B$2:$C$2693,2,FALSE)</f>
        <v>SpBIs</v>
      </c>
    </row>
    <row r="2436" spans="2:13" x14ac:dyDescent="0.25">
      <c r="B2436" s="31" t="s">
        <v>26303</v>
      </c>
      <c r="C2436" s="20"/>
      <c r="D2436" s="25" t="s">
        <v>26185</v>
      </c>
      <c r="E2436" s="20" t="s">
        <v>26300</v>
      </c>
      <c r="F2436" s="9" t="str">
        <f t="shared" si="33"/>
        <v>regional part of spinal cord</v>
      </c>
      <c r="G2436" s="9" t="s">
        <v>4468</v>
      </c>
      <c r="H2436" s="9" t="s">
        <v>18397</v>
      </c>
      <c r="I2436" s="9" t="s">
        <v>4675</v>
      </c>
      <c r="J2436" s="9" t="s">
        <v>4676</v>
      </c>
      <c r="K2436" s="5" t="s">
        <v>15173</v>
      </c>
      <c r="L2436" s="13">
        <v>17725</v>
      </c>
      <c r="M2436" t="str">
        <f>VLOOKUP(L2436,[1]DevMouse!$B$2:$C$2693,2,FALSE)</f>
        <v>SpBM</v>
      </c>
    </row>
    <row r="2437" spans="2:13" x14ac:dyDescent="0.25">
      <c r="B2437" s="31" t="s">
        <v>26303</v>
      </c>
      <c r="C2437" s="20"/>
      <c r="D2437" s="25" t="s">
        <v>26185</v>
      </c>
      <c r="E2437" s="20" t="s">
        <v>26300</v>
      </c>
      <c r="F2437" s="9" t="str">
        <f t="shared" si="33"/>
        <v>regional part of spinal cord</v>
      </c>
      <c r="G2437" s="9" t="s">
        <v>4468</v>
      </c>
      <c r="H2437" s="9" t="s">
        <v>18398</v>
      </c>
      <c r="I2437" s="9" t="s">
        <v>4677</v>
      </c>
      <c r="J2437" s="9" t="s">
        <v>4678</v>
      </c>
      <c r="K2437" s="5" t="s">
        <v>15173</v>
      </c>
      <c r="L2437" s="13">
        <v>17726</v>
      </c>
      <c r="M2437" t="str">
        <f>VLOOKUP(L2437,[1]DevMouse!$B$2:$C$2693,2,FALSE)</f>
        <v>SpBMv</v>
      </c>
    </row>
    <row r="2438" spans="2:13" x14ac:dyDescent="0.25">
      <c r="B2438" s="31" t="s">
        <v>26303</v>
      </c>
      <c r="C2438" s="20"/>
      <c r="D2438" s="25" t="s">
        <v>26185</v>
      </c>
      <c r="E2438" s="20" t="s">
        <v>26300</v>
      </c>
      <c r="F2438" s="9" t="str">
        <f t="shared" si="33"/>
        <v>regional part of spinal cord</v>
      </c>
      <c r="G2438" s="9" t="s">
        <v>4468</v>
      </c>
      <c r="H2438" s="9" t="s">
        <v>18399</v>
      </c>
      <c r="I2438" s="9" t="s">
        <v>4679</v>
      </c>
      <c r="J2438" s="9" t="s">
        <v>4680</v>
      </c>
      <c r="K2438" s="5" t="s">
        <v>15173</v>
      </c>
      <c r="L2438" s="13">
        <v>17727</v>
      </c>
      <c r="M2438" t="str">
        <f>VLOOKUP(L2438,[1]DevMouse!$B$2:$C$2693,2,FALSE)</f>
        <v>SpBMm</v>
      </c>
    </row>
    <row r="2439" spans="2:13" x14ac:dyDescent="0.25">
      <c r="B2439" s="31" t="s">
        <v>26303</v>
      </c>
      <c r="C2439" s="20"/>
      <c r="D2439" s="25" t="s">
        <v>26185</v>
      </c>
      <c r="E2439" s="20" t="s">
        <v>26300</v>
      </c>
      <c r="F2439" s="9" t="str">
        <f t="shared" si="33"/>
        <v>regional part of spinal cord</v>
      </c>
      <c r="G2439" s="9" t="s">
        <v>4468</v>
      </c>
      <c r="H2439" s="9" t="s">
        <v>18400</v>
      </c>
      <c r="I2439" s="9" t="s">
        <v>4681</v>
      </c>
      <c r="J2439" s="9" t="s">
        <v>4682</v>
      </c>
      <c r="K2439" s="5" t="s">
        <v>15173</v>
      </c>
      <c r="L2439" s="13">
        <v>17728</v>
      </c>
      <c r="M2439" t="str">
        <f>VLOOKUP(L2439,[1]DevMouse!$B$2:$C$2693,2,FALSE)</f>
        <v>SpBMp</v>
      </c>
    </row>
    <row r="2440" spans="2:13" x14ac:dyDescent="0.25">
      <c r="B2440" s="31" t="s">
        <v>26303</v>
      </c>
      <c r="C2440" s="20"/>
      <c r="D2440" s="25" t="s">
        <v>26185</v>
      </c>
      <c r="E2440" s="25" t="s">
        <v>26307</v>
      </c>
      <c r="F2440" s="9" t="str">
        <f t="shared" si="33"/>
        <v>regional part of spinal cord</v>
      </c>
      <c r="G2440" s="9" t="s">
        <v>4468</v>
      </c>
      <c r="H2440" s="9" t="s">
        <v>18401</v>
      </c>
      <c r="I2440" s="9" t="s">
        <v>4683</v>
      </c>
      <c r="J2440" s="9" t="s">
        <v>4684</v>
      </c>
      <c r="K2440" s="5" t="s">
        <v>15173</v>
      </c>
      <c r="L2440" s="13">
        <v>17729</v>
      </c>
      <c r="M2440" t="str">
        <f>VLOOKUP(L2440,[1]DevMouse!$B$2:$C$2693,2,FALSE)</f>
        <v>BM10Sp</v>
      </c>
    </row>
    <row r="2441" spans="2:13" x14ac:dyDescent="0.25">
      <c r="B2441" s="31" t="s">
        <v>26303</v>
      </c>
      <c r="C2441" s="20"/>
      <c r="D2441" s="25" t="s">
        <v>26185</v>
      </c>
      <c r="E2441" s="20" t="s">
        <v>26300</v>
      </c>
      <c r="F2441" s="9" t="str">
        <f t="shared" si="33"/>
        <v>regional part of spinal cord</v>
      </c>
      <c r="G2441" s="9" t="s">
        <v>4468</v>
      </c>
      <c r="H2441" s="9" t="s">
        <v>18402</v>
      </c>
      <c r="I2441" s="9" t="s">
        <v>4685</v>
      </c>
      <c r="J2441" s="9" t="s">
        <v>4686</v>
      </c>
      <c r="K2441" s="5" t="s">
        <v>15173</v>
      </c>
      <c r="L2441" s="13">
        <v>17730</v>
      </c>
      <c r="M2441" t="str">
        <f>VLOOKUP(L2441,[1]DevMouse!$B$2:$C$2693,2,FALSE)</f>
        <v>SpBMi</v>
      </c>
    </row>
    <row r="2442" spans="2:13" x14ac:dyDescent="0.25">
      <c r="B2442" s="31" t="s">
        <v>26303</v>
      </c>
      <c r="C2442" s="20"/>
      <c r="D2442" s="25" t="s">
        <v>26185</v>
      </c>
      <c r="E2442" s="25" t="s">
        <v>26307</v>
      </c>
      <c r="F2442" s="9" t="str">
        <f t="shared" si="33"/>
        <v>regional part of spinal cord</v>
      </c>
      <c r="G2442" s="9" t="s">
        <v>4468</v>
      </c>
      <c r="H2442" s="9" t="s">
        <v>18403</v>
      </c>
      <c r="I2442" s="9" t="s">
        <v>4687</v>
      </c>
      <c r="J2442" s="9" t="s">
        <v>4688</v>
      </c>
      <c r="K2442" s="5" t="s">
        <v>15173</v>
      </c>
      <c r="L2442" s="13">
        <v>17731</v>
      </c>
      <c r="M2442" t="str">
        <f>VLOOKUP(L2442,[1]DevMouse!$B$2:$C$2693,2,FALSE)</f>
        <v>8Sp</v>
      </c>
    </row>
    <row r="2443" spans="2:13" x14ac:dyDescent="0.25">
      <c r="B2443" s="31" t="s">
        <v>26303</v>
      </c>
      <c r="C2443" s="20"/>
      <c r="D2443" s="25" t="s">
        <v>26185</v>
      </c>
      <c r="E2443" s="25" t="s">
        <v>26300</v>
      </c>
      <c r="F2443" s="9" t="str">
        <f t="shared" si="33"/>
        <v>regional part of spinal cord</v>
      </c>
      <c r="G2443" s="9" t="s">
        <v>4468</v>
      </c>
      <c r="H2443" s="9" t="s">
        <v>18404</v>
      </c>
      <c r="I2443" s="9" t="s">
        <v>4689</v>
      </c>
      <c r="J2443" s="9" t="s">
        <v>4690</v>
      </c>
      <c r="K2443" s="5" t="s">
        <v>15173</v>
      </c>
      <c r="L2443" s="13">
        <v>17732</v>
      </c>
      <c r="M2443" t="str">
        <f>VLOOKUP(L2443,[1]DevMouse!$B$2:$C$2693,2,FALSE)</f>
        <v>VHMI</v>
      </c>
    </row>
    <row r="2444" spans="2:13" x14ac:dyDescent="0.25">
      <c r="B2444" s="31" t="s">
        <v>26303</v>
      </c>
      <c r="C2444" s="20"/>
      <c r="D2444" s="25" t="s">
        <v>26185</v>
      </c>
      <c r="E2444" s="20" t="s">
        <v>26300</v>
      </c>
      <c r="F2444" s="9" t="str">
        <f t="shared" si="33"/>
        <v>regional part of spinal cord</v>
      </c>
      <c r="G2444" s="9" t="s">
        <v>4468</v>
      </c>
      <c r="H2444" s="9" t="s">
        <v>18405</v>
      </c>
      <c r="I2444" s="9" t="s">
        <v>4691</v>
      </c>
      <c r="J2444" s="9" t="s">
        <v>4692</v>
      </c>
      <c r="K2444" s="5" t="s">
        <v>15173</v>
      </c>
      <c r="L2444" s="13">
        <v>17733</v>
      </c>
      <c r="M2444" t="str">
        <f>VLOOKUP(L2444,[1]DevMouse!$B$2:$C$2693,2,FALSE)</f>
        <v>SpBMs</v>
      </c>
    </row>
    <row r="2445" spans="2:13" x14ac:dyDescent="0.25">
      <c r="B2445" s="31" t="s">
        <v>26303</v>
      </c>
      <c r="C2445" s="20"/>
      <c r="D2445" s="25" t="s">
        <v>26185</v>
      </c>
      <c r="E2445" s="20" t="s">
        <v>26300</v>
      </c>
      <c r="F2445" s="9" t="str">
        <f t="shared" si="33"/>
        <v>regional part of spinal cord</v>
      </c>
      <c r="G2445" s="9" t="s">
        <v>4468</v>
      </c>
      <c r="H2445" s="9" t="s">
        <v>18406</v>
      </c>
      <c r="I2445" s="9" t="s">
        <v>4693</v>
      </c>
      <c r="J2445" s="9" t="s">
        <v>4694</v>
      </c>
      <c r="K2445" s="5" t="s">
        <v>15173</v>
      </c>
      <c r="L2445" s="13">
        <v>17734</v>
      </c>
      <c r="M2445" t="str">
        <f>VLOOKUP(L2445,[1]DevMouse!$B$2:$C$2693,2,FALSE)</f>
        <v>SpF</v>
      </c>
    </row>
    <row r="2446" spans="2:13" x14ac:dyDescent="0.25">
      <c r="B2446" s="31" t="s">
        <v>26303</v>
      </c>
      <c r="C2446" s="25" t="s">
        <v>25828</v>
      </c>
      <c r="D2446" s="25" t="s">
        <v>26185</v>
      </c>
      <c r="E2446" s="25"/>
      <c r="F2446" s="9" t="str">
        <f t="shared" si="33"/>
        <v>regional part of spinal cord</v>
      </c>
      <c r="G2446" s="9" t="s">
        <v>4468</v>
      </c>
      <c r="H2446" s="9" t="s">
        <v>25568</v>
      </c>
      <c r="I2446" s="9" t="s">
        <v>927</v>
      </c>
      <c r="J2446" s="9" t="s">
        <v>928</v>
      </c>
      <c r="K2446" s="7" t="s">
        <v>15171</v>
      </c>
      <c r="L2446" s="13">
        <v>9422</v>
      </c>
      <c r="M2446" t="str">
        <f>VLOOKUP(L2446,[1]HBA!$B$2:$C$4000,2,FALSE)</f>
        <v>CC</v>
      </c>
    </row>
    <row r="2447" spans="2:13" x14ac:dyDescent="0.25">
      <c r="B2447" s="31" t="s">
        <v>26303</v>
      </c>
      <c r="C2447" s="20"/>
      <c r="D2447" s="25" t="s">
        <v>26185</v>
      </c>
      <c r="E2447" s="25" t="s">
        <v>26309</v>
      </c>
      <c r="F2447" s="9" t="str">
        <f t="shared" si="33"/>
        <v>regional part of spinal cord</v>
      </c>
      <c r="G2447" s="9" t="s">
        <v>4468</v>
      </c>
      <c r="H2447" s="9" t="s">
        <v>25443</v>
      </c>
      <c r="I2447" s="9" t="s">
        <v>4469</v>
      </c>
      <c r="J2447" s="9" t="s">
        <v>4695</v>
      </c>
      <c r="K2447" s="7" t="s">
        <v>15171</v>
      </c>
      <c r="L2447" s="13">
        <v>9525</v>
      </c>
      <c r="M2447" t="str">
        <f>VLOOKUP(L2447,[1]HBA!$B$2:$C$4000,2,FALSE)</f>
        <v>CGS</v>
      </c>
    </row>
    <row r="2448" spans="2:13" x14ac:dyDescent="0.25">
      <c r="B2448" s="31" t="s">
        <v>26303</v>
      </c>
      <c r="C2448" s="20"/>
      <c r="D2448" s="25" t="s">
        <v>26185</v>
      </c>
      <c r="E2448" s="25" t="s">
        <v>26309</v>
      </c>
      <c r="F2448" s="9" t="str">
        <f t="shared" si="33"/>
        <v>regional part of spinal cord</v>
      </c>
      <c r="G2448" s="9" t="s">
        <v>4468</v>
      </c>
      <c r="H2448" s="9" t="s">
        <v>25443</v>
      </c>
      <c r="I2448" s="9" t="s">
        <v>4696</v>
      </c>
      <c r="J2448" s="9" t="s">
        <v>4697</v>
      </c>
      <c r="K2448" s="7" t="s">
        <v>15171</v>
      </c>
      <c r="L2448" s="13">
        <v>9526</v>
      </c>
      <c r="M2448" t="str">
        <f>VLOOKUP(L2448,[1]HBA!$B$2:$C$4000,2,FALSE)</f>
        <v>CGS</v>
      </c>
    </row>
    <row r="2449" spans="2:13" x14ac:dyDescent="0.25">
      <c r="B2449" s="31" t="s">
        <v>26303</v>
      </c>
      <c r="C2449" s="20"/>
      <c r="D2449" s="25" t="s">
        <v>26185</v>
      </c>
      <c r="E2449" s="25" t="s">
        <v>26309</v>
      </c>
      <c r="F2449" s="9" t="str">
        <f t="shared" si="33"/>
        <v>regional part of spinal cord</v>
      </c>
      <c r="G2449" s="9" t="s">
        <v>4468</v>
      </c>
      <c r="H2449" s="9" t="s">
        <v>25443</v>
      </c>
      <c r="I2449" s="9" t="s">
        <v>4698</v>
      </c>
      <c r="J2449" s="9" t="s">
        <v>4699</v>
      </c>
      <c r="K2449" s="7" t="s">
        <v>15171</v>
      </c>
      <c r="L2449" s="13">
        <v>9527</v>
      </c>
      <c r="M2449" t="str">
        <f>VLOOKUP(L2449,[1]HBA!$B$2:$C$4000,2,FALSE)</f>
        <v>CGS</v>
      </c>
    </row>
    <row r="2450" spans="2:13" x14ac:dyDescent="0.25">
      <c r="B2450" s="31" t="s">
        <v>26303</v>
      </c>
      <c r="C2450" s="25" t="s">
        <v>25828</v>
      </c>
      <c r="D2450" s="25" t="s">
        <v>26185</v>
      </c>
      <c r="E2450" s="25"/>
      <c r="F2450" s="9" t="str">
        <f t="shared" si="33"/>
        <v>regional part of spinal cord</v>
      </c>
      <c r="G2450" s="9" t="s">
        <v>4468</v>
      </c>
      <c r="H2450" s="9" t="s">
        <v>20962</v>
      </c>
      <c r="I2450" s="9" t="s">
        <v>929</v>
      </c>
      <c r="J2450" s="9" t="s">
        <v>930</v>
      </c>
      <c r="K2450" s="3" t="s">
        <v>15176</v>
      </c>
      <c r="L2450" s="13">
        <v>164</v>
      </c>
      <c r="M2450" t="str">
        <f>VLOOKUP(L2450,[1]Mouse_ARA!$B$2:$C$1328,2,FALSE)</f>
        <v>c</v>
      </c>
    </row>
    <row r="2451" spans="2:13" x14ac:dyDescent="0.25">
      <c r="B2451" s="31" t="s">
        <v>26303</v>
      </c>
      <c r="C2451" s="25" t="s">
        <v>1389</v>
      </c>
      <c r="D2451" s="25" t="s">
        <v>26185</v>
      </c>
      <c r="E2451" s="25"/>
      <c r="F2451" s="9" t="str">
        <f t="shared" si="33"/>
        <v>regional part of spinal cord</v>
      </c>
      <c r="G2451" s="9" t="s">
        <v>4468</v>
      </c>
      <c r="H2451" s="9" t="s">
        <v>20778</v>
      </c>
      <c r="I2451" s="9" t="s">
        <v>1392</v>
      </c>
      <c r="J2451" s="9" t="s">
        <v>1393</v>
      </c>
      <c r="K2451" s="3" t="s">
        <v>15176</v>
      </c>
      <c r="L2451" s="13">
        <v>380</v>
      </c>
      <c r="M2451" t="str">
        <f>VLOOKUP(L2451,[1]Mouse_ARA!$B$2:$C$1328,2,FALSE)</f>
        <v>cuf</v>
      </c>
    </row>
    <row r="2452" spans="2:13" x14ac:dyDescent="0.25">
      <c r="B2452" s="31" t="s">
        <v>26303</v>
      </c>
      <c r="C2452" s="25" t="s">
        <v>1826</v>
      </c>
      <c r="D2452" s="25" t="s">
        <v>26185</v>
      </c>
      <c r="E2452" s="25"/>
      <c r="F2452" s="9" t="str">
        <f t="shared" si="33"/>
        <v>regional part of spinal cord</v>
      </c>
      <c r="G2452" s="9" t="s">
        <v>4468</v>
      </c>
      <c r="H2452" s="9" t="s">
        <v>20779</v>
      </c>
      <c r="I2452" s="9" t="s">
        <v>1829</v>
      </c>
      <c r="J2452" s="9" t="s">
        <v>1830</v>
      </c>
      <c r="K2452" s="3" t="s">
        <v>15176</v>
      </c>
      <c r="L2452" s="13">
        <v>388</v>
      </c>
      <c r="M2452" t="str">
        <f>VLOOKUP(L2452,[1]Mouse_ARA!$B$2:$C$1328,2,FALSE)</f>
        <v>grf</v>
      </c>
    </row>
    <row r="2453" spans="2:13" x14ac:dyDescent="0.25">
      <c r="B2453" s="31" t="s">
        <v>26303</v>
      </c>
      <c r="C2453" s="25" t="s">
        <v>25975</v>
      </c>
      <c r="D2453" s="25" t="s">
        <v>26185</v>
      </c>
      <c r="E2453" s="25"/>
      <c r="F2453" s="9" t="str">
        <f t="shared" si="33"/>
        <v>regional part of spinal cord</v>
      </c>
      <c r="G2453" s="9" t="s">
        <v>4468</v>
      </c>
      <c r="H2453" s="9" t="s">
        <v>20780</v>
      </c>
      <c r="I2453" s="9" t="s">
        <v>2485</v>
      </c>
      <c r="J2453" s="9" t="s">
        <v>2488</v>
      </c>
      <c r="K2453" s="3" t="s">
        <v>15176</v>
      </c>
      <c r="L2453" s="13">
        <v>396</v>
      </c>
      <c r="M2453" t="str">
        <f>VLOOKUP(L2453,[1]Mouse_ARA!$B$2:$C$1328,2,FALSE)</f>
        <v>iaf</v>
      </c>
    </row>
    <row r="2454" spans="2:13" x14ac:dyDescent="0.25">
      <c r="B2454" s="31" t="s">
        <v>26303</v>
      </c>
      <c r="C2454" s="25" t="s">
        <v>26221</v>
      </c>
      <c r="D2454" s="25" t="s">
        <v>26185</v>
      </c>
      <c r="E2454" s="25"/>
      <c r="F2454" s="9" t="str">
        <f t="shared" si="33"/>
        <v>regional part of spinal cord</v>
      </c>
      <c r="G2454" s="9" t="s">
        <v>4468</v>
      </c>
      <c r="H2454" s="9" t="s">
        <v>18450</v>
      </c>
      <c r="I2454" s="9" t="s">
        <v>4700</v>
      </c>
      <c r="J2454" s="9" t="s">
        <v>4701</v>
      </c>
      <c r="K2454" s="3" t="s">
        <v>15176</v>
      </c>
      <c r="L2454" s="13">
        <v>514</v>
      </c>
      <c r="M2454" t="str">
        <f>VLOOKUP(L2454,[1]Mouse_ARA!$B$2:$C$1328,2,FALSE)</f>
        <v>dc</v>
      </c>
    </row>
    <row r="2455" spans="2:13" x14ac:dyDescent="0.25">
      <c r="B2455" s="31" t="s">
        <v>26303</v>
      </c>
      <c r="C2455" s="25" t="s">
        <v>26223</v>
      </c>
      <c r="D2455" s="25" t="s">
        <v>26185</v>
      </c>
      <c r="E2455" s="25"/>
      <c r="F2455" s="9" t="str">
        <f t="shared" si="33"/>
        <v>regional part of spinal cord</v>
      </c>
      <c r="G2455" s="9" t="s">
        <v>4468</v>
      </c>
      <c r="H2455" s="9" t="s">
        <v>20775</v>
      </c>
      <c r="I2455" s="9" t="s">
        <v>618</v>
      </c>
      <c r="J2455" s="9" t="s">
        <v>619</v>
      </c>
      <c r="K2455" s="3" t="s">
        <v>15176</v>
      </c>
      <c r="L2455" s="13">
        <v>858</v>
      </c>
      <c r="M2455" t="str">
        <f>VLOOKUP(L2455,[1]Mouse_ARA!$B$2:$C$1328,2,FALSE)</f>
        <v>vc</v>
      </c>
    </row>
    <row r="2456" spans="2:13" x14ac:dyDescent="0.25">
      <c r="B2456" s="31" t="s">
        <v>25743</v>
      </c>
      <c r="C2456" s="20"/>
      <c r="D2456" s="25" t="s">
        <v>3298</v>
      </c>
      <c r="E2456" s="25"/>
      <c r="F2456" s="9" t="str">
        <f>HYPERLINK("https://www.ebi.ac.uk/ols/ontologies/uberon/terms?iri=http://purl.obolibrary.org/obo/UBERON_0002147","reticulotegmental nucleus")</f>
        <v>reticulotegmental nucleus</v>
      </c>
      <c r="G2456" s="9" t="s">
        <v>4702</v>
      </c>
      <c r="H2456" s="9" t="s">
        <v>24263</v>
      </c>
      <c r="I2456" s="9" t="s">
        <v>3298</v>
      </c>
      <c r="J2456" s="9" t="s">
        <v>3299</v>
      </c>
      <c r="K2456" s="4" t="s">
        <v>15175</v>
      </c>
      <c r="L2456" s="13">
        <v>12414</v>
      </c>
      <c r="M2456" t="str">
        <f>VLOOKUP(L2456,[1]Human_BrainSpan!$B$2:$C$4000,2,FALSE)</f>
        <v>RTg</v>
      </c>
    </row>
    <row r="2457" spans="2:13" x14ac:dyDescent="0.25">
      <c r="B2457" s="31" t="s">
        <v>25743</v>
      </c>
      <c r="C2457" s="20"/>
      <c r="D2457" s="25" t="s">
        <v>3298</v>
      </c>
      <c r="E2457" s="25"/>
      <c r="F2457" s="9" t="str">
        <f>HYPERLINK("https://www.ebi.ac.uk/ols/ontologies/uberon/terms?iri=http://purl.obolibrary.org/obo/UBERON_0002147","reticulotegmental nucleus")</f>
        <v>reticulotegmental nucleus</v>
      </c>
      <c r="G2457" s="9" t="s">
        <v>4702</v>
      </c>
      <c r="H2457" s="9" t="s">
        <v>24336</v>
      </c>
      <c r="I2457" s="9" t="s">
        <v>3298</v>
      </c>
      <c r="J2457" s="9" t="s">
        <v>3304</v>
      </c>
      <c r="K2457" s="4" t="s">
        <v>15175</v>
      </c>
      <c r="L2457" s="13">
        <v>12497</v>
      </c>
      <c r="M2457" t="str">
        <f>VLOOKUP(L2457,[1]Human_BrainSpan!$B$2:$C$4000,2,FALSE)</f>
        <v>RtTg</v>
      </c>
    </row>
    <row r="2458" spans="2:13" x14ac:dyDescent="0.25">
      <c r="B2458" s="31" t="s">
        <v>25743</v>
      </c>
      <c r="C2458" s="20"/>
      <c r="D2458" s="25" t="s">
        <v>3298</v>
      </c>
      <c r="E2458" s="25"/>
      <c r="F2458" s="9" t="str">
        <f>HYPERLINK("https://www.ebi.ac.uk/ols/ontologies/uberon/terms?iri=http://purl.obolibrary.org/obo/UBERON_0002147","reticulotegmental nucleus")</f>
        <v>reticulotegmental nucleus</v>
      </c>
      <c r="G2458" s="9" t="s">
        <v>4702</v>
      </c>
      <c r="H2458" s="9" t="s">
        <v>24336</v>
      </c>
      <c r="I2458" s="9" t="s">
        <v>3305</v>
      </c>
      <c r="J2458" s="9" t="s">
        <v>3306</v>
      </c>
      <c r="K2458" s="7" t="s">
        <v>15171</v>
      </c>
      <c r="L2458" s="13">
        <v>9167</v>
      </c>
      <c r="M2458" t="str">
        <f>VLOOKUP(L2458,[1]HBA!$B$2:$C$4000,2,FALSE)</f>
        <v>RtTg</v>
      </c>
    </row>
    <row r="2459" spans="2:13" x14ac:dyDescent="0.25">
      <c r="B2459" s="31" t="s">
        <v>25743</v>
      </c>
      <c r="C2459" s="20"/>
      <c r="D2459" s="25" t="s">
        <v>3298</v>
      </c>
      <c r="E2459" s="25"/>
      <c r="F2459" s="9" t="str">
        <f>HYPERLINK("https://www.ebi.ac.uk/ols/ontologies/uberon/terms?iri=http://purl.obolibrary.org/obo/UBERON_0002147","reticulotegmental nucleus")</f>
        <v>reticulotegmental nucleus</v>
      </c>
      <c r="G2459" s="9" t="s">
        <v>4702</v>
      </c>
      <c r="H2459" s="9" t="s">
        <v>20359</v>
      </c>
      <c r="I2459" s="9" t="s">
        <v>4703</v>
      </c>
      <c r="J2459" s="9" t="s">
        <v>4704</v>
      </c>
      <c r="K2459" s="3" t="s">
        <v>15176</v>
      </c>
      <c r="L2459" s="13">
        <v>574</v>
      </c>
      <c r="M2459" t="str">
        <f>VLOOKUP(L2459,[1]Mouse_ARA!$B$2:$C$1328,2,FALSE)</f>
        <v>TRN</v>
      </c>
    </row>
    <row r="2460" spans="2:13" x14ac:dyDescent="0.25">
      <c r="B2460" s="31" t="s">
        <v>25743</v>
      </c>
      <c r="C2460" s="20"/>
      <c r="D2460" s="25" t="s">
        <v>4706</v>
      </c>
      <c r="E2460" s="25"/>
      <c r="F2460" s="9" t="str">
        <f>HYPERLINK("https://www.ebi.ac.uk/ols/ontologies/uberon/terms?iri=http://purl.obolibrary.org/obo/UBERON_0000966","retina")</f>
        <v>retina</v>
      </c>
      <c r="G2460" s="9" t="s">
        <v>4705</v>
      </c>
      <c r="H2460" s="9" t="s">
        <v>4706</v>
      </c>
      <c r="I2460" s="9" t="s">
        <v>4706</v>
      </c>
      <c r="J2460" s="9" t="s">
        <v>4707</v>
      </c>
      <c r="K2460" s="3" t="s">
        <v>15176</v>
      </c>
      <c r="L2460" s="13">
        <v>304325711</v>
      </c>
      <c r="M2460" t="str">
        <f>VLOOKUP(L2460,[1]Mouse_ARA!$B$2:$C$1328,2,FALSE)</f>
        <v>retina</v>
      </c>
    </row>
    <row r="2461" spans="2:13" x14ac:dyDescent="0.25">
      <c r="B2461" s="31" t="s">
        <v>25743</v>
      </c>
      <c r="C2461" s="20"/>
      <c r="D2461" s="25" t="s">
        <v>26186</v>
      </c>
      <c r="E2461" s="25"/>
      <c r="F2461" s="9" t="str">
        <f>HYPERLINK("https://www.ebi.ac.uk/ols/ontologies/uberon/terms?iri=http://purl.obolibrary.org/obo/UBERON_0035930","retro-olivary nucleus")</f>
        <v>retro-olivary nucleus</v>
      </c>
      <c r="G2461" s="9" t="s">
        <v>4708</v>
      </c>
      <c r="H2461" s="9" t="s">
        <v>20546</v>
      </c>
      <c r="I2461" s="9" t="s">
        <v>4709</v>
      </c>
      <c r="J2461" s="9" t="s">
        <v>4710</v>
      </c>
      <c r="K2461" s="4" t="s">
        <v>15175</v>
      </c>
      <c r="L2461" s="13">
        <v>12467</v>
      </c>
      <c r="M2461" t="str">
        <f>VLOOKUP(L2461,[1]Human_BrainSpan!$B$2:$C$4000,2,FALSE)</f>
        <v>RO</v>
      </c>
    </row>
    <row r="2462" spans="2:13" x14ac:dyDescent="0.25">
      <c r="B2462" s="31" t="s">
        <v>25743</v>
      </c>
      <c r="C2462" s="20"/>
      <c r="D2462" s="25" t="s">
        <v>26186</v>
      </c>
      <c r="E2462" s="25"/>
      <c r="F2462" s="9" t="str">
        <f>HYPERLINK("https://www.ebi.ac.uk/ols/ontologies/uberon/terms?iri=http://purl.obolibrary.org/obo/UBERON_0035930","retro-olivary nucleus")</f>
        <v>retro-olivary nucleus</v>
      </c>
      <c r="G2462" s="9" t="s">
        <v>4708</v>
      </c>
      <c r="H2462" s="9" t="s">
        <v>20546</v>
      </c>
      <c r="I2462" s="9" t="s">
        <v>4711</v>
      </c>
      <c r="J2462" s="9" t="s">
        <v>4712</v>
      </c>
      <c r="K2462" s="7" t="s">
        <v>15171</v>
      </c>
      <c r="L2462" s="13">
        <v>9181</v>
      </c>
      <c r="M2462" t="str">
        <f>VLOOKUP(L2462,[1]HBA!$B$2:$C$4000,2,FALSE)</f>
        <v>RO</v>
      </c>
    </row>
    <row r="2463" spans="2:13" x14ac:dyDescent="0.25">
      <c r="B2463" s="31" t="s">
        <v>25743</v>
      </c>
      <c r="C2463" s="20"/>
      <c r="D2463" s="25" t="s">
        <v>4714</v>
      </c>
      <c r="E2463" s="25"/>
      <c r="F2463" s="9" t="str">
        <f>HYPERLINK("https://www.ebi.ac.uk/ols/ontologies/uberon/terms?iri=http://purl.obolibrary.org/obo/UBERON_0016848","retroambiguus nucleus")</f>
        <v>retroambiguus nucleus</v>
      </c>
      <c r="G2463" s="9" t="s">
        <v>4713</v>
      </c>
      <c r="H2463" s="9" t="s">
        <v>25466</v>
      </c>
      <c r="I2463" s="9" t="s">
        <v>4714</v>
      </c>
      <c r="J2463" s="9" t="s">
        <v>4715</v>
      </c>
      <c r="K2463" s="7" t="s">
        <v>15171</v>
      </c>
      <c r="L2463" s="13">
        <v>9650</v>
      </c>
      <c r="M2463" t="str">
        <f>VLOOKUP(L2463,[1]HBA!$B$2:$C$4000,2,FALSE)</f>
        <v>Ramb</v>
      </c>
    </row>
    <row r="2464" spans="2:13" x14ac:dyDescent="0.25">
      <c r="B2464" s="31" t="s">
        <v>25743</v>
      </c>
      <c r="C2464" s="20"/>
      <c r="D2464" s="25" t="s">
        <v>4717</v>
      </c>
      <c r="E2464" s="25"/>
      <c r="F2464" s="9" t="str">
        <f>HYPERLINK("https://www.ebi.ac.uk/ols/ontologies/uberon/terms?iri=http://purl.obolibrary.org/obo/UBERON_0001933","retrochiasmatic area")</f>
        <v>retrochiasmatic area</v>
      </c>
      <c r="G2464" s="9" t="s">
        <v>4716</v>
      </c>
      <c r="H2464" s="9" t="s">
        <v>20149</v>
      </c>
      <c r="I2464" s="9" t="s">
        <v>4717</v>
      </c>
      <c r="J2464" s="9" t="s">
        <v>4718</v>
      </c>
      <c r="K2464" s="3" t="s">
        <v>15176</v>
      </c>
      <c r="L2464" s="13">
        <v>173</v>
      </c>
      <c r="M2464" t="str">
        <f>VLOOKUP(L2464,[1]Mouse_ARA!$B$2:$C$1328,2,FALSE)</f>
        <v>RCH</v>
      </c>
    </row>
    <row r="2465" spans="2:13" x14ac:dyDescent="0.25">
      <c r="B2465" s="31" t="s">
        <v>25743</v>
      </c>
      <c r="C2465" s="20"/>
      <c r="D2465" s="25" t="s">
        <v>4720</v>
      </c>
      <c r="E2465" s="25"/>
      <c r="F2465" s="9" t="str">
        <f>HYPERLINK("https://www.ebi.ac.uk/ols/ontologies/uberon/terms?iri=http://purl.obolibrary.org/obo/UBERON_0022230","retrohippocampal region")</f>
        <v>retrohippocampal region</v>
      </c>
      <c r="G2465" s="9" t="s">
        <v>4719</v>
      </c>
      <c r="H2465" s="9" t="s">
        <v>19585</v>
      </c>
      <c r="I2465" s="9" t="s">
        <v>4720</v>
      </c>
      <c r="J2465" s="9" t="s">
        <v>4721</v>
      </c>
      <c r="K2465" s="3" t="s">
        <v>15176</v>
      </c>
      <c r="L2465" s="13">
        <v>822</v>
      </c>
      <c r="M2465" t="str">
        <f>VLOOKUP(L2465,[1]Mouse_ARA!$B$2:$C$1328,2,FALSE)</f>
        <v>RHP</v>
      </c>
    </row>
    <row r="2466" spans="2:13" x14ac:dyDescent="0.25">
      <c r="B2466" s="31" t="s">
        <v>25743</v>
      </c>
      <c r="C2466" s="20"/>
      <c r="D2466" s="25" t="s">
        <v>26187</v>
      </c>
      <c r="E2466" s="25"/>
      <c r="F2466" s="9" t="str">
        <f>HYPERLINK("https://www.ebi.ac.uk/ols/ontologies/uberon/terms?iri=http://purl.obolibrary.org/obo/UBERON_0034749","retrolenticular part of internal capsule")</f>
        <v>retrolenticular part of internal capsule</v>
      </c>
      <c r="G2466" s="9" t="s">
        <v>4722</v>
      </c>
      <c r="H2466" s="9" t="s">
        <v>23598</v>
      </c>
      <c r="I2466" s="9" t="s">
        <v>4723</v>
      </c>
      <c r="J2466" s="9" t="s">
        <v>4724</v>
      </c>
      <c r="K2466" s="4" t="s">
        <v>15175</v>
      </c>
      <c r="L2466" s="13">
        <v>12052</v>
      </c>
      <c r="M2466" t="str">
        <f>VLOOKUP(L2466,[1]Human_BrainSpan!$B$2:$C$4000,2,FALSE)</f>
        <v>relp</v>
      </c>
    </row>
    <row r="2467" spans="2:13" x14ac:dyDescent="0.25">
      <c r="B2467" s="31" t="s">
        <v>25743</v>
      </c>
      <c r="C2467" s="20"/>
      <c r="D2467" s="25" t="s">
        <v>26188</v>
      </c>
      <c r="E2467" s="25"/>
      <c r="F2467" s="9" t="str">
        <f>HYPERLINK("https://www.ebi.ac.uk/ols/ontologies/uberon/terms?iri=http://purl.obolibrary.org/obo/UBERON_0011172","retrorubral area of midbrain reticular nucleus")</f>
        <v>retrorubral area of midbrain reticular nucleus</v>
      </c>
      <c r="G2467" s="9" t="s">
        <v>4725</v>
      </c>
      <c r="H2467" s="9" t="s">
        <v>17319</v>
      </c>
      <c r="I2467" s="9" t="s">
        <v>4726</v>
      </c>
      <c r="J2467" s="9" t="s">
        <v>4727</v>
      </c>
      <c r="K2467" s="4" t="s">
        <v>15175</v>
      </c>
      <c r="L2467" s="13">
        <v>12289</v>
      </c>
      <c r="M2467" t="str">
        <f>VLOOKUP(L2467,[1]Human_BrainSpan!$B$2:$C$4000,2,FALSE)</f>
        <v>RRF</v>
      </c>
    </row>
    <row r="2468" spans="2:13" x14ac:dyDescent="0.25">
      <c r="B2468" s="31" t="s">
        <v>25743</v>
      </c>
      <c r="C2468" s="20"/>
      <c r="D2468" s="25" t="s">
        <v>26188</v>
      </c>
      <c r="E2468" s="25"/>
      <c r="F2468" s="9" t="str">
        <f>HYPERLINK("https://www.ebi.ac.uk/ols/ontologies/uberon/terms?iri=http://purl.obolibrary.org/obo/UBERON_0011172","retrorubral area of midbrain reticular nucleus")</f>
        <v>retrorubral area of midbrain reticular nucleus</v>
      </c>
      <c r="G2468" s="9" t="s">
        <v>4725</v>
      </c>
      <c r="H2468" s="9" t="s">
        <v>17319</v>
      </c>
      <c r="I2468" s="9" t="s">
        <v>4726</v>
      </c>
      <c r="J2468" s="9" t="s">
        <v>4728</v>
      </c>
      <c r="K2468" s="5" t="s">
        <v>15173</v>
      </c>
      <c r="L2468" s="13">
        <v>16884</v>
      </c>
      <c r="M2468" t="str">
        <f>VLOOKUP(L2468,[1]DevMouse!$B$2:$C$2693,2,FALSE)</f>
        <v>RRF</v>
      </c>
    </row>
    <row r="2469" spans="2:13" x14ac:dyDescent="0.25">
      <c r="B2469" s="31" t="s">
        <v>25743</v>
      </c>
      <c r="C2469" s="20"/>
      <c r="D2469" s="25" t="s">
        <v>26188</v>
      </c>
      <c r="E2469" s="25"/>
      <c r="F2469" s="9" t="str">
        <f>HYPERLINK("https://www.ebi.ac.uk/ols/ontologies/uberon/terms?iri=http://purl.obolibrary.org/obo/UBERON_0011172","retrorubral area of midbrain reticular nucleus")</f>
        <v>retrorubral area of midbrain reticular nucleus</v>
      </c>
      <c r="G2469" s="9" t="s">
        <v>4725</v>
      </c>
      <c r="H2469" s="9" t="s">
        <v>17436</v>
      </c>
      <c r="I2469" s="9" t="s">
        <v>4729</v>
      </c>
      <c r="J2469" s="9" t="s">
        <v>4730</v>
      </c>
      <c r="K2469" s="3" t="s">
        <v>15176</v>
      </c>
      <c r="L2469" s="13">
        <v>246</v>
      </c>
      <c r="M2469" t="str">
        <f>VLOOKUP(L2469,[1]Mouse_ARA!$B$2:$C$1328,2,FALSE)</f>
        <v>RR</v>
      </c>
    </row>
    <row r="2470" spans="2:13" x14ac:dyDescent="0.25">
      <c r="B2470" s="31" t="s">
        <v>26299</v>
      </c>
      <c r="C2470" s="25"/>
      <c r="D2470" s="25" t="s">
        <v>26189</v>
      </c>
      <c r="E2470" s="25"/>
      <c r="F2470" s="9" t="str">
        <f>HYPERLINK("https://www.ebi.ac.uk/ols/ontologies/uberon/terms?iri=http://purl.obolibrary.org/obo/UBERON_0014918","retrosplenial granular cortex")</f>
        <v>retrosplenial granular cortex</v>
      </c>
      <c r="G2470" s="9" t="s">
        <v>4731</v>
      </c>
      <c r="H2470" s="9" t="s">
        <v>19298</v>
      </c>
      <c r="I2470" s="9" t="s">
        <v>4732</v>
      </c>
      <c r="J2470" s="9" t="s">
        <v>4733</v>
      </c>
      <c r="K2470" s="3" t="s">
        <v>15176</v>
      </c>
      <c r="L2470" s="13">
        <v>886</v>
      </c>
      <c r="M2470" t="str">
        <f>VLOOKUP(L2470,[1]Mouse_ARA!$B$2:$C$1328,2,FALSE)</f>
        <v>RSPv</v>
      </c>
    </row>
    <row r="2471" spans="2:13" x14ac:dyDescent="0.25">
      <c r="B2471" s="31" t="s">
        <v>25743</v>
      </c>
      <c r="C2471" s="20"/>
      <c r="D2471" s="25" t="s">
        <v>26190</v>
      </c>
      <c r="E2471" s="25"/>
      <c r="F2471" s="9" t="str">
        <f>HYPERLINK("https://www.ebi.ac.uk/ols/ontologies/uberon/terms?iri=http://purl.obolibrary.org/obo/UBERON_0013531","retrosplenial region")</f>
        <v>retrosplenial region</v>
      </c>
      <c r="G2471" s="9" t="s">
        <v>4734</v>
      </c>
      <c r="H2471" s="9" t="s">
        <v>22976</v>
      </c>
      <c r="I2471" s="9" t="s">
        <v>4735</v>
      </c>
      <c r="J2471" s="9" t="s">
        <v>4736</v>
      </c>
      <c r="K2471" s="4" t="s">
        <v>15175</v>
      </c>
      <c r="L2471" s="13">
        <v>10324</v>
      </c>
      <c r="M2471" t="str">
        <f>VLOOKUP(L2471,[1]Human_BrainSpan!$B$2:$C$4000,2,FALSE)</f>
        <v>RSC</v>
      </c>
    </row>
    <row r="2472" spans="2:13" x14ac:dyDescent="0.25">
      <c r="B2472" s="31" t="s">
        <v>25743</v>
      </c>
      <c r="C2472" s="20"/>
      <c r="D2472" s="25" t="s">
        <v>26190</v>
      </c>
      <c r="E2472" s="25"/>
      <c r="F2472" s="9" t="str">
        <f>HYPERLINK("https://www.ebi.ac.uk/ols/ontologies/uberon/terms?iri=http://purl.obolibrary.org/obo/UBERON_0013531","retrosplenial region")</f>
        <v>retrosplenial region</v>
      </c>
      <c r="G2472" s="9" t="s">
        <v>4734</v>
      </c>
      <c r="H2472" s="9" t="s">
        <v>23850</v>
      </c>
      <c r="I2472" s="9" t="s">
        <v>4737</v>
      </c>
      <c r="J2472" s="9" t="s">
        <v>4738</v>
      </c>
      <c r="K2472" s="4" t="s">
        <v>15175</v>
      </c>
      <c r="L2472" s="13">
        <v>266441669</v>
      </c>
      <c r="M2472" t="str">
        <f>VLOOKUP(L2472,[1]Human_BrainSpan!$B$2:$C$4000,2,FALSE)</f>
        <v>CgGrs</v>
      </c>
    </row>
    <row r="2473" spans="2:13" x14ac:dyDescent="0.25">
      <c r="B2473" s="31" t="s">
        <v>25743</v>
      </c>
      <c r="C2473" s="20"/>
      <c r="D2473" s="25" t="s">
        <v>26190</v>
      </c>
      <c r="E2473" s="25"/>
      <c r="F2473" s="9" t="str">
        <f>HYPERLINK("https://www.ebi.ac.uk/ols/ontologies/uberon/terms?iri=http://purl.obolibrary.org/obo/UBERON_0013531","retrosplenial region")</f>
        <v>retrosplenial region</v>
      </c>
      <c r="G2473" s="9" t="s">
        <v>4734</v>
      </c>
      <c r="H2473" s="9" t="s">
        <v>15888</v>
      </c>
      <c r="I2473" s="9" t="s">
        <v>4735</v>
      </c>
      <c r="J2473" s="9" t="s">
        <v>4739</v>
      </c>
      <c r="K2473" s="5" t="s">
        <v>15173</v>
      </c>
      <c r="L2473" s="13">
        <v>16093</v>
      </c>
      <c r="M2473" t="str">
        <f>VLOOKUP(L2473,[1]DevMouse!$B$2:$C$2693,2,FALSE)</f>
        <v>RSCx</v>
      </c>
    </row>
    <row r="2474" spans="2:13" x14ac:dyDescent="0.25">
      <c r="B2474" s="31" t="s">
        <v>25743</v>
      </c>
      <c r="C2474" s="20"/>
      <c r="D2474" s="25" t="s">
        <v>26190</v>
      </c>
      <c r="E2474" s="25"/>
      <c r="F2474" s="9" t="str">
        <f>HYPERLINK("https://www.ebi.ac.uk/ols/ontologies/uberon/terms?iri=http://purl.obolibrary.org/obo/UBERON_0013531","retrosplenial region")</f>
        <v>retrosplenial region</v>
      </c>
      <c r="G2474" s="9" t="s">
        <v>4734</v>
      </c>
      <c r="H2474" s="9" t="s">
        <v>15194</v>
      </c>
      <c r="I2474" s="9" t="s">
        <v>4740</v>
      </c>
      <c r="J2474" s="9" t="s">
        <v>4741</v>
      </c>
      <c r="K2474" s="3" t="s">
        <v>15176</v>
      </c>
      <c r="L2474" s="13">
        <v>254</v>
      </c>
      <c r="M2474" t="str">
        <f>VLOOKUP(L2474,[1]Mouse_ARA!$B$2:$C$1328,2,FALSE)</f>
        <v>RSP</v>
      </c>
    </row>
    <row r="2475" spans="2:13" x14ac:dyDescent="0.25">
      <c r="B2475" s="31" t="s">
        <v>25743</v>
      </c>
      <c r="C2475" s="20"/>
      <c r="D2475" s="25" t="s">
        <v>4743</v>
      </c>
      <c r="E2475" s="25"/>
      <c r="F2475" s="9" t="str">
        <f>HYPERLINK("https://www.ebi.ac.uk/ols/ontologies/uberon/terms?iri=http://purl.obolibrary.org/obo/UBERON_0009918","retrotrapezoid nucleus")</f>
        <v>retrotrapezoid nucleus</v>
      </c>
      <c r="G2475" s="9" t="s">
        <v>4742</v>
      </c>
      <c r="H2475" s="9" t="s">
        <v>24362</v>
      </c>
      <c r="I2475" s="9" t="s">
        <v>4743</v>
      </c>
      <c r="J2475" s="9" t="s">
        <v>4744</v>
      </c>
      <c r="K2475" s="4" t="s">
        <v>15175</v>
      </c>
      <c r="L2475" s="13">
        <v>12531</v>
      </c>
      <c r="M2475" t="str">
        <f>VLOOKUP(L2475,[1]Human_BrainSpan!$B$2:$C$4000,2,FALSE)</f>
        <v>RTz</v>
      </c>
    </row>
    <row r="2476" spans="2:13" x14ac:dyDescent="0.25">
      <c r="B2476" s="31" t="s">
        <v>25743</v>
      </c>
      <c r="C2476" s="20"/>
      <c r="D2476" s="25" t="s">
        <v>4743</v>
      </c>
      <c r="E2476" s="25"/>
      <c r="F2476" s="9" t="str">
        <f>HYPERLINK("https://www.ebi.ac.uk/ols/ontologies/uberon/terms?iri=http://purl.obolibrary.org/obo/UBERON_0009918","retrotrapezoid nucleus")</f>
        <v>retrotrapezoid nucleus</v>
      </c>
      <c r="G2476" s="9" t="s">
        <v>4742</v>
      </c>
      <c r="H2476" s="9" t="s">
        <v>17892</v>
      </c>
      <c r="I2476" s="9" t="s">
        <v>4743</v>
      </c>
      <c r="J2476" s="9" t="s">
        <v>4745</v>
      </c>
      <c r="K2476" s="5" t="s">
        <v>15173</v>
      </c>
      <c r="L2476" s="13">
        <v>17327</v>
      </c>
      <c r="M2476" t="str">
        <f>VLOOKUP(L2476,[1]DevMouse!$B$2:$C$2693,2,FALSE)</f>
        <v>RTZ</v>
      </c>
    </row>
    <row r="2477" spans="2:13" x14ac:dyDescent="0.25">
      <c r="B2477" s="31" t="s">
        <v>25743</v>
      </c>
      <c r="C2477" s="20"/>
      <c r="D2477" s="25" t="s">
        <v>26191</v>
      </c>
      <c r="E2477" s="25"/>
      <c r="F2477" s="9" t="str">
        <f>HYPERLINK("https://www.ebi.ac.uk/ols/ontologies/uberon/terms?iri=http://purl.obolibrary.org/obo/UBERON_0001921","reuniens nucleus")</f>
        <v>reuniens nucleus</v>
      </c>
      <c r="G2477" s="9" t="s">
        <v>4746</v>
      </c>
      <c r="H2477" s="9" t="s">
        <v>16411</v>
      </c>
      <c r="I2477" s="9" t="s">
        <v>4747</v>
      </c>
      <c r="J2477" s="9" t="s">
        <v>4748</v>
      </c>
      <c r="K2477" s="4" t="s">
        <v>15175</v>
      </c>
      <c r="L2477" s="13">
        <v>10403</v>
      </c>
      <c r="M2477" t="str">
        <f>VLOOKUP(L2477,[1]Human_BrainSpan!$B$2:$C$4000,2,FALSE)</f>
        <v>Re</v>
      </c>
    </row>
    <row r="2478" spans="2:13" x14ac:dyDescent="0.25">
      <c r="B2478" s="31" t="s">
        <v>25743</v>
      </c>
      <c r="C2478" s="20"/>
      <c r="D2478" s="25" t="s">
        <v>26191</v>
      </c>
      <c r="E2478" s="25"/>
      <c r="F2478" s="9" t="str">
        <f>HYPERLINK("https://www.ebi.ac.uk/ols/ontologies/uberon/terms?iri=http://purl.obolibrary.org/obo/UBERON_0001921","reuniens nucleus")</f>
        <v>reuniens nucleus</v>
      </c>
      <c r="G2478" s="9" t="s">
        <v>4746</v>
      </c>
      <c r="H2478" s="9" t="s">
        <v>19961</v>
      </c>
      <c r="I2478" s="9" t="s">
        <v>759</v>
      </c>
      <c r="J2478" s="9" t="s">
        <v>760</v>
      </c>
      <c r="K2478" s="3" t="s">
        <v>15176</v>
      </c>
      <c r="L2478" s="13">
        <v>181</v>
      </c>
      <c r="M2478" t="str">
        <f>VLOOKUP(L2478,[1]Mouse_ARA!$B$2:$C$1328,2,FALSE)</f>
        <v>RE</v>
      </c>
    </row>
    <row r="2479" spans="2:13" x14ac:dyDescent="0.25">
      <c r="B2479" s="31" t="s">
        <v>25743</v>
      </c>
      <c r="C2479" s="20"/>
      <c r="D2479" s="25" t="s">
        <v>4750</v>
      </c>
      <c r="E2479" s="25"/>
      <c r="F2479" s="9" t="str">
        <f>HYPERLINK("https://www.ebi.ac.uk/ols/ontologies/uberon/terms?iri=http://purl.obolibrary.org/obo/UBERON_0002683","rhinal sulcus")</f>
        <v>rhinal sulcus</v>
      </c>
      <c r="G2479" s="9" t="s">
        <v>4749</v>
      </c>
      <c r="H2479" s="9" t="s">
        <v>18494</v>
      </c>
      <c r="I2479" s="9" t="s">
        <v>4750</v>
      </c>
      <c r="J2479" s="9" t="s">
        <v>4751</v>
      </c>
      <c r="K2479" s="4" t="s">
        <v>15175</v>
      </c>
      <c r="L2479" s="13">
        <v>10636</v>
      </c>
      <c r="M2479" t="str">
        <f>VLOOKUP(L2479,[1]Human_BrainSpan!$B$2:$C$4000,2,FALSE)</f>
        <v>rs</v>
      </c>
    </row>
    <row r="2480" spans="2:13" x14ac:dyDescent="0.25">
      <c r="B2480" s="31" t="s">
        <v>25743</v>
      </c>
      <c r="C2480" s="20"/>
      <c r="D2480" s="25" t="s">
        <v>4750</v>
      </c>
      <c r="E2480" s="25"/>
      <c r="F2480" s="9" t="str">
        <f>HYPERLINK("https://www.ebi.ac.uk/ols/ontologies/uberon/terms?iri=http://purl.obolibrary.org/obo/UBERON_0002683","rhinal sulcus")</f>
        <v>rhinal sulcus</v>
      </c>
      <c r="G2480" s="9" t="s">
        <v>4749</v>
      </c>
      <c r="H2480" s="9" t="s">
        <v>25552</v>
      </c>
      <c r="I2480" s="9" t="s">
        <v>4750</v>
      </c>
      <c r="J2480" s="9" t="s">
        <v>4752</v>
      </c>
      <c r="K2480" s="7" t="s">
        <v>15171</v>
      </c>
      <c r="L2480" s="13">
        <v>9383</v>
      </c>
      <c r="M2480" t="str">
        <f>VLOOKUP(L2480,[1]HBA!$B$2:$C$4000,2,FALSE)</f>
        <v>rhs</v>
      </c>
    </row>
    <row r="2481" spans="2:13" x14ac:dyDescent="0.25">
      <c r="B2481" s="31" t="s">
        <v>25743</v>
      </c>
      <c r="C2481" s="20"/>
      <c r="D2481" s="25" t="s">
        <v>4750</v>
      </c>
      <c r="E2481" s="25"/>
      <c r="F2481" s="9" t="str">
        <f>HYPERLINK("https://www.ebi.ac.uk/ols/ontologies/uberon/terms?iri=http://purl.obolibrary.org/obo/UBERON_0002683","rhinal sulcus")</f>
        <v>rhinal sulcus</v>
      </c>
      <c r="G2481" s="9" t="s">
        <v>4749</v>
      </c>
      <c r="H2481" s="9" t="s">
        <v>18491</v>
      </c>
      <c r="I2481" s="9" t="s">
        <v>4753</v>
      </c>
      <c r="J2481" s="9" t="s">
        <v>4754</v>
      </c>
      <c r="K2481" s="3" t="s">
        <v>15176</v>
      </c>
      <c r="L2481" s="13">
        <v>1071</v>
      </c>
      <c r="M2481" t="str">
        <f>VLOOKUP(L2481,[1]Mouse_ARA!$B$2:$C$1328,2,FALSE)</f>
        <v>rf</v>
      </c>
    </row>
    <row r="2482" spans="2:13" x14ac:dyDescent="0.25">
      <c r="B2482" s="31" t="s">
        <v>25743</v>
      </c>
      <c r="C2482" s="20"/>
      <c r="D2482" s="25" t="s">
        <v>4756</v>
      </c>
      <c r="E2482" s="25"/>
      <c r="F2482" s="9" t="str">
        <f>HYPERLINK("https://www.ebi.ac.uk/ols/ontologies/uberon/terms?iri=http://purl.obolibrary.org/obo/UBERON_0006215","rhombic lip")</f>
        <v>rhombic lip</v>
      </c>
      <c r="G2482" s="9" t="s">
        <v>4755</v>
      </c>
      <c r="H2482" s="9" t="s">
        <v>24551</v>
      </c>
      <c r="I2482" s="9" t="s">
        <v>4756</v>
      </c>
      <c r="J2482" s="9" t="s">
        <v>4757</v>
      </c>
      <c r="K2482" s="4" t="s">
        <v>15175</v>
      </c>
      <c r="L2482" s="13">
        <v>10664</v>
      </c>
      <c r="M2482" t="str">
        <f>VLOOKUP(L2482,[1]Human_BrainSpan!$B$2:$C$4000,2,FALSE)</f>
        <v>RhL</v>
      </c>
    </row>
    <row r="2483" spans="2:13" x14ac:dyDescent="0.25">
      <c r="B2483" s="31" t="s">
        <v>25743</v>
      </c>
      <c r="C2483" s="20"/>
      <c r="D2483" s="25" t="s">
        <v>26192</v>
      </c>
      <c r="E2483" s="25"/>
      <c r="F2483" s="9" t="str">
        <f>HYPERLINK("https://www.ebi.ac.uk/ols/ontologies/uberon/terms?iri=http://purl.obolibrary.org/obo/UBERON_0002955","rhomboidal nucleus")</f>
        <v>rhomboidal nucleus</v>
      </c>
      <c r="G2483" s="9" t="s">
        <v>4758</v>
      </c>
      <c r="H2483" s="9" t="s">
        <v>16410</v>
      </c>
      <c r="I2483" s="9" t="s">
        <v>4759</v>
      </c>
      <c r="J2483" s="9" t="s">
        <v>4760</v>
      </c>
      <c r="K2483" s="4" t="s">
        <v>15175</v>
      </c>
      <c r="L2483" s="13">
        <v>10447</v>
      </c>
      <c r="M2483" t="str">
        <f>VLOOKUP(L2483,[1]Human_BrainSpan!$B$2:$C$4000,2,FALSE)</f>
        <v>Rh</v>
      </c>
    </row>
    <row r="2484" spans="2:13" x14ac:dyDescent="0.25">
      <c r="B2484" s="31" t="s">
        <v>25743</v>
      </c>
      <c r="C2484" s="20"/>
      <c r="D2484" s="25" t="s">
        <v>26192</v>
      </c>
      <c r="E2484" s="25"/>
      <c r="F2484" s="9" t="str">
        <f>HYPERLINK("https://www.ebi.ac.uk/ols/ontologies/uberon/terms?iri=http://purl.obolibrary.org/obo/UBERON_0002955","rhomboidal nucleus")</f>
        <v>rhomboidal nucleus</v>
      </c>
      <c r="G2484" s="9" t="s">
        <v>4758</v>
      </c>
      <c r="H2484" s="9" t="s">
        <v>16410</v>
      </c>
      <c r="I2484" s="9" t="s">
        <v>672</v>
      </c>
      <c r="J2484" s="9" t="s">
        <v>673</v>
      </c>
      <c r="K2484" s="5" t="s">
        <v>15173</v>
      </c>
      <c r="L2484" s="13">
        <v>16405</v>
      </c>
      <c r="M2484" t="str">
        <f>VLOOKUP(L2484,[1]DevMouse!$B$2:$C$2693,2,FALSE)</f>
        <v>Rh</v>
      </c>
    </row>
    <row r="2485" spans="2:13" x14ac:dyDescent="0.25">
      <c r="B2485" s="31" t="s">
        <v>25743</v>
      </c>
      <c r="C2485" s="20"/>
      <c r="D2485" s="25" t="s">
        <v>26192</v>
      </c>
      <c r="E2485" s="25"/>
      <c r="F2485" s="9" t="str">
        <f>HYPERLINK("https://www.ebi.ac.uk/ols/ontologies/uberon/terms?iri=http://purl.obolibrary.org/obo/UBERON_0002955","rhomboidal nucleus")</f>
        <v>rhomboidal nucleus</v>
      </c>
      <c r="G2485" s="9" t="s">
        <v>4758</v>
      </c>
      <c r="H2485" s="9" t="s">
        <v>16410</v>
      </c>
      <c r="I2485" s="9" t="s">
        <v>4761</v>
      </c>
      <c r="J2485" s="9" t="s">
        <v>4762</v>
      </c>
      <c r="K2485" s="7" t="s">
        <v>15171</v>
      </c>
      <c r="L2485" s="13">
        <v>4433</v>
      </c>
      <c r="M2485" t="str">
        <f>VLOOKUP(L2485,[1]HBA!$B$2:$C$4000,2,FALSE)</f>
        <v>Rh</v>
      </c>
    </row>
    <row r="2486" spans="2:13" x14ac:dyDescent="0.25">
      <c r="B2486" s="31" t="s">
        <v>25743</v>
      </c>
      <c r="C2486" s="20"/>
      <c r="D2486" s="25" t="s">
        <v>26192</v>
      </c>
      <c r="E2486" s="25"/>
      <c r="F2486" s="9" t="str">
        <f>HYPERLINK("https://www.ebi.ac.uk/ols/ontologies/uberon/terms?iri=http://purl.obolibrary.org/obo/UBERON_0002955","rhomboidal nucleus")</f>
        <v>rhomboidal nucleus</v>
      </c>
      <c r="G2486" s="9" t="s">
        <v>4758</v>
      </c>
      <c r="H2486" s="9" t="s">
        <v>19967</v>
      </c>
      <c r="I2486" s="9" t="s">
        <v>672</v>
      </c>
      <c r="J2486" s="9" t="s">
        <v>763</v>
      </c>
      <c r="K2486" s="3" t="s">
        <v>15176</v>
      </c>
      <c r="L2486" s="13">
        <v>189</v>
      </c>
      <c r="M2486" t="str">
        <f>VLOOKUP(L2486,[1]Mouse_ARA!$B$2:$C$1328,2,FALSE)</f>
        <v>RH</v>
      </c>
    </row>
    <row r="2487" spans="2:13" x14ac:dyDescent="0.25">
      <c r="B2487" s="31" t="s">
        <v>25743</v>
      </c>
      <c r="C2487" s="20"/>
      <c r="D2487" s="25" t="s">
        <v>26193</v>
      </c>
      <c r="E2487" s="25"/>
      <c r="F2487" s="9" t="str">
        <f>HYPERLINK("https://www.ebi.ac.uk/ols/ontologies/uberon/terms?iri=http://purl.obolibrary.org/obo/UBERON_0001892","rhombomere")</f>
        <v>rhombomere</v>
      </c>
      <c r="G2487" s="9" t="s">
        <v>4763</v>
      </c>
      <c r="H2487" s="9" t="s">
        <v>24537</v>
      </c>
      <c r="I2487" s="9" t="s">
        <v>4764</v>
      </c>
      <c r="J2487" s="9" t="s">
        <v>4765</v>
      </c>
      <c r="K2487" s="4" t="s">
        <v>15175</v>
      </c>
      <c r="L2487" s="13">
        <v>12664</v>
      </c>
      <c r="M2487" t="str">
        <f>VLOOKUP(L2487,[1]Human_BrainSpan!$B$2:$C$4000,2,FALSE)</f>
        <v>HNM</v>
      </c>
    </row>
    <row r="2488" spans="2:13" x14ac:dyDescent="0.25">
      <c r="B2488" s="31" t="s">
        <v>25743</v>
      </c>
      <c r="C2488" s="20"/>
      <c r="D2488" s="25" t="s">
        <v>4767</v>
      </c>
      <c r="E2488" s="25"/>
      <c r="F2488" s="9" t="str">
        <f>HYPERLINK("https://www.ebi.ac.uk/ols/ontologies/uberon/terms?iri=http://purl.obolibrary.org/obo/UBERON_0005499","rhombomere 1")</f>
        <v>rhombomere 1</v>
      </c>
      <c r="G2488" s="9" t="s">
        <v>4766</v>
      </c>
      <c r="H2488" s="9" t="s">
        <v>24540</v>
      </c>
      <c r="I2488" s="9" t="s">
        <v>4767</v>
      </c>
      <c r="J2488" s="9" t="s">
        <v>4768</v>
      </c>
      <c r="K2488" s="4" t="s">
        <v>15175</v>
      </c>
      <c r="L2488" s="13">
        <v>12667</v>
      </c>
      <c r="M2488" t="str">
        <f>VLOOKUP(L2488,[1]Human_BrainSpan!$B$2:$C$4000,2,FALSE)</f>
        <v>Rh1</v>
      </c>
    </row>
    <row r="2489" spans="2:13" x14ac:dyDescent="0.25">
      <c r="B2489" s="31" t="s">
        <v>25743</v>
      </c>
      <c r="C2489" s="20"/>
      <c r="D2489" s="25" t="s">
        <v>4767</v>
      </c>
      <c r="E2489" s="25"/>
      <c r="F2489" s="9" t="str">
        <f>HYPERLINK("https://www.ebi.ac.uk/ols/ontologies/uberon/terms?iri=http://purl.obolibrary.org/obo/UBERON_0005499","rhombomere 1")</f>
        <v>rhombomere 1</v>
      </c>
      <c r="G2489" s="9" t="s">
        <v>4766</v>
      </c>
      <c r="H2489" s="9" t="s">
        <v>17353</v>
      </c>
      <c r="I2489" s="9" t="s">
        <v>4767</v>
      </c>
      <c r="J2489" s="9" t="s">
        <v>4769</v>
      </c>
      <c r="K2489" s="5" t="s">
        <v>15173</v>
      </c>
      <c r="L2489" s="13">
        <v>16915</v>
      </c>
      <c r="M2489" t="str">
        <f>VLOOKUP(L2489,[1]DevMouse!$B$2:$C$2693,2,FALSE)</f>
        <v>r1</v>
      </c>
    </row>
    <row r="2490" spans="2:13" x14ac:dyDescent="0.25">
      <c r="B2490" s="31" t="s">
        <v>25743</v>
      </c>
      <c r="C2490" s="20"/>
      <c r="D2490" s="25" t="s">
        <v>26194</v>
      </c>
      <c r="E2490" s="25"/>
      <c r="F2490" s="9" t="str">
        <f>HYPERLINK("https://www.ebi.ac.uk/ols/ontologies/uberon/terms?iri=http://purl.obolibrary.org/obo/UBERON_0005566","rhombomere 1 floor plate")</f>
        <v>rhombomere 1 floor plate</v>
      </c>
      <c r="G2490" s="9" t="s">
        <v>4770</v>
      </c>
      <c r="H2490" s="9" t="s">
        <v>17477</v>
      </c>
      <c r="I2490" s="9" t="s">
        <v>4771</v>
      </c>
      <c r="J2490" s="9" t="s">
        <v>4772</v>
      </c>
      <c r="K2490" s="5" t="s">
        <v>15173</v>
      </c>
      <c r="L2490" s="13">
        <v>17022</v>
      </c>
      <c r="M2490" t="str">
        <f>VLOOKUP(L2490,[1]DevMouse!$B$2:$C$2693,2,FALSE)</f>
        <v>r1F</v>
      </c>
    </row>
    <row r="2491" spans="2:13" x14ac:dyDescent="0.25">
      <c r="B2491" s="31" t="s">
        <v>25743</v>
      </c>
      <c r="C2491" s="20"/>
      <c r="D2491" s="25" t="s">
        <v>26195</v>
      </c>
      <c r="E2491" s="25"/>
      <c r="F2491" s="9" t="str">
        <f>HYPERLINK("https://www.ebi.ac.uk/ols/ontologies/uberon/terms?iri=http://purl.obolibrary.org/obo/UBERON_0005568","rhombomere 1 roof plate")</f>
        <v>rhombomere 1 roof plate</v>
      </c>
      <c r="G2491" s="9" t="s">
        <v>4773</v>
      </c>
      <c r="H2491" s="9" t="s">
        <v>17354</v>
      </c>
      <c r="I2491" s="9" t="s">
        <v>4774</v>
      </c>
      <c r="J2491" s="9" t="s">
        <v>4775</v>
      </c>
      <c r="K2491" s="5" t="s">
        <v>15173</v>
      </c>
      <c r="L2491" s="13">
        <v>16916</v>
      </c>
      <c r="M2491" t="str">
        <f>VLOOKUP(L2491,[1]DevMouse!$B$2:$C$2693,2,FALSE)</f>
        <v>r1R</v>
      </c>
    </row>
    <row r="2492" spans="2:13" x14ac:dyDescent="0.25">
      <c r="B2492" s="31" t="s">
        <v>25743</v>
      </c>
      <c r="C2492" s="20"/>
      <c r="D2492" s="25" t="s">
        <v>4777</v>
      </c>
      <c r="E2492" s="25"/>
      <c r="F2492" s="9" t="str">
        <f>HYPERLINK("https://www.ebi.ac.uk/ols/ontologies/uberon/terms?iri=http://purl.obolibrary.org/obo/UBERON_0019285","rhombomere 10")</f>
        <v>rhombomere 10</v>
      </c>
      <c r="G2492" s="9" t="s">
        <v>4776</v>
      </c>
      <c r="H2492" s="9" t="s">
        <v>18167</v>
      </c>
      <c r="I2492" s="9" t="s">
        <v>4777</v>
      </c>
      <c r="J2492" s="9" t="s">
        <v>4778</v>
      </c>
      <c r="K2492" s="5" t="s">
        <v>15173</v>
      </c>
      <c r="L2492" s="13">
        <v>17538</v>
      </c>
      <c r="M2492" t="str">
        <f>VLOOKUP(L2492,[1]DevMouse!$B$2:$C$2693,2,FALSE)</f>
        <v>r10</v>
      </c>
    </row>
    <row r="2493" spans="2:13" x14ac:dyDescent="0.25">
      <c r="B2493" s="31" t="s">
        <v>25743</v>
      </c>
      <c r="C2493" s="20"/>
      <c r="D2493" s="25" t="s">
        <v>4780</v>
      </c>
      <c r="E2493" s="25"/>
      <c r="F2493" s="9" t="str">
        <f>HYPERLINK("https://www.ebi.ac.uk/ols/ontologies/uberon/terms?iri=http://purl.obolibrary.org/obo/UBERON_0019286","rhombomere 11")</f>
        <v>rhombomere 11</v>
      </c>
      <c r="G2493" s="9" t="s">
        <v>4779</v>
      </c>
      <c r="H2493" s="9" t="s">
        <v>18244</v>
      </c>
      <c r="I2493" s="9" t="s">
        <v>4780</v>
      </c>
      <c r="J2493" s="9" t="s">
        <v>4781</v>
      </c>
      <c r="K2493" s="5" t="s">
        <v>15173</v>
      </c>
      <c r="L2493" s="13">
        <v>17596</v>
      </c>
      <c r="M2493" t="str">
        <f>VLOOKUP(L2493,[1]DevMouse!$B$2:$C$2693,2,FALSE)</f>
        <v>r11</v>
      </c>
    </row>
    <row r="2494" spans="2:13" x14ac:dyDescent="0.25">
      <c r="B2494" s="31" t="s">
        <v>25743</v>
      </c>
      <c r="C2494" s="20"/>
      <c r="D2494" s="25" t="s">
        <v>4783</v>
      </c>
      <c r="E2494" s="25"/>
      <c r="F2494" s="9" t="str">
        <f>HYPERLINK("https://www.ebi.ac.uk/ols/ontologies/uberon/terms?iri=http://purl.obolibrary.org/obo/UBERON_0005569","rhombomere 2")</f>
        <v>rhombomere 2</v>
      </c>
      <c r="G2494" s="9" t="s">
        <v>4782</v>
      </c>
      <c r="H2494" s="9" t="s">
        <v>24541</v>
      </c>
      <c r="I2494" s="9" t="s">
        <v>4783</v>
      </c>
      <c r="J2494" s="9" t="s">
        <v>4784</v>
      </c>
      <c r="K2494" s="4" t="s">
        <v>15175</v>
      </c>
      <c r="L2494" s="13">
        <v>12668</v>
      </c>
      <c r="M2494" t="str">
        <f>VLOOKUP(L2494,[1]Human_BrainSpan!$B$2:$C$4000,2,FALSE)</f>
        <v>Rh2</v>
      </c>
    </row>
    <row r="2495" spans="2:13" x14ac:dyDescent="0.25">
      <c r="B2495" s="31" t="s">
        <v>25743</v>
      </c>
      <c r="C2495" s="20"/>
      <c r="D2495" s="25" t="s">
        <v>4783</v>
      </c>
      <c r="E2495" s="25"/>
      <c r="F2495" s="9" t="str">
        <f>HYPERLINK("https://www.ebi.ac.uk/ols/ontologies/uberon/terms?iri=http://purl.obolibrary.org/obo/UBERON_0005569","rhombomere 2")</f>
        <v>rhombomere 2</v>
      </c>
      <c r="G2495" s="9" t="s">
        <v>4782</v>
      </c>
      <c r="H2495" s="9" t="s">
        <v>17485</v>
      </c>
      <c r="I2495" s="9" t="s">
        <v>4783</v>
      </c>
      <c r="J2495" s="9" t="s">
        <v>4785</v>
      </c>
      <c r="K2495" s="5" t="s">
        <v>15173</v>
      </c>
      <c r="L2495" s="13">
        <v>17023</v>
      </c>
      <c r="M2495" t="str">
        <f>VLOOKUP(L2495,[1]DevMouse!$B$2:$C$2693,2,FALSE)</f>
        <v>r2</v>
      </c>
    </row>
    <row r="2496" spans="2:13" x14ac:dyDescent="0.25">
      <c r="B2496" s="31" t="s">
        <v>25743</v>
      </c>
      <c r="C2496" s="20"/>
      <c r="D2496" s="25" t="s">
        <v>26196</v>
      </c>
      <c r="E2496" s="25"/>
      <c r="F2496" s="9" t="str">
        <f>HYPERLINK("https://www.ebi.ac.uk/ols/ontologies/uberon/terms?iri=http://purl.obolibrary.org/obo/UBERON_0005570","rhombomere 2 floor plate")</f>
        <v>rhombomere 2 floor plate</v>
      </c>
      <c r="G2496" s="9" t="s">
        <v>4786</v>
      </c>
      <c r="H2496" s="9" t="s">
        <v>17571</v>
      </c>
      <c r="I2496" s="9" t="s">
        <v>4787</v>
      </c>
      <c r="J2496" s="9" t="s">
        <v>4788</v>
      </c>
      <c r="K2496" s="5" t="s">
        <v>15173</v>
      </c>
      <c r="L2496" s="13">
        <v>17091</v>
      </c>
      <c r="M2496" t="str">
        <f>VLOOKUP(L2496,[1]DevMouse!$B$2:$C$2693,2,FALSE)</f>
        <v>r2F</v>
      </c>
    </row>
    <row r="2497" spans="2:13" x14ac:dyDescent="0.25">
      <c r="B2497" s="31" t="s">
        <v>25743</v>
      </c>
      <c r="C2497" s="20"/>
      <c r="D2497" s="25" t="s">
        <v>26197</v>
      </c>
      <c r="E2497" s="25"/>
      <c r="F2497" s="9" t="str">
        <f>HYPERLINK("https://www.ebi.ac.uk/ols/ontologies/uberon/terms?iri=http://purl.obolibrary.org/obo/UBERON_0005572","rhombomere 2 roof plate")</f>
        <v>rhombomere 2 roof plate</v>
      </c>
      <c r="G2497" s="9" t="s">
        <v>4789</v>
      </c>
      <c r="H2497" s="9" t="s">
        <v>17486</v>
      </c>
      <c r="I2497" s="9" t="s">
        <v>4790</v>
      </c>
      <c r="J2497" s="9" t="s">
        <v>4791</v>
      </c>
      <c r="K2497" s="5" t="s">
        <v>15173</v>
      </c>
      <c r="L2497" s="13">
        <v>17024</v>
      </c>
      <c r="M2497" t="str">
        <f>VLOOKUP(L2497,[1]DevMouse!$B$2:$C$2693,2,FALSE)</f>
        <v>r2R</v>
      </c>
    </row>
    <row r="2498" spans="2:13" x14ac:dyDescent="0.25">
      <c r="B2498" s="31" t="s">
        <v>25743</v>
      </c>
      <c r="C2498" s="20"/>
      <c r="D2498" s="25" t="s">
        <v>4793</v>
      </c>
      <c r="E2498" s="25"/>
      <c r="F2498" s="9" t="str">
        <f>HYPERLINK("https://www.ebi.ac.uk/ols/ontologies/uberon/terms?iri=http://purl.obolibrary.org/obo/UBERON_0005507","rhombomere 3")</f>
        <v>rhombomere 3</v>
      </c>
      <c r="G2498" s="9" t="s">
        <v>4792</v>
      </c>
      <c r="H2498" s="9" t="s">
        <v>24542</v>
      </c>
      <c r="I2498" s="9" t="s">
        <v>4793</v>
      </c>
      <c r="J2498" s="9" t="s">
        <v>4794</v>
      </c>
      <c r="K2498" s="4" t="s">
        <v>15175</v>
      </c>
      <c r="L2498" s="13">
        <v>12669</v>
      </c>
      <c r="M2498" t="str">
        <f>VLOOKUP(L2498,[1]Human_BrainSpan!$B$2:$C$4000,2,FALSE)</f>
        <v>Rh3</v>
      </c>
    </row>
    <row r="2499" spans="2:13" x14ac:dyDescent="0.25">
      <c r="B2499" s="31" t="s">
        <v>25743</v>
      </c>
      <c r="C2499" s="20"/>
      <c r="D2499" s="25" t="s">
        <v>4793</v>
      </c>
      <c r="E2499" s="25"/>
      <c r="F2499" s="9" t="str">
        <f>HYPERLINK("https://www.ebi.ac.uk/ols/ontologies/uberon/terms?iri=http://purl.obolibrary.org/obo/UBERON_0005507","rhombomere 3")</f>
        <v>rhombomere 3</v>
      </c>
      <c r="G2499" s="9" t="s">
        <v>4792</v>
      </c>
      <c r="H2499" s="9" t="s">
        <v>17578</v>
      </c>
      <c r="I2499" s="9" t="s">
        <v>4793</v>
      </c>
      <c r="J2499" s="9" t="s">
        <v>4795</v>
      </c>
      <c r="K2499" s="5" t="s">
        <v>15173</v>
      </c>
      <c r="L2499" s="13">
        <v>17093</v>
      </c>
      <c r="M2499" t="str">
        <f>VLOOKUP(L2499,[1]DevMouse!$B$2:$C$2693,2,FALSE)</f>
        <v>r3</v>
      </c>
    </row>
    <row r="2500" spans="2:13" x14ac:dyDescent="0.25">
      <c r="B2500" s="31" t="s">
        <v>25743</v>
      </c>
      <c r="C2500" s="20"/>
      <c r="D2500" s="25" t="s">
        <v>26198</v>
      </c>
      <c r="E2500" s="25"/>
      <c r="F2500" s="9" t="str">
        <f>HYPERLINK("https://www.ebi.ac.uk/ols/ontologies/uberon/terms?iri=http://purl.obolibrary.org/obo/UBERON_0005573","rhombomere 3 floor plate")</f>
        <v>rhombomere 3 floor plate</v>
      </c>
      <c r="G2500" s="9" t="s">
        <v>4796</v>
      </c>
      <c r="H2500" s="9" t="s">
        <v>17657</v>
      </c>
      <c r="I2500" s="9" t="s">
        <v>4797</v>
      </c>
      <c r="J2500" s="9" t="s">
        <v>4798</v>
      </c>
      <c r="K2500" s="5" t="s">
        <v>15173</v>
      </c>
      <c r="L2500" s="13">
        <v>17155</v>
      </c>
      <c r="M2500" t="str">
        <f>VLOOKUP(L2500,[1]DevMouse!$B$2:$C$2693,2,FALSE)</f>
        <v>r3F</v>
      </c>
    </row>
    <row r="2501" spans="2:13" x14ac:dyDescent="0.25">
      <c r="B2501" s="31" t="s">
        <v>25743</v>
      </c>
      <c r="C2501" s="20"/>
      <c r="D2501" s="25" t="s">
        <v>26199</v>
      </c>
      <c r="E2501" s="25"/>
      <c r="F2501" s="9" t="str">
        <f>HYPERLINK("https://www.ebi.ac.uk/ols/ontologies/uberon/terms?iri=http://purl.obolibrary.org/obo/UBERON_0005575","rhombomere 3 roof plate")</f>
        <v>rhombomere 3 roof plate</v>
      </c>
      <c r="G2501" s="9" t="s">
        <v>4799</v>
      </c>
      <c r="H2501" s="9" t="s">
        <v>17579</v>
      </c>
      <c r="I2501" s="9" t="s">
        <v>4800</v>
      </c>
      <c r="J2501" s="9" t="s">
        <v>4801</v>
      </c>
      <c r="K2501" s="5" t="s">
        <v>15173</v>
      </c>
      <c r="L2501" s="13">
        <v>17094</v>
      </c>
      <c r="M2501" t="str">
        <f>VLOOKUP(L2501,[1]DevMouse!$B$2:$C$2693,2,FALSE)</f>
        <v>r3R</v>
      </c>
    </row>
    <row r="2502" spans="2:13" x14ac:dyDescent="0.25">
      <c r="B2502" s="31" t="s">
        <v>25743</v>
      </c>
      <c r="C2502" s="20"/>
      <c r="D2502" s="25" t="s">
        <v>4803</v>
      </c>
      <c r="E2502" s="25"/>
      <c r="F2502" s="9" t="str">
        <f>HYPERLINK("https://www.ebi.ac.uk/ols/ontologies/uberon/terms?iri=http://purl.obolibrary.org/obo/UBERON_0005511","rhombomere 4")</f>
        <v>rhombomere 4</v>
      </c>
      <c r="G2502" s="9" t="s">
        <v>4802</v>
      </c>
      <c r="H2502" s="9" t="s">
        <v>24544</v>
      </c>
      <c r="I2502" s="9" t="s">
        <v>4803</v>
      </c>
      <c r="J2502" s="9" t="s">
        <v>4804</v>
      </c>
      <c r="K2502" s="4" t="s">
        <v>15175</v>
      </c>
      <c r="L2502" s="13">
        <v>12671</v>
      </c>
      <c r="M2502" t="str">
        <f>VLOOKUP(L2502,[1]Human_BrainSpan!$B$2:$C$4000,2,FALSE)</f>
        <v>Rh4</v>
      </c>
    </row>
    <row r="2503" spans="2:13" x14ac:dyDescent="0.25">
      <c r="B2503" s="31" t="s">
        <v>25743</v>
      </c>
      <c r="C2503" s="20"/>
      <c r="D2503" s="25" t="s">
        <v>4803</v>
      </c>
      <c r="E2503" s="25"/>
      <c r="F2503" s="9" t="str">
        <f>HYPERLINK("https://www.ebi.ac.uk/ols/ontologies/uberon/terms?iri=http://purl.obolibrary.org/obo/UBERON_0005511","rhombomere 4")</f>
        <v>rhombomere 4</v>
      </c>
      <c r="G2503" s="9" t="s">
        <v>4802</v>
      </c>
      <c r="H2503" s="9" t="s">
        <v>17663</v>
      </c>
      <c r="I2503" s="9" t="s">
        <v>4803</v>
      </c>
      <c r="J2503" s="9" t="s">
        <v>4805</v>
      </c>
      <c r="K2503" s="5" t="s">
        <v>15173</v>
      </c>
      <c r="L2503" s="13">
        <v>17156</v>
      </c>
      <c r="M2503" t="str">
        <f>VLOOKUP(L2503,[1]DevMouse!$B$2:$C$2693,2,FALSE)</f>
        <v>r4</v>
      </c>
    </row>
    <row r="2504" spans="2:13" x14ac:dyDescent="0.25">
      <c r="B2504" s="31" t="s">
        <v>25743</v>
      </c>
      <c r="C2504" s="20"/>
      <c r="D2504" s="25" t="s">
        <v>26200</v>
      </c>
      <c r="E2504" s="25"/>
      <c r="F2504" s="9" t="str">
        <f>HYPERLINK("https://www.ebi.ac.uk/ols/ontologies/uberon/terms?iri=http://purl.obolibrary.org/obo/UBERON_0005576","rhombomere 4 floor plate")</f>
        <v>rhombomere 4 floor plate</v>
      </c>
      <c r="G2504" s="9" t="s">
        <v>4806</v>
      </c>
      <c r="H2504" s="9" t="s">
        <v>17741</v>
      </c>
      <c r="I2504" s="9" t="s">
        <v>4807</v>
      </c>
      <c r="J2504" s="9" t="s">
        <v>4808</v>
      </c>
      <c r="K2504" s="5" t="s">
        <v>15173</v>
      </c>
      <c r="L2504" s="13">
        <v>17219</v>
      </c>
      <c r="M2504" t="str">
        <f>VLOOKUP(L2504,[1]DevMouse!$B$2:$C$2693,2,FALSE)</f>
        <v>r4F</v>
      </c>
    </row>
    <row r="2505" spans="2:13" x14ac:dyDescent="0.25">
      <c r="B2505" s="31" t="s">
        <v>25743</v>
      </c>
      <c r="C2505" s="20"/>
      <c r="D2505" s="25" t="s">
        <v>26201</v>
      </c>
      <c r="E2505" s="25"/>
      <c r="F2505" s="9" t="str">
        <f>HYPERLINK("https://www.ebi.ac.uk/ols/ontologies/uberon/terms?iri=http://purl.obolibrary.org/obo/UBERON_0005578","rhombomere 4 roof plate")</f>
        <v>rhombomere 4 roof plate</v>
      </c>
      <c r="G2505" s="9" t="s">
        <v>4809</v>
      </c>
      <c r="H2505" s="9" t="s">
        <v>17664</v>
      </c>
      <c r="I2505" s="9" t="s">
        <v>4810</v>
      </c>
      <c r="J2505" s="9" t="s">
        <v>4811</v>
      </c>
      <c r="K2505" s="5" t="s">
        <v>15173</v>
      </c>
      <c r="L2505" s="13">
        <v>17157</v>
      </c>
      <c r="M2505" t="str">
        <f>VLOOKUP(L2505,[1]DevMouse!$B$2:$C$2693,2,FALSE)</f>
        <v>r4R</v>
      </c>
    </row>
    <row r="2506" spans="2:13" x14ac:dyDescent="0.25">
      <c r="B2506" s="31" t="s">
        <v>25743</v>
      </c>
      <c r="C2506" s="20"/>
      <c r="D2506" s="25" t="s">
        <v>4813</v>
      </c>
      <c r="E2506" s="25"/>
      <c r="F2506" s="9" t="str">
        <f>HYPERLINK("https://www.ebi.ac.uk/ols/ontologies/uberon/terms?iri=http://purl.obolibrary.org/obo/UBERON_0005515","rhombomere 5")</f>
        <v>rhombomere 5</v>
      </c>
      <c r="G2506" s="9" t="s">
        <v>4812</v>
      </c>
      <c r="H2506" s="9" t="s">
        <v>24546</v>
      </c>
      <c r="I2506" s="9" t="s">
        <v>4813</v>
      </c>
      <c r="J2506" s="9" t="s">
        <v>4814</v>
      </c>
      <c r="K2506" s="4" t="s">
        <v>15175</v>
      </c>
      <c r="L2506" s="13">
        <v>12673</v>
      </c>
      <c r="M2506" t="str">
        <f>VLOOKUP(L2506,[1]Human_BrainSpan!$B$2:$C$4000,2,FALSE)</f>
        <v>Rh5</v>
      </c>
    </row>
    <row r="2507" spans="2:13" x14ac:dyDescent="0.25">
      <c r="B2507" s="31" t="s">
        <v>25743</v>
      </c>
      <c r="C2507" s="20"/>
      <c r="D2507" s="25" t="s">
        <v>4813</v>
      </c>
      <c r="E2507" s="25"/>
      <c r="F2507" s="9" t="str">
        <f>HYPERLINK("https://www.ebi.ac.uk/ols/ontologies/uberon/terms?iri=http://purl.obolibrary.org/obo/UBERON_0005515","rhombomere 5")</f>
        <v>rhombomere 5</v>
      </c>
      <c r="G2507" s="9" t="s">
        <v>4812</v>
      </c>
      <c r="H2507" s="9" t="s">
        <v>17748</v>
      </c>
      <c r="I2507" s="9" t="s">
        <v>4813</v>
      </c>
      <c r="J2507" s="9" t="s">
        <v>4815</v>
      </c>
      <c r="K2507" s="5" t="s">
        <v>15173</v>
      </c>
      <c r="L2507" s="13">
        <v>17221</v>
      </c>
      <c r="M2507" t="str">
        <f>VLOOKUP(L2507,[1]DevMouse!$B$2:$C$2693,2,FALSE)</f>
        <v>r5</v>
      </c>
    </row>
    <row r="2508" spans="2:13" x14ac:dyDescent="0.25">
      <c r="B2508" s="31" t="s">
        <v>25743</v>
      </c>
      <c r="C2508" s="20"/>
      <c r="D2508" s="25" t="s">
        <v>26202</v>
      </c>
      <c r="E2508" s="25"/>
      <c r="F2508" s="9" t="str">
        <f>HYPERLINK("https://www.ebi.ac.uk/ols/ontologies/uberon/terms?iri=http://purl.obolibrary.org/obo/UBERON_0005579","rhombomere 5 floor plate")</f>
        <v>rhombomere 5 floor plate</v>
      </c>
      <c r="G2508" s="9" t="s">
        <v>4816</v>
      </c>
      <c r="H2508" s="9" t="s">
        <v>17833</v>
      </c>
      <c r="I2508" s="9" t="s">
        <v>4817</v>
      </c>
      <c r="J2508" s="9" t="s">
        <v>4818</v>
      </c>
      <c r="K2508" s="5" t="s">
        <v>15173</v>
      </c>
      <c r="L2508" s="13">
        <v>17289</v>
      </c>
      <c r="M2508" t="str">
        <f>VLOOKUP(L2508,[1]DevMouse!$B$2:$C$2693,2,FALSE)</f>
        <v>r5F</v>
      </c>
    </row>
    <row r="2509" spans="2:13" x14ac:dyDescent="0.25">
      <c r="B2509" s="31" t="s">
        <v>25743</v>
      </c>
      <c r="C2509" s="20"/>
      <c r="D2509" s="25" t="s">
        <v>26203</v>
      </c>
      <c r="E2509" s="25"/>
      <c r="F2509" s="9" t="str">
        <f>HYPERLINK("https://www.ebi.ac.uk/ols/ontologies/uberon/terms?iri=http://purl.obolibrary.org/obo/UBERON_0005581","rhombomere 5 roof plate")</f>
        <v>rhombomere 5 roof plate</v>
      </c>
      <c r="G2509" s="9" t="s">
        <v>4819</v>
      </c>
      <c r="H2509" s="9" t="s">
        <v>17749</v>
      </c>
      <c r="I2509" s="9" t="s">
        <v>4820</v>
      </c>
      <c r="J2509" s="9" t="s">
        <v>4821</v>
      </c>
      <c r="K2509" s="5" t="s">
        <v>15173</v>
      </c>
      <c r="L2509" s="13">
        <v>17222</v>
      </c>
      <c r="M2509" t="str">
        <f>VLOOKUP(L2509,[1]DevMouse!$B$2:$C$2693,2,FALSE)</f>
        <v>r5R</v>
      </c>
    </row>
    <row r="2510" spans="2:13" x14ac:dyDescent="0.25">
      <c r="B2510" s="31" t="s">
        <v>25743</v>
      </c>
      <c r="C2510" s="20"/>
      <c r="D2510" s="25" t="s">
        <v>4823</v>
      </c>
      <c r="E2510" s="25"/>
      <c r="F2510" s="9" t="str">
        <f>HYPERLINK("https://www.ebi.ac.uk/ols/ontologies/uberon/terms?iri=http://purl.obolibrary.org/obo/UBERON_0005519","rhombomere 6")</f>
        <v>rhombomere 6</v>
      </c>
      <c r="G2510" s="9" t="s">
        <v>4822</v>
      </c>
      <c r="H2510" s="9" t="s">
        <v>24547</v>
      </c>
      <c r="I2510" s="9" t="s">
        <v>4823</v>
      </c>
      <c r="J2510" s="9" t="s">
        <v>4824</v>
      </c>
      <c r="K2510" s="4" t="s">
        <v>15175</v>
      </c>
      <c r="L2510" s="13">
        <v>12674</v>
      </c>
      <c r="M2510" t="str">
        <f>VLOOKUP(L2510,[1]Human_BrainSpan!$B$2:$C$4000,2,FALSE)</f>
        <v>Rh6</v>
      </c>
    </row>
    <row r="2511" spans="2:13" x14ac:dyDescent="0.25">
      <c r="B2511" s="31" t="s">
        <v>25743</v>
      </c>
      <c r="C2511" s="20"/>
      <c r="D2511" s="25" t="s">
        <v>4823</v>
      </c>
      <c r="E2511" s="25"/>
      <c r="F2511" s="9" t="str">
        <f>HYPERLINK("https://www.ebi.ac.uk/ols/ontologies/uberon/terms?iri=http://purl.obolibrary.org/obo/UBERON_0005519","rhombomere 6")</f>
        <v>rhombomere 6</v>
      </c>
      <c r="G2511" s="9" t="s">
        <v>4822</v>
      </c>
      <c r="H2511" s="9" t="s">
        <v>17839</v>
      </c>
      <c r="I2511" s="9" t="s">
        <v>4823</v>
      </c>
      <c r="J2511" s="9" t="s">
        <v>4825</v>
      </c>
      <c r="K2511" s="5" t="s">
        <v>15173</v>
      </c>
      <c r="L2511" s="13">
        <v>17290</v>
      </c>
      <c r="M2511" t="str">
        <f>VLOOKUP(L2511,[1]DevMouse!$B$2:$C$2693,2,FALSE)</f>
        <v>r6</v>
      </c>
    </row>
    <row r="2512" spans="2:13" x14ac:dyDescent="0.25">
      <c r="B2512" s="31" t="s">
        <v>25743</v>
      </c>
      <c r="C2512" s="20"/>
      <c r="D2512" s="25" t="s">
        <v>26204</v>
      </c>
      <c r="E2512" s="25"/>
      <c r="F2512" s="9" t="str">
        <f>HYPERLINK("https://www.ebi.ac.uk/ols/ontologies/uberon/terms?iri=http://purl.obolibrary.org/obo/UBERON_0005582","rhombomere 6 floor plate")</f>
        <v>rhombomere 6 floor plate</v>
      </c>
      <c r="G2512" s="9" t="s">
        <v>4826</v>
      </c>
      <c r="H2512" s="9" t="s">
        <v>17916</v>
      </c>
      <c r="I2512" s="9" t="s">
        <v>4827</v>
      </c>
      <c r="J2512" s="9" t="s">
        <v>4828</v>
      </c>
      <c r="K2512" s="5" t="s">
        <v>15173</v>
      </c>
      <c r="L2512" s="13">
        <v>17351</v>
      </c>
      <c r="M2512" t="str">
        <f>VLOOKUP(L2512,[1]DevMouse!$B$2:$C$2693,2,FALSE)</f>
        <v>r6F</v>
      </c>
    </row>
    <row r="2513" spans="2:13" x14ac:dyDescent="0.25">
      <c r="B2513" s="31" t="s">
        <v>25743</v>
      </c>
      <c r="C2513" s="20"/>
      <c r="D2513" s="25" t="s">
        <v>26205</v>
      </c>
      <c r="E2513" s="25"/>
      <c r="F2513" s="9" t="str">
        <f>HYPERLINK("https://www.ebi.ac.uk/ols/ontologies/uberon/terms?iri=http://purl.obolibrary.org/obo/UBERON_0005584","rhombomere 6 roof plate")</f>
        <v>rhombomere 6 roof plate</v>
      </c>
      <c r="G2513" s="9" t="s">
        <v>4829</v>
      </c>
      <c r="H2513" s="9" t="s">
        <v>17840</v>
      </c>
      <c r="I2513" s="9" t="s">
        <v>4830</v>
      </c>
      <c r="J2513" s="9" t="s">
        <v>4831</v>
      </c>
      <c r="K2513" s="5" t="s">
        <v>15173</v>
      </c>
      <c r="L2513" s="13">
        <v>17291</v>
      </c>
      <c r="M2513" t="str">
        <f>VLOOKUP(L2513,[1]DevMouse!$B$2:$C$2693,2,FALSE)</f>
        <v>r6R</v>
      </c>
    </row>
    <row r="2514" spans="2:13" x14ac:dyDescent="0.25">
      <c r="B2514" s="31" t="s">
        <v>25743</v>
      </c>
      <c r="C2514" s="20"/>
      <c r="D2514" s="25" t="s">
        <v>4833</v>
      </c>
      <c r="E2514" s="25"/>
      <c r="F2514" s="9" t="str">
        <f>HYPERLINK("https://www.ebi.ac.uk/ols/ontologies/uberon/terms?iri=http://purl.obolibrary.org/obo/UBERON_0005523","rhombomere 7")</f>
        <v>rhombomere 7</v>
      </c>
      <c r="G2514" s="9" t="s">
        <v>4832</v>
      </c>
      <c r="H2514" s="9" t="s">
        <v>24548</v>
      </c>
      <c r="I2514" s="9" t="s">
        <v>4833</v>
      </c>
      <c r="J2514" s="9" t="s">
        <v>4834</v>
      </c>
      <c r="K2514" s="4" t="s">
        <v>15175</v>
      </c>
      <c r="L2514" s="13">
        <v>12675</v>
      </c>
      <c r="M2514" t="str">
        <f>VLOOKUP(L2514,[1]Human_BrainSpan!$B$2:$C$4000,2,FALSE)</f>
        <v>Rh7</v>
      </c>
    </row>
    <row r="2515" spans="2:13" x14ac:dyDescent="0.25">
      <c r="B2515" s="31" t="s">
        <v>25743</v>
      </c>
      <c r="C2515" s="20"/>
      <c r="D2515" s="25" t="s">
        <v>4833</v>
      </c>
      <c r="E2515" s="25"/>
      <c r="F2515" s="9" t="str">
        <f>HYPERLINK("https://www.ebi.ac.uk/ols/ontologies/uberon/terms?iri=http://purl.obolibrary.org/obo/UBERON_0005523","rhombomere 7")</f>
        <v>rhombomere 7</v>
      </c>
      <c r="G2515" s="9" t="s">
        <v>4832</v>
      </c>
      <c r="H2515" s="9" t="s">
        <v>17923</v>
      </c>
      <c r="I2515" s="9" t="s">
        <v>4833</v>
      </c>
      <c r="J2515" s="9" t="s">
        <v>4835</v>
      </c>
      <c r="K2515" s="5" t="s">
        <v>15173</v>
      </c>
      <c r="L2515" s="13">
        <v>17353</v>
      </c>
      <c r="M2515" t="str">
        <f>VLOOKUP(L2515,[1]DevMouse!$B$2:$C$2693,2,FALSE)</f>
        <v>r7</v>
      </c>
    </row>
    <row r="2516" spans="2:13" x14ac:dyDescent="0.25">
      <c r="B2516" s="31" t="s">
        <v>25743</v>
      </c>
      <c r="C2516" s="20"/>
      <c r="D2516" s="25" t="s">
        <v>26206</v>
      </c>
      <c r="E2516" s="25"/>
      <c r="F2516" s="9" t="str">
        <f>HYPERLINK("https://www.ebi.ac.uk/ols/ontologies/uberon/terms?iri=http://purl.obolibrary.org/obo/UBERON_0005585","rhombomere 7 floor plate")</f>
        <v>rhombomere 7 floor plate</v>
      </c>
      <c r="G2516" s="9" t="s">
        <v>4836</v>
      </c>
      <c r="H2516" s="9" t="s">
        <v>18001</v>
      </c>
      <c r="I2516" s="9" t="s">
        <v>4837</v>
      </c>
      <c r="J2516" s="9" t="s">
        <v>4838</v>
      </c>
      <c r="K2516" s="5" t="s">
        <v>15173</v>
      </c>
      <c r="L2516" s="13">
        <v>17415</v>
      </c>
      <c r="M2516" t="str">
        <f>VLOOKUP(L2516,[1]DevMouse!$B$2:$C$2693,2,FALSE)</f>
        <v>r7F</v>
      </c>
    </row>
    <row r="2517" spans="2:13" x14ac:dyDescent="0.25">
      <c r="B2517" s="31" t="s">
        <v>25743</v>
      </c>
      <c r="C2517" s="20"/>
      <c r="D2517" s="25" t="s">
        <v>26207</v>
      </c>
      <c r="E2517" s="25"/>
      <c r="F2517" s="9" t="str">
        <f>HYPERLINK("https://www.ebi.ac.uk/ols/ontologies/uberon/terms?iri=http://purl.obolibrary.org/obo/UBERON_0005587","rhombomere 7 roof plate")</f>
        <v>rhombomere 7 roof plate</v>
      </c>
      <c r="G2517" s="9" t="s">
        <v>4839</v>
      </c>
      <c r="H2517" s="9" t="s">
        <v>17924</v>
      </c>
      <c r="I2517" s="9" t="s">
        <v>4840</v>
      </c>
      <c r="J2517" s="9" t="s">
        <v>4841</v>
      </c>
      <c r="K2517" s="5" t="s">
        <v>15173</v>
      </c>
      <c r="L2517" s="13">
        <v>17354</v>
      </c>
      <c r="M2517" t="str">
        <f>VLOOKUP(L2517,[1]DevMouse!$B$2:$C$2693,2,FALSE)</f>
        <v>r7R</v>
      </c>
    </row>
    <row r="2518" spans="2:13" x14ac:dyDescent="0.25">
      <c r="B2518" s="31" t="s">
        <v>25743</v>
      </c>
      <c r="C2518" s="20"/>
      <c r="D2518" s="25" t="s">
        <v>4843</v>
      </c>
      <c r="E2518" s="25"/>
      <c r="F2518" s="9" t="str">
        <f>HYPERLINK("https://www.ebi.ac.uk/ols/ontologies/uberon/terms?iri=http://purl.obolibrary.org/obo/UBERON_0005527","rhombomere 8")</f>
        <v>rhombomere 8</v>
      </c>
      <c r="G2518" s="9" t="s">
        <v>4842</v>
      </c>
      <c r="H2518" s="9" t="s">
        <v>24550</v>
      </c>
      <c r="I2518" s="9" t="s">
        <v>4843</v>
      </c>
      <c r="J2518" s="9" t="s">
        <v>4844</v>
      </c>
      <c r="K2518" s="4" t="s">
        <v>15175</v>
      </c>
      <c r="L2518" s="13">
        <v>12677</v>
      </c>
      <c r="M2518" t="str">
        <f>VLOOKUP(L2518,[1]Human_BrainSpan!$B$2:$C$4000,2,FALSE)</f>
        <v>Rh8</v>
      </c>
    </row>
    <row r="2519" spans="2:13" x14ac:dyDescent="0.25">
      <c r="B2519" s="31" t="s">
        <v>26299</v>
      </c>
      <c r="C2519" s="25" t="s">
        <v>15125</v>
      </c>
      <c r="D2519" s="25" t="s">
        <v>4843</v>
      </c>
      <c r="E2519" s="25"/>
      <c r="F2519" s="9" t="str">
        <f>HYPERLINK("https://www.ebi.ac.uk/ols/ontologies/uberon/terms?iri=http://purl.obolibrary.org/obo/UBERON_0005527","rhombomere 8")</f>
        <v>rhombomere 8</v>
      </c>
      <c r="G2519" s="9" t="s">
        <v>4842</v>
      </c>
      <c r="H2519" s="9" t="s">
        <v>18007</v>
      </c>
      <c r="I2519" s="9" t="s">
        <v>4845</v>
      </c>
      <c r="J2519" s="9" t="s">
        <v>4846</v>
      </c>
      <c r="K2519" s="4" t="s">
        <v>15175</v>
      </c>
      <c r="L2519" s="13">
        <v>12868</v>
      </c>
      <c r="M2519" t="str">
        <f>VLOOKUP(L2519,[1]Human_BrainSpan!$B$2:$C$4000,2,FALSE)</f>
        <v>r8</v>
      </c>
    </row>
    <row r="2520" spans="2:13" x14ac:dyDescent="0.25">
      <c r="B2520" s="31" t="s">
        <v>25743</v>
      </c>
      <c r="C2520" s="20"/>
      <c r="D2520" s="25" t="s">
        <v>4843</v>
      </c>
      <c r="E2520" s="25"/>
      <c r="F2520" s="9" t="str">
        <f>HYPERLINK("https://www.ebi.ac.uk/ols/ontologies/uberon/terms?iri=http://purl.obolibrary.org/obo/UBERON_0005527","rhombomere 8")</f>
        <v>rhombomere 8</v>
      </c>
      <c r="G2520" s="9" t="s">
        <v>4842</v>
      </c>
      <c r="H2520" s="9" t="s">
        <v>18007</v>
      </c>
      <c r="I2520" s="9" t="s">
        <v>4843</v>
      </c>
      <c r="J2520" s="9" t="s">
        <v>4847</v>
      </c>
      <c r="K2520" s="5" t="s">
        <v>15173</v>
      </c>
      <c r="L2520" s="13">
        <v>17416</v>
      </c>
      <c r="M2520" t="str">
        <f>VLOOKUP(L2520,[1]DevMouse!$B$2:$C$2693,2,FALSE)</f>
        <v>r8</v>
      </c>
    </row>
    <row r="2521" spans="2:13" x14ac:dyDescent="0.25">
      <c r="B2521" s="31" t="s">
        <v>25743</v>
      </c>
      <c r="C2521" s="20"/>
      <c r="D2521" s="25" t="s">
        <v>26208</v>
      </c>
      <c r="E2521" s="25"/>
      <c r="F2521" s="9" t="str">
        <f>HYPERLINK("https://www.ebi.ac.uk/ols/ontologies/uberon/terms?iri=http://purl.obolibrary.org/obo/UBERON_0005588","rhombomere 8 floor plate")</f>
        <v>rhombomere 8 floor plate</v>
      </c>
      <c r="G2521" s="9" t="s">
        <v>4848</v>
      </c>
      <c r="H2521" s="9" t="s">
        <v>18080</v>
      </c>
      <c r="I2521" s="9" t="s">
        <v>4849</v>
      </c>
      <c r="J2521" s="9" t="s">
        <v>4850</v>
      </c>
      <c r="K2521" s="5" t="s">
        <v>15173</v>
      </c>
      <c r="L2521" s="13">
        <v>17475</v>
      </c>
      <c r="M2521" t="str">
        <f>VLOOKUP(L2521,[1]DevMouse!$B$2:$C$2693,2,FALSE)</f>
        <v>r8F</v>
      </c>
    </row>
    <row r="2522" spans="2:13" x14ac:dyDescent="0.25">
      <c r="B2522" s="31" t="s">
        <v>25743</v>
      </c>
      <c r="C2522" s="20"/>
      <c r="D2522" s="25" t="s">
        <v>26209</v>
      </c>
      <c r="E2522" s="25"/>
      <c r="F2522" s="9" t="str">
        <f>HYPERLINK("https://www.ebi.ac.uk/ols/ontologies/uberon/terms?iri=http://purl.obolibrary.org/obo/UBERON_0005590","rhombomere 8 roof plate")</f>
        <v>rhombomere 8 roof plate</v>
      </c>
      <c r="G2522" s="9" t="s">
        <v>4851</v>
      </c>
      <c r="H2522" s="9" t="s">
        <v>18008</v>
      </c>
      <c r="I2522" s="9" t="s">
        <v>4852</v>
      </c>
      <c r="J2522" s="9" t="s">
        <v>4853</v>
      </c>
      <c r="K2522" s="5" t="s">
        <v>15173</v>
      </c>
      <c r="L2522" s="13">
        <v>17417</v>
      </c>
      <c r="M2522" t="str">
        <f>VLOOKUP(L2522,[1]DevMouse!$B$2:$C$2693,2,FALSE)</f>
        <v>r8R</v>
      </c>
    </row>
    <row r="2523" spans="2:13" x14ac:dyDescent="0.25">
      <c r="B2523" s="31" t="s">
        <v>25743</v>
      </c>
      <c r="C2523" s="20"/>
      <c r="D2523" s="25" t="s">
        <v>4855</v>
      </c>
      <c r="E2523" s="25"/>
      <c r="F2523" s="9" t="str">
        <f>HYPERLINK("https://www.ebi.ac.uk/ols/ontologies/uberon/terms?iri=http://purl.obolibrary.org/obo/UBERON_0019284","rhombomere 9")</f>
        <v>rhombomere 9</v>
      </c>
      <c r="G2523" s="9" t="s">
        <v>4854</v>
      </c>
      <c r="H2523" s="9" t="s">
        <v>18086</v>
      </c>
      <c r="I2523" s="9" t="s">
        <v>4855</v>
      </c>
      <c r="J2523" s="9" t="s">
        <v>4856</v>
      </c>
      <c r="K2523" s="5" t="s">
        <v>15173</v>
      </c>
      <c r="L2523" s="13">
        <v>17476</v>
      </c>
      <c r="M2523" t="str">
        <f>VLOOKUP(L2523,[1]DevMouse!$B$2:$C$2693,2,FALSE)</f>
        <v>r9</v>
      </c>
    </row>
    <row r="2524" spans="2:13" x14ac:dyDescent="0.25">
      <c r="B2524" s="31" t="s">
        <v>25743</v>
      </c>
      <c r="C2524" s="20"/>
      <c r="D2524" s="25" t="s">
        <v>26210</v>
      </c>
      <c r="E2524" s="25"/>
      <c r="F2524" s="9" t="str">
        <f>HYPERLINK("https://www.ebi.ac.uk/ols/ontologies/uberon/terms?iri=http://purl.obolibrary.org/obo/UBERON_0008885","right putamen")</f>
        <v>right putamen</v>
      </c>
      <c r="G2524" s="9" t="s">
        <v>4857</v>
      </c>
      <c r="H2524" s="9" t="s">
        <v>23250</v>
      </c>
      <c r="I2524" s="9" t="s">
        <v>4858</v>
      </c>
      <c r="J2524" s="9" t="s">
        <v>4859</v>
      </c>
      <c r="K2524" s="7" t="s">
        <v>15171</v>
      </c>
      <c r="L2524" s="13">
        <v>4289</v>
      </c>
      <c r="M2524" t="str">
        <f>VLOOKUP(L2524,[1]HBA!$B$2:$C$4000,2,FALSE)</f>
        <v>Pu</v>
      </c>
    </row>
    <row r="2525" spans="2:13" x14ac:dyDescent="0.25">
      <c r="B2525" s="31" t="s">
        <v>25743</v>
      </c>
      <c r="C2525" s="20"/>
      <c r="D2525" s="25" t="s">
        <v>4861</v>
      </c>
      <c r="E2525" s="25"/>
      <c r="F2525" s="9" t="str">
        <f>HYPERLINK("https://www.ebi.ac.uk/ols/ontologies/uberon/terms?iri=http://purl.obolibrary.org/obo/UBERON_0003299","roof plate of midbrain")</f>
        <v>roof plate of midbrain</v>
      </c>
      <c r="G2525" s="9" t="s">
        <v>4860</v>
      </c>
      <c r="H2525" s="9" t="s">
        <v>24090</v>
      </c>
      <c r="I2525" s="9" t="s">
        <v>4861</v>
      </c>
      <c r="J2525" s="9" t="s">
        <v>4862</v>
      </c>
      <c r="K2525" s="4" t="s">
        <v>15175</v>
      </c>
      <c r="L2525" s="13">
        <v>12320</v>
      </c>
      <c r="M2525" t="str">
        <f>VLOOKUP(L2525,[1]Human_BrainSpan!$B$2:$C$4000,2,FALSE)</f>
        <v>IZMro</v>
      </c>
    </row>
    <row r="2526" spans="2:13" x14ac:dyDescent="0.25">
      <c r="B2526" s="31" t="s">
        <v>25743</v>
      </c>
      <c r="C2526" s="20"/>
      <c r="D2526" s="25" t="s">
        <v>4864</v>
      </c>
      <c r="E2526" s="25"/>
      <c r="F2526" s="9" t="str">
        <f>HYPERLINK("https://www.ebi.ac.uk/ols/ontologies/uberon/terms?iri=http://purl.obolibrary.org/obo/UBERON_0002786","root of abducens nerve")</f>
        <v>root of abducens nerve</v>
      </c>
      <c r="G2526" s="9" t="s">
        <v>4863</v>
      </c>
      <c r="H2526" s="9" t="s">
        <v>17839</v>
      </c>
      <c r="I2526" s="9" t="s">
        <v>4864</v>
      </c>
      <c r="J2526" s="9" t="s">
        <v>4865</v>
      </c>
      <c r="K2526" s="4" t="s">
        <v>15175</v>
      </c>
      <c r="L2526" s="13">
        <v>12861</v>
      </c>
      <c r="M2526" t="str">
        <f>VLOOKUP(L2526,[1]Human_BrainSpan!$B$2:$C$4000,2,FALSE)</f>
        <v>r6</v>
      </c>
    </row>
    <row r="2527" spans="2:13" x14ac:dyDescent="0.25">
      <c r="B2527" s="31" t="s">
        <v>25743</v>
      </c>
      <c r="C2527" s="20"/>
      <c r="D2527" s="25" t="s">
        <v>4864</v>
      </c>
      <c r="E2527" s="25"/>
      <c r="F2527" s="9" t="str">
        <f>HYPERLINK("https://www.ebi.ac.uk/ols/ontologies/uberon/terms?iri=http://purl.obolibrary.org/obo/UBERON_0002786","root of abducens nerve")</f>
        <v>root of abducens nerve</v>
      </c>
      <c r="G2527" s="9" t="s">
        <v>4863</v>
      </c>
      <c r="H2527" s="9" t="s">
        <v>18421</v>
      </c>
      <c r="I2527" s="9" t="s">
        <v>4866</v>
      </c>
      <c r="J2527" s="9" t="s">
        <v>4867</v>
      </c>
      <c r="K2527" s="5" t="s">
        <v>15173</v>
      </c>
      <c r="L2527" s="13">
        <v>17741</v>
      </c>
      <c r="M2527" t="str">
        <f>VLOOKUP(L2527,[1]DevMouse!$B$2:$C$2693,2,FALSE)</f>
        <v>6n</v>
      </c>
    </row>
    <row r="2528" spans="2:13" x14ac:dyDescent="0.25">
      <c r="B2528" s="31" t="s">
        <v>25743</v>
      </c>
      <c r="C2528" s="20"/>
      <c r="D2528" s="25" t="s">
        <v>26211</v>
      </c>
      <c r="E2528" s="25"/>
      <c r="F2528" s="9" t="str">
        <f>HYPERLINK("https://www.ebi.ac.uk/ols/ontologies/uberon/terms?iri=http://purl.obolibrary.org/obo/UBERON_0006843","root of cranial nerve")</f>
        <v>root of cranial nerve</v>
      </c>
      <c r="G2528" s="9" t="s">
        <v>4868</v>
      </c>
      <c r="H2528" s="9" t="s">
        <v>18167</v>
      </c>
      <c r="I2528" s="9" t="s">
        <v>4869</v>
      </c>
      <c r="J2528" s="9" t="s">
        <v>4870</v>
      </c>
      <c r="K2528" s="4" t="s">
        <v>15175</v>
      </c>
      <c r="L2528" s="13">
        <v>12888</v>
      </c>
      <c r="M2528" t="str">
        <f>VLOOKUP(L2528,[1]Human_BrainSpan!$B$2:$C$4000,2,FALSE)</f>
        <v>r10</v>
      </c>
    </row>
    <row r="2529" spans="2:13" x14ac:dyDescent="0.25">
      <c r="B2529" s="31" t="s">
        <v>26303</v>
      </c>
      <c r="C2529" s="25" t="s">
        <v>4869</v>
      </c>
      <c r="D2529" s="25" t="s">
        <v>26211</v>
      </c>
      <c r="E2529" s="25"/>
      <c r="F2529" s="9" t="str">
        <f>HYPERLINK("https://www.ebi.ac.uk/ols/ontologies/uberon/terms?iri=http://purl.obolibrary.org/obo/UBERON_0006843","root of cranial nerve")</f>
        <v>root of cranial nerve</v>
      </c>
      <c r="G2529" s="9" t="s">
        <v>4868</v>
      </c>
      <c r="H2529" s="9" t="s">
        <v>18431</v>
      </c>
      <c r="I2529" s="9" t="s">
        <v>4871</v>
      </c>
      <c r="J2529" s="9" t="s">
        <v>4872</v>
      </c>
      <c r="K2529" s="5" t="s">
        <v>15173</v>
      </c>
      <c r="L2529" s="13">
        <v>17748</v>
      </c>
      <c r="M2529" t="str">
        <f>VLOOKUP(L2529,[1]DevMouse!$B$2:$C$2693,2,FALSE)</f>
        <v>10n</v>
      </c>
    </row>
    <row r="2530" spans="2:13" x14ac:dyDescent="0.25">
      <c r="B2530" s="31" t="s">
        <v>25743</v>
      </c>
      <c r="C2530" s="20"/>
      <c r="D2530" s="25" t="s">
        <v>4874</v>
      </c>
      <c r="E2530" s="25"/>
      <c r="F2530" s="9" t="str">
        <f>HYPERLINK("https://www.ebi.ac.uk/ols/ontologies/uberon/terms?iri=http://purl.obolibrary.org/obo/UBERON_0002618","root of trochlear nerve")</f>
        <v>root of trochlear nerve</v>
      </c>
      <c r="G2530" s="9" t="s">
        <v>4873</v>
      </c>
      <c r="H2530" s="9" t="s">
        <v>17663</v>
      </c>
      <c r="I2530" s="9" t="s">
        <v>4874</v>
      </c>
      <c r="J2530" s="9" t="s">
        <v>4875</v>
      </c>
      <c r="K2530" s="4" t="s">
        <v>15175</v>
      </c>
      <c r="L2530" s="13">
        <v>12377</v>
      </c>
      <c r="M2530" t="str">
        <f>VLOOKUP(L2530,[1]Human_BrainSpan!$B$2:$C$4000,2,FALSE)</f>
        <v>r4</v>
      </c>
    </row>
    <row r="2531" spans="2:13" x14ac:dyDescent="0.25">
      <c r="B2531" s="31" t="s">
        <v>25743</v>
      </c>
      <c r="C2531" s="20"/>
      <c r="D2531" s="25" t="s">
        <v>4874</v>
      </c>
      <c r="E2531" s="25"/>
      <c r="F2531" s="9" t="str">
        <f>HYPERLINK("https://www.ebi.ac.uk/ols/ontologies/uberon/terms?iri=http://purl.obolibrary.org/obo/UBERON_0002618","root of trochlear nerve")</f>
        <v>root of trochlear nerve</v>
      </c>
      <c r="G2531" s="9" t="s">
        <v>4873</v>
      </c>
      <c r="H2531" s="9" t="s">
        <v>18415</v>
      </c>
      <c r="I2531" s="9" t="s">
        <v>4876</v>
      </c>
      <c r="J2531" s="9" t="s">
        <v>4877</v>
      </c>
      <c r="K2531" s="5" t="s">
        <v>15173</v>
      </c>
      <c r="L2531" s="13">
        <v>17737</v>
      </c>
      <c r="M2531" t="str">
        <f>VLOOKUP(L2531,[1]DevMouse!$B$2:$C$2693,2,FALSE)</f>
        <v>4n</v>
      </c>
    </row>
    <row r="2532" spans="2:13" x14ac:dyDescent="0.25">
      <c r="B2532" s="31" t="s">
        <v>25743</v>
      </c>
      <c r="C2532" s="20"/>
      <c r="D2532" s="25" t="s">
        <v>4869</v>
      </c>
      <c r="E2532" s="25"/>
      <c r="F2532" s="9" t="str">
        <f>HYPERLINK("https://www.ebi.ac.uk/ols/ontologies/uberon/terms?iri=http://purl.obolibrary.org/obo/UBERON_0011213","root of vagus nerve")</f>
        <v>root of vagus nerve</v>
      </c>
      <c r="G2532" s="9" t="s">
        <v>4878</v>
      </c>
      <c r="H2532" s="9" t="s">
        <v>18167</v>
      </c>
      <c r="I2532" s="9" t="s">
        <v>4869</v>
      </c>
      <c r="J2532" s="9" t="s">
        <v>4870</v>
      </c>
      <c r="K2532" s="4" t="s">
        <v>15175</v>
      </c>
      <c r="L2532" s="13">
        <v>12888</v>
      </c>
      <c r="M2532" t="str">
        <f>VLOOKUP(L2532,[1]Human_BrainSpan!$B$2:$C$4000,2,FALSE)</f>
        <v>r10</v>
      </c>
    </row>
    <row r="2533" spans="2:13" x14ac:dyDescent="0.25">
      <c r="B2533" s="31" t="s">
        <v>25743</v>
      </c>
      <c r="C2533" s="20"/>
      <c r="D2533" s="25" t="s">
        <v>4869</v>
      </c>
      <c r="E2533" s="25"/>
      <c r="F2533" s="9" t="str">
        <f>HYPERLINK("https://www.ebi.ac.uk/ols/ontologies/uberon/terms?iri=http://purl.obolibrary.org/obo/UBERON_0011213","root of vagus nerve")</f>
        <v>root of vagus nerve</v>
      </c>
      <c r="G2533" s="9" t="s">
        <v>4878</v>
      </c>
      <c r="H2533" s="9" t="s">
        <v>18431</v>
      </c>
      <c r="I2533" s="9" t="s">
        <v>4871</v>
      </c>
      <c r="J2533" s="9" t="s">
        <v>4872</v>
      </c>
      <c r="K2533" s="5" t="s">
        <v>15173</v>
      </c>
      <c r="L2533" s="13">
        <v>17748</v>
      </c>
      <c r="M2533" t="str">
        <f>VLOOKUP(L2533,[1]DevMouse!$B$2:$C$2693,2,FALSE)</f>
        <v>10n</v>
      </c>
    </row>
    <row r="2534" spans="2:13" x14ac:dyDescent="0.25">
      <c r="B2534" s="31" t="s">
        <v>25743</v>
      </c>
      <c r="C2534" s="20"/>
      <c r="D2534" s="25" t="s">
        <v>4880</v>
      </c>
      <c r="E2534" s="25"/>
      <c r="F2534" s="9" t="str">
        <f>HYPERLINK("https://www.ebi.ac.uk/ols/ontologies/uberon/terms?iri=http://purl.obolibrary.org/obo/UBERON_0034777","rostral CA1")</f>
        <v>rostral CA1</v>
      </c>
      <c r="G2534" s="9" t="s">
        <v>4879</v>
      </c>
      <c r="H2534" s="9" t="s">
        <v>23032</v>
      </c>
      <c r="I2534" s="9" t="s">
        <v>4880</v>
      </c>
      <c r="J2534" s="9" t="s">
        <v>4881</v>
      </c>
      <c r="K2534" s="4" t="s">
        <v>15175</v>
      </c>
      <c r="L2534" s="13">
        <v>11275</v>
      </c>
      <c r="M2534" t="str">
        <f>VLOOKUP(L2534,[1]Human_BrainSpan!$B$2:$C$4000,2,FALSE)</f>
        <v>CA1R</v>
      </c>
    </row>
    <row r="2535" spans="2:13" x14ac:dyDescent="0.25">
      <c r="B2535" s="31" t="s">
        <v>25743</v>
      </c>
      <c r="C2535" s="20"/>
      <c r="D2535" s="25" t="s">
        <v>4883</v>
      </c>
      <c r="E2535" s="25"/>
      <c r="F2535" s="9" t="str">
        <f>HYPERLINK("https://www.ebi.ac.uk/ols/ontologies/uberon/terms?iri=http://purl.obolibrary.org/obo/UBERON_0034778","rostral CA2")</f>
        <v>rostral CA2</v>
      </c>
      <c r="G2535" s="9" t="s">
        <v>4882</v>
      </c>
      <c r="H2535" s="9" t="s">
        <v>23053</v>
      </c>
      <c r="I2535" s="9" t="s">
        <v>4883</v>
      </c>
      <c r="J2535" s="9" t="s">
        <v>4884</v>
      </c>
      <c r="K2535" s="4" t="s">
        <v>15175</v>
      </c>
      <c r="L2535" s="13">
        <v>11285</v>
      </c>
      <c r="M2535" t="str">
        <f>VLOOKUP(L2535,[1]Human_BrainSpan!$B$2:$C$4000,2,FALSE)</f>
        <v>CA2R</v>
      </c>
    </row>
    <row r="2536" spans="2:13" x14ac:dyDescent="0.25">
      <c r="B2536" s="31" t="s">
        <v>25743</v>
      </c>
      <c r="C2536" s="20"/>
      <c r="D2536" s="25" t="s">
        <v>4886</v>
      </c>
      <c r="E2536" s="25"/>
      <c r="F2536" s="9" t="str">
        <f>HYPERLINK("https://www.ebi.ac.uk/ols/ontologies/uberon/terms?iri=http://purl.obolibrary.org/obo/UBERON_0034779","rostral CA3")</f>
        <v>rostral CA3</v>
      </c>
      <c r="G2536" s="9" t="s">
        <v>4885</v>
      </c>
      <c r="H2536" s="9" t="s">
        <v>23075</v>
      </c>
      <c r="I2536" s="9" t="s">
        <v>4886</v>
      </c>
      <c r="J2536" s="9" t="s">
        <v>4887</v>
      </c>
      <c r="K2536" s="4" t="s">
        <v>15175</v>
      </c>
      <c r="L2536" s="13">
        <v>11295</v>
      </c>
      <c r="M2536" t="str">
        <f>VLOOKUP(L2536,[1]Human_BrainSpan!$B$2:$C$4000,2,FALSE)</f>
        <v>CA3R</v>
      </c>
    </row>
    <row r="2537" spans="2:13" x14ac:dyDescent="0.25">
      <c r="B2537" s="31" t="s">
        <v>25743</v>
      </c>
      <c r="C2537" s="20"/>
      <c r="D2537" s="25" t="s">
        <v>4889</v>
      </c>
      <c r="E2537" s="25"/>
      <c r="F2537" s="9" t="str">
        <f>HYPERLINK("https://www.ebi.ac.uk/ols/ontologies/uberon/terms?iri=http://purl.obolibrary.org/obo/UBERON_0019280","rostral gyrus")</f>
        <v>rostral gyrus</v>
      </c>
      <c r="G2537" s="9" t="s">
        <v>4888</v>
      </c>
      <c r="H2537" s="9" t="s">
        <v>23808</v>
      </c>
      <c r="I2537" s="9" t="s">
        <v>4889</v>
      </c>
      <c r="J2537" s="9" t="s">
        <v>4890</v>
      </c>
      <c r="K2537" s="4" t="s">
        <v>15175</v>
      </c>
      <c r="L2537" s="13">
        <v>146034876</v>
      </c>
      <c r="M2537" t="str">
        <f>VLOOKUP(L2537,[1]Human_BrainSpan!$B$2:$C$4000,2,FALSE)</f>
        <v>RoG</v>
      </c>
    </row>
    <row r="2538" spans="2:13" x14ac:dyDescent="0.25">
      <c r="B2538" s="31" t="s">
        <v>25743</v>
      </c>
      <c r="C2538" s="20"/>
      <c r="D2538" s="25" t="s">
        <v>26212</v>
      </c>
      <c r="E2538" s="25"/>
      <c r="F2538" s="9" t="str">
        <f>HYPERLINK("https://www.ebi.ac.uk/ols/ontologies/uberon/terms?iri=http://purl.obolibrary.org/obo/UBERON_0002717","rostral interstitial nucleus of medial longitudinal fasciculus")</f>
        <v>rostral interstitial nucleus of medial longitudinal fasciculus</v>
      </c>
      <c r="G2538" s="9" t="s">
        <v>4891</v>
      </c>
      <c r="H2538" s="9" t="s">
        <v>16572</v>
      </c>
      <c r="I2538" s="9" t="s">
        <v>4892</v>
      </c>
      <c r="J2538" s="9" t="s">
        <v>4893</v>
      </c>
      <c r="K2538" s="7" t="s">
        <v>15171</v>
      </c>
      <c r="L2538" s="13">
        <v>9060</v>
      </c>
      <c r="M2538" t="str">
        <f>VLOOKUP(L2538,[1]HBA!$B$2:$C$4000,2,FALSE)</f>
        <v>RI</v>
      </c>
    </row>
    <row r="2539" spans="2:13" x14ac:dyDescent="0.25">
      <c r="B2539" s="31" t="s">
        <v>26302</v>
      </c>
      <c r="C2539" s="20"/>
      <c r="D2539" s="25" t="s">
        <v>26212</v>
      </c>
      <c r="E2539" s="25" t="s">
        <v>26300</v>
      </c>
      <c r="F2539" s="9" t="str">
        <f>HYPERLINK("https://www.ebi.ac.uk/ols/ontologies/uberon/terms?iri=http://purl.obolibrary.org/obo/UBERON_0002717","rostral interstitial nucleus of medial longitudinal fasciculus")</f>
        <v>rostral interstitial nucleus of medial longitudinal fasciculus</v>
      </c>
      <c r="G2539" s="9" t="s">
        <v>4891</v>
      </c>
      <c r="H2539" s="9" t="s">
        <v>20970</v>
      </c>
      <c r="I2539" s="9" t="s">
        <v>4894</v>
      </c>
      <c r="J2539" s="9" t="s">
        <v>4895</v>
      </c>
      <c r="K2539" s="3" t="s">
        <v>15176</v>
      </c>
      <c r="L2539" s="13">
        <v>1078</v>
      </c>
      <c r="M2539" t="str">
        <f>VLOOKUP(L2539,[1]Mouse_ARA!$B$2:$C$1328,2,FALSE)</f>
        <v>ri</v>
      </c>
    </row>
    <row r="2540" spans="2:13" x14ac:dyDescent="0.25">
      <c r="B2540" s="31" t="s">
        <v>25743</v>
      </c>
      <c r="C2540" s="20"/>
      <c r="D2540" s="25" t="s">
        <v>26213</v>
      </c>
      <c r="E2540" s="25"/>
      <c r="F2540" s="9" t="str">
        <f>HYPERLINK("https://www.ebi.ac.uk/ols/ontologies/uberon/terms?iri=http://purl.obolibrary.org/obo/UBERON_0002965","rostral intralaminar nuclear group")</f>
        <v>rostral intralaminar nuclear group</v>
      </c>
      <c r="G2540" s="9" t="s">
        <v>4896</v>
      </c>
      <c r="H2540" s="9" t="s">
        <v>23377</v>
      </c>
      <c r="I2540" s="9" t="s">
        <v>4897</v>
      </c>
      <c r="J2540" s="9" t="s">
        <v>4898</v>
      </c>
      <c r="K2540" s="4" t="s">
        <v>15175</v>
      </c>
      <c r="L2540" s="13">
        <v>10443</v>
      </c>
      <c r="M2540" t="str">
        <f>VLOOKUP(L2540,[1]Human_BrainSpan!$B$2:$C$4000,2,FALSE)</f>
        <v>AILN</v>
      </c>
    </row>
    <row r="2541" spans="2:13" x14ac:dyDescent="0.25">
      <c r="B2541" s="31" t="s">
        <v>25743</v>
      </c>
      <c r="C2541" s="20"/>
      <c r="D2541" s="25" t="s">
        <v>26213</v>
      </c>
      <c r="E2541" s="25"/>
      <c r="F2541" s="9" t="str">
        <f>HYPERLINK("https://www.ebi.ac.uk/ols/ontologies/uberon/terms?iri=http://purl.obolibrary.org/obo/UBERON_0002965","rostral intralaminar nuclear group")</f>
        <v>rostral intralaminar nuclear group</v>
      </c>
      <c r="G2541" s="9" t="s">
        <v>4896</v>
      </c>
      <c r="H2541" s="9" t="s">
        <v>25181</v>
      </c>
      <c r="I2541" s="9" t="s">
        <v>4899</v>
      </c>
      <c r="J2541" s="9" t="s">
        <v>4900</v>
      </c>
      <c r="K2541" s="7" t="s">
        <v>15171</v>
      </c>
      <c r="L2541" s="13">
        <v>12929</v>
      </c>
      <c r="M2541" t="str">
        <f>VLOOKUP(L2541,[1]HBA!$B$2:$C$4000,2,FALSE)</f>
        <v>ILr</v>
      </c>
    </row>
    <row r="2542" spans="2:13" x14ac:dyDescent="0.25">
      <c r="B2542" s="31" t="s">
        <v>25743</v>
      </c>
      <c r="C2542" s="20"/>
      <c r="D2542" s="25" t="s">
        <v>4904</v>
      </c>
      <c r="E2542" s="25"/>
      <c r="F2542" s="9" t="str">
        <f>HYPERLINK("https://www.ebi.ac.uk/ols/ontologies/uberon/terms?iri=http://purl.obolibrary.org/obo/UBERON_0013734","rostral linear nucleus")</f>
        <v>rostral linear nucleus</v>
      </c>
      <c r="G2542" s="9" t="s">
        <v>4901</v>
      </c>
      <c r="H2542" s="9" t="s">
        <v>23976</v>
      </c>
      <c r="I2542" s="9" t="s">
        <v>4902</v>
      </c>
      <c r="J2542" s="9" t="s">
        <v>4903</v>
      </c>
      <c r="K2542" s="4" t="s">
        <v>15175</v>
      </c>
      <c r="L2542" s="13">
        <v>12234</v>
      </c>
      <c r="M2542" t="str">
        <f>VLOOKUP(L2542,[1]Human_BrainSpan!$B$2:$C$4000,2,FALSE)</f>
        <v>RLin</v>
      </c>
    </row>
    <row r="2543" spans="2:13" x14ac:dyDescent="0.25">
      <c r="B2543" s="31" t="s">
        <v>25743</v>
      </c>
      <c r="C2543" s="20"/>
      <c r="D2543" s="25" t="s">
        <v>4904</v>
      </c>
      <c r="E2543" s="25"/>
      <c r="F2543" s="9" t="str">
        <f>HYPERLINK("https://www.ebi.ac.uk/ols/ontologies/uberon/terms?iri=http://purl.obolibrary.org/obo/UBERON_0013734","rostral linear nucleus")</f>
        <v>rostral linear nucleus</v>
      </c>
      <c r="G2543" s="9" t="s">
        <v>4901</v>
      </c>
      <c r="H2543" s="9" t="s">
        <v>17060</v>
      </c>
      <c r="I2543" s="9" t="s">
        <v>4904</v>
      </c>
      <c r="J2543" s="9" t="s">
        <v>4905</v>
      </c>
      <c r="K2543" s="5" t="s">
        <v>15173</v>
      </c>
      <c r="L2543" s="13">
        <v>16748</v>
      </c>
      <c r="M2543" t="str">
        <f>VLOOKUP(L2543,[1]DevMouse!$B$2:$C$2693,2,FALSE)</f>
        <v>RLi</v>
      </c>
    </row>
    <row r="2544" spans="2:13" x14ac:dyDescent="0.25">
      <c r="B2544" s="31" t="s">
        <v>25743</v>
      </c>
      <c r="C2544" s="20"/>
      <c r="D2544" s="25" t="s">
        <v>4904</v>
      </c>
      <c r="E2544" s="25"/>
      <c r="F2544" s="9" t="str">
        <f>HYPERLINK("https://www.ebi.ac.uk/ols/ontologies/uberon/terms?iri=http://purl.obolibrary.org/obo/UBERON_0013734","rostral linear nucleus")</f>
        <v>rostral linear nucleus</v>
      </c>
      <c r="G2544" s="9" t="s">
        <v>4901</v>
      </c>
      <c r="H2544" s="9" t="s">
        <v>20287</v>
      </c>
      <c r="I2544" s="9" t="s">
        <v>4906</v>
      </c>
      <c r="J2544" s="9" t="s">
        <v>4907</v>
      </c>
      <c r="K2544" s="7" t="s">
        <v>15171</v>
      </c>
      <c r="L2544" s="13">
        <v>9471</v>
      </c>
      <c r="M2544" t="str">
        <f>VLOOKUP(L2544,[1]HBA!$B$2:$C$4000,2,FALSE)</f>
        <v>RL</v>
      </c>
    </row>
    <row r="2545" spans="2:13" x14ac:dyDescent="0.25">
      <c r="B2545" s="31" t="s">
        <v>25743</v>
      </c>
      <c r="C2545" s="20"/>
      <c r="D2545" s="25" t="s">
        <v>4904</v>
      </c>
      <c r="E2545" s="25"/>
      <c r="F2545" s="9" t="str">
        <f>HYPERLINK("https://www.ebi.ac.uk/ols/ontologies/uberon/terms?iri=http://purl.obolibrary.org/obo/UBERON_0013734","rostral linear nucleus")</f>
        <v>rostral linear nucleus</v>
      </c>
      <c r="G2545" s="9" t="s">
        <v>4901</v>
      </c>
      <c r="H2545" s="9" t="s">
        <v>20287</v>
      </c>
      <c r="I2545" s="9" t="s">
        <v>4908</v>
      </c>
      <c r="J2545" s="9" t="s">
        <v>4909</v>
      </c>
      <c r="K2545" s="3" t="s">
        <v>15176</v>
      </c>
      <c r="L2545" s="13">
        <v>197</v>
      </c>
      <c r="M2545" t="str">
        <f>VLOOKUP(L2545,[1]Mouse_ARA!$B$2:$C$1328,2,FALSE)</f>
        <v>RL</v>
      </c>
    </row>
    <row r="2546" spans="2:13" x14ac:dyDescent="0.25">
      <c r="B2546" s="31" t="s">
        <v>25743</v>
      </c>
      <c r="C2546" s="20"/>
      <c r="D2546" s="25" t="s">
        <v>4911</v>
      </c>
      <c r="E2546" s="25"/>
      <c r="F2546" s="9" t="str">
        <f>HYPERLINK("https://www.ebi.ac.uk/ols/ontologies/uberon/terms?iri=http://purl.obolibrary.org/obo/UBERON_0008881","rostral migratory stream")</f>
        <v>rostral migratory stream</v>
      </c>
      <c r="G2546" s="9" t="s">
        <v>4910</v>
      </c>
      <c r="H2546" s="9" t="s">
        <v>22050</v>
      </c>
      <c r="I2546" s="9" t="s">
        <v>4911</v>
      </c>
      <c r="J2546" s="9" t="s">
        <v>4912</v>
      </c>
      <c r="K2546" s="4" t="s">
        <v>15175</v>
      </c>
      <c r="L2546" s="13">
        <v>10556</v>
      </c>
      <c r="M2546" t="str">
        <f>VLOOKUP(L2546,[1]Human_BrainSpan!$B$2:$C$4000,2,FALSE)</f>
        <v>RMS</v>
      </c>
    </row>
    <row r="2547" spans="2:13" x14ac:dyDescent="0.25">
      <c r="B2547" s="31" t="s">
        <v>25743</v>
      </c>
      <c r="C2547" s="20"/>
      <c r="D2547" s="25" t="s">
        <v>4911</v>
      </c>
      <c r="E2547" s="25"/>
      <c r="F2547" s="9" t="str">
        <f>HYPERLINK("https://www.ebi.ac.uk/ols/ontologies/uberon/terms?iri=http://purl.obolibrary.org/obo/UBERON_0008881","rostral migratory stream")</f>
        <v>rostral migratory stream</v>
      </c>
      <c r="G2547" s="9" t="s">
        <v>4910</v>
      </c>
      <c r="H2547" s="9" t="s">
        <v>22050</v>
      </c>
      <c r="I2547" s="9" t="s">
        <v>4913</v>
      </c>
      <c r="J2547" s="9" t="s">
        <v>4914</v>
      </c>
      <c r="K2547" s="6" t="s">
        <v>15174</v>
      </c>
      <c r="L2547" s="13">
        <v>128012584</v>
      </c>
      <c r="M2547" t="str">
        <f>VLOOKUP(L2547,[1]NonHumanPrimate!$B$2:$C$4000,2,FALSE)</f>
        <v>RMS</v>
      </c>
    </row>
    <row r="2548" spans="2:13" x14ac:dyDescent="0.25">
      <c r="B2548" s="31" t="s">
        <v>25743</v>
      </c>
      <c r="C2548" s="20"/>
      <c r="D2548" s="25" t="s">
        <v>4916</v>
      </c>
      <c r="E2548" s="25" t="s">
        <v>26306</v>
      </c>
      <c r="F2548" s="9" t="str">
        <f>HYPERLINK("https://www.ebi.ac.uk/ols/ontologies/uberon/terms?iri=http://purl.obolibrary.org/obo/UBERON_0035920","rostrolateral area, layer 5")</f>
        <v>rostrolateral area, layer 5</v>
      </c>
      <c r="G2548" s="9" t="s">
        <v>4915</v>
      </c>
      <c r="H2548" s="9" t="s">
        <v>19348</v>
      </c>
      <c r="I2548" s="9" t="s">
        <v>4916</v>
      </c>
      <c r="J2548" s="9" t="s">
        <v>4917</v>
      </c>
      <c r="K2548" s="3" t="s">
        <v>15176</v>
      </c>
      <c r="L2548" s="13">
        <v>312782616</v>
      </c>
      <c r="M2548" t="str">
        <f>VLOOKUP(L2548,[1]Mouse_ARA!$B$2:$C$1328,2,FALSE)</f>
        <v>VISrl5</v>
      </c>
    </row>
    <row r="2549" spans="2:13" x14ac:dyDescent="0.25">
      <c r="B2549" s="31" t="s">
        <v>25743</v>
      </c>
      <c r="C2549" s="25"/>
      <c r="D2549" s="25" t="s">
        <v>4919</v>
      </c>
      <c r="E2549" s="25"/>
      <c r="F2549" s="9" t="str">
        <f>HYPERLINK("https://www.ebi.ac.uk/ols/ontologies/uberon/terms?iri=http://purl.obolibrary.org/obo/UBERON_0035912","rostrolateral visual area")</f>
        <v>rostrolateral visual area</v>
      </c>
      <c r="G2549" s="9" t="s">
        <v>4918</v>
      </c>
      <c r="H2549" s="9" t="s">
        <v>19340</v>
      </c>
      <c r="I2549" s="9" t="s">
        <v>4919</v>
      </c>
      <c r="J2549" s="9" t="s">
        <v>4920</v>
      </c>
      <c r="K2549" s="3" t="s">
        <v>15176</v>
      </c>
      <c r="L2549" s="13">
        <v>417</v>
      </c>
      <c r="M2549" t="str">
        <f>VLOOKUP(L2549,[1]Mouse_ARA!$B$2:$C$1328,2,FALSE)</f>
        <v>VISrl</v>
      </c>
    </row>
    <row r="2550" spans="2:13" x14ac:dyDescent="0.25">
      <c r="B2550" s="31" t="s">
        <v>25743</v>
      </c>
      <c r="C2550" s="20"/>
      <c r="D2550" s="25" t="s">
        <v>4922</v>
      </c>
      <c r="E2550" s="25"/>
      <c r="F2550" s="9" t="str">
        <f>HYPERLINK("https://www.ebi.ac.uk/ols/ontologies/uberon/terms?iri=http://purl.obolibrary.org/obo/UBERON_0015703","rostrum of corpus callosum")</f>
        <v>rostrum of corpus callosum</v>
      </c>
      <c r="G2550" s="9" t="s">
        <v>4921</v>
      </c>
      <c r="H2550" s="9" t="s">
        <v>20823</v>
      </c>
      <c r="I2550" s="9" t="s">
        <v>4922</v>
      </c>
      <c r="J2550" s="9" t="s">
        <v>4923</v>
      </c>
      <c r="K2550" s="4" t="s">
        <v>15175</v>
      </c>
      <c r="L2550" s="13">
        <v>10562</v>
      </c>
      <c r="M2550" t="str">
        <f>VLOOKUP(L2550,[1]Human_BrainSpan!$B$2:$C$4000,2,FALSE)</f>
        <v>ccr</v>
      </c>
    </row>
    <row r="2551" spans="2:13" x14ac:dyDescent="0.25">
      <c r="B2551" s="31" t="s">
        <v>25743</v>
      </c>
      <c r="C2551" s="20"/>
      <c r="D2551" s="25" t="s">
        <v>4922</v>
      </c>
      <c r="E2551" s="25"/>
      <c r="F2551" s="9" t="str">
        <f>HYPERLINK("https://www.ebi.ac.uk/ols/ontologies/uberon/terms?iri=http://purl.obolibrary.org/obo/UBERON_0015703","rostrum of corpus callosum")</f>
        <v>rostrum of corpus callosum</v>
      </c>
      <c r="G2551" s="9" t="s">
        <v>4921</v>
      </c>
      <c r="H2551" s="9" t="s">
        <v>25478</v>
      </c>
      <c r="I2551" s="9" t="s">
        <v>4924</v>
      </c>
      <c r="J2551" s="9" t="s">
        <v>4925</v>
      </c>
      <c r="K2551" s="7" t="s">
        <v>15171</v>
      </c>
      <c r="L2551" s="13">
        <v>9226</v>
      </c>
      <c r="M2551" t="str">
        <f>VLOOKUP(L2551,[1]HBA!$B$2:$C$4000,2,FALSE)</f>
        <v>rcc</v>
      </c>
    </row>
    <row r="2552" spans="2:13" x14ac:dyDescent="0.25">
      <c r="B2552" s="31" t="s">
        <v>25743</v>
      </c>
      <c r="C2552" s="20"/>
      <c r="D2552" s="25" t="s">
        <v>4922</v>
      </c>
      <c r="E2552" s="25"/>
      <c r="F2552" s="9" t="str">
        <f>HYPERLINK("https://www.ebi.ac.uk/ols/ontologies/uberon/terms?iri=http://purl.obolibrary.org/obo/UBERON_0015703","rostrum of corpus callosum")</f>
        <v>rostrum of corpus callosum</v>
      </c>
      <c r="G2552" s="9" t="s">
        <v>4921</v>
      </c>
      <c r="H2552" s="9" t="s">
        <v>20823</v>
      </c>
      <c r="I2552" s="9" t="s">
        <v>4926</v>
      </c>
      <c r="J2552" s="9" t="s">
        <v>4927</v>
      </c>
      <c r="K2552" s="3" t="s">
        <v>15176</v>
      </c>
      <c r="L2552" s="13">
        <v>979</v>
      </c>
      <c r="M2552" t="str">
        <f>VLOOKUP(L2552,[1]Mouse_ARA!$B$2:$C$1328,2,FALSE)</f>
        <v>ccr</v>
      </c>
    </row>
    <row r="2553" spans="2:13" x14ac:dyDescent="0.25">
      <c r="B2553" s="31" t="s">
        <v>25743</v>
      </c>
      <c r="C2553" s="20"/>
      <c r="D2553" s="25" t="s">
        <v>4929</v>
      </c>
      <c r="E2553" s="25"/>
      <c r="F2553" s="9" t="str">
        <f>HYPERLINK("https://www.ebi.ac.uk/ols/ontologies/uberon/terms?iri=http://purl.obolibrary.org/obo/UBERON_0002714","rubrospinal tract")</f>
        <v>rubrospinal tract</v>
      </c>
      <c r="G2553" s="9" t="s">
        <v>4928</v>
      </c>
      <c r="H2553" s="9" t="s">
        <v>24642</v>
      </c>
      <c r="I2553" s="9" t="s">
        <v>4929</v>
      </c>
      <c r="J2553" s="9" t="s">
        <v>4930</v>
      </c>
      <c r="K2553" s="4" t="s">
        <v>15175</v>
      </c>
      <c r="L2553" s="13">
        <v>12782</v>
      </c>
      <c r="M2553" t="str">
        <f>VLOOKUP(L2553,[1]Human_BrainSpan!$B$2:$C$4000,2,FALSE)</f>
        <v>rusp</v>
      </c>
    </row>
    <row r="2554" spans="2:13" x14ac:dyDescent="0.25">
      <c r="B2554" s="31" t="s">
        <v>25743</v>
      </c>
      <c r="C2554" s="20"/>
      <c r="D2554" s="25" t="s">
        <v>4929</v>
      </c>
      <c r="E2554" s="25"/>
      <c r="F2554" s="9" t="str">
        <f>HYPERLINK("https://www.ebi.ac.uk/ols/ontologies/uberon/terms?iri=http://purl.obolibrary.org/obo/UBERON_0002714","rubrospinal tract")</f>
        <v>rubrospinal tract</v>
      </c>
      <c r="G2554" s="9" t="s">
        <v>4928</v>
      </c>
      <c r="H2554" s="9" t="s">
        <v>18494</v>
      </c>
      <c r="I2554" s="9" t="s">
        <v>4929</v>
      </c>
      <c r="J2554" s="9" t="s">
        <v>4931</v>
      </c>
      <c r="K2554" s="5" t="s">
        <v>15173</v>
      </c>
      <c r="L2554" s="13">
        <v>17792</v>
      </c>
      <c r="M2554" t="str">
        <f>VLOOKUP(L2554,[1]DevMouse!$B$2:$C$2693,2,FALSE)</f>
        <v>rs</v>
      </c>
    </row>
    <row r="2555" spans="2:13" x14ac:dyDescent="0.25">
      <c r="B2555" s="31" t="s">
        <v>25743</v>
      </c>
      <c r="C2555" s="20"/>
      <c r="D2555" s="25" t="s">
        <v>4929</v>
      </c>
      <c r="E2555" s="25"/>
      <c r="F2555" s="9" t="str">
        <f>HYPERLINK("https://www.ebi.ac.uk/ols/ontologies/uberon/terms?iri=http://purl.obolibrary.org/obo/UBERON_0002714","rubrospinal tract")</f>
        <v>rubrospinal tract</v>
      </c>
      <c r="G2555" s="9" t="s">
        <v>4928</v>
      </c>
      <c r="H2555" s="9" t="s">
        <v>20866</v>
      </c>
      <c r="I2555" s="9" t="s">
        <v>4929</v>
      </c>
      <c r="J2555" s="9" t="s">
        <v>4932</v>
      </c>
      <c r="K2555" s="3" t="s">
        <v>15176</v>
      </c>
      <c r="L2555" s="13">
        <v>863</v>
      </c>
      <c r="M2555" t="str">
        <f>VLOOKUP(L2555,[1]Mouse_ARA!$B$2:$C$1328,2,FALSE)</f>
        <v>rust</v>
      </c>
    </row>
    <row r="2556" spans="2:13" x14ac:dyDescent="0.25">
      <c r="B2556" s="31" t="s">
        <v>25743</v>
      </c>
      <c r="C2556" s="20"/>
      <c r="D2556" s="25" t="s">
        <v>4934</v>
      </c>
      <c r="E2556" s="25"/>
      <c r="F2556" s="9" t="str">
        <f>HYPERLINK("https://www.ebi.ac.uk/ols/ontologies/uberon/terms?iri=http://purl.obolibrary.org/obo/UBERON_0035931","sagittal stratum")</f>
        <v>sagittal stratum</v>
      </c>
      <c r="G2556" s="9" t="s">
        <v>4933</v>
      </c>
      <c r="H2556" s="9" t="s">
        <v>20781</v>
      </c>
      <c r="I2556" s="9" t="s">
        <v>4934</v>
      </c>
      <c r="J2556" s="9" t="s">
        <v>4935</v>
      </c>
      <c r="K2556" s="4" t="s">
        <v>15175</v>
      </c>
      <c r="L2556" s="13">
        <v>12082</v>
      </c>
      <c r="M2556" t="str">
        <f>VLOOKUP(L2556,[1]Human_BrainSpan!$B$2:$C$4000,2,FALSE)</f>
        <v>sst</v>
      </c>
    </row>
    <row r="2557" spans="2:13" x14ac:dyDescent="0.25">
      <c r="B2557" s="31" t="s">
        <v>25743</v>
      </c>
      <c r="C2557" s="20"/>
      <c r="D2557" s="25" t="s">
        <v>4934</v>
      </c>
      <c r="E2557" s="25"/>
      <c r="F2557" s="9" t="str">
        <f>HYPERLINK("https://www.ebi.ac.uk/ols/ontologies/uberon/terms?iri=http://purl.obolibrary.org/obo/UBERON_0035931","sagittal stratum")</f>
        <v>sagittal stratum</v>
      </c>
      <c r="G2557" s="9" t="s">
        <v>4933</v>
      </c>
      <c r="H2557" s="9" t="s">
        <v>20781</v>
      </c>
      <c r="I2557" s="9" t="s">
        <v>4934</v>
      </c>
      <c r="J2557" s="9" t="s">
        <v>4936</v>
      </c>
      <c r="K2557" s="7" t="s">
        <v>15171</v>
      </c>
      <c r="L2557" s="13">
        <v>265505286</v>
      </c>
      <c r="M2557" t="str">
        <f>VLOOKUP(L2557,[1]HBA!$B$2:$C$4000,2,FALSE)</f>
        <v>sst</v>
      </c>
    </row>
    <row r="2558" spans="2:13" x14ac:dyDescent="0.25">
      <c r="B2558" s="31" t="s">
        <v>25743</v>
      </c>
      <c r="C2558" s="20"/>
      <c r="D2558" s="25" t="s">
        <v>4938</v>
      </c>
      <c r="E2558" s="25"/>
      <c r="F2558" s="9" t="str">
        <f>HYPERLINK("https://www.ebi.ac.uk/ols/ontologies/uberon/terms?iri=http://purl.obolibrary.org/obo/UBERON_0022423","sagulum nucleus")</f>
        <v>sagulum nucleus</v>
      </c>
      <c r="G2558" s="9" t="s">
        <v>4937</v>
      </c>
      <c r="H2558" s="9" t="s">
        <v>24079</v>
      </c>
      <c r="I2558" s="9" t="s">
        <v>4938</v>
      </c>
      <c r="J2558" s="9" t="s">
        <v>4939</v>
      </c>
      <c r="K2558" s="4" t="s">
        <v>15175</v>
      </c>
      <c r="L2558" s="13">
        <v>12313</v>
      </c>
      <c r="M2558" t="str">
        <f>VLOOKUP(L2558,[1]Human_BrainSpan!$B$2:$C$4000,2,FALSE)</f>
        <v>Sag</v>
      </c>
    </row>
    <row r="2559" spans="2:13" x14ac:dyDescent="0.25">
      <c r="B2559" s="31" t="s">
        <v>25743</v>
      </c>
      <c r="C2559" s="20"/>
      <c r="D2559" s="25" t="s">
        <v>4938</v>
      </c>
      <c r="E2559" s="25"/>
      <c r="F2559" s="9" t="str">
        <f>HYPERLINK("https://www.ebi.ac.uk/ols/ontologies/uberon/terms?iri=http://purl.obolibrary.org/obo/UBERON_0022423","sagulum nucleus")</f>
        <v>sagulum nucleus</v>
      </c>
      <c r="G2559" s="9" t="s">
        <v>4937</v>
      </c>
      <c r="H2559" s="9" t="s">
        <v>24079</v>
      </c>
      <c r="I2559" s="9" t="s">
        <v>4938</v>
      </c>
      <c r="J2559" s="9" t="s">
        <v>4940</v>
      </c>
      <c r="K2559" s="7" t="s">
        <v>15171</v>
      </c>
      <c r="L2559" s="13">
        <v>9486</v>
      </c>
      <c r="M2559" t="str">
        <f>VLOOKUP(L2559,[1]HBA!$B$2:$C$4000,2,FALSE)</f>
        <v>Sag</v>
      </c>
    </row>
    <row r="2560" spans="2:13" x14ac:dyDescent="0.25">
      <c r="B2560" s="31" t="s">
        <v>25743</v>
      </c>
      <c r="C2560" s="20"/>
      <c r="D2560" s="25" t="s">
        <v>26214</v>
      </c>
      <c r="E2560" s="25"/>
      <c r="F2560" s="9" t="str">
        <f>HYPERLINK("https://www.ebi.ac.uk/ols/ontologies/uberon/terms?iri=http://purl.obolibrary.org/obo/UBERON_0034752","secondary auditory cortex")</f>
        <v>secondary auditory cortex</v>
      </c>
      <c r="G2560" s="9" t="s">
        <v>4941</v>
      </c>
      <c r="H2560" s="9" t="s">
        <v>22494</v>
      </c>
      <c r="I2560" s="9" t="s">
        <v>4942</v>
      </c>
      <c r="J2560" s="9" t="s">
        <v>4943</v>
      </c>
      <c r="K2560" s="4" t="s">
        <v>15175</v>
      </c>
      <c r="L2560" s="13">
        <v>10239</v>
      </c>
      <c r="M2560" t="str">
        <f>VLOOKUP(L2560,[1]Human_BrainSpan!$B$2:$C$4000,2,FALSE)</f>
        <v>A42</v>
      </c>
    </row>
    <row r="2561" spans="2:13" x14ac:dyDescent="0.25">
      <c r="B2561" s="31" t="s">
        <v>25743</v>
      </c>
      <c r="C2561" s="20"/>
      <c r="D2561" s="25" t="s">
        <v>26215</v>
      </c>
      <c r="E2561" s="25"/>
      <c r="F2561" s="9" t="str">
        <f>HYPERLINK("https://www.ebi.ac.uk/ols/ontologies/uberon/terms?iri=http://purl.obolibrary.org/obo/UBERON_0002817","secondary fissure of cerebellum")</f>
        <v>secondary fissure of cerebellum</v>
      </c>
      <c r="G2561" s="9" t="s">
        <v>4944</v>
      </c>
      <c r="H2561" s="9" t="s">
        <v>25560</v>
      </c>
      <c r="I2561" s="9" t="s">
        <v>4945</v>
      </c>
      <c r="J2561" s="9" t="s">
        <v>4946</v>
      </c>
      <c r="K2561" s="7" t="s">
        <v>15171</v>
      </c>
      <c r="L2561" s="13">
        <v>9416</v>
      </c>
      <c r="M2561" t="str">
        <f>VLOOKUP(L2561,[1]HBA!$B$2:$C$4000,2,FALSE)</f>
        <v>sfCb</v>
      </c>
    </row>
    <row r="2562" spans="2:13" x14ac:dyDescent="0.25">
      <c r="B2562" s="31" t="s">
        <v>25743</v>
      </c>
      <c r="C2562" s="20"/>
      <c r="D2562" s="25" t="s">
        <v>26215</v>
      </c>
      <c r="E2562" s="25"/>
      <c r="F2562" s="9" t="str">
        <f>HYPERLINK("https://www.ebi.ac.uk/ols/ontologies/uberon/terms?iri=http://purl.obolibrary.org/obo/UBERON_0002817","secondary fissure of cerebellum")</f>
        <v>secondary fissure of cerebellum</v>
      </c>
      <c r="G2562" s="9" t="s">
        <v>4944</v>
      </c>
      <c r="H2562" s="9" t="s">
        <v>20978</v>
      </c>
      <c r="I2562" s="9" t="s">
        <v>4945</v>
      </c>
      <c r="J2562" s="9" t="s">
        <v>4947</v>
      </c>
      <c r="K2562" s="3" t="s">
        <v>15176</v>
      </c>
      <c r="L2562" s="13">
        <v>3</v>
      </c>
      <c r="M2562" t="str">
        <f>VLOOKUP(L2562,[1]Mouse_ARA!$B$2:$C$1328,2,FALSE)</f>
        <v>sec</v>
      </c>
    </row>
    <row r="2563" spans="2:13" x14ac:dyDescent="0.25">
      <c r="B2563" s="31" t="s">
        <v>25743</v>
      </c>
      <c r="C2563" s="20"/>
      <c r="D2563" s="25" t="s">
        <v>4949</v>
      </c>
      <c r="E2563" s="25"/>
      <c r="F2563" s="9" t="str">
        <f>HYPERLINK("https://www.ebi.ac.uk/ols/ontologies/uberon/terms?iri=http://purl.obolibrary.org/obo/UBERON_0036218","secondary prosencephalon")</f>
        <v>secondary prosencephalon</v>
      </c>
      <c r="G2563" s="9" t="s">
        <v>4948</v>
      </c>
      <c r="H2563" s="9" t="s">
        <v>15193</v>
      </c>
      <c r="I2563" s="9" t="s">
        <v>4949</v>
      </c>
      <c r="J2563" s="9" t="s">
        <v>4950</v>
      </c>
      <c r="K2563" s="5" t="s">
        <v>15173</v>
      </c>
      <c r="L2563" s="13">
        <v>15567</v>
      </c>
      <c r="M2563" t="str">
        <f>VLOOKUP(L2563,[1]DevMouse!$B$2:$C$2693,2,FALSE)</f>
        <v>SP</v>
      </c>
    </row>
    <row r="2564" spans="2:13" x14ac:dyDescent="0.25">
      <c r="B2564" s="31" t="s">
        <v>25743</v>
      </c>
      <c r="C2564" s="20"/>
      <c r="D2564" s="25" t="s">
        <v>26216</v>
      </c>
      <c r="E2564" s="25"/>
      <c r="F2564" s="9" t="str">
        <f>HYPERLINK("https://www.ebi.ac.uk/ols/ontologies/uberon/terms?iri=http://purl.obolibrary.org/obo/UBERON_0008934","secondary somatosensory cortex")</f>
        <v>secondary somatosensory cortex</v>
      </c>
      <c r="G2564" s="9" t="s">
        <v>4951</v>
      </c>
      <c r="H2564" s="9" t="s">
        <v>18842</v>
      </c>
      <c r="I2564" s="9" t="s">
        <v>4952</v>
      </c>
      <c r="J2564" s="9" t="s">
        <v>4953</v>
      </c>
      <c r="K2564" s="3" t="s">
        <v>15176</v>
      </c>
      <c r="L2564" s="13">
        <v>378</v>
      </c>
      <c r="M2564" t="str">
        <f>VLOOKUP(L2564,[1]Mouse_ARA!$B$2:$C$1328,2,FALSE)</f>
        <v>SSs</v>
      </c>
    </row>
    <row r="2565" spans="2:13" x14ac:dyDescent="0.25">
      <c r="B2565" s="31" t="s">
        <v>26303</v>
      </c>
      <c r="C2565" s="25" t="s">
        <v>26193</v>
      </c>
      <c r="D2565" s="25" t="s">
        <v>26217</v>
      </c>
      <c r="E2565" s="25"/>
      <c r="F2565" s="9" t="str">
        <f t="shared" ref="F2565:F2576" si="34">HYPERLINK("https://www.ebi.ac.uk/ols/ontologies/uberon/terms?iri=http://purl.obolibrary.org/obo/UBERON_0004733","segmental subdivision of hindbrain")</f>
        <v>segmental subdivision of hindbrain</v>
      </c>
      <c r="G2565" s="9" t="s">
        <v>4954</v>
      </c>
      <c r="H2565" s="9" t="s">
        <v>24537</v>
      </c>
      <c r="I2565" s="9" t="s">
        <v>4764</v>
      </c>
      <c r="J2565" s="9" t="s">
        <v>4765</v>
      </c>
      <c r="K2565" s="4" t="s">
        <v>15175</v>
      </c>
      <c r="L2565" s="13">
        <v>12664</v>
      </c>
      <c r="M2565" t="str">
        <f>VLOOKUP(L2565,[1]Human_BrainSpan!$B$2:$C$4000,2,FALSE)</f>
        <v>HNM</v>
      </c>
    </row>
    <row r="2566" spans="2:13" x14ac:dyDescent="0.25">
      <c r="B2566" s="31" t="s">
        <v>26303</v>
      </c>
      <c r="C2566" s="9" t="s">
        <v>4767</v>
      </c>
      <c r="D2566" s="25" t="s">
        <v>26217</v>
      </c>
      <c r="E2566" s="25"/>
      <c r="F2566" s="9" t="str">
        <f t="shared" si="34"/>
        <v>segmental subdivision of hindbrain</v>
      </c>
      <c r="G2566" s="9" t="s">
        <v>4954</v>
      </c>
      <c r="H2566" s="9" t="s">
        <v>17353</v>
      </c>
      <c r="I2566" s="9" t="s">
        <v>4767</v>
      </c>
      <c r="J2566" s="9" t="s">
        <v>4769</v>
      </c>
      <c r="K2566" s="5" t="s">
        <v>15173</v>
      </c>
      <c r="L2566" s="13">
        <v>16915</v>
      </c>
      <c r="M2566" t="str">
        <f>VLOOKUP(L2566,[1]DevMouse!$B$2:$C$2693,2,FALSE)</f>
        <v>r1</v>
      </c>
    </row>
    <row r="2567" spans="2:13" x14ac:dyDescent="0.25">
      <c r="B2567" s="31" t="s">
        <v>26303</v>
      </c>
      <c r="C2567" s="9" t="s">
        <v>4783</v>
      </c>
      <c r="D2567" s="25" t="s">
        <v>26217</v>
      </c>
      <c r="E2567" s="25"/>
      <c r="F2567" s="9" t="str">
        <f t="shared" si="34"/>
        <v>segmental subdivision of hindbrain</v>
      </c>
      <c r="G2567" s="9" t="s">
        <v>4954</v>
      </c>
      <c r="H2567" s="9" t="s">
        <v>17485</v>
      </c>
      <c r="I2567" s="9" t="s">
        <v>4783</v>
      </c>
      <c r="J2567" s="9" t="s">
        <v>4785</v>
      </c>
      <c r="K2567" s="5" t="s">
        <v>15173</v>
      </c>
      <c r="L2567" s="13">
        <v>17023</v>
      </c>
      <c r="M2567" t="str">
        <f>VLOOKUP(L2567,[1]DevMouse!$B$2:$C$2693,2,FALSE)</f>
        <v>r2</v>
      </c>
    </row>
    <row r="2568" spans="2:13" x14ac:dyDescent="0.25">
      <c r="B2568" s="31" t="s">
        <v>26303</v>
      </c>
      <c r="C2568" s="9" t="s">
        <v>4793</v>
      </c>
      <c r="D2568" s="25" t="s">
        <v>26217</v>
      </c>
      <c r="E2568" s="25"/>
      <c r="F2568" s="9" t="str">
        <f t="shared" si="34"/>
        <v>segmental subdivision of hindbrain</v>
      </c>
      <c r="G2568" s="9" t="s">
        <v>4954</v>
      </c>
      <c r="H2568" s="9" t="s">
        <v>17578</v>
      </c>
      <c r="I2568" s="9" t="s">
        <v>4793</v>
      </c>
      <c r="J2568" s="9" t="s">
        <v>4795</v>
      </c>
      <c r="K2568" s="5" t="s">
        <v>15173</v>
      </c>
      <c r="L2568" s="13">
        <v>17093</v>
      </c>
      <c r="M2568" t="str">
        <f>VLOOKUP(L2568,[1]DevMouse!$B$2:$C$2693,2,FALSE)</f>
        <v>r3</v>
      </c>
    </row>
    <row r="2569" spans="2:13" x14ac:dyDescent="0.25">
      <c r="B2569" s="31" t="s">
        <v>26303</v>
      </c>
      <c r="C2569" s="9" t="s">
        <v>4803</v>
      </c>
      <c r="D2569" s="25" t="s">
        <v>26217</v>
      </c>
      <c r="E2569" s="25"/>
      <c r="F2569" s="9" t="str">
        <f t="shared" si="34"/>
        <v>segmental subdivision of hindbrain</v>
      </c>
      <c r="G2569" s="9" t="s">
        <v>4954</v>
      </c>
      <c r="H2569" s="9" t="s">
        <v>17663</v>
      </c>
      <c r="I2569" s="9" t="s">
        <v>4803</v>
      </c>
      <c r="J2569" s="9" t="s">
        <v>4805</v>
      </c>
      <c r="K2569" s="5" t="s">
        <v>15173</v>
      </c>
      <c r="L2569" s="13">
        <v>17156</v>
      </c>
      <c r="M2569" t="str">
        <f>VLOOKUP(L2569,[1]DevMouse!$B$2:$C$2693,2,FALSE)</f>
        <v>r4</v>
      </c>
    </row>
    <row r="2570" spans="2:13" x14ac:dyDescent="0.25">
      <c r="B2570" s="31" t="s">
        <v>26303</v>
      </c>
      <c r="C2570" s="9" t="s">
        <v>4813</v>
      </c>
      <c r="D2570" s="25" t="s">
        <v>26217</v>
      </c>
      <c r="E2570" s="25"/>
      <c r="F2570" s="9" t="str">
        <f t="shared" si="34"/>
        <v>segmental subdivision of hindbrain</v>
      </c>
      <c r="G2570" s="9" t="s">
        <v>4954</v>
      </c>
      <c r="H2570" s="9" t="s">
        <v>17748</v>
      </c>
      <c r="I2570" s="9" t="s">
        <v>4813</v>
      </c>
      <c r="J2570" s="9" t="s">
        <v>4815</v>
      </c>
      <c r="K2570" s="5" t="s">
        <v>15173</v>
      </c>
      <c r="L2570" s="13">
        <v>17221</v>
      </c>
      <c r="M2570" t="str">
        <f>VLOOKUP(L2570,[1]DevMouse!$B$2:$C$2693,2,FALSE)</f>
        <v>r5</v>
      </c>
    </row>
    <row r="2571" spans="2:13" x14ac:dyDescent="0.25">
      <c r="B2571" s="31" t="s">
        <v>26303</v>
      </c>
      <c r="C2571" s="9" t="s">
        <v>4823</v>
      </c>
      <c r="D2571" s="25" t="s">
        <v>26217</v>
      </c>
      <c r="E2571" s="25"/>
      <c r="F2571" s="9" t="str">
        <f t="shared" si="34"/>
        <v>segmental subdivision of hindbrain</v>
      </c>
      <c r="G2571" s="9" t="s">
        <v>4954</v>
      </c>
      <c r="H2571" s="9" t="s">
        <v>17839</v>
      </c>
      <c r="I2571" s="9" t="s">
        <v>4823</v>
      </c>
      <c r="J2571" s="9" t="s">
        <v>4825</v>
      </c>
      <c r="K2571" s="5" t="s">
        <v>15173</v>
      </c>
      <c r="L2571" s="13">
        <v>17290</v>
      </c>
      <c r="M2571" t="str">
        <f>VLOOKUP(L2571,[1]DevMouse!$B$2:$C$2693,2,FALSE)</f>
        <v>r6</v>
      </c>
    </row>
    <row r="2572" spans="2:13" x14ac:dyDescent="0.25">
      <c r="B2572" s="31" t="s">
        <v>26303</v>
      </c>
      <c r="C2572" s="9" t="s">
        <v>4833</v>
      </c>
      <c r="D2572" s="25" t="s">
        <v>26217</v>
      </c>
      <c r="E2572" s="25"/>
      <c r="F2572" s="9" t="str">
        <f t="shared" si="34"/>
        <v>segmental subdivision of hindbrain</v>
      </c>
      <c r="G2572" s="9" t="s">
        <v>4954</v>
      </c>
      <c r="H2572" s="9" t="s">
        <v>17923</v>
      </c>
      <c r="I2572" s="9" t="s">
        <v>4833</v>
      </c>
      <c r="J2572" s="9" t="s">
        <v>4835</v>
      </c>
      <c r="K2572" s="5" t="s">
        <v>15173</v>
      </c>
      <c r="L2572" s="13">
        <v>17353</v>
      </c>
      <c r="M2572" t="str">
        <f>VLOOKUP(L2572,[1]DevMouse!$B$2:$C$2693,2,FALSE)</f>
        <v>r7</v>
      </c>
    </row>
    <row r="2573" spans="2:13" x14ac:dyDescent="0.25">
      <c r="B2573" s="31" t="s">
        <v>26303</v>
      </c>
      <c r="C2573" s="9" t="s">
        <v>4843</v>
      </c>
      <c r="D2573" s="25" t="s">
        <v>26217</v>
      </c>
      <c r="E2573" s="25"/>
      <c r="F2573" s="9" t="str">
        <f t="shared" si="34"/>
        <v>segmental subdivision of hindbrain</v>
      </c>
      <c r="G2573" s="9" t="s">
        <v>4954</v>
      </c>
      <c r="H2573" s="9" t="s">
        <v>18007</v>
      </c>
      <c r="I2573" s="9" t="s">
        <v>4843</v>
      </c>
      <c r="J2573" s="9" t="s">
        <v>4847</v>
      </c>
      <c r="K2573" s="5" t="s">
        <v>15173</v>
      </c>
      <c r="L2573" s="13">
        <v>17416</v>
      </c>
      <c r="M2573" t="str">
        <f>VLOOKUP(L2573,[1]DevMouse!$B$2:$C$2693,2,FALSE)</f>
        <v>r8</v>
      </c>
    </row>
    <row r="2574" spans="2:13" x14ac:dyDescent="0.25">
      <c r="B2574" s="31" t="s">
        <v>26303</v>
      </c>
      <c r="C2574" s="9" t="s">
        <v>4855</v>
      </c>
      <c r="D2574" s="25" t="s">
        <v>26217</v>
      </c>
      <c r="E2574" s="25"/>
      <c r="F2574" s="9" t="str">
        <f t="shared" si="34"/>
        <v>segmental subdivision of hindbrain</v>
      </c>
      <c r="G2574" s="9" t="s">
        <v>4954</v>
      </c>
      <c r="H2574" s="9" t="s">
        <v>18086</v>
      </c>
      <c r="I2574" s="9" t="s">
        <v>4855</v>
      </c>
      <c r="J2574" s="9" t="s">
        <v>4856</v>
      </c>
      <c r="K2574" s="5" t="s">
        <v>15173</v>
      </c>
      <c r="L2574" s="13">
        <v>17476</v>
      </c>
      <c r="M2574" t="str">
        <f>VLOOKUP(L2574,[1]DevMouse!$B$2:$C$2693,2,FALSE)</f>
        <v>r9</v>
      </c>
    </row>
    <row r="2575" spans="2:13" x14ac:dyDescent="0.25">
      <c r="B2575" s="31" t="s">
        <v>26303</v>
      </c>
      <c r="C2575" s="9" t="s">
        <v>4777</v>
      </c>
      <c r="D2575" s="25" t="s">
        <v>26217</v>
      </c>
      <c r="E2575" s="25"/>
      <c r="F2575" s="9" t="str">
        <f t="shared" si="34"/>
        <v>segmental subdivision of hindbrain</v>
      </c>
      <c r="G2575" s="9" t="s">
        <v>4954</v>
      </c>
      <c r="H2575" s="9" t="s">
        <v>18167</v>
      </c>
      <c r="I2575" s="9" t="s">
        <v>4777</v>
      </c>
      <c r="J2575" s="9" t="s">
        <v>4778</v>
      </c>
      <c r="K2575" s="5" t="s">
        <v>15173</v>
      </c>
      <c r="L2575" s="13">
        <v>17538</v>
      </c>
      <c r="M2575" t="str">
        <f>VLOOKUP(L2575,[1]DevMouse!$B$2:$C$2693,2,FALSE)</f>
        <v>r10</v>
      </c>
    </row>
    <row r="2576" spans="2:13" x14ac:dyDescent="0.25">
      <c r="B2576" s="31" t="s">
        <v>26303</v>
      </c>
      <c r="C2576" s="9" t="s">
        <v>4780</v>
      </c>
      <c r="D2576" s="25" t="s">
        <v>26217</v>
      </c>
      <c r="E2576" s="25"/>
      <c r="F2576" s="9" t="str">
        <f t="shared" si="34"/>
        <v>segmental subdivision of hindbrain</v>
      </c>
      <c r="G2576" s="9" t="s">
        <v>4954</v>
      </c>
      <c r="H2576" s="9" t="s">
        <v>18244</v>
      </c>
      <c r="I2576" s="9" t="s">
        <v>4780</v>
      </c>
      <c r="J2576" s="9" t="s">
        <v>4781</v>
      </c>
      <c r="K2576" s="5" t="s">
        <v>15173</v>
      </c>
      <c r="L2576" s="13">
        <v>17596</v>
      </c>
      <c r="M2576" t="str">
        <f>VLOOKUP(L2576,[1]DevMouse!$B$2:$C$2693,2,FALSE)</f>
        <v>r11</v>
      </c>
    </row>
    <row r="2577" spans="2:13" x14ac:dyDescent="0.25">
      <c r="B2577" s="31" t="s">
        <v>25743</v>
      </c>
      <c r="C2577" s="20"/>
      <c r="D2577" s="25" t="s">
        <v>26218</v>
      </c>
      <c r="E2577" s="25"/>
      <c r="F2577" s="9" t="str">
        <f>HYPERLINK("https://www.ebi.ac.uk/ols/ontologies/uberon/terms?iri=http://purl.obolibrary.org/obo/UBERON_0001699","sensory root of facial nerve")</f>
        <v>sensory root of facial nerve</v>
      </c>
      <c r="G2577" s="9" t="s">
        <v>4955</v>
      </c>
      <c r="H2577" s="9" t="s">
        <v>24701</v>
      </c>
      <c r="I2577" s="9" t="s">
        <v>3210</v>
      </c>
      <c r="J2577" s="9" t="s">
        <v>3211</v>
      </c>
      <c r="K2577" s="4" t="s">
        <v>15175</v>
      </c>
      <c r="L2577" s="13">
        <v>12864</v>
      </c>
      <c r="M2577" t="str">
        <f>VLOOKUP(L2577,[1]Human_BrainSpan!$B$2:$C$4000,2,FALSE)</f>
        <v>r7in</v>
      </c>
    </row>
    <row r="2578" spans="2:13" x14ac:dyDescent="0.25">
      <c r="B2578" s="31" t="s">
        <v>25743</v>
      </c>
      <c r="C2578" s="20"/>
      <c r="D2578" s="25" t="s">
        <v>26218</v>
      </c>
      <c r="E2578" s="25"/>
      <c r="F2578" s="9" t="str">
        <f>HYPERLINK("https://www.ebi.ac.uk/ols/ontologies/uberon/terms?iri=http://purl.obolibrary.org/obo/UBERON_0001699","sensory root of facial nerve")</f>
        <v>sensory root of facial nerve</v>
      </c>
      <c r="G2578" s="9" t="s">
        <v>4955</v>
      </c>
      <c r="H2578" s="9" t="s">
        <v>20750</v>
      </c>
      <c r="I2578" s="9" t="s">
        <v>3216</v>
      </c>
      <c r="J2578" s="9" t="s">
        <v>3217</v>
      </c>
      <c r="K2578" s="3" t="s">
        <v>15176</v>
      </c>
      <c r="L2578" s="13">
        <v>1131</v>
      </c>
      <c r="M2578" t="str">
        <f>VLOOKUP(L2578,[1]Mouse_ARA!$B$2:$C$1328,2,FALSE)</f>
        <v>iVIIn</v>
      </c>
    </row>
    <row r="2579" spans="2:13" x14ac:dyDescent="0.25">
      <c r="B2579" s="31" t="s">
        <v>25743</v>
      </c>
      <c r="C2579" s="20"/>
      <c r="D2579" s="25" t="s">
        <v>3212</v>
      </c>
      <c r="E2579" s="25"/>
      <c r="F2579" s="9" t="str">
        <f>HYPERLINK("https://www.ebi.ac.uk/ols/ontologies/uberon/terms?iri=http://purl.obolibrary.org/obo/UBERON_0009907","sensory root of trigeminal nerve")</f>
        <v>sensory root of trigeminal nerve</v>
      </c>
      <c r="G2579" s="9" t="s">
        <v>4956</v>
      </c>
      <c r="H2579" s="9" t="s">
        <v>24703</v>
      </c>
      <c r="I2579" s="9" t="s">
        <v>3212</v>
      </c>
      <c r="J2579" s="9" t="s">
        <v>3213</v>
      </c>
      <c r="K2579" s="4" t="s">
        <v>15175</v>
      </c>
      <c r="L2579" s="13">
        <v>12867</v>
      </c>
      <c r="M2579" t="str">
        <f>VLOOKUP(L2579,[1]Human_BrainSpan!$B$2:$C$4000,2,FALSE)</f>
        <v>r5s</v>
      </c>
    </row>
    <row r="2580" spans="2:13" x14ac:dyDescent="0.25">
      <c r="B2580" s="31" t="s">
        <v>25743</v>
      </c>
      <c r="C2580" s="20"/>
      <c r="D2580" s="25" t="s">
        <v>3212</v>
      </c>
      <c r="E2580" s="25"/>
      <c r="F2580" s="9" t="str">
        <f>HYPERLINK("https://www.ebi.ac.uk/ols/ontologies/uberon/terms?iri=http://purl.obolibrary.org/obo/UBERON_0009907","sensory root of trigeminal nerve")</f>
        <v>sensory root of trigeminal nerve</v>
      </c>
      <c r="G2580" s="9" t="s">
        <v>4956</v>
      </c>
      <c r="H2580" s="9" t="s">
        <v>20746</v>
      </c>
      <c r="I2580" s="9" t="s">
        <v>3218</v>
      </c>
      <c r="J2580" s="9" t="s">
        <v>3219</v>
      </c>
      <c r="K2580" s="3" t="s">
        <v>15176</v>
      </c>
      <c r="L2580" s="13">
        <v>229</v>
      </c>
      <c r="M2580" t="str">
        <f>VLOOKUP(L2580,[1]Mouse_ARA!$B$2:$C$1328,2,FALSE)</f>
        <v>sV</v>
      </c>
    </row>
    <row r="2581" spans="2:13" x14ac:dyDescent="0.25">
      <c r="B2581" s="31" t="s">
        <v>25743</v>
      </c>
      <c r="C2581" s="20"/>
      <c r="D2581" s="25" t="s">
        <v>26219</v>
      </c>
      <c r="E2581" s="25"/>
      <c r="F2581" s="9" t="str">
        <f>HYPERLINK("https://www.ebi.ac.uk/ols/ontologies/uberon/terms?iri=http://purl.obolibrary.org/obo/UBERON_0002663","septal nuclear complex")</f>
        <v>septal nuclear complex</v>
      </c>
      <c r="G2581" s="9" t="s">
        <v>4957</v>
      </c>
      <c r="H2581" s="9" t="s">
        <v>23277</v>
      </c>
      <c r="I2581" s="9" t="s">
        <v>4958</v>
      </c>
      <c r="J2581" s="9" t="s">
        <v>4959</v>
      </c>
      <c r="K2581" s="4" t="s">
        <v>15175</v>
      </c>
      <c r="L2581" s="13">
        <v>10350</v>
      </c>
      <c r="M2581" t="str">
        <f>VLOOKUP(L2581,[1]Human_BrainSpan!$B$2:$C$4000,2,FALSE)</f>
        <v>SEP</v>
      </c>
    </row>
    <row r="2582" spans="2:13" x14ac:dyDescent="0.25">
      <c r="B2582" s="31" t="s">
        <v>25743</v>
      </c>
      <c r="C2582" s="20"/>
      <c r="D2582" s="25" t="s">
        <v>26219</v>
      </c>
      <c r="E2582" s="25"/>
      <c r="F2582" s="9" t="str">
        <f>HYPERLINK("https://www.ebi.ac.uk/ols/ontologies/uberon/terms?iri=http://purl.obolibrary.org/obo/UBERON_0002663","septal nuclear complex")</f>
        <v>septal nuclear complex</v>
      </c>
      <c r="G2582" s="9" t="s">
        <v>4957</v>
      </c>
      <c r="H2582" s="9" t="s">
        <v>24892</v>
      </c>
      <c r="I2582" s="9" t="s">
        <v>4958</v>
      </c>
      <c r="J2582" s="9" t="s">
        <v>4960</v>
      </c>
      <c r="K2582" s="7" t="s">
        <v>15171</v>
      </c>
      <c r="L2582" s="13">
        <v>13002</v>
      </c>
      <c r="M2582" t="str">
        <f>VLOOKUP(L2582,[1]HBA!$B$2:$C$4000,2,FALSE)</f>
        <v>SptN</v>
      </c>
    </row>
    <row r="2583" spans="2:13" x14ac:dyDescent="0.25">
      <c r="B2583" s="31" t="s">
        <v>25743</v>
      </c>
      <c r="C2583" s="20"/>
      <c r="D2583" s="25" t="s">
        <v>4962</v>
      </c>
      <c r="E2583" s="25"/>
      <c r="F2583" s="9" t="str">
        <f>HYPERLINK("https://www.ebi.ac.uk/ols/ontologies/uberon/terms?iri=http://purl.obolibrary.org/obo/UBERON_0001878","septofimbrial nucleus")</f>
        <v>septofimbrial nucleus</v>
      </c>
      <c r="G2583" s="9" t="s">
        <v>4961</v>
      </c>
      <c r="H2583" s="9" t="s">
        <v>15563</v>
      </c>
      <c r="I2583" s="9" t="s">
        <v>4962</v>
      </c>
      <c r="J2583" s="9" t="s">
        <v>4963</v>
      </c>
      <c r="K2583" s="4" t="s">
        <v>15175</v>
      </c>
      <c r="L2583" s="13">
        <v>13032</v>
      </c>
      <c r="M2583" t="str">
        <f>VLOOKUP(L2583,[1]Human_BrainSpan!$B$2:$C$4000,2,FALSE)</f>
        <v>SFi</v>
      </c>
    </row>
    <row r="2584" spans="2:13" x14ac:dyDescent="0.25">
      <c r="B2584" s="31" t="s">
        <v>25743</v>
      </c>
      <c r="C2584" s="20"/>
      <c r="D2584" s="25" t="s">
        <v>4962</v>
      </c>
      <c r="E2584" s="25"/>
      <c r="F2584" s="9" t="str">
        <f>HYPERLINK("https://www.ebi.ac.uk/ols/ontologies/uberon/terms?iri=http://purl.obolibrary.org/obo/UBERON_0001878","septofimbrial nucleus")</f>
        <v>septofimbrial nucleus</v>
      </c>
      <c r="G2584" s="9" t="s">
        <v>4961</v>
      </c>
      <c r="H2584" s="9" t="s">
        <v>15563</v>
      </c>
      <c r="I2584" s="9" t="s">
        <v>4962</v>
      </c>
      <c r="J2584" s="9" t="s">
        <v>4964</v>
      </c>
      <c r="K2584" s="5" t="s">
        <v>15173</v>
      </c>
      <c r="L2584" s="13">
        <v>15780</v>
      </c>
      <c r="M2584" t="str">
        <f>VLOOKUP(L2584,[1]DevMouse!$B$2:$C$2693,2,FALSE)</f>
        <v>SFi</v>
      </c>
    </row>
    <row r="2585" spans="2:13" x14ac:dyDescent="0.25">
      <c r="B2585" s="31" t="s">
        <v>25743</v>
      </c>
      <c r="C2585" s="20"/>
      <c r="D2585" s="25" t="s">
        <v>4962</v>
      </c>
      <c r="E2585" s="25"/>
      <c r="F2585" s="9" t="str">
        <f>HYPERLINK("https://www.ebi.ac.uk/ols/ontologies/uberon/terms?iri=http://purl.obolibrary.org/obo/UBERON_0001878","septofimbrial nucleus")</f>
        <v>septofimbrial nucleus</v>
      </c>
      <c r="G2585" s="9" t="s">
        <v>4961</v>
      </c>
      <c r="H2585" s="9" t="s">
        <v>19777</v>
      </c>
      <c r="I2585" s="9" t="s">
        <v>4962</v>
      </c>
      <c r="J2585" s="9" t="s">
        <v>4965</v>
      </c>
      <c r="K2585" s="3" t="s">
        <v>15176</v>
      </c>
      <c r="L2585" s="13">
        <v>310</v>
      </c>
      <c r="M2585" t="str">
        <f>VLOOKUP(L2585,[1]Mouse_ARA!$B$2:$C$1328,2,FALSE)</f>
        <v>SF</v>
      </c>
    </row>
    <row r="2586" spans="2:13" x14ac:dyDescent="0.25">
      <c r="B2586" s="31" t="s">
        <v>25743</v>
      </c>
      <c r="C2586" s="20"/>
      <c r="D2586" s="25" t="s">
        <v>4967</v>
      </c>
      <c r="E2586" s="25"/>
      <c r="F2586" s="9" t="str">
        <f>HYPERLINK("https://www.ebi.ac.uk/ols/ontologies/uberon/terms?iri=http://purl.obolibrary.org/obo/UBERON_0007630","septohippocampal nucleus")</f>
        <v>septohippocampal nucleus</v>
      </c>
      <c r="G2586" s="9" t="s">
        <v>4966</v>
      </c>
      <c r="H2586" s="9" t="s">
        <v>16012</v>
      </c>
      <c r="I2586" s="9" t="s">
        <v>4967</v>
      </c>
      <c r="J2586" s="9" t="s">
        <v>4968</v>
      </c>
      <c r="K2586" s="5" t="s">
        <v>15173</v>
      </c>
      <c r="L2586" s="13">
        <v>16204</v>
      </c>
      <c r="M2586" t="str">
        <f>VLOOKUP(L2586,[1]DevMouse!$B$2:$C$2693,2,FALSE)</f>
        <v>SHi</v>
      </c>
    </row>
    <row r="2587" spans="2:13" x14ac:dyDescent="0.25">
      <c r="B2587" s="31" t="s">
        <v>25743</v>
      </c>
      <c r="C2587" s="20"/>
      <c r="D2587" s="25" t="s">
        <v>4967</v>
      </c>
      <c r="E2587" s="25"/>
      <c r="F2587" s="9" t="str">
        <f>HYPERLINK("https://www.ebi.ac.uk/ols/ontologies/uberon/terms?iri=http://purl.obolibrary.org/obo/UBERON_0007630","septohippocampal nucleus")</f>
        <v>septohippocampal nucleus</v>
      </c>
      <c r="G2587" s="9" t="s">
        <v>4966</v>
      </c>
      <c r="H2587" s="9" t="s">
        <v>19779</v>
      </c>
      <c r="I2587" s="9" t="s">
        <v>4967</v>
      </c>
      <c r="J2587" s="9" t="s">
        <v>4969</v>
      </c>
      <c r="K2587" s="3" t="s">
        <v>15176</v>
      </c>
      <c r="L2587" s="13">
        <v>333</v>
      </c>
      <c r="M2587" t="str">
        <f>VLOOKUP(L2587,[1]Mouse_ARA!$B$2:$C$1328,2,FALSE)</f>
        <v>SH</v>
      </c>
    </row>
    <row r="2588" spans="2:13" x14ac:dyDescent="0.25">
      <c r="B2588" s="31" t="s">
        <v>25743</v>
      </c>
      <c r="C2588" s="20"/>
      <c r="D2588" s="25" t="s">
        <v>4971</v>
      </c>
      <c r="E2588" s="25"/>
      <c r="F2588" s="9" t="str">
        <f>HYPERLINK("https://www.ebi.ac.uk/ols/ontologies/uberon/terms?iri=http://purl.obolibrary.org/obo/UBERON_0019308","septohypothalamic nucleus")</f>
        <v>septohypothalamic nucleus</v>
      </c>
      <c r="G2588" s="9" t="s">
        <v>4970</v>
      </c>
      <c r="H2588" s="9" t="s">
        <v>15544</v>
      </c>
      <c r="I2588" s="9" t="s">
        <v>4971</v>
      </c>
      <c r="J2588" s="9" t="s">
        <v>4972</v>
      </c>
      <c r="K2588" s="4" t="s">
        <v>15175</v>
      </c>
      <c r="L2588" s="13">
        <v>13033</v>
      </c>
      <c r="M2588" t="str">
        <f>VLOOKUP(L2588,[1]Human_BrainSpan!$B$2:$C$4000,2,FALSE)</f>
        <v>SHy</v>
      </c>
    </row>
    <row r="2589" spans="2:13" x14ac:dyDescent="0.25">
      <c r="B2589" s="31" t="s">
        <v>25743</v>
      </c>
      <c r="C2589" s="20"/>
      <c r="D2589" s="25" t="s">
        <v>4971</v>
      </c>
      <c r="E2589" s="25"/>
      <c r="F2589" s="9" t="str">
        <f>HYPERLINK("https://www.ebi.ac.uk/ols/ontologies/uberon/terms?iri=http://purl.obolibrary.org/obo/UBERON_0019308","septohypothalamic nucleus")</f>
        <v>septohypothalamic nucleus</v>
      </c>
      <c r="G2589" s="9" t="s">
        <v>4970</v>
      </c>
      <c r="H2589" s="9" t="s">
        <v>15544</v>
      </c>
      <c r="I2589" s="9" t="s">
        <v>4971</v>
      </c>
      <c r="J2589" s="9" t="s">
        <v>4973</v>
      </c>
      <c r="K2589" s="5" t="s">
        <v>15173</v>
      </c>
      <c r="L2589" s="13">
        <v>15761</v>
      </c>
      <c r="M2589" t="str">
        <f>VLOOKUP(L2589,[1]DevMouse!$B$2:$C$2693,2,FALSE)</f>
        <v>SHy</v>
      </c>
    </row>
    <row r="2590" spans="2:13" x14ac:dyDescent="0.25">
      <c r="B2590" s="31" t="s">
        <v>25743</v>
      </c>
      <c r="C2590" s="20"/>
      <c r="D2590" s="25" t="s">
        <v>1723</v>
      </c>
      <c r="E2590" s="25"/>
      <c r="F2590" s="9" t="str">
        <f>HYPERLINK("https://www.ebi.ac.uk/ols/ontologies/uberon/terms?iri=http://purl.obolibrary.org/obo/UBERON_0004714","septum pellucidum")</f>
        <v>septum pellucidum</v>
      </c>
      <c r="G2590" s="9" t="s">
        <v>4974</v>
      </c>
      <c r="H2590" s="9" t="s">
        <v>23897</v>
      </c>
      <c r="I2590" s="9" t="s">
        <v>1723</v>
      </c>
      <c r="J2590" s="9" t="s">
        <v>1724</v>
      </c>
      <c r="K2590" s="4" t="s">
        <v>15175</v>
      </c>
      <c r="L2590" s="13">
        <v>12098</v>
      </c>
      <c r="M2590" t="str">
        <f>VLOOKUP(L2590,[1]Human_BrainSpan!$B$2:$C$4000,2,FALSE)</f>
        <v>Pell</v>
      </c>
    </row>
    <row r="2591" spans="2:13" x14ac:dyDescent="0.25">
      <c r="B2591" s="31" t="s">
        <v>25743</v>
      </c>
      <c r="C2591" s="20"/>
      <c r="D2591" s="25" t="s">
        <v>4976</v>
      </c>
      <c r="E2591" s="25"/>
      <c r="F2591" s="9" t="str">
        <f>HYPERLINK("https://www.ebi.ac.uk/ols/ontologies/uberon/terms?iri=http://purl.obolibrary.org/obo/UBERON_0012171","shell of nucleus accumbens")</f>
        <v>shell of nucleus accumbens</v>
      </c>
      <c r="G2591" s="9" t="s">
        <v>4975</v>
      </c>
      <c r="H2591" s="9" t="s">
        <v>23263</v>
      </c>
      <c r="I2591" s="9" t="s">
        <v>4976</v>
      </c>
      <c r="J2591" s="9" t="s">
        <v>4977</v>
      </c>
      <c r="K2591" s="4" t="s">
        <v>15175</v>
      </c>
      <c r="L2591" s="13">
        <v>10341</v>
      </c>
      <c r="M2591" t="str">
        <f>VLOOKUP(L2591,[1]Human_BrainSpan!$B$2:$C$4000,2,FALSE)</f>
        <v>NACs</v>
      </c>
    </row>
    <row r="2592" spans="2:13" x14ac:dyDescent="0.25">
      <c r="B2592" s="31" t="s">
        <v>25743</v>
      </c>
      <c r="C2592" s="20"/>
      <c r="D2592" s="25" t="s">
        <v>4976</v>
      </c>
      <c r="E2592" s="25"/>
      <c r="F2592" s="9" t="str">
        <f>HYPERLINK("https://www.ebi.ac.uk/ols/ontologies/uberon/terms?iri=http://purl.obolibrary.org/obo/UBERON_0012171","shell of nucleus accumbens")</f>
        <v>shell of nucleus accumbens</v>
      </c>
      <c r="G2592" s="9" t="s">
        <v>4975</v>
      </c>
      <c r="H2592" s="9" t="s">
        <v>23263</v>
      </c>
      <c r="I2592" s="9" t="s">
        <v>4976</v>
      </c>
      <c r="J2592" s="9" t="s">
        <v>4978</v>
      </c>
      <c r="K2592" s="6" t="s">
        <v>15174</v>
      </c>
      <c r="L2592" s="13">
        <v>10094</v>
      </c>
      <c r="M2592" t="str">
        <f>VLOOKUP(L2592,[1]NonHumanPrimate!$B$2:$C$4000,2,FALSE)</f>
        <v>NACs</v>
      </c>
    </row>
    <row r="2593" spans="2:13" x14ac:dyDescent="0.25">
      <c r="B2593" s="31" t="s">
        <v>25743</v>
      </c>
      <c r="C2593" s="20"/>
      <c r="D2593" s="25" t="s">
        <v>4980</v>
      </c>
      <c r="E2593" s="25"/>
      <c r="F2593" s="9" t="str">
        <f>HYPERLINK("https://www.ebi.ac.uk/ols/ontologies/uberon/terms?iri=http://purl.obolibrary.org/obo/UBERON_0002718","solitary tract")</f>
        <v>solitary tract</v>
      </c>
      <c r="G2593" s="9" t="s">
        <v>4979</v>
      </c>
      <c r="H2593" s="9" t="s">
        <v>18499</v>
      </c>
      <c r="I2593" s="9" t="s">
        <v>4980</v>
      </c>
      <c r="J2593" s="9" t="s">
        <v>4981</v>
      </c>
      <c r="K2593" s="4" t="s">
        <v>15175</v>
      </c>
      <c r="L2593" s="13">
        <v>12783</v>
      </c>
      <c r="M2593" t="str">
        <f>VLOOKUP(L2593,[1]Human_BrainSpan!$B$2:$C$4000,2,FALSE)</f>
        <v>sol</v>
      </c>
    </row>
    <row r="2594" spans="2:13" x14ac:dyDescent="0.25">
      <c r="B2594" s="31" t="s">
        <v>25743</v>
      </c>
      <c r="C2594" s="20"/>
      <c r="D2594" s="25" t="s">
        <v>4980</v>
      </c>
      <c r="E2594" s="25"/>
      <c r="F2594" s="9" t="str">
        <f>HYPERLINK("https://www.ebi.ac.uk/ols/ontologies/uberon/terms?iri=http://purl.obolibrary.org/obo/UBERON_0002718","solitary tract")</f>
        <v>solitary tract</v>
      </c>
      <c r="G2594" s="9" t="s">
        <v>4979</v>
      </c>
      <c r="H2594" s="9" t="s">
        <v>18499</v>
      </c>
      <c r="I2594" s="9" t="s">
        <v>4980</v>
      </c>
      <c r="J2594" s="9" t="s">
        <v>4982</v>
      </c>
      <c r="K2594" s="5" t="s">
        <v>15173</v>
      </c>
      <c r="L2594" s="13">
        <v>17796</v>
      </c>
      <c r="M2594" t="str">
        <f>VLOOKUP(L2594,[1]DevMouse!$B$2:$C$2693,2,FALSE)</f>
        <v>sol</v>
      </c>
    </row>
    <row r="2595" spans="2:13" x14ac:dyDescent="0.25">
      <c r="B2595" s="31" t="s">
        <v>25743</v>
      </c>
      <c r="C2595" s="20"/>
      <c r="D2595" s="25" t="s">
        <v>4980</v>
      </c>
      <c r="E2595" s="25"/>
      <c r="F2595" s="9" t="str">
        <f>HYPERLINK("https://www.ebi.ac.uk/ols/ontologies/uberon/terms?iri=http://purl.obolibrary.org/obo/UBERON_0002718","solitary tract")</f>
        <v>solitary tract</v>
      </c>
      <c r="G2595" s="9" t="s">
        <v>4979</v>
      </c>
      <c r="H2595" s="9" t="s">
        <v>18499</v>
      </c>
      <c r="I2595" s="9" t="s">
        <v>4980</v>
      </c>
      <c r="J2595" s="9" t="s">
        <v>4983</v>
      </c>
      <c r="K2595" s="7" t="s">
        <v>15171</v>
      </c>
      <c r="L2595" s="13">
        <v>265505626</v>
      </c>
      <c r="M2595" t="str">
        <f>VLOOKUP(L2595,[1]HBA!$B$2:$C$4000,2,FALSE)</f>
        <v>sol</v>
      </c>
    </row>
    <row r="2596" spans="2:13" x14ac:dyDescent="0.25">
      <c r="B2596" s="31" t="s">
        <v>25743</v>
      </c>
      <c r="C2596" s="20"/>
      <c r="D2596" s="25" t="s">
        <v>4980</v>
      </c>
      <c r="E2596" s="25"/>
      <c r="F2596" s="9" t="str">
        <f>HYPERLINK("https://www.ebi.ac.uk/ols/ontologies/uberon/terms?iri=http://purl.obolibrary.org/obo/UBERON_0002718","solitary tract")</f>
        <v>solitary tract</v>
      </c>
      <c r="G2596" s="9" t="s">
        <v>4979</v>
      </c>
      <c r="H2596" s="9" t="s">
        <v>20762</v>
      </c>
      <c r="I2596" s="9" t="s">
        <v>4980</v>
      </c>
      <c r="J2596" s="9" t="s">
        <v>4984</v>
      </c>
      <c r="K2596" s="3" t="s">
        <v>15176</v>
      </c>
      <c r="L2596" s="13">
        <v>237</v>
      </c>
      <c r="M2596" t="str">
        <f>VLOOKUP(L2596,[1]Mouse_ARA!$B$2:$C$1328,2,FALSE)</f>
        <v>ts</v>
      </c>
    </row>
    <row r="2597" spans="2:13" x14ac:dyDescent="0.25">
      <c r="B2597" s="31" t="s">
        <v>25743</v>
      </c>
      <c r="C2597" s="20"/>
      <c r="D2597" s="25" t="s">
        <v>26220</v>
      </c>
      <c r="E2597" s="25"/>
      <c r="F2597" s="9" t="str">
        <f>HYPERLINK("https://www.ebi.ac.uk/ols/ontologies/uberon/terms?iri=http://purl.obolibrary.org/obo/UBERON_0008930","somatosensory cortex")</f>
        <v>somatosensory cortex</v>
      </c>
      <c r="G2597" s="9" t="s">
        <v>4985</v>
      </c>
      <c r="H2597" s="9" t="s">
        <v>17787</v>
      </c>
      <c r="I2597" s="9" t="s">
        <v>4986</v>
      </c>
      <c r="J2597" s="9" t="s">
        <v>4987</v>
      </c>
      <c r="K2597" s="3" t="s">
        <v>15176</v>
      </c>
      <c r="L2597" s="13">
        <v>453</v>
      </c>
      <c r="M2597" t="str">
        <f>VLOOKUP(L2597,[1]Mouse_ARA!$B$2:$C$1328,2,FALSE)</f>
        <v>SS</v>
      </c>
    </row>
    <row r="2598" spans="2:13" x14ac:dyDescent="0.25">
      <c r="B2598" s="31" t="s">
        <v>25743</v>
      </c>
      <c r="C2598" s="20"/>
      <c r="D2598" s="25" t="s">
        <v>4989</v>
      </c>
      <c r="E2598" s="25"/>
      <c r="F2598" s="9" t="str">
        <f>HYPERLINK("https://www.ebi.ac.uk/ols/ontologies/uberon/terms?iri=http://purl.obolibrary.org/obo/UBERON_0002240","spinal cord")</f>
        <v>spinal cord</v>
      </c>
      <c r="G2598" s="9" t="s">
        <v>4988</v>
      </c>
      <c r="H2598" s="9" t="s">
        <v>18319</v>
      </c>
      <c r="I2598" s="9" t="s">
        <v>4989</v>
      </c>
      <c r="J2598" s="9" t="s">
        <v>4990</v>
      </c>
      <c r="K2598" s="4" t="s">
        <v>15175</v>
      </c>
      <c r="L2598" s="13">
        <v>12890</v>
      </c>
      <c r="M2598" t="str">
        <f>VLOOKUP(L2598,[1]Human_BrainSpan!$B$2:$C$4000,2,FALSE)</f>
        <v>SpC</v>
      </c>
    </row>
    <row r="2599" spans="2:13" x14ac:dyDescent="0.25">
      <c r="B2599" s="31" t="s">
        <v>25743</v>
      </c>
      <c r="C2599" s="20"/>
      <c r="D2599" s="25" t="s">
        <v>4989</v>
      </c>
      <c r="E2599" s="25"/>
      <c r="F2599" s="9" t="str">
        <f>HYPERLINK("https://www.ebi.ac.uk/ols/ontologies/uberon/terms?iri=http://purl.obolibrary.org/obo/UBERON_0002240","spinal cord")</f>
        <v>spinal cord</v>
      </c>
      <c r="G2599" s="9" t="s">
        <v>4988</v>
      </c>
      <c r="H2599" s="9" t="s">
        <v>18319</v>
      </c>
      <c r="I2599" s="9" t="s">
        <v>4989</v>
      </c>
      <c r="J2599" s="9" t="s">
        <v>4991</v>
      </c>
      <c r="K2599" s="5" t="s">
        <v>15173</v>
      </c>
      <c r="L2599" s="13">
        <v>17651</v>
      </c>
      <c r="M2599" t="str">
        <f>VLOOKUP(L2599,[1]DevMouse!$B$2:$C$2693,2,FALSE)</f>
        <v>SpC</v>
      </c>
    </row>
    <row r="2600" spans="2:13" x14ac:dyDescent="0.25">
      <c r="B2600" s="31" t="s">
        <v>25743</v>
      </c>
      <c r="C2600" s="20"/>
      <c r="D2600" s="25" t="s">
        <v>26221</v>
      </c>
      <c r="E2600" s="25"/>
      <c r="F2600" s="9" t="str">
        <f>HYPERLINK("https://www.ebi.ac.uk/ols/ontologies/uberon/terms?iri=http://purl.obolibrary.org/obo/UBERON_0005373","spinal cord dorsal column")</f>
        <v>spinal cord dorsal column</v>
      </c>
      <c r="G2600" s="9" t="s">
        <v>4992</v>
      </c>
      <c r="H2600" s="9" t="s">
        <v>18450</v>
      </c>
      <c r="I2600" s="9" t="s">
        <v>4700</v>
      </c>
      <c r="J2600" s="9" t="s">
        <v>4701</v>
      </c>
      <c r="K2600" s="3" t="s">
        <v>15176</v>
      </c>
      <c r="L2600" s="13">
        <v>514</v>
      </c>
      <c r="M2600" t="str">
        <f>VLOOKUP(L2600,[1]Mouse_ARA!$B$2:$C$1328,2,FALSE)</f>
        <v>dc</v>
      </c>
    </row>
    <row r="2601" spans="2:13" x14ac:dyDescent="0.25">
      <c r="B2601" s="31" t="s">
        <v>26303</v>
      </c>
      <c r="C2601" s="20"/>
      <c r="D2601" s="25" t="s">
        <v>26222</v>
      </c>
      <c r="E2601" s="25" t="s">
        <v>26309</v>
      </c>
      <c r="F2601" s="9" t="str">
        <f>HYPERLINK("https://www.ebi.ac.uk/ols/ontologies/uberon/terms?iri=http://purl.obolibrary.org/obo/UBERON_0004677","spinal cord gray commissure")</f>
        <v>spinal cord gray commissure</v>
      </c>
      <c r="G2601" s="9" t="s">
        <v>4993</v>
      </c>
      <c r="H2601" s="9" t="s">
        <v>24477</v>
      </c>
      <c r="I2601" s="9" t="s">
        <v>4469</v>
      </c>
      <c r="J2601" s="9" t="s">
        <v>4470</v>
      </c>
      <c r="K2601" s="4" t="s">
        <v>15175</v>
      </c>
      <c r="L2601" s="13">
        <v>12647</v>
      </c>
      <c r="M2601" t="str">
        <f>VLOOKUP(L2601,[1]Human_BrainSpan!$B$2:$C$4000,2,FALSE)</f>
        <v>CGL</v>
      </c>
    </row>
    <row r="2602" spans="2:13" x14ac:dyDescent="0.25">
      <c r="B2602" s="31" t="s">
        <v>26303</v>
      </c>
      <c r="C2602" s="20"/>
      <c r="D2602" s="25" t="s">
        <v>26222</v>
      </c>
      <c r="E2602" s="25" t="s">
        <v>26309</v>
      </c>
      <c r="F2602" s="9" t="str">
        <f>HYPERLINK("https://www.ebi.ac.uk/ols/ontologies/uberon/terms?iri=http://purl.obolibrary.org/obo/UBERON_0004677","spinal cord gray commissure")</f>
        <v>spinal cord gray commissure</v>
      </c>
      <c r="G2602" s="9" t="s">
        <v>4993</v>
      </c>
      <c r="H2602" s="9" t="s">
        <v>25443</v>
      </c>
      <c r="I2602" s="9" t="s">
        <v>4469</v>
      </c>
      <c r="J2602" s="9" t="s">
        <v>4695</v>
      </c>
      <c r="K2602" s="7" t="s">
        <v>15171</v>
      </c>
      <c r="L2602" s="13">
        <v>9525</v>
      </c>
      <c r="M2602" t="str">
        <f>VLOOKUP(L2602,[1]HBA!$B$2:$C$4000,2,FALSE)</f>
        <v>CGS</v>
      </c>
    </row>
    <row r="2603" spans="2:13" x14ac:dyDescent="0.25">
      <c r="B2603" s="31" t="s">
        <v>25743</v>
      </c>
      <c r="C2603" s="20"/>
      <c r="D2603" s="25" t="s">
        <v>26223</v>
      </c>
      <c r="E2603" s="25"/>
      <c r="F2603" s="9" t="str">
        <f>HYPERLINK("https://www.ebi.ac.uk/ols/ontologies/uberon/terms?iri=http://purl.obolibrary.org/obo/UBERON_0004170","spinal cord ventral commissure")</f>
        <v>spinal cord ventral commissure</v>
      </c>
      <c r="G2603" s="9" t="s">
        <v>4994</v>
      </c>
      <c r="H2603" s="9" t="s">
        <v>20775</v>
      </c>
      <c r="I2603" s="9" t="s">
        <v>618</v>
      </c>
      <c r="J2603" s="9" t="s">
        <v>619</v>
      </c>
      <c r="K2603" s="3" t="s">
        <v>15176</v>
      </c>
      <c r="L2603" s="13">
        <v>858</v>
      </c>
      <c r="M2603" t="str">
        <f>VLOOKUP(L2603,[1]Mouse_ARA!$B$2:$C$1328,2,FALSE)</f>
        <v>vc</v>
      </c>
    </row>
    <row r="2604" spans="2:13" x14ac:dyDescent="0.25">
      <c r="B2604" s="31" t="s">
        <v>25743</v>
      </c>
      <c r="C2604" s="20"/>
      <c r="D2604" s="25" t="s">
        <v>26224</v>
      </c>
      <c r="E2604" s="25"/>
      <c r="F2604" s="9" t="str">
        <f>HYPERLINK("https://www.ebi.ac.uk/ols/ontologies/uberon/terms?iri=http://purl.obolibrary.org/obo/UBERON_0009623","spinal nerve root")</f>
        <v>spinal nerve root</v>
      </c>
      <c r="G2604" s="9" t="s">
        <v>4995</v>
      </c>
      <c r="H2604" s="9" t="s">
        <v>24755</v>
      </c>
      <c r="I2604" s="9" t="s">
        <v>973</v>
      </c>
      <c r="J2604" s="9" t="s">
        <v>974</v>
      </c>
      <c r="K2604" s="4" t="s">
        <v>15175</v>
      </c>
      <c r="L2604" s="13">
        <v>146035120</v>
      </c>
      <c r="M2604" t="str">
        <f>VLOOKUP(L2604,[1]Human_BrainSpan!$B$2:$C$4000,2,FALSE)</f>
        <v>rsn</v>
      </c>
    </row>
    <row r="2605" spans="2:13" x14ac:dyDescent="0.25">
      <c r="B2605" s="31" t="s">
        <v>25743</v>
      </c>
      <c r="C2605" s="20"/>
      <c r="D2605" s="25" t="s">
        <v>26225</v>
      </c>
      <c r="E2605" s="25"/>
      <c r="F2605" s="9" t="str">
        <f>HYPERLINK("https://www.ebi.ac.uk/ols/ontologies/uberon/terms?iri=http://purl.obolibrary.org/obo/UBERON_0001717","spinal nucleus of trigeminal nerve")</f>
        <v>spinal nucleus of trigeminal nerve</v>
      </c>
      <c r="G2605" s="9" t="s">
        <v>4996</v>
      </c>
      <c r="H2605" s="9" t="s">
        <v>24405</v>
      </c>
      <c r="I2605" s="9" t="s">
        <v>4997</v>
      </c>
      <c r="J2605" s="9" t="s">
        <v>4998</v>
      </c>
      <c r="K2605" s="4" t="s">
        <v>15175</v>
      </c>
      <c r="L2605" s="13">
        <v>12572</v>
      </c>
      <c r="M2605" t="str">
        <f>VLOOKUP(L2605,[1]Human_BrainSpan!$B$2:$C$4000,2,FALSE)</f>
        <v>Sp5</v>
      </c>
    </row>
    <row r="2606" spans="2:13" x14ac:dyDescent="0.25">
      <c r="B2606" s="31" t="s">
        <v>25743</v>
      </c>
      <c r="C2606" s="20"/>
      <c r="D2606" s="25" t="s">
        <v>26225</v>
      </c>
      <c r="E2606" s="25"/>
      <c r="F2606" s="9" t="str">
        <f>HYPERLINK("https://www.ebi.ac.uk/ols/ontologies/uberon/terms?iri=http://purl.obolibrary.org/obo/UBERON_0001717","spinal nucleus of trigeminal nerve")</f>
        <v>spinal nucleus of trigeminal nerve</v>
      </c>
      <c r="G2606" s="9" t="s">
        <v>4996</v>
      </c>
      <c r="H2606" s="9" t="s">
        <v>24405</v>
      </c>
      <c r="I2606" s="9" t="s">
        <v>4997</v>
      </c>
      <c r="J2606" s="9" t="s">
        <v>4999</v>
      </c>
      <c r="K2606" s="7" t="s">
        <v>15171</v>
      </c>
      <c r="L2606" s="13">
        <v>9676</v>
      </c>
      <c r="M2606" t="str">
        <f>VLOOKUP(L2606,[1]HBA!$B$2:$C$4000,2,FALSE)</f>
        <v>Sp5</v>
      </c>
    </row>
    <row r="2607" spans="2:13" x14ac:dyDescent="0.25">
      <c r="B2607" s="31" t="s">
        <v>25743</v>
      </c>
      <c r="C2607" s="20"/>
      <c r="D2607" s="25" t="s">
        <v>5001</v>
      </c>
      <c r="E2607" s="25"/>
      <c r="F2607" s="9" t="str">
        <f>HYPERLINK("https://www.ebi.ac.uk/ols/ontologies/uberon/terms?iri=http://purl.obolibrary.org/obo/UBERON_0014761","spinal trigeminal tract")</f>
        <v>spinal trigeminal tract</v>
      </c>
      <c r="G2607" s="9" t="s">
        <v>5000</v>
      </c>
      <c r="H2607" s="9" t="s">
        <v>18500</v>
      </c>
      <c r="I2607" s="9" t="s">
        <v>5001</v>
      </c>
      <c r="J2607" s="9" t="s">
        <v>5002</v>
      </c>
      <c r="K2607" s="4" t="s">
        <v>15175</v>
      </c>
      <c r="L2607" s="13">
        <v>12792</v>
      </c>
      <c r="M2607" t="str">
        <f>VLOOKUP(L2607,[1]Human_BrainSpan!$B$2:$C$4000,2,FALSE)</f>
        <v>sp5</v>
      </c>
    </row>
    <row r="2608" spans="2:13" x14ac:dyDescent="0.25">
      <c r="B2608" s="31" t="s">
        <v>25743</v>
      </c>
      <c r="C2608" s="20"/>
      <c r="D2608" s="25" t="s">
        <v>5001</v>
      </c>
      <c r="E2608" s="25"/>
      <c r="F2608" s="9" t="str">
        <f>HYPERLINK("https://www.ebi.ac.uk/ols/ontologies/uberon/terms?iri=http://purl.obolibrary.org/obo/UBERON_0014761","spinal trigeminal tract")</f>
        <v>spinal trigeminal tract</v>
      </c>
      <c r="G2608" s="9" t="s">
        <v>5000</v>
      </c>
      <c r="H2608" s="9" t="s">
        <v>18500</v>
      </c>
      <c r="I2608" s="9" t="s">
        <v>3214</v>
      </c>
      <c r="J2608" s="9" t="s">
        <v>3215</v>
      </c>
      <c r="K2608" s="5" t="s">
        <v>15173</v>
      </c>
      <c r="L2608" s="13">
        <v>17797</v>
      </c>
      <c r="M2608" t="str">
        <f>VLOOKUP(L2608,[1]DevMouse!$B$2:$C$2693,2,FALSE)</f>
        <v>sp5</v>
      </c>
    </row>
    <row r="2609" spans="2:13" x14ac:dyDescent="0.25">
      <c r="B2609" s="31" t="s">
        <v>25743</v>
      </c>
      <c r="C2609" s="20"/>
      <c r="D2609" s="25" t="s">
        <v>5001</v>
      </c>
      <c r="E2609" s="25"/>
      <c r="F2609" s="9" t="str">
        <f>HYPERLINK("https://www.ebi.ac.uk/ols/ontologies/uberon/terms?iri=http://purl.obolibrary.org/obo/UBERON_0014761","spinal trigeminal tract")</f>
        <v>spinal trigeminal tract</v>
      </c>
      <c r="G2609" s="9" t="s">
        <v>5000</v>
      </c>
      <c r="H2609" s="9" t="s">
        <v>18500</v>
      </c>
      <c r="I2609" s="9" t="s">
        <v>5001</v>
      </c>
      <c r="J2609" s="9" t="s">
        <v>5003</v>
      </c>
      <c r="K2609" s="7" t="s">
        <v>15171</v>
      </c>
      <c r="L2609" s="13">
        <v>265505650</v>
      </c>
      <c r="M2609" t="str">
        <f>VLOOKUP(L2609,[1]HBA!$B$2:$C$4000,2,FALSE)</f>
        <v>sp5</v>
      </c>
    </row>
    <row r="2610" spans="2:13" x14ac:dyDescent="0.25">
      <c r="B2610" s="31" t="s">
        <v>25743</v>
      </c>
      <c r="C2610" s="20"/>
      <c r="D2610" s="25" t="s">
        <v>5001</v>
      </c>
      <c r="E2610" s="25"/>
      <c r="F2610" s="9" t="str">
        <f>HYPERLINK("https://www.ebi.ac.uk/ols/ontologies/uberon/terms?iri=http://purl.obolibrary.org/obo/UBERON_0014761","spinal trigeminal tract")</f>
        <v>spinal trigeminal tract</v>
      </c>
      <c r="G2610" s="9" t="s">
        <v>5000</v>
      </c>
      <c r="H2610" s="9" t="s">
        <v>20748</v>
      </c>
      <c r="I2610" s="9" t="s">
        <v>3220</v>
      </c>
      <c r="J2610" s="9" t="s">
        <v>3221</v>
      </c>
      <c r="K2610" s="3" t="s">
        <v>15176</v>
      </c>
      <c r="L2610" s="13">
        <v>794</v>
      </c>
      <c r="M2610" t="str">
        <f>VLOOKUP(L2610,[1]Mouse_ARA!$B$2:$C$1328,2,FALSE)</f>
        <v>sptV</v>
      </c>
    </row>
    <row r="2611" spans="2:13" x14ac:dyDescent="0.25">
      <c r="B2611" s="31" t="s">
        <v>25743</v>
      </c>
      <c r="C2611" s="20"/>
      <c r="D2611" s="25" t="s">
        <v>5005</v>
      </c>
      <c r="E2611" s="25"/>
      <c r="F2611" s="9" t="str">
        <f>HYPERLINK("https://www.ebi.ac.uk/ols/ontologies/uberon/terms?iri=http://purl.obolibrary.org/obo/UBERON_0002719","spino-olivary tract")</f>
        <v>spino-olivary tract</v>
      </c>
      <c r="G2611" s="9" t="s">
        <v>5004</v>
      </c>
      <c r="H2611" s="9" t="s">
        <v>24651</v>
      </c>
      <c r="I2611" s="9" t="s">
        <v>5005</v>
      </c>
      <c r="J2611" s="9" t="s">
        <v>5006</v>
      </c>
      <c r="K2611" s="4" t="s">
        <v>15175</v>
      </c>
      <c r="L2611" s="13">
        <v>12793</v>
      </c>
      <c r="M2611" t="str">
        <f>VLOOKUP(L2611,[1]Human_BrainSpan!$B$2:$C$4000,2,FALSE)</f>
        <v>spol</v>
      </c>
    </row>
    <row r="2612" spans="2:13" x14ac:dyDescent="0.25">
      <c r="B2612" s="31" t="s">
        <v>25743</v>
      </c>
      <c r="C2612" s="20"/>
      <c r="D2612" s="25" t="s">
        <v>5005</v>
      </c>
      <c r="E2612" s="25"/>
      <c r="F2612" s="9" t="str">
        <f>HYPERLINK("https://www.ebi.ac.uk/ols/ontologies/uberon/terms?iri=http://purl.obolibrary.org/obo/UBERON_0002719","spino-olivary tract")</f>
        <v>spino-olivary tract</v>
      </c>
      <c r="G2612" s="9" t="s">
        <v>5004</v>
      </c>
      <c r="H2612" s="9" t="s">
        <v>20788</v>
      </c>
      <c r="I2612" s="9" t="s">
        <v>5007</v>
      </c>
      <c r="J2612" s="9" t="s">
        <v>5008</v>
      </c>
      <c r="K2612" s="3" t="s">
        <v>15176</v>
      </c>
      <c r="L2612" s="13">
        <v>261</v>
      </c>
      <c r="M2612" t="str">
        <f>VLOOKUP(L2612,[1]Mouse_ARA!$B$2:$C$1328,2,FALSE)</f>
        <v>sop</v>
      </c>
    </row>
    <row r="2613" spans="2:13" x14ac:dyDescent="0.25">
      <c r="B2613" s="37" t="s">
        <v>25743</v>
      </c>
      <c r="C2613" s="20"/>
      <c r="D2613" s="25" t="s">
        <v>5010</v>
      </c>
      <c r="E2613" s="25"/>
      <c r="F2613" s="9" t="str">
        <f>HYPERLINK("https://www.ebi.ac.uk/ols/ontologies/uberon/terms?iri=http://purl.obolibrary.org/obo/UBERON_0005413","spinocerebellar tract")</f>
        <v>spinocerebellar tract</v>
      </c>
      <c r="G2613" s="9" t="s">
        <v>5009</v>
      </c>
      <c r="H2613" s="9" t="s">
        <v>20803</v>
      </c>
      <c r="I2613" s="9" t="s">
        <v>5010</v>
      </c>
      <c r="J2613" s="9" t="s">
        <v>5011</v>
      </c>
      <c r="K2613" s="4" t="s">
        <v>15175</v>
      </c>
      <c r="L2613" s="13">
        <v>12749</v>
      </c>
      <c r="M2613" t="str">
        <f>VLOOKUP(L2613,[1]Human_BrainSpan!$B$2:$C$4000,2,FALSE)</f>
        <v>sct</v>
      </c>
    </row>
    <row r="2614" spans="2:13" x14ac:dyDescent="0.25">
      <c r="B2614" s="37" t="s">
        <v>25743</v>
      </c>
      <c r="C2614" s="20"/>
      <c r="D2614" s="25" t="s">
        <v>5010</v>
      </c>
      <c r="E2614" s="25"/>
      <c r="F2614" s="9" t="str">
        <f>HYPERLINK("https://www.ebi.ac.uk/ols/ontologies/uberon/terms?iri=http://purl.obolibrary.org/obo/UBERON_0005413","spinocerebellar tract")</f>
        <v>spinocerebellar tract</v>
      </c>
      <c r="G2614" s="9" t="s">
        <v>5009</v>
      </c>
      <c r="H2614" s="9" t="s">
        <v>20803</v>
      </c>
      <c r="I2614" s="9" t="s">
        <v>5010</v>
      </c>
      <c r="J2614" s="9" t="s">
        <v>5012</v>
      </c>
      <c r="K2614" s="3" t="s">
        <v>15176</v>
      </c>
      <c r="L2614" s="13">
        <v>85</v>
      </c>
      <c r="M2614" t="str">
        <f>VLOOKUP(L2614,[1]Mouse_ARA!$B$2:$C$1328,2,FALSE)</f>
        <v>sct</v>
      </c>
    </row>
    <row r="2615" spans="2:13" x14ac:dyDescent="0.25">
      <c r="B2615" s="31" t="s">
        <v>25743</v>
      </c>
      <c r="C2615" s="20"/>
      <c r="D2615" s="25" t="s">
        <v>5014</v>
      </c>
      <c r="E2615" s="25"/>
      <c r="F2615" s="9" t="str">
        <f>HYPERLINK("https://www.ebi.ac.uk/ols/ontologies/uberon/terms?iri=http://purl.obolibrary.org/obo/UBERON_0007703","spinothalamic tract")</f>
        <v>spinothalamic tract</v>
      </c>
      <c r="G2615" s="9" t="s">
        <v>5013</v>
      </c>
      <c r="H2615" s="9" t="s">
        <v>24648</v>
      </c>
      <c r="I2615" s="9" t="s">
        <v>5014</v>
      </c>
      <c r="J2615" s="9" t="s">
        <v>5015</v>
      </c>
      <c r="K2615" s="4" t="s">
        <v>15175</v>
      </c>
      <c r="L2615" s="13">
        <v>12789</v>
      </c>
      <c r="M2615" t="str">
        <f>VLOOKUP(L2615,[1]Human_BrainSpan!$B$2:$C$4000,2,FALSE)</f>
        <v>spth</v>
      </c>
    </row>
    <row r="2616" spans="2:13" x14ac:dyDescent="0.25">
      <c r="B2616" s="31" t="s">
        <v>25743</v>
      </c>
      <c r="C2616" s="20"/>
      <c r="D2616" s="25" t="s">
        <v>5014</v>
      </c>
      <c r="E2616" s="25"/>
      <c r="F2616" s="9" t="str">
        <f>HYPERLINK("https://www.ebi.ac.uk/ols/ontologies/uberon/terms?iri=http://purl.obolibrary.org/obo/UBERON_0007703","spinothalamic tract")</f>
        <v>spinothalamic tract</v>
      </c>
      <c r="G2616" s="9" t="s">
        <v>5013</v>
      </c>
      <c r="H2616" s="9" t="s">
        <v>20781</v>
      </c>
      <c r="I2616" s="9" t="s">
        <v>5014</v>
      </c>
      <c r="J2616" s="9" t="s">
        <v>5016</v>
      </c>
      <c r="K2616" s="3" t="s">
        <v>15176</v>
      </c>
      <c r="L2616" s="13">
        <v>871</v>
      </c>
      <c r="M2616" t="str">
        <f>VLOOKUP(L2616,[1]Mouse_ARA!$B$2:$C$1328,2,FALSE)</f>
        <v>sst</v>
      </c>
    </row>
    <row r="2617" spans="2:13" x14ac:dyDescent="0.25">
      <c r="B2617" s="31" t="s">
        <v>25743</v>
      </c>
      <c r="C2617" s="20"/>
      <c r="D2617" s="25" t="s">
        <v>26226</v>
      </c>
      <c r="E2617" s="25"/>
      <c r="F2617" s="9" t="str">
        <f>HYPERLINK("https://www.ebi.ac.uk/ols/ontologies/uberon/terms?iri=http://purl.obolibrary.org/obo/UBERON_0002798","spinothalamic tract of pons")</f>
        <v>spinothalamic tract of pons</v>
      </c>
      <c r="G2617" s="9" t="s">
        <v>5017</v>
      </c>
      <c r="H2617" s="9" t="s">
        <v>20793</v>
      </c>
      <c r="I2617" s="9" t="s">
        <v>5018</v>
      </c>
      <c r="J2617" s="9" t="s">
        <v>5019</v>
      </c>
      <c r="K2617" s="3" t="s">
        <v>15176</v>
      </c>
      <c r="L2617" s="13">
        <v>277</v>
      </c>
      <c r="M2617" t="str">
        <f>VLOOKUP(L2617,[1]Mouse_ARA!$B$2:$C$1328,2,FALSE)</f>
        <v>stp</v>
      </c>
    </row>
    <row r="2618" spans="2:13" x14ac:dyDescent="0.25">
      <c r="B2618" s="31" t="s">
        <v>25743</v>
      </c>
      <c r="C2618" s="20"/>
      <c r="D2618" s="25" t="s">
        <v>5023</v>
      </c>
      <c r="E2618" s="25"/>
      <c r="F2618" s="9" t="str">
        <f>HYPERLINK("https://www.ebi.ac.uk/ols/ontologies/uberon/terms?iri=http://purl.obolibrary.org/obo/UBERON_0015708","splenium of the corpus callosum")</f>
        <v>splenium of the corpus callosum</v>
      </c>
      <c r="G2618" s="9" t="s">
        <v>5020</v>
      </c>
      <c r="H2618" s="9" t="s">
        <v>20826</v>
      </c>
      <c r="I2618" s="9" t="s">
        <v>5021</v>
      </c>
      <c r="J2618" s="9" t="s">
        <v>5022</v>
      </c>
      <c r="K2618" s="4" t="s">
        <v>15175</v>
      </c>
      <c r="L2618" s="13">
        <v>10565</v>
      </c>
      <c r="M2618" t="str">
        <f>VLOOKUP(L2618,[1]Human_BrainSpan!$B$2:$C$4000,2,FALSE)</f>
        <v>ccs</v>
      </c>
    </row>
    <row r="2619" spans="2:13" x14ac:dyDescent="0.25">
      <c r="B2619" s="31" t="s">
        <v>25743</v>
      </c>
      <c r="C2619" s="20"/>
      <c r="D2619" s="25" t="s">
        <v>5023</v>
      </c>
      <c r="E2619" s="25"/>
      <c r="F2619" s="9" t="str">
        <f>HYPERLINK("https://www.ebi.ac.uk/ols/ontologies/uberon/terms?iri=http://purl.obolibrary.org/obo/UBERON_0015708","splenium of the corpus callosum")</f>
        <v>splenium of the corpus callosum</v>
      </c>
      <c r="G2619" s="9" t="s">
        <v>5020</v>
      </c>
      <c r="H2619" s="9" t="s">
        <v>25479</v>
      </c>
      <c r="I2619" s="9" t="s">
        <v>5023</v>
      </c>
      <c r="J2619" s="9" t="s">
        <v>5024</v>
      </c>
      <c r="K2619" s="7" t="s">
        <v>15171</v>
      </c>
      <c r="L2619" s="13">
        <v>9225</v>
      </c>
      <c r="M2619" t="str">
        <f>VLOOKUP(L2619,[1]HBA!$B$2:$C$4000,2,FALSE)</f>
        <v>scc</v>
      </c>
    </row>
    <row r="2620" spans="2:13" x14ac:dyDescent="0.25">
      <c r="B2620" s="31" t="s">
        <v>25743</v>
      </c>
      <c r="C2620" s="20"/>
      <c r="D2620" s="25" t="s">
        <v>5023</v>
      </c>
      <c r="E2620" s="25"/>
      <c r="F2620" s="9" t="str">
        <f>HYPERLINK("https://www.ebi.ac.uk/ols/ontologies/uberon/terms?iri=http://purl.obolibrary.org/obo/UBERON_0015708","splenium of the corpus callosum")</f>
        <v>splenium of the corpus callosum</v>
      </c>
      <c r="G2620" s="9" t="s">
        <v>5020</v>
      </c>
      <c r="H2620" s="9" t="s">
        <v>20826</v>
      </c>
      <c r="I2620" s="9" t="s">
        <v>5025</v>
      </c>
      <c r="J2620" s="9" t="s">
        <v>5026</v>
      </c>
      <c r="K2620" s="3" t="s">
        <v>15176</v>
      </c>
      <c r="L2620" s="13">
        <v>986</v>
      </c>
      <c r="M2620" t="str">
        <f>VLOOKUP(L2620,[1]Mouse_ARA!$B$2:$C$1328,2,FALSE)</f>
        <v>ccs</v>
      </c>
    </row>
    <row r="2621" spans="2:13" x14ac:dyDescent="0.25">
      <c r="B2621" s="31" t="s">
        <v>25743</v>
      </c>
      <c r="C2621" s="20"/>
      <c r="D2621" s="25" t="s">
        <v>1679</v>
      </c>
      <c r="E2621" s="25"/>
      <c r="F2621" s="9" t="str">
        <f>HYPERLINK("https://www.ebi.ac.uk/ols/ontologies/uberon/terms?iri=http://purl.obolibrary.org/obo/UBERON_0034798","stratum lacunosum-moleculare of caudal CA1")</f>
        <v>stratum lacunosum-moleculare of caudal CA1</v>
      </c>
      <c r="G2621" s="9" t="s">
        <v>5027</v>
      </c>
      <c r="H2621" s="9" t="s">
        <v>23040</v>
      </c>
      <c r="I2621" s="9" t="s">
        <v>1679</v>
      </c>
      <c r="J2621" s="9" t="s">
        <v>1680</v>
      </c>
      <c r="K2621" s="4" t="s">
        <v>15175</v>
      </c>
      <c r="L2621" s="13">
        <v>11281</v>
      </c>
      <c r="M2621" t="str">
        <f>VLOOKUP(L2621,[1]Human_BrainSpan!$B$2:$C$4000,2,FALSE)</f>
        <v>CA1Cslm</v>
      </c>
    </row>
    <row r="2622" spans="2:13" x14ac:dyDescent="0.25">
      <c r="B2622" s="31" t="s">
        <v>25743</v>
      </c>
      <c r="C2622" s="20"/>
      <c r="D2622" s="25" t="s">
        <v>1695</v>
      </c>
      <c r="E2622" s="25"/>
      <c r="F2622" s="9" t="str">
        <f>HYPERLINK("https://www.ebi.ac.uk/ols/ontologies/uberon/terms?iri=http://purl.obolibrary.org/obo/UBERON_0034803","stratum lacunosum-moleculare of caudal CA2")</f>
        <v>stratum lacunosum-moleculare of caudal CA2</v>
      </c>
      <c r="G2622" s="9" t="s">
        <v>5028</v>
      </c>
      <c r="H2622" s="9" t="s">
        <v>23061</v>
      </c>
      <c r="I2622" s="9" t="s">
        <v>1695</v>
      </c>
      <c r="J2622" s="9" t="s">
        <v>1696</v>
      </c>
      <c r="K2622" s="4" t="s">
        <v>15175</v>
      </c>
      <c r="L2622" s="13">
        <v>11291</v>
      </c>
      <c r="M2622" t="str">
        <f>VLOOKUP(L2622,[1]Human_BrainSpan!$B$2:$C$4000,2,FALSE)</f>
        <v>CA2Cslm</v>
      </c>
    </row>
    <row r="2623" spans="2:13" x14ac:dyDescent="0.25">
      <c r="B2623" s="31" t="s">
        <v>25743</v>
      </c>
      <c r="C2623" s="20"/>
      <c r="D2623" s="25" t="s">
        <v>1713</v>
      </c>
      <c r="E2623" s="25"/>
      <c r="F2623" s="9" t="str">
        <f>HYPERLINK("https://www.ebi.ac.uk/ols/ontologies/uberon/terms?iri=http://purl.obolibrary.org/obo/UBERON_0034808","stratum lacunosum-moleculare of caudal CA3")</f>
        <v>stratum lacunosum-moleculare of caudal CA3</v>
      </c>
      <c r="G2623" s="9" t="s">
        <v>5029</v>
      </c>
      <c r="H2623" s="9" t="s">
        <v>23084</v>
      </c>
      <c r="I2623" s="9" t="s">
        <v>1713</v>
      </c>
      <c r="J2623" s="9" t="s">
        <v>1714</v>
      </c>
      <c r="K2623" s="4" t="s">
        <v>15175</v>
      </c>
      <c r="L2623" s="13">
        <v>11302</v>
      </c>
      <c r="M2623" t="str">
        <f>VLOOKUP(L2623,[1]Human_BrainSpan!$B$2:$C$4000,2,FALSE)</f>
        <v>CA3Cslm</v>
      </c>
    </row>
    <row r="2624" spans="2:13" x14ac:dyDescent="0.25">
      <c r="B2624" s="31" t="s">
        <v>25743</v>
      </c>
      <c r="C2624" s="20"/>
      <c r="D2624" s="25" t="s">
        <v>1671</v>
      </c>
      <c r="E2624" s="25"/>
      <c r="F2624" s="9" t="str">
        <f>HYPERLINK("https://www.ebi.ac.uk/ols/ontologies/uberon/terms?iri=http://purl.obolibrary.org/obo/UBERON_0034828","stratum lacunosum-moleculare of rostral CA1")</f>
        <v>stratum lacunosum-moleculare of rostral CA1</v>
      </c>
      <c r="G2624" s="9" t="s">
        <v>5030</v>
      </c>
      <c r="H2624" s="9" t="s">
        <v>23033</v>
      </c>
      <c r="I2624" s="9" t="s">
        <v>1671</v>
      </c>
      <c r="J2624" s="9" t="s">
        <v>1672</v>
      </c>
      <c r="K2624" s="4" t="s">
        <v>15175</v>
      </c>
      <c r="L2624" s="13">
        <v>11276</v>
      </c>
      <c r="M2624" t="str">
        <f>VLOOKUP(L2624,[1]Human_BrainSpan!$B$2:$C$4000,2,FALSE)</f>
        <v>CA1Rslm</v>
      </c>
    </row>
    <row r="2625" spans="2:13" x14ac:dyDescent="0.25">
      <c r="B2625" s="31" t="s">
        <v>25743</v>
      </c>
      <c r="C2625" s="20"/>
      <c r="D2625" s="25" t="s">
        <v>1687</v>
      </c>
      <c r="E2625" s="25"/>
      <c r="F2625" s="9" t="str">
        <f>HYPERLINK("https://www.ebi.ac.uk/ols/ontologies/uberon/terms?iri=http://purl.obolibrary.org/obo/UBERON_0034833","stratum lacunosum-moleculare of rostral CA2")</f>
        <v>stratum lacunosum-moleculare of rostral CA2</v>
      </c>
      <c r="G2625" s="9" t="s">
        <v>5031</v>
      </c>
      <c r="H2625" s="9" t="s">
        <v>23054</v>
      </c>
      <c r="I2625" s="9" t="s">
        <v>1687</v>
      </c>
      <c r="J2625" s="9" t="s">
        <v>1688</v>
      </c>
      <c r="K2625" s="4" t="s">
        <v>15175</v>
      </c>
      <c r="L2625" s="13">
        <v>11286</v>
      </c>
      <c r="M2625" t="str">
        <f>VLOOKUP(L2625,[1]Human_BrainSpan!$B$2:$C$4000,2,FALSE)</f>
        <v>CA2Rslm</v>
      </c>
    </row>
    <row r="2626" spans="2:13" x14ac:dyDescent="0.25">
      <c r="B2626" s="31" t="s">
        <v>25743</v>
      </c>
      <c r="C2626" s="20"/>
      <c r="D2626" s="25" t="s">
        <v>1703</v>
      </c>
      <c r="E2626" s="25"/>
      <c r="F2626" s="9" t="str">
        <f>HYPERLINK("https://www.ebi.ac.uk/ols/ontologies/uberon/terms?iri=http://purl.obolibrary.org/obo/UBERON_0034838","stratum lacunosum-moleculare of rostral CA3")</f>
        <v>stratum lacunosum-moleculare of rostral CA3</v>
      </c>
      <c r="G2626" s="9" t="s">
        <v>5032</v>
      </c>
      <c r="H2626" s="9" t="s">
        <v>23076</v>
      </c>
      <c r="I2626" s="9" t="s">
        <v>1703</v>
      </c>
      <c r="J2626" s="9" t="s">
        <v>1704</v>
      </c>
      <c r="K2626" s="4" t="s">
        <v>15175</v>
      </c>
      <c r="L2626" s="13">
        <v>11296</v>
      </c>
      <c r="M2626" t="str">
        <f>VLOOKUP(L2626,[1]Human_BrainSpan!$B$2:$C$4000,2,FALSE)</f>
        <v>CA3Rslm</v>
      </c>
    </row>
    <row r="2627" spans="2:13" x14ac:dyDescent="0.25">
      <c r="B2627" s="31" t="s">
        <v>25743</v>
      </c>
      <c r="C2627" s="20"/>
      <c r="D2627" s="25" t="s">
        <v>1725</v>
      </c>
      <c r="E2627" s="25"/>
      <c r="F2627" s="9" t="str">
        <f>HYPERLINK("https://www.ebi.ac.uk/ols/ontologies/uberon/terms?iri=http://purl.obolibrary.org/obo/UBERON_0034858","stratum lacunosum-moleculare of uncal CA1")</f>
        <v>stratum lacunosum-moleculare of uncal CA1</v>
      </c>
      <c r="G2627" s="9" t="s">
        <v>5033</v>
      </c>
      <c r="H2627" s="9" t="s">
        <v>23026</v>
      </c>
      <c r="I2627" s="9" t="s">
        <v>1725</v>
      </c>
      <c r="J2627" s="9" t="s">
        <v>1726</v>
      </c>
      <c r="K2627" s="4" t="s">
        <v>15175</v>
      </c>
      <c r="L2627" s="13">
        <v>266441271</v>
      </c>
      <c r="M2627" t="str">
        <f>VLOOKUP(L2627,[1]Human_BrainSpan!$B$2:$C$4000,2,FALSE)</f>
        <v>CA1Uslm</v>
      </c>
    </row>
    <row r="2628" spans="2:13" x14ac:dyDescent="0.25">
      <c r="B2628" s="31" t="s">
        <v>25743</v>
      </c>
      <c r="C2628" s="20"/>
      <c r="D2628" s="25" t="s">
        <v>1733</v>
      </c>
      <c r="E2628" s="25"/>
      <c r="F2628" s="9" t="str">
        <f>HYPERLINK("https://www.ebi.ac.uk/ols/ontologies/uberon/terms?iri=http://purl.obolibrary.org/obo/UBERON_0034863","stratum lacunosum-moleculare of uncal CA2")</f>
        <v>stratum lacunosum-moleculare of uncal CA2</v>
      </c>
      <c r="G2628" s="9" t="s">
        <v>5034</v>
      </c>
      <c r="H2628" s="9" t="s">
        <v>23047</v>
      </c>
      <c r="I2628" s="9" t="s">
        <v>1733</v>
      </c>
      <c r="J2628" s="9" t="s">
        <v>1734</v>
      </c>
      <c r="K2628" s="4" t="s">
        <v>15175</v>
      </c>
      <c r="L2628" s="13">
        <v>266441315</v>
      </c>
      <c r="M2628" t="str">
        <f>VLOOKUP(L2628,[1]Human_BrainSpan!$B$2:$C$4000,2,FALSE)</f>
        <v>CA2Uslm</v>
      </c>
    </row>
    <row r="2629" spans="2:13" x14ac:dyDescent="0.25">
      <c r="B2629" s="31" t="s">
        <v>25743</v>
      </c>
      <c r="C2629" s="20"/>
      <c r="D2629" s="25" t="s">
        <v>1741</v>
      </c>
      <c r="E2629" s="25"/>
      <c r="F2629" s="9" t="str">
        <f>HYPERLINK("https://www.ebi.ac.uk/ols/ontologies/uberon/terms?iri=http://purl.obolibrary.org/obo/UBERON_0034868","stratum lacunosum-moleculare of uncal CA3")</f>
        <v>stratum lacunosum-moleculare of uncal CA3</v>
      </c>
      <c r="G2629" s="9" t="s">
        <v>5035</v>
      </c>
      <c r="H2629" s="9" t="s">
        <v>23068</v>
      </c>
      <c r="I2629" s="9" t="s">
        <v>1741</v>
      </c>
      <c r="J2629" s="9" t="s">
        <v>1742</v>
      </c>
      <c r="K2629" s="4" t="s">
        <v>15175</v>
      </c>
      <c r="L2629" s="13">
        <v>266441359</v>
      </c>
      <c r="M2629" t="str">
        <f>VLOOKUP(L2629,[1]Human_BrainSpan!$B$2:$C$4000,2,FALSE)</f>
        <v>CA3Uslm</v>
      </c>
    </row>
    <row r="2630" spans="2:13" x14ac:dyDescent="0.25">
      <c r="B2630" s="31" t="s">
        <v>25743</v>
      </c>
      <c r="C2630" s="20"/>
      <c r="D2630" s="25" t="s">
        <v>26227</v>
      </c>
      <c r="E2630" s="25"/>
      <c r="F2630" s="9" t="str">
        <f>HYPERLINK("https://www.ebi.ac.uk/ols/ontologies/uberon/terms?iri=http://purl.obolibrary.org/obo/UBERON_0006782","stratum lemnisci of superior colliculus")</f>
        <v>stratum lemnisci of superior colliculus</v>
      </c>
      <c r="G2630" s="9" t="s">
        <v>5036</v>
      </c>
      <c r="H2630" s="9" t="s">
        <v>25214</v>
      </c>
      <c r="I2630" s="9" t="s">
        <v>5037</v>
      </c>
      <c r="J2630" s="9" t="s">
        <v>5038</v>
      </c>
      <c r="K2630" s="7" t="s">
        <v>15171</v>
      </c>
      <c r="L2630" s="13">
        <v>9116</v>
      </c>
      <c r="M2630" t="str">
        <f>VLOOKUP(L2630,[1]HBA!$B$2:$C$4000,2,FALSE)</f>
        <v>StL</v>
      </c>
    </row>
    <row r="2631" spans="2:13" x14ac:dyDescent="0.25">
      <c r="B2631" s="31" t="s">
        <v>25743</v>
      </c>
      <c r="C2631" s="20" t="s">
        <v>25759</v>
      </c>
      <c r="D2631" s="25" t="s">
        <v>26228</v>
      </c>
      <c r="E2631" s="25"/>
      <c r="F2631" s="9" t="str">
        <f>HYPERLINK("https://www.ebi.ac.uk/ols/ontologies/uberon/terms?iri=http://purl.obolibrary.org/obo/UBERON_0034810","stratum lucidum of caudal CA3")</f>
        <v>stratum lucidum of caudal CA3</v>
      </c>
      <c r="G2631" s="9" t="s">
        <v>5039</v>
      </c>
      <c r="H2631" s="9" t="s">
        <v>23088</v>
      </c>
      <c r="I2631" s="9" t="s">
        <v>1717</v>
      </c>
      <c r="J2631" s="9" t="s">
        <v>1718</v>
      </c>
      <c r="K2631" s="4" t="s">
        <v>15175</v>
      </c>
      <c r="L2631" s="13">
        <v>11304</v>
      </c>
      <c r="M2631" t="str">
        <f>VLOOKUP(L2631,[1]Human_BrainSpan!$B$2:$C$4000,2,FALSE)</f>
        <v>CA3Csl</v>
      </c>
    </row>
    <row r="2632" spans="2:13" x14ac:dyDescent="0.25">
      <c r="B2632" s="31" t="s">
        <v>25743</v>
      </c>
      <c r="C2632" s="20" t="s">
        <v>25759</v>
      </c>
      <c r="D2632" s="25" t="s">
        <v>26229</v>
      </c>
      <c r="E2632" s="25"/>
      <c r="F2632" s="9" t="str">
        <f>HYPERLINK("https://www.ebi.ac.uk/ols/ontologies/uberon/terms?iri=http://purl.obolibrary.org/obo/UBERON_0034840","stratum lucidum of rostral CA3")</f>
        <v>stratum lucidum of rostral CA3</v>
      </c>
      <c r="G2632" s="9" t="s">
        <v>5040</v>
      </c>
      <c r="H2632" s="9" t="s">
        <v>23080</v>
      </c>
      <c r="I2632" s="9" t="s">
        <v>1707</v>
      </c>
      <c r="J2632" s="9" t="s">
        <v>1708</v>
      </c>
      <c r="K2632" s="4" t="s">
        <v>15175</v>
      </c>
      <c r="L2632" s="13">
        <v>11298</v>
      </c>
      <c r="M2632" t="str">
        <f>VLOOKUP(L2632,[1]Human_BrainSpan!$B$2:$C$4000,2,FALSE)</f>
        <v>CA3Rsl</v>
      </c>
    </row>
    <row r="2633" spans="2:13" x14ac:dyDescent="0.25">
      <c r="B2633" s="31" t="s">
        <v>25743</v>
      </c>
      <c r="C2633" s="20" t="s">
        <v>25759</v>
      </c>
      <c r="D2633" s="25" t="s">
        <v>26230</v>
      </c>
      <c r="E2633" s="25"/>
      <c r="F2633" s="9" t="str">
        <f>HYPERLINK("https://www.ebi.ac.uk/ols/ontologies/uberon/terms?iri=http://purl.obolibrary.org/obo/UBERON_0034870","stratum lucidum of uncal CA3")</f>
        <v>stratum lucidum of uncal CA3</v>
      </c>
      <c r="G2633" s="9" t="s">
        <v>5041</v>
      </c>
      <c r="H2633" s="9" t="s">
        <v>23072</v>
      </c>
      <c r="I2633" s="9" t="s">
        <v>1745</v>
      </c>
      <c r="J2633" s="9" t="s">
        <v>1746</v>
      </c>
      <c r="K2633" s="4" t="s">
        <v>15175</v>
      </c>
      <c r="L2633" s="13">
        <v>266441375</v>
      </c>
      <c r="M2633" t="str">
        <f>VLOOKUP(L2633,[1]Human_BrainSpan!$B$2:$C$4000,2,FALSE)</f>
        <v>CA3Usl</v>
      </c>
    </row>
    <row r="2634" spans="2:13" x14ac:dyDescent="0.25">
      <c r="B2634" s="31" t="s">
        <v>25743</v>
      </c>
      <c r="C2634" s="20"/>
      <c r="D2634" s="25" t="s">
        <v>1685</v>
      </c>
      <c r="E2634" s="25"/>
      <c r="F2634" s="9" t="str">
        <f>HYPERLINK("https://www.ebi.ac.uk/ols/ontologies/uberon/terms?iri=http://purl.obolibrary.org/obo/UBERON_0034801","stratum oriens of caudal CA1")</f>
        <v>stratum oriens of caudal CA1</v>
      </c>
      <c r="G2634" s="9" t="s">
        <v>5042</v>
      </c>
      <c r="H2634" s="9" t="s">
        <v>23045</v>
      </c>
      <c r="I2634" s="9" t="s">
        <v>1685</v>
      </c>
      <c r="J2634" s="9" t="s">
        <v>1686</v>
      </c>
      <c r="K2634" s="4" t="s">
        <v>15175</v>
      </c>
      <c r="L2634" s="13">
        <v>11284</v>
      </c>
      <c r="M2634" t="str">
        <f>VLOOKUP(L2634,[1]Human_BrainSpan!$B$2:$C$4000,2,FALSE)</f>
        <v>CA1Cso</v>
      </c>
    </row>
    <row r="2635" spans="2:13" x14ac:dyDescent="0.25">
      <c r="B2635" s="31" t="s">
        <v>25743</v>
      </c>
      <c r="C2635" s="20"/>
      <c r="D2635" s="25" t="s">
        <v>1701</v>
      </c>
      <c r="E2635" s="25"/>
      <c r="F2635" s="9" t="str">
        <f>HYPERLINK("https://www.ebi.ac.uk/ols/ontologies/uberon/terms?iri=http://purl.obolibrary.org/obo/UBERON_0034806","stratum oriens of caudal CA2")</f>
        <v>stratum oriens of caudal CA2</v>
      </c>
      <c r="G2635" s="9" t="s">
        <v>5043</v>
      </c>
      <c r="H2635" s="9" t="s">
        <v>23066</v>
      </c>
      <c r="I2635" s="9" t="s">
        <v>1701</v>
      </c>
      <c r="J2635" s="9" t="s">
        <v>1702</v>
      </c>
      <c r="K2635" s="4" t="s">
        <v>15175</v>
      </c>
      <c r="L2635" s="13">
        <v>11294</v>
      </c>
      <c r="M2635" t="str">
        <f>VLOOKUP(L2635,[1]Human_BrainSpan!$B$2:$C$4000,2,FALSE)</f>
        <v>CA2Cso</v>
      </c>
    </row>
    <row r="2636" spans="2:13" x14ac:dyDescent="0.25">
      <c r="B2636" s="31" t="s">
        <v>25743</v>
      </c>
      <c r="C2636" s="20"/>
      <c r="D2636" s="25" t="s">
        <v>1721</v>
      </c>
      <c r="E2636" s="25"/>
      <c r="F2636" s="9" t="str">
        <f>HYPERLINK("https://www.ebi.ac.uk/ols/ontologies/uberon/terms?iri=http://purl.obolibrary.org/obo/UBERON_0034812","stratum oriens of caudal CA3")</f>
        <v>stratum oriens of caudal CA3</v>
      </c>
      <c r="G2636" s="9" t="s">
        <v>5044</v>
      </c>
      <c r="H2636" s="9" t="s">
        <v>23090</v>
      </c>
      <c r="I2636" s="9" t="s">
        <v>1721</v>
      </c>
      <c r="J2636" s="9" t="s">
        <v>1722</v>
      </c>
      <c r="K2636" s="4" t="s">
        <v>15175</v>
      </c>
      <c r="L2636" s="13">
        <v>11306</v>
      </c>
      <c r="M2636" t="str">
        <f>VLOOKUP(L2636,[1]Human_BrainSpan!$B$2:$C$4000,2,FALSE)</f>
        <v>CA3Cso</v>
      </c>
    </row>
    <row r="2637" spans="2:13" x14ac:dyDescent="0.25">
      <c r="B2637" s="31" t="s">
        <v>25743</v>
      </c>
      <c r="C2637" s="20"/>
      <c r="D2637" s="25" t="s">
        <v>1677</v>
      </c>
      <c r="E2637" s="25"/>
      <c r="F2637" s="9" t="str">
        <f>HYPERLINK("https://www.ebi.ac.uk/ols/ontologies/uberon/terms?iri=http://purl.obolibrary.org/obo/UBERON_0034831","stratum oriens of rostral CA1")</f>
        <v>stratum oriens of rostral CA1</v>
      </c>
      <c r="G2637" s="9" t="s">
        <v>5045</v>
      </c>
      <c r="H2637" s="9" t="s">
        <v>23038</v>
      </c>
      <c r="I2637" s="9" t="s">
        <v>1677</v>
      </c>
      <c r="J2637" s="9" t="s">
        <v>1678</v>
      </c>
      <c r="K2637" s="4" t="s">
        <v>15175</v>
      </c>
      <c r="L2637" s="13">
        <v>11279</v>
      </c>
      <c r="M2637" t="str">
        <f>VLOOKUP(L2637,[1]Human_BrainSpan!$B$2:$C$4000,2,FALSE)</f>
        <v>CA1Rso</v>
      </c>
    </row>
    <row r="2638" spans="2:13" x14ac:dyDescent="0.25">
      <c r="B2638" s="31" t="s">
        <v>25743</v>
      </c>
      <c r="C2638" s="20"/>
      <c r="D2638" s="25" t="s">
        <v>1693</v>
      </c>
      <c r="E2638" s="25"/>
      <c r="F2638" s="9" t="str">
        <f>HYPERLINK("https://www.ebi.ac.uk/ols/ontologies/uberon/terms?iri=http://purl.obolibrary.org/obo/UBERON_0034836","stratum oriens of rostral CA2")</f>
        <v>stratum oriens of rostral CA2</v>
      </c>
      <c r="G2638" s="9" t="s">
        <v>5046</v>
      </c>
      <c r="H2638" s="9" t="s">
        <v>23059</v>
      </c>
      <c r="I2638" s="9" t="s">
        <v>1693</v>
      </c>
      <c r="J2638" s="9" t="s">
        <v>1694</v>
      </c>
      <c r="K2638" s="4" t="s">
        <v>15175</v>
      </c>
      <c r="L2638" s="13">
        <v>11289</v>
      </c>
      <c r="M2638" t="str">
        <f>VLOOKUP(L2638,[1]Human_BrainSpan!$B$2:$C$4000,2,FALSE)</f>
        <v>CA2Rso</v>
      </c>
    </row>
    <row r="2639" spans="2:13" x14ac:dyDescent="0.25">
      <c r="B2639" s="31" t="s">
        <v>25743</v>
      </c>
      <c r="C2639" s="20"/>
      <c r="D2639" s="25" t="s">
        <v>1711</v>
      </c>
      <c r="E2639" s="25"/>
      <c r="F2639" s="9" t="str">
        <f>HYPERLINK("https://www.ebi.ac.uk/ols/ontologies/uberon/terms?iri=http://purl.obolibrary.org/obo/UBERON_0034842","stratum oriens of rostral CA3")</f>
        <v>stratum oriens of rostral CA3</v>
      </c>
      <c r="G2639" s="9" t="s">
        <v>5047</v>
      </c>
      <c r="H2639" s="9" t="s">
        <v>23082</v>
      </c>
      <c r="I2639" s="9" t="s">
        <v>1711</v>
      </c>
      <c r="J2639" s="9" t="s">
        <v>1712</v>
      </c>
      <c r="K2639" s="4" t="s">
        <v>15175</v>
      </c>
      <c r="L2639" s="13">
        <v>11300</v>
      </c>
      <c r="M2639" t="str">
        <f>VLOOKUP(L2639,[1]Human_BrainSpan!$B$2:$C$4000,2,FALSE)</f>
        <v>CA3Rso</v>
      </c>
    </row>
    <row r="2640" spans="2:13" x14ac:dyDescent="0.25">
      <c r="B2640" s="31" t="s">
        <v>25743</v>
      </c>
      <c r="C2640" s="20"/>
      <c r="D2640" s="25" t="s">
        <v>1731</v>
      </c>
      <c r="E2640" s="25"/>
      <c r="F2640" s="9" t="str">
        <f>HYPERLINK("https://www.ebi.ac.uk/ols/ontologies/uberon/terms?iri=http://purl.obolibrary.org/obo/UBERON_0034861","stratum oriens of uncal CA1")</f>
        <v>stratum oriens of uncal CA1</v>
      </c>
      <c r="G2640" s="9" t="s">
        <v>5048</v>
      </c>
      <c r="H2640" s="9" t="s">
        <v>23031</v>
      </c>
      <c r="I2640" s="9" t="s">
        <v>1731</v>
      </c>
      <c r="J2640" s="9" t="s">
        <v>1732</v>
      </c>
      <c r="K2640" s="4" t="s">
        <v>15175</v>
      </c>
      <c r="L2640" s="13">
        <v>266441291</v>
      </c>
      <c r="M2640" t="str">
        <f>VLOOKUP(L2640,[1]Human_BrainSpan!$B$2:$C$4000,2,FALSE)</f>
        <v>CA1Uso</v>
      </c>
    </row>
    <row r="2641" spans="2:13" x14ac:dyDescent="0.25">
      <c r="B2641" s="31" t="s">
        <v>25743</v>
      </c>
      <c r="C2641" s="20"/>
      <c r="D2641" s="25" t="s">
        <v>1739</v>
      </c>
      <c r="E2641" s="25"/>
      <c r="F2641" s="9" t="str">
        <f>HYPERLINK("https://www.ebi.ac.uk/ols/ontologies/uberon/terms?iri=http://purl.obolibrary.org/obo/UBERON_0034866","stratum oriens of uncal CA2")</f>
        <v>stratum oriens of uncal CA2</v>
      </c>
      <c r="G2641" s="9" t="s">
        <v>5049</v>
      </c>
      <c r="H2641" s="9" t="s">
        <v>23052</v>
      </c>
      <c r="I2641" s="9" t="s">
        <v>1739</v>
      </c>
      <c r="J2641" s="9" t="s">
        <v>1740</v>
      </c>
      <c r="K2641" s="4" t="s">
        <v>15175</v>
      </c>
      <c r="L2641" s="13">
        <v>266441335</v>
      </c>
      <c r="M2641" t="str">
        <f>VLOOKUP(L2641,[1]Human_BrainSpan!$B$2:$C$4000,2,FALSE)</f>
        <v>CA2Uso</v>
      </c>
    </row>
    <row r="2642" spans="2:13" x14ac:dyDescent="0.25">
      <c r="B2642" s="31" t="s">
        <v>25743</v>
      </c>
      <c r="C2642" s="20"/>
      <c r="D2642" s="25" t="s">
        <v>1749</v>
      </c>
      <c r="E2642" s="25"/>
      <c r="F2642" s="9" t="str">
        <f>HYPERLINK("https://www.ebi.ac.uk/ols/ontologies/uberon/terms?iri=http://purl.obolibrary.org/obo/UBERON_0034872","stratum oriens of uncal CA3")</f>
        <v>stratum oriens of uncal CA3</v>
      </c>
      <c r="G2642" s="9" t="s">
        <v>5050</v>
      </c>
      <c r="H2642" s="9" t="s">
        <v>23074</v>
      </c>
      <c r="I2642" s="9" t="s">
        <v>1749</v>
      </c>
      <c r="J2642" s="9" t="s">
        <v>1750</v>
      </c>
      <c r="K2642" s="4" t="s">
        <v>15175</v>
      </c>
      <c r="L2642" s="13">
        <v>266441383</v>
      </c>
      <c r="M2642" t="str">
        <f>VLOOKUP(L2642,[1]Human_BrainSpan!$B$2:$C$4000,2,FALSE)</f>
        <v>CA3Uso</v>
      </c>
    </row>
    <row r="2643" spans="2:13" x14ac:dyDescent="0.25">
      <c r="B2643" s="31" t="s">
        <v>25743</v>
      </c>
      <c r="C2643" s="34"/>
      <c r="D2643" s="35" t="s">
        <v>1683</v>
      </c>
      <c r="E2643" s="35"/>
      <c r="F2643" s="9" t="str">
        <f>HYPERLINK("https://www.ebi.ac.uk/ols/ontologies/uberon/terms?iri=http://purl.obolibrary.org/obo/UBERON_0034800","stratum pyramidale of caudal CA1")</f>
        <v>stratum pyramidale of caudal CA1</v>
      </c>
      <c r="G2643" s="9" t="s">
        <v>5051</v>
      </c>
      <c r="H2643" s="9" t="s">
        <v>23044</v>
      </c>
      <c r="I2643" s="9" t="s">
        <v>1683</v>
      </c>
      <c r="J2643" s="9" t="s">
        <v>1684</v>
      </c>
      <c r="K2643" s="4" t="s">
        <v>15175</v>
      </c>
      <c r="L2643" s="13">
        <v>11283</v>
      </c>
      <c r="M2643" t="str">
        <f>VLOOKUP(L2643,[1]Human_BrainSpan!$B$2:$C$4000,2,FALSE)</f>
        <v>CA1Csp</v>
      </c>
    </row>
    <row r="2644" spans="2:13" x14ac:dyDescent="0.25">
      <c r="B2644" s="31" t="s">
        <v>25743</v>
      </c>
      <c r="C2644" s="34"/>
      <c r="D2644" s="35" t="s">
        <v>1699</v>
      </c>
      <c r="E2644" s="35"/>
      <c r="F2644" s="9" t="str">
        <f>HYPERLINK("https://www.ebi.ac.uk/ols/ontologies/uberon/terms?iri=http://purl.obolibrary.org/obo/UBERON_0034805","stratum pyramidale of caudal CA2")</f>
        <v>stratum pyramidale of caudal CA2</v>
      </c>
      <c r="G2644" s="9" t="s">
        <v>5052</v>
      </c>
      <c r="H2644" s="9" t="s">
        <v>23065</v>
      </c>
      <c r="I2644" s="9" t="s">
        <v>1699</v>
      </c>
      <c r="J2644" s="9" t="s">
        <v>1700</v>
      </c>
      <c r="K2644" s="4" t="s">
        <v>15175</v>
      </c>
      <c r="L2644" s="13">
        <v>11293</v>
      </c>
      <c r="M2644" t="str">
        <f>VLOOKUP(L2644,[1]Human_BrainSpan!$B$2:$C$4000,2,FALSE)</f>
        <v>CA2Csp</v>
      </c>
    </row>
    <row r="2645" spans="2:13" x14ac:dyDescent="0.25">
      <c r="B2645" s="31" t="s">
        <v>25743</v>
      </c>
      <c r="C2645" s="34"/>
      <c r="D2645" s="35" t="s">
        <v>1719</v>
      </c>
      <c r="E2645" s="35"/>
      <c r="F2645" s="9" t="str">
        <f>HYPERLINK("https://www.ebi.ac.uk/ols/ontologies/uberon/terms?iri=http://purl.obolibrary.org/obo/UBERON_0034811","stratum pyramidale of caudal CA3")</f>
        <v>stratum pyramidale of caudal CA3</v>
      </c>
      <c r="G2645" s="9" t="s">
        <v>5053</v>
      </c>
      <c r="H2645" s="9" t="s">
        <v>23089</v>
      </c>
      <c r="I2645" s="9" t="s">
        <v>1719</v>
      </c>
      <c r="J2645" s="9" t="s">
        <v>1720</v>
      </c>
      <c r="K2645" s="4" t="s">
        <v>15175</v>
      </c>
      <c r="L2645" s="13">
        <v>11305</v>
      </c>
      <c r="M2645" t="str">
        <f>VLOOKUP(L2645,[1]Human_BrainSpan!$B$2:$C$4000,2,FALSE)</f>
        <v>CA3Csp</v>
      </c>
    </row>
    <row r="2646" spans="2:13" x14ac:dyDescent="0.25">
      <c r="B2646" s="31" t="s">
        <v>25743</v>
      </c>
      <c r="C2646" s="34"/>
      <c r="D2646" s="35" t="s">
        <v>1675</v>
      </c>
      <c r="E2646" s="35"/>
      <c r="F2646" s="9" t="str">
        <f>HYPERLINK("https://www.ebi.ac.uk/ols/ontologies/uberon/terms?iri=http://purl.obolibrary.org/obo/UBERON_0034830","stratum pyramidale of rostral CA1")</f>
        <v>stratum pyramidale of rostral CA1</v>
      </c>
      <c r="G2646" s="9" t="s">
        <v>5054</v>
      </c>
      <c r="H2646" s="9" t="s">
        <v>23037</v>
      </c>
      <c r="I2646" s="9" t="s">
        <v>1675</v>
      </c>
      <c r="J2646" s="9" t="s">
        <v>1676</v>
      </c>
      <c r="K2646" s="4" t="s">
        <v>15175</v>
      </c>
      <c r="L2646" s="13">
        <v>11278</v>
      </c>
      <c r="M2646" t="str">
        <f>VLOOKUP(L2646,[1]Human_BrainSpan!$B$2:$C$4000,2,FALSE)</f>
        <v>CA1Rsp</v>
      </c>
    </row>
    <row r="2647" spans="2:13" x14ac:dyDescent="0.25">
      <c r="B2647" s="31" t="s">
        <v>25743</v>
      </c>
      <c r="C2647" s="34"/>
      <c r="D2647" s="35" t="s">
        <v>1691</v>
      </c>
      <c r="E2647" s="35"/>
      <c r="F2647" s="9" t="str">
        <f>HYPERLINK("https://www.ebi.ac.uk/ols/ontologies/uberon/terms?iri=http://purl.obolibrary.org/obo/UBERON_0034835","stratum pyramidale of rostral CA2")</f>
        <v>stratum pyramidale of rostral CA2</v>
      </c>
      <c r="G2647" s="9" t="s">
        <v>5055</v>
      </c>
      <c r="H2647" s="9" t="s">
        <v>23058</v>
      </c>
      <c r="I2647" s="9" t="s">
        <v>1691</v>
      </c>
      <c r="J2647" s="9" t="s">
        <v>1692</v>
      </c>
      <c r="K2647" s="4" t="s">
        <v>15175</v>
      </c>
      <c r="L2647" s="13">
        <v>11288</v>
      </c>
      <c r="M2647" t="str">
        <f>VLOOKUP(L2647,[1]Human_BrainSpan!$B$2:$C$4000,2,FALSE)</f>
        <v>CA2Rsp</v>
      </c>
    </row>
    <row r="2648" spans="2:13" x14ac:dyDescent="0.25">
      <c r="B2648" s="31" t="s">
        <v>25743</v>
      </c>
      <c r="C2648" s="34"/>
      <c r="D2648" s="35" t="s">
        <v>1709</v>
      </c>
      <c r="E2648" s="35"/>
      <c r="F2648" s="9" t="str">
        <f>HYPERLINK("https://www.ebi.ac.uk/ols/ontologies/uberon/terms?iri=http://purl.obolibrary.org/obo/UBERON_0034841","stratum pyramidale of rostral CA3")</f>
        <v>stratum pyramidale of rostral CA3</v>
      </c>
      <c r="G2648" s="9" t="s">
        <v>5056</v>
      </c>
      <c r="H2648" s="9" t="s">
        <v>23081</v>
      </c>
      <c r="I2648" s="9" t="s">
        <v>1709</v>
      </c>
      <c r="J2648" s="9" t="s">
        <v>1710</v>
      </c>
      <c r="K2648" s="4" t="s">
        <v>15175</v>
      </c>
      <c r="L2648" s="13">
        <v>11299</v>
      </c>
      <c r="M2648" t="str">
        <f>VLOOKUP(L2648,[1]Human_BrainSpan!$B$2:$C$4000,2,FALSE)</f>
        <v>CA3Rsp</v>
      </c>
    </row>
    <row r="2649" spans="2:13" x14ac:dyDescent="0.25">
      <c r="B2649" s="31" t="s">
        <v>25743</v>
      </c>
      <c r="C2649" s="34"/>
      <c r="D2649" s="35" t="s">
        <v>1729</v>
      </c>
      <c r="E2649" s="35"/>
      <c r="F2649" s="9" t="str">
        <f>HYPERLINK("https://www.ebi.ac.uk/ols/ontologies/uberon/terms?iri=http://purl.obolibrary.org/obo/UBERON_0034860","stratum pyramidale of uncal CA1")</f>
        <v>stratum pyramidale of uncal CA1</v>
      </c>
      <c r="G2649" s="9" t="s">
        <v>5057</v>
      </c>
      <c r="H2649" s="9" t="s">
        <v>23030</v>
      </c>
      <c r="I2649" s="9" t="s">
        <v>1729</v>
      </c>
      <c r="J2649" s="9" t="s">
        <v>1730</v>
      </c>
      <c r="K2649" s="4" t="s">
        <v>15175</v>
      </c>
      <c r="L2649" s="13">
        <v>266441287</v>
      </c>
      <c r="M2649" t="str">
        <f>VLOOKUP(L2649,[1]Human_BrainSpan!$B$2:$C$4000,2,FALSE)</f>
        <v>CA1Usp</v>
      </c>
    </row>
    <row r="2650" spans="2:13" x14ac:dyDescent="0.25">
      <c r="B2650" s="31" t="s">
        <v>25743</v>
      </c>
      <c r="C2650" s="34"/>
      <c r="D2650" s="35" t="s">
        <v>1737</v>
      </c>
      <c r="E2650" s="35"/>
      <c r="F2650" s="9" t="str">
        <f>HYPERLINK("https://www.ebi.ac.uk/ols/ontologies/uberon/terms?iri=http://purl.obolibrary.org/obo/UBERON_0034865","stratum pyramidale of uncal CA2")</f>
        <v>stratum pyramidale of uncal CA2</v>
      </c>
      <c r="G2650" s="9" t="s">
        <v>5058</v>
      </c>
      <c r="H2650" s="9" t="s">
        <v>23051</v>
      </c>
      <c r="I2650" s="9" t="s">
        <v>1737</v>
      </c>
      <c r="J2650" s="9" t="s">
        <v>1738</v>
      </c>
      <c r="K2650" s="4" t="s">
        <v>15175</v>
      </c>
      <c r="L2650" s="13">
        <v>266441331</v>
      </c>
      <c r="M2650" t="str">
        <f>VLOOKUP(L2650,[1]Human_BrainSpan!$B$2:$C$4000,2,FALSE)</f>
        <v>CA2Usp</v>
      </c>
    </row>
    <row r="2651" spans="2:13" x14ac:dyDescent="0.25">
      <c r="B2651" s="31" t="s">
        <v>25743</v>
      </c>
      <c r="C2651" s="34"/>
      <c r="D2651" s="35" t="s">
        <v>1747</v>
      </c>
      <c r="E2651" s="35"/>
      <c r="F2651" s="9" t="str">
        <f>HYPERLINK("https://www.ebi.ac.uk/ols/ontologies/uberon/terms?iri=http://purl.obolibrary.org/obo/UBERON_0034871","stratum pyramidale of uncal CA3")</f>
        <v>stratum pyramidale of uncal CA3</v>
      </c>
      <c r="G2651" s="9" t="s">
        <v>5059</v>
      </c>
      <c r="H2651" s="9" t="s">
        <v>23073</v>
      </c>
      <c r="I2651" s="9" t="s">
        <v>1747</v>
      </c>
      <c r="J2651" s="9" t="s">
        <v>1748</v>
      </c>
      <c r="K2651" s="4" t="s">
        <v>15175</v>
      </c>
      <c r="L2651" s="13">
        <v>266441379</v>
      </c>
      <c r="M2651" t="str">
        <f>VLOOKUP(L2651,[1]Human_BrainSpan!$B$2:$C$4000,2,FALSE)</f>
        <v>CA3Usp</v>
      </c>
    </row>
    <row r="2652" spans="2:13" x14ac:dyDescent="0.25">
      <c r="B2652" s="31" t="s">
        <v>25743</v>
      </c>
      <c r="C2652" s="20"/>
      <c r="D2652" s="25" t="s">
        <v>1681</v>
      </c>
      <c r="E2652" s="25"/>
      <c r="F2652" s="9" t="str">
        <f>HYPERLINK("https://www.ebi.ac.uk/ols/ontologies/uberon/terms?iri=http://purl.obolibrary.org/obo/UBERON_0034799","stratum radiatum of caudal CA1")</f>
        <v>stratum radiatum of caudal CA1</v>
      </c>
      <c r="G2652" s="9" t="s">
        <v>5060</v>
      </c>
      <c r="H2652" s="9" t="s">
        <v>23043</v>
      </c>
      <c r="I2652" s="9" t="s">
        <v>1681</v>
      </c>
      <c r="J2652" s="9" t="s">
        <v>1682</v>
      </c>
      <c r="K2652" s="4" t="s">
        <v>15175</v>
      </c>
      <c r="L2652" s="13">
        <v>11282</v>
      </c>
      <c r="M2652" t="str">
        <f>VLOOKUP(L2652,[1]Human_BrainSpan!$B$2:$C$4000,2,FALSE)</f>
        <v>CA1Csr</v>
      </c>
    </row>
    <row r="2653" spans="2:13" x14ac:dyDescent="0.25">
      <c r="B2653" s="31" t="s">
        <v>25743</v>
      </c>
      <c r="C2653" s="20"/>
      <c r="D2653" s="25" t="s">
        <v>1697</v>
      </c>
      <c r="E2653" s="25"/>
      <c r="F2653" s="9" t="str">
        <f>HYPERLINK("https://www.ebi.ac.uk/ols/ontologies/uberon/terms?iri=http://purl.obolibrary.org/obo/UBERON_0034804","stratum radiatum of caudal CA2")</f>
        <v>stratum radiatum of caudal CA2</v>
      </c>
      <c r="G2653" s="9" t="s">
        <v>5061</v>
      </c>
      <c r="H2653" s="9" t="s">
        <v>23064</v>
      </c>
      <c r="I2653" s="9" t="s">
        <v>1697</v>
      </c>
      <c r="J2653" s="9" t="s">
        <v>1698</v>
      </c>
      <c r="K2653" s="4" t="s">
        <v>15175</v>
      </c>
      <c r="L2653" s="13">
        <v>11292</v>
      </c>
      <c r="M2653" t="str">
        <f>VLOOKUP(L2653,[1]Human_BrainSpan!$B$2:$C$4000,2,FALSE)</f>
        <v>CA2Csr</v>
      </c>
    </row>
    <row r="2654" spans="2:13" x14ac:dyDescent="0.25">
      <c r="B2654" s="31" t="s">
        <v>25743</v>
      </c>
      <c r="C2654" s="20"/>
      <c r="D2654" s="25" t="s">
        <v>1715</v>
      </c>
      <c r="E2654" s="25"/>
      <c r="F2654" s="9" t="str">
        <f>HYPERLINK("https://www.ebi.ac.uk/ols/ontologies/uberon/terms?iri=http://purl.obolibrary.org/obo/UBERON_0034809","stratum radiatum of caudal CA3")</f>
        <v>stratum radiatum of caudal CA3</v>
      </c>
      <c r="G2654" s="9" t="s">
        <v>5062</v>
      </c>
      <c r="H2654" s="9" t="s">
        <v>23087</v>
      </c>
      <c r="I2654" s="9" t="s">
        <v>1715</v>
      </c>
      <c r="J2654" s="9" t="s">
        <v>1716</v>
      </c>
      <c r="K2654" s="4" t="s">
        <v>15175</v>
      </c>
      <c r="L2654" s="13">
        <v>11303</v>
      </c>
      <c r="M2654" t="str">
        <f>VLOOKUP(L2654,[1]Human_BrainSpan!$B$2:$C$4000,2,FALSE)</f>
        <v>CA3Csr</v>
      </c>
    </row>
    <row r="2655" spans="2:13" x14ac:dyDescent="0.25">
      <c r="B2655" s="31" t="s">
        <v>25743</v>
      </c>
      <c r="C2655" s="20"/>
      <c r="D2655" s="25" t="s">
        <v>1673</v>
      </c>
      <c r="E2655" s="25"/>
      <c r="F2655" s="9" t="str">
        <f>HYPERLINK("https://www.ebi.ac.uk/ols/ontologies/uberon/terms?iri=http://purl.obolibrary.org/obo/UBERON_0034829","stratum radiatum of rostral CA1")</f>
        <v>stratum radiatum of rostral CA1</v>
      </c>
      <c r="G2655" s="9" t="s">
        <v>5063</v>
      </c>
      <c r="H2655" s="9" t="s">
        <v>23036</v>
      </c>
      <c r="I2655" s="9" t="s">
        <v>1673</v>
      </c>
      <c r="J2655" s="9" t="s">
        <v>1674</v>
      </c>
      <c r="K2655" s="4" t="s">
        <v>15175</v>
      </c>
      <c r="L2655" s="13">
        <v>11277</v>
      </c>
      <c r="M2655" t="str">
        <f>VLOOKUP(L2655,[1]Human_BrainSpan!$B$2:$C$4000,2,FALSE)</f>
        <v>CA1Rsr</v>
      </c>
    </row>
    <row r="2656" spans="2:13" x14ac:dyDescent="0.25">
      <c r="B2656" s="31" t="s">
        <v>25743</v>
      </c>
      <c r="C2656" s="20"/>
      <c r="D2656" s="25" t="s">
        <v>1689</v>
      </c>
      <c r="E2656" s="25"/>
      <c r="F2656" s="9" t="str">
        <f>HYPERLINK("https://www.ebi.ac.uk/ols/ontologies/uberon/terms?iri=http://purl.obolibrary.org/obo/UBERON_0034834","stratum radiatum of rostral CA2")</f>
        <v>stratum radiatum of rostral CA2</v>
      </c>
      <c r="G2656" s="9" t="s">
        <v>5064</v>
      </c>
      <c r="H2656" s="9" t="s">
        <v>23057</v>
      </c>
      <c r="I2656" s="9" t="s">
        <v>1689</v>
      </c>
      <c r="J2656" s="9" t="s">
        <v>1690</v>
      </c>
      <c r="K2656" s="4" t="s">
        <v>15175</v>
      </c>
      <c r="L2656" s="13">
        <v>11287</v>
      </c>
      <c r="M2656" t="str">
        <f>VLOOKUP(L2656,[1]Human_BrainSpan!$B$2:$C$4000,2,FALSE)</f>
        <v>CA2Rsr</v>
      </c>
    </row>
    <row r="2657" spans="2:13" x14ac:dyDescent="0.25">
      <c r="B2657" s="31" t="s">
        <v>25743</v>
      </c>
      <c r="C2657" s="20"/>
      <c r="D2657" s="25" t="s">
        <v>1705</v>
      </c>
      <c r="E2657" s="25"/>
      <c r="F2657" s="9" t="str">
        <f>HYPERLINK("https://www.ebi.ac.uk/ols/ontologies/uberon/terms?iri=http://purl.obolibrary.org/obo/UBERON_0034839","stratum radiatum of rostral CA3")</f>
        <v>stratum radiatum of rostral CA3</v>
      </c>
      <c r="G2657" s="9" t="s">
        <v>5065</v>
      </c>
      <c r="H2657" s="9" t="s">
        <v>23079</v>
      </c>
      <c r="I2657" s="9" t="s">
        <v>1705</v>
      </c>
      <c r="J2657" s="9" t="s">
        <v>1706</v>
      </c>
      <c r="K2657" s="4" t="s">
        <v>15175</v>
      </c>
      <c r="L2657" s="13">
        <v>11297</v>
      </c>
      <c r="M2657" t="str">
        <f>VLOOKUP(L2657,[1]Human_BrainSpan!$B$2:$C$4000,2,FALSE)</f>
        <v>CA3Rsr</v>
      </c>
    </row>
    <row r="2658" spans="2:13" x14ac:dyDescent="0.25">
      <c r="B2658" s="31" t="s">
        <v>25743</v>
      </c>
      <c r="C2658" s="20"/>
      <c r="D2658" s="25" t="s">
        <v>1727</v>
      </c>
      <c r="E2658" s="25"/>
      <c r="F2658" s="9" t="str">
        <f>HYPERLINK("https://www.ebi.ac.uk/ols/ontologies/uberon/terms?iri=http://purl.obolibrary.org/obo/UBERON_0034859","stratum radiatum of uncal CA1")</f>
        <v>stratum radiatum of uncal CA1</v>
      </c>
      <c r="G2658" s="9" t="s">
        <v>5066</v>
      </c>
      <c r="H2658" s="9" t="s">
        <v>23029</v>
      </c>
      <c r="I2658" s="9" t="s">
        <v>1727</v>
      </c>
      <c r="J2658" s="9" t="s">
        <v>1728</v>
      </c>
      <c r="K2658" s="4" t="s">
        <v>15175</v>
      </c>
      <c r="L2658" s="13">
        <v>266441283</v>
      </c>
      <c r="M2658" t="str">
        <f>VLOOKUP(L2658,[1]Human_BrainSpan!$B$2:$C$4000,2,FALSE)</f>
        <v>CA1Usr</v>
      </c>
    </row>
    <row r="2659" spans="2:13" x14ac:dyDescent="0.25">
      <c r="B2659" s="31" t="s">
        <v>25743</v>
      </c>
      <c r="C2659" s="20"/>
      <c r="D2659" s="25" t="s">
        <v>1735</v>
      </c>
      <c r="E2659" s="25"/>
      <c r="F2659" s="9" t="str">
        <f>HYPERLINK("https://www.ebi.ac.uk/ols/ontologies/uberon/terms?iri=http://purl.obolibrary.org/obo/UBERON_0034864","stratum radiatum of uncal CA2")</f>
        <v>stratum radiatum of uncal CA2</v>
      </c>
      <c r="G2659" s="9" t="s">
        <v>5067</v>
      </c>
      <c r="H2659" s="9" t="s">
        <v>23050</v>
      </c>
      <c r="I2659" s="9" t="s">
        <v>1735</v>
      </c>
      <c r="J2659" s="9" t="s">
        <v>1736</v>
      </c>
      <c r="K2659" s="4" t="s">
        <v>15175</v>
      </c>
      <c r="L2659" s="13">
        <v>266441327</v>
      </c>
      <c r="M2659" t="str">
        <f>VLOOKUP(L2659,[1]Human_BrainSpan!$B$2:$C$4000,2,FALSE)</f>
        <v>CA2Usr</v>
      </c>
    </row>
    <row r="2660" spans="2:13" x14ac:dyDescent="0.25">
      <c r="B2660" s="31" t="s">
        <v>25743</v>
      </c>
      <c r="C2660" s="20"/>
      <c r="D2660" s="25" t="s">
        <v>1743</v>
      </c>
      <c r="E2660" s="25"/>
      <c r="F2660" s="9" t="str">
        <f>HYPERLINK("https://www.ebi.ac.uk/ols/ontologies/uberon/terms?iri=http://purl.obolibrary.org/obo/UBERON_0034869","stratum radiatum of uncal CA3")</f>
        <v>stratum radiatum of uncal CA3</v>
      </c>
      <c r="G2660" s="9" t="s">
        <v>5068</v>
      </c>
      <c r="H2660" s="9" t="s">
        <v>23071</v>
      </c>
      <c r="I2660" s="9" t="s">
        <v>1743</v>
      </c>
      <c r="J2660" s="9" t="s">
        <v>1744</v>
      </c>
      <c r="K2660" s="4" t="s">
        <v>15175</v>
      </c>
      <c r="L2660" s="13">
        <v>266441371</v>
      </c>
      <c r="M2660" t="str">
        <f>VLOOKUP(L2660,[1]Human_BrainSpan!$B$2:$C$4000,2,FALSE)</f>
        <v>CA3Usr</v>
      </c>
    </row>
    <row r="2661" spans="2:13" x14ac:dyDescent="0.25">
      <c r="B2661" s="31" t="s">
        <v>25743</v>
      </c>
      <c r="C2661" s="20"/>
      <c r="D2661" s="25" t="s">
        <v>5070</v>
      </c>
      <c r="E2661" s="25"/>
      <c r="F2661" s="9" t="str">
        <f>HYPERLINK("https://www.ebi.ac.uk/ols/ontologies/uberon/terms?iri=http://purl.obolibrary.org/obo/UBERON_0002801","stratum zonale of thalamus")</f>
        <v>stratum zonale of thalamus</v>
      </c>
      <c r="G2661" s="9" t="s">
        <v>5069</v>
      </c>
      <c r="H2661" s="9" t="s">
        <v>23640</v>
      </c>
      <c r="I2661" s="9" t="s">
        <v>5070</v>
      </c>
      <c r="J2661" s="9" t="s">
        <v>5071</v>
      </c>
      <c r="K2661" s="4" t="s">
        <v>15175</v>
      </c>
      <c r="L2661" s="13">
        <v>12085</v>
      </c>
      <c r="M2661" t="str">
        <f>VLOOKUP(L2661,[1]Human_BrainSpan!$B$2:$C$4000,2,FALSE)</f>
        <v>szt</v>
      </c>
    </row>
    <row r="2662" spans="2:13" x14ac:dyDescent="0.25">
      <c r="B2662" s="31" t="s">
        <v>25743</v>
      </c>
      <c r="C2662" s="20"/>
      <c r="D2662" s="25" t="s">
        <v>5070</v>
      </c>
      <c r="E2662" s="25"/>
      <c r="F2662" s="9" t="str">
        <f>HYPERLINK("https://www.ebi.ac.uk/ols/ontologies/uberon/terms?iri=http://purl.obolibrary.org/obo/UBERON_0002801","stratum zonale of thalamus")</f>
        <v>stratum zonale of thalamus</v>
      </c>
      <c r="G2662" s="9" t="s">
        <v>5069</v>
      </c>
      <c r="H2662" s="9" t="s">
        <v>23640</v>
      </c>
      <c r="I2662" s="9" t="s">
        <v>5070</v>
      </c>
      <c r="J2662" s="9" t="s">
        <v>5072</v>
      </c>
      <c r="K2662" s="7" t="s">
        <v>15171</v>
      </c>
      <c r="L2662" s="13">
        <v>265505326</v>
      </c>
      <c r="M2662" t="str">
        <f>VLOOKUP(L2662,[1]HBA!$B$2:$C$4000,2,FALSE)</f>
        <v>szt</v>
      </c>
    </row>
    <row r="2663" spans="2:13" x14ac:dyDescent="0.25">
      <c r="B2663" s="31" t="s">
        <v>25743</v>
      </c>
      <c r="C2663" s="20"/>
      <c r="D2663" s="25" t="s">
        <v>5076</v>
      </c>
      <c r="E2663" s="25"/>
      <c r="F2663" s="9" t="str">
        <f>HYPERLINK("https://www.ebi.ac.uk/ols/ontologies/uberon/terms?iri=http://purl.obolibrary.org/obo/UBERON_0006086","stria medullaris")</f>
        <v>stria medullaris</v>
      </c>
      <c r="G2663" s="9" t="s">
        <v>5073</v>
      </c>
      <c r="H2663" s="9" t="s">
        <v>23641</v>
      </c>
      <c r="I2663" s="9" t="s">
        <v>5074</v>
      </c>
      <c r="J2663" s="9" t="s">
        <v>5075</v>
      </c>
      <c r="K2663" s="4" t="s">
        <v>15175</v>
      </c>
      <c r="L2663" s="13">
        <v>10590</v>
      </c>
      <c r="M2663" t="str">
        <f>VLOOKUP(L2663,[1]Human_BrainSpan!$B$2:$C$4000,2,FALSE)</f>
        <v>smt</v>
      </c>
    </row>
    <row r="2664" spans="2:13" x14ac:dyDescent="0.25">
      <c r="B2664" s="31" t="s">
        <v>25743</v>
      </c>
      <c r="C2664" s="20"/>
      <c r="D2664" s="25" t="s">
        <v>5076</v>
      </c>
      <c r="E2664" s="25"/>
      <c r="F2664" s="9" t="str">
        <f>HYPERLINK("https://www.ebi.ac.uk/ols/ontologies/uberon/terms?iri=http://purl.obolibrary.org/obo/UBERON_0006086","stria medullaris")</f>
        <v>stria medullaris</v>
      </c>
      <c r="G2664" s="9" t="s">
        <v>5073</v>
      </c>
      <c r="H2664" s="9" t="s">
        <v>18496</v>
      </c>
      <c r="I2664" s="9" t="s">
        <v>5076</v>
      </c>
      <c r="J2664" s="9" t="s">
        <v>5077</v>
      </c>
      <c r="K2664" s="5" t="s">
        <v>15173</v>
      </c>
      <c r="L2664" s="13">
        <v>17794</v>
      </c>
      <c r="M2664" t="str">
        <f>VLOOKUP(L2664,[1]DevMouse!$B$2:$C$2693,2,FALSE)</f>
        <v>sm</v>
      </c>
    </row>
    <row r="2665" spans="2:13" x14ac:dyDescent="0.25">
      <c r="B2665" s="31" t="s">
        <v>25743</v>
      </c>
      <c r="C2665" s="20"/>
      <c r="D2665" s="25" t="s">
        <v>5076</v>
      </c>
      <c r="E2665" s="25"/>
      <c r="F2665" s="9" t="str">
        <f>HYPERLINK("https://www.ebi.ac.uk/ols/ontologies/uberon/terms?iri=http://purl.obolibrary.org/obo/UBERON_0006086","stria medullaris")</f>
        <v>stria medullaris</v>
      </c>
      <c r="G2665" s="9" t="s">
        <v>5073</v>
      </c>
      <c r="H2665" s="9" t="s">
        <v>18496</v>
      </c>
      <c r="I2665" s="9" t="s">
        <v>5076</v>
      </c>
      <c r="J2665" s="9" t="s">
        <v>5078</v>
      </c>
      <c r="K2665" s="7" t="s">
        <v>15171</v>
      </c>
      <c r="L2665" s="13">
        <v>9275</v>
      </c>
      <c r="M2665" t="str">
        <f>VLOOKUP(L2665,[1]HBA!$B$2:$C$4000,2,FALSE)</f>
        <v>sm</v>
      </c>
    </row>
    <row r="2666" spans="2:13" x14ac:dyDescent="0.25">
      <c r="B2666" s="31" t="s">
        <v>25743</v>
      </c>
      <c r="C2666" s="20"/>
      <c r="D2666" s="25" t="s">
        <v>5076</v>
      </c>
      <c r="E2666" s="25"/>
      <c r="F2666" s="9" t="str">
        <f>HYPERLINK("https://www.ebi.ac.uk/ols/ontologies/uberon/terms?iri=http://purl.obolibrary.org/obo/UBERON_0006086","stria medullaris")</f>
        <v>stria medullaris</v>
      </c>
      <c r="G2666" s="9" t="s">
        <v>5073</v>
      </c>
      <c r="H2666" s="9" t="s">
        <v>18496</v>
      </c>
      <c r="I2666" s="9" t="s">
        <v>5076</v>
      </c>
      <c r="J2666" s="9" t="s">
        <v>5079</v>
      </c>
      <c r="K2666" s="3" t="s">
        <v>15176</v>
      </c>
      <c r="L2666" s="13">
        <v>802</v>
      </c>
      <c r="M2666" t="str">
        <f>VLOOKUP(L2666,[1]Mouse_ARA!$B$2:$C$1328,2,FALSE)</f>
        <v>sm</v>
      </c>
    </row>
    <row r="2667" spans="2:13" x14ac:dyDescent="0.25">
      <c r="B2667" s="31" t="s">
        <v>26303</v>
      </c>
      <c r="C2667" s="25" t="s">
        <v>5076</v>
      </c>
      <c r="D2667" s="25" t="s">
        <v>26231</v>
      </c>
      <c r="E2667" s="25"/>
      <c r="F2667" s="9" t="str">
        <f>HYPERLINK("https://www.ebi.ac.uk/ols/ontologies/uberon/terms?iri=http://purl.obolibrary.org/obo/UBERON_0016555","stria of telencephalon")</f>
        <v>stria of telencephalon</v>
      </c>
      <c r="G2667" s="9" t="s">
        <v>5080</v>
      </c>
      <c r="H2667" s="9" t="s">
        <v>23641</v>
      </c>
      <c r="I2667" s="9" t="s">
        <v>5074</v>
      </c>
      <c r="J2667" s="9" t="s">
        <v>5075</v>
      </c>
      <c r="K2667" s="4" t="s">
        <v>15175</v>
      </c>
      <c r="L2667" s="13">
        <v>10590</v>
      </c>
      <c r="M2667" t="str">
        <f>VLOOKUP(L2667,[1]Human_BrainSpan!$B$2:$C$4000,2,FALSE)</f>
        <v>smt</v>
      </c>
    </row>
    <row r="2668" spans="2:13" x14ac:dyDescent="0.25">
      <c r="B2668" s="31" t="s">
        <v>26303</v>
      </c>
      <c r="C2668" s="25" t="s">
        <v>2964</v>
      </c>
      <c r="D2668" s="25" t="s">
        <v>26231</v>
      </c>
      <c r="E2668" s="25"/>
      <c r="F2668" s="9" t="str">
        <f>HYPERLINK("https://www.ebi.ac.uk/ols/ontologies/uberon/terms?iri=http://purl.obolibrary.org/obo/UBERON_0016555","stria of telencephalon")</f>
        <v>stria of telencephalon</v>
      </c>
      <c r="G2668" s="9" t="s">
        <v>5080</v>
      </c>
      <c r="H2668" s="9" t="s">
        <v>23625</v>
      </c>
      <c r="I2668" s="9" t="s">
        <v>2964</v>
      </c>
      <c r="J2668" s="9" t="s">
        <v>2965</v>
      </c>
      <c r="K2668" s="4" t="s">
        <v>15175</v>
      </c>
      <c r="L2668" s="13">
        <v>12076</v>
      </c>
      <c r="M2668" t="str">
        <f>VLOOKUP(L2668,[1]Human_BrainSpan!$B$2:$C$4000,2,FALSE)</f>
        <v>most</v>
      </c>
    </row>
    <row r="2669" spans="2:13" x14ac:dyDescent="0.25">
      <c r="B2669" s="31" t="s">
        <v>26303</v>
      </c>
      <c r="C2669" s="25" t="s">
        <v>3464</v>
      </c>
      <c r="D2669" s="25" t="s">
        <v>26185</v>
      </c>
      <c r="E2669" s="25" t="s">
        <v>26300</v>
      </c>
      <c r="F2669" s="9" t="str">
        <f>HYPERLINK("https://www.ebi.ac.uk/ols/ontologies/uberon/terms?iri=http://purl.obolibrary.org/obo/UBERON_0016555","stria of telencephalon")</f>
        <v>stria of telencephalon</v>
      </c>
      <c r="G2669" s="9" t="s">
        <v>5080</v>
      </c>
      <c r="H2669" s="9" t="s">
        <v>18476</v>
      </c>
      <c r="I2669" s="9" t="s">
        <v>2966</v>
      </c>
      <c r="J2669" s="9" t="s">
        <v>2967</v>
      </c>
      <c r="K2669" s="7" t="s">
        <v>15171</v>
      </c>
      <c r="L2669" s="13">
        <v>265505518</v>
      </c>
      <c r="M2669" t="str">
        <f>VLOOKUP(L2669,[1]HBA!$B$2:$C$4000,2,FALSE)</f>
        <v>mot</v>
      </c>
    </row>
    <row r="2670" spans="2:13" x14ac:dyDescent="0.25">
      <c r="B2670" s="31" t="s">
        <v>26303</v>
      </c>
      <c r="C2670" s="25" t="s">
        <v>5076</v>
      </c>
      <c r="D2670" s="25" t="s">
        <v>26231</v>
      </c>
      <c r="E2670" s="25"/>
      <c r="F2670" s="9" t="str">
        <f>HYPERLINK("https://www.ebi.ac.uk/ols/ontologies/uberon/terms?iri=http://purl.obolibrary.org/obo/UBERON_0016555","stria of telencephalon")</f>
        <v>stria of telencephalon</v>
      </c>
      <c r="G2670" s="9" t="s">
        <v>5080</v>
      </c>
      <c r="H2670" s="9" t="s">
        <v>18496</v>
      </c>
      <c r="I2670" s="9" t="s">
        <v>5076</v>
      </c>
      <c r="J2670" s="9" t="s">
        <v>5078</v>
      </c>
      <c r="K2670" s="7" t="s">
        <v>15171</v>
      </c>
      <c r="L2670" s="13">
        <v>9275</v>
      </c>
      <c r="M2670" t="str">
        <f>VLOOKUP(L2670,[1]HBA!$B$2:$C$4000,2,FALSE)</f>
        <v>sm</v>
      </c>
    </row>
    <row r="2671" spans="2:13" x14ac:dyDescent="0.25">
      <c r="B2671" s="31" t="s">
        <v>25743</v>
      </c>
      <c r="C2671" s="20"/>
      <c r="D2671" s="25" t="s">
        <v>5082</v>
      </c>
      <c r="E2671" s="25"/>
      <c r="F2671" s="9" t="str">
        <f>HYPERLINK("https://www.ebi.ac.uk/ols/ontologies/uberon/terms?iri=http://purl.obolibrary.org/obo/UBERON_0003029","stria terminalis")</f>
        <v>stria terminalis</v>
      </c>
      <c r="G2671" s="9" t="s">
        <v>5081</v>
      </c>
      <c r="H2671" s="9" t="s">
        <v>18501</v>
      </c>
      <c r="I2671" s="9" t="s">
        <v>5082</v>
      </c>
      <c r="J2671" s="9" t="s">
        <v>5083</v>
      </c>
      <c r="K2671" s="4" t="s">
        <v>15175</v>
      </c>
      <c r="L2671" s="13">
        <v>10591</v>
      </c>
      <c r="M2671" t="str">
        <f>VLOOKUP(L2671,[1]Human_BrainSpan!$B$2:$C$4000,2,FALSE)</f>
        <v>st</v>
      </c>
    </row>
    <row r="2672" spans="2:13" x14ac:dyDescent="0.25">
      <c r="B2672" s="31" t="s">
        <v>25743</v>
      </c>
      <c r="C2672" s="20"/>
      <c r="D2672" s="25" t="s">
        <v>5082</v>
      </c>
      <c r="E2672" s="25"/>
      <c r="F2672" s="9" t="str">
        <f>HYPERLINK("https://www.ebi.ac.uk/ols/ontologies/uberon/terms?iri=http://purl.obolibrary.org/obo/UBERON_0003029","stria terminalis")</f>
        <v>stria terminalis</v>
      </c>
      <c r="G2672" s="9" t="s">
        <v>5081</v>
      </c>
      <c r="H2672" s="9" t="s">
        <v>18501</v>
      </c>
      <c r="I2672" s="9" t="s">
        <v>5082</v>
      </c>
      <c r="J2672" s="9" t="s">
        <v>5084</v>
      </c>
      <c r="K2672" s="7" t="s">
        <v>15171</v>
      </c>
      <c r="L2672" s="13">
        <v>9278</v>
      </c>
      <c r="M2672" t="str">
        <f>VLOOKUP(L2672,[1]HBA!$B$2:$C$4000,2,FALSE)</f>
        <v>st</v>
      </c>
    </row>
    <row r="2673" spans="2:13" x14ac:dyDescent="0.25">
      <c r="B2673" s="31" t="s">
        <v>25743</v>
      </c>
      <c r="C2673" s="20"/>
      <c r="D2673" s="25" t="s">
        <v>5082</v>
      </c>
      <c r="E2673" s="25"/>
      <c r="F2673" s="9" t="str">
        <f>HYPERLINK("https://www.ebi.ac.uk/ols/ontologies/uberon/terms?iri=http://purl.obolibrary.org/obo/UBERON_0003029","stria terminalis")</f>
        <v>stria terminalis</v>
      </c>
      <c r="G2673" s="9" t="s">
        <v>5081</v>
      </c>
      <c r="H2673" s="9" t="s">
        <v>18501</v>
      </c>
      <c r="I2673" s="9" t="s">
        <v>5082</v>
      </c>
      <c r="J2673" s="9" t="s">
        <v>5085</v>
      </c>
      <c r="K2673" s="3" t="s">
        <v>15176</v>
      </c>
      <c r="L2673" s="13">
        <v>301</v>
      </c>
      <c r="M2673" t="str">
        <f>VLOOKUP(L2673,[1]Mouse_ARA!$B$2:$C$1328,2,FALSE)</f>
        <v>st</v>
      </c>
    </row>
    <row r="2674" spans="2:13" x14ac:dyDescent="0.25">
      <c r="B2674" s="31" t="s">
        <v>25743</v>
      </c>
      <c r="C2674" s="9"/>
      <c r="D2674" s="25" t="s">
        <v>1200</v>
      </c>
      <c r="E2674" s="25"/>
      <c r="F2674" s="9" t="str">
        <f>HYPERLINK("https://www.ebi.ac.uk/ols/ontologies/uberon/terms?iri=http://purl.obolibrary.org/obo/UBERON_0002435","striatum")</f>
        <v>striatum</v>
      </c>
      <c r="G2674" s="9" t="s">
        <v>5086</v>
      </c>
      <c r="H2674" s="9" t="s">
        <v>19740</v>
      </c>
      <c r="I2674" s="9" t="s">
        <v>1200</v>
      </c>
      <c r="J2674" s="9" t="s">
        <v>5087</v>
      </c>
      <c r="K2674" s="4" t="s">
        <v>15175</v>
      </c>
      <c r="L2674" s="13">
        <v>10333</v>
      </c>
      <c r="M2674" t="str">
        <f>VLOOKUP(L2674,[1]Human_BrainSpan!$B$2:$C$4000,2,FALSE)</f>
        <v>STR</v>
      </c>
    </row>
    <row r="2675" spans="2:13" x14ac:dyDescent="0.25">
      <c r="B2675" s="31" t="s">
        <v>25743</v>
      </c>
      <c r="C2675" s="9"/>
      <c r="D2675" s="25" t="s">
        <v>1200</v>
      </c>
      <c r="E2675" s="25"/>
      <c r="F2675" s="9" t="str">
        <f>HYPERLINK("https://www.ebi.ac.uk/ols/ontologies/uberon/terms?iri=http://purl.obolibrary.org/obo/UBERON_0002435","striatum")</f>
        <v>striatum</v>
      </c>
      <c r="G2675" s="9" t="s">
        <v>5086</v>
      </c>
      <c r="H2675" s="9" t="s">
        <v>15639</v>
      </c>
      <c r="I2675" s="9" t="s">
        <v>1196</v>
      </c>
      <c r="J2675" s="9" t="s">
        <v>1197</v>
      </c>
      <c r="K2675" s="5" t="s">
        <v>15173</v>
      </c>
      <c r="L2675" s="13">
        <v>15851</v>
      </c>
      <c r="M2675" t="str">
        <f>VLOOKUP(L2675,[1]DevMouse!$B$2:$C$2693,2,FALSE)</f>
        <v>Str</v>
      </c>
    </row>
    <row r="2676" spans="2:13" x14ac:dyDescent="0.25">
      <c r="B2676" s="31" t="s">
        <v>25743</v>
      </c>
      <c r="C2676" s="9"/>
      <c r="D2676" s="25" t="s">
        <v>1200</v>
      </c>
      <c r="E2676" s="25"/>
      <c r="F2676" s="9" t="str">
        <f>HYPERLINK("https://www.ebi.ac.uk/ols/ontologies/uberon/terms?iri=http://purl.obolibrary.org/obo/UBERON_0002435","striatum")</f>
        <v>striatum</v>
      </c>
      <c r="G2676" s="9" t="s">
        <v>5086</v>
      </c>
      <c r="H2676" s="9" t="s">
        <v>15639</v>
      </c>
      <c r="I2676" s="9" t="s">
        <v>1200</v>
      </c>
      <c r="J2676" s="9" t="s">
        <v>5088</v>
      </c>
      <c r="K2676" s="7" t="s">
        <v>15171</v>
      </c>
      <c r="L2676" s="13">
        <v>4277</v>
      </c>
      <c r="M2676" t="str">
        <f>VLOOKUP(L2676,[1]HBA!$B$2:$C$4000,2,FALSE)</f>
        <v>Str</v>
      </c>
    </row>
    <row r="2677" spans="2:13" x14ac:dyDescent="0.25">
      <c r="B2677" s="31" t="s">
        <v>25743</v>
      </c>
      <c r="C2677" s="9"/>
      <c r="D2677" s="25" t="s">
        <v>1200</v>
      </c>
      <c r="E2677" s="25"/>
      <c r="F2677" s="9" t="str">
        <f>HYPERLINK("https://www.ebi.ac.uk/ols/ontologies/uberon/terms?iri=http://purl.obolibrary.org/obo/UBERON_0002435","striatum")</f>
        <v>striatum</v>
      </c>
      <c r="G2677" s="9" t="s">
        <v>5086</v>
      </c>
      <c r="H2677" s="9" t="s">
        <v>19740</v>
      </c>
      <c r="I2677" s="9" t="s">
        <v>1200</v>
      </c>
      <c r="J2677" s="9" t="s">
        <v>1201</v>
      </c>
      <c r="K2677" s="3" t="s">
        <v>15176</v>
      </c>
      <c r="L2677" s="13">
        <v>477</v>
      </c>
      <c r="M2677" t="str">
        <f>VLOOKUP(L2677,[1]Mouse_ARA!$B$2:$C$1328,2,FALSE)</f>
        <v>STR</v>
      </c>
    </row>
    <row r="2678" spans="2:13" x14ac:dyDescent="0.25">
      <c r="B2678" s="31" t="s">
        <v>25743</v>
      </c>
      <c r="C2678" s="9"/>
      <c r="D2678" s="25" t="s">
        <v>1200</v>
      </c>
      <c r="E2678" s="25"/>
      <c r="F2678" s="9" t="str">
        <f>HYPERLINK("https://www.ebi.ac.uk/ols/ontologies/uberon/terms?iri=http://purl.obolibrary.org/obo/UBERON_0002435","striatum")</f>
        <v>striatum</v>
      </c>
      <c r="G2678" s="9" t="s">
        <v>5086</v>
      </c>
      <c r="H2678" s="9" t="s">
        <v>19740</v>
      </c>
      <c r="I2678" s="9" t="s">
        <v>1200</v>
      </c>
      <c r="J2678" s="9" t="s">
        <v>5089</v>
      </c>
      <c r="K2678" s="6" t="s">
        <v>15174</v>
      </c>
      <c r="L2678" s="13">
        <v>10080</v>
      </c>
      <c r="M2678" t="str">
        <f>VLOOKUP(L2678,[1]NonHumanPrimate!$B$2:$C$4000,2,FALSE)</f>
        <v>STR</v>
      </c>
    </row>
    <row r="2679" spans="2:13" x14ac:dyDescent="0.25">
      <c r="B2679" s="31" t="s">
        <v>26303</v>
      </c>
      <c r="C2679" s="25" t="s">
        <v>1180</v>
      </c>
      <c r="D2679" s="25" t="s">
        <v>26232</v>
      </c>
      <c r="E2679" s="25"/>
      <c r="F2679" s="9" t="str">
        <f t="shared" ref="F2679:F2742" si="35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2679" s="9" t="s">
        <v>5090</v>
      </c>
      <c r="H2679" s="9" t="s">
        <v>22077</v>
      </c>
      <c r="I2679" s="9" t="s">
        <v>1180</v>
      </c>
      <c r="J2679" s="9" t="s">
        <v>1181</v>
      </c>
      <c r="K2679" s="4" t="s">
        <v>15175</v>
      </c>
      <c r="L2679" s="13">
        <v>10159</v>
      </c>
      <c r="M2679" t="str">
        <f>VLOOKUP(L2679,[1]Human_BrainSpan!$B$2:$C$4000,2,FALSE)</f>
        <v>Cx</v>
      </c>
    </row>
    <row r="2680" spans="2:13" x14ac:dyDescent="0.25">
      <c r="B2680" s="31" t="s">
        <v>26303</v>
      </c>
      <c r="C2680" s="25" t="s">
        <v>2016</v>
      </c>
      <c r="D2680" s="25" t="s">
        <v>26232</v>
      </c>
      <c r="E2680" s="25"/>
      <c r="F2680" s="9" t="str">
        <f t="shared" si="35"/>
        <v>structure with developmental contribution from neural crest</v>
      </c>
      <c r="G2680" s="9" t="s">
        <v>5090</v>
      </c>
      <c r="H2680" s="9" t="s">
        <v>15797</v>
      </c>
      <c r="I2680" s="9" t="s">
        <v>2014</v>
      </c>
      <c r="J2680" s="9" t="s">
        <v>2015</v>
      </c>
      <c r="K2680" s="4" t="s">
        <v>15175</v>
      </c>
      <c r="L2680" s="13">
        <v>10161</v>
      </c>
      <c r="M2680" t="str">
        <f>VLOOKUP(L2680,[1]Human_BrainSpan!$B$2:$C$4000,2,FALSE)</f>
        <v>FCx</v>
      </c>
    </row>
    <row r="2681" spans="2:13" x14ac:dyDescent="0.25">
      <c r="B2681" s="31" t="s">
        <v>26303</v>
      </c>
      <c r="C2681" s="25" t="s">
        <v>26166</v>
      </c>
      <c r="D2681" s="25" t="s">
        <v>26232</v>
      </c>
      <c r="E2681" s="25"/>
      <c r="F2681" s="9" t="str">
        <f t="shared" si="35"/>
        <v>structure with developmental contribution from neural crest</v>
      </c>
      <c r="G2681" s="9" t="s">
        <v>5090</v>
      </c>
      <c r="H2681" s="9" t="s">
        <v>22277</v>
      </c>
      <c r="I2681" s="9" t="s">
        <v>5091</v>
      </c>
      <c r="J2681" s="9" t="s">
        <v>5092</v>
      </c>
      <c r="K2681" s="4" t="s">
        <v>15175</v>
      </c>
      <c r="L2681" s="13">
        <v>10163</v>
      </c>
      <c r="M2681" t="str">
        <f>VLOOKUP(L2681,[1]Human_BrainSpan!$B$2:$C$4000,2,FALSE)</f>
        <v>M1C</v>
      </c>
    </row>
    <row r="2682" spans="2:13" x14ac:dyDescent="0.25">
      <c r="B2682" s="31" t="s">
        <v>26303</v>
      </c>
      <c r="C2682" s="25" t="s">
        <v>26166</v>
      </c>
      <c r="D2682" s="25" t="s">
        <v>26232</v>
      </c>
      <c r="E2682" s="25"/>
      <c r="F2682" s="9" t="str">
        <f t="shared" si="35"/>
        <v>structure with developmental contribution from neural crest</v>
      </c>
      <c r="G2682" s="9" t="s">
        <v>5090</v>
      </c>
      <c r="H2682" s="9" t="s">
        <v>22278</v>
      </c>
      <c r="I2682" s="9" t="s">
        <v>5093</v>
      </c>
      <c r="J2682" s="9" t="s">
        <v>5094</v>
      </c>
      <c r="K2682" s="4" t="s">
        <v>15175</v>
      </c>
      <c r="L2682" s="13">
        <v>10164</v>
      </c>
      <c r="M2682" t="str">
        <f>VLOOKUP(L2682,[1]Human_BrainSpan!$B$2:$C$4000,2,FALSE)</f>
        <v>M1hf</v>
      </c>
    </row>
    <row r="2683" spans="2:13" x14ac:dyDescent="0.25">
      <c r="B2683" s="31" t="s">
        <v>26303</v>
      </c>
      <c r="C2683" s="25" t="s">
        <v>26166</v>
      </c>
      <c r="D2683" s="25" t="s">
        <v>26232</v>
      </c>
      <c r="E2683" s="25"/>
      <c r="F2683" s="9" t="str">
        <f t="shared" si="35"/>
        <v>structure with developmental contribution from neural crest</v>
      </c>
      <c r="G2683" s="9" t="s">
        <v>5090</v>
      </c>
      <c r="H2683" s="9" t="s">
        <v>22284</v>
      </c>
      <c r="I2683" s="9" t="s">
        <v>5095</v>
      </c>
      <c r="J2683" s="9" t="s">
        <v>5096</v>
      </c>
      <c r="K2683" s="4" t="s">
        <v>15175</v>
      </c>
      <c r="L2683" s="13">
        <v>10165</v>
      </c>
      <c r="M2683" t="str">
        <f>VLOOKUP(L2683,[1]Human_BrainSpan!$B$2:$C$4000,2,FALSE)</f>
        <v>M1ul</v>
      </c>
    </row>
    <row r="2684" spans="2:13" x14ac:dyDescent="0.25">
      <c r="B2684" s="31" t="s">
        <v>26303</v>
      </c>
      <c r="C2684" s="25" t="s">
        <v>26166</v>
      </c>
      <c r="D2684" s="25" t="s">
        <v>26232</v>
      </c>
      <c r="E2684" s="25"/>
      <c r="F2684" s="9" t="str">
        <f t="shared" si="35"/>
        <v>structure with developmental contribution from neural crest</v>
      </c>
      <c r="G2684" s="9" t="s">
        <v>5090</v>
      </c>
      <c r="H2684" s="9" t="s">
        <v>22290</v>
      </c>
      <c r="I2684" s="9" t="s">
        <v>5097</v>
      </c>
      <c r="J2684" s="9" t="s">
        <v>5098</v>
      </c>
      <c r="K2684" s="4" t="s">
        <v>15175</v>
      </c>
      <c r="L2684" s="13">
        <v>10166</v>
      </c>
      <c r="M2684" t="str">
        <f>VLOOKUP(L2684,[1]Human_BrainSpan!$B$2:$C$4000,2,FALSE)</f>
        <v>M1tr</v>
      </c>
    </row>
    <row r="2685" spans="2:13" x14ac:dyDescent="0.25">
      <c r="B2685" s="31" t="s">
        <v>26303</v>
      </c>
      <c r="C2685" s="25" t="s">
        <v>26166</v>
      </c>
      <c r="D2685" s="25" t="s">
        <v>26232</v>
      </c>
      <c r="E2685" s="25"/>
      <c r="F2685" s="9" t="str">
        <f t="shared" si="35"/>
        <v>structure with developmental contribution from neural crest</v>
      </c>
      <c r="G2685" s="9" t="s">
        <v>5090</v>
      </c>
      <c r="H2685" s="9" t="s">
        <v>22296</v>
      </c>
      <c r="I2685" s="9" t="s">
        <v>5099</v>
      </c>
      <c r="J2685" s="9" t="s">
        <v>5100</v>
      </c>
      <c r="K2685" s="4" t="s">
        <v>15175</v>
      </c>
      <c r="L2685" s="13">
        <v>10167</v>
      </c>
      <c r="M2685" t="str">
        <f>VLOOKUP(L2685,[1]Human_BrainSpan!$B$2:$C$4000,2,FALSE)</f>
        <v>M1lm</v>
      </c>
    </row>
    <row r="2686" spans="2:13" x14ac:dyDescent="0.25">
      <c r="B2686" s="31" t="s">
        <v>26303</v>
      </c>
      <c r="C2686" s="25" t="s">
        <v>26157</v>
      </c>
      <c r="D2686" s="25" t="s">
        <v>26232</v>
      </c>
      <c r="E2686" s="25"/>
      <c r="F2686" s="9" t="str">
        <f t="shared" si="35"/>
        <v>structure with developmental contribution from neural crest</v>
      </c>
      <c r="G2686" s="9" t="s">
        <v>5090</v>
      </c>
      <c r="H2686" s="9" t="s">
        <v>22303</v>
      </c>
      <c r="I2686" s="9" t="s">
        <v>5101</v>
      </c>
      <c r="J2686" s="9" t="s">
        <v>5102</v>
      </c>
      <c r="K2686" s="4" t="s">
        <v>15175</v>
      </c>
      <c r="L2686" s="13">
        <v>10169</v>
      </c>
      <c r="M2686" t="str">
        <f>VLOOKUP(L2686,[1]Human_BrainSpan!$B$2:$C$4000,2,FALSE)</f>
        <v>A6ld</v>
      </c>
    </row>
    <row r="2687" spans="2:13" x14ac:dyDescent="0.25">
      <c r="B2687" s="31" t="s">
        <v>26303</v>
      </c>
      <c r="C2687" s="25" t="s">
        <v>26157</v>
      </c>
      <c r="D2687" s="25" t="s">
        <v>26232</v>
      </c>
      <c r="E2687" s="25"/>
      <c r="F2687" s="9" t="str">
        <f t="shared" si="35"/>
        <v>structure with developmental contribution from neural crest</v>
      </c>
      <c r="G2687" s="9" t="s">
        <v>5090</v>
      </c>
      <c r="H2687" s="9" t="s">
        <v>22309</v>
      </c>
      <c r="I2687" s="9" t="s">
        <v>5103</v>
      </c>
      <c r="J2687" s="9" t="s">
        <v>5104</v>
      </c>
      <c r="K2687" s="4" t="s">
        <v>15175</v>
      </c>
      <c r="L2687" s="13">
        <v>10170</v>
      </c>
      <c r="M2687" t="str">
        <f>VLOOKUP(L2687,[1]Human_BrainSpan!$B$2:$C$4000,2,FALSE)</f>
        <v>A6lv</v>
      </c>
    </row>
    <row r="2688" spans="2:13" x14ac:dyDescent="0.25">
      <c r="B2688" s="31" t="s">
        <v>26303</v>
      </c>
      <c r="C2688" s="25" t="s">
        <v>26157</v>
      </c>
      <c r="D2688" s="25" t="s">
        <v>26232</v>
      </c>
      <c r="E2688" s="25"/>
      <c r="F2688" s="9" t="str">
        <f t="shared" si="35"/>
        <v>structure with developmental contribution from neural crest</v>
      </c>
      <c r="G2688" s="9" t="s">
        <v>5090</v>
      </c>
      <c r="H2688" s="9" t="s">
        <v>22315</v>
      </c>
      <c r="I2688" s="9" t="s">
        <v>5105</v>
      </c>
      <c r="J2688" s="9" t="s">
        <v>5106</v>
      </c>
      <c r="K2688" s="4" t="s">
        <v>15175</v>
      </c>
      <c r="L2688" s="13">
        <v>10171</v>
      </c>
      <c r="M2688" t="str">
        <f>VLOOKUP(L2688,[1]Human_BrainSpan!$B$2:$C$4000,2,FALSE)</f>
        <v>A6m</v>
      </c>
    </row>
    <row r="2689" spans="2:13" x14ac:dyDescent="0.25">
      <c r="B2689" s="31" t="s">
        <v>26299</v>
      </c>
      <c r="C2689" s="25" t="s">
        <v>1636</v>
      </c>
      <c r="D2689" s="25" t="s">
        <v>26232</v>
      </c>
      <c r="E2689" s="25" t="s">
        <v>26300</v>
      </c>
      <c r="F2689" s="9" t="str">
        <f t="shared" si="35"/>
        <v>structure with developmental contribution from neural crest</v>
      </c>
      <c r="G2689" s="9" t="s">
        <v>5090</v>
      </c>
      <c r="H2689" s="9" t="s">
        <v>22103</v>
      </c>
      <c r="I2689" s="9" t="s">
        <v>5107</v>
      </c>
      <c r="J2689" s="9" t="s">
        <v>5108</v>
      </c>
      <c r="K2689" s="4" t="s">
        <v>15175</v>
      </c>
      <c r="L2689" s="13">
        <v>10174</v>
      </c>
      <c r="M2689" t="str">
        <f>VLOOKUP(L2689,[1]Human_BrainSpan!$B$2:$C$4000,2,FALSE)</f>
        <v>A8</v>
      </c>
    </row>
    <row r="2690" spans="2:13" x14ac:dyDescent="0.25">
      <c r="B2690" s="31" t="s">
        <v>26299</v>
      </c>
      <c r="C2690" s="25" t="s">
        <v>1636</v>
      </c>
      <c r="D2690" s="25" t="s">
        <v>26232</v>
      </c>
      <c r="E2690" s="25" t="s">
        <v>26300</v>
      </c>
      <c r="F2690" s="9" t="str">
        <f t="shared" si="35"/>
        <v>structure with developmental contribution from neural crest</v>
      </c>
      <c r="G2690" s="9" t="s">
        <v>5090</v>
      </c>
      <c r="H2690" s="9" t="s">
        <v>22104</v>
      </c>
      <c r="I2690" s="9" t="s">
        <v>5109</v>
      </c>
      <c r="J2690" s="9" t="s">
        <v>5110</v>
      </c>
      <c r="K2690" s="4" t="s">
        <v>15175</v>
      </c>
      <c r="L2690" s="13">
        <v>10175</v>
      </c>
      <c r="M2690" t="str">
        <f>VLOOKUP(L2690,[1]Human_BrainSpan!$B$2:$C$4000,2,FALSE)</f>
        <v>A8ld</v>
      </c>
    </row>
    <row r="2691" spans="2:13" x14ac:dyDescent="0.25">
      <c r="B2691" s="31" t="s">
        <v>26299</v>
      </c>
      <c r="C2691" s="25" t="s">
        <v>1636</v>
      </c>
      <c r="D2691" s="25" t="s">
        <v>26232</v>
      </c>
      <c r="E2691" s="25" t="s">
        <v>26300</v>
      </c>
      <c r="F2691" s="9" t="str">
        <f t="shared" si="35"/>
        <v>structure with developmental contribution from neural crest</v>
      </c>
      <c r="G2691" s="9" t="s">
        <v>5090</v>
      </c>
      <c r="H2691" s="9" t="s">
        <v>22111</v>
      </c>
      <c r="I2691" s="9" t="s">
        <v>5111</v>
      </c>
      <c r="J2691" s="9" t="s">
        <v>5112</v>
      </c>
      <c r="K2691" s="4" t="s">
        <v>15175</v>
      </c>
      <c r="L2691" s="13">
        <v>10176</v>
      </c>
      <c r="M2691" t="str">
        <f>VLOOKUP(L2691,[1]Human_BrainSpan!$B$2:$C$4000,2,FALSE)</f>
        <v>A8lv</v>
      </c>
    </row>
    <row r="2692" spans="2:13" x14ac:dyDescent="0.25">
      <c r="B2692" s="31" t="s">
        <v>26299</v>
      </c>
      <c r="C2692" s="25" t="s">
        <v>1636</v>
      </c>
      <c r="D2692" s="25" t="s">
        <v>26232</v>
      </c>
      <c r="E2692" s="25" t="s">
        <v>26300</v>
      </c>
      <c r="F2692" s="9" t="str">
        <f t="shared" si="35"/>
        <v>structure with developmental contribution from neural crest</v>
      </c>
      <c r="G2692" s="9" t="s">
        <v>5090</v>
      </c>
      <c r="H2692" s="9" t="s">
        <v>22118</v>
      </c>
      <c r="I2692" s="9" t="s">
        <v>5113</v>
      </c>
      <c r="J2692" s="9" t="s">
        <v>5114</v>
      </c>
      <c r="K2692" s="4" t="s">
        <v>15175</v>
      </c>
      <c r="L2692" s="13">
        <v>10177</v>
      </c>
      <c r="M2692" t="str">
        <f>VLOOKUP(L2692,[1]Human_BrainSpan!$B$2:$C$4000,2,FALSE)</f>
        <v>A8m</v>
      </c>
    </row>
    <row r="2693" spans="2:13" x14ac:dyDescent="0.25">
      <c r="B2693" s="31" t="s">
        <v>26299</v>
      </c>
      <c r="C2693" s="25" t="s">
        <v>1636</v>
      </c>
      <c r="D2693" s="25" t="s">
        <v>26232</v>
      </c>
      <c r="E2693" s="25" t="s">
        <v>26300</v>
      </c>
      <c r="F2693" s="9" t="str">
        <f t="shared" si="35"/>
        <v>structure with developmental contribution from neural crest</v>
      </c>
      <c r="G2693" s="9" t="s">
        <v>5090</v>
      </c>
      <c r="H2693" s="9" t="s">
        <v>22125</v>
      </c>
      <c r="I2693" s="9" t="s">
        <v>5115</v>
      </c>
      <c r="J2693" s="9" t="s">
        <v>5116</v>
      </c>
      <c r="K2693" s="4" t="s">
        <v>15175</v>
      </c>
      <c r="L2693" s="13">
        <v>10178</v>
      </c>
      <c r="M2693" t="str">
        <f>VLOOKUP(L2693,[1]Human_BrainSpan!$B$2:$C$4000,2,FALSE)</f>
        <v>A9</v>
      </c>
    </row>
    <row r="2694" spans="2:13" x14ac:dyDescent="0.25">
      <c r="B2694" s="31" t="s">
        <v>26299</v>
      </c>
      <c r="C2694" s="25" t="s">
        <v>1636</v>
      </c>
      <c r="D2694" s="25" t="s">
        <v>26232</v>
      </c>
      <c r="E2694" s="25" t="s">
        <v>26300</v>
      </c>
      <c r="F2694" s="9" t="str">
        <f t="shared" si="35"/>
        <v>structure with developmental contribution from neural crest</v>
      </c>
      <c r="G2694" s="9" t="s">
        <v>5090</v>
      </c>
      <c r="H2694" s="9" t="s">
        <v>22126</v>
      </c>
      <c r="I2694" s="9" t="s">
        <v>5117</v>
      </c>
      <c r="J2694" s="9" t="s">
        <v>5118</v>
      </c>
      <c r="K2694" s="4" t="s">
        <v>15175</v>
      </c>
      <c r="L2694" s="13">
        <v>10179</v>
      </c>
      <c r="M2694" t="str">
        <f>VLOOKUP(L2694,[1]Human_BrainSpan!$B$2:$C$4000,2,FALSE)</f>
        <v>A9l</v>
      </c>
    </row>
    <row r="2695" spans="2:13" x14ac:dyDescent="0.25">
      <c r="B2695" s="31" t="s">
        <v>26299</v>
      </c>
      <c r="C2695" s="25" t="s">
        <v>1636</v>
      </c>
      <c r="D2695" s="25" t="s">
        <v>26232</v>
      </c>
      <c r="E2695" s="25" t="s">
        <v>26300</v>
      </c>
      <c r="F2695" s="9" t="str">
        <f t="shared" si="35"/>
        <v>structure with developmental contribution from neural crest</v>
      </c>
      <c r="G2695" s="9" t="s">
        <v>5090</v>
      </c>
      <c r="H2695" s="9" t="s">
        <v>22133</v>
      </c>
      <c r="I2695" s="9" t="s">
        <v>5119</v>
      </c>
      <c r="J2695" s="9" t="s">
        <v>5120</v>
      </c>
      <c r="K2695" s="4" t="s">
        <v>15175</v>
      </c>
      <c r="L2695" s="13">
        <v>10180</v>
      </c>
      <c r="M2695" t="str">
        <f>VLOOKUP(L2695,[1]Human_BrainSpan!$B$2:$C$4000,2,FALSE)</f>
        <v>A9m</v>
      </c>
    </row>
    <row r="2696" spans="2:13" x14ac:dyDescent="0.25">
      <c r="B2696" s="31" t="s">
        <v>26299</v>
      </c>
      <c r="C2696" s="25" t="s">
        <v>1636</v>
      </c>
      <c r="D2696" s="25" t="s">
        <v>26232</v>
      </c>
      <c r="E2696" s="25" t="s">
        <v>26300</v>
      </c>
      <c r="F2696" s="9" t="str">
        <f t="shared" si="35"/>
        <v>structure with developmental contribution from neural crest</v>
      </c>
      <c r="G2696" s="9" t="s">
        <v>5090</v>
      </c>
      <c r="H2696" s="9" t="s">
        <v>22140</v>
      </c>
      <c r="I2696" s="9" t="s">
        <v>5121</v>
      </c>
      <c r="J2696" s="9" t="s">
        <v>5122</v>
      </c>
      <c r="K2696" s="4" t="s">
        <v>15175</v>
      </c>
      <c r="L2696" s="13">
        <v>10181</v>
      </c>
      <c r="M2696" t="str">
        <f>VLOOKUP(L2696,[1]Human_BrainSpan!$B$2:$C$4000,2,FALSE)</f>
        <v>A9/46</v>
      </c>
    </row>
    <row r="2697" spans="2:13" x14ac:dyDescent="0.25">
      <c r="B2697" s="31" t="s">
        <v>26303</v>
      </c>
      <c r="C2697" s="20"/>
      <c r="D2697" s="25" t="s">
        <v>26232</v>
      </c>
      <c r="E2697" s="25" t="s">
        <v>26300</v>
      </c>
      <c r="F2697" s="9" t="str">
        <f t="shared" si="35"/>
        <v>structure with developmental contribution from neural crest</v>
      </c>
      <c r="G2697" s="9" t="s">
        <v>5090</v>
      </c>
      <c r="H2697" s="9" t="s">
        <v>22141</v>
      </c>
      <c r="I2697" s="9" t="s">
        <v>5123</v>
      </c>
      <c r="J2697" s="9" t="s">
        <v>5124</v>
      </c>
      <c r="K2697" s="4" t="s">
        <v>15175</v>
      </c>
      <c r="L2697" s="13">
        <v>10182</v>
      </c>
      <c r="M2697" t="str">
        <f>VLOOKUP(L2697,[1]Human_BrainSpan!$B$2:$C$4000,2,FALSE)</f>
        <v>A9/46d</v>
      </c>
    </row>
    <row r="2698" spans="2:13" x14ac:dyDescent="0.25">
      <c r="B2698" s="31" t="s">
        <v>26303</v>
      </c>
      <c r="C2698" s="20"/>
      <c r="D2698" s="25" t="s">
        <v>26232</v>
      </c>
      <c r="E2698" s="25" t="s">
        <v>26300</v>
      </c>
      <c r="F2698" s="9" t="str">
        <f t="shared" si="35"/>
        <v>structure with developmental contribution from neural crest</v>
      </c>
      <c r="G2698" s="9" t="s">
        <v>5090</v>
      </c>
      <c r="H2698" s="9" t="s">
        <v>22148</v>
      </c>
      <c r="I2698" s="9" t="s">
        <v>5125</v>
      </c>
      <c r="J2698" s="9" t="s">
        <v>5126</v>
      </c>
      <c r="K2698" s="4" t="s">
        <v>15175</v>
      </c>
      <c r="L2698" s="13">
        <v>10183</v>
      </c>
      <c r="M2698" t="str">
        <f>VLOOKUP(L2698,[1]Human_BrainSpan!$B$2:$C$4000,2,FALSE)</f>
        <v>A9/46v</v>
      </c>
    </row>
    <row r="2699" spans="2:13" x14ac:dyDescent="0.25">
      <c r="B2699" s="31" t="s">
        <v>26299</v>
      </c>
      <c r="C2699" s="25" t="s">
        <v>1636</v>
      </c>
      <c r="D2699" s="25" t="s">
        <v>26232</v>
      </c>
      <c r="E2699" s="25"/>
      <c r="F2699" s="9" t="str">
        <f t="shared" si="35"/>
        <v>structure with developmental contribution from neural crest</v>
      </c>
      <c r="G2699" s="9" t="s">
        <v>5090</v>
      </c>
      <c r="H2699" s="9" t="s">
        <v>22155</v>
      </c>
      <c r="I2699" s="9" t="s">
        <v>5127</v>
      </c>
      <c r="J2699" s="9" t="s">
        <v>5128</v>
      </c>
      <c r="K2699" s="4" t="s">
        <v>15175</v>
      </c>
      <c r="L2699" s="13">
        <v>10184</v>
      </c>
      <c r="M2699" t="str">
        <f>VLOOKUP(L2699,[1]Human_BrainSpan!$B$2:$C$4000,2,FALSE)</f>
        <v>A46</v>
      </c>
    </row>
    <row r="2700" spans="2:13" x14ac:dyDescent="0.25">
      <c r="B2700" s="31" t="s">
        <v>26299</v>
      </c>
      <c r="C2700" s="25" t="s">
        <v>4077</v>
      </c>
      <c r="D2700" s="25" t="s">
        <v>26232</v>
      </c>
      <c r="E2700" s="25" t="s">
        <v>26300</v>
      </c>
      <c r="F2700" s="9" t="str">
        <f t="shared" si="35"/>
        <v>structure with developmental contribution from neural crest</v>
      </c>
      <c r="G2700" s="9" t="s">
        <v>5090</v>
      </c>
      <c r="H2700" s="9" t="s">
        <v>22170</v>
      </c>
      <c r="I2700" s="9" t="s">
        <v>5129</v>
      </c>
      <c r="J2700" s="9" t="s">
        <v>5130</v>
      </c>
      <c r="K2700" s="4" t="s">
        <v>15175</v>
      </c>
      <c r="L2700" s="13">
        <v>10185</v>
      </c>
      <c r="M2700" t="str">
        <f>VLOOKUP(L2700,[1]Human_BrainSpan!$B$2:$C$4000,2,FALSE)</f>
        <v>VFC</v>
      </c>
    </row>
    <row r="2701" spans="2:13" x14ac:dyDescent="0.25">
      <c r="B2701" s="31" t="s">
        <v>26303</v>
      </c>
      <c r="C2701" s="20"/>
      <c r="D2701" s="25" t="s">
        <v>26232</v>
      </c>
      <c r="E2701" s="25" t="s">
        <v>26300</v>
      </c>
      <c r="F2701" s="9" t="str">
        <f t="shared" si="35"/>
        <v>structure with developmental contribution from neural crest</v>
      </c>
      <c r="G2701" s="9" t="s">
        <v>5090</v>
      </c>
      <c r="H2701" s="9" t="s">
        <v>22171</v>
      </c>
      <c r="I2701" s="9" t="s">
        <v>5131</v>
      </c>
      <c r="J2701" s="9" t="s">
        <v>5132</v>
      </c>
      <c r="K2701" s="4" t="s">
        <v>15175</v>
      </c>
      <c r="L2701" s="13">
        <v>10186</v>
      </c>
      <c r="M2701" t="str">
        <f>VLOOKUP(L2701,[1]Human_BrainSpan!$B$2:$C$4000,2,FALSE)</f>
        <v>A44</v>
      </c>
    </row>
    <row r="2702" spans="2:13" x14ac:dyDescent="0.25">
      <c r="B2702" s="31" t="s">
        <v>26303</v>
      </c>
      <c r="C2702" s="20"/>
      <c r="D2702" s="25" t="s">
        <v>26232</v>
      </c>
      <c r="E2702" s="25" t="s">
        <v>26300</v>
      </c>
      <c r="F2702" s="9" t="str">
        <f t="shared" si="35"/>
        <v>structure with developmental contribution from neural crest</v>
      </c>
      <c r="G2702" s="9" t="s">
        <v>5090</v>
      </c>
      <c r="H2702" s="9" t="s">
        <v>22193</v>
      </c>
      <c r="I2702" s="9" t="s">
        <v>5133</v>
      </c>
      <c r="J2702" s="9" t="s">
        <v>5134</v>
      </c>
      <c r="K2702" s="4" t="s">
        <v>15175</v>
      </c>
      <c r="L2702" s="13">
        <v>10187</v>
      </c>
      <c r="M2702" t="str">
        <f>VLOOKUP(L2702,[1]Human_BrainSpan!$B$2:$C$4000,2,FALSE)</f>
        <v>A45</v>
      </c>
    </row>
    <row r="2703" spans="2:13" x14ac:dyDescent="0.25">
      <c r="B2703" s="31" t="s">
        <v>26303</v>
      </c>
      <c r="C2703" s="20"/>
      <c r="D2703" s="25" t="s">
        <v>26232</v>
      </c>
      <c r="E2703" s="25" t="s">
        <v>26300</v>
      </c>
      <c r="F2703" s="9" t="str">
        <f t="shared" si="35"/>
        <v>structure with developmental contribution from neural crest</v>
      </c>
      <c r="G2703" s="9" t="s">
        <v>5090</v>
      </c>
      <c r="H2703" s="9" t="s">
        <v>22194</v>
      </c>
      <c r="I2703" s="9" t="s">
        <v>5135</v>
      </c>
      <c r="J2703" s="9" t="s">
        <v>5136</v>
      </c>
      <c r="K2703" s="4" t="s">
        <v>15175</v>
      </c>
      <c r="L2703" s="13">
        <v>10188</v>
      </c>
      <c r="M2703" t="str">
        <f>VLOOKUP(L2703,[1]Human_BrainSpan!$B$2:$C$4000,2,FALSE)</f>
        <v>A45r</v>
      </c>
    </row>
    <row r="2704" spans="2:13" x14ac:dyDescent="0.25">
      <c r="B2704" s="31" t="s">
        <v>26303</v>
      </c>
      <c r="C2704" s="20"/>
      <c r="D2704" s="25" t="s">
        <v>26232</v>
      </c>
      <c r="E2704" s="25" t="s">
        <v>26300</v>
      </c>
      <c r="F2704" s="9" t="str">
        <f t="shared" si="35"/>
        <v>structure with developmental contribution from neural crest</v>
      </c>
      <c r="G2704" s="9" t="s">
        <v>5090</v>
      </c>
      <c r="H2704" s="9" t="s">
        <v>22201</v>
      </c>
      <c r="I2704" s="9" t="s">
        <v>5137</v>
      </c>
      <c r="J2704" s="9" t="s">
        <v>5138</v>
      </c>
      <c r="K2704" s="4" t="s">
        <v>15175</v>
      </c>
      <c r="L2704" s="13">
        <v>10189</v>
      </c>
      <c r="M2704" t="str">
        <f>VLOOKUP(L2704,[1]Human_BrainSpan!$B$2:$C$4000,2,FALSE)</f>
        <v>A45c</v>
      </c>
    </row>
    <row r="2705" spans="2:13" x14ac:dyDescent="0.25">
      <c r="B2705" s="31" t="s">
        <v>26299</v>
      </c>
      <c r="C2705" s="25" t="s">
        <v>2027</v>
      </c>
      <c r="D2705" s="25" t="s">
        <v>26232</v>
      </c>
      <c r="E2705" s="25"/>
      <c r="F2705" s="9" t="str">
        <f t="shared" si="35"/>
        <v>structure with developmental contribution from neural crest</v>
      </c>
      <c r="G2705" s="9" t="s">
        <v>5090</v>
      </c>
      <c r="H2705" s="9" t="s">
        <v>22080</v>
      </c>
      <c r="I2705" s="9" t="s">
        <v>5139</v>
      </c>
      <c r="J2705" s="9" t="s">
        <v>5140</v>
      </c>
      <c r="K2705" s="4" t="s">
        <v>15175</v>
      </c>
      <c r="L2705" s="13">
        <v>10190</v>
      </c>
      <c r="M2705" t="str">
        <f>VLOOKUP(L2705,[1]Human_BrainSpan!$B$2:$C$4000,2,FALSE)</f>
        <v>A10</v>
      </c>
    </row>
    <row r="2706" spans="2:13" x14ac:dyDescent="0.25">
      <c r="B2706" s="31" t="s">
        <v>26299</v>
      </c>
      <c r="C2706" s="25" t="s">
        <v>2027</v>
      </c>
      <c r="D2706" s="25" t="s">
        <v>26232</v>
      </c>
      <c r="E2706" s="25"/>
      <c r="F2706" s="9" t="str">
        <f t="shared" si="35"/>
        <v>structure with developmental contribution from neural crest</v>
      </c>
      <c r="G2706" s="9" t="s">
        <v>5090</v>
      </c>
      <c r="H2706" s="9" t="s">
        <v>22081</v>
      </c>
      <c r="I2706" s="9" t="s">
        <v>5141</v>
      </c>
      <c r="J2706" s="9" t="s">
        <v>5142</v>
      </c>
      <c r="K2706" s="4" t="s">
        <v>15175</v>
      </c>
      <c r="L2706" s="13">
        <v>10191</v>
      </c>
      <c r="M2706" t="str">
        <f>VLOOKUP(L2706,[1]Human_BrainSpan!$B$2:$C$4000,2,FALSE)</f>
        <v>A10m</v>
      </c>
    </row>
    <row r="2707" spans="2:13" x14ac:dyDescent="0.25">
      <c r="B2707" s="31" t="s">
        <v>26299</v>
      </c>
      <c r="C2707" s="25" t="s">
        <v>2027</v>
      </c>
      <c r="D2707" s="25" t="s">
        <v>26232</v>
      </c>
      <c r="E2707" s="25"/>
      <c r="F2707" s="9" t="str">
        <f t="shared" si="35"/>
        <v>structure with developmental contribution from neural crest</v>
      </c>
      <c r="G2707" s="9" t="s">
        <v>5090</v>
      </c>
      <c r="H2707" s="9" t="s">
        <v>22088</v>
      </c>
      <c r="I2707" s="9" t="s">
        <v>5143</v>
      </c>
      <c r="J2707" s="9" t="s">
        <v>5144</v>
      </c>
      <c r="K2707" s="4" t="s">
        <v>15175</v>
      </c>
      <c r="L2707" s="13">
        <v>10192</v>
      </c>
      <c r="M2707" t="str">
        <f>VLOOKUP(L2707,[1]Human_BrainSpan!$B$2:$C$4000,2,FALSE)</f>
        <v>A10l</v>
      </c>
    </row>
    <row r="2708" spans="2:13" x14ac:dyDescent="0.25">
      <c r="B2708" s="31" t="s">
        <v>26299</v>
      </c>
      <c r="C2708" s="25" t="s">
        <v>2027</v>
      </c>
      <c r="D2708" s="25" t="s">
        <v>26232</v>
      </c>
      <c r="E2708" s="25"/>
      <c r="F2708" s="9" t="str">
        <f t="shared" si="35"/>
        <v>structure with developmental contribution from neural crest</v>
      </c>
      <c r="G2708" s="9" t="s">
        <v>5090</v>
      </c>
      <c r="H2708" s="9" t="s">
        <v>22095</v>
      </c>
      <c r="I2708" s="9" t="s">
        <v>5145</v>
      </c>
      <c r="J2708" s="9" t="s">
        <v>5146</v>
      </c>
      <c r="K2708" s="4" t="s">
        <v>15175</v>
      </c>
      <c r="L2708" s="13">
        <v>10193</v>
      </c>
      <c r="M2708" t="str">
        <f>VLOOKUP(L2708,[1]Human_BrainSpan!$B$2:$C$4000,2,FALSE)</f>
        <v>A10o</v>
      </c>
    </row>
    <row r="2709" spans="2:13" x14ac:dyDescent="0.25">
      <c r="B2709" s="31" t="s">
        <v>26303</v>
      </c>
      <c r="C2709" s="25" t="s">
        <v>26080</v>
      </c>
      <c r="D2709" s="25" t="s">
        <v>26232</v>
      </c>
      <c r="E2709" s="25"/>
      <c r="F2709" s="9" t="str">
        <f t="shared" si="35"/>
        <v>structure with developmental contribution from neural crest</v>
      </c>
      <c r="G2709" s="9" t="s">
        <v>5090</v>
      </c>
      <c r="H2709" s="9" t="s">
        <v>22216</v>
      </c>
      <c r="I2709" s="9" t="s">
        <v>5147</v>
      </c>
      <c r="J2709" s="9" t="s">
        <v>5148</v>
      </c>
      <c r="K2709" s="4" t="s">
        <v>15175</v>
      </c>
      <c r="L2709" s="13">
        <v>10195</v>
      </c>
      <c r="M2709" t="str">
        <f>VLOOKUP(L2709,[1]Human_BrainSpan!$B$2:$C$4000,2,FALSE)</f>
        <v>OFCm</v>
      </c>
    </row>
    <row r="2710" spans="2:13" x14ac:dyDescent="0.25">
      <c r="B2710" s="31" t="s">
        <v>26299</v>
      </c>
      <c r="C2710" s="25" t="s">
        <v>26080</v>
      </c>
      <c r="D2710" s="25" t="s">
        <v>26232</v>
      </c>
      <c r="E2710" s="25"/>
      <c r="F2710" s="9" t="str">
        <f t="shared" si="35"/>
        <v>structure with developmental contribution from neural crest</v>
      </c>
      <c r="G2710" s="9" t="s">
        <v>5090</v>
      </c>
      <c r="H2710" s="9" t="s">
        <v>22217</v>
      </c>
      <c r="I2710" s="9" t="s">
        <v>5149</v>
      </c>
      <c r="J2710" s="9" t="s">
        <v>5150</v>
      </c>
      <c r="K2710" s="4" t="s">
        <v>15175</v>
      </c>
      <c r="L2710" s="13">
        <v>10196</v>
      </c>
      <c r="M2710" t="str">
        <f>VLOOKUP(L2710,[1]Human_BrainSpan!$B$2:$C$4000,2,FALSE)</f>
        <v>A14r</v>
      </c>
    </row>
    <row r="2711" spans="2:13" x14ac:dyDescent="0.25">
      <c r="B2711" s="31" t="s">
        <v>26299</v>
      </c>
      <c r="C2711" s="25" t="s">
        <v>26080</v>
      </c>
      <c r="D2711" s="25" t="s">
        <v>26232</v>
      </c>
      <c r="E2711" s="25"/>
      <c r="F2711" s="9" t="str">
        <f t="shared" si="35"/>
        <v>structure with developmental contribution from neural crest</v>
      </c>
      <c r="G2711" s="9" t="s">
        <v>5090</v>
      </c>
      <c r="H2711" s="9" t="s">
        <v>22224</v>
      </c>
      <c r="I2711" s="9" t="s">
        <v>5151</v>
      </c>
      <c r="J2711" s="9" t="s">
        <v>5152</v>
      </c>
      <c r="K2711" s="4" t="s">
        <v>15175</v>
      </c>
      <c r="L2711" s="13">
        <v>10197</v>
      </c>
      <c r="M2711" t="str">
        <f>VLOOKUP(L2711,[1]Human_BrainSpan!$B$2:$C$4000,2,FALSE)</f>
        <v>A14c</v>
      </c>
    </row>
    <row r="2712" spans="2:13" x14ac:dyDescent="0.25">
      <c r="B2712" s="31" t="s">
        <v>26303</v>
      </c>
      <c r="C2712" s="25" t="s">
        <v>26080</v>
      </c>
      <c r="D2712" s="25" t="s">
        <v>26232</v>
      </c>
      <c r="E2712" s="25"/>
      <c r="F2712" s="9" t="str">
        <f t="shared" si="35"/>
        <v>structure with developmental contribution from neural crest</v>
      </c>
      <c r="G2712" s="9" t="s">
        <v>5090</v>
      </c>
      <c r="H2712" s="9" t="s">
        <v>22231</v>
      </c>
      <c r="I2712" s="9" t="s">
        <v>5153</v>
      </c>
      <c r="J2712" s="9" t="s">
        <v>5154</v>
      </c>
      <c r="K2712" s="4" t="s">
        <v>15175</v>
      </c>
      <c r="L2712" s="13">
        <v>10198</v>
      </c>
      <c r="M2712" t="str">
        <f>VLOOKUP(L2712,[1]Human_BrainSpan!$B$2:$C$4000,2,FALSE)</f>
        <v>OFCi</v>
      </c>
    </row>
    <row r="2713" spans="2:13" x14ac:dyDescent="0.25">
      <c r="B2713" s="31" t="s">
        <v>26303</v>
      </c>
      <c r="C2713" s="20"/>
      <c r="D2713" s="25" t="s">
        <v>26232</v>
      </c>
      <c r="E2713" s="25" t="s">
        <v>26300</v>
      </c>
      <c r="F2713" s="9" t="str">
        <f t="shared" si="35"/>
        <v>structure with developmental contribution from neural crest</v>
      </c>
      <c r="G2713" s="9" t="s">
        <v>5090</v>
      </c>
      <c r="H2713" s="9" t="s">
        <v>22232</v>
      </c>
      <c r="I2713" s="9" t="s">
        <v>5155</v>
      </c>
      <c r="J2713" s="9" t="s">
        <v>5156</v>
      </c>
      <c r="K2713" s="4" t="s">
        <v>15175</v>
      </c>
      <c r="L2713" s="13">
        <v>10199</v>
      </c>
      <c r="M2713" t="str">
        <f>VLOOKUP(L2713,[1]Human_BrainSpan!$B$2:$C$4000,2,FALSE)</f>
        <v>A11</v>
      </c>
    </row>
    <row r="2714" spans="2:13" x14ac:dyDescent="0.25">
      <c r="B2714" s="31" t="s">
        <v>26303</v>
      </c>
      <c r="C2714" s="20"/>
      <c r="D2714" s="25" t="s">
        <v>26232</v>
      </c>
      <c r="E2714" s="25" t="s">
        <v>26300</v>
      </c>
      <c r="F2714" s="9" t="str">
        <f t="shared" si="35"/>
        <v>structure with developmental contribution from neural crest</v>
      </c>
      <c r="G2714" s="9" t="s">
        <v>5090</v>
      </c>
      <c r="H2714" s="9" t="s">
        <v>22233</v>
      </c>
      <c r="I2714" s="9" t="s">
        <v>5157</v>
      </c>
      <c r="J2714" s="9" t="s">
        <v>5158</v>
      </c>
      <c r="K2714" s="4" t="s">
        <v>15175</v>
      </c>
      <c r="L2714" s="13">
        <v>10200</v>
      </c>
      <c r="M2714" t="str">
        <f>VLOOKUP(L2714,[1]Human_BrainSpan!$B$2:$C$4000,2,FALSE)</f>
        <v>A11m</v>
      </c>
    </row>
    <row r="2715" spans="2:13" x14ac:dyDescent="0.25">
      <c r="B2715" s="31" t="s">
        <v>26303</v>
      </c>
      <c r="C2715" s="20"/>
      <c r="D2715" s="25" t="s">
        <v>26232</v>
      </c>
      <c r="E2715" s="25" t="s">
        <v>26300</v>
      </c>
      <c r="F2715" s="9" t="str">
        <f t="shared" si="35"/>
        <v>structure with developmental contribution from neural crest</v>
      </c>
      <c r="G2715" s="9" t="s">
        <v>5090</v>
      </c>
      <c r="H2715" s="9" t="s">
        <v>22240</v>
      </c>
      <c r="I2715" s="9" t="s">
        <v>5159</v>
      </c>
      <c r="J2715" s="9" t="s">
        <v>5160</v>
      </c>
      <c r="K2715" s="4" t="s">
        <v>15175</v>
      </c>
      <c r="L2715" s="13">
        <v>10201</v>
      </c>
      <c r="M2715" t="str">
        <f>VLOOKUP(L2715,[1]Human_BrainSpan!$B$2:$C$4000,2,FALSE)</f>
        <v>A11l</v>
      </c>
    </row>
    <row r="2716" spans="2:13" x14ac:dyDescent="0.25">
      <c r="B2716" s="31" t="s">
        <v>26299</v>
      </c>
      <c r="C2716" s="25" t="s">
        <v>26080</v>
      </c>
      <c r="D2716" s="25" t="s">
        <v>26232</v>
      </c>
      <c r="E2716" s="25"/>
      <c r="F2716" s="9" t="str">
        <f t="shared" si="35"/>
        <v>structure with developmental contribution from neural crest</v>
      </c>
      <c r="G2716" s="9" t="s">
        <v>5090</v>
      </c>
      <c r="H2716" s="9" t="s">
        <v>16072</v>
      </c>
      <c r="I2716" s="9" t="s">
        <v>5161</v>
      </c>
      <c r="J2716" s="9" t="s">
        <v>5162</v>
      </c>
      <c r="K2716" s="4" t="s">
        <v>15175</v>
      </c>
      <c r="L2716" s="13">
        <v>10202</v>
      </c>
      <c r="M2716" t="str">
        <f>VLOOKUP(L2716,[1]Human_BrainSpan!$B$2:$C$4000,2,FALSE)</f>
        <v>A13</v>
      </c>
    </row>
    <row r="2717" spans="2:13" x14ac:dyDescent="0.25">
      <c r="B2717" s="31" t="s">
        <v>26299</v>
      </c>
      <c r="C2717" s="25" t="s">
        <v>26080</v>
      </c>
      <c r="D2717" s="25" t="s">
        <v>26232</v>
      </c>
      <c r="E2717" s="25"/>
      <c r="F2717" s="9" t="str">
        <f t="shared" si="35"/>
        <v>structure with developmental contribution from neural crest</v>
      </c>
      <c r="G2717" s="9" t="s">
        <v>5090</v>
      </c>
      <c r="H2717" s="9" t="s">
        <v>22247</v>
      </c>
      <c r="I2717" s="9" t="s">
        <v>5163</v>
      </c>
      <c r="J2717" s="9" t="s">
        <v>5164</v>
      </c>
      <c r="K2717" s="4" t="s">
        <v>15175</v>
      </c>
      <c r="L2717" s="13">
        <v>10203</v>
      </c>
      <c r="M2717" t="str">
        <f>VLOOKUP(L2717,[1]Human_BrainSpan!$B$2:$C$4000,2,FALSE)</f>
        <v>A13m</v>
      </c>
    </row>
    <row r="2718" spans="2:13" x14ac:dyDescent="0.25">
      <c r="B2718" s="31" t="s">
        <v>26299</v>
      </c>
      <c r="C2718" s="25" t="s">
        <v>26080</v>
      </c>
      <c r="D2718" s="25" t="s">
        <v>26232</v>
      </c>
      <c r="E2718" s="25"/>
      <c r="F2718" s="9" t="str">
        <f t="shared" si="35"/>
        <v>structure with developmental contribution from neural crest</v>
      </c>
      <c r="G2718" s="9" t="s">
        <v>5090</v>
      </c>
      <c r="H2718" s="9" t="s">
        <v>22254</v>
      </c>
      <c r="I2718" s="9" t="s">
        <v>5165</v>
      </c>
      <c r="J2718" s="9" t="s">
        <v>5166</v>
      </c>
      <c r="K2718" s="4" t="s">
        <v>15175</v>
      </c>
      <c r="L2718" s="13">
        <v>10204</v>
      </c>
      <c r="M2718" t="str">
        <f>VLOOKUP(L2718,[1]Human_BrainSpan!$B$2:$C$4000,2,FALSE)</f>
        <v>A13l</v>
      </c>
    </row>
    <row r="2719" spans="2:13" x14ac:dyDescent="0.25">
      <c r="B2719" s="31" t="s">
        <v>26299</v>
      </c>
      <c r="C2719" s="25" t="s">
        <v>26080</v>
      </c>
      <c r="D2719" s="25" t="s">
        <v>26232</v>
      </c>
      <c r="E2719" s="25"/>
      <c r="F2719" s="9" t="str">
        <f t="shared" si="35"/>
        <v>structure with developmental contribution from neural crest</v>
      </c>
      <c r="G2719" s="9" t="s">
        <v>5090</v>
      </c>
      <c r="H2719" s="9" t="s">
        <v>22261</v>
      </c>
      <c r="I2719" s="9" t="s">
        <v>5167</v>
      </c>
      <c r="J2719" s="9" t="s">
        <v>5168</v>
      </c>
      <c r="K2719" s="4" t="s">
        <v>15175</v>
      </c>
      <c r="L2719" s="13">
        <v>10205</v>
      </c>
      <c r="M2719" t="str">
        <f>VLOOKUP(L2719,[1]Human_BrainSpan!$B$2:$C$4000,2,FALSE)</f>
        <v>OFCl</v>
      </c>
    </row>
    <row r="2720" spans="2:13" x14ac:dyDescent="0.25">
      <c r="B2720" s="31" t="s">
        <v>26299</v>
      </c>
      <c r="C2720" s="25" t="s">
        <v>26080</v>
      </c>
      <c r="D2720" s="25" t="s">
        <v>26232</v>
      </c>
      <c r="E2720" s="25"/>
      <c r="F2720" s="9" t="str">
        <f t="shared" si="35"/>
        <v>structure with developmental contribution from neural crest</v>
      </c>
      <c r="G2720" s="9" t="s">
        <v>5090</v>
      </c>
      <c r="H2720" s="9" t="s">
        <v>22262</v>
      </c>
      <c r="I2720" s="9" t="s">
        <v>5169</v>
      </c>
      <c r="J2720" s="9" t="s">
        <v>5170</v>
      </c>
      <c r="K2720" s="4" t="s">
        <v>15175</v>
      </c>
      <c r="L2720" s="13">
        <v>10206</v>
      </c>
      <c r="M2720" t="str">
        <f>VLOOKUP(L2720,[1]Human_BrainSpan!$B$2:$C$4000,2,FALSE)</f>
        <v>A12/47m</v>
      </c>
    </row>
    <row r="2721" spans="2:13" x14ac:dyDescent="0.25">
      <c r="B2721" s="31" t="s">
        <v>26299</v>
      </c>
      <c r="C2721" s="25" t="s">
        <v>26080</v>
      </c>
      <c r="D2721" s="25" t="s">
        <v>26232</v>
      </c>
      <c r="E2721" s="25"/>
      <c r="F2721" s="9" t="str">
        <f t="shared" si="35"/>
        <v>structure with developmental contribution from neural crest</v>
      </c>
      <c r="G2721" s="9" t="s">
        <v>5090</v>
      </c>
      <c r="H2721" s="9" t="s">
        <v>22269</v>
      </c>
      <c r="I2721" s="9" t="s">
        <v>5171</v>
      </c>
      <c r="J2721" s="9" t="s">
        <v>5172</v>
      </c>
      <c r="K2721" s="4" t="s">
        <v>15175</v>
      </c>
      <c r="L2721" s="13">
        <v>10207</v>
      </c>
      <c r="M2721" t="str">
        <f>VLOOKUP(L2721,[1]Human_BrainSpan!$B$2:$C$4000,2,FALSE)</f>
        <v>A12/47l</v>
      </c>
    </row>
    <row r="2722" spans="2:13" x14ac:dyDescent="0.25">
      <c r="B2722" s="31" t="s">
        <v>26303</v>
      </c>
      <c r="C2722" s="25" t="s">
        <v>3729</v>
      </c>
      <c r="D2722" s="25" t="s">
        <v>26232</v>
      </c>
      <c r="E2722" s="25"/>
      <c r="F2722" s="9" t="str">
        <f t="shared" si="35"/>
        <v>structure with developmental contribution from neural crest</v>
      </c>
      <c r="G2722" s="9" t="s">
        <v>5090</v>
      </c>
      <c r="H2722" s="9" t="s">
        <v>15811</v>
      </c>
      <c r="I2722" s="9" t="s">
        <v>3727</v>
      </c>
      <c r="J2722" s="9" t="s">
        <v>3728</v>
      </c>
      <c r="K2722" s="4" t="s">
        <v>15175</v>
      </c>
      <c r="L2722" s="13">
        <v>10208</v>
      </c>
      <c r="M2722" t="str">
        <f>VLOOKUP(L2722,[1]Human_BrainSpan!$B$2:$C$4000,2,FALSE)</f>
        <v>PCx</v>
      </c>
    </row>
    <row r="2723" spans="2:13" x14ac:dyDescent="0.25">
      <c r="B2723" s="31" t="s">
        <v>26303</v>
      </c>
      <c r="C2723" s="25" t="s">
        <v>26173</v>
      </c>
      <c r="D2723" s="25" t="s">
        <v>26232</v>
      </c>
      <c r="E2723" s="25"/>
      <c r="F2723" s="9" t="str">
        <f t="shared" si="35"/>
        <v>structure with developmental contribution from neural crest</v>
      </c>
      <c r="G2723" s="9" t="s">
        <v>5090</v>
      </c>
      <c r="H2723" s="9" t="s">
        <v>22330</v>
      </c>
      <c r="I2723" s="9" t="s">
        <v>5173</v>
      </c>
      <c r="J2723" s="9" t="s">
        <v>5174</v>
      </c>
      <c r="K2723" s="4" t="s">
        <v>15175</v>
      </c>
      <c r="L2723" s="13">
        <v>10210</v>
      </c>
      <c r="M2723" t="str">
        <f>VLOOKUP(L2723,[1]Human_BrainSpan!$B$2:$C$4000,2,FALSE)</f>
        <v>S1hf</v>
      </c>
    </row>
    <row r="2724" spans="2:13" x14ac:dyDescent="0.25">
      <c r="B2724" s="31" t="s">
        <v>26303</v>
      </c>
      <c r="C2724" s="25" t="s">
        <v>26173</v>
      </c>
      <c r="D2724" s="25" t="s">
        <v>26232</v>
      </c>
      <c r="E2724" s="25"/>
      <c r="F2724" s="9" t="str">
        <f t="shared" si="35"/>
        <v>structure with developmental contribution from neural crest</v>
      </c>
      <c r="G2724" s="9" t="s">
        <v>5090</v>
      </c>
      <c r="H2724" s="9" t="s">
        <v>22337</v>
      </c>
      <c r="I2724" s="9" t="s">
        <v>5175</v>
      </c>
      <c r="J2724" s="9" t="s">
        <v>5176</v>
      </c>
      <c r="K2724" s="4" t="s">
        <v>15175</v>
      </c>
      <c r="L2724" s="13">
        <v>10211</v>
      </c>
      <c r="M2724" t="str">
        <f>VLOOKUP(L2724,[1]Human_BrainSpan!$B$2:$C$4000,2,FALSE)</f>
        <v>S1ul</v>
      </c>
    </row>
    <row r="2725" spans="2:13" x14ac:dyDescent="0.25">
      <c r="B2725" s="31" t="s">
        <v>26303</v>
      </c>
      <c r="C2725" s="25" t="s">
        <v>26173</v>
      </c>
      <c r="D2725" s="25" t="s">
        <v>26232</v>
      </c>
      <c r="E2725" s="25"/>
      <c r="F2725" s="9" t="str">
        <f t="shared" si="35"/>
        <v>structure with developmental contribution from neural crest</v>
      </c>
      <c r="G2725" s="9" t="s">
        <v>5090</v>
      </c>
      <c r="H2725" s="9" t="s">
        <v>22344</v>
      </c>
      <c r="I2725" s="9" t="s">
        <v>5177</v>
      </c>
      <c r="J2725" s="9" t="s">
        <v>5178</v>
      </c>
      <c r="K2725" s="4" t="s">
        <v>15175</v>
      </c>
      <c r="L2725" s="13">
        <v>10212</v>
      </c>
      <c r="M2725" t="str">
        <f>VLOOKUP(L2725,[1]Human_BrainSpan!$B$2:$C$4000,2,FALSE)</f>
        <v>S1tr</v>
      </c>
    </row>
    <row r="2726" spans="2:13" x14ac:dyDescent="0.25">
      <c r="B2726" s="31" t="s">
        <v>26303</v>
      </c>
      <c r="C2726" s="25" t="s">
        <v>26173</v>
      </c>
      <c r="D2726" s="25" t="s">
        <v>26232</v>
      </c>
      <c r="E2726" s="25"/>
      <c r="F2726" s="9" t="str">
        <f t="shared" si="35"/>
        <v>structure with developmental contribution from neural crest</v>
      </c>
      <c r="G2726" s="9" t="s">
        <v>5090</v>
      </c>
      <c r="H2726" s="9" t="s">
        <v>22351</v>
      </c>
      <c r="I2726" s="9" t="s">
        <v>5179</v>
      </c>
      <c r="J2726" s="9" t="s">
        <v>5180</v>
      </c>
      <c r="K2726" s="4" t="s">
        <v>15175</v>
      </c>
      <c r="L2726" s="13">
        <v>10213</v>
      </c>
      <c r="M2726" t="str">
        <f>VLOOKUP(L2726,[1]Human_BrainSpan!$B$2:$C$4000,2,FALSE)</f>
        <v>S1lm</v>
      </c>
    </row>
    <row r="2727" spans="2:13" x14ac:dyDescent="0.25">
      <c r="B2727" s="31" t="s">
        <v>26299</v>
      </c>
      <c r="C2727" s="25" t="s">
        <v>26244</v>
      </c>
      <c r="D2727" s="25" t="s">
        <v>26232</v>
      </c>
      <c r="E2727" s="20" t="s">
        <v>26300</v>
      </c>
      <c r="F2727" s="9" t="str">
        <f t="shared" si="35"/>
        <v>structure with developmental contribution from neural crest</v>
      </c>
      <c r="G2727" s="9" t="s">
        <v>5090</v>
      </c>
      <c r="H2727" s="9" t="s">
        <v>22361</v>
      </c>
      <c r="I2727" s="9" t="s">
        <v>5181</v>
      </c>
      <c r="J2727" s="9" t="s">
        <v>5182</v>
      </c>
      <c r="K2727" s="4" t="s">
        <v>15175</v>
      </c>
      <c r="L2727" s="13">
        <v>10216</v>
      </c>
      <c r="M2727" t="str">
        <f>VLOOKUP(L2727,[1]Human_BrainSpan!$B$2:$C$4000,2,FALSE)</f>
        <v>A5</v>
      </c>
    </row>
    <row r="2728" spans="2:13" x14ac:dyDescent="0.25">
      <c r="B2728" s="31" t="s">
        <v>26299</v>
      </c>
      <c r="C2728" s="25" t="s">
        <v>26244</v>
      </c>
      <c r="D2728" s="25" t="s">
        <v>26232</v>
      </c>
      <c r="E2728" s="20" t="s">
        <v>26300</v>
      </c>
      <c r="F2728" s="9" t="str">
        <f t="shared" si="35"/>
        <v>structure with developmental contribution from neural crest</v>
      </c>
      <c r="G2728" s="9" t="s">
        <v>5090</v>
      </c>
      <c r="H2728" s="9" t="s">
        <v>22362</v>
      </c>
      <c r="I2728" s="9" t="s">
        <v>5183</v>
      </c>
      <c r="J2728" s="9" t="s">
        <v>5184</v>
      </c>
      <c r="K2728" s="4" t="s">
        <v>15175</v>
      </c>
      <c r="L2728" s="13">
        <v>10217</v>
      </c>
      <c r="M2728" t="str">
        <f>VLOOKUP(L2728,[1]Human_BrainSpan!$B$2:$C$4000,2,FALSE)</f>
        <v>A5ci</v>
      </c>
    </row>
    <row r="2729" spans="2:13" x14ac:dyDescent="0.25">
      <c r="B2729" s="31" t="s">
        <v>26299</v>
      </c>
      <c r="C2729" s="25" t="s">
        <v>26244</v>
      </c>
      <c r="D2729" s="25" t="s">
        <v>26232</v>
      </c>
      <c r="E2729" s="20" t="s">
        <v>26300</v>
      </c>
      <c r="F2729" s="9" t="str">
        <f t="shared" si="35"/>
        <v>structure with developmental contribution from neural crest</v>
      </c>
      <c r="G2729" s="9" t="s">
        <v>5090</v>
      </c>
      <c r="H2729" s="9" t="s">
        <v>22369</v>
      </c>
      <c r="I2729" s="9" t="s">
        <v>5185</v>
      </c>
      <c r="J2729" s="9" t="s">
        <v>5186</v>
      </c>
      <c r="K2729" s="4" t="s">
        <v>15175</v>
      </c>
      <c r="L2729" s="13">
        <v>10218</v>
      </c>
      <c r="M2729" t="str">
        <f>VLOOKUP(L2729,[1]Human_BrainSpan!$B$2:$C$4000,2,FALSE)</f>
        <v>A5l</v>
      </c>
    </row>
    <row r="2730" spans="2:13" x14ac:dyDescent="0.25">
      <c r="B2730" s="31" t="s">
        <v>26299</v>
      </c>
      <c r="C2730" s="25" t="s">
        <v>26244</v>
      </c>
      <c r="D2730" s="25" t="s">
        <v>26232</v>
      </c>
      <c r="E2730" s="20" t="s">
        <v>26300</v>
      </c>
      <c r="F2730" s="9" t="str">
        <f t="shared" si="35"/>
        <v>structure with developmental contribution from neural crest</v>
      </c>
      <c r="G2730" s="9" t="s">
        <v>5090</v>
      </c>
      <c r="H2730" s="9" t="s">
        <v>22376</v>
      </c>
      <c r="I2730" s="9" t="s">
        <v>5187</v>
      </c>
      <c r="J2730" s="9" t="s">
        <v>5188</v>
      </c>
      <c r="K2730" s="4" t="s">
        <v>15175</v>
      </c>
      <c r="L2730" s="13">
        <v>10219</v>
      </c>
      <c r="M2730" t="str">
        <f>VLOOKUP(L2730,[1]Human_BrainSpan!$B$2:$C$4000,2,FALSE)</f>
        <v>A5m</v>
      </c>
    </row>
    <row r="2731" spans="2:13" x14ac:dyDescent="0.25">
      <c r="B2731" s="31" t="s">
        <v>26303</v>
      </c>
      <c r="C2731" s="20"/>
      <c r="D2731" s="25" t="s">
        <v>26185</v>
      </c>
      <c r="E2731" s="25" t="s">
        <v>26300</v>
      </c>
      <c r="F2731" s="9" t="str">
        <f t="shared" si="35"/>
        <v>structure with developmental contribution from neural crest</v>
      </c>
      <c r="G2731" s="9" t="s">
        <v>5090</v>
      </c>
      <c r="H2731" s="9" t="s">
        <v>17528</v>
      </c>
      <c r="I2731" s="9" t="s">
        <v>5189</v>
      </c>
      <c r="J2731" s="9" t="s">
        <v>5190</v>
      </c>
      <c r="K2731" s="4" t="s">
        <v>15175</v>
      </c>
      <c r="L2731" s="13">
        <v>10220</v>
      </c>
      <c r="M2731" t="str">
        <f>VLOOKUP(L2731,[1]Human_BrainSpan!$B$2:$C$4000,2,FALSE)</f>
        <v>A7</v>
      </c>
    </row>
    <row r="2732" spans="2:13" x14ac:dyDescent="0.25">
      <c r="B2732" s="31" t="s">
        <v>26303</v>
      </c>
      <c r="C2732" s="20"/>
      <c r="D2732" s="25" t="s">
        <v>26185</v>
      </c>
      <c r="E2732" s="25" t="s">
        <v>26300</v>
      </c>
      <c r="F2732" s="9" t="str">
        <f t="shared" si="35"/>
        <v>structure with developmental contribution from neural crest</v>
      </c>
      <c r="G2732" s="9" t="s">
        <v>5090</v>
      </c>
      <c r="H2732" s="9" t="s">
        <v>22383</v>
      </c>
      <c r="I2732" s="9" t="s">
        <v>5191</v>
      </c>
      <c r="J2732" s="9" t="s">
        <v>5192</v>
      </c>
      <c r="K2732" s="4" t="s">
        <v>15175</v>
      </c>
      <c r="L2732" s="13">
        <v>10221</v>
      </c>
      <c r="M2732" t="str">
        <f>VLOOKUP(L2732,[1]Human_BrainSpan!$B$2:$C$4000,2,FALSE)</f>
        <v>A7r</v>
      </c>
    </row>
    <row r="2733" spans="2:13" x14ac:dyDescent="0.25">
      <c r="B2733" s="31" t="s">
        <v>26303</v>
      </c>
      <c r="C2733" s="20"/>
      <c r="D2733" s="25" t="s">
        <v>26185</v>
      </c>
      <c r="E2733" s="25" t="s">
        <v>26300</v>
      </c>
      <c r="F2733" s="9" t="str">
        <f t="shared" si="35"/>
        <v>structure with developmental contribution from neural crest</v>
      </c>
      <c r="G2733" s="9" t="s">
        <v>5090</v>
      </c>
      <c r="H2733" s="9" t="s">
        <v>22390</v>
      </c>
      <c r="I2733" s="9" t="s">
        <v>5193</v>
      </c>
      <c r="J2733" s="9" t="s">
        <v>5194</v>
      </c>
      <c r="K2733" s="4" t="s">
        <v>15175</v>
      </c>
      <c r="L2733" s="13">
        <v>10222</v>
      </c>
      <c r="M2733" t="str">
        <f>VLOOKUP(L2733,[1]Human_BrainSpan!$B$2:$C$4000,2,FALSE)</f>
        <v>A7m</v>
      </c>
    </row>
    <row r="2734" spans="2:13" x14ac:dyDescent="0.25">
      <c r="B2734" s="31" t="s">
        <v>26303</v>
      </c>
      <c r="C2734" s="20"/>
      <c r="D2734" s="25" t="s">
        <v>26185</v>
      </c>
      <c r="E2734" s="25" t="s">
        <v>26300</v>
      </c>
      <c r="F2734" s="9" t="str">
        <f t="shared" si="35"/>
        <v>structure with developmental contribution from neural crest</v>
      </c>
      <c r="G2734" s="9" t="s">
        <v>5090</v>
      </c>
      <c r="H2734" s="9" t="s">
        <v>22397</v>
      </c>
      <c r="I2734" s="9" t="s">
        <v>5195</v>
      </c>
      <c r="J2734" s="9" t="s">
        <v>5196</v>
      </c>
      <c r="K2734" s="4" t="s">
        <v>15175</v>
      </c>
      <c r="L2734" s="13">
        <v>10223</v>
      </c>
      <c r="M2734" t="str">
        <f>VLOOKUP(L2734,[1]Human_BrainSpan!$B$2:$C$4000,2,FALSE)</f>
        <v>A7c</v>
      </c>
    </row>
    <row r="2735" spans="2:13" x14ac:dyDescent="0.25">
      <c r="B2735" s="31" t="s">
        <v>26303</v>
      </c>
      <c r="C2735" s="20"/>
      <c r="D2735" s="25" t="s">
        <v>26185</v>
      </c>
      <c r="E2735" s="25" t="s">
        <v>26300</v>
      </c>
      <c r="F2735" s="9" t="str">
        <f t="shared" si="35"/>
        <v>structure with developmental contribution from neural crest</v>
      </c>
      <c r="G2735" s="9" t="s">
        <v>5090</v>
      </c>
      <c r="H2735" s="9" t="s">
        <v>22404</v>
      </c>
      <c r="I2735" s="9" t="s">
        <v>5197</v>
      </c>
      <c r="J2735" s="9" t="s">
        <v>5198</v>
      </c>
      <c r="K2735" s="4" t="s">
        <v>15175</v>
      </c>
      <c r="L2735" s="13">
        <v>10224</v>
      </c>
      <c r="M2735" t="str">
        <f>VLOOKUP(L2735,[1]Human_BrainSpan!$B$2:$C$4000,2,FALSE)</f>
        <v>A7pc</v>
      </c>
    </row>
    <row r="2736" spans="2:13" x14ac:dyDescent="0.25">
      <c r="B2736" s="31" t="s">
        <v>26303</v>
      </c>
      <c r="C2736" s="25" t="s">
        <v>3976</v>
      </c>
      <c r="D2736" s="25" t="s">
        <v>26232</v>
      </c>
      <c r="E2736" s="25"/>
      <c r="F2736" s="9" t="str">
        <f t="shared" si="35"/>
        <v>structure with developmental contribution from neural crest</v>
      </c>
      <c r="G2736" s="9" t="s">
        <v>5090</v>
      </c>
      <c r="H2736" s="9" t="s">
        <v>17473</v>
      </c>
      <c r="I2736" s="9" t="s">
        <v>5199</v>
      </c>
      <c r="J2736" s="9" t="s">
        <v>5200</v>
      </c>
      <c r="K2736" s="4" t="s">
        <v>15175</v>
      </c>
      <c r="L2736" s="13">
        <v>10225</v>
      </c>
      <c r="M2736" t="str">
        <f>VLOOKUP(L2736,[1]Human_BrainSpan!$B$2:$C$4000,2,FALSE)</f>
        <v>IPC</v>
      </c>
    </row>
    <row r="2737" spans="2:13" x14ac:dyDescent="0.25">
      <c r="B2737" s="31" t="s">
        <v>26299</v>
      </c>
      <c r="C2737" s="25" t="s">
        <v>25968</v>
      </c>
      <c r="D2737" s="25" t="s">
        <v>26232</v>
      </c>
      <c r="E2737" s="25"/>
      <c r="F2737" s="9" t="str">
        <f t="shared" si="35"/>
        <v>structure with developmental contribution from neural crest</v>
      </c>
      <c r="G2737" s="9" t="s">
        <v>5090</v>
      </c>
      <c r="H2737" s="9" t="s">
        <v>22426</v>
      </c>
      <c r="I2737" s="9" t="s">
        <v>5201</v>
      </c>
      <c r="J2737" s="9" t="s">
        <v>5202</v>
      </c>
      <c r="K2737" s="4" t="s">
        <v>15175</v>
      </c>
      <c r="L2737" s="13">
        <v>10226</v>
      </c>
      <c r="M2737" t="str">
        <f>VLOOKUP(L2737,[1]Human_BrainSpan!$B$2:$C$4000,2,FALSE)</f>
        <v>A40</v>
      </c>
    </row>
    <row r="2738" spans="2:13" x14ac:dyDescent="0.25">
      <c r="B2738" s="31" t="s">
        <v>26299</v>
      </c>
      <c r="C2738" s="25" t="s">
        <v>25968</v>
      </c>
      <c r="D2738" s="25" t="s">
        <v>26232</v>
      </c>
      <c r="E2738" s="25"/>
      <c r="F2738" s="9" t="str">
        <f t="shared" si="35"/>
        <v>structure with developmental contribution from neural crest</v>
      </c>
      <c r="G2738" s="9" t="s">
        <v>5090</v>
      </c>
      <c r="H2738" s="9" t="s">
        <v>22427</v>
      </c>
      <c r="I2738" s="9" t="s">
        <v>5203</v>
      </c>
      <c r="J2738" s="9" t="s">
        <v>5204</v>
      </c>
      <c r="K2738" s="4" t="s">
        <v>15175</v>
      </c>
      <c r="L2738" s="13">
        <v>10227</v>
      </c>
      <c r="M2738" t="str">
        <f>VLOOKUP(L2738,[1]Human_BrainSpan!$B$2:$C$4000,2,FALSE)</f>
        <v>A40rd</v>
      </c>
    </row>
    <row r="2739" spans="2:13" x14ac:dyDescent="0.25">
      <c r="B2739" s="31" t="s">
        <v>26299</v>
      </c>
      <c r="C2739" s="25" t="s">
        <v>25968</v>
      </c>
      <c r="D2739" s="25" t="s">
        <v>26232</v>
      </c>
      <c r="E2739" s="25"/>
      <c r="F2739" s="9" t="str">
        <f t="shared" si="35"/>
        <v>structure with developmental contribution from neural crest</v>
      </c>
      <c r="G2739" s="9" t="s">
        <v>5090</v>
      </c>
      <c r="H2739" s="9" t="s">
        <v>22434</v>
      </c>
      <c r="I2739" s="9" t="s">
        <v>5205</v>
      </c>
      <c r="J2739" s="9" t="s">
        <v>5206</v>
      </c>
      <c r="K2739" s="4" t="s">
        <v>15175</v>
      </c>
      <c r="L2739" s="13">
        <v>10228</v>
      </c>
      <c r="M2739" t="str">
        <f>VLOOKUP(L2739,[1]Human_BrainSpan!$B$2:$C$4000,2,FALSE)</f>
        <v>A40rv</v>
      </c>
    </row>
    <row r="2740" spans="2:13" x14ac:dyDescent="0.25">
      <c r="B2740" s="31" t="s">
        <v>26299</v>
      </c>
      <c r="C2740" s="25" t="s">
        <v>25968</v>
      </c>
      <c r="D2740" s="25" t="s">
        <v>26232</v>
      </c>
      <c r="E2740" s="25"/>
      <c r="F2740" s="9" t="str">
        <f t="shared" si="35"/>
        <v>structure with developmental contribution from neural crest</v>
      </c>
      <c r="G2740" s="9" t="s">
        <v>5090</v>
      </c>
      <c r="H2740" s="9" t="s">
        <v>22441</v>
      </c>
      <c r="I2740" s="9" t="s">
        <v>5207</v>
      </c>
      <c r="J2740" s="9" t="s">
        <v>5208</v>
      </c>
      <c r="K2740" s="4" t="s">
        <v>15175</v>
      </c>
      <c r="L2740" s="13">
        <v>10231</v>
      </c>
      <c r="M2740" t="str">
        <f>VLOOKUP(L2740,[1]Human_BrainSpan!$B$2:$C$4000,2,FALSE)</f>
        <v>A40in</v>
      </c>
    </row>
    <row r="2741" spans="2:13" x14ac:dyDescent="0.25">
      <c r="B2741" s="31" t="s">
        <v>26299</v>
      </c>
      <c r="C2741" s="25" t="s">
        <v>25968</v>
      </c>
      <c r="D2741" s="25" t="s">
        <v>26232</v>
      </c>
      <c r="E2741" s="25"/>
      <c r="F2741" s="9" t="str">
        <f t="shared" si="35"/>
        <v>structure with developmental contribution from neural crest</v>
      </c>
      <c r="G2741" s="9" t="s">
        <v>5090</v>
      </c>
      <c r="H2741" s="9" t="s">
        <v>22463</v>
      </c>
      <c r="I2741" s="9" t="s">
        <v>5209</v>
      </c>
      <c r="J2741" s="9" t="s">
        <v>5210</v>
      </c>
      <c r="K2741" s="4" t="s">
        <v>15175</v>
      </c>
      <c r="L2741" s="13">
        <v>10232</v>
      </c>
      <c r="M2741" t="str">
        <f>VLOOKUP(L2741,[1]Human_BrainSpan!$B$2:$C$4000,2,FALSE)</f>
        <v>A39</v>
      </c>
    </row>
    <row r="2742" spans="2:13" x14ac:dyDescent="0.25">
      <c r="B2742" s="31" t="s">
        <v>26299</v>
      </c>
      <c r="C2742" s="25" t="s">
        <v>25968</v>
      </c>
      <c r="D2742" s="25" t="s">
        <v>26232</v>
      </c>
      <c r="E2742" s="25"/>
      <c r="F2742" s="9" t="str">
        <f t="shared" si="35"/>
        <v>structure with developmental contribution from neural crest</v>
      </c>
      <c r="G2742" s="9" t="s">
        <v>5090</v>
      </c>
      <c r="H2742" s="9" t="s">
        <v>22464</v>
      </c>
      <c r="I2742" s="9" t="s">
        <v>5211</v>
      </c>
      <c r="J2742" s="9" t="s">
        <v>5212</v>
      </c>
      <c r="K2742" s="4" t="s">
        <v>15175</v>
      </c>
      <c r="L2742" s="13">
        <v>10233</v>
      </c>
      <c r="M2742" t="str">
        <f>VLOOKUP(L2742,[1]Human_BrainSpan!$B$2:$C$4000,2,FALSE)</f>
        <v>A39r</v>
      </c>
    </row>
    <row r="2743" spans="2:13" x14ac:dyDescent="0.25">
      <c r="B2743" s="31" t="s">
        <v>26299</v>
      </c>
      <c r="C2743" s="25" t="s">
        <v>25968</v>
      </c>
      <c r="D2743" s="25" t="s">
        <v>26232</v>
      </c>
      <c r="E2743" s="25"/>
      <c r="F2743" s="9" t="str">
        <f t="shared" ref="F2743:F2806" si="36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2743" s="9" t="s">
        <v>5090</v>
      </c>
      <c r="H2743" s="9" t="s">
        <v>22471</v>
      </c>
      <c r="I2743" s="9" t="s">
        <v>5213</v>
      </c>
      <c r="J2743" s="9" t="s">
        <v>5214</v>
      </c>
      <c r="K2743" s="4" t="s">
        <v>15175</v>
      </c>
      <c r="L2743" s="13">
        <v>10234</v>
      </c>
      <c r="M2743" t="str">
        <f>VLOOKUP(L2743,[1]Human_BrainSpan!$B$2:$C$4000,2,FALSE)</f>
        <v>A39c</v>
      </c>
    </row>
    <row r="2744" spans="2:13" x14ac:dyDescent="0.25">
      <c r="B2744" s="31" t="s">
        <v>26303</v>
      </c>
      <c r="C2744" s="25" t="s">
        <v>9891</v>
      </c>
      <c r="D2744" s="25" t="s">
        <v>26232</v>
      </c>
      <c r="E2744" s="25"/>
      <c r="F2744" s="9" t="str">
        <f t="shared" si="36"/>
        <v>structure with developmental contribution from neural crest</v>
      </c>
      <c r="G2744" s="9" t="s">
        <v>5090</v>
      </c>
      <c r="H2744" s="9" t="s">
        <v>15839</v>
      </c>
      <c r="I2744" s="9" t="s">
        <v>5215</v>
      </c>
      <c r="J2744" s="9" t="s">
        <v>5216</v>
      </c>
      <c r="K2744" s="4" t="s">
        <v>15175</v>
      </c>
      <c r="L2744" s="13">
        <v>10235</v>
      </c>
      <c r="M2744" t="str">
        <f>VLOOKUP(L2744,[1]Human_BrainSpan!$B$2:$C$4000,2,FALSE)</f>
        <v>TCx</v>
      </c>
    </row>
    <row r="2745" spans="2:13" x14ac:dyDescent="0.25">
      <c r="B2745" s="31" t="s">
        <v>26303</v>
      </c>
      <c r="C2745" s="25" t="s">
        <v>26164</v>
      </c>
      <c r="D2745" s="25" t="s">
        <v>26232</v>
      </c>
      <c r="E2745" s="25"/>
      <c r="F2745" s="9" t="str">
        <f t="shared" si="36"/>
        <v>structure with developmental contribution from neural crest</v>
      </c>
      <c r="G2745" s="9" t="s">
        <v>5090</v>
      </c>
      <c r="H2745" s="9" t="s">
        <v>22480</v>
      </c>
      <c r="I2745" s="9" t="s">
        <v>5217</v>
      </c>
      <c r="J2745" s="9" t="s">
        <v>5218</v>
      </c>
      <c r="K2745" s="4" t="s">
        <v>15175</v>
      </c>
      <c r="L2745" s="13">
        <v>10237</v>
      </c>
      <c r="M2745" t="str">
        <f>VLOOKUP(L2745,[1]Human_BrainSpan!$B$2:$C$4000,2,FALSE)</f>
        <v>A41</v>
      </c>
    </row>
    <row r="2746" spans="2:13" x14ac:dyDescent="0.25">
      <c r="B2746" s="31" t="s">
        <v>26303</v>
      </c>
      <c r="C2746" s="25" t="s">
        <v>26164</v>
      </c>
      <c r="D2746" s="25" t="s">
        <v>26232</v>
      </c>
      <c r="E2746" s="25"/>
      <c r="F2746" s="9" t="str">
        <f t="shared" si="36"/>
        <v>structure with developmental contribution from neural crest</v>
      </c>
      <c r="G2746" s="9" t="s">
        <v>5090</v>
      </c>
      <c r="H2746" s="9" t="s">
        <v>22487</v>
      </c>
      <c r="I2746" s="9" t="s">
        <v>5219</v>
      </c>
      <c r="J2746" s="9" t="s">
        <v>5220</v>
      </c>
      <c r="K2746" s="4" t="s">
        <v>15175</v>
      </c>
      <c r="L2746" s="13">
        <v>10238</v>
      </c>
      <c r="M2746" t="str">
        <f>VLOOKUP(L2746,[1]Human_BrainSpan!$B$2:$C$4000,2,FALSE)</f>
        <v>A1Cr</v>
      </c>
    </row>
    <row r="2747" spans="2:13" x14ac:dyDescent="0.25">
      <c r="B2747" s="31" t="s">
        <v>26303</v>
      </c>
      <c r="C2747" s="20"/>
      <c r="D2747" s="25" t="s">
        <v>26232</v>
      </c>
      <c r="E2747" s="25" t="s">
        <v>26300</v>
      </c>
      <c r="F2747" s="9" t="str">
        <f t="shared" si="36"/>
        <v>structure with developmental contribution from neural crest</v>
      </c>
      <c r="G2747" s="9" t="s">
        <v>5090</v>
      </c>
      <c r="H2747" s="9" t="s">
        <v>22501</v>
      </c>
      <c r="I2747" s="9" t="s">
        <v>5221</v>
      </c>
      <c r="J2747" s="9" t="s">
        <v>5222</v>
      </c>
      <c r="K2747" s="4" t="s">
        <v>15175</v>
      </c>
      <c r="L2747" s="13">
        <v>10240</v>
      </c>
      <c r="M2747" t="str">
        <f>VLOOKUP(L2747,[1]Human_BrainSpan!$B$2:$C$4000,2,FALSE)</f>
        <v>SLTC</v>
      </c>
    </row>
    <row r="2748" spans="2:13" x14ac:dyDescent="0.25">
      <c r="B2748" s="31" t="s">
        <v>26299</v>
      </c>
      <c r="C2748" s="25" t="s">
        <v>14846</v>
      </c>
      <c r="D2748" s="25" t="s">
        <v>26232</v>
      </c>
      <c r="E2748" s="25"/>
      <c r="F2748" s="9" t="str">
        <f t="shared" si="36"/>
        <v>structure with developmental contribution from neural crest</v>
      </c>
      <c r="G2748" s="9" t="s">
        <v>5090</v>
      </c>
      <c r="H2748" s="9" t="s">
        <v>22502</v>
      </c>
      <c r="I2748" s="9" t="s">
        <v>5223</v>
      </c>
      <c r="J2748" s="9" t="s">
        <v>5224</v>
      </c>
      <c r="K2748" s="4" t="s">
        <v>15175</v>
      </c>
      <c r="L2748" s="13">
        <v>10241</v>
      </c>
      <c r="M2748" t="str">
        <f>VLOOKUP(L2748,[1]Human_BrainSpan!$B$2:$C$4000,2,FALSE)</f>
        <v>ASTC</v>
      </c>
    </row>
    <row r="2749" spans="2:13" x14ac:dyDescent="0.25">
      <c r="B2749" s="31" t="s">
        <v>26299</v>
      </c>
      <c r="C2749" s="25" t="s">
        <v>14846</v>
      </c>
      <c r="D2749" s="25" t="s">
        <v>26232</v>
      </c>
      <c r="E2749" s="25"/>
      <c r="F2749" s="9" t="str">
        <f t="shared" si="36"/>
        <v>structure with developmental contribution from neural crest</v>
      </c>
      <c r="G2749" s="9" t="s">
        <v>5090</v>
      </c>
      <c r="H2749" s="9" t="s">
        <v>22509</v>
      </c>
      <c r="I2749" s="9" t="s">
        <v>5225</v>
      </c>
      <c r="J2749" s="9" t="s">
        <v>5226</v>
      </c>
      <c r="K2749" s="4" t="s">
        <v>15175</v>
      </c>
      <c r="L2749" s="13">
        <v>10242</v>
      </c>
      <c r="M2749" t="str">
        <f>VLOOKUP(L2749,[1]Human_BrainSpan!$B$2:$C$4000,2,FALSE)</f>
        <v>ISTC</v>
      </c>
    </row>
    <row r="2750" spans="2:13" x14ac:dyDescent="0.25">
      <c r="B2750" s="31" t="s">
        <v>26299</v>
      </c>
      <c r="C2750" s="25" t="s">
        <v>14846</v>
      </c>
      <c r="D2750" s="25" t="s">
        <v>26232</v>
      </c>
      <c r="E2750" s="25"/>
      <c r="F2750" s="9" t="str">
        <f t="shared" si="36"/>
        <v>structure with developmental contribution from neural crest</v>
      </c>
      <c r="G2750" s="9" t="s">
        <v>5090</v>
      </c>
      <c r="H2750" s="9" t="s">
        <v>22516</v>
      </c>
      <c r="I2750" s="9" t="s">
        <v>5227</v>
      </c>
      <c r="J2750" s="9" t="s">
        <v>5228</v>
      </c>
      <c r="K2750" s="4" t="s">
        <v>15175</v>
      </c>
      <c r="L2750" s="13">
        <v>10243</v>
      </c>
      <c r="M2750" t="str">
        <f>VLOOKUP(L2750,[1]Human_BrainSpan!$B$2:$C$4000,2,FALSE)</f>
        <v>STC</v>
      </c>
    </row>
    <row r="2751" spans="2:13" x14ac:dyDescent="0.25">
      <c r="B2751" s="31" t="s">
        <v>26299</v>
      </c>
      <c r="C2751" s="25" t="s">
        <v>14846</v>
      </c>
      <c r="D2751" s="25" t="s">
        <v>26232</v>
      </c>
      <c r="E2751" s="25"/>
      <c r="F2751" s="9" t="str">
        <f t="shared" si="36"/>
        <v>structure with developmental contribution from neural crest</v>
      </c>
      <c r="G2751" s="9" t="s">
        <v>5090</v>
      </c>
      <c r="H2751" s="9" t="s">
        <v>22523</v>
      </c>
      <c r="I2751" s="9" t="s">
        <v>5229</v>
      </c>
      <c r="J2751" s="9" t="s">
        <v>5230</v>
      </c>
      <c r="K2751" s="4" t="s">
        <v>15175</v>
      </c>
      <c r="L2751" s="13">
        <v>10244</v>
      </c>
      <c r="M2751" t="str">
        <f>VLOOKUP(L2751,[1]Human_BrainSpan!$B$2:$C$4000,2,FALSE)</f>
        <v>PSTC</v>
      </c>
    </row>
    <row r="2752" spans="2:13" x14ac:dyDescent="0.25">
      <c r="B2752" s="31" t="s">
        <v>26299</v>
      </c>
      <c r="C2752" s="25" t="s">
        <v>14846</v>
      </c>
      <c r="D2752" s="25" t="s">
        <v>26232</v>
      </c>
      <c r="E2752" s="25"/>
      <c r="F2752" s="9" t="str">
        <f t="shared" si="36"/>
        <v>structure with developmental contribution from neural crest</v>
      </c>
      <c r="G2752" s="9" t="s">
        <v>5090</v>
      </c>
      <c r="H2752" s="9" t="s">
        <v>22524</v>
      </c>
      <c r="I2752" s="9" t="s">
        <v>5231</v>
      </c>
      <c r="J2752" s="9" t="s">
        <v>5232</v>
      </c>
      <c r="K2752" s="4" t="s">
        <v>15175</v>
      </c>
      <c r="L2752" s="13">
        <v>10245</v>
      </c>
      <c r="M2752" t="str">
        <f>VLOOKUP(L2752,[1]Human_BrainSpan!$B$2:$C$4000,2,FALSE)</f>
        <v>A22pr</v>
      </c>
    </row>
    <row r="2753" spans="2:13" x14ac:dyDescent="0.25">
      <c r="B2753" s="31" t="s">
        <v>26299</v>
      </c>
      <c r="C2753" s="25" t="s">
        <v>14846</v>
      </c>
      <c r="D2753" s="25" t="s">
        <v>26232</v>
      </c>
      <c r="E2753" s="25"/>
      <c r="F2753" s="9" t="str">
        <f t="shared" si="36"/>
        <v>structure with developmental contribution from neural crest</v>
      </c>
      <c r="G2753" s="9" t="s">
        <v>5090</v>
      </c>
      <c r="H2753" s="9" t="s">
        <v>22531</v>
      </c>
      <c r="I2753" s="9" t="s">
        <v>5233</v>
      </c>
      <c r="J2753" s="9" t="s">
        <v>5234</v>
      </c>
      <c r="K2753" s="4" t="s">
        <v>15175</v>
      </c>
      <c r="L2753" s="13">
        <v>10246</v>
      </c>
      <c r="M2753" t="str">
        <f>VLOOKUP(L2753,[1]Human_BrainSpan!$B$2:$C$4000,2,FALSE)</f>
        <v>A22pi</v>
      </c>
    </row>
    <row r="2754" spans="2:13" x14ac:dyDescent="0.25">
      <c r="B2754" s="31" t="s">
        <v>26299</v>
      </c>
      <c r="C2754" s="25" t="s">
        <v>14846</v>
      </c>
      <c r="D2754" s="25" t="s">
        <v>26232</v>
      </c>
      <c r="E2754" s="25"/>
      <c r="F2754" s="9" t="str">
        <f t="shared" si="36"/>
        <v>structure with developmental contribution from neural crest</v>
      </c>
      <c r="G2754" s="9" t="s">
        <v>5090</v>
      </c>
      <c r="H2754" s="9" t="s">
        <v>22538</v>
      </c>
      <c r="I2754" s="9" t="s">
        <v>5235</v>
      </c>
      <c r="J2754" s="9" t="s">
        <v>5236</v>
      </c>
      <c r="K2754" s="4" t="s">
        <v>15175</v>
      </c>
      <c r="L2754" s="13">
        <v>10247</v>
      </c>
      <c r="M2754" t="str">
        <f>VLOOKUP(L2754,[1]Human_BrainSpan!$B$2:$C$4000,2,FALSE)</f>
        <v>A22pc</v>
      </c>
    </row>
    <row r="2755" spans="2:13" x14ac:dyDescent="0.25">
      <c r="B2755" s="31" t="s">
        <v>26299</v>
      </c>
      <c r="C2755" s="25" t="s">
        <v>3165</v>
      </c>
      <c r="D2755" s="25" t="s">
        <v>26232</v>
      </c>
      <c r="E2755" s="25"/>
      <c r="F2755" s="9" t="str">
        <f t="shared" si="36"/>
        <v>structure with developmental contribution from neural crest</v>
      </c>
      <c r="G2755" s="9" t="s">
        <v>5090</v>
      </c>
      <c r="H2755" s="9" t="s">
        <v>22553</v>
      </c>
      <c r="I2755" s="9" t="s">
        <v>5237</v>
      </c>
      <c r="J2755" s="9" t="s">
        <v>5238</v>
      </c>
      <c r="K2755" s="4" t="s">
        <v>15175</v>
      </c>
      <c r="L2755" s="13">
        <v>10248</v>
      </c>
      <c r="M2755" t="str">
        <f>VLOOKUP(L2755,[1]Human_BrainSpan!$B$2:$C$4000,2,FALSE)</f>
        <v>MTC</v>
      </c>
    </row>
    <row r="2756" spans="2:13" x14ac:dyDescent="0.25">
      <c r="B2756" s="31" t="s">
        <v>26299</v>
      </c>
      <c r="C2756" s="25" t="s">
        <v>3165</v>
      </c>
      <c r="D2756" s="25" t="s">
        <v>26232</v>
      </c>
      <c r="E2756" s="25"/>
      <c r="F2756" s="9" t="str">
        <f t="shared" si="36"/>
        <v>structure with developmental contribution from neural crest</v>
      </c>
      <c r="G2756" s="9" t="s">
        <v>5090</v>
      </c>
      <c r="H2756" s="9" t="s">
        <v>22554</v>
      </c>
      <c r="I2756" s="9" t="s">
        <v>5239</v>
      </c>
      <c r="J2756" s="9" t="s">
        <v>5240</v>
      </c>
      <c r="K2756" s="4" t="s">
        <v>15175</v>
      </c>
      <c r="L2756" s="13">
        <v>10249</v>
      </c>
      <c r="M2756" t="str">
        <f>VLOOKUP(L2756,[1]Human_BrainSpan!$B$2:$C$4000,2,FALSE)</f>
        <v>A21r</v>
      </c>
    </row>
    <row r="2757" spans="2:13" x14ac:dyDescent="0.25">
      <c r="B2757" s="31" t="s">
        <v>26299</v>
      </c>
      <c r="C2757" s="25" t="s">
        <v>3165</v>
      </c>
      <c r="D2757" s="25" t="s">
        <v>26232</v>
      </c>
      <c r="E2757" s="25"/>
      <c r="F2757" s="9" t="str">
        <f t="shared" si="36"/>
        <v>structure with developmental contribution from neural crest</v>
      </c>
      <c r="G2757" s="9" t="s">
        <v>5090</v>
      </c>
      <c r="H2757" s="9" t="s">
        <v>22561</v>
      </c>
      <c r="I2757" s="9" t="s">
        <v>5241</v>
      </c>
      <c r="J2757" s="9" t="s">
        <v>5242</v>
      </c>
      <c r="K2757" s="4" t="s">
        <v>15175</v>
      </c>
      <c r="L2757" s="13">
        <v>10250</v>
      </c>
      <c r="M2757" t="str">
        <f>VLOOKUP(L2757,[1]Human_BrainSpan!$B$2:$C$4000,2,FALSE)</f>
        <v>A21i</v>
      </c>
    </row>
    <row r="2758" spans="2:13" x14ac:dyDescent="0.25">
      <c r="B2758" s="31" t="s">
        <v>26299</v>
      </c>
      <c r="C2758" s="25" t="s">
        <v>3165</v>
      </c>
      <c r="D2758" s="25" t="s">
        <v>26232</v>
      </c>
      <c r="E2758" s="25"/>
      <c r="F2758" s="9" t="str">
        <f t="shared" si="36"/>
        <v>structure with developmental contribution from neural crest</v>
      </c>
      <c r="G2758" s="9" t="s">
        <v>5090</v>
      </c>
      <c r="H2758" s="9" t="s">
        <v>22568</v>
      </c>
      <c r="I2758" s="9" t="s">
        <v>5243</v>
      </c>
      <c r="J2758" s="9" t="s">
        <v>5244</v>
      </c>
      <c r="K2758" s="4" t="s">
        <v>15175</v>
      </c>
      <c r="L2758" s="13">
        <v>10251</v>
      </c>
      <c r="M2758" t="str">
        <f>VLOOKUP(L2758,[1]Human_BrainSpan!$B$2:$C$4000,2,FALSE)</f>
        <v>A21c</v>
      </c>
    </row>
    <row r="2759" spans="2:13" x14ac:dyDescent="0.25">
      <c r="B2759" s="31" t="s">
        <v>26299</v>
      </c>
      <c r="C2759" s="25" t="s">
        <v>2416</v>
      </c>
      <c r="D2759" s="25" t="s">
        <v>26232</v>
      </c>
      <c r="E2759" s="25"/>
      <c r="F2759" s="9" t="str">
        <f t="shared" si="36"/>
        <v>structure with developmental contribution from neural crest</v>
      </c>
      <c r="G2759" s="9" t="s">
        <v>5090</v>
      </c>
      <c r="H2759" s="9" t="s">
        <v>22575</v>
      </c>
      <c r="I2759" s="9" t="s">
        <v>5245</v>
      </c>
      <c r="J2759" s="9" t="s">
        <v>5246</v>
      </c>
      <c r="K2759" s="4" t="s">
        <v>15175</v>
      </c>
      <c r="L2759" s="13">
        <v>10252</v>
      </c>
      <c r="M2759" t="str">
        <f>VLOOKUP(L2759,[1]Human_BrainSpan!$B$2:$C$4000,2,FALSE)</f>
        <v>ITC</v>
      </c>
    </row>
    <row r="2760" spans="2:13" x14ac:dyDescent="0.25">
      <c r="B2760" s="31" t="s">
        <v>26299</v>
      </c>
      <c r="C2760" s="25" t="s">
        <v>2416</v>
      </c>
      <c r="D2760" s="25" t="s">
        <v>26232</v>
      </c>
      <c r="E2760" s="25"/>
      <c r="F2760" s="9" t="str">
        <f t="shared" si="36"/>
        <v>structure with developmental contribution from neural crest</v>
      </c>
      <c r="G2760" s="9" t="s">
        <v>5090</v>
      </c>
      <c r="H2760" s="9" t="s">
        <v>22576</v>
      </c>
      <c r="I2760" s="9" t="s">
        <v>5247</v>
      </c>
      <c r="J2760" s="9" t="s">
        <v>5248</v>
      </c>
      <c r="K2760" s="4" t="s">
        <v>15175</v>
      </c>
      <c r="L2760" s="13">
        <v>10253</v>
      </c>
      <c r="M2760" t="str">
        <f>VLOOKUP(L2760,[1]Human_BrainSpan!$B$2:$C$4000,2,FALSE)</f>
        <v>A20r</v>
      </c>
    </row>
    <row r="2761" spans="2:13" x14ac:dyDescent="0.25">
      <c r="B2761" s="31" t="s">
        <v>26299</v>
      </c>
      <c r="C2761" s="25" t="s">
        <v>2416</v>
      </c>
      <c r="D2761" s="25" t="s">
        <v>26232</v>
      </c>
      <c r="E2761" s="25"/>
      <c r="F2761" s="9" t="str">
        <f t="shared" si="36"/>
        <v>structure with developmental contribution from neural crest</v>
      </c>
      <c r="G2761" s="9" t="s">
        <v>5090</v>
      </c>
      <c r="H2761" s="9" t="s">
        <v>22583</v>
      </c>
      <c r="I2761" s="9" t="s">
        <v>5249</v>
      </c>
      <c r="J2761" s="9" t="s">
        <v>5250</v>
      </c>
      <c r="K2761" s="4" t="s">
        <v>15175</v>
      </c>
      <c r="L2761" s="13">
        <v>10254</v>
      </c>
      <c r="M2761" t="str">
        <f>VLOOKUP(L2761,[1]Human_BrainSpan!$B$2:$C$4000,2,FALSE)</f>
        <v>A20i</v>
      </c>
    </row>
    <row r="2762" spans="2:13" x14ac:dyDescent="0.25">
      <c r="B2762" s="31" t="s">
        <v>26299</v>
      </c>
      <c r="C2762" s="25" t="s">
        <v>2416</v>
      </c>
      <c r="D2762" s="25" t="s">
        <v>26232</v>
      </c>
      <c r="E2762" s="25"/>
      <c r="F2762" s="9" t="str">
        <f t="shared" si="36"/>
        <v>structure with developmental contribution from neural crest</v>
      </c>
      <c r="G2762" s="9" t="s">
        <v>5090</v>
      </c>
      <c r="H2762" s="9" t="s">
        <v>22590</v>
      </c>
      <c r="I2762" s="9" t="s">
        <v>5251</v>
      </c>
      <c r="J2762" s="9" t="s">
        <v>5252</v>
      </c>
      <c r="K2762" s="4" t="s">
        <v>15175</v>
      </c>
      <c r="L2762" s="13">
        <v>10255</v>
      </c>
      <c r="M2762" t="str">
        <f>VLOOKUP(L2762,[1]Human_BrainSpan!$B$2:$C$4000,2,FALSE)</f>
        <v>A20c</v>
      </c>
    </row>
    <row r="2763" spans="2:13" x14ac:dyDescent="0.25">
      <c r="B2763" s="31" t="s">
        <v>26303</v>
      </c>
      <c r="C2763" s="25" t="s">
        <v>2046</v>
      </c>
      <c r="D2763" s="25" t="s">
        <v>26232</v>
      </c>
      <c r="E2763" s="25"/>
      <c r="F2763" s="9" t="str">
        <f t="shared" si="36"/>
        <v>structure with developmental contribution from neural crest</v>
      </c>
      <c r="G2763" s="9" t="s">
        <v>5090</v>
      </c>
      <c r="H2763" s="9" t="s">
        <v>22597</v>
      </c>
      <c r="I2763" s="9" t="s">
        <v>5253</v>
      </c>
      <c r="J2763" s="9" t="s">
        <v>5254</v>
      </c>
      <c r="K2763" s="4" t="s">
        <v>15175</v>
      </c>
      <c r="L2763" s="13">
        <v>10256</v>
      </c>
      <c r="M2763" t="str">
        <f>VLOOKUP(L2763,[1]Human_BrainSpan!$B$2:$C$4000,2,FALSE)</f>
        <v>MITC</v>
      </c>
    </row>
    <row r="2764" spans="2:13" x14ac:dyDescent="0.25">
      <c r="B2764" s="31" t="s">
        <v>26299</v>
      </c>
      <c r="C2764" s="20" t="s">
        <v>25748</v>
      </c>
      <c r="D2764" s="25" t="s">
        <v>26232</v>
      </c>
      <c r="E2764" s="25"/>
      <c r="F2764" s="9" t="str">
        <f t="shared" si="36"/>
        <v>structure with developmental contribution from neural crest</v>
      </c>
      <c r="G2764" s="9" t="s">
        <v>5090</v>
      </c>
      <c r="H2764" s="9" t="s">
        <v>22598</v>
      </c>
      <c r="I2764" s="9" t="s">
        <v>5255</v>
      </c>
      <c r="J2764" s="9" t="s">
        <v>5256</v>
      </c>
      <c r="K2764" s="4" t="s">
        <v>15175</v>
      </c>
      <c r="L2764" s="13">
        <v>10257</v>
      </c>
      <c r="M2764" t="str">
        <f>VLOOKUP(L2764,[1]Human_BrainSpan!$B$2:$C$4000,2,FALSE)</f>
        <v>A36</v>
      </c>
    </row>
    <row r="2765" spans="2:13" x14ac:dyDescent="0.25">
      <c r="B2765" s="31" t="s">
        <v>26299</v>
      </c>
      <c r="C2765" s="20" t="s">
        <v>25748</v>
      </c>
      <c r="D2765" s="25" t="s">
        <v>26232</v>
      </c>
      <c r="E2765" s="25"/>
      <c r="F2765" s="9" t="str">
        <f t="shared" si="36"/>
        <v>structure with developmental contribution from neural crest</v>
      </c>
      <c r="G2765" s="9" t="s">
        <v>5090</v>
      </c>
      <c r="H2765" s="9" t="s">
        <v>22599</v>
      </c>
      <c r="I2765" s="9" t="s">
        <v>5257</v>
      </c>
      <c r="J2765" s="9" t="s">
        <v>5258</v>
      </c>
      <c r="K2765" s="4" t="s">
        <v>15175</v>
      </c>
      <c r="L2765" s="13">
        <v>10258</v>
      </c>
      <c r="M2765" t="str">
        <f>VLOOKUP(L2765,[1]Human_BrainSpan!$B$2:$C$4000,2,FALSE)</f>
        <v>A36r</v>
      </c>
    </row>
    <row r="2766" spans="2:13" x14ac:dyDescent="0.25">
      <c r="B2766" s="31" t="s">
        <v>26299</v>
      </c>
      <c r="C2766" s="20" t="s">
        <v>25748</v>
      </c>
      <c r="D2766" s="25" t="s">
        <v>26232</v>
      </c>
      <c r="E2766" s="25"/>
      <c r="F2766" s="9" t="str">
        <f t="shared" si="36"/>
        <v>structure with developmental contribution from neural crest</v>
      </c>
      <c r="G2766" s="9" t="s">
        <v>5090</v>
      </c>
      <c r="H2766" s="9" t="s">
        <v>22606</v>
      </c>
      <c r="I2766" s="9" t="s">
        <v>5259</v>
      </c>
      <c r="J2766" s="9" t="s">
        <v>5260</v>
      </c>
      <c r="K2766" s="4" t="s">
        <v>15175</v>
      </c>
      <c r="L2766" s="13">
        <v>10259</v>
      </c>
      <c r="M2766" t="str">
        <f>VLOOKUP(L2766,[1]Human_BrainSpan!$B$2:$C$4000,2,FALSE)</f>
        <v>A36c</v>
      </c>
    </row>
    <row r="2767" spans="2:13" x14ac:dyDescent="0.25">
      <c r="B2767" s="31" t="s">
        <v>26299</v>
      </c>
      <c r="C2767" s="25" t="s">
        <v>2046</v>
      </c>
      <c r="D2767" s="25" t="s">
        <v>26232</v>
      </c>
      <c r="E2767" s="25"/>
      <c r="F2767" s="9" t="str">
        <f t="shared" si="36"/>
        <v>structure with developmental contribution from neural crest</v>
      </c>
      <c r="G2767" s="9" t="s">
        <v>5090</v>
      </c>
      <c r="H2767" s="9" t="s">
        <v>22613</v>
      </c>
      <c r="I2767" s="9" t="s">
        <v>5261</v>
      </c>
      <c r="J2767" s="9" t="s">
        <v>5262</v>
      </c>
      <c r="K2767" s="4" t="s">
        <v>15175</v>
      </c>
      <c r="L2767" s="13">
        <v>10260</v>
      </c>
      <c r="M2767" t="str">
        <f>VLOOKUP(L2767,[1]Human_BrainSpan!$B$2:$C$4000,2,FALSE)</f>
        <v>TF</v>
      </c>
    </row>
    <row r="2768" spans="2:13" x14ac:dyDescent="0.25">
      <c r="B2768" s="31" t="s">
        <v>26303</v>
      </c>
      <c r="C2768" s="25"/>
      <c r="D2768" s="25" t="s">
        <v>26232</v>
      </c>
      <c r="E2768" s="25" t="s">
        <v>26300</v>
      </c>
      <c r="F2768" s="9" t="str">
        <f t="shared" si="36"/>
        <v>structure with developmental contribution from neural crest</v>
      </c>
      <c r="G2768" s="9" t="s">
        <v>5090</v>
      </c>
      <c r="H2768" s="9" t="s">
        <v>22633</v>
      </c>
      <c r="I2768" s="9" t="s">
        <v>5263</v>
      </c>
      <c r="J2768" s="9" t="s">
        <v>5264</v>
      </c>
      <c r="K2768" s="4" t="s">
        <v>15175</v>
      </c>
      <c r="L2768" s="13">
        <v>10261</v>
      </c>
      <c r="M2768" t="str">
        <f>VLOOKUP(L2768,[1]Human_BrainSpan!$B$2:$C$4000,2,FALSE)</f>
        <v>TFO</v>
      </c>
    </row>
    <row r="2769" spans="2:13" x14ac:dyDescent="0.25">
      <c r="B2769" s="31" t="s">
        <v>26303</v>
      </c>
      <c r="C2769" s="20"/>
      <c r="D2769" s="25" t="s">
        <v>26232</v>
      </c>
      <c r="E2769" s="25" t="s">
        <v>26300</v>
      </c>
      <c r="F2769" s="9" t="str">
        <f t="shared" si="36"/>
        <v>structure with developmental contribution from neural crest</v>
      </c>
      <c r="G2769" s="9" t="s">
        <v>5090</v>
      </c>
      <c r="H2769" s="9" t="s">
        <v>22640</v>
      </c>
      <c r="I2769" s="9" t="s">
        <v>5265</v>
      </c>
      <c r="J2769" s="9" t="s">
        <v>5266</v>
      </c>
      <c r="K2769" s="4" t="s">
        <v>15175</v>
      </c>
      <c r="L2769" s="13">
        <v>10262</v>
      </c>
      <c r="M2769" t="str">
        <f>VLOOKUP(L2769,[1]Human_BrainSpan!$B$2:$C$4000,2,FALSE)</f>
        <v>A37</v>
      </c>
    </row>
    <row r="2770" spans="2:13" x14ac:dyDescent="0.25">
      <c r="B2770" s="31" t="s">
        <v>26303</v>
      </c>
      <c r="C2770" s="25" t="s">
        <v>3967</v>
      </c>
      <c r="D2770" s="25" t="s">
        <v>26232</v>
      </c>
      <c r="E2770" s="25"/>
      <c r="F2770" s="9" t="str">
        <f t="shared" si="36"/>
        <v>structure with developmental contribution from neural crest</v>
      </c>
      <c r="G2770" s="9" t="s">
        <v>5090</v>
      </c>
      <c r="H2770" s="9" t="s">
        <v>22620</v>
      </c>
      <c r="I2770" s="9" t="s">
        <v>5267</v>
      </c>
      <c r="J2770" s="9" t="s">
        <v>5268</v>
      </c>
      <c r="K2770" s="4" t="s">
        <v>15175</v>
      </c>
      <c r="L2770" s="13">
        <v>10263</v>
      </c>
      <c r="M2770" t="str">
        <f>VLOOKUP(L2770,[1]Human_BrainSpan!$B$2:$C$4000,2,FALSE)</f>
        <v>PPHC</v>
      </c>
    </row>
    <row r="2771" spans="2:13" x14ac:dyDescent="0.25">
      <c r="B2771" s="31" t="s">
        <v>26299</v>
      </c>
      <c r="C2771" s="25" t="s">
        <v>3967</v>
      </c>
      <c r="D2771" s="25" t="s">
        <v>26232</v>
      </c>
      <c r="E2771" s="25"/>
      <c r="F2771" s="9" t="str">
        <f t="shared" si="36"/>
        <v>structure with developmental contribution from neural crest</v>
      </c>
      <c r="G2771" s="9" t="s">
        <v>5090</v>
      </c>
      <c r="H2771" s="9" t="s">
        <v>19875</v>
      </c>
      <c r="I2771" s="9" t="s">
        <v>5269</v>
      </c>
      <c r="J2771" s="9" t="s">
        <v>5270</v>
      </c>
      <c r="K2771" s="4" t="s">
        <v>15175</v>
      </c>
      <c r="L2771" s="13">
        <v>10264</v>
      </c>
      <c r="M2771" t="str">
        <f>VLOOKUP(L2771,[1]Human_BrainSpan!$B$2:$C$4000,2,FALSE)</f>
        <v>TH</v>
      </c>
    </row>
    <row r="2772" spans="2:13" x14ac:dyDescent="0.25">
      <c r="B2772" s="31" t="s">
        <v>26299</v>
      </c>
      <c r="C2772" s="25" t="s">
        <v>3967</v>
      </c>
      <c r="D2772" s="25" t="s">
        <v>26232</v>
      </c>
      <c r="E2772" s="25"/>
      <c r="F2772" s="9" t="str">
        <f t="shared" si="36"/>
        <v>structure with developmental contribution from neural crest</v>
      </c>
      <c r="G2772" s="9" t="s">
        <v>5090</v>
      </c>
      <c r="H2772" s="9" t="s">
        <v>22626</v>
      </c>
      <c r="I2772" s="9" t="s">
        <v>5271</v>
      </c>
      <c r="J2772" s="9" t="s">
        <v>5272</v>
      </c>
      <c r="K2772" s="4" t="s">
        <v>15175</v>
      </c>
      <c r="L2772" s="13">
        <v>10265</v>
      </c>
      <c r="M2772" t="str">
        <f>VLOOKUP(L2772,[1]Human_BrainSpan!$B$2:$C$4000,2,FALSE)</f>
        <v>TL</v>
      </c>
    </row>
    <row r="2773" spans="2:13" x14ac:dyDescent="0.25">
      <c r="B2773" s="31" t="s">
        <v>26303</v>
      </c>
      <c r="C2773" s="25" t="s">
        <v>14932</v>
      </c>
      <c r="D2773" s="25" t="s">
        <v>26232</v>
      </c>
      <c r="E2773" s="25"/>
      <c r="F2773" s="9" t="str">
        <f t="shared" si="36"/>
        <v>structure with developmental contribution from neural crest</v>
      </c>
      <c r="G2773" s="9" t="s">
        <v>5090</v>
      </c>
      <c r="H2773" s="9" t="s">
        <v>22647</v>
      </c>
      <c r="I2773" s="9" t="s">
        <v>5273</v>
      </c>
      <c r="J2773" s="9" t="s">
        <v>5274</v>
      </c>
      <c r="K2773" s="4" t="s">
        <v>15175</v>
      </c>
      <c r="L2773" s="13">
        <v>10266</v>
      </c>
      <c r="M2773" t="str">
        <f>VLOOKUP(L2773,[1]Human_BrainSpan!$B$2:$C$4000,2,FALSE)</f>
        <v>A38</v>
      </c>
    </row>
    <row r="2774" spans="2:13" x14ac:dyDescent="0.25">
      <c r="B2774" s="31" t="s">
        <v>26303</v>
      </c>
      <c r="C2774" s="20"/>
      <c r="D2774" s="25" t="s">
        <v>26185</v>
      </c>
      <c r="E2774" s="25" t="s">
        <v>26300</v>
      </c>
      <c r="F2774" s="9" t="str">
        <f t="shared" si="36"/>
        <v>structure with developmental contribution from neural crest</v>
      </c>
      <c r="G2774" s="9" t="s">
        <v>5090</v>
      </c>
      <c r="H2774" s="9" t="s">
        <v>22545</v>
      </c>
      <c r="I2774" s="9" t="s">
        <v>5275</v>
      </c>
      <c r="J2774" s="9" t="s">
        <v>5276</v>
      </c>
      <c r="K2774" s="4" t="s">
        <v>15175</v>
      </c>
      <c r="L2774" s="13">
        <v>10267</v>
      </c>
      <c r="M2774" t="str">
        <f>VLOOKUP(L2774,[1]Human_BrainSpan!$B$2:$C$4000,2,FALSE)</f>
        <v>PI</v>
      </c>
    </row>
    <row r="2775" spans="2:13" x14ac:dyDescent="0.25">
      <c r="B2775" s="31" t="s">
        <v>26303</v>
      </c>
      <c r="C2775" s="25" t="s">
        <v>3376</v>
      </c>
      <c r="D2775" s="25" t="s">
        <v>26232</v>
      </c>
      <c r="E2775" s="25"/>
      <c r="F2775" s="9" t="str">
        <f t="shared" si="36"/>
        <v>structure with developmental contribution from neural crest</v>
      </c>
      <c r="G2775" s="9" t="s">
        <v>5090</v>
      </c>
      <c r="H2775" s="9" t="s">
        <v>22669</v>
      </c>
      <c r="I2775" s="9" t="s">
        <v>3374</v>
      </c>
      <c r="J2775" s="9" t="s">
        <v>3375</v>
      </c>
      <c r="K2775" s="4" t="s">
        <v>15175</v>
      </c>
      <c r="L2775" s="13">
        <v>10268</v>
      </c>
      <c r="M2775" t="str">
        <f>VLOOKUP(L2775,[1]Human_BrainSpan!$B$2:$C$4000,2,FALSE)</f>
        <v>Ocx</v>
      </c>
    </row>
    <row r="2776" spans="2:13" x14ac:dyDescent="0.25">
      <c r="B2776" s="31" t="s">
        <v>26303</v>
      </c>
      <c r="C2776" s="25" t="s">
        <v>26175</v>
      </c>
      <c r="D2776" s="25" t="s">
        <v>26232</v>
      </c>
      <c r="E2776" s="25"/>
      <c r="F2776" s="9" t="str">
        <f t="shared" si="36"/>
        <v>structure with developmental contribution from neural crest</v>
      </c>
      <c r="G2776" s="9" t="s">
        <v>5090</v>
      </c>
      <c r="H2776" s="9" t="s">
        <v>22677</v>
      </c>
      <c r="I2776" s="9" t="s">
        <v>5277</v>
      </c>
      <c r="J2776" s="9" t="s">
        <v>5278</v>
      </c>
      <c r="K2776" s="4" t="s">
        <v>15175</v>
      </c>
      <c r="L2776" s="13">
        <v>10269</v>
      </c>
      <c r="M2776" t="str">
        <f>VLOOKUP(L2776,[1]Human_BrainSpan!$B$2:$C$4000,2,FALSE)</f>
        <v>V1C</v>
      </c>
    </row>
    <row r="2777" spans="2:13" x14ac:dyDescent="0.25">
      <c r="B2777" s="31" t="s">
        <v>26303</v>
      </c>
      <c r="C2777" s="25" t="s">
        <v>25933</v>
      </c>
      <c r="D2777" s="25" t="s">
        <v>26232</v>
      </c>
      <c r="E2777" s="25"/>
      <c r="F2777" s="9" t="str">
        <f t="shared" si="36"/>
        <v>structure with developmental contribution from neural crest</v>
      </c>
      <c r="G2777" s="9" t="s">
        <v>5090</v>
      </c>
      <c r="H2777" s="9" t="s">
        <v>22689</v>
      </c>
      <c r="I2777" s="9" t="s">
        <v>1802</v>
      </c>
      <c r="J2777" s="9" t="s">
        <v>1803</v>
      </c>
      <c r="K2777" s="4" t="s">
        <v>15175</v>
      </c>
      <c r="L2777" s="13">
        <v>10270</v>
      </c>
      <c r="M2777" t="str">
        <f>VLOOKUP(L2777,[1]Human_BrainSpan!$B$2:$C$4000,2,FALSE)</f>
        <v>ESOC</v>
      </c>
    </row>
    <row r="2778" spans="2:13" x14ac:dyDescent="0.25">
      <c r="B2778" s="31" t="s">
        <v>26299</v>
      </c>
      <c r="C2778" s="25" t="s">
        <v>25933</v>
      </c>
      <c r="D2778" s="25" t="s">
        <v>26232</v>
      </c>
      <c r="E2778" s="25"/>
      <c r="F2778" s="9" t="str">
        <f t="shared" si="36"/>
        <v>structure with developmental contribution from neural crest</v>
      </c>
      <c r="G2778" s="9" t="s">
        <v>5090</v>
      </c>
      <c r="H2778" s="9" t="s">
        <v>22698</v>
      </c>
      <c r="I2778" s="9" t="s">
        <v>5279</v>
      </c>
      <c r="J2778" s="9" t="s">
        <v>5280</v>
      </c>
      <c r="K2778" s="4" t="s">
        <v>15175</v>
      </c>
      <c r="L2778" s="13">
        <v>10272</v>
      </c>
      <c r="M2778" t="str">
        <f>VLOOKUP(L2778,[1]Human_BrainSpan!$B$2:$C$4000,2,FALSE)</f>
        <v>PSC</v>
      </c>
    </row>
    <row r="2779" spans="2:13" x14ac:dyDescent="0.25">
      <c r="B2779" s="31" t="s">
        <v>26299</v>
      </c>
      <c r="C2779" s="25" t="s">
        <v>25933</v>
      </c>
      <c r="D2779" s="25" t="s">
        <v>26232</v>
      </c>
      <c r="E2779" s="25"/>
      <c r="F2779" s="9" t="str">
        <f t="shared" si="36"/>
        <v>structure with developmental contribution from neural crest</v>
      </c>
      <c r="G2779" s="9" t="s">
        <v>5090</v>
      </c>
      <c r="H2779" s="9" t="s">
        <v>20958</v>
      </c>
      <c r="I2779" s="9" t="s">
        <v>5281</v>
      </c>
      <c r="J2779" s="9" t="s">
        <v>5282</v>
      </c>
      <c r="K2779" s="4" t="s">
        <v>15175</v>
      </c>
      <c r="L2779" s="13">
        <v>10273</v>
      </c>
      <c r="M2779" t="str">
        <f>VLOOKUP(L2779,[1]Human_BrainSpan!$B$2:$C$4000,2,FALSE)</f>
        <v>V3</v>
      </c>
    </row>
    <row r="2780" spans="2:13" x14ac:dyDescent="0.25">
      <c r="B2780" s="31" t="s">
        <v>26299</v>
      </c>
      <c r="C2780" s="25" t="s">
        <v>25933</v>
      </c>
      <c r="D2780" s="25" t="s">
        <v>26232</v>
      </c>
      <c r="E2780" s="25"/>
      <c r="F2780" s="9" t="str">
        <f t="shared" si="36"/>
        <v>structure with developmental contribution from neural crest</v>
      </c>
      <c r="G2780" s="9" t="s">
        <v>5090</v>
      </c>
      <c r="H2780" s="9" t="s">
        <v>19884</v>
      </c>
      <c r="I2780" s="9" t="s">
        <v>5283</v>
      </c>
      <c r="J2780" s="9" t="s">
        <v>5284</v>
      </c>
      <c r="K2780" s="4" t="s">
        <v>15175</v>
      </c>
      <c r="L2780" s="13">
        <v>10274</v>
      </c>
      <c r="M2780" t="str">
        <f>VLOOKUP(L2780,[1]Human_BrainSpan!$B$2:$C$4000,2,FALSE)</f>
        <v>VP</v>
      </c>
    </row>
    <row r="2781" spans="2:13" x14ac:dyDescent="0.25">
      <c r="B2781" s="31" t="s">
        <v>26299</v>
      </c>
      <c r="C2781" s="25" t="s">
        <v>25933</v>
      </c>
      <c r="D2781" s="25" t="s">
        <v>26232</v>
      </c>
      <c r="E2781" s="25"/>
      <c r="F2781" s="9" t="str">
        <f t="shared" si="36"/>
        <v>structure with developmental contribution from neural crest</v>
      </c>
      <c r="G2781" s="9" t="s">
        <v>5090</v>
      </c>
      <c r="H2781" s="9" t="s">
        <v>22711</v>
      </c>
      <c r="I2781" s="9" t="s">
        <v>5285</v>
      </c>
      <c r="J2781" s="9" t="s">
        <v>5286</v>
      </c>
      <c r="K2781" s="4" t="s">
        <v>15175</v>
      </c>
      <c r="L2781" s="13">
        <v>10275</v>
      </c>
      <c r="M2781" t="str">
        <f>VLOOKUP(L2781,[1]Human_BrainSpan!$B$2:$C$4000,2,FALSE)</f>
        <v>V3A</v>
      </c>
    </row>
    <row r="2782" spans="2:13" x14ac:dyDescent="0.25">
      <c r="B2782" s="31" t="s">
        <v>26299</v>
      </c>
      <c r="C2782" s="25" t="s">
        <v>25933</v>
      </c>
      <c r="D2782" s="25" t="s">
        <v>26232</v>
      </c>
      <c r="E2782" s="25"/>
      <c r="F2782" s="9" t="str">
        <f t="shared" si="36"/>
        <v>structure with developmental contribution from neural crest</v>
      </c>
      <c r="G2782" s="9" t="s">
        <v>5090</v>
      </c>
      <c r="H2782" s="9" t="s">
        <v>20960</v>
      </c>
      <c r="I2782" s="9" t="s">
        <v>5287</v>
      </c>
      <c r="J2782" s="9" t="s">
        <v>5288</v>
      </c>
      <c r="K2782" s="4" t="s">
        <v>15175</v>
      </c>
      <c r="L2782" s="13">
        <v>10276</v>
      </c>
      <c r="M2782" t="str">
        <f>VLOOKUP(L2782,[1]Human_BrainSpan!$B$2:$C$4000,2,FALSE)</f>
        <v>V4</v>
      </c>
    </row>
    <row r="2783" spans="2:13" x14ac:dyDescent="0.25">
      <c r="B2783" s="31" t="s">
        <v>26303</v>
      </c>
      <c r="C2783" s="25" t="s">
        <v>4077</v>
      </c>
      <c r="D2783" s="25" t="s">
        <v>26232</v>
      </c>
      <c r="E2783" s="25"/>
      <c r="F2783" s="9" t="str">
        <f t="shared" si="36"/>
        <v>structure with developmental contribution from neural crest</v>
      </c>
      <c r="G2783" s="9" t="s">
        <v>5090</v>
      </c>
      <c r="H2783" s="9" t="s">
        <v>22786</v>
      </c>
      <c r="I2783" s="9" t="s">
        <v>5289</v>
      </c>
      <c r="J2783" s="9" t="s">
        <v>5290</v>
      </c>
      <c r="K2783" s="4" t="s">
        <v>15175</v>
      </c>
      <c r="L2783" s="13">
        <v>10278</v>
      </c>
      <c r="M2783" t="str">
        <f>VLOOKUP(L2783,[1]Human_BrainSpan!$B$2:$C$4000,2,FALSE)</f>
        <v>MFC</v>
      </c>
    </row>
    <row r="2784" spans="2:13" x14ac:dyDescent="0.25">
      <c r="B2784" s="31" t="s">
        <v>26299</v>
      </c>
      <c r="C2784" s="25" t="s">
        <v>3152</v>
      </c>
      <c r="D2784" s="25" t="s">
        <v>26232</v>
      </c>
      <c r="E2784" s="25"/>
      <c r="F2784" s="9" t="str">
        <f t="shared" si="36"/>
        <v>structure with developmental contribution from neural crest</v>
      </c>
      <c r="G2784" s="9" t="s">
        <v>5090</v>
      </c>
      <c r="H2784" s="9" t="s">
        <v>22787</v>
      </c>
      <c r="I2784" s="9" t="s">
        <v>5291</v>
      </c>
      <c r="J2784" s="9" t="s">
        <v>5292</v>
      </c>
      <c r="K2784" s="4" t="s">
        <v>15175</v>
      </c>
      <c r="L2784" s="13">
        <v>10279</v>
      </c>
      <c r="M2784" t="str">
        <f>VLOOKUP(L2784,[1]Human_BrainSpan!$B$2:$C$4000,2,FALSE)</f>
        <v>A24</v>
      </c>
    </row>
    <row r="2785" spans="2:13" x14ac:dyDescent="0.25">
      <c r="B2785" s="31" t="s">
        <v>26299</v>
      </c>
      <c r="C2785" s="25" t="s">
        <v>1242</v>
      </c>
      <c r="D2785" s="25" t="s">
        <v>26232</v>
      </c>
      <c r="E2785" s="25"/>
      <c r="F2785" s="9" t="str">
        <f t="shared" si="36"/>
        <v>structure with developmental contribution from neural crest</v>
      </c>
      <c r="G2785" s="9" t="s">
        <v>5090</v>
      </c>
      <c r="H2785" s="9" t="s">
        <v>22794</v>
      </c>
      <c r="I2785" s="9" t="s">
        <v>5293</v>
      </c>
      <c r="J2785" s="9" t="s">
        <v>5294</v>
      </c>
      <c r="K2785" s="4" t="s">
        <v>15175</v>
      </c>
      <c r="L2785" s="13">
        <v>10280</v>
      </c>
      <c r="M2785" t="str">
        <f>VLOOKUP(L2785,[1]Human_BrainSpan!$B$2:$C$4000,2,FALSE)</f>
        <v>A32</v>
      </c>
    </row>
    <row r="2786" spans="2:13" x14ac:dyDescent="0.25">
      <c r="B2786" s="31" t="s">
        <v>26299</v>
      </c>
      <c r="C2786" s="25" t="s">
        <v>3152</v>
      </c>
      <c r="D2786" s="25" t="s">
        <v>26232</v>
      </c>
      <c r="E2786" s="25"/>
      <c r="F2786" s="9" t="str">
        <f t="shared" si="36"/>
        <v>structure with developmental contribution from neural crest</v>
      </c>
      <c r="G2786" s="9" t="s">
        <v>5090</v>
      </c>
      <c r="H2786" s="9" t="s">
        <v>22801</v>
      </c>
      <c r="I2786" s="9" t="s">
        <v>5295</v>
      </c>
      <c r="J2786" s="9" t="s">
        <v>5296</v>
      </c>
      <c r="K2786" s="4" t="s">
        <v>15175</v>
      </c>
      <c r="L2786" s="13">
        <v>10281</v>
      </c>
      <c r="M2786" t="str">
        <f>VLOOKUP(L2786,[1]Human_BrainSpan!$B$2:$C$4000,2,FALSE)</f>
        <v>A25</v>
      </c>
    </row>
    <row r="2787" spans="2:13" x14ac:dyDescent="0.25">
      <c r="B2787" s="31" t="s">
        <v>26299</v>
      </c>
      <c r="C2787" s="25" t="s">
        <v>1242</v>
      </c>
      <c r="D2787" s="25" t="s">
        <v>26232</v>
      </c>
      <c r="E2787" s="25"/>
      <c r="F2787" s="9" t="str">
        <f t="shared" si="36"/>
        <v>structure with developmental contribution from neural crest</v>
      </c>
      <c r="G2787" s="9" t="s">
        <v>5090</v>
      </c>
      <c r="H2787" s="9" t="s">
        <v>22807</v>
      </c>
      <c r="I2787" s="9" t="s">
        <v>5297</v>
      </c>
      <c r="J2787" s="9" t="s">
        <v>5298</v>
      </c>
      <c r="K2787" s="4" t="s">
        <v>15175</v>
      </c>
      <c r="L2787" s="13">
        <v>10282</v>
      </c>
      <c r="M2787" t="str">
        <f>VLOOKUP(L2787,[1]Human_BrainSpan!$B$2:$C$4000,2,FALSE)</f>
        <v>MCC</v>
      </c>
    </row>
    <row r="2788" spans="2:13" x14ac:dyDescent="0.25">
      <c r="B2788" s="31" t="s">
        <v>26299</v>
      </c>
      <c r="C2788" s="25" t="s">
        <v>1242</v>
      </c>
      <c r="D2788" s="25" t="s">
        <v>26232</v>
      </c>
      <c r="E2788" s="25"/>
      <c r="F2788" s="9" t="str">
        <f t="shared" si="36"/>
        <v>structure with developmental contribution from neural crest</v>
      </c>
      <c r="G2788" s="9" t="s">
        <v>5090</v>
      </c>
      <c r="H2788" s="9" t="s">
        <v>22808</v>
      </c>
      <c r="I2788" s="9" t="s">
        <v>5299</v>
      </c>
      <c r="J2788" s="9" t="s">
        <v>5300</v>
      </c>
      <c r="K2788" s="4" t="s">
        <v>15175</v>
      </c>
      <c r="L2788" s="13">
        <v>10283</v>
      </c>
      <c r="M2788" t="str">
        <f>VLOOKUP(L2788,[1]Human_BrainSpan!$B$2:$C$4000,2,FALSE)</f>
        <v>A24mc</v>
      </c>
    </row>
    <row r="2789" spans="2:13" x14ac:dyDescent="0.25">
      <c r="B2789" s="31" t="s">
        <v>26299</v>
      </c>
      <c r="C2789" s="25" t="s">
        <v>1242</v>
      </c>
      <c r="D2789" s="25" t="s">
        <v>26232</v>
      </c>
      <c r="E2789" s="25"/>
      <c r="F2789" s="9" t="str">
        <f t="shared" si="36"/>
        <v>structure with developmental contribution from neural crest</v>
      </c>
      <c r="G2789" s="9" t="s">
        <v>5090</v>
      </c>
      <c r="H2789" s="9" t="s">
        <v>22815</v>
      </c>
      <c r="I2789" s="9" t="s">
        <v>5301</v>
      </c>
      <c r="J2789" s="9" t="s">
        <v>5302</v>
      </c>
      <c r="K2789" s="4" t="s">
        <v>15175</v>
      </c>
      <c r="L2789" s="13">
        <v>10284</v>
      </c>
      <c r="M2789" t="str">
        <f>VLOOKUP(L2789,[1]Human_BrainSpan!$B$2:$C$4000,2,FALSE)</f>
        <v>A32mc</v>
      </c>
    </row>
    <row r="2790" spans="2:13" x14ac:dyDescent="0.25">
      <c r="B2790" s="31" t="s">
        <v>26299</v>
      </c>
      <c r="C2790" s="25" t="s">
        <v>1242</v>
      </c>
      <c r="D2790" s="25" t="s">
        <v>26232</v>
      </c>
      <c r="E2790" s="25"/>
      <c r="F2790" s="9" t="str">
        <f t="shared" si="36"/>
        <v>structure with developmental contribution from neural crest</v>
      </c>
      <c r="G2790" s="9" t="s">
        <v>5090</v>
      </c>
      <c r="H2790" s="9" t="s">
        <v>22823</v>
      </c>
      <c r="I2790" s="9" t="s">
        <v>5303</v>
      </c>
      <c r="J2790" s="9" t="s">
        <v>5304</v>
      </c>
      <c r="K2790" s="4" t="s">
        <v>15175</v>
      </c>
      <c r="L2790" s="13">
        <v>10286</v>
      </c>
      <c r="M2790" t="str">
        <f>VLOOKUP(L2790,[1]Human_BrainSpan!$B$2:$C$4000,2,FALSE)</f>
        <v>A23</v>
      </c>
    </row>
    <row r="2791" spans="2:13" x14ac:dyDescent="0.25">
      <c r="B2791" s="31" t="s">
        <v>26299</v>
      </c>
      <c r="C2791" s="25" t="s">
        <v>1242</v>
      </c>
      <c r="D2791" s="25" t="s">
        <v>26232</v>
      </c>
      <c r="E2791" s="25"/>
      <c r="F2791" s="9" t="str">
        <f t="shared" si="36"/>
        <v>structure with developmental contribution from neural crest</v>
      </c>
      <c r="G2791" s="9" t="s">
        <v>5090</v>
      </c>
      <c r="H2791" s="9" t="s">
        <v>22830</v>
      </c>
      <c r="I2791" s="9" t="s">
        <v>5305</v>
      </c>
      <c r="J2791" s="9" t="s">
        <v>5306</v>
      </c>
      <c r="K2791" s="4" t="s">
        <v>15175</v>
      </c>
      <c r="L2791" s="13">
        <v>10287</v>
      </c>
      <c r="M2791" t="str">
        <f>VLOOKUP(L2791,[1]Human_BrainSpan!$B$2:$C$4000,2,FALSE)</f>
        <v>A31</v>
      </c>
    </row>
    <row r="2792" spans="2:13" x14ac:dyDescent="0.25">
      <c r="B2792" s="31" t="s">
        <v>26303</v>
      </c>
      <c r="C2792" s="25" t="s">
        <v>2440</v>
      </c>
      <c r="D2792" s="25" t="s">
        <v>26232</v>
      </c>
      <c r="E2792" s="25"/>
      <c r="F2792" s="9" t="str">
        <f t="shared" si="36"/>
        <v>structure with developmental contribution from neural crest</v>
      </c>
      <c r="G2792" s="9" t="s">
        <v>5090</v>
      </c>
      <c r="H2792" s="9" t="s">
        <v>22755</v>
      </c>
      <c r="I2792" s="9" t="s">
        <v>2438</v>
      </c>
      <c r="J2792" s="9" t="s">
        <v>2439</v>
      </c>
      <c r="K2792" s="4" t="s">
        <v>15175</v>
      </c>
      <c r="L2792" s="13">
        <v>10288</v>
      </c>
      <c r="M2792" t="str">
        <f>VLOOKUP(L2792,[1]Human_BrainSpan!$B$2:$C$4000,2,FALSE)</f>
        <v>ICx</v>
      </c>
    </row>
    <row r="2793" spans="2:13" x14ac:dyDescent="0.25">
      <c r="B2793" s="31" t="s">
        <v>26303</v>
      </c>
      <c r="C2793" s="20" t="s">
        <v>26314</v>
      </c>
      <c r="D2793" s="25" t="s">
        <v>26232</v>
      </c>
      <c r="E2793" s="25" t="s">
        <v>26300</v>
      </c>
      <c r="F2793" s="9" t="str">
        <f t="shared" si="36"/>
        <v>structure with developmental contribution from neural crest</v>
      </c>
      <c r="G2793" s="9" t="s">
        <v>5090</v>
      </c>
      <c r="H2793" s="9" t="s">
        <v>22328</v>
      </c>
      <c r="I2793" s="9" t="s">
        <v>5307</v>
      </c>
      <c r="J2793" s="9" t="s">
        <v>5308</v>
      </c>
      <c r="K2793" s="4" t="s">
        <v>15175</v>
      </c>
      <c r="L2793" s="13">
        <v>10291</v>
      </c>
      <c r="M2793" t="str">
        <f>VLOOKUP(L2793,[1]Human_BrainSpan!$B$2:$C$4000,2,FALSE)</f>
        <v>M1C-S1C</v>
      </c>
    </row>
    <row r="2794" spans="2:13" x14ac:dyDescent="0.25">
      <c r="B2794" s="31" t="s">
        <v>26303</v>
      </c>
      <c r="C2794" s="20"/>
      <c r="D2794" s="25" t="s">
        <v>26232</v>
      </c>
      <c r="E2794" s="25" t="s">
        <v>26309</v>
      </c>
      <c r="F2794" s="9" t="str">
        <f t="shared" si="36"/>
        <v>structure with developmental contribution from neural crest</v>
      </c>
      <c r="G2794" s="9" t="s">
        <v>5090</v>
      </c>
      <c r="H2794" s="9" t="s">
        <v>19689</v>
      </c>
      <c r="I2794" s="9" t="s">
        <v>5309</v>
      </c>
      <c r="J2794" s="9" t="s">
        <v>5310</v>
      </c>
      <c r="K2794" s="4" t="s">
        <v>15175</v>
      </c>
      <c r="L2794" s="13">
        <v>10303</v>
      </c>
      <c r="M2794" t="str">
        <f>VLOOKUP(L2794,[1]Human_BrainSpan!$B$2:$C$4000,2,FALSE)</f>
        <v>ProS</v>
      </c>
    </row>
    <row r="2795" spans="2:13" x14ac:dyDescent="0.25">
      <c r="B2795" s="31" t="s">
        <v>26303</v>
      </c>
      <c r="C2795" s="25" t="s">
        <v>387</v>
      </c>
      <c r="D2795" s="25" t="s">
        <v>26232</v>
      </c>
      <c r="E2795" s="25"/>
      <c r="F2795" s="9" t="str">
        <f t="shared" si="36"/>
        <v>structure with developmental contribution from neural crest</v>
      </c>
      <c r="G2795" s="9" t="s">
        <v>5090</v>
      </c>
      <c r="H2795" s="9" t="s">
        <v>19413</v>
      </c>
      <c r="I2795" s="9" t="s">
        <v>387</v>
      </c>
      <c r="J2795" s="9" t="s">
        <v>388</v>
      </c>
      <c r="K2795" s="4" t="s">
        <v>15175</v>
      </c>
      <c r="L2795" s="13">
        <v>10308</v>
      </c>
      <c r="M2795" t="str">
        <f>VLOOKUP(L2795,[1]Human_BrainSpan!$B$2:$C$4000,2,FALSE)</f>
        <v>AON</v>
      </c>
    </row>
    <row r="2796" spans="2:13" x14ac:dyDescent="0.25">
      <c r="B2796" s="31" t="s">
        <v>26303</v>
      </c>
      <c r="C2796" s="25" t="s">
        <v>3283</v>
      </c>
      <c r="D2796" s="25" t="s">
        <v>26232</v>
      </c>
      <c r="E2796" s="25"/>
      <c r="F2796" s="9" t="str">
        <f t="shared" si="36"/>
        <v>structure with developmental contribution from neural crest</v>
      </c>
      <c r="G2796" s="9" t="s">
        <v>5090</v>
      </c>
      <c r="H2796" s="9" t="s">
        <v>19475</v>
      </c>
      <c r="I2796" s="9" t="s">
        <v>3283</v>
      </c>
      <c r="J2796" s="9" t="s">
        <v>3284</v>
      </c>
      <c r="K2796" s="4" t="s">
        <v>15175</v>
      </c>
      <c r="L2796" s="13">
        <v>10309</v>
      </c>
      <c r="M2796" t="str">
        <f>VLOOKUP(L2796,[1]Human_BrainSpan!$B$2:$C$4000,2,FALSE)</f>
        <v>NLOT</v>
      </c>
    </row>
    <row r="2797" spans="2:13" x14ac:dyDescent="0.25">
      <c r="B2797" s="31" t="s">
        <v>26303</v>
      </c>
      <c r="C2797" s="25" t="s">
        <v>3471</v>
      </c>
      <c r="D2797" s="25" t="s">
        <v>26232</v>
      </c>
      <c r="E2797" s="25"/>
      <c r="F2797" s="9" t="str">
        <f t="shared" si="36"/>
        <v>structure with developmental contribution from neural crest</v>
      </c>
      <c r="G2797" s="9" t="s">
        <v>5090</v>
      </c>
      <c r="H2797" s="9" t="s">
        <v>19752</v>
      </c>
      <c r="I2797" s="9" t="s">
        <v>3471</v>
      </c>
      <c r="J2797" s="9" t="s">
        <v>3472</v>
      </c>
      <c r="K2797" s="4" t="s">
        <v>15175</v>
      </c>
      <c r="L2797" s="13">
        <v>10310</v>
      </c>
      <c r="M2797" t="str">
        <f>VLOOKUP(L2797,[1]Human_BrainSpan!$B$2:$C$4000,2,FALSE)</f>
        <v>OT</v>
      </c>
    </row>
    <row r="2798" spans="2:13" x14ac:dyDescent="0.25">
      <c r="B2798" s="31" t="s">
        <v>26303</v>
      </c>
      <c r="C2798" s="20"/>
      <c r="D2798" s="25" t="s">
        <v>26232</v>
      </c>
      <c r="E2798" s="25" t="s">
        <v>26300</v>
      </c>
      <c r="F2798" s="9" t="str">
        <f t="shared" si="36"/>
        <v>structure with developmental contribution from neural crest</v>
      </c>
      <c r="G2798" s="9" t="s">
        <v>5090</v>
      </c>
      <c r="H2798" s="9" t="s">
        <v>23145</v>
      </c>
      <c r="I2798" s="9" t="s">
        <v>5311</v>
      </c>
      <c r="J2798" s="9" t="s">
        <v>5312</v>
      </c>
      <c r="K2798" s="4" t="s">
        <v>15175</v>
      </c>
      <c r="L2798" s="13">
        <v>10312</v>
      </c>
      <c r="M2798" t="str">
        <f>VLOOKUP(L2798,[1]Human_BrainSpan!$B$2:$C$4000,2,FALSE)</f>
        <v>PEA</v>
      </c>
    </row>
    <row r="2799" spans="2:13" x14ac:dyDescent="0.25">
      <c r="B2799" s="31" t="s">
        <v>26303</v>
      </c>
      <c r="C2799" s="20"/>
      <c r="D2799" s="25" t="s">
        <v>26185</v>
      </c>
      <c r="E2799" s="25" t="s">
        <v>26300</v>
      </c>
      <c r="F2799" s="9" t="str">
        <f t="shared" si="36"/>
        <v>structure with developmental contribution from neural crest</v>
      </c>
      <c r="G2799" s="9" t="s">
        <v>5090</v>
      </c>
      <c r="H2799" s="9" t="s">
        <v>22838</v>
      </c>
      <c r="I2799" s="9" t="s">
        <v>5313</v>
      </c>
      <c r="J2799" s="9" t="s">
        <v>5314</v>
      </c>
      <c r="K2799" s="4" t="s">
        <v>15175</v>
      </c>
      <c r="L2799" s="13">
        <v>10314</v>
      </c>
      <c r="M2799" t="str">
        <f>VLOOKUP(L2799,[1]Human_BrainSpan!$B$2:$C$4000,2,FALSE)</f>
        <v>PArCx</v>
      </c>
    </row>
    <row r="2800" spans="2:13" x14ac:dyDescent="0.25">
      <c r="B2800" s="31" t="s">
        <v>26303</v>
      </c>
      <c r="C2800" s="25" t="s">
        <v>3815</v>
      </c>
      <c r="D2800" s="25" t="s">
        <v>26232</v>
      </c>
      <c r="E2800" s="25"/>
      <c r="F2800" s="9" t="str">
        <f t="shared" si="36"/>
        <v>structure with developmental contribution from neural crest</v>
      </c>
      <c r="G2800" s="9" t="s">
        <v>5090</v>
      </c>
      <c r="H2800" s="9" t="s">
        <v>22839</v>
      </c>
      <c r="I2800" s="9" t="s">
        <v>5315</v>
      </c>
      <c r="J2800" s="9" t="s">
        <v>5316</v>
      </c>
      <c r="K2800" s="4" t="s">
        <v>15175</v>
      </c>
      <c r="L2800" s="13">
        <v>10320</v>
      </c>
      <c r="M2800" t="str">
        <f>VLOOKUP(L2800,[1]Human_BrainSpan!$B$2:$C$4000,2,FALSE)</f>
        <v>A35</v>
      </c>
    </row>
    <row r="2801" spans="2:13" x14ac:dyDescent="0.25">
      <c r="B2801" s="31" t="s">
        <v>26299</v>
      </c>
      <c r="C2801" s="25" t="s">
        <v>3815</v>
      </c>
      <c r="D2801" s="25" t="s">
        <v>26232</v>
      </c>
      <c r="E2801" s="25"/>
      <c r="F2801" s="9" t="str">
        <f t="shared" si="36"/>
        <v>structure with developmental contribution from neural crest</v>
      </c>
      <c r="G2801" s="9" t="s">
        <v>5090</v>
      </c>
      <c r="H2801" s="9" t="s">
        <v>22840</v>
      </c>
      <c r="I2801" s="9" t="s">
        <v>5317</v>
      </c>
      <c r="J2801" s="9" t="s">
        <v>5318</v>
      </c>
      <c r="K2801" s="4" t="s">
        <v>15175</v>
      </c>
      <c r="L2801" s="13">
        <v>10321</v>
      </c>
      <c r="M2801" t="str">
        <f>VLOOKUP(L2801,[1]Human_BrainSpan!$B$2:$C$4000,2,FALSE)</f>
        <v>A35r</v>
      </c>
    </row>
    <row r="2802" spans="2:13" x14ac:dyDescent="0.25">
      <c r="B2802" s="31" t="s">
        <v>26299</v>
      </c>
      <c r="C2802" s="25" t="s">
        <v>3815</v>
      </c>
      <c r="D2802" s="25" t="s">
        <v>26232</v>
      </c>
      <c r="E2802" s="25"/>
      <c r="F2802" s="9" t="str">
        <f t="shared" si="36"/>
        <v>structure with developmental contribution from neural crest</v>
      </c>
      <c r="G2802" s="9" t="s">
        <v>5090</v>
      </c>
      <c r="H2802" s="9" t="s">
        <v>22849</v>
      </c>
      <c r="I2802" s="9" t="s">
        <v>5319</v>
      </c>
      <c r="J2802" s="9" t="s">
        <v>5320</v>
      </c>
      <c r="K2802" s="4" t="s">
        <v>15175</v>
      </c>
      <c r="L2802" s="13">
        <v>10322</v>
      </c>
      <c r="M2802" t="str">
        <f>VLOOKUP(L2802,[1]Human_BrainSpan!$B$2:$C$4000,2,FALSE)</f>
        <v>A35c</v>
      </c>
    </row>
    <row r="2803" spans="2:13" x14ac:dyDescent="0.25">
      <c r="B2803" s="31" t="s">
        <v>26299</v>
      </c>
      <c r="C2803" s="25" t="s">
        <v>26190</v>
      </c>
      <c r="D2803" s="25" t="s">
        <v>26232</v>
      </c>
      <c r="E2803" s="25"/>
      <c r="F2803" s="9" t="str">
        <f t="shared" si="36"/>
        <v>structure with developmental contribution from neural crest</v>
      </c>
      <c r="G2803" s="9" t="s">
        <v>5090</v>
      </c>
      <c r="H2803" s="9" t="s">
        <v>22977</v>
      </c>
      <c r="I2803" s="9" t="s">
        <v>5321</v>
      </c>
      <c r="J2803" s="9" t="s">
        <v>5322</v>
      </c>
      <c r="K2803" s="4" t="s">
        <v>15175</v>
      </c>
      <c r="L2803" s="13">
        <v>10325</v>
      </c>
      <c r="M2803" t="str">
        <f>VLOOKUP(L2803,[1]Human_BrainSpan!$B$2:$C$4000,2,FALSE)</f>
        <v>A29</v>
      </c>
    </row>
    <row r="2804" spans="2:13" x14ac:dyDescent="0.25">
      <c r="B2804" s="31" t="s">
        <v>26299</v>
      </c>
      <c r="C2804" s="25" t="s">
        <v>26190</v>
      </c>
      <c r="D2804" s="25" t="s">
        <v>26232</v>
      </c>
      <c r="E2804" s="25"/>
      <c r="F2804" s="9" t="str">
        <f t="shared" si="36"/>
        <v>structure with developmental contribution from neural crest</v>
      </c>
      <c r="G2804" s="9" t="s">
        <v>5090</v>
      </c>
      <c r="H2804" s="9" t="s">
        <v>22982</v>
      </c>
      <c r="I2804" s="9" t="s">
        <v>5323</v>
      </c>
      <c r="J2804" s="9" t="s">
        <v>5324</v>
      </c>
      <c r="K2804" s="4" t="s">
        <v>15175</v>
      </c>
      <c r="L2804" s="13">
        <v>10326</v>
      </c>
      <c r="M2804" t="str">
        <f>VLOOKUP(L2804,[1]Human_BrainSpan!$B$2:$C$4000,2,FALSE)</f>
        <v>A30</v>
      </c>
    </row>
    <row r="2805" spans="2:13" x14ac:dyDescent="0.25">
      <c r="B2805" s="31" t="s">
        <v>26303</v>
      </c>
      <c r="C2805" s="20"/>
      <c r="D2805" s="25" t="s">
        <v>26232</v>
      </c>
      <c r="E2805" s="25" t="s">
        <v>26300</v>
      </c>
      <c r="F2805" s="9" t="str">
        <f t="shared" si="36"/>
        <v>structure with developmental contribution from neural crest</v>
      </c>
      <c r="G2805" s="9" t="s">
        <v>5090</v>
      </c>
      <c r="H2805" s="9" t="s">
        <v>22988</v>
      </c>
      <c r="I2805" s="9" t="s">
        <v>5325</v>
      </c>
      <c r="J2805" s="9" t="s">
        <v>5326</v>
      </c>
      <c r="K2805" s="4" t="s">
        <v>15175</v>
      </c>
      <c r="L2805" s="13">
        <v>10327</v>
      </c>
      <c r="M2805" t="str">
        <f>VLOOKUP(L2805,[1]Human_BrainSpan!$B$2:$C$4000,2,FALSE)</f>
        <v>PPCx</v>
      </c>
    </row>
    <row r="2806" spans="2:13" x14ac:dyDescent="0.25">
      <c r="B2806" s="31" t="s">
        <v>26299</v>
      </c>
      <c r="C2806" s="25" t="s">
        <v>25771</v>
      </c>
      <c r="D2806" s="25" t="s">
        <v>26232</v>
      </c>
      <c r="E2806" s="25"/>
      <c r="F2806" s="9" t="str">
        <f t="shared" si="36"/>
        <v>structure with developmental contribution from neural crest</v>
      </c>
      <c r="G2806" s="9" t="s">
        <v>5090</v>
      </c>
      <c r="H2806" s="9" t="s">
        <v>22995</v>
      </c>
      <c r="I2806" s="9" t="s">
        <v>5327</v>
      </c>
      <c r="J2806" s="9" t="s">
        <v>5328</v>
      </c>
      <c r="K2806" s="4" t="s">
        <v>15175</v>
      </c>
      <c r="L2806" s="13">
        <v>10329</v>
      </c>
      <c r="M2806" t="str">
        <f>VLOOKUP(L2806,[1]Human_BrainSpan!$B$2:$C$4000,2,FALSE)</f>
        <v>FI</v>
      </c>
    </row>
    <row r="2807" spans="2:13" x14ac:dyDescent="0.25">
      <c r="B2807" s="31" t="s">
        <v>26299</v>
      </c>
      <c r="C2807" s="25" t="s">
        <v>25771</v>
      </c>
      <c r="D2807" s="25" t="s">
        <v>26232</v>
      </c>
      <c r="E2807" s="25"/>
      <c r="F2807" s="9" t="str">
        <f t="shared" ref="F2807:F2870" si="37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2807" s="9" t="s">
        <v>5090</v>
      </c>
      <c r="H2807" s="9" t="s">
        <v>23001</v>
      </c>
      <c r="I2807" s="9" t="s">
        <v>5329</v>
      </c>
      <c r="J2807" s="9" t="s">
        <v>5330</v>
      </c>
      <c r="K2807" s="4" t="s">
        <v>15175</v>
      </c>
      <c r="L2807" s="13">
        <v>10330</v>
      </c>
      <c r="M2807" t="str">
        <f>VLOOKUP(L2807,[1]Human_BrainSpan!$B$2:$C$4000,2,FALSE)</f>
        <v>TI</v>
      </c>
    </row>
    <row r="2808" spans="2:13" x14ac:dyDescent="0.25">
      <c r="B2808" s="31" t="s">
        <v>26303</v>
      </c>
      <c r="C2808" s="20"/>
      <c r="D2808" s="25" t="s">
        <v>26185</v>
      </c>
      <c r="E2808" s="25" t="s">
        <v>26300</v>
      </c>
      <c r="F2808" s="9" t="str">
        <f t="shared" si="37"/>
        <v>structure with developmental contribution from neural crest</v>
      </c>
      <c r="G2808" s="9" t="s">
        <v>5090</v>
      </c>
      <c r="H2808" s="9" t="s">
        <v>20397</v>
      </c>
      <c r="I2808" s="9" t="s">
        <v>1285</v>
      </c>
      <c r="J2808" s="9" t="s">
        <v>1286</v>
      </c>
      <c r="K2808" s="4" t="s">
        <v>15175</v>
      </c>
      <c r="L2808" s="13">
        <v>10331</v>
      </c>
      <c r="M2808" t="str">
        <f>VLOOKUP(L2808,[1]Human_BrainSpan!$B$2:$C$4000,2,FALSE)</f>
        <v>CN</v>
      </c>
    </row>
    <row r="2809" spans="2:13" x14ac:dyDescent="0.25">
      <c r="B2809" s="31" t="s">
        <v>26303</v>
      </c>
      <c r="C2809" s="25" t="s">
        <v>25805</v>
      </c>
      <c r="D2809" s="25" t="s">
        <v>26232</v>
      </c>
      <c r="E2809" s="25"/>
      <c r="F2809" s="9" t="str">
        <f t="shared" si="37"/>
        <v>structure with developmental contribution from neural crest</v>
      </c>
      <c r="G2809" s="9" t="s">
        <v>5090</v>
      </c>
      <c r="H2809" s="9" t="s">
        <v>23240</v>
      </c>
      <c r="I2809" s="9" t="s">
        <v>539</v>
      </c>
      <c r="J2809" s="9" t="s">
        <v>540</v>
      </c>
      <c r="K2809" s="4" t="s">
        <v>15175</v>
      </c>
      <c r="L2809" s="13">
        <v>10332</v>
      </c>
      <c r="M2809" t="str">
        <f>VLOOKUP(L2809,[1]Human_BrainSpan!$B$2:$C$4000,2,FALSE)</f>
        <v>BN</v>
      </c>
    </row>
    <row r="2810" spans="2:13" x14ac:dyDescent="0.25">
      <c r="B2810" s="31" t="s">
        <v>26303</v>
      </c>
      <c r="C2810" s="9" t="s">
        <v>1200</v>
      </c>
      <c r="D2810" s="25" t="s">
        <v>26232</v>
      </c>
      <c r="E2810" s="25"/>
      <c r="F2810" s="9" t="str">
        <f t="shared" si="37"/>
        <v>structure with developmental contribution from neural crest</v>
      </c>
      <c r="G2810" s="9" t="s">
        <v>5090</v>
      </c>
      <c r="H2810" s="9" t="s">
        <v>19740</v>
      </c>
      <c r="I2810" s="9" t="s">
        <v>1200</v>
      </c>
      <c r="J2810" s="9" t="s">
        <v>5087</v>
      </c>
      <c r="K2810" s="4" t="s">
        <v>15175</v>
      </c>
      <c r="L2810" s="13">
        <v>10333</v>
      </c>
      <c r="M2810" t="str">
        <f>VLOOKUP(L2810,[1]Human_BrainSpan!$B$2:$C$4000,2,FALSE)</f>
        <v>STR</v>
      </c>
    </row>
    <row r="2811" spans="2:13" x14ac:dyDescent="0.25">
      <c r="B2811" s="31" t="s">
        <v>26303</v>
      </c>
      <c r="C2811" s="25" t="s">
        <v>902</v>
      </c>
      <c r="D2811" s="25" t="s">
        <v>26232</v>
      </c>
      <c r="E2811" s="25"/>
      <c r="F2811" s="9" t="str">
        <f t="shared" si="37"/>
        <v>structure with developmental contribution from neural crest</v>
      </c>
      <c r="G2811" s="9" t="s">
        <v>5090</v>
      </c>
      <c r="H2811" s="9" t="s">
        <v>23241</v>
      </c>
      <c r="I2811" s="9" t="s">
        <v>902</v>
      </c>
      <c r="J2811" s="9" t="s">
        <v>903</v>
      </c>
      <c r="K2811" s="4" t="s">
        <v>15175</v>
      </c>
      <c r="L2811" s="13">
        <v>10334</v>
      </c>
      <c r="M2811" t="str">
        <f>VLOOKUP(L2811,[1]Human_BrainSpan!$B$2:$C$4000,2,FALSE)</f>
        <v>Ca</v>
      </c>
    </row>
    <row r="2812" spans="2:13" x14ac:dyDescent="0.25">
      <c r="B2812" s="31" t="s">
        <v>26303</v>
      </c>
      <c r="C2812" s="25" t="s">
        <v>25957</v>
      </c>
      <c r="D2812" s="25" t="s">
        <v>26232</v>
      </c>
      <c r="E2812" s="25"/>
      <c r="F2812" s="9" t="str">
        <f t="shared" si="37"/>
        <v>structure with developmental contribution from neural crest</v>
      </c>
      <c r="G2812" s="9" t="s">
        <v>5090</v>
      </c>
      <c r="H2812" s="9" t="s">
        <v>23242</v>
      </c>
      <c r="I2812" s="9" t="s">
        <v>2154</v>
      </c>
      <c r="J2812" s="9" t="s">
        <v>2155</v>
      </c>
      <c r="K2812" s="4" t="s">
        <v>15175</v>
      </c>
      <c r="L2812" s="13">
        <v>10335</v>
      </c>
      <c r="M2812" t="str">
        <f>VLOOKUP(L2812,[1]Human_BrainSpan!$B$2:$C$4000,2,FALSE)</f>
        <v>CaH</v>
      </c>
    </row>
    <row r="2813" spans="2:13" x14ac:dyDescent="0.25">
      <c r="B2813" s="31" t="s">
        <v>26303</v>
      </c>
      <c r="C2813" s="25" t="s">
        <v>25809</v>
      </c>
      <c r="D2813" s="25" t="s">
        <v>26232</v>
      </c>
      <c r="E2813" s="25"/>
      <c r="F2813" s="9" t="str">
        <f t="shared" si="37"/>
        <v>structure with developmental contribution from neural crest</v>
      </c>
      <c r="G2813" s="9" t="s">
        <v>5090</v>
      </c>
      <c r="H2813" s="9" t="s">
        <v>23246</v>
      </c>
      <c r="I2813" s="9" t="s">
        <v>571</v>
      </c>
      <c r="J2813" s="9" t="s">
        <v>572</v>
      </c>
      <c r="K2813" s="4" t="s">
        <v>15175</v>
      </c>
      <c r="L2813" s="13">
        <v>10336</v>
      </c>
      <c r="M2813" t="str">
        <f>VLOOKUP(L2813,[1]Human_BrainSpan!$B$2:$C$4000,2,FALSE)</f>
        <v>CaB</v>
      </c>
    </row>
    <row r="2814" spans="2:13" x14ac:dyDescent="0.25">
      <c r="B2814" s="31" t="s">
        <v>26303</v>
      </c>
      <c r="C2814" s="25" t="s">
        <v>26253</v>
      </c>
      <c r="D2814" s="25" t="s">
        <v>26185</v>
      </c>
      <c r="E2814" s="25" t="s">
        <v>26300</v>
      </c>
      <c r="F2814" s="9" t="str">
        <f t="shared" si="37"/>
        <v>structure with developmental contribution from neural crest</v>
      </c>
      <c r="G2814" s="9" t="s">
        <v>5090</v>
      </c>
      <c r="H2814" s="9" t="s">
        <v>23247</v>
      </c>
      <c r="I2814" s="9" t="s">
        <v>5331</v>
      </c>
      <c r="J2814" s="9" t="s">
        <v>5332</v>
      </c>
      <c r="K2814" s="4" t="s">
        <v>15175</v>
      </c>
      <c r="L2814" s="13">
        <v>10337</v>
      </c>
      <c r="M2814" t="str">
        <f>VLOOKUP(L2814,[1]Human_BrainSpan!$B$2:$C$4000,2,FALSE)</f>
        <v>CaT</v>
      </c>
    </row>
    <row r="2815" spans="2:13" x14ac:dyDescent="0.25">
      <c r="B2815" s="31" t="s">
        <v>26303</v>
      </c>
      <c r="C2815" s="25" t="s">
        <v>4204</v>
      </c>
      <c r="D2815" s="25" t="s">
        <v>26232</v>
      </c>
      <c r="E2815" s="25"/>
      <c r="F2815" s="9" t="str">
        <f t="shared" si="37"/>
        <v>structure with developmental contribution from neural crest</v>
      </c>
      <c r="G2815" s="9" t="s">
        <v>5090</v>
      </c>
      <c r="H2815" s="9" t="s">
        <v>23250</v>
      </c>
      <c r="I2815" s="9" t="s">
        <v>4204</v>
      </c>
      <c r="J2815" s="9" t="s">
        <v>4205</v>
      </c>
      <c r="K2815" s="4" t="s">
        <v>15175</v>
      </c>
      <c r="L2815" s="13">
        <v>10338</v>
      </c>
      <c r="M2815" t="str">
        <f>VLOOKUP(L2815,[1]Human_BrainSpan!$B$2:$C$4000,2,FALSE)</f>
        <v>Pu</v>
      </c>
    </row>
    <row r="2816" spans="2:13" x14ac:dyDescent="0.25">
      <c r="B2816" s="31" t="s">
        <v>26303</v>
      </c>
      <c r="C2816" s="25" t="s">
        <v>3239</v>
      </c>
      <c r="D2816" s="25" t="s">
        <v>26232</v>
      </c>
      <c r="E2816" s="25"/>
      <c r="F2816" s="9" t="str">
        <f t="shared" si="37"/>
        <v>structure with developmental contribution from neural crest</v>
      </c>
      <c r="G2816" s="9" t="s">
        <v>5090</v>
      </c>
      <c r="H2816" s="9" t="s">
        <v>23259</v>
      </c>
      <c r="I2816" s="9" t="s">
        <v>3239</v>
      </c>
      <c r="J2816" s="9" t="s">
        <v>3240</v>
      </c>
      <c r="K2816" s="4" t="s">
        <v>15175</v>
      </c>
      <c r="L2816" s="13">
        <v>10339</v>
      </c>
      <c r="M2816" t="str">
        <f>VLOOKUP(L2816,[1]Human_BrainSpan!$B$2:$C$4000,2,FALSE)</f>
        <v>NAC</v>
      </c>
    </row>
    <row r="2817" spans="2:13" x14ac:dyDescent="0.25">
      <c r="B2817" s="31" t="s">
        <v>26303</v>
      </c>
      <c r="C2817" s="25" t="s">
        <v>2082</v>
      </c>
      <c r="D2817" s="25" t="s">
        <v>26232</v>
      </c>
      <c r="E2817" s="25"/>
      <c r="F2817" s="9" t="str">
        <f t="shared" si="37"/>
        <v>structure with developmental contribution from neural crest</v>
      </c>
      <c r="G2817" s="9" t="s">
        <v>5090</v>
      </c>
      <c r="H2817" s="9" t="s">
        <v>23267</v>
      </c>
      <c r="I2817" s="9" t="s">
        <v>2082</v>
      </c>
      <c r="J2817" s="9" t="s">
        <v>2083</v>
      </c>
      <c r="K2817" s="4" t="s">
        <v>15175</v>
      </c>
      <c r="L2817" s="13">
        <v>10342</v>
      </c>
      <c r="M2817" t="str">
        <f>VLOOKUP(L2817,[1]Human_BrainSpan!$B$2:$C$4000,2,FALSE)</f>
        <v>GP</v>
      </c>
    </row>
    <row r="2818" spans="2:13" x14ac:dyDescent="0.25">
      <c r="B2818" s="31" t="s">
        <v>26303</v>
      </c>
      <c r="C2818" s="25" t="s">
        <v>25989</v>
      </c>
      <c r="D2818" s="25" t="s">
        <v>26232</v>
      </c>
      <c r="E2818" s="25"/>
      <c r="F2818" s="9" t="str">
        <f t="shared" si="37"/>
        <v>structure with developmental contribution from neural crest</v>
      </c>
      <c r="G2818" s="9" t="s">
        <v>5090</v>
      </c>
      <c r="H2818" s="9" t="s">
        <v>19816</v>
      </c>
      <c r="I2818" s="9" t="s">
        <v>2596</v>
      </c>
      <c r="J2818" s="9" t="s">
        <v>5333</v>
      </c>
      <c r="K2818" s="4" t="s">
        <v>15175</v>
      </c>
      <c r="L2818" s="13">
        <v>10343</v>
      </c>
      <c r="M2818" t="str">
        <f>VLOOKUP(L2818,[1]Human_BrainSpan!$B$2:$C$4000,2,FALSE)</f>
        <v>GPe</v>
      </c>
    </row>
    <row r="2819" spans="2:13" x14ac:dyDescent="0.25">
      <c r="B2819" s="31" t="s">
        <v>26303</v>
      </c>
      <c r="C2819" s="25" t="s">
        <v>26022</v>
      </c>
      <c r="D2819" s="25" t="s">
        <v>26232</v>
      </c>
      <c r="E2819" s="25"/>
      <c r="F2819" s="9" t="str">
        <f t="shared" si="37"/>
        <v>structure with developmental contribution from neural crest</v>
      </c>
      <c r="G2819" s="9" t="s">
        <v>5090</v>
      </c>
      <c r="H2819" s="9" t="s">
        <v>19818</v>
      </c>
      <c r="I2819" s="9" t="s">
        <v>2911</v>
      </c>
      <c r="J2819" s="9" t="s">
        <v>2912</v>
      </c>
      <c r="K2819" s="4" t="s">
        <v>15175</v>
      </c>
      <c r="L2819" s="13">
        <v>10344</v>
      </c>
      <c r="M2819" t="str">
        <f>VLOOKUP(L2819,[1]Human_BrainSpan!$B$2:$C$4000,2,FALSE)</f>
        <v>GPi</v>
      </c>
    </row>
    <row r="2820" spans="2:13" x14ac:dyDescent="0.25">
      <c r="B2820" s="31" t="s">
        <v>26303</v>
      </c>
      <c r="C2820" s="25" t="s">
        <v>15060</v>
      </c>
      <c r="D2820" s="25" t="s">
        <v>26232</v>
      </c>
      <c r="E2820" s="25"/>
      <c r="F2820" s="9" t="str">
        <f t="shared" si="37"/>
        <v>structure with developmental contribution from neural crest</v>
      </c>
      <c r="G2820" s="9" t="s">
        <v>5090</v>
      </c>
      <c r="H2820" s="9" t="s">
        <v>23271</v>
      </c>
      <c r="I2820" s="9" t="s">
        <v>5334</v>
      </c>
      <c r="J2820" s="9" t="s">
        <v>5335</v>
      </c>
      <c r="K2820" s="4" t="s">
        <v>15175</v>
      </c>
      <c r="L2820" s="13">
        <v>10345</v>
      </c>
      <c r="M2820" t="str">
        <f>VLOOKUP(L2820,[1]Human_BrainSpan!$B$2:$C$4000,2,FALSE)</f>
        <v>VeP</v>
      </c>
    </row>
    <row r="2821" spans="2:13" x14ac:dyDescent="0.25">
      <c r="B2821" s="31" t="s">
        <v>26303</v>
      </c>
      <c r="C2821" s="25" t="s">
        <v>25876</v>
      </c>
      <c r="D2821" s="25" t="s">
        <v>26232</v>
      </c>
      <c r="E2821" s="25"/>
      <c r="F2821" s="9" t="str">
        <f t="shared" si="37"/>
        <v>structure with developmental contribution from neural crest</v>
      </c>
      <c r="G2821" s="9" t="s">
        <v>5090</v>
      </c>
      <c r="H2821" s="9" t="s">
        <v>23273</v>
      </c>
      <c r="I2821" s="9" t="s">
        <v>5336</v>
      </c>
      <c r="J2821" s="9" t="s">
        <v>5337</v>
      </c>
      <c r="K2821" s="4" t="s">
        <v>15175</v>
      </c>
      <c r="L2821" s="13">
        <v>10347</v>
      </c>
      <c r="M2821" t="str">
        <f>VLOOKUP(L2821,[1]Human_BrainSpan!$B$2:$C$4000,2,FALSE)</f>
        <v>CLd</v>
      </c>
    </row>
    <row r="2822" spans="2:13" x14ac:dyDescent="0.25">
      <c r="B2822" s="31" t="s">
        <v>26303</v>
      </c>
      <c r="C2822" s="25" t="s">
        <v>25875</v>
      </c>
      <c r="D2822" s="25" t="s">
        <v>26232</v>
      </c>
      <c r="E2822" s="25"/>
      <c r="F2822" s="9" t="str">
        <f t="shared" si="37"/>
        <v>structure with developmental contribution from neural crest</v>
      </c>
      <c r="G2822" s="9" t="s">
        <v>5090</v>
      </c>
      <c r="H2822" s="9" t="s">
        <v>23274</v>
      </c>
      <c r="I2822" s="9" t="s">
        <v>1265</v>
      </c>
      <c r="J2822" s="9" t="s">
        <v>1266</v>
      </c>
      <c r="K2822" s="4" t="s">
        <v>15175</v>
      </c>
      <c r="L2822" s="13">
        <v>10348</v>
      </c>
      <c r="M2822" t="str">
        <f>VLOOKUP(L2822,[1]Human_BrainSpan!$B$2:$C$4000,2,FALSE)</f>
        <v>CLv</v>
      </c>
    </row>
    <row r="2823" spans="2:13" x14ac:dyDescent="0.25">
      <c r="B2823" s="31" t="s">
        <v>26303</v>
      </c>
      <c r="C2823" s="25" t="s">
        <v>534</v>
      </c>
      <c r="D2823" s="25" t="s">
        <v>26232</v>
      </c>
      <c r="E2823" s="25"/>
      <c r="F2823" s="9" t="str">
        <f t="shared" si="37"/>
        <v>structure with developmental contribution from neural crest</v>
      </c>
      <c r="G2823" s="9" t="s">
        <v>5090</v>
      </c>
      <c r="H2823" s="9" t="s">
        <v>23276</v>
      </c>
      <c r="I2823" s="9" t="s">
        <v>534</v>
      </c>
      <c r="J2823" s="9" t="s">
        <v>535</v>
      </c>
      <c r="K2823" s="4" t="s">
        <v>15175</v>
      </c>
      <c r="L2823" s="13">
        <v>10349</v>
      </c>
      <c r="M2823" t="str">
        <f>VLOOKUP(L2823,[1]Human_BrainSpan!$B$2:$C$4000,2,FALSE)</f>
        <v>BF</v>
      </c>
    </row>
    <row r="2824" spans="2:13" x14ac:dyDescent="0.25">
      <c r="B2824" s="31" t="s">
        <v>26303</v>
      </c>
      <c r="C2824" s="25" t="s">
        <v>26219</v>
      </c>
      <c r="D2824" s="25" t="s">
        <v>26232</v>
      </c>
      <c r="E2824" s="25"/>
      <c r="F2824" s="9" t="str">
        <f t="shared" si="37"/>
        <v>structure with developmental contribution from neural crest</v>
      </c>
      <c r="G2824" s="9" t="s">
        <v>5090</v>
      </c>
      <c r="H2824" s="9" t="s">
        <v>23277</v>
      </c>
      <c r="I2824" s="9" t="s">
        <v>4958</v>
      </c>
      <c r="J2824" s="9" t="s">
        <v>4959</v>
      </c>
      <c r="K2824" s="4" t="s">
        <v>15175</v>
      </c>
      <c r="L2824" s="13">
        <v>10350</v>
      </c>
      <c r="M2824" t="str">
        <f>VLOOKUP(L2824,[1]Human_BrainSpan!$B$2:$C$4000,2,FALSE)</f>
        <v>SEP</v>
      </c>
    </row>
    <row r="2825" spans="2:13" x14ac:dyDescent="0.25">
      <c r="B2825" s="31" t="s">
        <v>26303</v>
      </c>
      <c r="C2825" s="25" t="s">
        <v>3024</v>
      </c>
      <c r="D2825" s="25" t="s">
        <v>26232</v>
      </c>
      <c r="E2825" s="25"/>
      <c r="F2825" s="9" t="str">
        <f t="shared" si="37"/>
        <v>structure with developmental contribution from neural crest</v>
      </c>
      <c r="G2825" s="9" t="s">
        <v>5090</v>
      </c>
      <c r="H2825" s="9" t="s">
        <v>23278</v>
      </c>
      <c r="I2825" s="9" t="s">
        <v>3024</v>
      </c>
      <c r="J2825" s="9" t="s">
        <v>3025</v>
      </c>
      <c r="K2825" s="4" t="s">
        <v>15175</v>
      </c>
      <c r="L2825" s="13">
        <v>10351</v>
      </c>
      <c r="M2825" t="str">
        <f>VLOOKUP(L2825,[1]Human_BrainSpan!$B$2:$C$4000,2,FALSE)</f>
        <v>MSN</v>
      </c>
    </row>
    <row r="2826" spans="2:13" x14ac:dyDescent="0.25">
      <c r="B2826" s="31" t="s">
        <v>26303</v>
      </c>
      <c r="C2826" s="25" t="s">
        <v>2715</v>
      </c>
      <c r="D2826" s="25" t="s">
        <v>26232</v>
      </c>
      <c r="E2826" s="25"/>
      <c r="F2826" s="9" t="str">
        <f t="shared" si="37"/>
        <v>structure with developmental contribution from neural crest</v>
      </c>
      <c r="G2826" s="9" t="s">
        <v>5090</v>
      </c>
      <c r="H2826" s="9" t="s">
        <v>23279</v>
      </c>
      <c r="I2826" s="9" t="s">
        <v>2715</v>
      </c>
      <c r="J2826" s="9" t="s">
        <v>2716</v>
      </c>
      <c r="K2826" s="4" t="s">
        <v>15175</v>
      </c>
      <c r="L2826" s="13">
        <v>10352</v>
      </c>
      <c r="M2826" t="str">
        <f>VLOOKUP(L2826,[1]Human_BrainSpan!$B$2:$C$4000,2,FALSE)</f>
        <v>LSN</v>
      </c>
    </row>
    <row r="2827" spans="2:13" x14ac:dyDescent="0.25">
      <c r="B2827" s="31" t="s">
        <v>26303</v>
      </c>
      <c r="C2827" s="20"/>
      <c r="D2827" s="25" t="s">
        <v>26185</v>
      </c>
      <c r="E2827" s="25" t="s">
        <v>26300</v>
      </c>
      <c r="F2827" s="9" t="str">
        <f t="shared" si="37"/>
        <v>structure with developmental contribution from neural crest</v>
      </c>
      <c r="G2827" s="9" t="s">
        <v>5090</v>
      </c>
      <c r="H2827" s="9" t="s">
        <v>23286</v>
      </c>
      <c r="I2827" s="9" t="s">
        <v>542</v>
      </c>
      <c r="J2827" s="9" t="s">
        <v>543</v>
      </c>
      <c r="K2827" s="4" t="s">
        <v>15175</v>
      </c>
      <c r="L2827" s="13">
        <v>10353</v>
      </c>
      <c r="M2827" t="str">
        <f>VLOOKUP(L2827,[1]Human_BrainSpan!$B$2:$C$4000,2,FALSE)</f>
        <v>BNM</v>
      </c>
    </row>
    <row r="2828" spans="2:13" x14ac:dyDescent="0.25">
      <c r="B2828" s="31" t="s">
        <v>26303</v>
      </c>
      <c r="C2828" s="25" t="s">
        <v>3272</v>
      </c>
      <c r="D2828" s="25" t="s">
        <v>26232</v>
      </c>
      <c r="E2828" s="25"/>
      <c r="F2828" s="9" t="str">
        <f t="shared" si="37"/>
        <v>structure with developmental contribution from neural crest</v>
      </c>
      <c r="G2828" s="9" t="s">
        <v>5090</v>
      </c>
      <c r="H2828" s="9" t="s">
        <v>19831</v>
      </c>
      <c r="I2828" s="9" t="s">
        <v>3272</v>
      </c>
      <c r="J2828" s="9" t="s">
        <v>3273</v>
      </c>
      <c r="K2828" s="4" t="s">
        <v>15175</v>
      </c>
      <c r="L2828" s="13">
        <v>10354</v>
      </c>
      <c r="M2828" t="str">
        <f>VLOOKUP(L2828,[1]Human_BrainSpan!$B$2:$C$4000,2,FALSE)</f>
        <v>NDB</v>
      </c>
    </row>
    <row r="2829" spans="2:13" x14ac:dyDescent="0.25">
      <c r="B2829" s="31" t="s">
        <v>26303</v>
      </c>
      <c r="C2829" s="25" t="s">
        <v>3272</v>
      </c>
      <c r="D2829" s="25" t="s">
        <v>26232</v>
      </c>
      <c r="E2829" s="25"/>
      <c r="F2829" s="9" t="str">
        <f t="shared" si="37"/>
        <v>structure with developmental contribution from neural crest</v>
      </c>
      <c r="G2829" s="9" t="s">
        <v>5090</v>
      </c>
      <c r="H2829" s="9" t="s">
        <v>23289</v>
      </c>
      <c r="I2829" s="9" t="s">
        <v>5338</v>
      </c>
      <c r="J2829" s="9" t="s">
        <v>5339</v>
      </c>
      <c r="K2829" s="4" t="s">
        <v>15175</v>
      </c>
      <c r="L2829" s="13">
        <v>10355</v>
      </c>
      <c r="M2829" t="str">
        <f>VLOOKUP(L2829,[1]Human_BrainSpan!$B$2:$C$4000,2,FALSE)</f>
        <v>NDBv</v>
      </c>
    </row>
    <row r="2830" spans="2:13" x14ac:dyDescent="0.25">
      <c r="B2830" s="31" t="s">
        <v>26303</v>
      </c>
      <c r="C2830" s="25" t="s">
        <v>3272</v>
      </c>
      <c r="D2830" s="25" t="s">
        <v>26232</v>
      </c>
      <c r="E2830" s="25"/>
      <c r="F2830" s="9" t="str">
        <f t="shared" si="37"/>
        <v>structure with developmental contribution from neural crest</v>
      </c>
      <c r="G2830" s="9" t="s">
        <v>5090</v>
      </c>
      <c r="H2830" s="9" t="s">
        <v>23290</v>
      </c>
      <c r="I2830" s="9" t="s">
        <v>5340</v>
      </c>
      <c r="J2830" s="9" t="s">
        <v>5341</v>
      </c>
      <c r="K2830" s="4" t="s">
        <v>15175</v>
      </c>
      <c r="L2830" s="13">
        <v>10356</v>
      </c>
      <c r="M2830" t="str">
        <f>VLOOKUP(L2830,[1]Human_BrainSpan!$B$2:$C$4000,2,FALSE)</f>
        <v>NDBh</v>
      </c>
    </row>
    <row r="2831" spans="2:13" x14ac:dyDescent="0.25">
      <c r="B2831" s="31" t="s">
        <v>26303</v>
      </c>
      <c r="C2831" s="20"/>
      <c r="D2831" s="25" t="s">
        <v>26232</v>
      </c>
      <c r="E2831" s="25" t="s">
        <v>26300</v>
      </c>
      <c r="F2831" s="9" t="str">
        <f t="shared" si="37"/>
        <v>structure with developmental contribution from neural crest</v>
      </c>
      <c r="G2831" s="9" t="s">
        <v>5090</v>
      </c>
      <c r="H2831" s="9" t="s">
        <v>23291</v>
      </c>
      <c r="I2831" s="9" t="s">
        <v>5342</v>
      </c>
      <c r="J2831" s="9" t="s">
        <v>5343</v>
      </c>
      <c r="K2831" s="4" t="s">
        <v>15175</v>
      </c>
      <c r="L2831" s="13">
        <v>10357</v>
      </c>
      <c r="M2831" t="str">
        <f>VLOOKUP(L2831,[1]Human_BrainSpan!$B$2:$C$4000,2,FALSE)</f>
        <v>NSP</v>
      </c>
    </row>
    <row r="2832" spans="2:13" x14ac:dyDescent="0.25">
      <c r="B2832" s="31" t="s">
        <v>26303</v>
      </c>
      <c r="C2832" s="25" t="s">
        <v>25983</v>
      </c>
      <c r="D2832" s="25" t="s">
        <v>26232</v>
      </c>
      <c r="E2832" s="25"/>
      <c r="F2832" s="9" t="str">
        <f t="shared" si="37"/>
        <v>structure with developmental contribution from neural crest</v>
      </c>
      <c r="G2832" s="9" t="s">
        <v>5090</v>
      </c>
      <c r="H2832" s="9" t="s">
        <v>23292</v>
      </c>
      <c r="I2832" s="9" t="s">
        <v>2542</v>
      </c>
      <c r="J2832" s="9" t="s">
        <v>2543</v>
      </c>
      <c r="K2832" s="4" t="s">
        <v>15175</v>
      </c>
      <c r="L2832" s="13">
        <v>10358</v>
      </c>
      <c r="M2832" t="str">
        <f>VLOOKUP(L2832,[1]Human_BrainSpan!$B$2:$C$4000,2,FALSE)</f>
        <v>IsCj</v>
      </c>
    </row>
    <row r="2833" spans="2:13" x14ac:dyDescent="0.25">
      <c r="B2833" s="31" t="s">
        <v>26303</v>
      </c>
      <c r="C2833" s="25" t="s">
        <v>25983</v>
      </c>
      <c r="D2833" s="25" t="s">
        <v>26232</v>
      </c>
      <c r="E2833" s="25"/>
      <c r="F2833" s="9" t="str">
        <f t="shared" si="37"/>
        <v>structure with developmental contribution from neural crest</v>
      </c>
      <c r="G2833" s="9" t="s">
        <v>5090</v>
      </c>
      <c r="H2833" s="9" t="s">
        <v>23294</v>
      </c>
      <c r="I2833" s="9" t="s">
        <v>5344</v>
      </c>
      <c r="J2833" s="9" t="s">
        <v>5345</v>
      </c>
      <c r="K2833" s="4" t="s">
        <v>15175</v>
      </c>
      <c r="L2833" s="13">
        <v>10360</v>
      </c>
      <c r="M2833" t="str">
        <f>VLOOKUP(L2833,[1]Human_BrainSpan!$B$2:$C$4000,2,FALSE)</f>
        <v>IsCjs</v>
      </c>
    </row>
    <row r="2834" spans="2:13" x14ac:dyDescent="0.25">
      <c r="B2834" s="31" t="s">
        <v>26303</v>
      </c>
      <c r="C2834" s="25" t="s">
        <v>306</v>
      </c>
      <c r="D2834" s="25" t="s">
        <v>26232</v>
      </c>
      <c r="E2834" s="25"/>
      <c r="F2834" s="9" t="str">
        <f t="shared" si="37"/>
        <v>structure with developmental contribution from neural crest</v>
      </c>
      <c r="G2834" s="9" t="s">
        <v>5090</v>
      </c>
      <c r="H2834" s="9" t="s">
        <v>19783</v>
      </c>
      <c r="I2834" s="9" t="s">
        <v>306</v>
      </c>
      <c r="J2834" s="9" t="s">
        <v>307</v>
      </c>
      <c r="K2834" s="4" t="s">
        <v>15175</v>
      </c>
      <c r="L2834" s="13">
        <v>10362</v>
      </c>
      <c r="M2834" t="str">
        <f>VLOOKUP(L2834,[1]Human_BrainSpan!$B$2:$C$4000,2,FALSE)</f>
        <v>AAA</v>
      </c>
    </row>
    <row r="2835" spans="2:13" x14ac:dyDescent="0.25">
      <c r="B2835" s="31" t="s">
        <v>26299</v>
      </c>
      <c r="C2835" s="25" t="s">
        <v>920</v>
      </c>
      <c r="D2835" s="25" t="s">
        <v>26232</v>
      </c>
      <c r="E2835" s="25"/>
      <c r="F2835" s="9" t="str">
        <f t="shared" si="37"/>
        <v>structure with developmental contribution from neural crest</v>
      </c>
      <c r="G2835" s="9" t="s">
        <v>5090</v>
      </c>
      <c r="H2835" s="9" t="s">
        <v>23152</v>
      </c>
      <c r="I2835" s="9" t="s">
        <v>914</v>
      </c>
      <c r="J2835" s="9" t="s">
        <v>915</v>
      </c>
      <c r="K2835" s="4" t="s">
        <v>15175</v>
      </c>
      <c r="L2835" s="13">
        <v>10363</v>
      </c>
      <c r="M2835" t="str">
        <f>VLOOKUP(L2835,[1]Human_BrainSpan!$B$2:$C$4000,2,FALSE)</f>
        <v>CEN</v>
      </c>
    </row>
    <row r="2836" spans="2:13" x14ac:dyDescent="0.25">
      <c r="B2836" s="31" t="s">
        <v>26303</v>
      </c>
      <c r="C2836" s="25" t="s">
        <v>920</v>
      </c>
      <c r="D2836" s="25" t="s">
        <v>26232</v>
      </c>
      <c r="E2836" s="25"/>
      <c r="F2836" s="9" t="str">
        <f t="shared" si="37"/>
        <v>structure with developmental contribution from neural crest</v>
      </c>
      <c r="G2836" s="9" t="s">
        <v>5090</v>
      </c>
      <c r="H2836" s="9" t="s">
        <v>23153</v>
      </c>
      <c r="I2836" s="9" t="s">
        <v>5346</v>
      </c>
      <c r="J2836" s="9" t="s">
        <v>5347</v>
      </c>
      <c r="K2836" s="4" t="s">
        <v>15175</v>
      </c>
      <c r="L2836" s="13">
        <v>10364</v>
      </c>
      <c r="M2836" t="str">
        <f>VLOOKUP(L2836,[1]Human_BrainSpan!$B$2:$C$4000,2,FALSE)</f>
        <v>CEm</v>
      </c>
    </row>
    <row r="2837" spans="2:13" x14ac:dyDescent="0.25">
      <c r="B2837" s="31" t="s">
        <v>26303</v>
      </c>
      <c r="C2837" s="25" t="s">
        <v>920</v>
      </c>
      <c r="D2837" s="25" t="s">
        <v>26232</v>
      </c>
      <c r="E2837" s="25"/>
      <c r="F2837" s="9" t="str">
        <f t="shared" si="37"/>
        <v>structure with developmental contribution from neural crest</v>
      </c>
      <c r="G2837" s="9" t="s">
        <v>5090</v>
      </c>
      <c r="H2837" s="9" t="s">
        <v>23156</v>
      </c>
      <c r="I2837" s="9" t="s">
        <v>5348</v>
      </c>
      <c r="J2837" s="9" t="s">
        <v>5349</v>
      </c>
      <c r="K2837" s="4" t="s">
        <v>15175</v>
      </c>
      <c r="L2837" s="13">
        <v>10365</v>
      </c>
      <c r="M2837" t="str">
        <f>VLOOKUP(L2837,[1]Human_BrainSpan!$B$2:$C$4000,2,FALSE)</f>
        <v>CEl</v>
      </c>
    </row>
    <row r="2838" spans="2:13" x14ac:dyDescent="0.25">
      <c r="B2838" s="31" t="s">
        <v>26303</v>
      </c>
      <c r="C2838" s="25" t="s">
        <v>25804</v>
      </c>
      <c r="D2838" s="25" t="s">
        <v>26232</v>
      </c>
      <c r="E2838" s="25"/>
      <c r="F2838" s="9" t="str">
        <f t="shared" si="37"/>
        <v>structure with developmental contribution from neural crest</v>
      </c>
      <c r="G2838" s="9" t="s">
        <v>5090</v>
      </c>
      <c r="H2838" s="9" t="s">
        <v>23178</v>
      </c>
      <c r="I2838" s="9" t="s">
        <v>556</v>
      </c>
      <c r="J2838" s="9" t="s">
        <v>557</v>
      </c>
      <c r="K2838" s="4" t="s">
        <v>15175</v>
      </c>
      <c r="L2838" s="13">
        <v>10366</v>
      </c>
      <c r="M2838" t="str">
        <f>VLOOKUP(L2838,[1]Human_BrainSpan!$B$2:$C$4000,2,FALSE)</f>
        <v>BLN</v>
      </c>
    </row>
    <row r="2839" spans="2:13" x14ac:dyDescent="0.25">
      <c r="B2839" s="31" t="s">
        <v>26303</v>
      </c>
      <c r="C2839" s="25" t="s">
        <v>2559</v>
      </c>
      <c r="D2839" s="25" t="s">
        <v>26232</v>
      </c>
      <c r="E2839" s="25"/>
      <c r="F2839" s="9" t="str">
        <f t="shared" si="37"/>
        <v>structure with developmental contribution from neural crest</v>
      </c>
      <c r="G2839" s="9" t="s">
        <v>5090</v>
      </c>
      <c r="H2839" s="9" t="s">
        <v>15734</v>
      </c>
      <c r="I2839" s="9" t="s">
        <v>2557</v>
      </c>
      <c r="J2839" s="9" t="s">
        <v>2558</v>
      </c>
      <c r="K2839" s="4" t="s">
        <v>15175</v>
      </c>
      <c r="L2839" s="13">
        <v>10367</v>
      </c>
      <c r="M2839" t="str">
        <f>VLOOKUP(L2839,[1]Human_BrainSpan!$B$2:$C$4000,2,FALSE)</f>
        <v>La</v>
      </c>
    </row>
    <row r="2840" spans="2:13" x14ac:dyDescent="0.25">
      <c r="B2840" s="31" t="s">
        <v>26303</v>
      </c>
      <c r="C2840" s="25" t="s">
        <v>25804</v>
      </c>
      <c r="D2840" s="25" t="s">
        <v>26232</v>
      </c>
      <c r="E2840" s="25"/>
      <c r="F2840" s="9" t="str">
        <f t="shared" si="37"/>
        <v>structure with developmental contribution from neural crest</v>
      </c>
      <c r="G2840" s="9" t="s">
        <v>5090</v>
      </c>
      <c r="H2840" s="9" t="s">
        <v>23189</v>
      </c>
      <c r="I2840" s="9" t="s">
        <v>5350</v>
      </c>
      <c r="J2840" s="9" t="s">
        <v>5351</v>
      </c>
      <c r="K2840" s="4" t="s">
        <v>15175</v>
      </c>
      <c r="L2840" s="13">
        <v>10368</v>
      </c>
      <c r="M2840" t="str">
        <f>VLOOKUP(L2840,[1]Human_BrainSpan!$B$2:$C$4000,2,FALSE)</f>
        <v>BL</v>
      </c>
    </row>
    <row r="2841" spans="2:13" x14ac:dyDescent="0.25">
      <c r="B2841" s="31" t="s">
        <v>26303</v>
      </c>
      <c r="C2841" s="25" t="s">
        <v>25765</v>
      </c>
      <c r="D2841" s="25" t="s">
        <v>26232</v>
      </c>
      <c r="E2841" s="25"/>
      <c r="F2841" s="9" t="str">
        <f t="shared" si="37"/>
        <v>structure with developmental contribution from neural crest</v>
      </c>
      <c r="G2841" s="9" t="s">
        <v>5090</v>
      </c>
      <c r="H2841" s="9" t="s">
        <v>23195</v>
      </c>
      <c r="I2841" s="9" t="s">
        <v>175</v>
      </c>
      <c r="J2841" s="9" t="s">
        <v>176</v>
      </c>
      <c r="K2841" s="4" t="s">
        <v>15175</v>
      </c>
      <c r="L2841" s="13">
        <v>10369</v>
      </c>
      <c r="M2841" t="str">
        <f>VLOOKUP(L2841,[1]Human_BrainSpan!$B$2:$C$4000,2,FALSE)</f>
        <v>BM</v>
      </c>
    </row>
    <row r="2842" spans="2:13" x14ac:dyDescent="0.25">
      <c r="B2842" s="31" t="s">
        <v>26303</v>
      </c>
      <c r="C2842" s="20"/>
      <c r="D2842" s="25" t="s">
        <v>26232</v>
      </c>
      <c r="E2842" s="25" t="s">
        <v>26309</v>
      </c>
      <c r="F2842" s="9" t="str">
        <f t="shared" si="37"/>
        <v>structure with developmental contribution from neural crest</v>
      </c>
      <c r="G2842" s="9" t="s">
        <v>5090</v>
      </c>
      <c r="H2842" s="9" t="s">
        <v>19111</v>
      </c>
      <c r="I2842" s="9" t="s">
        <v>5352</v>
      </c>
      <c r="J2842" s="9" t="s">
        <v>5353</v>
      </c>
      <c r="K2842" s="4" t="s">
        <v>15175</v>
      </c>
      <c r="L2842" s="13">
        <v>10370</v>
      </c>
      <c r="M2842" t="str">
        <f>VLOOKUP(L2842,[1]Human_BrainSpan!$B$2:$C$4000,2,FALSE)</f>
        <v>PL</v>
      </c>
    </row>
    <row r="2843" spans="2:13" x14ac:dyDescent="0.25">
      <c r="B2843" s="31" t="s">
        <v>26303</v>
      </c>
      <c r="C2843" s="25" t="s">
        <v>1761</v>
      </c>
      <c r="D2843" s="25" t="s">
        <v>26232</v>
      </c>
      <c r="E2843" s="25"/>
      <c r="F2843" s="9" t="str">
        <f t="shared" si="37"/>
        <v>structure with developmental contribution from neural crest</v>
      </c>
      <c r="G2843" s="9" t="s">
        <v>5090</v>
      </c>
      <c r="H2843" s="9" t="s">
        <v>23205</v>
      </c>
      <c r="I2843" s="9" t="s">
        <v>1761</v>
      </c>
      <c r="J2843" s="9" t="s">
        <v>1762</v>
      </c>
      <c r="K2843" s="4" t="s">
        <v>15175</v>
      </c>
      <c r="L2843" s="13">
        <v>10371</v>
      </c>
      <c r="M2843" t="str">
        <f>VLOOKUP(L2843,[1]Human_BrainSpan!$B$2:$C$4000,2,FALSE)</f>
        <v>En</v>
      </c>
    </row>
    <row r="2844" spans="2:13" x14ac:dyDescent="0.25">
      <c r="B2844" s="31" t="s">
        <v>26303</v>
      </c>
      <c r="C2844" s="25" t="s">
        <v>25890</v>
      </c>
      <c r="D2844" s="25" t="s">
        <v>26232</v>
      </c>
      <c r="E2844" s="25"/>
      <c r="F2844" s="9" t="str">
        <f t="shared" si="37"/>
        <v>structure with developmental contribution from neural crest</v>
      </c>
      <c r="G2844" s="9" t="s">
        <v>5090</v>
      </c>
      <c r="H2844" s="9" t="s">
        <v>23161</v>
      </c>
      <c r="I2844" s="9" t="s">
        <v>1362</v>
      </c>
      <c r="J2844" s="9" t="s">
        <v>1363</v>
      </c>
      <c r="K2844" s="4" t="s">
        <v>15175</v>
      </c>
      <c r="L2844" s="13">
        <v>10372</v>
      </c>
      <c r="M2844" t="str">
        <f>VLOOKUP(L2844,[1]Human_BrainSpan!$B$2:$C$4000,2,FALSE)</f>
        <v>CMN</v>
      </c>
    </row>
    <row r="2845" spans="2:13" x14ac:dyDescent="0.25">
      <c r="B2845" s="31" t="s">
        <v>26299</v>
      </c>
      <c r="C2845" s="25" t="s">
        <v>25883</v>
      </c>
      <c r="D2845" s="25" t="s">
        <v>26232</v>
      </c>
      <c r="E2845" s="25"/>
      <c r="F2845" s="9" t="str">
        <f t="shared" si="37"/>
        <v>structure with developmental contribution from neural crest</v>
      </c>
      <c r="G2845" s="9" t="s">
        <v>5090</v>
      </c>
      <c r="H2845" s="9" t="s">
        <v>23162</v>
      </c>
      <c r="I2845" s="9" t="s">
        <v>3789</v>
      </c>
      <c r="J2845" s="9" t="s">
        <v>3790</v>
      </c>
      <c r="K2845" s="4" t="s">
        <v>15175</v>
      </c>
      <c r="L2845" s="13">
        <v>10373</v>
      </c>
      <c r="M2845" t="str">
        <f>VLOOKUP(L2845,[1]Human_BrainSpan!$B$2:$C$4000,2,FALSE)</f>
        <v>Co</v>
      </c>
    </row>
    <row r="2846" spans="2:13" x14ac:dyDescent="0.25">
      <c r="B2846" s="31" t="s">
        <v>26303</v>
      </c>
      <c r="C2846" s="25" t="s">
        <v>25783</v>
      </c>
      <c r="D2846" s="25" t="s">
        <v>26232</v>
      </c>
      <c r="E2846" s="25"/>
      <c r="F2846" s="9" t="str">
        <f t="shared" si="37"/>
        <v>structure with developmental contribution from neural crest</v>
      </c>
      <c r="G2846" s="9" t="s">
        <v>5090</v>
      </c>
      <c r="H2846" s="9" t="s">
        <v>23163</v>
      </c>
      <c r="I2846" s="9" t="s">
        <v>5354</v>
      </c>
      <c r="J2846" s="9" t="s">
        <v>5355</v>
      </c>
      <c r="K2846" s="4" t="s">
        <v>15175</v>
      </c>
      <c r="L2846" s="13">
        <v>10374</v>
      </c>
      <c r="M2846" t="str">
        <f>VLOOKUP(L2846,[1]Human_BrainSpan!$B$2:$C$4000,2,FALSE)</f>
        <v>CoA</v>
      </c>
    </row>
    <row r="2847" spans="2:13" x14ac:dyDescent="0.25">
      <c r="B2847" s="31" t="s">
        <v>26303</v>
      </c>
      <c r="C2847" s="20"/>
      <c r="D2847" s="25" t="s">
        <v>26232</v>
      </c>
      <c r="E2847" s="25" t="s">
        <v>26309</v>
      </c>
      <c r="F2847" s="9" t="str">
        <f t="shared" si="37"/>
        <v>structure with developmental contribution from neural crest</v>
      </c>
      <c r="G2847" s="9" t="s">
        <v>5090</v>
      </c>
      <c r="H2847" s="9" t="s">
        <v>16746</v>
      </c>
      <c r="I2847" s="9" t="s">
        <v>5356</v>
      </c>
      <c r="J2847" s="9" t="s">
        <v>5357</v>
      </c>
      <c r="K2847" s="4" t="s">
        <v>15175</v>
      </c>
      <c r="L2847" s="13">
        <v>10375</v>
      </c>
      <c r="M2847" t="str">
        <f>VLOOKUP(L2847,[1]Human_BrainSpan!$B$2:$C$4000,2,FALSE)</f>
        <v>CoP</v>
      </c>
    </row>
    <row r="2848" spans="2:13" x14ac:dyDescent="0.25">
      <c r="B2848" s="31" t="s">
        <v>26303</v>
      </c>
      <c r="C2848" s="25" t="s">
        <v>26018</v>
      </c>
      <c r="D2848" s="25" t="s">
        <v>26232</v>
      </c>
      <c r="E2848" s="25" t="s">
        <v>26300</v>
      </c>
      <c r="F2848" s="9" t="str">
        <f t="shared" si="37"/>
        <v>structure with developmental contribution from neural crest</v>
      </c>
      <c r="G2848" s="9" t="s">
        <v>5090</v>
      </c>
      <c r="H2848" s="9" t="s">
        <v>23169</v>
      </c>
      <c r="I2848" s="9" t="s">
        <v>3047</v>
      </c>
      <c r="J2848" s="9" t="s">
        <v>5358</v>
      </c>
      <c r="K2848" s="4" t="s">
        <v>15175</v>
      </c>
      <c r="L2848" s="13">
        <v>10376</v>
      </c>
      <c r="M2848" t="str">
        <f>VLOOKUP(L2848,[1]Human_BrainSpan!$B$2:$C$4000,2,FALSE)</f>
        <v>Me</v>
      </c>
    </row>
    <row r="2849" spans="2:13" x14ac:dyDescent="0.25">
      <c r="B2849" s="31" t="s">
        <v>26303</v>
      </c>
      <c r="C2849" s="25" t="s">
        <v>237</v>
      </c>
      <c r="D2849" s="25" t="s">
        <v>26232</v>
      </c>
      <c r="E2849" s="25"/>
      <c r="F2849" s="9" t="str">
        <f t="shared" si="37"/>
        <v>structure with developmental contribution from neural crest</v>
      </c>
      <c r="G2849" s="9" t="s">
        <v>5090</v>
      </c>
      <c r="H2849" s="9" t="s">
        <v>20037</v>
      </c>
      <c r="I2849" s="9" t="s">
        <v>237</v>
      </c>
      <c r="J2849" s="9" t="s">
        <v>238</v>
      </c>
      <c r="K2849" s="4" t="s">
        <v>15175</v>
      </c>
      <c r="L2849" s="13">
        <v>10377</v>
      </c>
      <c r="M2849" t="str">
        <f>VLOOKUP(L2849,[1]Human_BrainSpan!$B$2:$C$4000,2,FALSE)</f>
        <v>AHA</v>
      </c>
    </row>
    <row r="2850" spans="2:13" x14ac:dyDescent="0.25">
      <c r="B2850" s="31" t="s">
        <v>26303</v>
      </c>
      <c r="C2850" s="25" t="s">
        <v>2448</v>
      </c>
      <c r="D2850" s="25" t="s">
        <v>26232</v>
      </c>
      <c r="E2850" s="25"/>
      <c r="F2850" s="9" t="str">
        <f t="shared" si="37"/>
        <v>structure with developmental contribution from neural crest</v>
      </c>
      <c r="G2850" s="9" t="s">
        <v>5090</v>
      </c>
      <c r="H2850" s="9" t="s">
        <v>23206</v>
      </c>
      <c r="I2850" s="9" t="s">
        <v>2446</v>
      </c>
      <c r="J2850" s="9" t="s">
        <v>2447</v>
      </c>
      <c r="K2850" s="4" t="s">
        <v>15175</v>
      </c>
      <c r="L2850" s="13">
        <v>10378</v>
      </c>
      <c r="M2850" t="str">
        <f>VLOOKUP(L2850,[1]Human_BrainSpan!$B$2:$C$4000,2,FALSE)</f>
        <v>INA</v>
      </c>
    </row>
    <row r="2851" spans="2:13" x14ac:dyDescent="0.25">
      <c r="B2851" s="31" t="s">
        <v>26303</v>
      </c>
      <c r="C2851" s="20"/>
      <c r="D2851" s="25" t="s">
        <v>26232</v>
      </c>
      <c r="E2851" s="25" t="s">
        <v>26300</v>
      </c>
      <c r="F2851" s="9" t="str">
        <f t="shared" si="37"/>
        <v>structure with developmental contribution from neural crest</v>
      </c>
      <c r="G2851" s="9" t="s">
        <v>5090</v>
      </c>
      <c r="H2851" s="9" t="s">
        <v>23208</v>
      </c>
      <c r="I2851" s="9" t="s">
        <v>5359</v>
      </c>
      <c r="J2851" s="9" t="s">
        <v>5360</v>
      </c>
      <c r="K2851" s="4" t="s">
        <v>15175</v>
      </c>
      <c r="L2851" s="13">
        <v>10379</v>
      </c>
      <c r="M2851" t="str">
        <f>VLOOKUP(L2851,[1]Human_BrainSpan!$B$2:$C$4000,2,FALSE)</f>
        <v>ATA</v>
      </c>
    </row>
    <row r="2852" spans="2:13" x14ac:dyDescent="0.25">
      <c r="B2852" s="31" t="s">
        <v>26303</v>
      </c>
      <c r="C2852" s="20"/>
      <c r="D2852" s="25" t="s">
        <v>26232</v>
      </c>
      <c r="E2852" s="25" t="s">
        <v>26300</v>
      </c>
      <c r="F2852" s="9" t="str">
        <f t="shared" si="37"/>
        <v>structure with developmental contribution from neural crest</v>
      </c>
      <c r="G2852" s="9" t="s">
        <v>5090</v>
      </c>
      <c r="H2852" s="9" t="s">
        <v>23211</v>
      </c>
      <c r="I2852" s="9" t="s">
        <v>5361</v>
      </c>
      <c r="J2852" s="9" t="s">
        <v>5362</v>
      </c>
      <c r="K2852" s="4" t="s">
        <v>15175</v>
      </c>
      <c r="L2852" s="13">
        <v>10381</v>
      </c>
      <c r="M2852" t="str">
        <f>VLOOKUP(L2852,[1]Human_BrainSpan!$B$2:$C$4000,2,FALSE)</f>
        <v>ASTA</v>
      </c>
    </row>
    <row r="2853" spans="2:13" x14ac:dyDescent="0.25">
      <c r="B2853" s="31" t="s">
        <v>26299</v>
      </c>
      <c r="C2853" s="25" t="s">
        <v>26116</v>
      </c>
      <c r="D2853" s="25" t="s">
        <v>26232</v>
      </c>
      <c r="E2853" s="25" t="s">
        <v>26300</v>
      </c>
      <c r="F2853" s="9" t="str">
        <f t="shared" si="37"/>
        <v>structure with developmental contribution from neural crest</v>
      </c>
      <c r="G2853" s="9" t="s">
        <v>5090</v>
      </c>
      <c r="H2853" s="9" t="s">
        <v>23212</v>
      </c>
      <c r="I2853" s="9" t="s">
        <v>5363</v>
      </c>
      <c r="J2853" s="9" t="s">
        <v>5364</v>
      </c>
      <c r="K2853" s="4" t="s">
        <v>15175</v>
      </c>
      <c r="L2853" s="13">
        <v>10382</v>
      </c>
      <c r="M2853" t="str">
        <f>VLOOKUP(L2853,[1]Human_BrainSpan!$B$2:$C$4000,2,FALSE)</f>
        <v>ACTA</v>
      </c>
    </row>
    <row r="2854" spans="2:13" x14ac:dyDescent="0.25">
      <c r="B2854" s="31" t="s">
        <v>26303</v>
      </c>
      <c r="C2854" s="20"/>
      <c r="D2854" s="25" t="s">
        <v>26232</v>
      </c>
      <c r="E2854" s="25" t="s">
        <v>26300</v>
      </c>
      <c r="F2854" s="9" t="str">
        <f t="shared" si="37"/>
        <v>structure with developmental contribution from neural crest</v>
      </c>
      <c r="G2854" s="9" t="s">
        <v>5090</v>
      </c>
      <c r="H2854" s="9" t="s">
        <v>23215</v>
      </c>
      <c r="I2854" s="9" t="s">
        <v>5365</v>
      </c>
      <c r="J2854" s="9" t="s">
        <v>5366</v>
      </c>
      <c r="K2854" s="4" t="s">
        <v>15175</v>
      </c>
      <c r="L2854" s="13">
        <v>10383</v>
      </c>
      <c r="M2854" t="str">
        <f>VLOOKUP(L2854,[1]Human_BrainSpan!$B$2:$C$4000,2,FALSE)</f>
        <v>EXA</v>
      </c>
    </row>
    <row r="2855" spans="2:13" x14ac:dyDescent="0.25">
      <c r="B2855" s="31" t="s">
        <v>26303</v>
      </c>
      <c r="C2855" s="25" t="s">
        <v>561</v>
      </c>
      <c r="D2855" s="25" t="s">
        <v>26232</v>
      </c>
      <c r="E2855" s="25"/>
      <c r="F2855" s="9" t="str">
        <f t="shared" si="37"/>
        <v>structure with developmental contribution from neural crest</v>
      </c>
      <c r="G2855" s="9" t="s">
        <v>5090</v>
      </c>
      <c r="H2855" s="9" t="s">
        <v>23216</v>
      </c>
      <c r="I2855" s="9" t="s">
        <v>561</v>
      </c>
      <c r="J2855" s="9" t="s">
        <v>562</v>
      </c>
      <c r="K2855" s="4" t="s">
        <v>15175</v>
      </c>
      <c r="L2855" s="13">
        <v>10384</v>
      </c>
      <c r="M2855" t="str">
        <f>VLOOKUP(L2855,[1]Human_BrainSpan!$B$2:$C$4000,2,FALSE)</f>
        <v>BNST</v>
      </c>
    </row>
    <row r="2856" spans="2:13" x14ac:dyDescent="0.25">
      <c r="B2856" s="31" t="s">
        <v>26303</v>
      </c>
      <c r="C2856" s="25" t="s">
        <v>25993</v>
      </c>
      <c r="D2856" s="25" t="s">
        <v>26232</v>
      </c>
      <c r="E2856" s="25"/>
      <c r="F2856" s="9" t="str">
        <f t="shared" si="37"/>
        <v>structure with developmental contribution from neural crest</v>
      </c>
      <c r="G2856" s="9" t="s">
        <v>5090</v>
      </c>
      <c r="H2856" s="9" t="s">
        <v>23217</v>
      </c>
      <c r="I2856" s="9" t="s">
        <v>2953</v>
      </c>
      <c r="J2856" s="9" t="s">
        <v>2954</v>
      </c>
      <c r="K2856" s="4" t="s">
        <v>15175</v>
      </c>
      <c r="L2856" s="13">
        <v>10385</v>
      </c>
      <c r="M2856" t="str">
        <f>VLOOKUP(L2856,[1]Human_BrainSpan!$B$2:$C$4000,2,FALSE)</f>
        <v>BNSTm</v>
      </c>
    </row>
    <row r="2857" spans="2:13" x14ac:dyDescent="0.25">
      <c r="B2857" s="31" t="s">
        <v>26303</v>
      </c>
      <c r="C2857" s="25" t="s">
        <v>26025</v>
      </c>
      <c r="D2857" s="25" t="s">
        <v>26232</v>
      </c>
      <c r="E2857" s="25"/>
      <c r="F2857" s="9" t="str">
        <f t="shared" si="37"/>
        <v>structure with developmental contribution from neural crest</v>
      </c>
      <c r="G2857" s="9" t="s">
        <v>5090</v>
      </c>
      <c r="H2857" s="9" t="s">
        <v>23223</v>
      </c>
      <c r="I2857" s="9" t="s">
        <v>2632</v>
      </c>
      <c r="J2857" s="9" t="s">
        <v>2633</v>
      </c>
      <c r="K2857" s="4" t="s">
        <v>15175</v>
      </c>
      <c r="L2857" s="13">
        <v>10386</v>
      </c>
      <c r="M2857" t="str">
        <f>VLOOKUP(L2857,[1]Human_BrainSpan!$B$2:$C$4000,2,FALSE)</f>
        <v>BNSTl</v>
      </c>
    </row>
    <row r="2858" spans="2:13" x14ac:dyDescent="0.25">
      <c r="B2858" s="31" t="s">
        <v>26303</v>
      </c>
      <c r="C2858" s="20"/>
      <c r="D2858" s="25" t="s">
        <v>26232</v>
      </c>
      <c r="E2858" s="25" t="s">
        <v>26300</v>
      </c>
      <c r="F2858" s="9" t="str">
        <f t="shared" si="37"/>
        <v>structure with developmental contribution from neural crest</v>
      </c>
      <c r="G2858" s="9" t="s">
        <v>5090</v>
      </c>
      <c r="H2858" s="9" t="s">
        <v>23237</v>
      </c>
      <c r="I2858" s="9" t="s">
        <v>5367</v>
      </c>
      <c r="J2858" s="9" t="s">
        <v>5368</v>
      </c>
      <c r="K2858" s="4" t="s">
        <v>15175</v>
      </c>
      <c r="L2858" s="13">
        <v>10387</v>
      </c>
      <c r="M2858" t="str">
        <f>VLOOKUP(L2858,[1]Human_BrainSpan!$B$2:$C$4000,2,FALSE)</f>
        <v>SLEA</v>
      </c>
    </row>
    <row r="2859" spans="2:13" x14ac:dyDescent="0.25">
      <c r="B2859" s="31" t="s">
        <v>26303</v>
      </c>
      <c r="C2859" s="20"/>
      <c r="D2859" s="25" t="s">
        <v>26232</v>
      </c>
      <c r="E2859" s="20" t="s">
        <v>26300</v>
      </c>
      <c r="F2859" s="9" t="str">
        <f t="shared" si="37"/>
        <v>structure with developmental contribution from neural crest</v>
      </c>
      <c r="G2859" s="9" t="s">
        <v>5090</v>
      </c>
      <c r="H2859" s="9" t="s">
        <v>15647</v>
      </c>
      <c r="I2859" s="9" t="s">
        <v>5369</v>
      </c>
      <c r="J2859" s="9" t="s">
        <v>5370</v>
      </c>
      <c r="K2859" s="4" t="s">
        <v>15175</v>
      </c>
      <c r="L2859" s="13">
        <v>10388</v>
      </c>
      <c r="M2859" t="str">
        <f>VLOOKUP(L2859,[1]Human_BrainSpan!$B$2:$C$4000,2,FALSE)</f>
        <v>IPAC</v>
      </c>
    </row>
    <row r="2860" spans="2:13" x14ac:dyDescent="0.25">
      <c r="B2860" s="31" t="s">
        <v>26303</v>
      </c>
      <c r="C2860" s="25" t="s">
        <v>1347</v>
      </c>
      <c r="D2860" s="25" t="s">
        <v>26232</v>
      </c>
      <c r="E2860" s="25"/>
      <c r="F2860" s="9" t="str">
        <f t="shared" si="37"/>
        <v>structure with developmental contribution from neural crest</v>
      </c>
      <c r="G2860" s="9" t="s">
        <v>5090</v>
      </c>
      <c r="H2860" s="9" t="s">
        <v>19744</v>
      </c>
      <c r="I2860" s="9" t="s">
        <v>1347</v>
      </c>
      <c r="J2860" s="9" t="s">
        <v>1348</v>
      </c>
      <c r="K2860" s="4" t="s">
        <v>15175</v>
      </c>
      <c r="L2860" s="13">
        <v>10515</v>
      </c>
      <c r="M2860" t="str">
        <f>VLOOKUP(L2860,[1]Human_BrainSpan!$B$2:$C$4000,2,FALSE)</f>
        <v>CP</v>
      </c>
    </row>
    <row r="2861" spans="2:13" x14ac:dyDescent="0.25">
      <c r="B2861" s="31" t="s">
        <v>26303</v>
      </c>
      <c r="C2861" s="25" t="s">
        <v>2016</v>
      </c>
      <c r="D2861" s="25" t="s">
        <v>26232</v>
      </c>
      <c r="E2861" s="25" t="s">
        <v>26306</v>
      </c>
      <c r="F2861" s="9" t="str">
        <f t="shared" si="37"/>
        <v>structure with developmental contribution from neural crest</v>
      </c>
      <c r="G2861" s="9" t="s">
        <v>5090</v>
      </c>
      <c r="H2861" s="9" t="s">
        <v>21263</v>
      </c>
      <c r="I2861" s="9" t="s">
        <v>5371</v>
      </c>
      <c r="J2861" s="9" t="s">
        <v>5372</v>
      </c>
      <c r="K2861" s="4" t="s">
        <v>15175</v>
      </c>
      <c r="L2861" s="13">
        <v>10516</v>
      </c>
      <c r="M2861" t="str">
        <f>VLOOKUP(L2861,[1]Human_BrainSpan!$B$2:$C$4000,2,FALSE)</f>
        <v>fCP</v>
      </c>
    </row>
    <row r="2862" spans="2:13" x14ac:dyDescent="0.25">
      <c r="B2862" s="31" t="s">
        <v>26303</v>
      </c>
      <c r="C2862" s="25" t="s">
        <v>3376</v>
      </c>
      <c r="D2862" s="25" t="s">
        <v>26232</v>
      </c>
      <c r="E2862" s="25" t="s">
        <v>26306</v>
      </c>
      <c r="F2862" s="9" t="str">
        <f t="shared" si="37"/>
        <v>structure with developmental contribution from neural crest</v>
      </c>
      <c r="G2862" s="9" t="s">
        <v>5090</v>
      </c>
      <c r="H2862" s="9" t="s">
        <v>21331</v>
      </c>
      <c r="I2862" s="9" t="s">
        <v>5373</v>
      </c>
      <c r="J2862" s="9" t="s">
        <v>5374</v>
      </c>
      <c r="K2862" s="4" t="s">
        <v>15175</v>
      </c>
      <c r="L2862" s="13">
        <v>10517</v>
      </c>
      <c r="M2862" t="str">
        <f>VLOOKUP(L2862,[1]Human_BrainSpan!$B$2:$C$4000,2,FALSE)</f>
        <v>oCP</v>
      </c>
    </row>
    <row r="2863" spans="2:13" x14ac:dyDescent="0.25">
      <c r="B2863" s="31" t="s">
        <v>26303</v>
      </c>
      <c r="C2863" s="25" t="s">
        <v>3729</v>
      </c>
      <c r="D2863" s="25" t="s">
        <v>26232</v>
      </c>
      <c r="E2863" s="25" t="s">
        <v>26306</v>
      </c>
      <c r="F2863" s="9" t="str">
        <f t="shared" si="37"/>
        <v>structure with developmental contribution from neural crest</v>
      </c>
      <c r="G2863" s="9" t="s">
        <v>5090</v>
      </c>
      <c r="H2863" s="9" t="s">
        <v>21282</v>
      </c>
      <c r="I2863" s="9" t="s">
        <v>5375</v>
      </c>
      <c r="J2863" s="9" t="s">
        <v>5376</v>
      </c>
      <c r="K2863" s="4" t="s">
        <v>15175</v>
      </c>
      <c r="L2863" s="13">
        <v>10518</v>
      </c>
      <c r="M2863" t="str">
        <f>VLOOKUP(L2863,[1]Human_BrainSpan!$B$2:$C$4000,2,FALSE)</f>
        <v>pCP</v>
      </c>
    </row>
    <row r="2864" spans="2:13" x14ac:dyDescent="0.25">
      <c r="B2864" s="31" t="s">
        <v>26303</v>
      </c>
      <c r="C2864" s="25" t="s">
        <v>9891</v>
      </c>
      <c r="D2864" s="25" t="s">
        <v>26232</v>
      </c>
      <c r="E2864" s="25" t="s">
        <v>26306</v>
      </c>
      <c r="F2864" s="9" t="str">
        <f t="shared" si="37"/>
        <v>structure with developmental contribution from neural crest</v>
      </c>
      <c r="G2864" s="9" t="s">
        <v>5090</v>
      </c>
      <c r="H2864" s="9" t="s">
        <v>21295</v>
      </c>
      <c r="I2864" s="9" t="s">
        <v>5377</v>
      </c>
      <c r="J2864" s="9" t="s">
        <v>5378</v>
      </c>
      <c r="K2864" s="4" t="s">
        <v>15175</v>
      </c>
      <c r="L2864" s="13">
        <v>10519</v>
      </c>
      <c r="M2864" t="str">
        <f>VLOOKUP(L2864,[1]Human_BrainSpan!$B$2:$C$4000,2,FALSE)</f>
        <v>tCP</v>
      </c>
    </row>
    <row r="2865" spans="2:13" x14ac:dyDescent="0.25">
      <c r="B2865" s="31" t="s">
        <v>26303</v>
      </c>
      <c r="C2865" s="25" t="s">
        <v>221</v>
      </c>
      <c r="D2865" s="25" t="s">
        <v>26232</v>
      </c>
      <c r="E2865" s="25" t="s">
        <v>26306</v>
      </c>
      <c r="F2865" s="9" t="str">
        <f t="shared" si="37"/>
        <v>structure with developmental contribution from neural crest</v>
      </c>
      <c r="G2865" s="9" t="s">
        <v>5090</v>
      </c>
      <c r="H2865" s="9" t="s">
        <v>21390</v>
      </c>
      <c r="I2865" s="9" t="s">
        <v>5379</v>
      </c>
      <c r="J2865" s="9" t="s">
        <v>5380</v>
      </c>
      <c r="K2865" s="4" t="s">
        <v>15175</v>
      </c>
      <c r="L2865" s="13">
        <v>10520</v>
      </c>
      <c r="M2865" t="str">
        <f>VLOOKUP(L2865,[1]Human_BrainSpan!$B$2:$C$4000,2,FALSE)</f>
        <v>alCP</v>
      </c>
    </row>
    <row r="2866" spans="2:13" x14ac:dyDescent="0.25">
      <c r="B2866" s="31" t="s">
        <v>26303</v>
      </c>
      <c r="C2866" s="25" t="s">
        <v>3786</v>
      </c>
      <c r="D2866" s="25" t="s">
        <v>26232</v>
      </c>
      <c r="E2866" s="25" t="s">
        <v>26306</v>
      </c>
      <c r="F2866" s="9" t="str">
        <f t="shared" si="37"/>
        <v>structure with developmental contribution from neural crest</v>
      </c>
      <c r="G2866" s="9" t="s">
        <v>5090</v>
      </c>
      <c r="H2866" s="9" t="s">
        <v>21366</v>
      </c>
      <c r="I2866" s="9" t="s">
        <v>5381</v>
      </c>
      <c r="J2866" s="9" t="s">
        <v>5382</v>
      </c>
      <c r="K2866" s="4" t="s">
        <v>15175</v>
      </c>
      <c r="L2866" s="13">
        <v>10521</v>
      </c>
      <c r="M2866" t="str">
        <f>VLOOKUP(L2866,[1]Human_BrainSpan!$B$2:$C$4000,2,FALSE)</f>
        <v>peCP</v>
      </c>
    </row>
    <row r="2867" spans="2:13" x14ac:dyDescent="0.25">
      <c r="B2867" s="31" t="s">
        <v>26303</v>
      </c>
      <c r="C2867" s="25" t="s">
        <v>14107</v>
      </c>
      <c r="D2867" s="25" t="s">
        <v>26232</v>
      </c>
      <c r="E2867" s="25"/>
      <c r="F2867" s="9" t="str">
        <f t="shared" si="37"/>
        <v>structure with developmental contribution from neural crest</v>
      </c>
      <c r="G2867" s="9" t="s">
        <v>5090</v>
      </c>
      <c r="H2867" s="9" t="s">
        <v>15193</v>
      </c>
      <c r="I2867" s="9" t="s">
        <v>1352</v>
      </c>
      <c r="J2867" s="9" t="s">
        <v>1353</v>
      </c>
      <c r="K2867" s="4" t="s">
        <v>15175</v>
      </c>
      <c r="L2867" s="13">
        <v>10522</v>
      </c>
      <c r="M2867" t="str">
        <f>VLOOKUP(L2867,[1]Human_BrainSpan!$B$2:$C$4000,2,FALSE)</f>
        <v>SP</v>
      </c>
    </row>
    <row r="2868" spans="2:13" x14ac:dyDescent="0.25">
      <c r="B2868" s="31" t="s">
        <v>26303</v>
      </c>
      <c r="C2868" s="25" t="s">
        <v>2016</v>
      </c>
      <c r="D2868" s="25" t="s">
        <v>26232</v>
      </c>
      <c r="E2868" s="25" t="s">
        <v>26306</v>
      </c>
      <c r="F2868" s="9" t="str">
        <f t="shared" si="37"/>
        <v>structure with developmental contribution from neural crest</v>
      </c>
      <c r="G2868" s="9" t="s">
        <v>5090</v>
      </c>
      <c r="H2868" s="9" t="s">
        <v>21399</v>
      </c>
      <c r="I2868" s="9" t="s">
        <v>5383</v>
      </c>
      <c r="J2868" s="9" t="s">
        <v>5384</v>
      </c>
      <c r="K2868" s="4" t="s">
        <v>15175</v>
      </c>
      <c r="L2868" s="13">
        <v>10523</v>
      </c>
      <c r="M2868" t="str">
        <f>VLOOKUP(L2868,[1]Human_BrainSpan!$B$2:$C$4000,2,FALSE)</f>
        <v>fSP</v>
      </c>
    </row>
    <row r="2869" spans="2:13" x14ac:dyDescent="0.25">
      <c r="B2869" s="31" t="s">
        <v>26303</v>
      </c>
      <c r="C2869" s="25" t="s">
        <v>3376</v>
      </c>
      <c r="D2869" s="25" t="s">
        <v>26232</v>
      </c>
      <c r="E2869" s="25" t="s">
        <v>26306</v>
      </c>
      <c r="F2869" s="9" t="str">
        <f t="shared" si="37"/>
        <v>structure with developmental contribution from neural crest</v>
      </c>
      <c r="G2869" s="9" t="s">
        <v>5090</v>
      </c>
      <c r="H2869" s="9" t="s">
        <v>21427</v>
      </c>
      <c r="I2869" s="9" t="s">
        <v>5385</v>
      </c>
      <c r="J2869" s="9" t="s">
        <v>5386</v>
      </c>
      <c r="K2869" s="4" t="s">
        <v>15175</v>
      </c>
      <c r="L2869" s="13">
        <v>10524</v>
      </c>
      <c r="M2869" t="str">
        <f>VLOOKUP(L2869,[1]Human_BrainSpan!$B$2:$C$4000,2,FALSE)</f>
        <v>oSP</v>
      </c>
    </row>
    <row r="2870" spans="2:13" x14ac:dyDescent="0.25">
      <c r="B2870" s="31" t="s">
        <v>26303</v>
      </c>
      <c r="C2870" s="25" t="s">
        <v>3729</v>
      </c>
      <c r="D2870" s="25" t="s">
        <v>26232</v>
      </c>
      <c r="E2870" s="25" t="s">
        <v>26306</v>
      </c>
      <c r="F2870" s="9" t="str">
        <f t="shared" si="37"/>
        <v>structure with developmental contribution from neural crest</v>
      </c>
      <c r="G2870" s="9" t="s">
        <v>5090</v>
      </c>
      <c r="H2870" s="9" t="s">
        <v>21406</v>
      </c>
      <c r="I2870" s="9" t="s">
        <v>5387</v>
      </c>
      <c r="J2870" s="9" t="s">
        <v>5388</v>
      </c>
      <c r="K2870" s="4" t="s">
        <v>15175</v>
      </c>
      <c r="L2870" s="13">
        <v>10525</v>
      </c>
      <c r="M2870" t="str">
        <f>VLOOKUP(L2870,[1]Human_BrainSpan!$B$2:$C$4000,2,FALSE)</f>
        <v>pSP</v>
      </c>
    </row>
    <row r="2871" spans="2:13" x14ac:dyDescent="0.25">
      <c r="B2871" s="31" t="s">
        <v>26303</v>
      </c>
      <c r="C2871" s="25" t="s">
        <v>9891</v>
      </c>
      <c r="D2871" s="25" t="s">
        <v>26232</v>
      </c>
      <c r="E2871" s="25" t="s">
        <v>26306</v>
      </c>
      <c r="F2871" s="9" t="str">
        <f t="shared" ref="F2871:F2934" si="38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2871" s="9" t="s">
        <v>5090</v>
      </c>
      <c r="H2871" s="9" t="s">
        <v>21411</v>
      </c>
      <c r="I2871" s="9" t="s">
        <v>5389</v>
      </c>
      <c r="J2871" s="9" t="s">
        <v>5390</v>
      </c>
      <c r="K2871" s="4" t="s">
        <v>15175</v>
      </c>
      <c r="L2871" s="13">
        <v>10526</v>
      </c>
      <c r="M2871" t="str">
        <f>VLOOKUP(L2871,[1]Human_BrainSpan!$B$2:$C$4000,2,FALSE)</f>
        <v>tSP</v>
      </c>
    </row>
    <row r="2872" spans="2:13" x14ac:dyDescent="0.25">
      <c r="B2872" s="31" t="s">
        <v>26303</v>
      </c>
      <c r="C2872" s="25" t="s">
        <v>221</v>
      </c>
      <c r="D2872" s="25" t="s">
        <v>26232</v>
      </c>
      <c r="E2872" s="25" t="s">
        <v>26306</v>
      </c>
      <c r="F2872" s="9" t="str">
        <f t="shared" si="38"/>
        <v>structure with developmental contribution from neural crest</v>
      </c>
      <c r="G2872" s="9" t="s">
        <v>5090</v>
      </c>
      <c r="H2872" s="9" t="s">
        <v>21455</v>
      </c>
      <c r="I2872" s="9" t="s">
        <v>5391</v>
      </c>
      <c r="J2872" s="9" t="s">
        <v>5392</v>
      </c>
      <c r="K2872" s="4" t="s">
        <v>15175</v>
      </c>
      <c r="L2872" s="13">
        <v>10527</v>
      </c>
      <c r="M2872" t="str">
        <f>VLOOKUP(L2872,[1]Human_BrainSpan!$B$2:$C$4000,2,FALSE)</f>
        <v>alSP</v>
      </c>
    </row>
    <row r="2873" spans="2:13" x14ac:dyDescent="0.25">
      <c r="B2873" s="31" t="s">
        <v>26303</v>
      </c>
      <c r="C2873" s="25" t="s">
        <v>3786</v>
      </c>
      <c r="D2873" s="25" t="s">
        <v>26232</v>
      </c>
      <c r="E2873" s="25" t="s">
        <v>26306</v>
      </c>
      <c r="F2873" s="9" t="str">
        <f t="shared" si="38"/>
        <v>structure with developmental contribution from neural crest</v>
      </c>
      <c r="G2873" s="9" t="s">
        <v>5090</v>
      </c>
      <c r="H2873" s="9" t="s">
        <v>21442</v>
      </c>
      <c r="I2873" s="9" t="s">
        <v>5393</v>
      </c>
      <c r="J2873" s="9" t="s">
        <v>5394</v>
      </c>
      <c r="K2873" s="4" t="s">
        <v>15175</v>
      </c>
      <c r="L2873" s="13">
        <v>10528</v>
      </c>
      <c r="M2873" t="str">
        <f>VLOOKUP(L2873,[1]Human_BrainSpan!$B$2:$C$4000,2,FALSE)</f>
        <v>peSP</v>
      </c>
    </row>
    <row r="2874" spans="2:13" x14ac:dyDescent="0.25">
      <c r="B2874" s="31" t="s">
        <v>26303</v>
      </c>
      <c r="C2874" s="25" t="s">
        <v>495</v>
      </c>
      <c r="D2874" s="25" t="s">
        <v>26232</v>
      </c>
      <c r="E2874" s="25"/>
      <c r="F2874" s="9" t="str">
        <f t="shared" si="38"/>
        <v>structure with developmental contribution from neural crest</v>
      </c>
      <c r="G2874" s="9" t="s">
        <v>5090</v>
      </c>
      <c r="H2874" s="9" t="s">
        <v>23554</v>
      </c>
      <c r="I2874" s="9" t="s">
        <v>495</v>
      </c>
      <c r="J2874" s="9" t="s">
        <v>496</v>
      </c>
      <c r="K2874" s="4" t="s">
        <v>15175</v>
      </c>
      <c r="L2874" s="13">
        <v>10569</v>
      </c>
      <c r="M2874" t="str">
        <f>VLOOKUP(L2874,[1]Human_BrainSpan!$B$2:$C$4000,2,FALSE)</f>
        <v>af</v>
      </c>
    </row>
    <row r="2875" spans="2:13" x14ac:dyDescent="0.25">
      <c r="B2875" s="31" t="s">
        <v>26303</v>
      </c>
      <c r="C2875" s="25" t="s">
        <v>25963</v>
      </c>
      <c r="D2875" s="25" t="s">
        <v>26232</v>
      </c>
      <c r="E2875" s="25"/>
      <c r="F2875" s="9" t="str">
        <f t="shared" si="38"/>
        <v>structure with developmental contribution from neural crest</v>
      </c>
      <c r="G2875" s="9" t="s">
        <v>5090</v>
      </c>
      <c r="H2875" s="9" t="s">
        <v>20889</v>
      </c>
      <c r="I2875" s="9" t="s">
        <v>2303</v>
      </c>
      <c r="J2875" s="9" t="s">
        <v>2304</v>
      </c>
      <c r="K2875" s="4" t="s">
        <v>15175</v>
      </c>
      <c r="L2875" s="13">
        <v>10570</v>
      </c>
      <c r="M2875" t="str">
        <f>VLOOKUP(L2875,[1]Human_BrainSpan!$B$2:$C$4000,2,FALSE)</f>
        <v>alv</v>
      </c>
    </row>
    <row r="2876" spans="2:13" x14ac:dyDescent="0.25">
      <c r="B2876" s="31" t="s">
        <v>26303</v>
      </c>
      <c r="C2876" s="25" t="s">
        <v>25872</v>
      </c>
      <c r="D2876" s="25" t="s">
        <v>26232</v>
      </c>
      <c r="E2876" s="25"/>
      <c r="F2876" s="9" t="str">
        <f t="shared" si="38"/>
        <v>structure with developmental contribution from neural crest</v>
      </c>
      <c r="G2876" s="9" t="s">
        <v>5090</v>
      </c>
      <c r="H2876" s="9" t="s">
        <v>23556</v>
      </c>
      <c r="I2876" s="9" t="s">
        <v>1256</v>
      </c>
      <c r="J2876" s="9" t="s">
        <v>1257</v>
      </c>
      <c r="K2876" s="4" t="s">
        <v>15175</v>
      </c>
      <c r="L2876" s="13">
        <v>10572</v>
      </c>
      <c r="M2876" t="str">
        <f>VLOOKUP(L2876,[1]Human_BrainSpan!$B$2:$C$4000,2,FALSE)</f>
        <v>cb</v>
      </c>
    </row>
    <row r="2877" spans="2:13" x14ac:dyDescent="0.25">
      <c r="B2877" s="31" t="s">
        <v>26303</v>
      </c>
      <c r="C2877" s="25" t="s">
        <v>25964</v>
      </c>
      <c r="D2877" s="25" t="s">
        <v>26232</v>
      </c>
      <c r="E2877" s="25"/>
      <c r="F2877" s="9" t="str">
        <f t="shared" si="38"/>
        <v>structure with developmental contribution from neural crest</v>
      </c>
      <c r="G2877" s="9" t="s">
        <v>5090</v>
      </c>
      <c r="H2877" s="9" t="s">
        <v>23577</v>
      </c>
      <c r="I2877" s="9" t="s">
        <v>2308</v>
      </c>
      <c r="J2877" s="9" t="s">
        <v>2309</v>
      </c>
      <c r="K2877" s="4" t="s">
        <v>15175</v>
      </c>
      <c r="L2877" s="13">
        <v>10575</v>
      </c>
      <c r="M2877" t="str">
        <f>VLOOKUP(L2877,[1]Human_BrainSpan!$B$2:$C$4000,2,FALSE)</f>
        <v>fim</v>
      </c>
    </row>
    <row r="2878" spans="2:13" x14ac:dyDescent="0.25">
      <c r="B2878" s="31" t="s">
        <v>26303</v>
      </c>
      <c r="C2878" s="25" t="s">
        <v>25940</v>
      </c>
      <c r="D2878" s="25" t="s">
        <v>26232</v>
      </c>
      <c r="E2878" s="25"/>
      <c r="F2878" s="9" t="str">
        <f t="shared" si="38"/>
        <v>structure with developmental contribution from neural crest</v>
      </c>
      <c r="G2878" s="9" t="s">
        <v>5090</v>
      </c>
      <c r="H2878" s="9" t="s">
        <v>18461</v>
      </c>
      <c r="I2878" s="9" t="s">
        <v>1999</v>
      </c>
      <c r="J2878" s="9" t="s">
        <v>2000</v>
      </c>
      <c r="K2878" s="4" t="s">
        <v>15175</v>
      </c>
      <c r="L2878" s="13">
        <v>10576</v>
      </c>
      <c r="M2878" t="str">
        <f>VLOOKUP(L2878,[1]Human_BrainSpan!$B$2:$C$4000,2,FALSE)</f>
        <v>fx</v>
      </c>
    </row>
    <row r="2879" spans="2:13" x14ac:dyDescent="0.25">
      <c r="B2879" s="31" t="s">
        <v>26299</v>
      </c>
      <c r="C2879" s="25" t="s">
        <v>25810</v>
      </c>
      <c r="D2879" s="25" t="s">
        <v>26232</v>
      </c>
      <c r="E2879" s="20" t="s">
        <v>26300</v>
      </c>
      <c r="F2879" s="9" t="str">
        <f t="shared" si="38"/>
        <v>structure with developmental contribution from neural crest</v>
      </c>
      <c r="G2879" s="9" t="s">
        <v>5090</v>
      </c>
      <c r="H2879" s="9" t="s">
        <v>23578</v>
      </c>
      <c r="I2879" s="9" t="s">
        <v>581</v>
      </c>
      <c r="J2879" s="9" t="s">
        <v>582</v>
      </c>
      <c r="K2879" s="4" t="s">
        <v>15175</v>
      </c>
      <c r="L2879" s="13">
        <v>10577</v>
      </c>
      <c r="M2879" t="str">
        <f>VLOOKUP(L2879,[1]Human_BrainSpan!$B$2:$C$4000,2,FALSE)</f>
        <v>fx-co</v>
      </c>
    </row>
    <row r="2880" spans="2:13" x14ac:dyDescent="0.25">
      <c r="B2880" s="31" t="s">
        <v>26303</v>
      </c>
      <c r="C2880" s="25" t="s">
        <v>25810</v>
      </c>
      <c r="D2880" s="25" t="s">
        <v>26232</v>
      </c>
      <c r="E2880" s="25"/>
      <c r="F2880" s="9" t="str">
        <f t="shared" si="38"/>
        <v>structure with developmental contribution from neural crest</v>
      </c>
      <c r="G2880" s="9" t="s">
        <v>5090</v>
      </c>
      <c r="H2880" s="9" t="s">
        <v>23581</v>
      </c>
      <c r="I2880" s="9" t="s">
        <v>583</v>
      </c>
      <c r="J2880" s="9" t="s">
        <v>584</v>
      </c>
      <c r="K2880" s="4" t="s">
        <v>15175</v>
      </c>
      <c r="L2880" s="13">
        <v>10578</v>
      </c>
      <c r="M2880" t="str">
        <f>VLOOKUP(L2880,[1]Human_BrainSpan!$B$2:$C$4000,2,FALSE)</f>
        <v>fx-b</v>
      </c>
    </row>
    <row r="2881" spans="2:13" x14ac:dyDescent="0.25">
      <c r="B2881" s="31" t="s">
        <v>26303</v>
      </c>
      <c r="C2881" s="25" t="s">
        <v>26131</v>
      </c>
      <c r="D2881" s="25" t="s">
        <v>26232</v>
      </c>
      <c r="E2881" s="25"/>
      <c r="F2881" s="9" t="str">
        <f t="shared" si="38"/>
        <v>structure with developmental contribution from neural crest</v>
      </c>
      <c r="G2881" s="9" t="s">
        <v>5090</v>
      </c>
      <c r="H2881" s="9" t="s">
        <v>23582</v>
      </c>
      <c r="I2881" s="9" t="s">
        <v>3917</v>
      </c>
      <c r="J2881" s="9" t="s">
        <v>3918</v>
      </c>
      <c r="K2881" s="4" t="s">
        <v>15175</v>
      </c>
      <c r="L2881" s="13">
        <v>10579</v>
      </c>
      <c r="M2881" t="str">
        <f>VLOOKUP(L2881,[1]Human_BrainSpan!$B$2:$C$4000,2,FALSE)</f>
        <v>fx-cr</v>
      </c>
    </row>
    <row r="2882" spans="2:13" x14ac:dyDescent="0.25">
      <c r="B2882" s="31" t="s">
        <v>26303</v>
      </c>
      <c r="C2882" s="25" t="s">
        <v>2374</v>
      </c>
      <c r="D2882" s="25" t="s">
        <v>26232</v>
      </c>
      <c r="E2882" s="25"/>
      <c r="F2882" s="9" t="str">
        <f t="shared" si="38"/>
        <v>structure with developmental contribution from neural crest</v>
      </c>
      <c r="G2882" s="9" t="s">
        <v>5090</v>
      </c>
      <c r="H2882" s="9" t="s">
        <v>23585</v>
      </c>
      <c r="I2882" s="9" t="s">
        <v>2374</v>
      </c>
      <c r="J2882" s="9" t="s">
        <v>2375</v>
      </c>
      <c r="K2882" s="4" t="s">
        <v>15175</v>
      </c>
      <c r="L2882" s="13">
        <v>10580</v>
      </c>
      <c r="M2882" t="str">
        <f>VLOOKUP(L2882,[1]Human_BrainSpan!$B$2:$C$4000,2,FALSE)</f>
        <v>ilf</v>
      </c>
    </row>
    <row r="2883" spans="2:13" x14ac:dyDescent="0.25">
      <c r="B2883" s="31" t="s">
        <v>26299</v>
      </c>
      <c r="C2883" s="25" t="s">
        <v>25976</v>
      </c>
      <c r="D2883" s="25" t="s">
        <v>26232</v>
      </c>
      <c r="E2883" s="25" t="s">
        <v>26300</v>
      </c>
      <c r="F2883" s="9" t="str">
        <f t="shared" si="38"/>
        <v>structure with developmental contribution from neural crest</v>
      </c>
      <c r="G2883" s="9" t="s">
        <v>5090</v>
      </c>
      <c r="H2883" s="9" t="s">
        <v>23590</v>
      </c>
      <c r="I2883" s="9" t="s">
        <v>5395</v>
      </c>
      <c r="J2883" s="9" t="s">
        <v>5396</v>
      </c>
      <c r="K2883" s="4" t="s">
        <v>15175</v>
      </c>
      <c r="L2883" s="13">
        <v>10583</v>
      </c>
      <c r="M2883" t="str">
        <f>VLOOKUP(L2883,[1]Human_BrainSpan!$B$2:$C$4000,2,FALSE)</f>
        <v>gic</v>
      </c>
    </row>
    <row r="2884" spans="2:13" x14ac:dyDescent="0.25">
      <c r="B2884" s="31" t="s">
        <v>26303</v>
      </c>
      <c r="C2884" s="25" t="s">
        <v>26015</v>
      </c>
      <c r="D2884" s="25" t="s">
        <v>26232</v>
      </c>
      <c r="E2884" s="25"/>
      <c r="F2884" s="9" t="str">
        <f t="shared" si="38"/>
        <v>structure with developmental contribution from neural crest</v>
      </c>
      <c r="G2884" s="9" t="s">
        <v>5090</v>
      </c>
      <c r="H2884" s="9" t="s">
        <v>20937</v>
      </c>
      <c r="I2884" s="9" t="s">
        <v>2876</v>
      </c>
      <c r="J2884" s="9" t="s">
        <v>2877</v>
      </c>
      <c r="K2884" s="4" t="s">
        <v>15175</v>
      </c>
      <c r="L2884" s="13">
        <v>10586</v>
      </c>
      <c r="M2884" t="str">
        <f>VLOOKUP(L2884,[1]Human_BrainSpan!$B$2:$C$4000,2,FALSE)</f>
        <v>mtt</v>
      </c>
    </row>
    <row r="2885" spans="2:13" x14ac:dyDescent="0.25">
      <c r="B2885" s="31" t="s">
        <v>26303</v>
      </c>
      <c r="C2885" s="25" t="s">
        <v>1209</v>
      </c>
      <c r="D2885" s="25" t="s">
        <v>26232</v>
      </c>
      <c r="E2885" s="25"/>
      <c r="F2885" s="9" t="str">
        <f t="shared" si="38"/>
        <v>structure with developmental contribution from neural crest</v>
      </c>
      <c r="G2885" s="9" t="s">
        <v>5090</v>
      </c>
      <c r="H2885" s="9" t="s">
        <v>20909</v>
      </c>
      <c r="I2885" s="9" t="s">
        <v>1209</v>
      </c>
      <c r="J2885" s="9" t="s">
        <v>1210</v>
      </c>
      <c r="K2885" s="4" t="s">
        <v>15175</v>
      </c>
      <c r="L2885" s="13">
        <v>10587</v>
      </c>
      <c r="M2885" t="str">
        <f>VLOOKUP(L2885,[1]Human_BrainSpan!$B$2:$C$4000,2,FALSE)</f>
        <v>mfb</v>
      </c>
    </row>
    <row r="2886" spans="2:13" x14ac:dyDescent="0.25">
      <c r="B2886" s="31" t="s">
        <v>26303</v>
      </c>
      <c r="C2886" s="25" t="s">
        <v>3394</v>
      </c>
      <c r="D2886" s="25" t="s">
        <v>26232</v>
      </c>
      <c r="E2886" s="25"/>
      <c r="F2886" s="9" t="str">
        <f t="shared" si="38"/>
        <v>structure with developmental contribution from neural crest</v>
      </c>
      <c r="G2886" s="9" t="s">
        <v>5090</v>
      </c>
      <c r="H2886" s="9" t="s">
        <v>23619</v>
      </c>
      <c r="I2886" s="9" t="s">
        <v>3394</v>
      </c>
      <c r="J2886" s="9" t="s">
        <v>3395</v>
      </c>
      <c r="K2886" s="4" t="s">
        <v>15175</v>
      </c>
      <c r="L2886" s="13">
        <v>10588</v>
      </c>
      <c r="M2886" t="str">
        <f>VLOOKUP(L2886,[1]Human_BrainSpan!$B$2:$C$4000,2,FALSE)</f>
        <v>off</v>
      </c>
    </row>
    <row r="2887" spans="2:13" x14ac:dyDescent="0.25">
      <c r="B2887" s="31" t="s">
        <v>26303</v>
      </c>
      <c r="C2887" s="25" t="s">
        <v>3504</v>
      </c>
      <c r="D2887" s="25" t="s">
        <v>26232</v>
      </c>
      <c r="E2887" s="25"/>
      <c r="F2887" s="9" t="str">
        <f t="shared" si="38"/>
        <v>structure with developmental contribution from neural crest</v>
      </c>
      <c r="G2887" s="9" t="s">
        <v>5090</v>
      </c>
      <c r="H2887" s="9" t="s">
        <v>23627</v>
      </c>
      <c r="I2887" s="9" t="s">
        <v>3504</v>
      </c>
      <c r="J2887" s="9" t="s">
        <v>3505</v>
      </c>
      <c r="K2887" s="4" t="s">
        <v>15175</v>
      </c>
      <c r="L2887" s="13">
        <v>10589</v>
      </c>
      <c r="M2887" t="str">
        <f>VLOOKUP(L2887,[1]Human_BrainSpan!$B$2:$C$4000,2,FALSE)</f>
        <v>ot</v>
      </c>
    </row>
    <row r="2888" spans="2:13" x14ac:dyDescent="0.25">
      <c r="B2888" s="31" t="s">
        <v>26303</v>
      </c>
      <c r="C2888" s="25" t="s">
        <v>5397</v>
      </c>
      <c r="D2888" s="25" t="s">
        <v>26232</v>
      </c>
      <c r="E2888" s="25"/>
      <c r="F2888" s="9" t="str">
        <f t="shared" si="38"/>
        <v>structure with developmental contribution from neural crest</v>
      </c>
      <c r="G2888" s="9" t="s">
        <v>5090</v>
      </c>
      <c r="H2888" s="9" t="s">
        <v>23651</v>
      </c>
      <c r="I2888" s="9" t="s">
        <v>5397</v>
      </c>
      <c r="J2888" s="9" t="s">
        <v>5398</v>
      </c>
      <c r="K2888" s="4" t="s">
        <v>15175</v>
      </c>
      <c r="L2888" s="13">
        <v>10592</v>
      </c>
      <c r="M2888" t="str">
        <f>VLOOKUP(L2888,[1]Human_BrainSpan!$B$2:$C$4000,2,FALSE)</f>
        <v>slf</v>
      </c>
    </row>
    <row r="2889" spans="2:13" x14ac:dyDescent="0.25">
      <c r="B2889" s="31" t="s">
        <v>26303</v>
      </c>
      <c r="C2889" s="25" t="s">
        <v>26278</v>
      </c>
      <c r="D2889" s="25" t="s">
        <v>26232</v>
      </c>
      <c r="E2889" s="25"/>
      <c r="F2889" s="9" t="str">
        <f t="shared" si="38"/>
        <v>structure with developmental contribution from neural crest</v>
      </c>
      <c r="G2889" s="9" t="s">
        <v>5090</v>
      </c>
      <c r="H2889" s="9" t="s">
        <v>23659</v>
      </c>
      <c r="I2889" s="9" t="s">
        <v>1211</v>
      </c>
      <c r="J2889" s="9" t="s">
        <v>1212</v>
      </c>
      <c r="K2889" s="4" t="s">
        <v>15175</v>
      </c>
      <c r="L2889" s="13">
        <v>10593</v>
      </c>
      <c r="M2889" t="str">
        <f>VLOOKUP(L2889,[1]Human_BrainSpan!$B$2:$C$4000,2,FALSE)</f>
        <v>thf</v>
      </c>
    </row>
    <row r="2890" spans="2:13" x14ac:dyDescent="0.25">
      <c r="B2890" s="31" t="s">
        <v>26303</v>
      </c>
      <c r="C2890" s="25" t="s">
        <v>15014</v>
      </c>
      <c r="D2890" s="25" t="s">
        <v>26232</v>
      </c>
      <c r="E2890" s="25"/>
      <c r="F2890" s="9" t="str">
        <f t="shared" si="38"/>
        <v>structure with developmental contribution from neural crest</v>
      </c>
      <c r="G2890" s="9" t="s">
        <v>5090</v>
      </c>
      <c r="H2890" s="9" t="s">
        <v>23666</v>
      </c>
      <c r="I2890" s="9" t="s">
        <v>5399</v>
      </c>
      <c r="J2890" s="9" t="s">
        <v>5400</v>
      </c>
      <c r="K2890" s="4" t="s">
        <v>15175</v>
      </c>
      <c r="L2890" s="13">
        <v>10594</v>
      </c>
      <c r="M2890" t="str">
        <f>VLOOKUP(L2890,[1]Human_BrainSpan!$B$2:$C$4000,2,FALSE)</f>
        <v>unf</v>
      </c>
    </row>
    <row r="2891" spans="2:13" x14ac:dyDescent="0.25">
      <c r="B2891" s="31" t="s">
        <v>26303</v>
      </c>
      <c r="C2891" s="25" t="s">
        <v>1000</v>
      </c>
      <c r="D2891" s="25" t="s">
        <v>26232</v>
      </c>
      <c r="E2891" s="25"/>
      <c r="F2891" s="9" t="str">
        <f t="shared" si="38"/>
        <v>structure with developmental contribution from neural crest</v>
      </c>
      <c r="G2891" s="9" t="s">
        <v>5090</v>
      </c>
      <c r="H2891" s="9" t="s">
        <v>23699</v>
      </c>
      <c r="I2891" s="9" t="s">
        <v>1000</v>
      </c>
      <c r="J2891" s="9" t="s">
        <v>1001</v>
      </c>
      <c r="K2891" s="4" t="s">
        <v>15175</v>
      </c>
      <c r="L2891" s="13">
        <v>10614</v>
      </c>
      <c r="M2891" t="str">
        <f>VLOOKUP(L2891,[1]Human_BrainSpan!$B$2:$C$4000,2,FALSE)</f>
        <v>cs</v>
      </c>
    </row>
    <row r="2892" spans="2:13" x14ac:dyDescent="0.25">
      <c r="B2892" s="31" t="s">
        <v>26303</v>
      </c>
      <c r="C2892" s="20"/>
      <c r="D2892" s="25" t="s">
        <v>26232</v>
      </c>
      <c r="E2892" s="25" t="s">
        <v>26300</v>
      </c>
      <c r="F2892" s="9" t="str">
        <f t="shared" si="38"/>
        <v>structure with developmental contribution from neural crest</v>
      </c>
      <c r="G2892" s="9" t="s">
        <v>5090</v>
      </c>
      <c r="H2892" s="9" t="s">
        <v>23701</v>
      </c>
      <c r="I2892" s="9" t="s">
        <v>5401</v>
      </c>
      <c r="J2892" s="9" t="s">
        <v>5402</v>
      </c>
      <c r="K2892" s="4" t="s">
        <v>15175</v>
      </c>
      <c r="L2892" s="13">
        <v>10616</v>
      </c>
      <c r="M2892" t="str">
        <f>VLOOKUP(L2892,[1]Human_BrainSpan!$B$2:$C$4000,2,FALSE)</f>
        <v>mr</v>
      </c>
    </row>
    <row r="2893" spans="2:13" x14ac:dyDescent="0.25">
      <c r="B2893" s="31" t="s">
        <v>26303</v>
      </c>
      <c r="C2893" s="25" t="s">
        <v>2299</v>
      </c>
      <c r="D2893" s="25" t="s">
        <v>26232</v>
      </c>
      <c r="E2893" s="25"/>
      <c r="F2893" s="9" t="str">
        <f t="shared" si="38"/>
        <v>structure with developmental contribution from neural crest</v>
      </c>
      <c r="G2893" s="9" t="s">
        <v>5090</v>
      </c>
      <c r="H2893" s="9" t="s">
        <v>20969</v>
      </c>
      <c r="I2893" s="9" t="s">
        <v>2297</v>
      </c>
      <c r="J2893" s="9" t="s">
        <v>2298</v>
      </c>
      <c r="K2893" s="4" t="s">
        <v>15175</v>
      </c>
      <c r="L2893" s="13">
        <v>10619</v>
      </c>
      <c r="M2893" t="str">
        <f>VLOOKUP(L2893,[1]Human_BrainSpan!$B$2:$C$4000,2,FALSE)</f>
        <v>hf</v>
      </c>
    </row>
    <row r="2894" spans="2:13" x14ac:dyDescent="0.25">
      <c r="B2894" s="31" t="s">
        <v>26303</v>
      </c>
      <c r="C2894" s="25" t="s">
        <v>25998</v>
      </c>
      <c r="D2894" s="25" t="s">
        <v>26232</v>
      </c>
      <c r="E2894" s="25"/>
      <c r="F2894" s="9" t="str">
        <f t="shared" si="38"/>
        <v>structure with developmental contribution from neural crest</v>
      </c>
      <c r="G2894" s="9" t="s">
        <v>5090</v>
      </c>
      <c r="H2894" s="9" t="s">
        <v>23712</v>
      </c>
      <c r="I2894" s="9" t="s">
        <v>2725</v>
      </c>
      <c r="J2894" s="9" t="s">
        <v>2726</v>
      </c>
      <c r="K2894" s="4" t="s">
        <v>15175</v>
      </c>
      <c r="L2894" s="13">
        <v>10621</v>
      </c>
      <c r="M2894" t="str">
        <f>VLOOKUP(L2894,[1]Human_BrainSpan!$B$2:$C$4000,2,FALSE)</f>
        <v>las</v>
      </c>
    </row>
    <row r="2895" spans="2:13" x14ac:dyDescent="0.25">
      <c r="B2895" s="31" t="s">
        <v>26303</v>
      </c>
      <c r="C2895" s="25" t="s">
        <v>26124</v>
      </c>
      <c r="D2895" s="25" t="s">
        <v>26232</v>
      </c>
      <c r="E2895" s="25"/>
      <c r="F2895" s="9" t="str">
        <f t="shared" si="38"/>
        <v>structure with developmental contribution from neural crest</v>
      </c>
      <c r="G2895" s="9" t="s">
        <v>5090</v>
      </c>
      <c r="H2895" s="9" t="s">
        <v>23873</v>
      </c>
      <c r="I2895" s="9" t="s">
        <v>3848</v>
      </c>
      <c r="J2895" s="9" t="s">
        <v>3849</v>
      </c>
      <c r="K2895" s="4" t="s">
        <v>15175</v>
      </c>
      <c r="L2895" s="13">
        <v>10643</v>
      </c>
      <c r="M2895" t="str">
        <f>VLOOKUP(L2895,[1]Human_BrainSpan!$B$2:$C$4000,2,FALSE)</f>
        <v>InF</v>
      </c>
    </row>
    <row r="2896" spans="2:13" x14ac:dyDescent="0.25">
      <c r="B2896" s="31" t="s">
        <v>26303</v>
      </c>
      <c r="C2896" s="25" t="s">
        <v>26075</v>
      </c>
      <c r="D2896" s="25" t="s">
        <v>26232</v>
      </c>
      <c r="E2896" s="25"/>
      <c r="F2896" s="9" t="str">
        <f t="shared" si="38"/>
        <v>structure with developmental contribution from neural crest</v>
      </c>
      <c r="G2896" s="9" t="s">
        <v>5090</v>
      </c>
      <c r="H2896" s="9" t="s">
        <v>23626</v>
      </c>
      <c r="I2896" s="9" t="s">
        <v>3492</v>
      </c>
      <c r="J2896" s="9" t="s">
        <v>3493</v>
      </c>
      <c r="K2896" s="4" t="s">
        <v>15175</v>
      </c>
      <c r="L2896" s="13">
        <v>10644</v>
      </c>
      <c r="M2896" t="str">
        <f>VLOOKUP(L2896,[1]Human_BrainSpan!$B$2:$C$4000,2,FALSE)</f>
        <v>ox</v>
      </c>
    </row>
    <row r="2897" spans="2:13" x14ac:dyDescent="0.25">
      <c r="B2897" s="31" t="s">
        <v>26303</v>
      </c>
      <c r="C2897" s="25" t="s">
        <v>4088</v>
      </c>
      <c r="D2897" s="25" t="s">
        <v>26232</v>
      </c>
      <c r="E2897" s="25"/>
      <c r="F2897" s="9" t="str">
        <f t="shared" si="38"/>
        <v>structure with developmental contribution from neural crest</v>
      </c>
      <c r="G2897" s="9" t="s">
        <v>5090</v>
      </c>
      <c r="H2897" s="9" t="s">
        <v>23875</v>
      </c>
      <c r="I2897" s="9" t="s">
        <v>4088</v>
      </c>
      <c r="J2897" s="9" t="s">
        <v>4089</v>
      </c>
      <c r="K2897" s="4" t="s">
        <v>15175</v>
      </c>
      <c r="L2897" s="13">
        <v>10645</v>
      </c>
      <c r="M2897" t="str">
        <f>VLOOKUP(L2897,[1]Human_BrainSpan!$B$2:$C$4000,2,FALSE)</f>
        <v>PrN</v>
      </c>
    </row>
    <row r="2898" spans="2:13" x14ac:dyDescent="0.25">
      <c r="B2898" s="31" t="s">
        <v>26303</v>
      </c>
      <c r="C2898" s="25" t="s">
        <v>25952</v>
      </c>
      <c r="D2898" s="25" t="s">
        <v>26232</v>
      </c>
      <c r="E2898" s="25"/>
      <c r="F2898" s="9" t="str">
        <f t="shared" si="38"/>
        <v>structure with developmental contribution from neural crest</v>
      </c>
      <c r="G2898" s="9" t="s">
        <v>5090</v>
      </c>
      <c r="H2898" s="9" t="s">
        <v>24188</v>
      </c>
      <c r="I2898" s="9" t="s">
        <v>2120</v>
      </c>
      <c r="J2898" s="9" t="s">
        <v>2121</v>
      </c>
      <c r="K2898" s="4" t="s">
        <v>15175</v>
      </c>
      <c r="L2898" s="13">
        <v>10654</v>
      </c>
      <c r="M2898" t="str">
        <f>VLOOKUP(L2898,[1]Human_BrainSpan!$B$2:$C$4000,2,FALSE)</f>
        <v>HGM</v>
      </c>
    </row>
    <row r="2899" spans="2:13" x14ac:dyDescent="0.25">
      <c r="B2899" s="31" t="s">
        <v>26303</v>
      </c>
      <c r="C2899" s="20"/>
      <c r="D2899" s="25" t="s">
        <v>26185</v>
      </c>
      <c r="E2899" s="25" t="s">
        <v>26300</v>
      </c>
      <c r="F2899" s="9" t="str">
        <f t="shared" si="38"/>
        <v>structure with developmental contribution from neural crest</v>
      </c>
      <c r="G2899" s="9" t="s">
        <v>5090</v>
      </c>
      <c r="H2899" s="9" t="s">
        <v>24493</v>
      </c>
      <c r="I2899" s="9" t="s">
        <v>5403</v>
      </c>
      <c r="J2899" s="9" t="s">
        <v>5404</v>
      </c>
      <c r="K2899" s="4" t="s">
        <v>15175</v>
      </c>
      <c r="L2899" s="13">
        <v>10663</v>
      </c>
      <c r="M2899" t="str">
        <f>VLOOKUP(L2899,[1]Human_BrainSpan!$B$2:$C$4000,2,FALSE)</f>
        <v>HTS</v>
      </c>
    </row>
    <row r="2900" spans="2:13" x14ac:dyDescent="0.25">
      <c r="B2900" s="31" t="s">
        <v>26303</v>
      </c>
      <c r="C2900" s="25" t="s">
        <v>4756</v>
      </c>
      <c r="D2900" s="25" t="s">
        <v>26232</v>
      </c>
      <c r="E2900" s="25"/>
      <c r="F2900" s="9" t="str">
        <f t="shared" si="38"/>
        <v>structure with developmental contribution from neural crest</v>
      </c>
      <c r="G2900" s="9" t="s">
        <v>5090</v>
      </c>
      <c r="H2900" s="9" t="s">
        <v>24551</v>
      </c>
      <c r="I2900" s="9" t="s">
        <v>4756</v>
      </c>
      <c r="J2900" s="9" t="s">
        <v>4757</v>
      </c>
      <c r="K2900" s="4" t="s">
        <v>15175</v>
      </c>
      <c r="L2900" s="13">
        <v>10664</v>
      </c>
      <c r="M2900" t="str">
        <f>VLOOKUP(L2900,[1]Human_BrainSpan!$B$2:$C$4000,2,FALSE)</f>
        <v>RhL</v>
      </c>
    </row>
    <row r="2901" spans="2:13" x14ac:dyDescent="0.25">
      <c r="B2901" s="31" t="s">
        <v>26303</v>
      </c>
      <c r="C2901" s="20"/>
      <c r="D2901" s="25" t="s">
        <v>26232</v>
      </c>
      <c r="E2901" s="20" t="s">
        <v>26300</v>
      </c>
      <c r="F2901" s="9" t="str">
        <f t="shared" si="38"/>
        <v>structure with developmental contribution from neural crest</v>
      </c>
      <c r="G2901" s="9" t="s">
        <v>5090</v>
      </c>
      <c r="H2901" s="9" t="s">
        <v>24556</v>
      </c>
      <c r="I2901" s="9" t="s">
        <v>5405</v>
      </c>
      <c r="J2901" s="9" t="s">
        <v>5406</v>
      </c>
      <c r="K2901" s="4" t="s">
        <v>15175</v>
      </c>
      <c r="L2901" s="13">
        <v>10667</v>
      </c>
      <c r="M2901" t="str">
        <f>VLOOKUP(L2901,[1]Human_BrainSpan!$B$2:$C$4000,2,FALSE)</f>
        <v>TCC</v>
      </c>
    </row>
    <row r="2902" spans="2:13" x14ac:dyDescent="0.25">
      <c r="B2902" s="31" t="s">
        <v>26303</v>
      </c>
      <c r="C2902" s="25" t="s">
        <v>5407</v>
      </c>
      <c r="D2902" s="25" t="s">
        <v>26232</v>
      </c>
      <c r="E2902" s="25"/>
      <c r="F2902" s="9" t="str">
        <f t="shared" si="38"/>
        <v>structure with developmental contribution from neural crest</v>
      </c>
      <c r="G2902" s="9" t="s">
        <v>5090</v>
      </c>
      <c r="H2902" s="9" t="s">
        <v>24597</v>
      </c>
      <c r="I2902" s="9" t="s">
        <v>5407</v>
      </c>
      <c r="J2902" s="9" t="s">
        <v>5408</v>
      </c>
      <c r="K2902" s="4" t="s">
        <v>15175</v>
      </c>
      <c r="L2902" s="13">
        <v>10668</v>
      </c>
      <c r="M2902" t="str">
        <f>VLOOKUP(L2902,[1]Human_BrainSpan!$B$2:$C$4000,2,FALSE)</f>
        <v>HWM</v>
      </c>
    </row>
    <row r="2903" spans="2:13" x14ac:dyDescent="0.25">
      <c r="B2903" s="31" t="s">
        <v>26299</v>
      </c>
      <c r="C2903" s="25" t="s">
        <v>2247</v>
      </c>
      <c r="D2903" s="25" t="s">
        <v>26185</v>
      </c>
      <c r="E2903" s="25" t="s">
        <v>26300</v>
      </c>
      <c r="F2903" s="9" t="str">
        <f t="shared" si="38"/>
        <v>structure with developmental contribution from neural crest</v>
      </c>
      <c r="G2903" s="9" t="s">
        <v>5090</v>
      </c>
      <c r="H2903" s="9" t="s">
        <v>24668</v>
      </c>
      <c r="I2903" s="9" t="s">
        <v>5409</v>
      </c>
      <c r="J2903" s="9" t="s">
        <v>5410</v>
      </c>
      <c r="K2903" s="4" t="s">
        <v>15175</v>
      </c>
      <c r="L2903" s="13">
        <v>10670</v>
      </c>
      <c r="M2903" t="str">
        <f>VLOOKUP(L2903,[1]Human_BrainSpan!$B$2:$C$4000,2,FALSE)</f>
        <v>HSS</v>
      </c>
    </row>
    <row r="2904" spans="2:13" x14ac:dyDescent="0.25">
      <c r="B2904" s="31" t="s">
        <v>26299</v>
      </c>
      <c r="C2904" s="25" t="s">
        <v>26080</v>
      </c>
      <c r="D2904" s="25" t="s">
        <v>26232</v>
      </c>
      <c r="E2904" s="25" t="s">
        <v>26306</v>
      </c>
      <c r="F2904" s="9" t="str">
        <f t="shared" si="38"/>
        <v>structure with developmental contribution from neural crest</v>
      </c>
      <c r="G2904" s="9" t="s">
        <v>5090</v>
      </c>
      <c r="H2904" s="9" t="s">
        <v>22218</v>
      </c>
      <c r="I2904" s="9" t="s">
        <v>5411</v>
      </c>
      <c r="J2904" s="9" t="s">
        <v>5412</v>
      </c>
      <c r="K2904" s="4" t="s">
        <v>15175</v>
      </c>
      <c r="L2904" s="13">
        <v>10738</v>
      </c>
      <c r="M2904" t="str">
        <f>VLOOKUP(L2904,[1]Human_BrainSpan!$B$2:$C$4000,2,FALSE)</f>
        <v>A14r1</v>
      </c>
    </row>
    <row r="2905" spans="2:13" x14ac:dyDescent="0.25">
      <c r="B2905" s="31" t="s">
        <v>26299</v>
      </c>
      <c r="C2905" s="25" t="s">
        <v>26080</v>
      </c>
      <c r="D2905" s="25" t="s">
        <v>26232</v>
      </c>
      <c r="E2905" s="25" t="s">
        <v>26306</v>
      </c>
      <c r="F2905" s="9" t="str">
        <f t="shared" si="38"/>
        <v>structure with developmental contribution from neural crest</v>
      </c>
      <c r="G2905" s="9" t="s">
        <v>5090</v>
      </c>
      <c r="H2905" s="9" t="s">
        <v>22219</v>
      </c>
      <c r="I2905" s="9" t="s">
        <v>5413</v>
      </c>
      <c r="J2905" s="9" t="s">
        <v>5414</v>
      </c>
      <c r="K2905" s="4" t="s">
        <v>15175</v>
      </c>
      <c r="L2905" s="13">
        <v>10739</v>
      </c>
      <c r="M2905" t="str">
        <f>VLOOKUP(L2905,[1]Human_BrainSpan!$B$2:$C$4000,2,FALSE)</f>
        <v>A14r2</v>
      </c>
    </row>
    <row r="2906" spans="2:13" x14ac:dyDescent="0.25">
      <c r="B2906" s="31" t="s">
        <v>26299</v>
      </c>
      <c r="C2906" s="25" t="s">
        <v>26080</v>
      </c>
      <c r="D2906" s="25" t="s">
        <v>26232</v>
      </c>
      <c r="E2906" s="25" t="s">
        <v>26306</v>
      </c>
      <c r="F2906" s="9" t="str">
        <f t="shared" si="38"/>
        <v>structure with developmental contribution from neural crest</v>
      </c>
      <c r="G2906" s="9" t="s">
        <v>5090</v>
      </c>
      <c r="H2906" s="9" t="s">
        <v>22220</v>
      </c>
      <c r="I2906" s="9" t="s">
        <v>5415</v>
      </c>
      <c r="J2906" s="9" t="s">
        <v>5416</v>
      </c>
      <c r="K2906" s="4" t="s">
        <v>15175</v>
      </c>
      <c r="L2906" s="13">
        <v>10740</v>
      </c>
      <c r="M2906" t="str">
        <f>VLOOKUP(L2906,[1]Human_BrainSpan!$B$2:$C$4000,2,FALSE)</f>
        <v>A14r3</v>
      </c>
    </row>
    <row r="2907" spans="2:13" x14ac:dyDescent="0.25">
      <c r="B2907" s="31" t="s">
        <v>26299</v>
      </c>
      <c r="C2907" s="25" t="s">
        <v>26080</v>
      </c>
      <c r="D2907" s="25" t="s">
        <v>26232</v>
      </c>
      <c r="E2907" s="25" t="s">
        <v>26306</v>
      </c>
      <c r="F2907" s="9" t="str">
        <f t="shared" si="38"/>
        <v>structure with developmental contribution from neural crest</v>
      </c>
      <c r="G2907" s="9" t="s">
        <v>5090</v>
      </c>
      <c r="H2907" s="9" t="s">
        <v>22221</v>
      </c>
      <c r="I2907" s="9" t="s">
        <v>5417</v>
      </c>
      <c r="J2907" s="9" t="s">
        <v>5418</v>
      </c>
      <c r="K2907" s="4" t="s">
        <v>15175</v>
      </c>
      <c r="L2907" s="13">
        <v>10741</v>
      </c>
      <c r="M2907" t="str">
        <f>VLOOKUP(L2907,[1]Human_BrainSpan!$B$2:$C$4000,2,FALSE)</f>
        <v>A14r4</v>
      </c>
    </row>
    <row r="2908" spans="2:13" x14ac:dyDescent="0.25">
      <c r="B2908" s="31" t="s">
        <v>26299</v>
      </c>
      <c r="C2908" s="25" t="s">
        <v>26080</v>
      </c>
      <c r="D2908" s="25" t="s">
        <v>26232</v>
      </c>
      <c r="E2908" s="25" t="s">
        <v>26306</v>
      </c>
      <c r="F2908" s="9" t="str">
        <f t="shared" si="38"/>
        <v>structure with developmental contribution from neural crest</v>
      </c>
      <c r="G2908" s="9" t="s">
        <v>5090</v>
      </c>
      <c r="H2908" s="9" t="s">
        <v>22222</v>
      </c>
      <c r="I2908" s="9" t="s">
        <v>5419</v>
      </c>
      <c r="J2908" s="9" t="s">
        <v>5420</v>
      </c>
      <c r="K2908" s="4" t="s">
        <v>15175</v>
      </c>
      <c r="L2908" s="13">
        <v>10742</v>
      </c>
      <c r="M2908" t="str">
        <f>VLOOKUP(L2908,[1]Human_BrainSpan!$B$2:$C$4000,2,FALSE)</f>
        <v>A14r5</v>
      </c>
    </row>
    <row r="2909" spans="2:13" x14ac:dyDescent="0.25">
      <c r="B2909" s="31" t="s">
        <v>26299</v>
      </c>
      <c r="C2909" s="25" t="s">
        <v>26080</v>
      </c>
      <c r="D2909" s="25" t="s">
        <v>26232</v>
      </c>
      <c r="E2909" s="25" t="s">
        <v>26306</v>
      </c>
      <c r="F2909" s="9" t="str">
        <f t="shared" si="38"/>
        <v>structure with developmental contribution from neural crest</v>
      </c>
      <c r="G2909" s="9" t="s">
        <v>5090</v>
      </c>
      <c r="H2909" s="9" t="s">
        <v>22223</v>
      </c>
      <c r="I2909" s="9" t="s">
        <v>5421</v>
      </c>
      <c r="J2909" s="9" t="s">
        <v>5422</v>
      </c>
      <c r="K2909" s="4" t="s">
        <v>15175</v>
      </c>
      <c r="L2909" s="13">
        <v>10743</v>
      </c>
      <c r="M2909" t="str">
        <f>VLOOKUP(L2909,[1]Human_BrainSpan!$B$2:$C$4000,2,FALSE)</f>
        <v>A14r6</v>
      </c>
    </row>
    <row r="2910" spans="2:13" x14ac:dyDescent="0.25">
      <c r="B2910" s="31" t="s">
        <v>26299</v>
      </c>
      <c r="C2910" s="25" t="s">
        <v>26080</v>
      </c>
      <c r="D2910" s="25" t="s">
        <v>26232</v>
      </c>
      <c r="E2910" s="25" t="s">
        <v>26306</v>
      </c>
      <c r="F2910" s="9" t="str">
        <f t="shared" si="38"/>
        <v>structure with developmental contribution from neural crest</v>
      </c>
      <c r="G2910" s="9" t="s">
        <v>5090</v>
      </c>
      <c r="H2910" s="9" t="s">
        <v>22225</v>
      </c>
      <c r="I2910" s="9" t="s">
        <v>5423</v>
      </c>
      <c r="J2910" s="9" t="s">
        <v>5424</v>
      </c>
      <c r="K2910" s="4" t="s">
        <v>15175</v>
      </c>
      <c r="L2910" s="13">
        <v>10744</v>
      </c>
      <c r="M2910" t="str">
        <f>VLOOKUP(L2910,[1]Human_BrainSpan!$B$2:$C$4000,2,FALSE)</f>
        <v>A14c1</v>
      </c>
    </row>
    <row r="2911" spans="2:13" x14ac:dyDescent="0.25">
      <c r="B2911" s="31" t="s">
        <v>26299</v>
      </c>
      <c r="C2911" s="25" t="s">
        <v>26080</v>
      </c>
      <c r="D2911" s="25" t="s">
        <v>26232</v>
      </c>
      <c r="E2911" s="25" t="s">
        <v>26306</v>
      </c>
      <c r="F2911" s="9" t="str">
        <f t="shared" si="38"/>
        <v>structure with developmental contribution from neural crest</v>
      </c>
      <c r="G2911" s="9" t="s">
        <v>5090</v>
      </c>
      <c r="H2911" s="9" t="s">
        <v>22226</v>
      </c>
      <c r="I2911" s="9" t="s">
        <v>5425</v>
      </c>
      <c r="J2911" s="9" t="s">
        <v>5426</v>
      </c>
      <c r="K2911" s="4" t="s">
        <v>15175</v>
      </c>
      <c r="L2911" s="13">
        <v>10745</v>
      </c>
      <c r="M2911" t="str">
        <f>VLOOKUP(L2911,[1]Human_BrainSpan!$B$2:$C$4000,2,FALSE)</f>
        <v>A14c2</v>
      </c>
    </row>
    <row r="2912" spans="2:13" x14ac:dyDescent="0.25">
      <c r="B2912" s="31" t="s">
        <v>26299</v>
      </c>
      <c r="C2912" s="25" t="s">
        <v>26080</v>
      </c>
      <c r="D2912" s="25" t="s">
        <v>26232</v>
      </c>
      <c r="E2912" s="25" t="s">
        <v>26306</v>
      </c>
      <c r="F2912" s="9" t="str">
        <f t="shared" si="38"/>
        <v>structure with developmental contribution from neural crest</v>
      </c>
      <c r="G2912" s="9" t="s">
        <v>5090</v>
      </c>
      <c r="H2912" s="9" t="s">
        <v>22227</v>
      </c>
      <c r="I2912" s="9" t="s">
        <v>5427</v>
      </c>
      <c r="J2912" s="9" t="s">
        <v>5428</v>
      </c>
      <c r="K2912" s="4" t="s">
        <v>15175</v>
      </c>
      <c r="L2912" s="13">
        <v>10746</v>
      </c>
      <c r="M2912" t="str">
        <f>VLOOKUP(L2912,[1]Human_BrainSpan!$B$2:$C$4000,2,FALSE)</f>
        <v>A14c3</v>
      </c>
    </row>
    <row r="2913" spans="2:13" x14ac:dyDescent="0.25">
      <c r="B2913" s="31" t="s">
        <v>26299</v>
      </c>
      <c r="C2913" s="25" t="s">
        <v>26080</v>
      </c>
      <c r="D2913" s="25" t="s">
        <v>26232</v>
      </c>
      <c r="E2913" s="25" t="s">
        <v>26306</v>
      </c>
      <c r="F2913" s="9" t="str">
        <f t="shared" si="38"/>
        <v>structure with developmental contribution from neural crest</v>
      </c>
      <c r="G2913" s="9" t="s">
        <v>5090</v>
      </c>
      <c r="H2913" s="9" t="s">
        <v>22228</v>
      </c>
      <c r="I2913" s="9" t="s">
        <v>5429</v>
      </c>
      <c r="J2913" s="9" t="s">
        <v>5430</v>
      </c>
      <c r="K2913" s="4" t="s">
        <v>15175</v>
      </c>
      <c r="L2913" s="13">
        <v>10747</v>
      </c>
      <c r="M2913" t="str">
        <f>VLOOKUP(L2913,[1]Human_BrainSpan!$B$2:$C$4000,2,FALSE)</f>
        <v>A14c4</v>
      </c>
    </row>
    <row r="2914" spans="2:13" x14ac:dyDescent="0.25">
      <c r="B2914" s="31" t="s">
        <v>26299</v>
      </c>
      <c r="C2914" s="25" t="s">
        <v>26080</v>
      </c>
      <c r="D2914" s="25" t="s">
        <v>26232</v>
      </c>
      <c r="E2914" s="25" t="s">
        <v>26306</v>
      </c>
      <c r="F2914" s="9" t="str">
        <f t="shared" si="38"/>
        <v>structure with developmental contribution from neural crest</v>
      </c>
      <c r="G2914" s="9" t="s">
        <v>5090</v>
      </c>
      <c r="H2914" s="9" t="s">
        <v>22229</v>
      </c>
      <c r="I2914" s="9" t="s">
        <v>5431</v>
      </c>
      <c r="J2914" s="9" t="s">
        <v>5432</v>
      </c>
      <c r="K2914" s="4" t="s">
        <v>15175</v>
      </c>
      <c r="L2914" s="13">
        <v>10748</v>
      </c>
      <c r="M2914" t="str">
        <f>VLOOKUP(L2914,[1]Human_BrainSpan!$B$2:$C$4000,2,FALSE)</f>
        <v>A14c5</v>
      </c>
    </row>
    <row r="2915" spans="2:13" x14ac:dyDescent="0.25">
      <c r="B2915" s="31" t="s">
        <v>26299</v>
      </c>
      <c r="C2915" s="25" t="s">
        <v>26080</v>
      </c>
      <c r="D2915" s="25" t="s">
        <v>26232</v>
      </c>
      <c r="E2915" s="25" t="s">
        <v>26306</v>
      </c>
      <c r="F2915" s="9" t="str">
        <f t="shared" si="38"/>
        <v>structure with developmental contribution from neural crest</v>
      </c>
      <c r="G2915" s="9" t="s">
        <v>5090</v>
      </c>
      <c r="H2915" s="9" t="s">
        <v>22230</v>
      </c>
      <c r="I2915" s="9" t="s">
        <v>5433</v>
      </c>
      <c r="J2915" s="9" t="s">
        <v>5434</v>
      </c>
      <c r="K2915" s="4" t="s">
        <v>15175</v>
      </c>
      <c r="L2915" s="13">
        <v>10749</v>
      </c>
      <c r="M2915" t="str">
        <f>VLOOKUP(L2915,[1]Human_BrainSpan!$B$2:$C$4000,2,FALSE)</f>
        <v>A14c6</v>
      </c>
    </row>
    <row r="2916" spans="2:13" x14ac:dyDescent="0.25">
      <c r="B2916" s="31" t="s">
        <v>26299</v>
      </c>
      <c r="C2916" s="25" t="s">
        <v>26080</v>
      </c>
      <c r="D2916" s="25" t="s">
        <v>26232</v>
      </c>
      <c r="E2916" s="25" t="s">
        <v>26306</v>
      </c>
      <c r="F2916" s="9" t="str">
        <f t="shared" si="38"/>
        <v>structure with developmental contribution from neural crest</v>
      </c>
      <c r="G2916" s="9" t="s">
        <v>5090</v>
      </c>
      <c r="H2916" s="9" t="s">
        <v>22234</v>
      </c>
      <c r="I2916" s="9" t="s">
        <v>5435</v>
      </c>
      <c r="J2916" s="9" t="s">
        <v>5436</v>
      </c>
      <c r="K2916" s="4" t="s">
        <v>15175</v>
      </c>
      <c r="L2916" s="13">
        <v>10750</v>
      </c>
      <c r="M2916" t="str">
        <f>VLOOKUP(L2916,[1]Human_BrainSpan!$B$2:$C$4000,2,FALSE)</f>
        <v>A11m1</v>
      </c>
    </row>
    <row r="2917" spans="2:13" x14ac:dyDescent="0.25">
      <c r="B2917" s="31" t="s">
        <v>26299</v>
      </c>
      <c r="C2917" s="25" t="s">
        <v>26080</v>
      </c>
      <c r="D2917" s="25" t="s">
        <v>26232</v>
      </c>
      <c r="E2917" s="25" t="s">
        <v>26306</v>
      </c>
      <c r="F2917" s="9" t="str">
        <f t="shared" si="38"/>
        <v>structure with developmental contribution from neural crest</v>
      </c>
      <c r="G2917" s="9" t="s">
        <v>5090</v>
      </c>
      <c r="H2917" s="9" t="s">
        <v>22235</v>
      </c>
      <c r="I2917" s="9" t="s">
        <v>5437</v>
      </c>
      <c r="J2917" s="9" t="s">
        <v>5438</v>
      </c>
      <c r="K2917" s="4" t="s">
        <v>15175</v>
      </c>
      <c r="L2917" s="13">
        <v>10751</v>
      </c>
      <c r="M2917" t="str">
        <f>VLOOKUP(L2917,[1]Human_BrainSpan!$B$2:$C$4000,2,FALSE)</f>
        <v>A11m2</v>
      </c>
    </row>
    <row r="2918" spans="2:13" x14ac:dyDescent="0.25">
      <c r="B2918" s="31" t="s">
        <v>26299</v>
      </c>
      <c r="C2918" s="25" t="s">
        <v>26080</v>
      </c>
      <c r="D2918" s="25" t="s">
        <v>26232</v>
      </c>
      <c r="E2918" s="25" t="s">
        <v>26306</v>
      </c>
      <c r="F2918" s="9" t="str">
        <f t="shared" si="38"/>
        <v>structure with developmental contribution from neural crest</v>
      </c>
      <c r="G2918" s="9" t="s">
        <v>5090</v>
      </c>
      <c r="H2918" s="9" t="s">
        <v>22236</v>
      </c>
      <c r="I2918" s="9" t="s">
        <v>5439</v>
      </c>
      <c r="J2918" s="9" t="s">
        <v>5440</v>
      </c>
      <c r="K2918" s="4" t="s">
        <v>15175</v>
      </c>
      <c r="L2918" s="13">
        <v>10752</v>
      </c>
      <c r="M2918" t="str">
        <f>VLOOKUP(L2918,[1]Human_BrainSpan!$B$2:$C$4000,2,FALSE)</f>
        <v>A11m3</v>
      </c>
    </row>
    <row r="2919" spans="2:13" x14ac:dyDescent="0.25">
      <c r="B2919" s="31" t="s">
        <v>26299</v>
      </c>
      <c r="C2919" s="25" t="s">
        <v>26080</v>
      </c>
      <c r="D2919" s="25" t="s">
        <v>26232</v>
      </c>
      <c r="E2919" s="25" t="s">
        <v>26306</v>
      </c>
      <c r="F2919" s="9" t="str">
        <f t="shared" si="38"/>
        <v>structure with developmental contribution from neural crest</v>
      </c>
      <c r="G2919" s="9" t="s">
        <v>5090</v>
      </c>
      <c r="H2919" s="9" t="s">
        <v>22237</v>
      </c>
      <c r="I2919" s="9" t="s">
        <v>5441</v>
      </c>
      <c r="J2919" s="9" t="s">
        <v>5442</v>
      </c>
      <c r="K2919" s="4" t="s">
        <v>15175</v>
      </c>
      <c r="L2919" s="13">
        <v>10753</v>
      </c>
      <c r="M2919" t="str">
        <f>VLOOKUP(L2919,[1]Human_BrainSpan!$B$2:$C$4000,2,FALSE)</f>
        <v>A11m4</v>
      </c>
    </row>
    <row r="2920" spans="2:13" x14ac:dyDescent="0.25">
      <c r="B2920" s="31" t="s">
        <v>26299</v>
      </c>
      <c r="C2920" s="25" t="s">
        <v>26080</v>
      </c>
      <c r="D2920" s="25" t="s">
        <v>26232</v>
      </c>
      <c r="E2920" s="25" t="s">
        <v>26306</v>
      </c>
      <c r="F2920" s="9" t="str">
        <f t="shared" si="38"/>
        <v>structure with developmental contribution from neural crest</v>
      </c>
      <c r="G2920" s="9" t="s">
        <v>5090</v>
      </c>
      <c r="H2920" s="9" t="s">
        <v>22238</v>
      </c>
      <c r="I2920" s="9" t="s">
        <v>5443</v>
      </c>
      <c r="J2920" s="9" t="s">
        <v>5444</v>
      </c>
      <c r="K2920" s="4" t="s">
        <v>15175</v>
      </c>
      <c r="L2920" s="13">
        <v>10754</v>
      </c>
      <c r="M2920" t="str">
        <f>VLOOKUP(L2920,[1]Human_BrainSpan!$B$2:$C$4000,2,FALSE)</f>
        <v>A11m5</v>
      </c>
    </row>
    <row r="2921" spans="2:13" x14ac:dyDescent="0.25">
      <c r="B2921" s="31" t="s">
        <v>26299</v>
      </c>
      <c r="C2921" s="25" t="s">
        <v>26080</v>
      </c>
      <c r="D2921" s="25" t="s">
        <v>26232</v>
      </c>
      <c r="E2921" s="25" t="s">
        <v>26306</v>
      </c>
      <c r="F2921" s="9" t="str">
        <f t="shared" si="38"/>
        <v>structure with developmental contribution from neural crest</v>
      </c>
      <c r="G2921" s="9" t="s">
        <v>5090</v>
      </c>
      <c r="H2921" s="9" t="s">
        <v>22239</v>
      </c>
      <c r="I2921" s="9" t="s">
        <v>5445</v>
      </c>
      <c r="J2921" s="9" t="s">
        <v>5446</v>
      </c>
      <c r="K2921" s="4" t="s">
        <v>15175</v>
      </c>
      <c r="L2921" s="13">
        <v>10755</v>
      </c>
      <c r="M2921" t="str">
        <f>VLOOKUP(L2921,[1]Human_BrainSpan!$B$2:$C$4000,2,FALSE)</f>
        <v>A11m6</v>
      </c>
    </row>
    <row r="2922" spans="2:13" x14ac:dyDescent="0.25">
      <c r="B2922" s="31" t="s">
        <v>26299</v>
      </c>
      <c r="C2922" s="25" t="s">
        <v>26080</v>
      </c>
      <c r="D2922" s="25" t="s">
        <v>26232</v>
      </c>
      <c r="E2922" s="25" t="s">
        <v>26306</v>
      </c>
      <c r="F2922" s="9" t="str">
        <f t="shared" si="38"/>
        <v>structure with developmental contribution from neural crest</v>
      </c>
      <c r="G2922" s="9" t="s">
        <v>5090</v>
      </c>
      <c r="H2922" s="9" t="s">
        <v>22241</v>
      </c>
      <c r="I2922" s="9" t="s">
        <v>5447</v>
      </c>
      <c r="J2922" s="9" t="s">
        <v>5448</v>
      </c>
      <c r="K2922" s="4" t="s">
        <v>15175</v>
      </c>
      <c r="L2922" s="13">
        <v>10756</v>
      </c>
      <c r="M2922" t="str">
        <f>VLOOKUP(L2922,[1]Human_BrainSpan!$B$2:$C$4000,2,FALSE)</f>
        <v>A11l1</v>
      </c>
    </row>
    <row r="2923" spans="2:13" x14ac:dyDescent="0.25">
      <c r="B2923" s="31" t="s">
        <v>26299</v>
      </c>
      <c r="C2923" s="25" t="s">
        <v>26080</v>
      </c>
      <c r="D2923" s="25" t="s">
        <v>26232</v>
      </c>
      <c r="E2923" s="25" t="s">
        <v>26306</v>
      </c>
      <c r="F2923" s="9" t="str">
        <f t="shared" si="38"/>
        <v>structure with developmental contribution from neural crest</v>
      </c>
      <c r="G2923" s="9" t="s">
        <v>5090</v>
      </c>
      <c r="H2923" s="9" t="s">
        <v>22242</v>
      </c>
      <c r="I2923" s="9" t="s">
        <v>5449</v>
      </c>
      <c r="J2923" s="9" t="s">
        <v>5450</v>
      </c>
      <c r="K2923" s="4" t="s">
        <v>15175</v>
      </c>
      <c r="L2923" s="13">
        <v>10757</v>
      </c>
      <c r="M2923" t="str">
        <f>VLOOKUP(L2923,[1]Human_BrainSpan!$B$2:$C$4000,2,FALSE)</f>
        <v>A11l2</v>
      </c>
    </row>
    <row r="2924" spans="2:13" x14ac:dyDescent="0.25">
      <c r="B2924" s="31" t="s">
        <v>26299</v>
      </c>
      <c r="C2924" s="25" t="s">
        <v>26080</v>
      </c>
      <c r="D2924" s="25" t="s">
        <v>26232</v>
      </c>
      <c r="E2924" s="25" t="s">
        <v>26306</v>
      </c>
      <c r="F2924" s="9" t="str">
        <f t="shared" si="38"/>
        <v>structure with developmental contribution from neural crest</v>
      </c>
      <c r="G2924" s="9" t="s">
        <v>5090</v>
      </c>
      <c r="H2924" s="9" t="s">
        <v>22243</v>
      </c>
      <c r="I2924" s="9" t="s">
        <v>5451</v>
      </c>
      <c r="J2924" s="9" t="s">
        <v>5452</v>
      </c>
      <c r="K2924" s="4" t="s">
        <v>15175</v>
      </c>
      <c r="L2924" s="13">
        <v>10758</v>
      </c>
      <c r="M2924" t="str">
        <f>VLOOKUP(L2924,[1]Human_BrainSpan!$B$2:$C$4000,2,FALSE)</f>
        <v>A11l3</v>
      </c>
    </row>
    <row r="2925" spans="2:13" x14ac:dyDescent="0.25">
      <c r="B2925" s="31" t="s">
        <v>26299</v>
      </c>
      <c r="C2925" s="25" t="s">
        <v>26080</v>
      </c>
      <c r="D2925" s="25" t="s">
        <v>26232</v>
      </c>
      <c r="E2925" s="25" t="s">
        <v>26306</v>
      </c>
      <c r="F2925" s="9" t="str">
        <f t="shared" si="38"/>
        <v>structure with developmental contribution from neural crest</v>
      </c>
      <c r="G2925" s="9" t="s">
        <v>5090</v>
      </c>
      <c r="H2925" s="9" t="s">
        <v>22244</v>
      </c>
      <c r="I2925" s="9" t="s">
        <v>5453</v>
      </c>
      <c r="J2925" s="9" t="s">
        <v>5454</v>
      </c>
      <c r="K2925" s="4" t="s">
        <v>15175</v>
      </c>
      <c r="L2925" s="13">
        <v>10759</v>
      </c>
      <c r="M2925" t="str">
        <f>VLOOKUP(L2925,[1]Human_BrainSpan!$B$2:$C$4000,2,FALSE)</f>
        <v>A11l4</v>
      </c>
    </row>
    <row r="2926" spans="2:13" x14ac:dyDescent="0.25">
      <c r="B2926" s="31" t="s">
        <v>26299</v>
      </c>
      <c r="C2926" s="25" t="s">
        <v>26080</v>
      </c>
      <c r="D2926" s="25" t="s">
        <v>26232</v>
      </c>
      <c r="E2926" s="25" t="s">
        <v>26306</v>
      </c>
      <c r="F2926" s="9" t="str">
        <f t="shared" si="38"/>
        <v>structure with developmental contribution from neural crest</v>
      </c>
      <c r="G2926" s="9" t="s">
        <v>5090</v>
      </c>
      <c r="H2926" s="9" t="s">
        <v>22245</v>
      </c>
      <c r="I2926" s="9" t="s">
        <v>5455</v>
      </c>
      <c r="J2926" s="9" t="s">
        <v>5456</v>
      </c>
      <c r="K2926" s="4" t="s">
        <v>15175</v>
      </c>
      <c r="L2926" s="13">
        <v>10760</v>
      </c>
      <c r="M2926" t="str">
        <f>VLOOKUP(L2926,[1]Human_BrainSpan!$B$2:$C$4000,2,FALSE)</f>
        <v>A11l5</v>
      </c>
    </row>
    <row r="2927" spans="2:13" x14ac:dyDescent="0.25">
      <c r="B2927" s="31" t="s">
        <v>26299</v>
      </c>
      <c r="C2927" s="25" t="s">
        <v>26080</v>
      </c>
      <c r="D2927" s="25" t="s">
        <v>26232</v>
      </c>
      <c r="E2927" s="25" t="s">
        <v>26306</v>
      </c>
      <c r="F2927" s="9" t="str">
        <f t="shared" si="38"/>
        <v>structure with developmental contribution from neural crest</v>
      </c>
      <c r="G2927" s="9" t="s">
        <v>5090</v>
      </c>
      <c r="H2927" s="9" t="s">
        <v>22246</v>
      </c>
      <c r="I2927" s="9" t="s">
        <v>5457</v>
      </c>
      <c r="J2927" s="9" t="s">
        <v>5458</v>
      </c>
      <c r="K2927" s="4" t="s">
        <v>15175</v>
      </c>
      <c r="L2927" s="13">
        <v>10761</v>
      </c>
      <c r="M2927" t="str">
        <f>VLOOKUP(L2927,[1]Human_BrainSpan!$B$2:$C$4000,2,FALSE)</f>
        <v>A11l6</v>
      </c>
    </row>
    <row r="2928" spans="2:13" x14ac:dyDescent="0.25">
      <c r="B2928" s="31" t="s">
        <v>26299</v>
      </c>
      <c r="C2928" s="25" t="s">
        <v>26080</v>
      </c>
      <c r="D2928" s="25" t="s">
        <v>26232</v>
      </c>
      <c r="E2928" s="25" t="s">
        <v>26306</v>
      </c>
      <c r="F2928" s="9" t="str">
        <f t="shared" si="38"/>
        <v>structure with developmental contribution from neural crest</v>
      </c>
      <c r="G2928" s="9" t="s">
        <v>5090</v>
      </c>
      <c r="H2928" s="9" t="s">
        <v>22248</v>
      </c>
      <c r="I2928" s="9" t="s">
        <v>5459</v>
      </c>
      <c r="J2928" s="9" t="s">
        <v>5460</v>
      </c>
      <c r="K2928" s="4" t="s">
        <v>15175</v>
      </c>
      <c r="L2928" s="13">
        <v>10762</v>
      </c>
      <c r="M2928" t="str">
        <f>VLOOKUP(L2928,[1]Human_BrainSpan!$B$2:$C$4000,2,FALSE)</f>
        <v>A13m1</v>
      </c>
    </row>
    <row r="2929" spans="2:13" x14ac:dyDescent="0.25">
      <c r="B2929" s="31" t="s">
        <v>26299</v>
      </c>
      <c r="C2929" s="25" t="s">
        <v>26080</v>
      </c>
      <c r="D2929" s="25" t="s">
        <v>26232</v>
      </c>
      <c r="E2929" s="25" t="s">
        <v>26306</v>
      </c>
      <c r="F2929" s="9" t="str">
        <f t="shared" si="38"/>
        <v>structure with developmental contribution from neural crest</v>
      </c>
      <c r="G2929" s="9" t="s">
        <v>5090</v>
      </c>
      <c r="H2929" s="9" t="s">
        <v>22249</v>
      </c>
      <c r="I2929" s="9" t="s">
        <v>5461</v>
      </c>
      <c r="J2929" s="9" t="s">
        <v>5462</v>
      </c>
      <c r="K2929" s="4" t="s">
        <v>15175</v>
      </c>
      <c r="L2929" s="13">
        <v>10763</v>
      </c>
      <c r="M2929" t="str">
        <f>VLOOKUP(L2929,[1]Human_BrainSpan!$B$2:$C$4000,2,FALSE)</f>
        <v>A13m2</v>
      </c>
    </row>
    <row r="2930" spans="2:13" x14ac:dyDescent="0.25">
      <c r="B2930" s="31" t="s">
        <v>26299</v>
      </c>
      <c r="C2930" s="25" t="s">
        <v>26080</v>
      </c>
      <c r="D2930" s="25" t="s">
        <v>26232</v>
      </c>
      <c r="E2930" s="25" t="s">
        <v>26306</v>
      </c>
      <c r="F2930" s="9" t="str">
        <f t="shared" si="38"/>
        <v>structure with developmental contribution from neural crest</v>
      </c>
      <c r="G2930" s="9" t="s">
        <v>5090</v>
      </c>
      <c r="H2930" s="9" t="s">
        <v>22250</v>
      </c>
      <c r="I2930" s="9" t="s">
        <v>5463</v>
      </c>
      <c r="J2930" s="9" t="s">
        <v>5464</v>
      </c>
      <c r="K2930" s="4" t="s">
        <v>15175</v>
      </c>
      <c r="L2930" s="13">
        <v>10764</v>
      </c>
      <c r="M2930" t="str">
        <f>VLOOKUP(L2930,[1]Human_BrainSpan!$B$2:$C$4000,2,FALSE)</f>
        <v>A13m3</v>
      </c>
    </row>
    <row r="2931" spans="2:13" x14ac:dyDescent="0.25">
      <c r="B2931" s="31" t="s">
        <v>26299</v>
      </c>
      <c r="C2931" s="25" t="s">
        <v>26080</v>
      </c>
      <c r="D2931" s="25" t="s">
        <v>26232</v>
      </c>
      <c r="E2931" s="25" t="s">
        <v>26306</v>
      </c>
      <c r="F2931" s="9" t="str">
        <f t="shared" si="38"/>
        <v>structure with developmental contribution from neural crest</v>
      </c>
      <c r="G2931" s="9" t="s">
        <v>5090</v>
      </c>
      <c r="H2931" s="9" t="s">
        <v>22251</v>
      </c>
      <c r="I2931" s="9" t="s">
        <v>5465</v>
      </c>
      <c r="J2931" s="9" t="s">
        <v>5466</v>
      </c>
      <c r="K2931" s="4" t="s">
        <v>15175</v>
      </c>
      <c r="L2931" s="13">
        <v>10765</v>
      </c>
      <c r="M2931" t="str">
        <f>VLOOKUP(L2931,[1]Human_BrainSpan!$B$2:$C$4000,2,FALSE)</f>
        <v>A13m4</v>
      </c>
    </row>
    <row r="2932" spans="2:13" x14ac:dyDescent="0.25">
      <c r="B2932" s="31" t="s">
        <v>26299</v>
      </c>
      <c r="C2932" s="25" t="s">
        <v>26080</v>
      </c>
      <c r="D2932" s="25" t="s">
        <v>26232</v>
      </c>
      <c r="E2932" s="25" t="s">
        <v>26306</v>
      </c>
      <c r="F2932" s="9" t="str">
        <f t="shared" si="38"/>
        <v>structure with developmental contribution from neural crest</v>
      </c>
      <c r="G2932" s="9" t="s">
        <v>5090</v>
      </c>
      <c r="H2932" s="9" t="s">
        <v>22252</v>
      </c>
      <c r="I2932" s="9" t="s">
        <v>5467</v>
      </c>
      <c r="J2932" s="9" t="s">
        <v>5468</v>
      </c>
      <c r="K2932" s="4" t="s">
        <v>15175</v>
      </c>
      <c r="L2932" s="13">
        <v>10766</v>
      </c>
      <c r="M2932" t="str">
        <f>VLOOKUP(L2932,[1]Human_BrainSpan!$B$2:$C$4000,2,FALSE)</f>
        <v>A13m5</v>
      </c>
    </row>
    <row r="2933" spans="2:13" x14ac:dyDescent="0.25">
      <c r="B2933" s="31" t="s">
        <v>26299</v>
      </c>
      <c r="C2933" s="25" t="s">
        <v>26080</v>
      </c>
      <c r="D2933" s="25" t="s">
        <v>26232</v>
      </c>
      <c r="E2933" s="25" t="s">
        <v>26306</v>
      </c>
      <c r="F2933" s="9" t="str">
        <f t="shared" si="38"/>
        <v>structure with developmental contribution from neural crest</v>
      </c>
      <c r="G2933" s="9" t="s">
        <v>5090</v>
      </c>
      <c r="H2933" s="9" t="s">
        <v>22253</v>
      </c>
      <c r="I2933" s="9" t="s">
        <v>5469</v>
      </c>
      <c r="J2933" s="9" t="s">
        <v>5470</v>
      </c>
      <c r="K2933" s="4" t="s">
        <v>15175</v>
      </c>
      <c r="L2933" s="13">
        <v>10767</v>
      </c>
      <c r="M2933" t="str">
        <f>VLOOKUP(L2933,[1]Human_BrainSpan!$B$2:$C$4000,2,FALSE)</f>
        <v>A13m6</v>
      </c>
    </row>
    <row r="2934" spans="2:13" x14ac:dyDescent="0.25">
      <c r="B2934" s="31" t="s">
        <v>26299</v>
      </c>
      <c r="C2934" s="25" t="s">
        <v>26080</v>
      </c>
      <c r="D2934" s="25" t="s">
        <v>26232</v>
      </c>
      <c r="E2934" s="25" t="s">
        <v>26306</v>
      </c>
      <c r="F2934" s="9" t="str">
        <f t="shared" si="38"/>
        <v>structure with developmental contribution from neural crest</v>
      </c>
      <c r="G2934" s="9" t="s">
        <v>5090</v>
      </c>
      <c r="H2934" s="9" t="s">
        <v>22255</v>
      </c>
      <c r="I2934" s="9" t="s">
        <v>5471</v>
      </c>
      <c r="J2934" s="9" t="s">
        <v>5472</v>
      </c>
      <c r="K2934" s="4" t="s">
        <v>15175</v>
      </c>
      <c r="L2934" s="13">
        <v>10768</v>
      </c>
      <c r="M2934" t="str">
        <f>VLOOKUP(L2934,[1]Human_BrainSpan!$B$2:$C$4000,2,FALSE)</f>
        <v>A13l1</v>
      </c>
    </row>
    <row r="2935" spans="2:13" x14ac:dyDescent="0.25">
      <c r="B2935" s="31" t="s">
        <v>26299</v>
      </c>
      <c r="C2935" s="25" t="s">
        <v>26080</v>
      </c>
      <c r="D2935" s="25" t="s">
        <v>26232</v>
      </c>
      <c r="E2935" s="25" t="s">
        <v>26306</v>
      </c>
      <c r="F2935" s="9" t="str">
        <f t="shared" ref="F2935:F2998" si="39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2935" s="9" t="s">
        <v>5090</v>
      </c>
      <c r="H2935" s="9" t="s">
        <v>22256</v>
      </c>
      <c r="I2935" s="9" t="s">
        <v>5473</v>
      </c>
      <c r="J2935" s="9" t="s">
        <v>5474</v>
      </c>
      <c r="K2935" s="4" t="s">
        <v>15175</v>
      </c>
      <c r="L2935" s="13">
        <v>10769</v>
      </c>
      <c r="M2935" t="str">
        <f>VLOOKUP(L2935,[1]Human_BrainSpan!$B$2:$C$4000,2,FALSE)</f>
        <v>A13l2</v>
      </c>
    </row>
    <row r="2936" spans="2:13" x14ac:dyDescent="0.25">
      <c r="B2936" s="31" t="s">
        <v>26299</v>
      </c>
      <c r="C2936" s="25" t="s">
        <v>26080</v>
      </c>
      <c r="D2936" s="25" t="s">
        <v>26232</v>
      </c>
      <c r="E2936" s="25" t="s">
        <v>26306</v>
      </c>
      <c r="F2936" s="9" t="str">
        <f t="shared" si="39"/>
        <v>structure with developmental contribution from neural crest</v>
      </c>
      <c r="G2936" s="9" t="s">
        <v>5090</v>
      </c>
      <c r="H2936" s="9" t="s">
        <v>22257</v>
      </c>
      <c r="I2936" s="9" t="s">
        <v>5475</v>
      </c>
      <c r="J2936" s="9" t="s">
        <v>5476</v>
      </c>
      <c r="K2936" s="4" t="s">
        <v>15175</v>
      </c>
      <c r="L2936" s="13">
        <v>10770</v>
      </c>
      <c r="M2936" t="str">
        <f>VLOOKUP(L2936,[1]Human_BrainSpan!$B$2:$C$4000,2,FALSE)</f>
        <v>A13l3</v>
      </c>
    </row>
    <row r="2937" spans="2:13" x14ac:dyDescent="0.25">
      <c r="B2937" s="31" t="s">
        <v>26299</v>
      </c>
      <c r="C2937" s="25" t="s">
        <v>26080</v>
      </c>
      <c r="D2937" s="25" t="s">
        <v>26232</v>
      </c>
      <c r="E2937" s="25" t="s">
        <v>26306</v>
      </c>
      <c r="F2937" s="9" t="str">
        <f t="shared" si="39"/>
        <v>structure with developmental contribution from neural crest</v>
      </c>
      <c r="G2937" s="9" t="s">
        <v>5090</v>
      </c>
      <c r="H2937" s="9" t="s">
        <v>22258</v>
      </c>
      <c r="I2937" s="9" t="s">
        <v>5477</v>
      </c>
      <c r="J2937" s="9" t="s">
        <v>5478</v>
      </c>
      <c r="K2937" s="4" t="s">
        <v>15175</v>
      </c>
      <c r="L2937" s="13">
        <v>10771</v>
      </c>
      <c r="M2937" t="str">
        <f>VLOOKUP(L2937,[1]Human_BrainSpan!$B$2:$C$4000,2,FALSE)</f>
        <v>A13l4</v>
      </c>
    </row>
    <row r="2938" spans="2:13" x14ac:dyDescent="0.25">
      <c r="B2938" s="31" t="s">
        <v>26299</v>
      </c>
      <c r="C2938" s="25" t="s">
        <v>26080</v>
      </c>
      <c r="D2938" s="25" t="s">
        <v>26232</v>
      </c>
      <c r="E2938" s="25" t="s">
        <v>26306</v>
      </c>
      <c r="F2938" s="9" t="str">
        <f t="shared" si="39"/>
        <v>structure with developmental contribution from neural crest</v>
      </c>
      <c r="G2938" s="9" t="s">
        <v>5090</v>
      </c>
      <c r="H2938" s="9" t="s">
        <v>22259</v>
      </c>
      <c r="I2938" s="9" t="s">
        <v>5479</v>
      </c>
      <c r="J2938" s="9" t="s">
        <v>5480</v>
      </c>
      <c r="K2938" s="4" t="s">
        <v>15175</v>
      </c>
      <c r="L2938" s="13">
        <v>10772</v>
      </c>
      <c r="M2938" t="str">
        <f>VLOOKUP(L2938,[1]Human_BrainSpan!$B$2:$C$4000,2,FALSE)</f>
        <v>A13l5</v>
      </c>
    </row>
    <row r="2939" spans="2:13" x14ac:dyDescent="0.25">
      <c r="B2939" s="31" t="s">
        <v>26299</v>
      </c>
      <c r="C2939" s="25" t="s">
        <v>26080</v>
      </c>
      <c r="D2939" s="25" t="s">
        <v>26232</v>
      </c>
      <c r="E2939" s="25" t="s">
        <v>26306</v>
      </c>
      <c r="F2939" s="9" t="str">
        <f t="shared" si="39"/>
        <v>structure with developmental contribution from neural crest</v>
      </c>
      <c r="G2939" s="9" t="s">
        <v>5090</v>
      </c>
      <c r="H2939" s="9" t="s">
        <v>22260</v>
      </c>
      <c r="I2939" s="9" t="s">
        <v>5481</v>
      </c>
      <c r="J2939" s="9" t="s">
        <v>5482</v>
      </c>
      <c r="K2939" s="4" t="s">
        <v>15175</v>
      </c>
      <c r="L2939" s="13">
        <v>10773</v>
      </c>
      <c r="M2939" t="str">
        <f>VLOOKUP(L2939,[1]Human_BrainSpan!$B$2:$C$4000,2,FALSE)</f>
        <v>A13l6</v>
      </c>
    </row>
    <row r="2940" spans="2:13" x14ac:dyDescent="0.25">
      <c r="B2940" s="31" t="s">
        <v>26299</v>
      </c>
      <c r="C2940" s="25" t="s">
        <v>26080</v>
      </c>
      <c r="D2940" s="25" t="s">
        <v>26232</v>
      </c>
      <c r="E2940" s="25" t="s">
        <v>26306</v>
      </c>
      <c r="F2940" s="9" t="str">
        <f t="shared" si="39"/>
        <v>structure with developmental contribution from neural crest</v>
      </c>
      <c r="G2940" s="9" t="s">
        <v>5090</v>
      </c>
      <c r="H2940" s="9" t="s">
        <v>22263</v>
      </c>
      <c r="I2940" s="9" t="s">
        <v>5483</v>
      </c>
      <c r="J2940" s="9" t="s">
        <v>5484</v>
      </c>
      <c r="K2940" s="4" t="s">
        <v>15175</v>
      </c>
      <c r="L2940" s="13">
        <v>10774</v>
      </c>
      <c r="M2940" t="str">
        <f>VLOOKUP(L2940,[1]Human_BrainSpan!$B$2:$C$4000,2,FALSE)</f>
        <v>A12/47m1</v>
      </c>
    </row>
    <row r="2941" spans="2:13" x14ac:dyDescent="0.25">
      <c r="B2941" s="31" t="s">
        <v>26299</v>
      </c>
      <c r="C2941" s="25" t="s">
        <v>26080</v>
      </c>
      <c r="D2941" s="25" t="s">
        <v>26232</v>
      </c>
      <c r="E2941" s="25" t="s">
        <v>26306</v>
      </c>
      <c r="F2941" s="9" t="str">
        <f t="shared" si="39"/>
        <v>structure with developmental contribution from neural crest</v>
      </c>
      <c r="G2941" s="9" t="s">
        <v>5090</v>
      </c>
      <c r="H2941" s="9" t="s">
        <v>22264</v>
      </c>
      <c r="I2941" s="9" t="s">
        <v>5485</v>
      </c>
      <c r="J2941" s="9" t="s">
        <v>5486</v>
      </c>
      <c r="K2941" s="4" t="s">
        <v>15175</v>
      </c>
      <c r="L2941" s="13">
        <v>10775</v>
      </c>
      <c r="M2941" t="str">
        <f>VLOOKUP(L2941,[1]Human_BrainSpan!$B$2:$C$4000,2,FALSE)</f>
        <v>A12/47m2</v>
      </c>
    </row>
    <row r="2942" spans="2:13" x14ac:dyDescent="0.25">
      <c r="B2942" s="31" t="s">
        <v>26299</v>
      </c>
      <c r="C2942" s="25" t="s">
        <v>26080</v>
      </c>
      <c r="D2942" s="25" t="s">
        <v>26232</v>
      </c>
      <c r="E2942" s="25" t="s">
        <v>26306</v>
      </c>
      <c r="F2942" s="9" t="str">
        <f t="shared" si="39"/>
        <v>structure with developmental contribution from neural crest</v>
      </c>
      <c r="G2942" s="9" t="s">
        <v>5090</v>
      </c>
      <c r="H2942" s="9" t="s">
        <v>22265</v>
      </c>
      <c r="I2942" s="9" t="s">
        <v>5487</v>
      </c>
      <c r="J2942" s="9" t="s">
        <v>5488</v>
      </c>
      <c r="K2942" s="4" t="s">
        <v>15175</v>
      </c>
      <c r="L2942" s="13">
        <v>10776</v>
      </c>
      <c r="M2942" t="str">
        <f>VLOOKUP(L2942,[1]Human_BrainSpan!$B$2:$C$4000,2,FALSE)</f>
        <v>A12/47m3</v>
      </c>
    </row>
    <row r="2943" spans="2:13" x14ac:dyDescent="0.25">
      <c r="B2943" s="31" t="s">
        <v>26299</v>
      </c>
      <c r="C2943" s="25" t="s">
        <v>26080</v>
      </c>
      <c r="D2943" s="25" t="s">
        <v>26232</v>
      </c>
      <c r="E2943" s="25" t="s">
        <v>26306</v>
      </c>
      <c r="F2943" s="9" t="str">
        <f t="shared" si="39"/>
        <v>structure with developmental contribution from neural crest</v>
      </c>
      <c r="G2943" s="9" t="s">
        <v>5090</v>
      </c>
      <c r="H2943" s="9" t="s">
        <v>22266</v>
      </c>
      <c r="I2943" s="9" t="s">
        <v>5489</v>
      </c>
      <c r="J2943" s="9" t="s">
        <v>5490</v>
      </c>
      <c r="K2943" s="4" t="s">
        <v>15175</v>
      </c>
      <c r="L2943" s="13">
        <v>10777</v>
      </c>
      <c r="M2943" t="str">
        <f>VLOOKUP(L2943,[1]Human_BrainSpan!$B$2:$C$4000,2,FALSE)</f>
        <v>A12/47m4</v>
      </c>
    </row>
    <row r="2944" spans="2:13" x14ac:dyDescent="0.25">
      <c r="B2944" s="31" t="s">
        <v>26299</v>
      </c>
      <c r="C2944" s="25" t="s">
        <v>26080</v>
      </c>
      <c r="D2944" s="25" t="s">
        <v>26232</v>
      </c>
      <c r="E2944" s="25" t="s">
        <v>26306</v>
      </c>
      <c r="F2944" s="9" t="str">
        <f t="shared" si="39"/>
        <v>structure with developmental contribution from neural crest</v>
      </c>
      <c r="G2944" s="9" t="s">
        <v>5090</v>
      </c>
      <c r="H2944" s="9" t="s">
        <v>22267</v>
      </c>
      <c r="I2944" s="9" t="s">
        <v>5491</v>
      </c>
      <c r="J2944" s="9" t="s">
        <v>5492</v>
      </c>
      <c r="K2944" s="4" t="s">
        <v>15175</v>
      </c>
      <c r="L2944" s="13">
        <v>10778</v>
      </c>
      <c r="M2944" t="str">
        <f>VLOOKUP(L2944,[1]Human_BrainSpan!$B$2:$C$4000,2,FALSE)</f>
        <v>A12/47m5</v>
      </c>
    </row>
    <row r="2945" spans="2:13" x14ac:dyDescent="0.25">
      <c r="B2945" s="31" t="s">
        <v>26299</v>
      </c>
      <c r="C2945" s="25" t="s">
        <v>26080</v>
      </c>
      <c r="D2945" s="25" t="s">
        <v>26232</v>
      </c>
      <c r="E2945" s="25" t="s">
        <v>26306</v>
      </c>
      <c r="F2945" s="9" t="str">
        <f t="shared" si="39"/>
        <v>structure with developmental contribution from neural crest</v>
      </c>
      <c r="G2945" s="9" t="s">
        <v>5090</v>
      </c>
      <c r="H2945" s="9" t="s">
        <v>22268</v>
      </c>
      <c r="I2945" s="9" t="s">
        <v>5493</v>
      </c>
      <c r="J2945" s="9" t="s">
        <v>5494</v>
      </c>
      <c r="K2945" s="4" t="s">
        <v>15175</v>
      </c>
      <c r="L2945" s="13">
        <v>10779</v>
      </c>
      <c r="M2945" t="str">
        <f>VLOOKUP(L2945,[1]Human_BrainSpan!$B$2:$C$4000,2,FALSE)</f>
        <v>A12/47m6</v>
      </c>
    </row>
    <row r="2946" spans="2:13" x14ac:dyDescent="0.25">
      <c r="B2946" s="31" t="s">
        <v>26299</v>
      </c>
      <c r="C2946" s="25" t="s">
        <v>26080</v>
      </c>
      <c r="D2946" s="25" t="s">
        <v>26232</v>
      </c>
      <c r="E2946" s="25" t="s">
        <v>26306</v>
      </c>
      <c r="F2946" s="9" t="str">
        <f t="shared" si="39"/>
        <v>structure with developmental contribution from neural crest</v>
      </c>
      <c r="G2946" s="9" t="s">
        <v>5090</v>
      </c>
      <c r="H2946" s="9" t="s">
        <v>22270</v>
      </c>
      <c r="I2946" s="9" t="s">
        <v>5495</v>
      </c>
      <c r="J2946" s="9" t="s">
        <v>5496</v>
      </c>
      <c r="K2946" s="4" t="s">
        <v>15175</v>
      </c>
      <c r="L2946" s="13">
        <v>10780</v>
      </c>
      <c r="M2946" t="str">
        <f>VLOOKUP(L2946,[1]Human_BrainSpan!$B$2:$C$4000,2,FALSE)</f>
        <v>A12/47l1</v>
      </c>
    </row>
    <row r="2947" spans="2:13" x14ac:dyDescent="0.25">
      <c r="B2947" s="31" t="s">
        <v>26299</v>
      </c>
      <c r="C2947" s="25" t="s">
        <v>26080</v>
      </c>
      <c r="D2947" s="25" t="s">
        <v>26232</v>
      </c>
      <c r="E2947" s="25" t="s">
        <v>26306</v>
      </c>
      <c r="F2947" s="9" t="str">
        <f t="shared" si="39"/>
        <v>structure with developmental contribution from neural crest</v>
      </c>
      <c r="G2947" s="9" t="s">
        <v>5090</v>
      </c>
      <c r="H2947" s="9" t="s">
        <v>22271</v>
      </c>
      <c r="I2947" s="9" t="s">
        <v>5497</v>
      </c>
      <c r="J2947" s="9" t="s">
        <v>5498</v>
      </c>
      <c r="K2947" s="4" t="s">
        <v>15175</v>
      </c>
      <c r="L2947" s="13">
        <v>10781</v>
      </c>
      <c r="M2947" t="str">
        <f>VLOOKUP(L2947,[1]Human_BrainSpan!$B$2:$C$4000,2,FALSE)</f>
        <v>A12/47l2</v>
      </c>
    </row>
    <row r="2948" spans="2:13" x14ac:dyDescent="0.25">
      <c r="B2948" s="31" t="s">
        <v>26299</v>
      </c>
      <c r="C2948" s="25" t="s">
        <v>26080</v>
      </c>
      <c r="D2948" s="25" t="s">
        <v>26232</v>
      </c>
      <c r="E2948" s="25" t="s">
        <v>26306</v>
      </c>
      <c r="F2948" s="9" t="str">
        <f t="shared" si="39"/>
        <v>structure with developmental contribution from neural crest</v>
      </c>
      <c r="G2948" s="9" t="s">
        <v>5090</v>
      </c>
      <c r="H2948" s="9" t="s">
        <v>22272</v>
      </c>
      <c r="I2948" s="9" t="s">
        <v>5499</v>
      </c>
      <c r="J2948" s="9" t="s">
        <v>5500</v>
      </c>
      <c r="K2948" s="4" t="s">
        <v>15175</v>
      </c>
      <c r="L2948" s="13">
        <v>10782</v>
      </c>
      <c r="M2948" t="str">
        <f>VLOOKUP(L2948,[1]Human_BrainSpan!$B$2:$C$4000,2,FALSE)</f>
        <v>A12/47l3</v>
      </c>
    </row>
    <row r="2949" spans="2:13" x14ac:dyDescent="0.25">
      <c r="B2949" s="31" t="s">
        <v>26299</v>
      </c>
      <c r="C2949" s="25" t="s">
        <v>26080</v>
      </c>
      <c r="D2949" s="25" t="s">
        <v>26232</v>
      </c>
      <c r="E2949" s="25" t="s">
        <v>26306</v>
      </c>
      <c r="F2949" s="9" t="str">
        <f t="shared" si="39"/>
        <v>structure with developmental contribution from neural crest</v>
      </c>
      <c r="G2949" s="9" t="s">
        <v>5090</v>
      </c>
      <c r="H2949" s="9" t="s">
        <v>22273</v>
      </c>
      <c r="I2949" s="9" t="s">
        <v>5501</v>
      </c>
      <c r="J2949" s="9" t="s">
        <v>5502</v>
      </c>
      <c r="K2949" s="4" t="s">
        <v>15175</v>
      </c>
      <c r="L2949" s="13">
        <v>10783</v>
      </c>
      <c r="M2949" t="str">
        <f>VLOOKUP(L2949,[1]Human_BrainSpan!$B$2:$C$4000,2,FALSE)</f>
        <v>A12/47l4</v>
      </c>
    </row>
    <row r="2950" spans="2:13" x14ac:dyDescent="0.25">
      <c r="B2950" s="31" t="s">
        <v>26299</v>
      </c>
      <c r="C2950" s="25" t="s">
        <v>26080</v>
      </c>
      <c r="D2950" s="25" t="s">
        <v>26232</v>
      </c>
      <c r="E2950" s="25" t="s">
        <v>26306</v>
      </c>
      <c r="F2950" s="9" t="str">
        <f t="shared" si="39"/>
        <v>structure with developmental contribution from neural crest</v>
      </c>
      <c r="G2950" s="9" t="s">
        <v>5090</v>
      </c>
      <c r="H2950" s="9" t="s">
        <v>22274</v>
      </c>
      <c r="I2950" s="9" t="s">
        <v>5503</v>
      </c>
      <c r="J2950" s="9" t="s">
        <v>5504</v>
      </c>
      <c r="K2950" s="4" t="s">
        <v>15175</v>
      </c>
      <c r="L2950" s="13">
        <v>10784</v>
      </c>
      <c r="M2950" t="str">
        <f>VLOOKUP(L2950,[1]Human_BrainSpan!$B$2:$C$4000,2,FALSE)</f>
        <v>A12/47l5</v>
      </c>
    </row>
    <row r="2951" spans="2:13" x14ac:dyDescent="0.25">
      <c r="B2951" s="31" t="s">
        <v>26299</v>
      </c>
      <c r="C2951" s="25" t="s">
        <v>26080</v>
      </c>
      <c r="D2951" s="25" t="s">
        <v>26232</v>
      </c>
      <c r="E2951" s="25" t="s">
        <v>26306</v>
      </c>
      <c r="F2951" s="9" t="str">
        <f t="shared" si="39"/>
        <v>structure with developmental contribution from neural crest</v>
      </c>
      <c r="G2951" s="9" t="s">
        <v>5090</v>
      </c>
      <c r="H2951" s="9" t="s">
        <v>22275</v>
      </c>
      <c r="I2951" s="9" t="s">
        <v>5505</v>
      </c>
      <c r="J2951" s="9" t="s">
        <v>5506</v>
      </c>
      <c r="K2951" s="4" t="s">
        <v>15175</v>
      </c>
      <c r="L2951" s="13">
        <v>10785</v>
      </c>
      <c r="M2951" t="str">
        <f>VLOOKUP(L2951,[1]Human_BrainSpan!$B$2:$C$4000,2,FALSE)</f>
        <v>A12/47l6</v>
      </c>
    </row>
    <row r="2952" spans="2:13" x14ac:dyDescent="0.25">
      <c r="B2952" s="31" t="s">
        <v>26303</v>
      </c>
      <c r="C2952" s="25" t="s">
        <v>26166</v>
      </c>
      <c r="D2952" s="25" t="s">
        <v>26232</v>
      </c>
      <c r="E2952" s="25" t="s">
        <v>26306</v>
      </c>
      <c r="F2952" s="9" t="str">
        <f t="shared" si="39"/>
        <v>structure with developmental contribution from neural crest</v>
      </c>
      <c r="G2952" s="9" t="s">
        <v>5090</v>
      </c>
      <c r="H2952" s="9" t="s">
        <v>22279</v>
      </c>
      <c r="I2952" s="9" t="s">
        <v>5507</v>
      </c>
      <c r="J2952" s="9" t="s">
        <v>5508</v>
      </c>
      <c r="K2952" s="4" t="s">
        <v>15175</v>
      </c>
      <c r="L2952" s="13">
        <v>10786</v>
      </c>
      <c r="M2952" t="str">
        <f>VLOOKUP(L2952,[1]Human_BrainSpan!$B$2:$C$4000,2,FALSE)</f>
        <v>M1hf1</v>
      </c>
    </row>
    <row r="2953" spans="2:13" x14ac:dyDescent="0.25">
      <c r="B2953" s="31" t="s">
        <v>26303</v>
      </c>
      <c r="C2953" s="25" t="s">
        <v>26166</v>
      </c>
      <c r="D2953" s="25" t="s">
        <v>26232</v>
      </c>
      <c r="E2953" s="25" t="s">
        <v>26306</v>
      </c>
      <c r="F2953" s="9" t="str">
        <f t="shared" si="39"/>
        <v>structure with developmental contribution from neural crest</v>
      </c>
      <c r="G2953" s="9" t="s">
        <v>5090</v>
      </c>
      <c r="H2953" s="9" t="s">
        <v>22280</v>
      </c>
      <c r="I2953" s="9" t="s">
        <v>5509</v>
      </c>
      <c r="J2953" s="9" t="s">
        <v>5510</v>
      </c>
      <c r="K2953" s="4" t="s">
        <v>15175</v>
      </c>
      <c r="L2953" s="13">
        <v>10787</v>
      </c>
      <c r="M2953" t="str">
        <f>VLOOKUP(L2953,[1]Human_BrainSpan!$B$2:$C$4000,2,FALSE)</f>
        <v>M1hf2</v>
      </c>
    </row>
    <row r="2954" spans="2:13" x14ac:dyDescent="0.25">
      <c r="B2954" s="31" t="s">
        <v>26303</v>
      </c>
      <c r="C2954" s="25" t="s">
        <v>26166</v>
      </c>
      <c r="D2954" s="25" t="s">
        <v>26232</v>
      </c>
      <c r="E2954" s="25" t="s">
        <v>26306</v>
      </c>
      <c r="F2954" s="9" t="str">
        <f t="shared" si="39"/>
        <v>structure with developmental contribution from neural crest</v>
      </c>
      <c r="G2954" s="9" t="s">
        <v>5090</v>
      </c>
      <c r="H2954" s="9" t="s">
        <v>22281</v>
      </c>
      <c r="I2954" s="9" t="s">
        <v>5511</v>
      </c>
      <c r="J2954" s="9" t="s">
        <v>5512</v>
      </c>
      <c r="K2954" s="4" t="s">
        <v>15175</v>
      </c>
      <c r="L2954" s="13">
        <v>10788</v>
      </c>
      <c r="M2954" t="str">
        <f>VLOOKUP(L2954,[1]Human_BrainSpan!$B$2:$C$4000,2,FALSE)</f>
        <v>M1hf3</v>
      </c>
    </row>
    <row r="2955" spans="2:13" x14ac:dyDescent="0.25">
      <c r="B2955" s="31" t="s">
        <v>26303</v>
      </c>
      <c r="C2955" s="25" t="s">
        <v>26166</v>
      </c>
      <c r="D2955" s="25" t="s">
        <v>26232</v>
      </c>
      <c r="E2955" s="25" t="s">
        <v>26306</v>
      </c>
      <c r="F2955" s="9" t="str">
        <f t="shared" si="39"/>
        <v>structure with developmental contribution from neural crest</v>
      </c>
      <c r="G2955" s="9" t="s">
        <v>5090</v>
      </c>
      <c r="H2955" s="9" t="s">
        <v>22282</v>
      </c>
      <c r="I2955" s="9" t="s">
        <v>5513</v>
      </c>
      <c r="J2955" s="9" t="s">
        <v>5514</v>
      </c>
      <c r="K2955" s="4" t="s">
        <v>15175</v>
      </c>
      <c r="L2955" s="13">
        <v>10789</v>
      </c>
      <c r="M2955" t="str">
        <f>VLOOKUP(L2955,[1]Human_BrainSpan!$B$2:$C$4000,2,FALSE)</f>
        <v>M1hf5</v>
      </c>
    </row>
    <row r="2956" spans="2:13" x14ac:dyDescent="0.25">
      <c r="B2956" s="31" t="s">
        <v>26303</v>
      </c>
      <c r="C2956" s="25" t="s">
        <v>26166</v>
      </c>
      <c r="D2956" s="25" t="s">
        <v>26232</v>
      </c>
      <c r="E2956" s="25" t="s">
        <v>26306</v>
      </c>
      <c r="F2956" s="9" t="str">
        <f t="shared" si="39"/>
        <v>structure with developmental contribution from neural crest</v>
      </c>
      <c r="G2956" s="9" t="s">
        <v>5090</v>
      </c>
      <c r="H2956" s="9" t="s">
        <v>22283</v>
      </c>
      <c r="I2956" s="9" t="s">
        <v>5515</v>
      </c>
      <c r="J2956" s="9" t="s">
        <v>5516</v>
      </c>
      <c r="K2956" s="4" t="s">
        <v>15175</v>
      </c>
      <c r="L2956" s="13">
        <v>10790</v>
      </c>
      <c r="M2956" t="str">
        <f>VLOOKUP(L2956,[1]Human_BrainSpan!$B$2:$C$4000,2,FALSE)</f>
        <v>M1hf6</v>
      </c>
    </row>
    <row r="2957" spans="2:13" x14ac:dyDescent="0.25">
      <c r="B2957" s="31" t="s">
        <v>26303</v>
      </c>
      <c r="C2957" s="25" t="s">
        <v>26166</v>
      </c>
      <c r="D2957" s="25" t="s">
        <v>26232</v>
      </c>
      <c r="E2957" s="25" t="s">
        <v>26306</v>
      </c>
      <c r="F2957" s="9" t="str">
        <f t="shared" si="39"/>
        <v>structure with developmental contribution from neural crest</v>
      </c>
      <c r="G2957" s="9" t="s">
        <v>5090</v>
      </c>
      <c r="H2957" s="9" t="s">
        <v>22285</v>
      </c>
      <c r="I2957" s="9" t="s">
        <v>5517</v>
      </c>
      <c r="J2957" s="9" t="s">
        <v>5518</v>
      </c>
      <c r="K2957" s="4" t="s">
        <v>15175</v>
      </c>
      <c r="L2957" s="13">
        <v>10791</v>
      </c>
      <c r="M2957" t="str">
        <f>VLOOKUP(L2957,[1]Human_BrainSpan!$B$2:$C$4000,2,FALSE)</f>
        <v>M1ul1</v>
      </c>
    </row>
    <row r="2958" spans="2:13" x14ac:dyDescent="0.25">
      <c r="B2958" s="31" t="s">
        <v>26303</v>
      </c>
      <c r="C2958" s="25" t="s">
        <v>26166</v>
      </c>
      <c r="D2958" s="25" t="s">
        <v>26232</v>
      </c>
      <c r="E2958" s="25" t="s">
        <v>26306</v>
      </c>
      <c r="F2958" s="9" t="str">
        <f t="shared" si="39"/>
        <v>structure with developmental contribution from neural crest</v>
      </c>
      <c r="G2958" s="9" t="s">
        <v>5090</v>
      </c>
      <c r="H2958" s="9" t="s">
        <v>22286</v>
      </c>
      <c r="I2958" s="9" t="s">
        <v>5519</v>
      </c>
      <c r="J2958" s="9" t="s">
        <v>5520</v>
      </c>
      <c r="K2958" s="4" t="s">
        <v>15175</v>
      </c>
      <c r="L2958" s="13">
        <v>10792</v>
      </c>
      <c r="M2958" t="str">
        <f>VLOOKUP(L2958,[1]Human_BrainSpan!$B$2:$C$4000,2,FALSE)</f>
        <v>M1ul2</v>
      </c>
    </row>
    <row r="2959" spans="2:13" x14ac:dyDescent="0.25">
      <c r="B2959" s="31" t="s">
        <v>26303</v>
      </c>
      <c r="C2959" s="25" t="s">
        <v>26166</v>
      </c>
      <c r="D2959" s="25" t="s">
        <v>26232</v>
      </c>
      <c r="E2959" s="25" t="s">
        <v>26306</v>
      </c>
      <c r="F2959" s="9" t="str">
        <f t="shared" si="39"/>
        <v>structure with developmental contribution from neural crest</v>
      </c>
      <c r="G2959" s="9" t="s">
        <v>5090</v>
      </c>
      <c r="H2959" s="9" t="s">
        <v>22287</v>
      </c>
      <c r="I2959" s="9" t="s">
        <v>5521</v>
      </c>
      <c r="J2959" s="9" t="s">
        <v>5522</v>
      </c>
      <c r="K2959" s="4" t="s">
        <v>15175</v>
      </c>
      <c r="L2959" s="13">
        <v>10793</v>
      </c>
      <c r="M2959" t="str">
        <f>VLOOKUP(L2959,[1]Human_BrainSpan!$B$2:$C$4000,2,FALSE)</f>
        <v>M1ul3</v>
      </c>
    </row>
    <row r="2960" spans="2:13" x14ac:dyDescent="0.25">
      <c r="B2960" s="31" t="s">
        <v>26303</v>
      </c>
      <c r="C2960" s="25" t="s">
        <v>26166</v>
      </c>
      <c r="D2960" s="25" t="s">
        <v>26232</v>
      </c>
      <c r="E2960" s="25" t="s">
        <v>26306</v>
      </c>
      <c r="F2960" s="9" t="str">
        <f t="shared" si="39"/>
        <v>structure with developmental contribution from neural crest</v>
      </c>
      <c r="G2960" s="9" t="s">
        <v>5090</v>
      </c>
      <c r="H2960" s="9" t="s">
        <v>22288</v>
      </c>
      <c r="I2960" s="9" t="s">
        <v>5523</v>
      </c>
      <c r="J2960" s="9" t="s">
        <v>5524</v>
      </c>
      <c r="K2960" s="4" t="s">
        <v>15175</v>
      </c>
      <c r="L2960" s="13">
        <v>10794</v>
      </c>
      <c r="M2960" t="str">
        <f>VLOOKUP(L2960,[1]Human_BrainSpan!$B$2:$C$4000,2,FALSE)</f>
        <v>M1ul5</v>
      </c>
    </row>
    <row r="2961" spans="2:13" x14ac:dyDescent="0.25">
      <c r="B2961" s="31" t="s">
        <v>26303</v>
      </c>
      <c r="C2961" s="25" t="s">
        <v>26166</v>
      </c>
      <c r="D2961" s="25" t="s">
        <v>26232</v>
      </c>
      <c r="E2961" s="25" t="s">
        <v>26306</v>
      </c>
      <c r="F2961" s="9" t="str">
        <f t="shared" si="39"/>
        <v>structure with developmental contribution from neural crest</v>
      </c>
      <c r="G2961" s="9" t="s">
        <v>5090</v>
      </c>
      <c r="H2961" s="9" t="s">
        <v>22289</v>
      </c>
      <c r="I2961" s="9" t="s">
        <v>5525</v>
      </c>
      <c r="J2961" s="9" t="s">
        <v>5526</v>
      </c>
      <c r="K2961" s="4" t="s">
        <v>15175</v>
      </c>
      <c r="L2961" s="13">
        <v>10795</v>
      </c>
      <c r="M2961" t="str">
        <f>VLOOKUP(L2961,[1]Human_BrainSpan!$B$2:$C$4000,2,FALSE)</f>
        <v>M1ul6</v>
      </c>
    </row>
    <row r="2962" spans="2:13" x14ac:dyDescent="0.25">
      <c r="B2962" s="31" t="s">
        <v>26303</v>
      </c>
      <c r="C2962" s="25" t="s">
        <v>26166</v>
      </c>
      <c r="D2962" s="25" t="s">
        <v>26232</v>
      </c>
      <c r="E2962" s="25" t="s">
        <v>26306</v>
      </c>
      <c r="F2962" s="9" t="str">
        <f t="shared" si="39"/>
        <v>structure with developmental contribution from neural crest</v>
      </c>
      <c r="G2962" s="9" t="s">
        <v>5090</v>
      </c>
      <c r="H2962" s="9" t="s">
        <v>22291</v>
      </c>
      <c r="I2962" s="9" t="s">
        <v>5527</v>
      </c>
      <c r="J2962" s="9" t="s">
        <v>5528</v>
      </c>
      <c r="K2962" s="4" t="s">
        <v>15175</v>
      </c>
      <c r="L2962" s="13">
        <v>10796</v>
      </c>
      <c r="M2962" t="str">
        <f>VLOOKUP(L2962,[1]Human_BrainSpan!$B$2:$C$4000,2,FALSE)</f>
        <v>M1tr1</v>
      </c>
    </row>
    <row r="2963" spans="2:13" x14ac:dyDescent="0.25">
      <c r="B2963" s="31" t="s">
        <v>26303</v>
      </c>
      <c r="C2963" s="25" t="s">
        <v>26166</v>
      </c>
      <c r="D2963" s="25" t="s">
        <v>26232</v>
      </c>
      <c r="E2963" s="25" t="s">
        <v>26306</v>
      </c>
      <c r="F2963" s="9" t="str">
        <f t="shared" si="39"/>
        <v>structure with developmental contribution from neural crest</v>
      </c>
      <c r="G2963" s="9" t="s">
        <v>5090</v>
      </c>
      <c r="H2963" s="9" t="s">
        <v>22292</v>
      </c>
      <c r="I2963" s="9" t="s">
        <v>5529</v>
      </c>
      <c r="J2963" s="9" t="s">
        <v>5530</v>
      </c>
      <c r="K2963" s="4" t="s">
        <v>15175</v>
      </c>
      <c r="L2963" s="13">
        <v>10797</v>
      </c>
      <c r="M2963" t="str">
        <f>VLOOKUP(L2963,[1]Human_BrainSpan!$B$2:$C$4000,2,FALSE)</f>
        <v>M1tr2</v>
      </c>
    </row>
    <row r="2964" spans="2:13" x14ac:dyDescent="0.25">
      <c r="B2964" s="31" t="s">
        <v>26303</v>
      </c>
      <c r="C2964" s="25" t="s">
        <v>26166</v>
      </c>
      <c r="D2964" s="25" t="s">
        <v>26232</v>
      </c>
      <c r="E2964" s="25" t="s">
        <v>26306</v>
      </c>
      <c r="F2964" s="9" t="str">
        <f t="shared" si="39"/>
        <v>structure with developmental contribution from neural crest</v>
      </c>
      <c r="G2964" s="9" t="s">
        <v>5090</v>
      </c>
      <c r="H2964" s="9" t="s">
        <v>22293</v>
      </c>
      <c r="I2964" s="9" t="s">
        <v>5531</v>
      </c>
      <c r="J2964" s="9" t="s">
        <v>5532</v>
      </c>
      <c r="K2964" s="4" t="s">
        <v>15175</v>
      </c>
      <c r="L2964" s="13">
        <v>10798</v>
      </c>
      <c r="M2964" t="str">
        <f>VLOOKUP(L2964,[1]Human_BrainSpan!$B$2:$C$4000,2,FALSE)</f>
        <v>M1tr3</v>
      </c>
    </row>
    <row r="2965" spans="2:13" x14ac:dyDescent="0.25">
      <c r="B2965" s="31" t="s">
        <v>26303</v>
      </c>
      <c r="C2965" s="25" t="s">
        <v>26166</v>
      </c>
      <c r="D2965" s="25" t="s">
        <v>26232</v>
      </c>
      <c r="E2965" s="25" t="s">
        <v>26306</v>
      </c>
      <c r="F2965" s="9" t="str">
        <f t="shared" si="39"/>
        <v>structure with developmental contribution from neural crest</v>
      </c>
      <c r="G2965" s="9" t="s">
        <v>5090</v>
      </c>
      <c r="H2965" s="9" t="s">
        <v>22294</v>
      </c>
      <c r="I2965" s="9" t="s">
        <v>5533</v>
      </c>
      <c r="J2965" s="9" t="s">
        <v>5534</v>
      </c>
      <c r="K2965" s="4" t="s">
        <v>15175</v>
      </c>
      <c r="L2965" s="13">
        <v>10799</v>
      </c>
      <c r="M2965" t="str">
        <f>VLOOKUP(L2965,[1]Human_BrainSpan!$B$2:$C$4000,2,FALSE)</f>
        <v>M1tr5</v>
      </c>
    </row>
    <row r="2966" spans="2:13" x14ac:dyDescent="0.25">
      <c r="B2966" s="31" t="s">
        <v>26303</v>
      </c>
      <c r="C2966" s="25" t="s">
        <v>26166</v>
      </c>
      <c r="D2966" s="25" t="s">
        <v>26232</v>
      </c>
      <c r="E2966" s="25" t="s">
        <v>26306</v>
      </c>
      <c r="F2966" s="9" t="str">
        <f t="shared" si="39"/>
        <v>structure with developmental contribution from neural crest</v>
      </c>
      <c r="G2966" s="9" t="s">
        <v>5090</v>
      </c>
      <c r="H2966" s="9" t="s">
        <v>22295</v>
      </c>
      <c r="I2966" s="9" t="s">
        <v>5535</v>
      </c>
      <c r="J2966" s="9" t="s">
        <v>5536</v>
      </c>
      <c r="K2966" s="4" t="s">
        <v>15175</v>
      </c>
      <c r="L2966" s="13">
        <v>10800</v>
      </c>
      <c r="M2966" t="str">
        <f>VLOOKUP(L2966,[1]Human_BrainSpan!$B$2:$C$4000,2,FALSE)</f>
        <v>M1tr6</v>
      </c>
    </row>
    <row r="2967" spans="2:13" x14ac:dyDescent="0.25">
      <c r="B2967" s="31" t="s">
        <v>26303</v>
      </c>
      <c r="C2967" s="25" t="s">
        <v>26166</v>
      </c>
      <c r="D2967" s="25" t="s">
        <v>26232</v>
      </c>
      <c r="E2967" s="25" t="s">
        <v>26306</v>
      </c>
      <c r="F2967" s="9" t="str">
        <f t="shared" si="39"/>
        <v>structure with developmental contribution from neural crest</v>
      </c>
      <c r="G2967" s="9" t="s">
        <v>5090</v>
      </c>
      <c r="H2967" s="9" t="s">
        <v>22297</v>
      </c>
      <c r="I2967" s="9" t="s">
        <v>5537</v>
      </c>
      <c r="J2967" s="9" t="s">
        <v>5538</v>
      </c>
      <c r="K2967" s="4" t="s">
        <v>15175</v>
      </c>
      <c r="L2967" s="13">
        <v>10801</v>
      </c>
      <c r="M2967" t="str">
        <f>VLOOKUP(L2967,[1]Human_BrainSpan!$B$2:$C$4000,2,FALSE)</f>
        <v>M1lm1</v>
      </c>
    </row>
    <row r="2968" spans="2:13" x14ac:dyDescent="0.25">
      <c r="B2968" s="31" t="s">
        <v>26303</v>
      </c>
      <c r="C2968" s="25" t="s">
        <v>26166</v>
      </c>
      <c r="D2968" s="25" t="s">
        <v>26232</v>
      </c>
      <c r="E2968" s="25" t="s">
        <v>26306</v>
      </c>
      <c r="F2968" s="9" t="str">
        <f t="shared" si="39"/>
        <v>structure with developmental contribution from neural crest</v>
      </c>
      <c r="G2968" s="9" t="s">
        <v>5090</v>
      </c>
      <c r="H2968" s="9" t="s">
        <v>22298</v>
      </c>
      <c r="I2968" s="9" t="s">
        <v>5539</v>
      </c>
      <c r="J2968" s="9" t="s">
        <v>5540</v>
      </c>
      <c r="K2968" s="4" t="s">
        <v>15175</v>
      </c>
      <c r="L2968" s="13">
        <v>10802</v>
      </c>
      <c r="M2968" t="str">
        <f>VLOOKUP(L2968,[1]Human_BrainSpan!$B$2:$C$4000,2,FALSE)</f>
        <v>M1lm2</v>
      </c>
    </row>
    <row r="2969" spans="2:13" x14ac:dyDescent="0.25">
      <c r="B2969" s="31" t="s">
        <v>26303</v>
      </c>
      <c r="C2969" s="25" t="s">
        <v>26166</v>
      </c>
      <c r="D2969" s="25" t="s">
        <v>26232</v>
      </c>
      <c r="E2969" s="25" t="s">
        <v>26306</v>
      </c>
      <c r="F2969" s="9" t="str">
        <f t="shared" si="39"/>
        <v>structure with developmental contribution from neural crest</v>
      </c>
      <c r="G2969" s="9" t="s">
        <v>5090</v>
      </c>
      <c r="H2969" s="9" t="s">
        <v>22299</v>
      </c>
      <c r="I2969" s="9" t="s">
        <v>5541</v>
      </c>
      <c r="J2969" s="9" t="s">
        <v>5542</v>
      </c>
      <c r="K2969" s="4" t="s">
        <v>15175</v>
      </c>
      <c r="L2969" s="13">
        <v>10803</v>
      </c>
      <c r="M2969" t="str">
        <f>VLOOKUP(L2969,[1]Human_BrainSpan!$B$2:$C$4000,2,FALSE)</f>
        <v>M1lm3</v>
      </c>
    </row>
    <row r="2970" spans="2:13" x14ac:dyDescent="0.25">
      <c r="B2970" s="31" t="s">
        <v>26303</v>
      </c>
      <c r="C2970" s="25" t="s">
        <v>26166</v>
      </c>
      <c r="D2970" s="25" t="s">
        <v>26232</v>
      </c>
      <c r="E2970" s="25" t="s">
        <v>26306</v>
      </c>
      <c r="F2970" s="9" t="str">
        <f t="shared" si="39"/>
        <v>structure with developmental contribution from neural crest</v>
      </c>
      <c r="G2970" s="9" t="s">
        <v>5090</v>
      </c>
      <c r="H2970" s="9" t="s">
        <v>22300</v>
      </c>
      <c r="I2970" s="9" t="s">
        <v>5543</v>
      </c>
      <c r="J2970" s="9" t="s">
        <v>5544</v>
      </c>
      <c r="K2970" s="4" t="s">
        <v>15175</v>
      </c>
      <c r="L2970" s="13">
        <v>10804</v>
      </c>
      <c r="M2970" t="str">
        <f>VLOOKUP(L2970,[1]Human_BrainSpan!$B$2:$C$4000,2,FALSE)</f>
        <v>M1lm5</v>
      </c>
    </row>
    <row r="2971" spans="2:13" x14ac:dyDescent="0.25">
      <c r="B2971" s="31" t="s">
        <v>26303</v>
      </c>
      <c r="C2971" s="25" t="s">
        <v>26166</v>
      </c>
      <c r="D2971" s="25" t="s">
        <v>26232</v>
      </c>
      <c r="E2971" s="25" t="s">
        <v>26306</v>
      </c>
      <c r="F2971" s="9" t="str">
        <f t="shared" si="39"/>
        <v>structure with developmental contribution from neural crest</v>
      </c>
      <c r="G2971" s="9" t="s">
        <v>5090</v>
      </c>
      <c r="H2971" s="9" t="s">
        <v>22301</v>
      </c>
      <c r="I2971" s="9" t="s">
        <v>5545</v>
      </c>
      <c r="J2971" s="9" t="s">
        <v>5546</v>
      </c>
      <c r="K2971" s="4" t="s">
        <v>15175</v>
      </c>
      <c r="L2971" s="13">
        <v>10805</v>
      </c>
      <c r="M2971" t="str">
        <f>VLOOKUP(L2971,[1]Human_BrainSpan!$B$2:$C$4000,2,FALSE)</f>
        <v>M1lm6</v>
      </c>
    </row>
    <row r="2972" spans="2:13" x14ac:dyDescent="0.25">
      <c r="B2972" s="31" t="s">
        <v>26303</v>
      </c>
      <c r="C2972" s="25" t="s">
        <v>26157</v>
      </c>
      <c r="D2972" s="25" t="s">
        <v>26232</v>
      </c>
      <c r="E2972" s="25" t="s">
        <v>26306</v>
      </c>
      <c r="F2972" s="9" t="str">
        <f t="shared" si="39"/>
        <v>structure with developmental contribution from neural crest</v>
      </c>
      <c r="G2972" s="9" t="s">
        <v>5090</v>
      </c>
      <c r="H2972" s="9" t="s">
        <v>22304</v>
      </c>
      <c r="I2972" s="9" t="s">
        <v>5547</v>
      </c>
      <c r="J2972" s="9" t="s">
        <v>5548</v>
      </c>
      <c r="K2972" s="4" t="s">
        <v>15175</v>
      </c>
      <c r="L2972" s="13">
        <v>10806</v>
      </c>
      <c r="M2972" t="str">
        <f>VLOOKUP(L2972,[1]Human_BrainSpan!$B$2:$C$4000,2,FALSE)</f>
        <v>A6ld1</v>
      </c>
    </row>
    <row r="2973" spans="2:13" x14ac:dyDescent="0.25">
      <c r="B2973" s="31" t="s">
        <v>26303</v>
      </c>
      <c r="C2973" s="25" t="s">
        <v>26157</v>
      </c>
      <c r="D2973" s="25" t="s">
        <v>26232</v>
      </c>
      <c r="E2973" s="25" t="s">
        <v>26306</v>
      </c>
      <c r="F2973" s="9" t="str">
        <f t="shared" si="39"/>
        <v>structure with developmental contribution from neural crest</v>
      </c>
      <c r="G2973" s="9" t="s">
        <v>5090</v>
      </c>
      <c r="H2973" s="9" t="s">
        <v>22305</v>
      </c>
      <c r="I2973" s="9" t="s">
        <v>5549</v>
      </c>
      <c r="J2973" s="9" t="s">
        <v>5550</v>
      </c>
      <c r="K2973" s="4" t="s">
        <v>15175</v>
      </c>
      <c r="L2973" s="13">
        <v>10807</v>
      </c>
      <c r="M2973" t="str">
        <f>VLOOKUP(L2973,[1]Human_BrainSpan!$B$2:$C$4000,2,FALSE)</f>
        <v>A6ld2</v>
      </c>
    </row>
    <row r="2974" spans="2:13" x14ac:dyDescent="0.25">
      <c r="B2974" s="31" t="s">
        <v>26303</v>
      </c>
      <c r="C2974" s="25" t="s">
        <v>26157</v>
      </c>
      <c r="D2974" s="25" t="s">
        <v>26232</v>
      </c>
      <c r="E2974" s="25" t="s">
        <v>26306</v>
      </c>
      <c r="F2974" s="9" t="str">
        <f t="shared" si="39"/>
        <v>structure with developmental contribution from neural crest</v>
      </c>
      <c r="G2974" s="9" t="s">
        <v>5090</v>
      </c>
      <c r="H2974" s="9" t="s">
        <v>22306</v>
      </c>
      <c r="I2974" s="9" t="s">
        <v>5551</v>
      </c>
      <c r="J2974" s="9" t="s">
        <v>5552</v>
      </c>
      <c r="K2974" s="4" t="s">
        <v>15175</v>
      </c>
      <c r="L2974" s="13">
        <v>10808</v>
      </c>
      <c r="M2974" t="str">
        <f>VLOOKUP(L2974,[1]Human_BrainSpan!$B$2:$C$4000,2,FALSE)</f>
        <v>A6ld3</v>
      </c>
    </row>
    <row r="2975" spans="2:13" x14ac:dyDescent="0.25">
      <c r="B2975" s="31" t="s">
        <v>26303</v>
      </c>
      <c r="C2975" s="25" t="s">
        <v>26157</v>
      </c>
      <c r="D2975" s="25" t="s">
        <v>26232</v>
      </c>
      <c r="E2975" s="25" t="s">
        <v>26306</v>
      </c>
      <c r="F2975" s="9" t="str">
        <f t="shared" si="39"/>
        <v>structure with developmental contribution from neural crest</v>
      </c>
      <c r="G2975" s="9" t="s">
        <v>5090</v>
      </c>
      <c r="H2975" s="9" t="s">
        <v>22307</v>
      </c>
      <c r="I2975" s="9" t="s">
        <v>5553</v>
      </c>
      <c r="J2975" s="9" t="s">
        <v>5554</v>
      </c>
      <c r="K2975" s="4" t="s">
        <v>15175</v>
      </c>
      <c r="L2975" s="13">
        <v>10809</v>
      </c>
      <c r="M2975" t="str">
        <f>VLOOKUP(L2975,[1]Human_BrainSpan!$B$2:$C$4000,2,FALSE)</f>
        <v>A6ld5</v>
      </c>
    </row>
    <row r="2976" spans="2:13" x14ac:dyDescent="0.25">
      <c r="B2976" s="31" t="s">
        <v>26303</v>
      </c>
      <c r="C2976" s="25" t="s">
        <v>26157</v>
      </c>
      <c r="D2976" s="25" t="s">
        <v>26232</v>
      </c>
      <c r="E2976" s="25" t="s">
        <v>26306</v>
      </c>
      <c r="F2976" s="9" t="str">
        <f t="shared" si="39"/>
        <v>structure with developmental contribution from neural crest</v>
      </c>
      <c r="G2976" s="9" t="s">
        <v>5090</v>
      </c>
      <c r="H2976" s="9" t="s">
        <v>22308</v>
      </c>
      <c r="I2976" s="9" t="s">
        <v>5555</v>
      </c>
      <c r="J2976" s="9" t="s">
        <v>5556</v>
      </c>
      <c r="K2976" s="4" t="s">
        <v>15175</v>
      </c>
      <c r="L2976" s="13">
        <v>10810</v>
      </c>
      <c r="M2976" t="str">
        <f>VLOOKUP(L2976,[1]Human_BrainSpan!$B$2:$C$4000,2,FALSE)</f>
        <v>A6ld6</v>
      </c>
    </row>
    <row r="2977" spans="2:13" x14ac:dyDescent="0.25">
      <c r="B2977" s="31" t="s">
        <v>26303</v>
      </c>
      <c r="C2977" s="25" t="s">
        <v>26157</v>
      </c>
      <c r="D2977" s="25" t="s">
        <v>26232</v>
      </c>
      <c r="E2977" s="25" t="s">
        <v>26306</v>
      </c>
      <c r="F2977" s="9" t="str">
        <f t="shared" si="39"/>
        <v>structure with developmental contribution from neural crest</v>
      </c>
      <c r="G2977" s="9" t="s">
        <v>5090</v>
      </c>
      <c r="H2977" s="9" t="s">
        <v>22310</v>
      </c>
      <c r="I2977" s="9" t="s">
        <v>5557</v>
      </c>
      <c r="J2977" s="9" t="s">
        <v>5558</v>
      </c>
      <c r="K2977" s="4" t="s">
        <v>15175</v>
      </c>
      <c r="L2977" s="13">
        <v>10811</v>
      </c>
      <c r="M2977" t="str">
        <f>VLOOKUP(L2977,[1]Human_BrainSpan!$B$2:$C$4000,2,FALSE)</f>
        <v>A6lv1</v>
      </c>
    </row>
    <row r="2978" spans="2:13" x14ac:dyDescent="0.25">
      <c r="B2978" s="31" t="s">
        <v>26303</v>
      </c>
      <c r="C2978" s="25" t="s">
        <v>26157</v>
      </c>
      <c r="D2978" s="25" t="s">
        <v>26232</v>
      </c>
      <c r="E2978" s="25" t="s">
        <v>26306</v>
      </c>
      <c r="F2978" s="9" t="str">
        <f t="shared" si="39"/>
        <v>structure with developmental contribution from neural crest</v>
      </c>
      <c r="G2978" s="9" t="s">
        <v>5090</v>
      </c>
      <c r="H2978" s="9" t="s">
        <v>22311</v>
      </c>
      <c r="I2978" s="9" t="s">
        <v>5559</v>
      </c>
      <c r="J2978" s="9" t="s">
        <v>5560</v>
      </c>
      <c r="K2978" s="4" t="s">
        <v>15175</v>
      </c>
      <c r="L2978" s="13">
        <v>10812</v>
      </c>
      <c r="M2978" t="str">
        <f>VLOOKUP(L2978,[1]Human_BrainSpan!$B$2:$C$4000,2,FALSE)</f>
        <v>A6lv2</v>
      </c>
    </row>
    <row r="2979" spans="2:13" x14ac:dyDescent="0.25">
      <c r="B2979" s="31" t="s">
        <v>26303</v>
      </c>
      <c r="C2979" s="25" t="s">
        <v>26157</v>
      </c>
      <c r="D2979" s="25" t="s">
        <v>26232</v>
      </c>
      <c r="E2979" s="25" t="s">
        <v>26306</v>
      </c>
      <c r="F2979" s="9" t="str">
        <f t="shared" si="39"/>
        <v>structure with developmental contribution from neural crest</v>
      </c>
      <c r="G2979" s="9" t="s">
        <v>5090</v>
      </c>
      <c r="H2979" s="9" t="s">
        <v>22312</v>
      </c>
      <c r="I2979" s="9" t="s">
        <v>5561</v>
      </c>
      <c r="J2979" s="9" t="s">
        <v>5562</v>
      </c>
      <c r="K2979" s="4" t="s">
        <v>15175</v>
      </c>
      <c r="L2979" s="13">
        <v>10813</v>
      </c>
      <c r="M2979" t="str">
        <f>VLOOKUP(L2979,[1]Human_BrainSpan!$B$2:$C$4000,2,FALSE)</f>
        <v>A6lv3</v>
      </c>
    </row>
    <row r="2980" spans="2:13" x14ac:dyDescent="0.25">
      <c r="B2980" s="31" t="s">
        <v>26303</v>
      </c>
      <c r="C2980" s="25" t="s">
        <v>26157</v>
      </c>
      <c r="D2980" s="25" t="s">
        <v>26232</v>
      </c>
      <c r="E2980" s="25" t="s">
        <v>26306</v>
      </c>
      <c r="F2980" s="9" t="str">
        <f t="shared" si="39"/>
        <v>structure with developmental contribution from neural crest</v>
      </c>
      <c r="G2980" s="9" t="s">
        <v>5090</v>
      </c>
      <c r="H2980" s="9" t="s">
        <v>22313</v>
      </c>
      <c r="I2980" s="9" t="s">
        <v>5563</v>
      </c>
      <c r="J2980" s="9" t="s">
        <v>5564</v>
      </c>
      <c r="K2980" s="4" t="s">
        <v>15175</v>
      </c>
      <c r="L2980" s="13">
        <v>10814</v>
      </c>
      <c r="M2980" t="str">
        <f>VLOOKUP(L2980,[1]Human_BrainSpan!$B$2:$C$4000,2,FALSE)</f>
        <v>A6lv5</v>
      </c>
    </row>
    <row r="2981" spans="2:13" x14ac:dyDescent="0.25">
      <c r="B2981" s="31" t="s">
        <v>26303</v>
      </c>
      <c r="C2981" s="25" t="s">
        <v>26157</v>
      </c>
      <c r="D2981" s="25" t="s">
        <v>26232</v>
      </c>
      <c r="E2981" s="25" t="s">
        <v>26306</v>
      </c>
      <c r="F2981" s="9" t="str">
        <f t="shared" si="39"/>
        <v>structure with developmental contribution from neural crest</v>
      </c>
      <c r="G2981" s="9" t="s">
        <v>5090</v>
      </c>
      <c r="H2981" s="9" t="s">
        <v>22314</v>
      </c>
      <c r="I2981" s="9" t="s">
        <v>5565</v>
      </c>
      <c r="J2981" s="9" t="s">
        <v>5566</v>
      </c>
      <c r="K2981" s="4" t="s">
        <v>15175</v>
      </c>
      <c r="L2981" s="13">
        <v>10815</v>
      </c>
      <c r="M2981" t="str">
        <f>VLOOKUP(L2981,[1]Human_BrainSpan!$B$2:$C$4000,2,FALSE)</f>
        <v>A6lv6</v>
      </c>
    </row>
    <row r="2982" spans="2:13" x14ac:dyDescent="0.25">
      <c r="B2982" s="31" t="s">
        <v>26303</v>
      </c>
      <c r="C2982" s="25" t="s">
        <v>26157</v>
      </c>
      <c r="D2982" s="25" t="s">
        <v>26232</v>
      </c>
      <c r="E2982" s="25" t="s">
        <v>26306</v>
      </c>
      <c r="F2982" s="9" t="str">
        <f t="shared" si="39"/>
        <v>structure with developmental contribution from neural crest</v>
      </c>
      <c r="G2982" s="9" t="s">
        <v>5090</v>
      </c>
      <c r="H2982" s="9" t="s">
        <v>22316</v>
      </c>
      <c r="I2982" s="9" t="s">
        <v>5567</v>
      </c>
      <c r="J2982" s="9" t="s">
        <v>5568</v>
      </c>
      <c r="K2982" s="4" t="s">
        <v>15175</v>
      </c>
      <c r="L2982" s="13">
        <v>10816</v>
      </c>
      <c r="M2982" t="str">
        <f>VLOOKUP(L2982,[1]Human_BrainSpan!$B$2:$C$4000,2,FALSE)</f>
        <v>A6m1</v>
      </c>
    </row>
    <row r="2983" spans="2:13" x14ac:dyDescent="0.25">
      <c r="B2983" s="31" t="s">
        <v>26303</v>
      </c>
      <c r="C2983" s="25" t="s">
        <v>26157</v>
      </c>
      <c r="D2983" s="25" t="s">
        <v>26232</v>
      </c>
      <c r="E2983" s="25" t="s">
        <v>26306</v>
      </c>
      <c r="F2983" s="9" t="str">
        <f t="shared" si="39"/>
        <v>structure with developmental contribution from neural crest</v>
      </c>
      <c r="G2983" s="9" t="s">
        <v>5090</v>
      </c>
      <c r="H2983" s="9" t="s">
        <v>22317</v>
      </c>
      <c r="I2983" s="9" t="s">
        <v>5569</v>
      </c>
      <c r="J2983" s="9" t="s">
        <v>5570</v>
      </c>
      <c r="K2983" s="4" t="s">
        <v>15175</v>
      </c>
      <c r="L2983" s="13">
        <v>10817</v>
      </c>
      <c r="M2983" t="str">
        <f>VLOOKUP(L2983,[1]Human_BrainSpan!$B$2:$C$4000,2,FALSE)</f>
        <v>A6m2</v>
      </c>
    </row>
    <row r="2984" spans="2:13" x14ac:dyDescent="0.25">
      <c r="B2984" s="31" t="s">
        <v>26303</v>
      </c>
      <c r="C2984" s="25" t="s">
        <v>26157</v>
      </c>
      <c r="D2984" s="25" t="s">
        <v>26232</v>
      </c>
      <c r="E2984" s="25" t="s">
        <v>26306</v>
      </c>
      <c r="F2984" s="9" t="str">
        <f t="shared" si="39"/>
        <v>structure with developmental contribution from neural crest</v>
      </c>
      <c r="G2984" s="9" t="s">
        <v>5090</v>
      </c>
      <c r="H2984" s="9" t="s">
        <v>22318</v>
      </c>
      <c r="I2984" s="9" t="s">
        <v>5571</v>
      </c>
      <c r="J2984" s="9" t="s">
        <v>5572</v>
      </c>
      <c r="K2984" s="4" t="s">
        <v>15175</v>
      </c>
      <c r="L2984" s="13">
        <v>10818</v>
      </c>
      <c r="M2984" t="str">
        <f>VLOOKUP(L2984,[1]Human_BrainSpan!$B$2:$C$4000,2,FALSE)</f>
        <v>A6m3</v>
      </c>
    </row>
    <row r="2985" spans="2:13" x14ac:dyDescent="0.25">
      <c r="B2985" s="31" t="s">
        <v>26303</v>
      </c>
      <c r="C2985" s="25" t="s">
        <v>26157</v>
      </c>
      <c r="D2985" s="25" t="s">
        <v>26232</v>
      </c>
      <c r="E2985" s="25" t="s">
        <v>26306</v>
      </c>
      <c r="F2985" s="9" t="str">
        <f t="shared" si="39"/>
        <v>structure with developmental contribution from neural crest</v>
      </c>
      <c r="G2985" s="9" t="s">
        <v>5090</v>
      </c>
      <c r="H2985" s="9" t="s">
        <v>22319</v>
      </c>
      <c r="I2985" s="9" t="s">
        <v>5573</v>
      </c>
      <c r="J2985" s="9" t="s">
        <v>5574</v>
      </c>
      <c r="K2985" s="4" t="s">
        <v>15175</v>
      </c>
      <c r="L2985" s="13">
        <v>10819</v>
      </c>
      <c r="M2985" t="str">
        <f>VLOOKUP(L2985,[1]Human_BrainSpan!$B$2:$C$4000,2,FALSE)</f>
        <v>A6m5</v>
      </c>
    </row>
    <row r="2986" spans="2:13" x14ac:dyDescent="0.25">
      <c r="B2986" s="31" t="s">
        <v>26303</v>
      </c>
      <c r="C2986" s="25" t="s">
        <v>26157</v>
      </c>
      <c r="D2986" s="25" t="s">
        <v>26232</v>
      </c>
      <c r="E2986" s="25" t="s">
        <v>26306</v>
      </c>
      <c r="F2986" s="9" t="str">
        <f t="shared" si="39"/>
        <v>structure with developmental contribution from neural crest</v>
      </c>
      <c r="G2986" s="9" t="s">
        <v>5090</v>
      </c>
      <c r="H2986" s="9" t="s">
        <v>22320</v>
      </c>
      <c r="I2986" s="9" t="s">
        <v>5575</v>
      </c>
      <c r="J2986" s="9" t="s">
        <v>5576</v>
      </c>
      <c r="K2986" s="4" t="s">
        <v>15175</v>
      </c>
      <c r="L2986" s="13">
        <v>10820</v>
      </c>
      <c r="M2986" t="str">
        <f>VLOOKUP(L2986,[1]Human_BrainSpan!$B$2:$C$4000,2,FALSE)</f>
        <v>A6m6</v>
      </c>
    </row>
    <row r="2987" spans="2:13" x14ac:dyDescent="0.25">
      <c r="B2987" s="31" t="s">
        <v>26299</v>
      </c>
      <c r="C2987" s="25" t="s">
        <v>1636</v>
      </c>
      <c r="D2987" s="25" t="s">
        <v>26232</v>
      </c>
      <c r="E2987" s="25" t="s">
        <v>26306</v>
      </c>
      <c r="F2987" s="9" t="str">
        <f t="shared" si="39"/>
        <v>structure with developmental contribution from neural crest</v>
      </c>
      <c r="G2987" s="9" t="s">
        <v>5090</v>
      </c>
      <c r="H2987" s="9" t="s">
        <v>22105</v>
      </c>
      <c r="I2987" s="9" t="s">
        <v>5577</v>
      </c>
      <c r="J2987" s="9" t="s">
        <v>5578</v>
      </c>
      <c r="K2987" s="4" t="s">
        <v>15175</v>
      </c>
      <c r="L2987" s="13">
        <v>10821</v>
      </c>
      <c r="M2987" t="str">
        <f>VLOOKUP(L2987,[1]Human_BrainSpan!$B$2:$C$4000,2,FALSE)</f>
        <v>A8ld1</v>
      </c>
    </row>
    <row r="2988" spans="2:13" x14ac:dyDescent="0.25">
      <c r="B2988" s="31" t="s">
        <v>26299</v>
      </c>
      <c r="C2988" s="25" t="s">
        <v>1636</v>
      </c>
      <c r="D2988" s="25" t="s">
        <v>26232</v>
      </c>
      <c r="E2988" s="25" t="s">
        <v>26306</v>
      </c>
      <c r="F2988" s="9" t="str">
        <f t="shared" si="39"/>
        <v>structure with developmental contribution from neural crest</v>
      </c>
      <c r="G2988" s="9" t="s">
        <v>5090</v>
      </c>
      <c r="H2988" s="9" t="s">
        <v>22106</v>
      </c>
      <c r="I2988" s="9" t="s">
        <v>5579</v>
      </c>
      <c r="J2988" s="9" t="s">
        <v>5580</v>
      </c>
      <c r="K2988" s="4" t="s">
        <v>15175</v>
      </c>
      <c r="L2988" s="13">
        <v>10822</v>
      </c>
      <c r="M2988" t="str">
        <f>VLOOKUP(L2988,[1]Human_BrainSpan!$B$2:$C$4000,2,FALSE)</f>
        <v>A8ld2</v>
      </c>
    </row>
    <row r="2989" spans="2:13" x14ac:dyDescent="0.25">
      <c r="B2989" s="31" t="s">
        <v>26299</v>
      </c>
      <c r="C2989" s="25" t="s">
        <v>1636</v>
      </c>
      <c r="D2989" s="25" t="s">
        <v>26232</v>
      </c>
      <c r="E2989" s="25" t="s">
        <v>26306</v>
      </c>
      <c r="F2989" s="9" t="str">
        <f t="shared" si="39"/>
        <v>structure with developmental contribution from neural crest</v>
      </c>
      <c r="G2989" s="9" t="s">
        <v>5090</v>
      </c>
      <c r="H2989" s="9" t="s">
        <v>22107</v>
      </c>
      <c r="I2989" s="9" t="s">
        <v>5581</v>
      </c>
      <c r="J2989" s="9" t="s">
        <v>5582</v>
      </c>
      <c r="K2989" s="4" t="s">
        <v>15175</v>
      </c>
      <c r="L2989" s="13">
        <v>10823</v>
      </c>
      <c r="M2989" t="str">
        <f>VLOOKUP(L2989,[1]Human_BrainSpan!$B$2:$C$4000,2,FALSE)</f>
        <v>A8ld3</v>
      </c>
    </row>
    <row r="2990" spans="2:13" x14ac:dyDescent="0.25">
      <c r="B2990" s="31" t="s">
        <v>26299</v>
      </c>
      <c r="C2990" s="25" t="s">
        <v>1636</v>
      </c>
      <c r="D2990" s="25" t="s">
        <v>26232</v>
      </c>
      <c r="E2990" s="25" t="s">
        <v>26306</v>
      </c>
      <c r="F2990" s="9" t="str">
        <f t="shared" si="39"/>
        <v>structure with developmental contribution from neural crest</v>
      </c>
      <c r="G2990" s="9" t="s">
        <v>5090</v>
      </c>
      <c r="H2990" s="9" t="s">
        <v>22108</v>
      </c>
      <c r="I2990" s="9" t="s">
        <v>5583</v>
      </c>
      <c r="J2990" s="9" t="s">
        <v>5584</v>
      </c>
      <c r="K2990" s="4" t="s">
        <v>15175</v>
      </c>
      <c r="L2990" s="13">
        <v>10824</v>
      </c>
      <c r="M2990" t="str">
        <f>VLOOKUP(L2990,[1]Human_BrainSpan!$B$2:$C$4000,2,FALSE)</f>
        <v>A8ld4</v>
      </c>
    </row>
    <row r="2991" spans="2:13" x14ac:dyDescent="0.25">
      <c r="B2991" s="31" t="s">
        <v>26299</v>
      </c>
      <c r="C2991" s="25" t="s">
        <v>1636</v>
      </c>
      <c r="D2991" s="25" t="s">
        <v>26232</v>
      </c>
      <c r="E2991" s="25" t="s">
        <v>26306</v>
      </c>
      <c r="F2991" s="9" t="str">
        <f t="shared" si="39"/>
        <v>structure with developmental contribution from neural crest</v>
      </c>
      <c r="G2991" s="9" t="s">
        <v>5090</v>
      </c>
      <c r="H2991" s="9" t="s">
        <v>22109</v>
      </c>
      <c r="I2991" s="9" t="s">
        <v>5585</v>
      </c>
      <c r="J2991" s="9" t="s">
        <v>5586</v>
      </c>
      <c r="K2991" s="4" t="s">
        <v>15175</v>
      </c>
      <c r="L2991" s="13">
        <v>10825</v>
      </c>
      <c r="M2991" t="str">
        <f>VLOOKUP(L2991,[1]Human_BrainSpan!$B$2:$C$4000,2,FALSE)</f>
        <v>A8ld5</v>
      </c>
    </row>
    <row r="2992" spans="2:13" x14ac:dyDescent="0.25">
      <c r="B2992" s="31" t="s">
        <v>26299</v>
      </c>
      <c r="C2992" s="25" t="s">
        <v>1636</v>
      </c>
      <c r="D2992" s="25" t="s">
        <v>26232</v>
      </c>
      <c r="E2992" s="25" t="s">
        <v>26306</v>
      </c>
      <c r="F2992" s="9" t="str">
        <f t="shared" si="39"/>
        <v>structure with developmental contribution from neural crest</v>
      </c>
      <c r="G2992" s="9" t="s">
        <v>5090</v>
      </c>
      <c r="H2992" s="9" t="s">
        <v>22110</v>
      </c>
      <c r="I2992" s="9" t="s">
        <v>5587</v>
      </c>
      <c r="J2992" s="9" t="s">
        <v>5588</v>
      </c>
      <c r="K2992" s="4" t="s">
        <v>15175</v>
      </c>
      <c r="L2992" s="13">
        <v>10826</v>
      </c>
      <c r="M2992" t="str">
        <f>VLOOKUP(L2992,[1]Human_BrainSpan!$B$2:$C$4000,2,FALSE)</f>
        <v>A8ld6</v>
      </c>
    </row>
    <row r="2993" spans="2:13" x14ac:dyDescent="0.25">
      <c r="B2993" s="31" t="s">
        <v>26299</v>
      </c>
      <c r="C2993" s="25" t="s">
        <v>1636</v>
      </c>
      <c r="D2993" s="25" t="s">
        <v>26232</v>
      </c>
      <c r="E2993" s="25" t="s">
        <v>26306</v>
      </c>
      <c r="F2993" s="9" t="str">
        <f t="shared" si="39"/>
        <v>structure with developmental contribution from neural crest</v>
      </c>
      <c r="G2993" s="9" t="s">
        <v>5090</v>
      </c>
      <c r="H2993" s="9" t="s">
        <v>22112</v>
      </c>
      <c r="I2993" s="9" t="s">
        <v>5589</v>
      </c>
      <c r="J2993" s="9" t="s">
        <v>5590</v>
      </c>
      <c r="K2993" s="4" t="s">
        <v>15175</v>
      </c>
      <c r="L2993" s="13">
        <v>10827</v>
      </c>
      <c r="M2993" t="str">
        <f>VLOOKUP(L2993,[1]Human_BrainSpan!$B$2:$C$4000,2,FALSE)</f>
        <v>A8lv1</v>
      </c>
    </row>
    <row r="2994" spans="2:13" x14ac:dyDescent="0.25">
      <c r="B2994" s="31" t="s">
        <v>26299</v>
      </c>
      <c r="C2994" s="25" t="s">
        <v>1636</v>
      </c>
      <c r="D2994" s="25" t="s">
        <v>26232</v>
      </c>
      <c r="E2994" s="25" t="s">
        <v>26306</v>
      </c>
      <c r="F2994" s="9" t="str">
        <f t="shared" si="39"/>
        <v>structure with developmental contribution from neural crest</v>
      </c>
      <c r="G2994" s="9" t="s">
        <v>5090</v>
      </c>
      <c r="H2994" s="9" t="s">
        <v>22113</v>
      </c>
      <c r="I2994" s="9" t="s">
        <v>5591</v>
      </c>
      <c r="J2994" s="9" t="s">
        <v>5592</v>
      </c>
      <c r="K2994" s="4" t="s">
        <v>15175</v>
      </c>
      <c r="L2994" s="13">
        <v>10828</v>
      </c>
      <c r="M2994" t="str">
        <f>VLOOKUP(L2994,[1]Human_BrainSpan!$B$2:$C$4000,2,FALSE)</f>
        <v>A8lv2</v>
      </c>
    </row>
    <row r="2995" spans="2:13" x14ac:dyDescent="0.25">
      <c r="B2995" s="31" t="s">
        <v>26299</v>
      </c>
      <c r="C2995" s="25" t="s">
        <v>1636</v>
      </c>
      <c r="D2995" s="25" t="s">
        <v>26232</v>
      </c>
      <c r="E2995" s="25" t="s">
        <v>26306</v>
      </c>
      <c r="F2995" s="9" t="str">
        <f t="shared" si="39"/>
        <v>structure with developmental contribution from neural crest</v>
      </c>
      <c r="G2995" s="9" t="s">
        <v>5090</v>
      </c>
      <c r="H2995" s="9" t="s">
        <v>22114</v>
      </c>
      <c r="I2995" s="9" t="s">
        <v>5593</v>
      </c>
      <c r="J2995" s="9" t="s">
        <v>5594</v>
      </c>
      <c r="K2995" s="4" t="s">
        <v>15175</v>
      </c>
      <c r="L2995" s="13">
        <v>10829</v>
      </c>
      <c r="M2995" t="str">
        <f>VLOOKUP(L2995,[1]Human_BrainSpan!$B$2:$C$4000,2,FALSE)</f>
        <v>A8lv3</v>
      </c>
    </row>
    <row r="2996" spans="2:13" x14ac:dyDescent="0.25">
      <c r="B2996" s="31" t="s">
        <v>26299</v>
      </c>
      <c r="C2996" s="25" t="s">
        <v>1636</v>
      </c>
      <c r="D2996" s="25" t="s">
        <v>26232</v>
      </c>
      <c r="E2996" s="25" t="s">
        <v>26306</v>
      </c>
      <c r="F2996" s="9" t="str">
        <f t="shared" si="39"/>
        <v>structure with developmental contribution from neural crest</v>
      </c>
      <c r="G2996" s="9" t="s">
        <v>5090</v>
      </c>
      <c r="H2996" s="9" t="s">
        <v>22115</v>
      </c>
      <c r="I2996" s="9" t="s">
        <v>5595</v>
      </c>
      <c r="J2996" s="9" t="s">
        <v>5596</v>
      </c>
      <c r="K2996" s="4" t="s">
        <v>15175</v>
      </c>
      <c r="L2996" s="13">
        <v>10830</v>
      </c>
      <c r="M2996" t="str">
        <f>VLOOKUP(L2996,[1]Human_BrainSpan!$B$2:$C$4000,2,FALSE)</f>
        <v>A8lv4</v>
      </c>
    </row>
    <row r="2997" spans="2:13" x14ac:dyDescent="0.25">
      <c r="B2997" s="31" t="s">
        <v>26299</v>
      </c>
      <c r="C2997" s="25" t="s">
        <v>1636</v>
      </c>
      <c r="D2997" s="25" t="s">
        <v>26232</v>
      </c>
      <c r="E2997" s="25" t="s">
        <v>26306</v>
      </c>
      <c r="F2997" s="9" t="str">
        <f t="shared" si="39"/>
        <v>structure with developmental contribution from neural crest</v>
      </c>
      <c r="G2997" s="9" t="s">
        <v>5090</v>
      </c>
      <c r="H2997" s="9" t="s">
        <v>22116</v>
      </c>
      <c r="I2997" s="9" t="s">
        <v>5597</v>
      </c>
      <c r="J2997" s="9" t="s">
        <v>5598</v>
      </c>
      <c r="K2997" s="4" t="s">
        <v>15175</v>
      </c>
      <c r="L2997" s="13">
        <v>10831</v>
      </c>
      <c r="M2997" t="str">
        <f>VLOOKUP(L2997,[1]Human_BrainSpan!$B$2:$C$4000,2,FALSE)</f>
        <v>A8lv5</v>
      </c>
    </row>
    <row r="2998" spans="2:13" x14ac:dyDescent="0.25">
      <c r="B2998" s="31" t="s">
        <v>26299</v>
      </c>
      <c r="C2998" s="25" t="s">
        <v>1636</v>
      </c>
      <c r="D2998" s="25" t="s">
        <v>26232</v>
      </c>
      <c r="E2998" s="25" t="s">
        <v>26306</v>
      </c>
      <c r="F2998" s="9" t="str">
        <f t="shared" si="39"/>
        <v>structure with developmental contribution from neural crest</v>
      </c>
      <c r="G2998" s="9" t="s">
        <v>5090</v>
      </c>
      <c r="H2998" s="9" t="s">
        <v>22117</v>
      </c>
      <c r="I2998" s="9" t="s">
        <v>5599</v>
      </c>
      <c r="J2998" s="9" t="s">
        <v>5600</v>
      </c>
      <c r="K2998" s="4" t="s">
        <v>15175</v>
      </c>
      <c r="L2998" s="13">
        <v>10832</v>
      </c>
      <c r="M2998" t="str">
        <f>VLOOKUP(L2998,[1]Human_BrainSpan!$B$2:$C$4000,2,FALSE)</f>
        <v>A8lv6</v>
      </c>
    </row>
    <row r="2999" spans="2:13" x14ac:dyDescent="0.25">
      <c r="B2999" s="31" t="s">
        <v>26299</v>
      </c>
      <c r="C2999" s="25" t="s">
        <v>1636</v>
      </c>
      <c r="D2999" s="25" t="s">
        <v>26232</v>
      </c>
      <c r="E2999" s="25" t="s">
        <v>26306</v>
      </c>
      <c r="F2999" s="9" t="str">
        <f t="shared" ref="F2999:F3062" si="40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2999" s="9" t="s">
        <v>5090</v>
      </c>
      <c r="H2999" s="9" t="s">
        <v>22119</v>
      </c>
      <c r="I2999" s="9" t="s">
        <v>5601</v>
      </c>
      <c r="J2999" s="9" t="s">
        <v>5602</v>
      </c>
      <c r="K2999" s="4" t="s">
        <v>15175</v>
      </c>
      <c r="L2999" s="13">
        <v>10833</v>
      </c>
      <c r="M2999" t="str">
        <f>VLOOKUP(L2999,[1]Human_BrainSpan!$B$2:$C$4000,2,FALSE)</f>
        <v>A8m1</v>
      </c>
    </row>
    <row r="3000" spans="2:13" x14ac:dyDescent="0.25">
      <c r="B3000" s="31" t="s">
        <v>26299</v>
      </c>
      <c r="C3000" s="25" t="s">
        <v>1636</v>
      </c>
      <c r="D3000" s="25" t="s">
        <v>26232</v>
      </c>
      <c r="E3000" s="25" t="s">
        <v>26306</v>
      </c>
      <c r="F3000" s="9" t="str">
        <f t="shared" si="40"/>
        <v>structure with developmental contribution from neural crest</v>
      </c>
      <c r="G3000" s="9" t="s">
        <v>5090</v>
      </c>
      <c r="H3000" s="9" t="s">
        <v>22120</v>
      </c>
      <c r="I3000" s="9" t="s">
        <v>5603</v>
      </c>
      <c r="J3000" s="9" t="s">
        <v>5604</v>
      </c>
      <c r="K3000" s="4" t="s">
        <v>15175</v>
      </c>
      <c r="L3000" s="13">
        <v>10834</v>
      </c>
      <c r="M3000" t="str">
        <f>VLOOKUP(L3000,[1]Human_BrainSpan!$B$2:$C$4000,2,FALSE)</f>
        <v>A8m2</v>
      </c>
    </row>
    <row r="3001" spans="2:13" x14ac:dyDescent="0.25">
      <c r="B3001" s="31" t="s">
        <v>26299</v>
      </c>
      <c r="C3001" s="25" t="s">
        <v>1636</v>
      </c>
      <c r="D3001" s="25" t="s">
        <v>26232</v>
      </c>
      <c r="E3001" s="25" t="s">
        <v>26306</v>
      </c>
      <c r="F3001" s="9" t="str">
        <f t="shared" si="40"/>
        <v>structure with developmental contribution from neural crest</v>
      </c>
      <c r="G3001" s="9" t="s">
        <v>5090</v>
      </c>
      <c r="H3001" s="9" t="s">
        <v>22121</v>
      </c>
      <c r="I3001" s="9" t="s">
        <v>5605</v>
      </c>
      <c r="J3001" s="9" t="s">
        <v>5606</v>
      </c>
      <c r="K3001" s="4" t="s">
        <v>15175</v>
      </c>
      <c r="L3001" s="13">
        <v>10835</v>
      </c>
      <c r="M3001" t="str">
        <f>VLOOKUP(L3001,[1]Human_BrainSpan!$B$2:$C$4000,2,FALSE)</f>
        <v>A8m3</v>
      </c>
    </row>
    <row r="3002" spans="2:13" x14ac:dyDescent="0.25">
      <c r="B3002" s="31" t="s">
        <v>26299</v>
      </c>
      <c r="C3002" s="25" t="s">
        <v>1636</v>
      </c>
      <c r="D3002" s="25" t="s">
        <v>26232</v>
      </c>
      <c r="E3002" s="25" t="s">
        <v>26306</v>
      </c>
      <c r="F3002" s="9" t="str">
        <f t="shared" si="40"/>
        <v>structure with developmental contribution from neural crest</v>
      </c>
      <c r="G3002" s="9" t="s">
        <v>5090</v>
      </c>
      <c r="H3002" s="9" t="s">
        <v>22122</v>
      </c>
      <c r="I3002" s="9" t="s">
        <v>5607</v>
      </c>
      <c r="J3002" s="9" t="s">
        <v>5608</v>
      </c>
      <c r="K3002" s="4" t="s">
        <v>15175</v>
      </c>
      <c r="L3002" s="13">
        <v>10836</v>
      </c>
      <c r="M3002" t="str">
        <f>VLOOKUP(L3002,[1]Human_BrainSpan!$B$2:$C$4000,2,FALSE)</f>
        <v>A8m4</v>
      </c>
    </row>
    <row r="3003" spans="2:13" x14ac:dyDescent="0.25">
      <c r="B3003" s="31" t="s">
        <v>26299</v>
      </c>
      <c r="C3003" s="25" t="s">
        <v>1636</v>
      </c>
      <c r="D3003" s="25" t="s">
        <v>26232</v>
      </c>
      <c r="E3003" s="25" t="s">
        <v>26306</v>
      </c>
      <c r="F3003" s="9" t="str">
        <f t="shared" si="40"/>
        <v>structure with developmental contribution from neural crest</v>
      </c>
      <c r="G3003" s="9" t="s">
        <v>5090</v>
      </c>
      <c r="H3003" s="9" t="s">
        <v>22123</v>
      </c>
      <c r="I3003" s="9" t="s">
        <v>5609</v>
      </c>
      <c r="J3003" s="9" t="s">
        <v>5610</v>
      </c>
      <c r="K3003" s="4" t="s">
        <v>15175</v>
      </c>
      <c r="L3003" s="13">
        <v>10837</v>
      </c>
      <c r="M3003" t="str">
        <f>VLOOKUP(L3003,[1]Human_BrainSpan!$B$2:$C$4000,2,FALSE)</f>
        <v>A8m5</v>
      </c>
    </row>
    <row r="3004" spans="2:13" x14ac:dyDescent="0.25">
      <c r="B3004" s="31" t="s">
        <v>26299</v>
      </c>
      <c r="C3004" s="25" t="s">
        <v>1636</v>
      </c>
      <c r="D3004" s="25" t="s">
        <v>26232</v>
      </c>
      <c r="E3004" s="25" t="s">
        <v>26306</v>
      </c>
      <c r="F3004" s="9" t="str">
        <f t="shared" si="40"/>
        <v>structure with developmental contribution from neural crest</v>
      </c>
      <c r="G3004" s="9" t="s">
        <v>5090</v>
      </c>
      <c r="H3004" s="9" t="s">
        <v>22124</v>
      </c>
      <c r="I3004" s="9" t="s">
        <v>5611</v>
      </c>
      <c r="J3004" s="9" t="s">
        <v>5612</v>
      </c>
      <c r="K3004" s="4" t="s">
        <v>15175</v>
      </c>
      <c r="L3004" s="13">
        <v>10838</v>
      </c>
      <c r="M3004" t="str">
        <f>VLOOKUP(L3004,[1]Human_BrainSpan!$B$2:$C$4000,2,FALSE)</f>
        <v>A8m6</v>
      </c>
    </row>
    <row r="3005" spans="2:13" x14ac:dyDescent="0.25">
      <c r="B3005" s="31" t="s">
        <v>26299</v>
      </c>
      <c r="C3005" s="25" t="s">
        <v>1636</v>
      </c>
      <c r="D3005" s="25" t="s">
        <v>26232</v>
      </c>
      <c r="E3005" s="25" t="s">
        <v>26307</v>
      </c>
      <c r="F3005" s="9" t="str">
        <f t="shared" si="40"/>
        <v>structure with developmental contribution from neural crest</v>
      </c>
      <c r="G3005" s="9" t="s">
        <v>5090</v>
      </c>
      <c r="H3005" s="9" t="s">
        <v>22127</v>
      </c>
      <c r="I3005" s="9" t="s">
        <v>5613</v>
      </c>
      <c r="J3005" s="9" t="s">
        <v>5614</v>
      </c>
      <c r="K3005" s="4" t="s">
        <v>15175</v>
      </c>
      <c r="L3005" s="13">
        <v>10839</v>
      </c>
      <c r="M3005" t="str">
        <f>VLOOKUP(L3005,[1]Human_BrainSpan!$B$2:$C$4000,2,FALSE)</f>
        <v>A9l1</v>
      </c>
    </row>
    <row r="3006" spans="2:13" x14ac:dyDescent="0.25">
      <c r="B3006" s="31" t="s">
        <v>26299</v>
      </c>
      <c r="C3006" s="25" t="s">
        <v>1636</v>
      </c>
      <c r="D3006" s="25" t="s">
        <v>26232</v>
      </c>
      <c r="E3006" s="25" t="s">
        <v>26307</v>
      </c>
      <c r="F3006" s="9" t="str">
        <f t="shared" si="40"/>
        <v>structure with developmental contribution from neural crest</v>
      </c>
      <c r="G3006" s="9" t="s">
        <v>5090</v>
      </c>
      <c r="H3006" s="9" t="s">
        <v>22128</v>
      </c>
      <c r="I3006" s="9" t="s">
        <v>5615</v>
      </c>
      <c r="J3006" s="9" t="s">
        <v>5616</v>
      </c>
      <c r="K3006" s="4" t="s">
        <v>15175</v>
      </c>
      <c r="L3006" s="13">
        <v>10840</v>
      </c>
      <c r="M3006" t="str">
        <f>VLOOKUP(L3006,[1]Human_BrainSpan!$B$2:$C$4000,2,FALSE)</f>
        <v>A9l2</v>
      </c>
    </row>
    <row r="3007" spans="2:13" x14ac:dyDescent="0.25">
      <c r="B3007" s="31" t="s">
        <v>26299</v>
      </c>
      <c r="C3007" s="25" t="s">
        <v>1636</v>
      </c>
      <c r="D3007" s="25" t="s">
        <v>26232</v>
      </c>
      <c r="E3007" s="25" t="s">
        <v>26307</v>
      </c>
      <c r="F3007" s="9" t="str">
        <f t="shared" si="40"/>
        <v>structure with developmental contribution from neural crest</v>
      </c>
      <c r="G3007" s="9" t="s">
        <v>5090</v>
      </c>
      <c r="H3007" s="9" t="s">
        <v>22129</v>
      </c>
      <c r="I3007" s="9" t="s">
        <v>5617</v>
      </c>
      <c r="J3007" s="9" t="s">
        <v>5618</v>
      </c>
      <c r="K3007" s="4" t="s">
        <v>15175</v>
      </c>
      <c r="L3007" s="13">
        <v>10841</v>
      </c>
      <c r="M3007" t="str">
        <f>VLOOKUP(L3007,[1]Human_BrainSpan!$B$2:$C$4000,2,FALSE)</f>
        <v>A9l3</v>
      </c>
    </row>
    <row r="3008" spans="2:13" x14ac:dyDescent="0.25">
      <c r="B3008" s="31" t="s">
        <v>26299</v>
      </c>
      <c r="C3008" s="25" t="s">
        <v>1636</v>
      </c>
      <c r="D3008" s="25" t="s">
        <v>26232</v>
      </c>
      <c r="E3008" s="25" t="s">
        <v>26307</v>
      </c>
      <c r="F3008" s="9" t="str">
        <f t="shared" si="40"/>
        <v>structure with developmental contribution from neural crest</v>
      </c>
      <c r="G3008" s="9" t="s">
        <v>5090</v>
      </c>
      <c r="H3008" s="9" t="s">
        <v>22130</v>
      </c>
      <c r="I3008" s="9" t="s">
        <v>5619</v>
      </c>
      <c r="J3008" s="9" t="s">
        <v>5620</v>
      </c>
      <c r="K3008" s="4" t="s">
        <v>15175</v>
      </c>
      <c r="L3008" s="13">
        <v>10842</v>
      </c>
      <c r="M3008" t="str">
        <f>VLOOKUP(L3008,[1]Human_BrainSpan!$B$2:$C$4000,2,FALSE)</f>
        <v>A9l4</v>
      </c>
    </row>
    <row r="3009" spans="2:13" x14ac:dyDescent="0.25">
      <c r="B3009" s="31" t="s">
        <v>26299</v>
      </c>
      <c r="C3009" s="25" t="s">
        <v>1636</v>
      </c>
      <c r="D3009" s="25" t="s">
        <v>26232</v>
      </c>
      <c r="E3009" s="25" t="s">
        <v>26307</v>
      </c>
      <c r="F3009" s="9" t="str">
        <f t="shared" si="40"/>
        <v>structure with developmental contribution from neural crest</v>
      </c>
      <c r="G3009" s="9" t="s">
        <v>5090</v>
      </c>
      <c r="H3009" s="9" t="s">
        <v>22131</v>
      </c>
      <c r="I3009" s="9" t="s">
        <v>5621</v>
      </c>
      <c r="J3009" s="9" t="s">
        <v>5622</v>
      </c>
      <c r="K3009" s="4" t="s">
        <v>15175</v>
      </c>
      <c r="L3009" s="13">
        <v>10843</v>
      </c>
      <c r="M3009" t="str">
        <f>VLOOKUP(L3009,[1]Human_BrainSpan!$B$2:$C$4000,2,FALSE)</f>
        <v>A9l5</v>
      </c>
    </row>
    <row r="3010" spans="2:13" x14ac:dyDescent="0.25">
      <c r="B3010" s="31" t="s">
        <v>26299</v>
      </c>
      <c r="C3010" s="25" t="s">
        <v>1636</v>
      </c>
      <c r="D3010" s="25" t="s">
        <v>26232</v>
      </c>
      <c r="E3010" s="25" t="s">
        <v>26307</v>
      </c>
      <c r="F3010" s="9" t="str">
        <f t="shared" si="40"/>
        <v>structure with developmental contribution from neural crest</v>
      </c>
      <c r="G3010" s="9" t="s">
        <v>5090</v>
      </c>
      <c r="H3010" s="9" t="s">
        <v>22132</v>
      </c>
      <c r="I3010" s="9" t="s">
        <v>5623</v>
      </c>
      <c r="J3010" s="9" t="s">
        <v>5624</v>
      </c>
      <c r="K3010" s="4" t="s">
        <v>15175</v>
      </c>
      <c r="L3010" s="13">
        <v>10844</v>
      </c>
      <c r="M3010" t="str">
        <f>VLOOKUP(L3010,[1]Human_BrainSpan!$B$2:$C$4000,2,FALSE)</f>
        <v>A9l6</v>
      </c>
    </row>
    <row r="3011" spans="2:13" x14ac:dyDescent="0.25">
      <c r="B3011" s="31" t="s">
        <v>26299</v>
      </c>
      <c r="C3011" s="25" t="s">
        <v>1636</v>
      </c>
      <c r="D3011" s="25" t="s">
        <v>26232</v>
      </c>
      <c r="E3011" s="25" t="s">
        <v>26307</v>
      </c>
      <c r="F3011" s="9" t="str">
        <f t="shared" si="40"/>
        <v>structure with developmental contribution from neural crest</v>
      </c>
      <c r="G3011" s="9" t="s">
        <v>5090</v>
      </c>
      <c r="H3011" s="9" t="s">
        <v>22134</v>
      </c>
      <c r="I3011" s="9" t="s">
        <v>5625</v>
      </c>
      <c r="J3011" s="9" t="s">
        <v>5626</v>
      </c>
      <c r="K3011" s="4" t="s">
        <v>15175</v>
      </c>
      <c r="L3011" s="13">
        <v>10845</v>
      </c>
      <c r="M3011" t="str">
        <f>VLOOKUP(L3011,[1]Human_BrainSpan!$B$2:$C$4000,2,FALSE)</f>
        <v>A9m1</v>
      </c>
    </row>
    <row r="3012" spans="2:13" x14ac:dyDescent="0.25">
      <c r="B3012" s="31" t="s">
        <v>26299</v>
      </c>
      <c r="C3012" s="25" t="s">
        <v>1636</v>
      </c>
      <c r="D3012" s="25" t="s">
        <v>26232</v>
      </c>
      <c r="E3012" s="25" t="s">
        <v>26307</v>
      </c>
      <c r="F3012" s="9" t="str">
        <f t="shared" si="40"/>
        <v>structure with developmental contribution from neural crest</v>
      </c>
      <c r="G3012" s="9" t="s">
        <v>5090</v>
      </c>
      <c r="H3012" s="9" t="s">
        <v>22135</v>
      </c>
      <c r="I3012" s="9" t="s">
        <v>5627</v>
      </c>
      <c r="J3012" s="9" t="s">
        <v>5628</v>
      </c>
      <c r="K3012" s="4" t="s">
        <v>15175</v>
      </c>
      <c r="L3012" s="13">
        <v>10846</v>
      </c>
      <c r="M3012" t="str">
        <f>VLOOKUP(L3012,[1]Human_BrainSpan!$B$2:$C$4000,2,FALSE)</f>
        <v>A9m2</v>
      </c>
    </row>
    <row r="3013" spans="2:13" x14ac:dyDescent="0.25">
      <c r="B3013" s="31" t="s">
        <v>26299</v>
      </c>
      <c r="C3013" s="25" t="s">
        <v>1636</v>
      </c>
      <c r="D3013" s="25" t="s">
        <v>26232</v>
      </c>
      <c r="E3013" s="25" t="s">
        <v>26307</v>
      </c>
      <c r="F3013" s="9" t="str">
        <f t="shared" si="40"/>
        <v>structure with developmental contribution from neural crest</v>
      </c>
      <c r="G3013" s="9" t="s">
        <v>5090</v>
      </c>
      <c r="H3013" s="9" t="s">
        <v>22136</v>
      </c>
      <c r="I3013" s="9" t="s">
        <v>5629</v>
      </c>
      <c r="J3013" s="9" t="s">
        <v>5630</v>
      </c>
      <c r="K3013" s="4" t="s">
        <v>15175</v>
      </c>
      <c r="L3013" s="13">
        <v>10847</v>
      </c>
      <c r="M3013" t="str">
        <f>VLOOKUP(L3013,[1]Human_BrainSpan!$B$2:$C$4000,2,FALSE)</f>
        <v>A9m3</v>
      </c>
    </row>
    <row r="3014" spans="2:13" x14ac:dyDescent="0.25">
      <c r="B3014" s="31" t="s">
        <v>26299</v>
      </c>
      <c r="C3014" s="25" t="s">
        <v>1636</v>
      </c>
      <c r="D3014" s="25" t="s">
        <v>26232</v>
      </c>
      <c r="E3014" s="25" t="s">
        <v>26307</v>
      </c>
      <c r="F3014" s="9" t="str">
        <f t="shared" si="40"/>
        <v>structure with developmental contribution from neural crest</v>
      </c>
      <c r="G3014" s="9" t="s">
        <v>5090</v>
      </c>
      <c r="H3014" s="9" t="s">
        <v>22137</v>
      </c>
      <c r="I3014" s="9" t="s">
        <v>5631</v>
      </c>
      <c r="J3014" s="9" t="s">
        <v>5632</v>
      </c>
      <c r="K3014" s="4" t="s">
        <v>15175</v>
      </c>
      <c r="L3014" s="13">
        <v>10848</v>
      </c>
      <c r="M3014" t="str">
        <f>VLOOKUP(L3014,[1]Human_BrainSpan!$B$2:$C$4000,2,FALSE)</f>
        <v>A9m4</v>
      </c>
    </row>
    <row r="3015" spans="2:13" x14ac:dyDescent="0.25">
      <c r="B3015" s="31" t="s">
        <v>26299</v>
      </c>
      <c r="C3015" s="25" t="s">
        <v>1636</v>
      </c>
      <c r="D3015" s="25" t="s">
        <v>26232</v>
      </c>
      <c r="E3015" s="25" t="s">
        <v>26307</v>
      </c>
      <c r="F3015" s="9" t="str">
        <f t="shared" si="40"/>
        <v>structure with developmental contribution from neural crest</v>
      </c>
      <c r="G3015" s="9" t="s">
        <v>5090</v>
      </c>
      <c r="H3015" s="9" t="s">
        <v>22138</v>
      </c>
      <c r="I3015" s="9" t="s">
        <v>5633</v>
      </c>
      <c r="J3015" s="9" t="s">
        <v>5634</v>
      </c>
      <c r="K3015" s="4" t="s">
        <v>15175</v>
      </c>
      <c r="L3015" s="13">
        <v>10849</v>
      </c>
      <c r="M3015" t="str">
        <f>VLOOKUP(L3015,[1]Human_BrainSpan!$B$2:$C$4000,2,FALSE)</f>
        <v>A9m5</v>
      </c>
    </row>
    <row r="3016" spans="2:13" x14ac:dyDescent="0.25">
      <c r="B3016" s="31" t="s">
        <v>26299</v>
      </c>
      <c r="C3016" s="25" t="s">
        <v>1636</v>
      </c>
      <c r="D3016" s="25" t="s">
        <v>26232</v>
      </c>
      <c r="E3016" s="25" t="s">
        <v>26307</v>
      </c>
      <c r="F3016" s="9" t="str">
        <f t="shared" si="40"/>
        <v>structure with developmental contribution from neural crest</v>
      </c>
      <c r="G3016" s="9" t="s">
        <v>5090</v>
      </c>
      <c r="H3016" s="9" t="s">
        <v>22139</v>
      </c>
      <c r="I3016" s="9" t="s">
        <v>5635</v>
      </c>
      <c r="J3016" s="9" t="s">
        <v>5636</v>
      </c>
      <c r="K3016" s="4" t="s">
        <v>15175</v>
      </c>
      <c r="L3016" s="13">
        <v>10850</v>
      </c>
      <c r="M3016" t="str">
        <f>VLOOKUP(L3016,[1]Human_BrainSpan!$B$2:$C$4000,2,FALSE)</f>
        <v>A9m6</v>
      </c>
    </row>
    <row r="3017" spans="2:13" x14ac:dyDescent="0.25">
      <c r="B3017" s="31" t="s">
        <v>26299</v>
      </c>
      <c r="C3017" s="25" t="s">
        <v>1636</v>
      </c>
      <c r="D3017" s="25" t="s">
        <v>26232</v>
      </c>
      <c r="E3017" s="25" t="s">
        <v>26307</v>
      </c>
      <c r="F3017" s="9" t="str">
        <f t="shared" si="40"/>
        <v>structure with developmental contribution from neural crest</v>
      </c>
      <c r="G3017" s="9" t="s">
        <v>5090</v>
      </c>
      <c r="H3017" s="9" t="s">
        <v>22142</v>
      </c>
      <c r="I3017" s="9" t="s">
        <v>5637</v>
      </c>
      <c r="J3017" s="9" t="s">
        <v>5638</v>
      </c>
      <c r="K3017" s="4" t="s">
        <v>15175</v>
      </c>
      <c r="L3017" s="13">
        <v>10851</v>
      </c>
      <c r="M3017" t="str">
        <f>VLOOKUP(L3017,[1]Human_BrainSpan!$B$2:$C$4000,2,FALSE)</f>
        <v>A9/46d1</v>
      </c>
    </row>
    <row r="3018" spans="2:13" x14ac:dyDescent="0.25">
      <c r="B3018" s="31" t="s">
        <v>26299</v>
      </c>
      <c r="C3018" s="25" t="s">
        <v>1636</v>
      </c>
      <c r="D3018" s="25" t="s">
        <v>26232</v>
      </c>
      <c r="E3018" s="25" t="s">
        <v>26307</v>
      </c>
      <c r="F3018" s="9" t="str">
        <f t="shared" si="40"/>
        <v>structure with developmental contribution from neural crest</v>
      </c>
      <c r="G3018" s="9" t="s">
        <v>5090</v>
      </c>
      <c r="H3018" s="9" t="s">
        <v>22143</v>
      </c>
      <c r="I3018" s="9" t="s">
        <v>5639</v>
      </c>
      <c r="J3018" s="9" t="s">
        <v>5640</v>
      </c>
      <c r="K3018" s="4" t="s">
        <v>15175</v>
      </c>
      <c r="L3018" s="13">
        <v>10852</v>
      </c>
      <c r="M3018" t="str">
        <f>VLOOKUP(L3018,[1]Human_BrainSpan!$B$2:$C$4000,2,FALSE)</f>
        <v>A9/46d2</v>
      </c>
    </row>
    <row r="3019" spans="2:13" x14ac:dyDescent="0.25">
      <c r="B3019" s="31" t="s">
        <v>26299</v>
      </c>
      <c r="C3019" s="25" t="s">
        <v>1636</v>
      </c>
      <c r="D3019" s="25" t="s">
        <v>26232</v>
      </c>
      <c r="E3019" s="25" t="s">
        <v>26307</v>
      </c>
      <c r="F3019" s="9" t="str">
        <f t="shared" si="40"/>
        <v>structure with developmental contribution from neural crest</v>
      </c>
      <c r="G3019" s="9" t="s">
        <v>5090</v>
      </c>
      <c r="H3019" s="9" t="s">
        <v>22144</v>
      </c>
      <c r="I3019" s="9" t="s">
        <v>5641</v>
      </c>
      <c r="J3019" s="9" t="s">
        <v>5642</v>
      </c>
      <c r="K3019" s="4" t="s">
        <v>15175</v>
      </c>
      <c r="L3019" s="13">
        <v>10853</v>
      </c>
      <c r="M3019" t="str">
        <f>VLOOKUP(L3019,[1]Human_BrainSpan!$B$2:$C$4000,2,FALSE)</f>
        <v>A9/46d3</v>
      </c>
    </row>
    <row r="3020" spans="2:13" x14ac:dyDescent="0.25">
      <c r="B3020" s="31" t="s">
        <v>26299</v>
      </c>
      <c r="C3020" s="25" t="s">
        <v>1636</v>
      </c>
      <c r="D3020" s="25" t="s">
        <v>26232</v>
      </c>
      <c r="E3020" s="25" t="s">
        <v>26307</v>
      </c>
      <c r="F3020" s="9" t="str">
        <f t="shared" si="40"/>
        <v>structure with developmental contribution from neural crest</v>
      </c>
      <c r="G3020" s="9" t="s">
        <v>5090</v>
      </c>
      <c r="H3020" s="9" t="s">
        <v>22145</v>
      </c>
      <c r="I3020" s="9" t="s">
        <v>5643</v>
      </c>
      <c r="J3020" s="9" t="s">
        <v>5644</v>
      </c>
      <c r="K3020" s="4" t="s">
        <v>15175</v>
      </c>
      <c r="L3020" s="13">
        <v>10854</v>
      </c>
      <c r="M3020" t="str">
        <f>VLOOKUP(L3020,[1]Human_BrainSpan!$B$2:$C$4000,2,FALSE)</f>
        <v>A9/46d4</v>
      </c>
    </row>
    <row r="3021" spans="2:13" x14ac:dyDescent="0.25">
      <c r="B3021" s="31" t="s">
        <v>26299</v>
      </c>
      <c r="C3021" s="25" t="s">
        <v>1636</v>
      </c>
      <c r="D3021" s="25" t="s">
        <v>26232</v>
      </c>
      <c r="E3021" s="25" t="s">
        <v>26307</v>
      </c>
      <c r="F3021" s="9" t="str">
        <f t="shared" si="40"/>
        <v>structure with developmental contribution from neural crest</v>
      </c>
      <c r="G3021" s="9" t="s">
        <v>5090</v>
      </c>
      <c r="H3021" s="9" t="s">
        <v>22146</v>
      </c>
      <c r="I3021" s="9" t="s">
        <v>5645</v>
      </c>
      <c r="J3021" s="9" t="s">
        <v>5646</v>
      </c>
      <c r="K3021" s="4" t="s">
        <v>15175</v>
      </c>
      <c r="L3021" s="13">
        <v>10855</v>
      </c>
      <c r="M3021" t="str">
        <f>VLOOKUP(L3021,[1]Human_BrainSpan!$B$2:$C$4000,2,FALSE)</f>
        <v>A9/46d5</v>
      </c>
    </row>
    <row r="3022" spans="2:13" x14ac:dyDescent="0.25">
      <c r="B3022" s="31" t="s">
        <v>26299</v>
      </c>
      <c r="C3022" s="25" t="s">
        <v>1636</v>
      </c>
      <c r="D3022" s="25" t="s">
        <v>26232</v>
      </c>
      <c r="E3022" s="25" t="s">
        <v>26307</v>
      </c>
      <c r="F3022" s="9" t="str">
        <f t="shared" si="40"/>
        <v>structure with developmental contribution from neural crest</v>
      </c>
      <c r="G3022" s="9" t="s">
        <v>5090</v>
      </c>
      <c r="H3022" s="9" t="s">
        <v>22147</v>
      </c>
      <c r="I3022" s="9" t="s">
        <v>5647</v>
      </c>
      <c r="J3022" s="9" t="s">
        <v>5648</v>
      </c>
      <c r="K3022" s="4" t="s">
        <v>15175</v>
      </c>
      <c r="L3022" s="13">
        <v>10856</v>
      </c>
      <c r="M3022" t="str">
        <f>VLOOKUP(L3022,[1]Human_BrainSpan!$B$2:$C$4000,2,FALSE)</f>
        <v>A9/46d6</v>
      </c>
    </row>
    <row r="3023" spans="2:13" x14ac:dyDescent="0.25">
      <c r="B3023" s="31" t="s">
        <v>26299</v>
      </c>
      <c r="C3023" s="25" t="s">
        <v>1636</v>
      </c>
      <c r="D3023" s="25" t="s">
        <v>26232</v>
      </c>
      <c r="E3023" s="25" t="s">
        <v>26307</v>
      </c>
      <c r="F3023" s="9" t="str">
        <f t="shared" si="40"/>
        <v>structure with developmental contribution from neural crest</v>
      </c>
      <c r="G3023" s="9" t="s">
        <v>5090</v>
      </c>
      <c r="H3023" s="9" t="s">
        <v>22149</v>
      </c>
      <c r="I3023" s="9" t="s">
        <v>5649</v>
      </c>
      <c r="J3023" s="9" t="s">
        <v>5650</v>
      </c>
      <c r="K3023" s="4" t="s">
        <v>15175</v>
      </c>
      <c r="L3023" s="13">
        <v>10857</v>
      </c>
      <c r="M3023" t="str">
        <f>VLOOKUP(L3023,[1]Human_BrainSpan!$B$2:$C$4000,2,FALSE)</f>
        <v>A9/46v1</v>
      </c>
    </row>
    <row r="3024" spans="2:13" x14ac:dyDescent="0.25">
      <c r="B3024" s="31" t="s">
        <v>26299</v>
      </c>
      <c r="C3024" s="25" t="s">
        <v>1636</v>
      </c>
      <c r="D3024" s="25" t="s">
        <v>26232</v>
      </c>
      <c r="E3024" s="25" t="s">
        <v>26307</v>
      </c>
      <c r="F3024" s="9" t="str">
        <f t="shared" si="40"/>
        <v>structure with developmental contribution from neural crest</v>
      </c>
      <c r="G3024" s="9" t="s">
        <v>5090</v>
      </c>
      <c r="H3024" s="9" t="s">
        <v>22150</v>
      </c>
      <c r="I3024" s="9" t="s">
        <v>5651</v>
      </c>
      <c r="J3024" s="9" t="s">
        <v>5652</v>
      </c>
      <c r="K3024" s="4" t="s">
        <v>15175</v>
      </c>
      <c r="L3024" s="13">
        <v>10858</v>
      </c>
      <c r="M3024" t="str">
        <f>VLOOKUP(L3024,[1]Human_BrainSpan!$B$2:$C$4000,2,FALSE)</f>
        <v>A9/46v2</v>
      </c>
    </row>
    <row r="3025" spans="2:13" x14ac:dyDescent="0.25">
      <c r="B3025" s="31" t="s">
        <v>26299</v>
      </c>
      <c r="C3025" s="25" t="s">
        <v>1636</v>
      </c>
      <c r="D3025" s="25" t="s">
        <v>26232</v>
      </c>
      <c r="E3025" s="25" t="s">
        <v>26307</v>
      </c>
      <c r="F3025" s="9" t="str">
        <f t="shared" si="40"/>
        <v>structure with developmental contribution from neural crest</v>
      </c>
      <c r="G3025" s="9" t="s">
        <v>5090</v>
      </c>
      <c r="H3025" s="9" t="s">
        <v>22151</v>
      </c>
      <c r="I3025" s="9" t="s">
        <v>5653</v>
      </c>
      <c r="J3025" s="9" t="s">
        <v>5654</v>
      </c>
      <c r="K3025" s="4" t="s">
        <v>15175</v>
      </c>
      <c r="L3025" s="13">
        <v>10859</v>
      </c>
      <c r="M3025" t="str">
        <f>VLOOKUP(L3025,[1]Human_BrainSpan!$B$2:$C$4000,2,FALSE)</f>
        <v>A9/46v3</v>
      </c>
    </row>
    <row r="3026" spans="2:13" x14ac:dyDescent="0.25">
      <c r="B3026" s="31" t="s">
        <v>26299</v>
      </c>
      <c r="C3026" s="25" t="s">
        <v>1636</v>
      </c>
      <c r="D3026" s="25" t="s">
        <v>26232</v>
      </c>
      <c r="E3026" s="25" t="s">
        <v>26307</v>
      </c>
      <c r="F3026" s="9" t="str">
        <f t="shared" si="40"/>
        <v>structure with developmental contribution from neural crest</v>
      </c>
      <c r="G3026" s="9" t="s">
        <v>5090</v>
      </c>
      <c r="H3026" s="9" t="s">
        <v>22152</v>
      </c>
      <c r="I3026" s="9" t="s">
        <v>5655</v>
      </c>
      <c r="J3026" s="9" t="s">
        <v>5656</v>
      </c>
      <c r="K3026" s="4" t="s">
        <v>15175</v>
      </c>
      <c r="L3026" s="13">
        <v>10860</v>
      </c>
      <c r="M3026" t="str">
        <f>VLOOKUP(L3026,[1]Human_BrainSpan!$B$2:$C$4000,2,FALSE)</f>
        <v>A9/46v4</v>
      </c>
    </row>
    <row r="3027" spans="2:13" x14ac:dyDescent="0.25">
      <c r="B3027" s="31" t="s">
        <v>26299</v>
      </c>
      <c r="C3027" s="25" t="s">
        <v>1636</v>
      </c>
      <c r="D3027" s="25" t="s">
        <v>26232</v>
      </c>
      <c r="E3027" s="25" t="s">
        <v>26307</v>
      </c>
      <c r="F3027" s="9" t="str">
        <f t="shared" si="40"/>
        <v>structure with developmental contribution from neural crest</v>
      </c>
      <c r="G3027" s="9" t="s">
        <v>5090</v>
      </c>
      <c r="H3027" s="9" t="s">
        <v>22153</v>
      </c>
      <c r="I3027" s="9" t="s">
        <v>5657</v>
      </c>
      <c r="J3027" s="9" t="s">
        <v>5658</v>
      </c>
      <c r="K3027" s="4" t="s">
        <v>15175</v>
      </c>
      <c r="L3027" s="13">
        <v>10861</v>
      </c>
      <c r="M3027" t="str">
        <f>VLOOKUP(L3027,[1]Human_BrainSpan!$B$2:$C$4000,2,FALSE)</f>
        <v>A9/46v5</v>
      </c>
    </row>
    <row r="3028" spans="2:13" x14ac:dyDescent="0.25">
      <c r="B3028" s="31" t="s">
        <v>26299</v>
      </c>
      <c r="C3028" s="25" t="s">
        <v>1636</v>
      </c>
      <c r="D3028" s="25" t="s">
        <v>26232</v>
      </c>
      <c r="E3028" s="25" t="s">
        <v>26307</v>
      </c>
      <c r="F3028" s="9" t="str">
        <f t="shared" si="40"/>
        <v>structure with developmental contribution from neural crest</v>
      </c>
      <c r="G3028" s="9" t="s">
        <v>5090</v>
      </c>
      <c r="H3028" s="9" t="s">
        <v>22154</v>
      </c>
      <c r="I3028" s="9" t="s">
        <v>5659</v>
      </c>
      <c r="J3028" s="9" t="s">
        <v>5660</v>
      </c>
      <c r="K3028" s="4" t="s">
        <v>15175</v>
      </c>
      <c r="L3028" s="13">
        <v>10862</v>
      </c>
      <c r="M3028" t="str">
        <f>VLOOKUP(L3028,[1]Human_BrainSpan!$B$2:$C$4000,2,FALSE)</f>
        <v>A9/46v6</v>
      </c>
    </row>
    <row r="3029" spans="2:13" x14ac:dyDescent="0.25">
      <c r="B3029" s="31" t="s">
        <v>26299</v>
      </c>
      <c r="C3029" s="25" t="s">
        <v>1636</v>
      </c>
      <c r="D3029" s="25" t="s">
        <v>26232</v>
      </c>
      <c r="E3029" s="25"/>
      <c r="F3029" s="9" t="str">
        <f t="shared" si="40"/>
        <v>structure with developmental contribution from neural crest</v>
      </c>
      <c r="G3029" s="9" t="s">
        <v>5090</v>
      </c>
      <c r="H3029" s="9" t="s">
        <v>22156</v>
      </c>
      <c r="I3029" s="9" t="s">
        <v>5661</v>
      </c>
      <c r="J3029" s="9" t="s">
        <v>5662</v>
      </c>
      <c r="K3029" s="4" t="s">
        <v>15175</v>
      </c>
      <c r="L3029" s="13">
        <v>10863</v>
      </c>
      <c r="M3029" t="str">
        <f>VLOOKUP(L3029,[1]Human_BrainSpan!$B$2:$C$4000,2,FALSE)</f>
        <v>A46d</v>
      </c>
    </row>
    <row r="3030" spans="2:13" x14ac:dyDescent="0.25">
      <c r="B3030" s="31" t="s">
        <v>26299</v>
      </c>
      <c r="C3030" s="25" t="s">
        <v>1636</v>
      </c>
      <c r="D3030" s="25" t="s">
        <v>26232</v>
      </c>
      <c r="E3030" s="25" t="s">
        <v>26306</v>
      </c>
      <c r="F3030" s="9" t="str">
        <f t="shared" si="40"/>
        <v>structure with developmental contribution from neural crest</v>
      </c>
      <c r="G3030" s="9" t="s">
        <v>5090</v>
      </c>
      <c r="H3030" s="9" t="s">
        <v>22157</v>
      </c>
      <c r="I3030" s="9" t="s">
        <v>5663</v>
      </c>
      <c r="J3030" s="9" t="s">
        <v>5664</v>
      </c>
      <c r="K3030" s="4" t="s">
        <v>15175</v>
      </c>
      <c r="L3030" s="13">
        <v>10864</v>
      </c>
      <c r="M3030" t="str">
        <f>VLOOKUP(L3030,[1]Human_BrainSpan!$B$2:$C$4000,2,FALSE)</f>
        <v>A46d1</v>
      </c>
    </row>
    <row r="3031" spans="2:13" x14ac:dyDescent="0.25">
      <c r="B3031" s="31" t="s">
        <v>26299</v>
      </c>
      <c r="C3031" s="25" t="s">
        <v>1636</v>
      </c>
      <c r="D3031" s="25" t="s">
        <v>26232</v>
      </c>
      <c r="E3031" s="25" t="s">
        <v>26306</v>
      </c>
      <c r="F3031" s="9" t="str">
        <f t="shared" si="40"/>
        <v>structure with developmental contribution from neural crest</v>
      </c>
      <c r="G3031" s="9" t="s">
        <v>5090</v>
      </c>
      <c r="H3031" s="9" t="s">
        <v>22158</v>
      </c>
      <c r="I3031" s="9" t="s">
        <v>5665</v>
      </c>
      <c r="J3031" s="9" t="s">
        <v>5666</v>
      </c>
      <c r="K3031" s="4" t="s">
        <v>15175</v>
      </c>
      <c r="L3031" s="13">
        <v>10865</v>
      </c>
      <c r="M3031" t="str">
        <f>VLOOKUP(L3031,[1]Human_BrainSpan!$B$2:$C$4000,2,FALSE)</f>
        <v>A46d2</v>
      </c>
    </row>
    <row r="3032" spans="2:13" x14ac:dyDescent="0.25">
      <c r="B3032" s="31" t="s">
        <v>26299</v>
      </c>
      <c r="C3032" s="25" t="s">
        <v>1636</v>
      </c>
      <c r="D3032" s="25" t="s">
        <v>26232</v>
      </c>
      <c r="E3032" s="25" t="s">
        <v>26306</v>
      </c>
      <c r="F3032" s="9" t="str">
        <f t="shared" si="40"/>
        <v>structure with developmental contribution from neural crest</v>
      </c>
      <c r="G3032" s="9" t="s">
        <v>5090</v>
      </c>
      <c r="H3032" s="9" t="s">
        <v>22159</v>
      </c>
      <c r="I3032" s="9" t="s">
        <v>5667</v>
      </c>
      <c r="J3032" s="9" t="s">
        <v>5668</v>
      </c>
      <c r="K3032" s="4" t="s">
        <v>15175</v>
      </c>
      <c r="L3032" s="13">
        <v>10866</v>
      </c>
      <c r="M3032" t="str">
        <f>VLOOKUP(L3032,[1]Human_BrainSpan!$B$2:$C$4000,2,FALSE)</f>
        <v>A46d3</v>
      </c>
    </row>
    <row r="3033" spans="2:13" x14ac:dyDescent="0.25">
      <c r="B3033" s="31" t="s">
        <v>26299</v>
      </c>
      <c r="C3033" s="25" t="s">
        <v>1636</v>
      </c>
      <c r="D3033" s="25" t="s">
        <v>26232</v>
      </c>
      <c r="E3033" s="25" t="s">
        <v>26306</v>
      </c>
      <c r="F3033" s="9" t="str">
        <f t="shared" si="40"/>
        <v>structure with developmental contribution from neural crest</v>
      </c>
      <c r="G3033" s="9" t="s">
        <v>5090</v>
      </c>
      <c r="H3033" s="9" t="s">
        <v>22160</v>
      </c>
      <c r="I3033" s="9" t="s">
        <v>5669</v>
      </c>
      <c r="J3033" s="9" t="s">
        <v>5670</v>
      </c>
      <c r="K3033" s="4" t="s">
        <v>15175</v>
      </c>
      <c r="L3033" s="13">
        <v>10867</v>
      </c>
      <c r="M3033" t="str">
        <f>VLOOKUP(L3033,[1]Human_BrainSpan!$B$2:$C$4000,2,FALSE)</f>
        <v>A46d4</v>
      </c>
    </row>
    <row r="3034" spans="2:13" x14ac:dyDescent="0.25">
      <c r="B3034" s="31" t="s">
        <v>26299</v>
      </c>
      <c r="C3034" s="25" t="s">
        <v>1636</v>
      </c>
      <c r="D3034" s="25" t="s">
        <v>26232</v>
      </c>
      <c r="E3034" s="25" t="s">
        <v>26306</v>
      </c>
      <c r="F3034" s="9" t="str">
        <f t="shared" si="40"/>
        <v>structure with developmental contribution from neural crest</v>
      </c>
      <c r="G3034" s="9" t="s">
        <v>5090</v>
      </c>
      <c r="H3034" s="9" t="s">
        <v>22161</v>
      </c>
      <c r="I3034" s="9" t="s">
        <v>5671</v>
      </c>
      <c r="J3034" s="9" t="s">
        <v>5672</v>
      </c>
      <c r="K3034" s="4" t="s">
        <v>15175</v>
      </c>
      <c r="L3034" s="13">
        <v>10868</v>
      </c>
      <c r="M3034" t="str">
        <f>VLOOKUP(L3034,[1]Human_BrainSpan!$B$2:$C$4000,2,FALSE)</f>
        <v>A46d5</v>
      </c>
    </row>
    <row r="3035" spans="2:13" x14ac:dyDescent="0.25">
      <c r="B3035" s="31" t="s">
        <v>26299</v>
      </c>
      <c r="C3035" s="25" t="s">
        <v>1636</v>
      </c>
      <c r="D3035" s="25" t="s">
        <v>26232</v>
      </c>
      <c r="E3035" s="25" t="s">
        <v>26306</v>
      </c>
      <c r="F3035" s="9" t="str">
        <f t="shared" si="40"/>
        <v>structure with developmental contribution from neural crest</v>
      </c>
      <c r="G3035" s="9" t="s">
        <v>5090</v>
      </c>
      <c r="H3035" s="9" t="s">
        <v>22162</v>
      </c>
      <c r="I3035" s="9" t="s">
        <v>5673</v>
      </c>
      <c r="J3035" s="9" t="s">
        <v>5674</v>
      </c>
      <c r="K3035" s="4" t="s">
        <v>15175</v>
      </c>
      <c r="L3035" s="13">
        <v>10869</v>
      </c>
      <c r="M3035" t="str">
        <f>VLOOKUP(L3035,[1]Human_BrainSpan!$B$2:$C$4000,2,FALSE)</f>
        <v>A46d6</v>
      </c>
    </row>
    <row r="3036" spans="2:13" x14ac:dyDescent="0.25">
      <c r="B3036" s="31" t="s">
        <v>26299</v>
      </c>
      <c r="C3036" s="25" t="s">
        <v>1636</v>
      </c>
      <c r="D3036" s="25" t="s">
        <v>26232</v>
      </c>
      <c r="E3036" s="25"/>
      <c r="F3036" s="9" t="str">
        <f t="shared" si="40"/>
        <v>structure with developmental contribution from neural crest</v>
      </c>
      <c r="G3036" s="9" t="s">
        <v>5090</v>
      </c>
      <c r="H3036" s="9" t="s">
        <v>22163</v>
      </c>
      <c r="I3036" s="9" t="s">
        <v>5675</v>
      </c>
      <c r="J3036" s="9" t="s">
        <v>5676</v>
      </c>
      <c r="K3036" s="4" t="s">
        <v>15175</v>
      </c>
      <c r="L3036" s="13">
        <v>10870</v>
      </c>
      <c r="M3036" t="str">
        <f>VLOOKUP(L3036,[1]Human_BrainSpan!$B$2:$C$4000,2,FALSE)</f>
        <v>A46v</v>
      </c>
    </row>
    <row r="3037" spans="2:13" x14ac:dyDescent="0.25">
      <c r="B3037" s="31" t="s">
        <v>26299</v>
      </c>
      <c r="C3037" s="25" t="s">
        <v>1636</v>
      </c>
      <c r="D3037" s="25" t="s">
        <v>26232</v>
      </c>
      <c r="E3037" s="25" t="s">
        <v>26306</v>
      </c>
      <c r="F3037" s="9" t="str">
        <f t="shared" si="40"/>
        <v>structure with developmental contribution from neural crest</v>
      </c>
      <c r="G3037" s="9" t="s">
        <v>5090</v>
      </c>
      <c r="H3037" s="9" t="s">
        <v>22164</v>
      </c>
      <c r="I3037" s="9" t="s">
        <v>5677</v>
      </c>
      <c r="J3037" s="9" t="s">
        <v>5678</v>
      </c>
      <c r="K3037" s="4" t="s">
        <v>15175</v>
      </c>
      <c r="L3037" s="13">
        <v>10871</v>
      </c>
      <c r="M3037" t="str">
        <f>VLOOKUP(L3037,[1]Human_BrainSpan!$B$2:$C$4000,2,FALSE)</f>
        <v>A46v1</v>
      </c>
    </row>
    <row r="3038" spans="2:13" x14ac:dyDescent="0.25">
      <c r="B3038" s="31" t="s">
        <v>26299</v>
      </c>
      <c r="C3038" s="25" t="s">
        <v>1636</v>
      </c>
      <c r="D3038" s="25" t="s">
        <v>26232</v>
      </c>
      <c r="E3038" s="25" t="s">
        <v>26306</v>
      </c>
      <c r="F3038" s="9" t="str">
        <f t="shared" si="40"/>
        <v>structure with developmental contribution from neural crest</v>
      </c>
      <c r="G3038" s="9" t="s">
        <v>5090</v>
      </c>
      <c r="H3038" s="9" t="s">
        <v>22165</v>
      </c>
      <c r="I3038" s="9" t="s">
        <v>5679</v>
      </c>
      <c r="J3038" s="9" t="s">
        <v>5680</v>
      </c>
      <c r="K3038" s="4" t="s">
        <v>15175</v>
      </c>
      <c r="L3038" s="13">
        <v>10872</v>
      </c>
      <c r="M3038" t="str">
        <f>VLOOKUP(L3038,[1]Human_BrainSpan!$B$2:$C$4000,2,FALSE)</f>
        <v>A46v2</v>
      </c>
    </row>
    <row r="3039" spans="2:13" x14ac:dyDescent="0.25">
      <c r="B3039" s="31" t="s">
        <v>26299</v>
      </c>
      <c r="C3039" s="25" t="s">
        <v>1636</v>
      </c>
      <c r="D3039" s="25" t="s">
        <v>26232</v>
      </c>
      <c r="E3039" s="25" t="s">
        <v>26306</v>
      </c>
      <c r="F3039" s="9" t="str">
        <f t="shared" si="40"/>
        <v>structure with developmental contribution from neural crest</v>
      </c>
      <c r="G3039" s="9" t="s">
        <v>5090</v>
      </c>
      <c r="H3039" s="9" t="s">
        <v>22166</v>
      </c>
      <c r="I3039" s="9" t="s">
        <v>5681</v>
      </c>
      <c r="J3039" s="9" t="s">
        <v>5682</v>
      </c>
      <c r="K3039" s="4" t="s">
        <v>15175</v>
      </c>
      <c r="L3039" s="13">
        <v>10873</v>
      </c>
      <c r="M3039" t="str">
        <f>VLOOKUP(L3039,[1]Human_BrainSpan!$B$2:$C$4000,2,FALSE)</f>
        <v>A46v3</v>
      </c>
    </row>
    <row r="3040" spans="2:13" x14ac:dyDescent="0.25">
      <c r="B3040" s="31" t="s">
        <v>26299</v>
      </c>
      <c r="C3040" s="25" t="s">
        <v>1636</v>
      </c>
      <c r="D3040" s="25" t="s">
        <v>26232</v>
      </c>
      <c r="E3040" s="25" t="s">
        <v>26306</v>
      </c>
      <c r="F3040" s="9" t="str">
        <f t="shared" si="40"/>
        <v>structure with developmental contribution from neural crest</v>
      </c>
      <c r="G3040" s="9" t="s">
        <v>5090</v>
      </c>
      <c r="H3040" s="9" t="s">
        <v>22167</v>
      </c>
      <c r="I3040" s="9" t="s">
        <v>5683</v>
      </c>
      <c r="J3040" s="9" t="s">
        <v>5684</v>
      </c>
      <c r="K3040" s="4" t="s">
        <v>15175</v>
      </c>
      <c r="L3040" s="13">
        <v>10874</v>
      </c>
      <c r="M3040" t="str">
        <f>VLOOKUP(L3040,[1]Human_BrainSpan!$B$2:$C$4000,2,FALSE)</f>
        <v>A46v4</v>
      </c>
    </row>
    <row r="3041" spans="2:13" x14ac:dyDescent="0.25">
      <c r="B3041" s="31" t="s">
        <v>26299</v>
      </c>
      <c r="C3041" s="25" t="s">
        <v>1636</v>
      </c>
      <c r="D3041" s="25" t="s">
        <v>26232</v>
      </c>
      <c r="E3041" s="25" t="s">
        <v>26306</v>
      </c>
      <c r="F3041" s="9" t="str">
        <f t="shared" si="40"/>
        <v>structure with developmental contribution from neural crest</v>
      </c>
      <c r="G3041" s="9" t="s">
        <v>5090</v>
      </c>
      <c r="H3041" s="9" t="s">
        <v>22168</v>
      </c>
      <c r="I3041" s="9" t="s">
        <v>5685</v>
      </c>
      <c r="J3041" s="9" t="s">
        <v>5686</v>
      </c>
      <c r="K3041" s="4" t="s">
        <v>15175</v>
      </c>
      <c r="L3041" s="13">
        <v>10875</v>
      </c>
      <c r="M3041" t="str">
        <f>VLOOKUP(L3041,[1]Human_BrainSpan!$B$2:$C$4000,2,FALSE)</f>
        <v>A46v5</v>
      </c>
    </row>
    <row r="3042" spans="2:13" x14ac:dyDescent="0.25">
      <c r="B3042" s="31" t="s">
        <v>26299</v>
      </c>
      <c r="C3042" s="25" t="s">
        <v>1636</v>
      </c>
      <c r="D3042" s="25" t="s">
        <v>26232</v>
      </c>
      <c r="E3042" s="25" t="s">
        <v>26306</v>
      </c>
      <c r="F3042" s="9" t="str">
        <f t="shared" si="40"/>
        <v>structure with developmental contribution from neural crest</v>
      </c>
      <c r="G3042" s="9" t="s">
        <v>5090</v>
      </c>
      <c r="H3042" s="9" t="s">
        <v>22169</v>
      </c>
      <c r="I3042" s="9" t="s">
        <v>5687</v>
      </c>
      <c r="J3042" s="9" t="s">
        <v>5688</v>
      </c>
      <c r="K3042" s="4" t="s">
        <v>15175</v>
      </c>
      <c r="L3042" s="13">
        <v>10876</v>
      </c>
      <c r="M3042" t="str">
        <f>VLOOKUP(L3042,[1]Human_BrainSpan!$B$2:$C$4000,2,FALSE)</f>
        <v>A46v6</v>
      </c>
    </row>
    <row r="3043" spans="2:13" x14ac:dyDescent="0.25">
      <c r="B3043" s="31" t="s">
        <v>26303</v>
      </c>
      <c r="C3043" s="20"/>
      <c r="D3043" s="25" t="s">
        <v>26232</v>
      </c>
      <c r="E3043" s="25" t="s">
        <v>26307</v>
      </c>
      <c r="F3043" s="9" t="str">
        <f t="shared" si="40"/>
        <v>structure with developmental contribution from neural crest</v>
      </c>
      <c r="G3043" s="9" t="s">
        <v>5090</v>
      </c>
      <c r="H3043" s="9" t="s">
        <v>22195</v>
      </c>
      <c r="I3043" s="9" t="s">
        <v>5689</v>
      </c>
      <c r="J3043" s="9" t="s">
        <v>5690</v>
      </c>
      <c r="K3043" s="4" t="s">
        <v>15175</v>
      </c>
      <c r="L3043" s="13">
        <v>10883</v>
      </c>
      <c r="M3043" t="str">
        <f>VLOOKUP(L3043,[1]Human_BrainSpan!$B$2:$C$4000,2,FALSE)</f>
        <v>A45r1</v>
      </c>
    </row>
    <row r="3044" spans="2:13" x14ac:dyDescent="0.25">
      <c r="B3044" s="31" t="s">
        <v>26303</v>
      </c>
      <c r="C3044" s="20"/>
      <c r="D3044" s="25" t="s">
        <v>26232</v>
      </c>
      <c r="E3044" s="25" t="s">
        <v>26307</v>
      </c>
      <c r="F3044" s="9" t="str">
        <f t="shared" si="40"/>
        <v>structure with developmental contribution from neural crest</v>
      </c>
      <c r="G3044" s="9" t="s">
        <v>5090</v>
      </c>
      <c r="H3044" s="9" t="s">
        <v>22196</v>
      </c>
      <c r="I3044" s="9" t="s">
        <v>5691</v>
      </c>
      <c r="J3044" s="9" t="s">
        <v>5692</v>
      </c>
      <c r="K3044" s="4" t="s">
        <v>15175</v>
      </c>
      <c r="L3044" s="13">
        <v>10884</v>
      </c>
      <c r="M3044" t="str">
        <f>VLOOKUP(L3044,[1]Human_BrainSpan!$B$2:$C$4000,2,FALSE)</f>
        <v>A45r2</v>
      </c>
    </row>
    <row r="3045" spans="2:13" x14ac:dyDescent="0.25">
      <c r="B3045" s="31" t="s">
        <v>26303</v>
      </c>
      <c r="C3045" s="20"/>
      <c r="D3045" s="25" t="s">
        <v>26232</v>
      </c>
      <c r="E3045" s="25" t="s">
        <v>26307</v>
      </c>
      <c r="F3045" s="9" t="str">
        <f t="shared" si="40"/>
        <v>structure with developmental contribution from neural crest</v>
      </c>
      <c r="G3045" s="9" t="s">
        <v>5090</v>
      </c>
      <c r="H3045" s="9" t="s">
        <v>22197</v>
      </c>
      <c r="I3045" s="9" t="s">
        <v>5693</v>
      </c>
      <c r="J3045" s="9" t="s">
        <v>5694</v>
      </c>
      <c r="K3045" s="4" t="s">
        <v>15175</v>
      </c>
      <c r="L3045" s="13">
        <v>10885</v>
      </c>
      <c r="M3045" t="str">
        <f>VLOOKUP(L3045,[1]Human_BrainSpan!$B$2:$C$4000,2,FALSE)</f>
        <v>A45r3</v>
      </c>
    </row>
    <row r="3046" spans="2:13" x14ac:dyDescent="0.25">
      <c r="B3046" s="31" t="s">
        <v>26303</v>
      </c>
      <c r="C3046" s="20"/>
      <c r="D3046" s="25" t="s">
        <v>26232</v>
      </c>
      <c r="E3046" s="25" t="s">
        <v>26307</v>
      </c>
      <c r="F3046" s="9" t="str">
        <f t="shared" si="40"/>
        <v>structure with developmental contribution from neural crest</v>
      </c>
      <c r="G3046" s="9" t="s">
        <v>5090</v>
      </c>
      <c r="H3046" s="9" t="s">
        <v>22198</v>
      </c>
      <c r="I3046" s="9" t="s">
        <v>5695</v>
      </c>
      <c r="J3046" s="9" t="s">
        <v>5696</v>
      </c>
      <c r="K3046" s="4" t="s">
        <v>15175</v>
      </c>
      <c r="L3046" s="13">
        <v>10886</v>
      </c>
      <c r="M3046" t="str">
        <f>VLOOKUP(L3046,[1]Human_BrainSpan!$B$2:$C$4000,2,FALSE)</f>
        <v>A45r4</v>
      </c>
    </row>
    <row r="3047" spans="2:13" x14ac:dyDescent="0.25">
      <c r="B3047" s="31" t="s">
        <v>26303</v>
      </c>
      <c r="C3047" s="20"/>
      <c r="D3047" s="25" t="s">
        <v>26232</v>
      </c>
      <c r="E3047" s="25" t="s">
        <v>26307</v>
      </c>
      <c r="F3047" s="9" t="str">
        <f t="shared" si="40"/>
        <v>structure with developmental contribution from neural crest</v>
      </c>
      <c r="G3047" s="9" t="s">
        <v>5090</v>
      </c>
      <c r="H3047" s="9" t="s">
        <v>22199</v>
      </c>
      <c r="I3047" s="9" t="s">
        <v>5697</v>
      </c>
      <c r="J3047" s="9" t="s">
        <v>5698</v>
      </c>
      <c r="K3047" s="4" t="s">
        <v>15175</v>
      </c>
      <c r="L3047" s="13">
        <v>10887</v>
      </c>
      <c r="M3047" t="str">
        <f>VLOOKUP(L3047,[1]Human_BrainSpan!$B$2:$C$4000,2,FALSE)</f>
        <v>A45r5</v>
      </c>
    </row>
    <row r="3048" spans="2:13" x14ac:dyDescent="0.25">
      <c r="B3048" s="31" t="s">
        <v>26303</v>
      </c>
      <c r="C3048" s="20"/>
      <c r="D3048" s="25" t="s">
        <v>26232</v>
      </c>
      <c r="E3048" s="25" t="s">
        <v>26307</v>
      </c>
      <c r="F3048" s="9" t="str">
        <f t="shared" si="40"/>
        <v>structure with developmental contribution from neural crest</v>
      </c>
      <c r="G3048" s="9" t="s">
        <v>5090</v>
      </c>
      <c r="H3048" s="9" t="s">
        <v>22200</v>
      </c>
      <c r="I3048" s="9" t="s">
        <v>5699</v>
      </c>
      <c r="J3048" s="9" t="s">
        <v>5700</v>
      </c>
      <c r="K3048" s="4" t="s">
        <v>15175</v>
      </c>
      <c r="L3048" s="13">
        <v>10888</v>
      </c>
      <c r="M3048" t="str">
        <f>VLOOKUP(L3048,[1]Human_BrainSpan!$B$2:$C$4000,2,FALSE)</f>
        <v>A45r6</v>
      </c>
    </row>
    <row r="3049" spans="2:13" x14ac:dyDescent="0.25">
      <c r="B3049" s="31" t="s">
        <v>26303</v>
      </c>
      <c r="C3049" s="20"/>
      <c r="D3049" s="25" t="s">
        <v>26232</v>
      </c>
      <c r="E3049" s="25" t="s">
        <v>26307</v>
      </c>
      <c r="F3049" s="9" t="str">
        <f t="shared" si="40"/>
        <v>structure with developmental contribution from neural crest</v>
      </c>
      <c r="G3049" s="9" t="s">
        <v>5090</v>
      </c>
      <c r="H3049" s="9" t="s">
        <v>22202</v>
      </c>
      <c r="I3049" s="9" t="s">
        <v>5701</v>
      </c>
      <c r="J3049" s="9" t="s">
        <v>5702</v>
      </c>
      <c r="K3049" s="4" t="s">
        <v>15175</v>
      </c>
      <c r="L3049" s="13">
        <v>10889</v>
      </c>
      <c r="M3049" t="str">
        <f>VLOOKUP(L3049,[1]Human_BrainSpan!$B$2:$C$4000,2,FALSE)</f>
        <v>A45c1</v>
      </c>
    </row>
    <row r="3050" spans="2:13" x14ac:dyDescent="0.25">
      <c r="B3050" s="31" t="s">
        <v>26303</v>
      </c>
      <c r="C3050" s="20"/>
      <c r="D3050" s="25" t="s">
        <v>26232</v>
      </c>
      <c r="E3050" s="25" t="s">
        <v>26307</v>
      </c>
      <c r="F3050" s="9" t="str">
        <f t="shared" si="40"/>
        <v>structure with developmental contribution from neural crest</v>
      </c>
      <c r="G3050" s="9" t="s">
        <v>5090</v>
      </c>
      <c r="H3050" s="9" t="s">
        <v>22203</v>
      </c>
      <c r="I3050" s="9" t="s">
        <v>5703</v>
      </c>
      <c r="J3050" s="9" t="s">
        <v>5704</v>
      </c>
      <c r="K3050" s="4" t="s">
        <v>15175</v>
      </c>
      <c r="L3050" s="13">
        <v>10890</v>
      </c>
      <c r="M3050" t="str">
        <f>VLOOKUP(L3050,[1]Human_BrainSpan!$B$2:$C$4000,2,FALSE)</f>
        <v>A45c2</v>
      </c>
    </row>
    <row r="3051" spans="2:13" x14ac:dyDescent="0.25">
      <c r="B3051" s="31" t="s">
        <v>26303</v>
      </c>
      <c r="C3051" s="20"/>
      <c r="D3051" s="25" t="s">
        <v>26232</v>
      </c>
      <c r="E3051" s="25" t="s">
        <v>26307</v>
      </c>
      <c r="F3051" s="9" t="str">
        <f t="shared" si="40"/>
        <v>structure with developmental contribution from neural crest</v>
      </c>
      <c r="G3051" s="9" t="s">
        <v>5090</v>
      </c>
      <c r="H3051" s="9" t="s">
        <v>22204</v>
      </c>
      <c r="I3051" s="9" t="s">
        <v>5705</v>
      </c>
      <c r="J3051" s="9" t="s">
        <v>5706</v>
      </c>
      <c r="K3051" s="4" t="s">
        <v>15175</v>
      </c>
      <c r="L3051" s="13">
        <v>10891</v>
      </c>
      <c r="M3051" t="str">
        <f>VLOOKUP(L3051,[1]Human_BrainSpan!$B$2:$C$4000,2,FALSE)</f>
        <v>A45c3</v>
      </c>
    </row>
    <row r="3052" spans="2:13" x14ac:dyDescent="0.25">
      <c r="B3052" s="31" t="s">
        <v>26303</v>
      </c>
      <c r="C3052" s="20"/>
      <c r="D3052" s="25" t="s">
        <v>26232</v>
      </c>
      <c r="E3052" s="25" t="s">
        <v>26307</v>
      </c>
      <c r="F3052" s="9" t="str">
        <f t="shared" si="40"/>
        <v>structure with developmental contribution from neural crest</v>
      </c>
      <c r="G3052" s="9" t="s">
        <v>5090</v>
      </c>
      <c r="H3052" s="9" t="s">
        <v>22205</v>
      </c>
      <c r="I3052" s="9" t="s">
        <v>5707</v>
      </c>
      <c r="J3052" s="9" t="s">
        <v>5708</v>
      </c>
      <c r="K3052" s="4" t="s">
        <v>15175</v>
      </c>
      <c r="L3052" s="13">
        <v>10892</v>
      </c>
      <c r="M3052" t="str">
        <f>VLOOKUP(L3052,[1]Human_BrainSpan!$B$2:$C$4000,2,FALSE)</f>
        <v>A45c4</v>
      </c>
    </row>
    <row r="3053" spans="2:13" x14ac:dyDescent="0.25">
      <c r="B3053" s="31" t="s">
        <v>26303</v>
      </c>
      <c r="C3053" s="20"/>
      <c r="D3053" s="25" t="s">
        <v>26232</v>
      </c>
      <c r="E3053" s="25" t="s">
        <v>26307</v>
      </c>
      <c r="F3053" s="9" t="str">
        <f t="shared" si="40"/>
        <v>structure with developmental contribution from neural crest</v>
      </c>
      <c r="G3053" s="9" t="s">
        <v>5090</v>
      </c>
      <c r="H3053" s="9" t="s">
        <v>22206</v>
      </c>
      <c r="I3053" s="9" t="s">
        <v>5709</v>
      </c>
      <c r="J3053" s="9" t="s">
        <v>5710</v>
      </c>
      <c r="K3053" s="4" t="s">
        <v>15175</v>
      </c>
      <c r="L3053" s="13">
        <v>10893</v>
      </c>
      <c r="M3053" t="str">
        <f>VLOOKUP(L3053,[1]Human_BrainSpan!$B$2:$C$4000,2,FALSE)</f>
        <v>A45c5</v>
      </c>
    </row>
    <row r="3054" spans="2:13" x14ac:dyDescent="0.25">
      <c r="B3054" s="31" t="s">
        <v>26303</v>
      </c>
      <c r="C3054" s="20"/>
      <c r="D3054" s="25" t="s">
        <v>26232</v>
      </c>
      <c r="E3054" s="25" t="s">
        <v>26307</v>
      </c>
      <c r="F3054" s="9" t="str">
        <f t="shared" si="40"/>
        <v>structure with developmental contribution from neural crest</v>
      </c>
      <c r="G3054" s="9" t="s">
        <v>5090</v>
      </c>
      <c r="H3054" s="9" t="s">
        <v>22207</v>
      </c>
      <c r="I3054" s="9" t="s">
        <v>5711</v>
      </c>
      <c r="J3054" s="9" t="s">
        <v>5712</v>
      </c>
      <c r="K3054" s="4" t="s">
        <v>15175</v>
      </c>
      <c r="L3054" s="13">
        <v>10894</v>
      </c>
      <c r="M3054" t="str">
        <f>VLOOKUP(L3054,[1]Human_BrainSpan!$B$2:$C$4000,2,FALSE)</f>
        <v>A45c6</v>
      </c>
    </row>
    <row r="3055" spans="2:13" x14ac:dyDescent="0.25">
      <c r="B3055" s="31" t="s">
        <v>26299</v>
      </c>
      <c r="C3055" s="25" t="s">
        <v>2027</v>
      </c>
      <c r="D3055" s="25" t="s">
        <v>26232</v>
      </c>
      <c r="E3055" s="25" t="s">
        <v>26306</v>
      </c>
      <c r="F3055" s="9" t="str">
        <f t="shared" si="40"/>
        <v>structure with developmental contribution from neural crest</v>
      </c>
      <c r="G3055" s="9" t="s">
        <v>5090</v>
      </c>
      <c r="H3055" s="9" t="s">
        <v>22082</v>
      </c>
      <c r="I3055" s="9" t="s">
        <v>5713</v>
      </c>
      <c r="J3055" s="9" t="s">
        <v>5714</v>
      </c>
      <c r="K3055" s="4" t="s">
        <v>15175</v>
      </c>
      <c r="L3055" s="13">
        <v>10895</v>
      </c>
      <c r="M3055" t="str">
        <f>VLOOKUP(L3055,[1]Human_BrainSpan!$B$2:$C$4000,2,FALSE)</f>
        <v>A10m1</v>
      </c>
    </row>
    <row r="3056" spans="2:13" x14ac:dyDescent="0.25">
      <c r="B3056" s="31" t="s">
        <v>26299</v>
      </c>
      <c r="C3056" s="25" t="s">
        <v>2027</v>
      </c>
      <c r="D3056" s="25" t="s">
        <v>26232</v>
      </c>
      <c r="E3056" s="25" t="s">
        <v>26306</v>
      </c>
      <c r="F3056" s="9" t="str">
        <f t="shared" si="40"/>
        <v>structure with developmental contribution from neural crest</v>
      </c>
      <c r="G3056" s="9" t="s">
        <v>5090</v>
      </c>
      <c r="H3056" s="9" t="s">
        <v>22083</v>
      </c>
      <c r="I3056" s="9" t="s">
        <v>5715</v>
      </c>
      <c r="J3056" s="9" t="s">
        <v>5716</v>
      </c>
      <c r="K3056" s="4" t="s">
        <v>15175</v>
      </c>
      <c r="L3056" s="13">
        <v>10896</v>
      </c>
      <c r="M3056" t="str">
        <f>VLOOKUP(L3056,[1]Human_BrainSpan!$B$2:$C$4000,2,FALSE)</f>
        <v>A10m2</v>
      </c>
    </row>
    <row r="3057" spans="2:13" x14ac:dyDescent="0.25">
      <c r="B3057" s="31" t="s">
        <v>26299</v>
      </c>
      <c r="C3057" s="25" t="s">
        <v>2027</v>
      </c>
      <c r="D3057" s="25" t="s">
        <v>26232</v>
      </c>
      <c r="E3057" s="25" t="s">
        <v>26306</v>
      </c>
      <c r="F3057" s="9" t="str">
        <f t="shared" si="40"/>
        <v>structure with developmental contribution from neural crest</v>
      </c>
      <c r="G3057" s="9" t="s">
        <v>5090</v>
      </c>
      <c r="H3057" s="9" t="s">
        <v>22084</v>
      </c>
      <c r="I3057" s="9" t="s">
        <v>5717</v>
      </c>
      <c r="J3057" s="9" t="s">
        <v>5718</v>
      </c>
      <c r="K3057" s="4" t="s">
        <v>15175</v>
      </c>
      <c r="L3057" s="13">
        <v>10897</v>
      </c>
      <c r="M3057" t="str">
        <f>VLOOKUP(L3057,[1]Human_BrainSpan!$B$2:$C$4000,2,FALSE)</f>
        <v>A10m3</v>
      </c>
    </row>
    <row r="3058" spans="2:13" x14ac:dyDescent="0.25">
      <c r="B3058" s="31" t="s">
        <v>26299</v>
      </c>
      <c r="C3058" s="25" t="s">
        <v>2027</v>
      </c>
      <c r="D3058" s="25" t="s">
        <v>26232</v>
      </c>
      <c r="E3058" s="25" t="s">
        <v>26306</v>
      </c>
      <c r="F3058" s="9" t="str">
        <f t="shared" si="40"/>
        <v>structure with developmental contribution from neural crest</v>
      </c>
      <c r="G3058" s="9" t="s">
        <v>5090</v>
      </c>
      <c r="H3058" s="9" t="s">
        <v>22085</v>
      </c>
      <c r="I3058" s="9" t="s">
        <v>5719</v>
      </c>
      <c r="J3058" s="9" t="s">
        <v>5720</v>
      </c>
      <c r="K3058" s="4" t="s">
        <v>15175</v>
      </c>
      <c r="L3058" s="13">
        <v>10898</v>
      </c>
      <c r="M3058" t="str">
        <f>VLOOKUP(L3058,[1]Human_BrainSpan!$B$2:$C$4000,2,FALSE)</f>
        <v>A10m4</v>
      </c>
    </row>
    <row r="3059" spans="2:13" x14ac:dyDescent="0.25">
      <c r="B3059" s="31" t="s">
        <v>26299</v>
      </c>
      <c r="C3059" s="25" t="s">
        <v>2027</v>
      </c>
      <c r="D3059" s="25" t="s">
        <v>26232</v>
      </c>
      <c r="E3059" s="25" t="s">
        <v>26306</v>
      </c>
      <c r="F3059" s="9" t="str">
        <f t="shared" si="40"/>
        <v>structure with developmental contribution from neural crest</v>
      </c>
      <c r="G3059" s="9" t="s">
        <v>5090</v>
      </c>
      <c r="H3059" s="9" t="s">
        <v>22086</v>
      </c>
      <c r="I3059" s="9" t="s">
        <v>5721</v>
      </c>
      <c r="J3059" s="9" t="s">
        <v>5722</v>
      </c>
      <c r="K3059" s="4" t="s">
        <v>15175</v>
      </c>
      <c r="L3059" s="13">
        <v>10899</v>
      </c>
      <c r="M3059" t="str">
        <f>VLOOKUP(L3059,[1]Human_BrainSpan!$B$2:$C$4000,2,FALSE)</f>
        <v>A10m5</v>
      </c>
    </row>
    <row r="3060" spans="2:13" x14ac:dyDescent="0.25">
      <c r="B3060" s="31" t="s">
        <v>26299</v>
      </c>
      <c r="C3060" s="25" t="s">
        <v>2027</v>
      </c>
      <c r="D3060" s="25" t="s">
        <v>26232</v>
      </c>
      <c r="E3060" s="25" t="s">
        <v>26306</v>
      </c>
      <c r="F3060" s="9" t="str">
        <f t="shared" si="40"/>
        <v>structure with developmental contribution from neural crest</v>
      </c>
      <c r="G3060" s="9" t="s">
        <v>5090</v>
      </c>
      <c r="H3060" s="9" t="s">
        <v>22087</v>
      </c>
      <c r="I3060" s="9" t="s">
        <v>5723</v>
      </c>
      <c r="J3060" s="9" t="s">
        <v>5724</v>
      </c>
      <c r="K3060" s="4" t="s">
        <v>15175</v>
      </c>
      <c r="L3060" s="13">
        <v>10900</v>
      </c>
      <c r="M3060" t="str">
        <f>VLOOKUP(L3060,[1]Human_BrainSpan!$B$2:$C$4000,2,FALSE)</f>
        <v>A10m6</v>
      </c>
    </row>
    <row r="3061" spans="2:13" x14ac:dyDescent="0.25">
      <c r="B3061" s="31" t="s">
        <v>26299</v>
      </c>
      <c r="C3061" s="25" t="s">
        <v>2027</v>
      </c>
      <c r="D3061" s="25" t="s">
        <v>26232</v>
      </c>
      <c r="E3061" s="25" t="s">
        <v>26306</v>
      </c>
      <c r="F3061" s="9" t="str">
        <f t="shared" si="40"/>
        <v>structure with developmental contribution from neural crest</v>
      </c>
      <c r="G3061" s="9" t="s">
        <v>5090</v>
      </c>
      <c r="H3061" s="9" t="s">
        <v>22089</v>
      </c>
      <c r="I3061" s="9" t="s">
        <v>5725</v>
      </c>
      <c r="J3061" s="9" t="s">
        <v>5726</v>
      </c>
      <c r="K3061" s="4" t="s">
        <v>15175</v>
      </c>
      <c r="L3061" s="13">
        <v>10901</v>
      </c>
      <c r="M3061" t="str">
        <f>VLOOKUP(L3061,[1]Human_BrainSpan!$B$2:$C$4000,2,FALSE)</f>
        <v>A10l1</v>
      </c>
    </row>
    <row r="3062" spans="2:13" x14ac:dyDescent="0.25">
      <c r="B3062" s="31" t="s">
        <v>26299</v>
      </c>
      <c r="C3062" s="25" t="s">
        <v>2027</v>
      </c>
      <c r="D3062" s="25" t="s">
        <v>26232</v>
      </c>
      <c r="E3062" s="25" t="s">
        <v>26306</v>
      </c>
      <c r="F3062" s="9" t="str">
        <f t="shared" si="40"/>
        <v>structure with developmental contribution from neural crest</v>
      </c>
      <c r="G3062" s="9" t="s">
        <v>5090</v>
      </c>
      <c r="H3062" s="9" t="s">
        <v>22090</v>
      </c>
      <c r="I3062" s="9" t="s">
        <v>5727</v>
      </c>
      <c r="J3062" s="9" t="s">
        <v>5728</v>
      </c>
      <c r="K3062" s="4" t="s">
        <v>15175</v>
      </c>
      <c r="L3062" s="13">
        <v>10902</v>
      </c>
      <c r="M3062" t="str">
        <f>VLOOKUP(L3062,[1]Human_BrainSpan!$B$2:$C$4000,2,FALSE)</f>
        <v>A10l2</v>
      </c>
    </row>
    <row r="3063" spans="2:13" x14ac:dyDescent="0.25">
      <c r="B3063" s="31" t="s">
        <v>26299</v>
      </c>
      <c r="C3063" s="25" t="s">
        <v>2027</v>
      </c>
      <c r="D3063" s="25" t="s">
        <v>26232</v>
      </c>
      <c r="E3063" s="25" t="s">
        <v>26306</v>
      </c>
      <c r="F3063" s="9" t="str">
        <f t="shared" ref="F3063:F3126" si="41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3063" s="9" t="s">
        <v>5090</v>
      </c>
      <c r="H3063" s="9" t="s">
        <v>22091</v>
      </c>
      <c r="I3063" s="9" t="s">
        <v>5729</v>
      </c>
      <c r="J3063" s="9" t="s">
        <v>5730</v>
      </c>
      <c r="K3063" s="4" t="s">
        <v>15175</v>
      </c>
      <c r="L3063" s="13">
        <v>10903</v>
      </c>
      <c r="M3063" t="str">
        <f>VLOOKUP(L3063,[1]Human_BrainSpan!$B$2:$C$4000,2,FALSE)</f>
        <v>A10l3</v>
      </c>
    </row>
    <row r="3064" spans="2:13" x14ac:dyDescent="0.25">
      <c r="B3064" s="31" t="s">
        <v>26299</v>
      </c>
      <c r="C3064" s="25" t="s">
        <v>2027</v>
      </c>
      <c r="D3064" s="25" t="s">
        <v>26232</v>
      </c>
      <c r="E3064" s="25" t="s">
        <v>26306</v>
      </c>
      <c r="F3064" s="9" t="str">
        <f t="shared" si="41"/>
        <v>structure with developmental contribution from neural crest</v>
      </c>
      <c r="G3064" s="9" t="s">
        <v>5090</v>
      </c>
      <c r="H3064" s="9" t="s">
        <v>22092</v>
      </c>
      <c r="I3064" s="9" t="s">
        <v>5731</v>
      </c>
      <c r="J3064" s="9" t="s">
        <v>5732</v>
      </c>
      <c r="K3064" s="4" t="s">
        <v>15175</v>
      </c>
      <c r="L3064" s="13">
        <v>10904</v>
      </c>
      <c r="M3064" t="str">
        <f>VLOOKUP(L3064,[1]Human_BrainSpan!$B$2:$C$4000,2,FALSE)</f>
        <v>A10l4</v>
      </c>
    </row>
    <row r="3065" spans="2:13" x14ac:dyDescent="0.25">
      <c r="B3065" s="31" t="s">
        <v>26299</v>
      </c>
      <c r="C3065" s="25" t="s">
        <v>2027</v>
      </c>
      <c r="D3065" s="25" t="s">
        <v>26232</v>
      </c>
      <c r="E3065" s="25" t="s">
        <v>26306</v>
      </c>
      <c r="F3065" s="9" t="str">
        <f t="shared" si="41"/>
        <v>structure with developmental contribution from neural crest</v>
      </c>
      <c r="G3065" s="9" t="s">
        <v>5090</v>
      </c>
      <c r="H3065" s="9" t="s">
        <v>22093</v>
      </c>
      <c r="I3065" s="9" t="s">
        <v>5733</v>
      </c>
      <c r="J3065" s="9" t="s">
        <v>5734</v>
      </c>
      <c r="K3065" s="4" t="s">
        <v>15175</v>
      </c>
      <c r="L3065" s="13">
        <v>10905</v>
      </c>
      <c r="M3065" t="str">
        <f>VLOOKUP(L3065,[1]Human_BrainSpan!$B$2:$C$4000,2,FALSE)</f>
        <v>A10l5</v>
      </c>
    </row>
    <row r="3066" spans="2:13" x14ac:dyDescent="0.25">
      <c r="B3066" s="31" t="s">
        <v>26299</v>
      </c>
      <c r="C3066" s="25" t="s">
        <v>2027</v>
      </c>
      <c r="D3066" s="25" t="s">
        <v>26232</v>
      </c>
      <c r="E3066" s="25" t="s">
        <v>26306</v>
      </c>
      <c r="F3066" s="9" t="str">
        <f t="shared" si="41"/>
        <v>structure with developmental contribution from neural crest</v>
      </c>
      <c r="G3066" s="9" t="s">
        <v>5090</v>
      </c>
      <c r="H3066" s="9" t="s">
        <v>22094</v>
      </c>
      <c r="I3066" s="9" t="s">
        <v>5735</v>
      </c>
      <c r="J3066" s="9" t="s">
        <v>5736</v>
      </c>
      <c r="K3066" s="4" t="s">
        <v>15175</v>
      </c>
      <c r="L3066" s="13">
        <v>10906</v>
      </c>
      <c r="M3066" t="str">
        <f>VLOOKUP(L3066,[1]Human_BrainSpan!$B$2:$C$4000,2,FALSE)</f>
        <v>A10l6</v>
      </c>
    </row>
    <row r="3067" spans="2:13" x14ac:dyDescent="0.25">
      <c r="B3067" s="31" t="s">
        <v>26299</v>
      </c>
      <c r="C3067" s="25" t="s">
        <v>2027</v>
      </c>
      <c r="D3067" s="25" t="s">
        <v>26232</v>
      </c>
      <c r="E3067" s="25" t="s">
        <v>26306</v>
      </c>
      <c r="F3067" s="9" t="str">
        <f t="shared" si="41"/>
        <v>structure with developmental contribution from neural crest</v>
      </c>
      <c r="G3067" s="9" t="s">
        <v>5090</v>
      </c>
      <c r="H3067" s="9" t="s">
        <v>22096</v>
      </c>
      <c r="I3067" s="9" t="s">
        <v>5737</v>
      </c>
      <c r="J3067" s="9" t="s">
        <v>5738</v>
      </c>
      <c r="K3067" s="4" t="s">
        <v>15175</v>
      </c>
      <c r="L3067" s="13">
        <v>10907</v>
      </c>
      <c r="M3067" t="str">
        <f>VLOOKUP(L3067,[1]Human_BrainSpan!$B$2:$C$4000,2,FALSE)</f>
        <v>A10o1</v>
      </c>
    </row>
    <row r="3068" spans="2:13" x14ac:dyDescent="0.25">
      <c r="B3068" s="31" t="s">
        <v>26299</v>
      </c>
      <c r="C3068" s="25" t="s">
        <v>2027</v>
      </c>
      <c r="D3068" s="25" t="s">
        <v>26232</v>
      </c>
      <c r="E3068" s="25" t="s">
        <v>26306</v>
      </c>
      <c r="F3068" s="9" t="str">
        <f t="shared" si="41"/>
        <v>structure with developmental contribution from neural crest</v>
      </c>
      <c r="G3068" s="9" t="s">
        <v>5090</v>
      </c>
      <c r="H3068" s="9" t="s">
        <v>22097</v>
      </c>
      <c r="I3068" s="9" t="s">
        <v>5739</v>
      </c>
      <c r="J3068" s="9" t="s">
        <v>5740</v>
      </c>
      <c r="K3068" s="4" t="s">
        <v>15175</v>
      </c>
      <c r="L3068" s="13">
        <v>10908</v>
      </c>
      <c r="M3068" t="str">
        <f>VLOOKUP(L3068,[1]Human_BrainSpan!$B$2:$C$4000,2,FALSE)</f>
        <v>A10o2</v>
      </c>
    </row>
    <row r="3069" spans="2:13" x14ac:dyDescent="0.25">
      <c r="B3069" s="31" t="s">
        <v>26299</v>
      </c>
      <c r="C3069" s="25" t="s">
        <v>2027</v>
      </c>
      <c r="D3069" s="25" t="s">
        <v>26232</v>
      </c>
      <c r="E3069" s="25" t="s">
        <v>26306</v>
      </c>
      <c r="F3069" s="9" t="str">
        <f t="shared" si="41"/>
        <v>structure with developmental contribution from neural crest</v>
      </c>
      <c r="G3069" s="9" t="s">
        <v>5090</v>
      </c>
      <c r="H3069" s="9" t="s">
        <v>22098</v>
      </c>
      <c r="I3069" s="9" t="s">
        <v>5741</v>
      </c>
      <c r="J3069" s="9" t="s">
        <v>5742</v>
      </c>
      <c r="K3069" s="4" t="s">
        <v>15175</v>
      </c>
      <c r="L3069" s="13">
        <v>10909</v>
      </c>
      <c r="M3069" t="str">
        <f>VLOOKUP(L3069,[1]Human_BrainSpan!$B$2:$C$4000,2,FALSE)</f>
        <v>A10o3</v>
      </c>
    </row>
    <row r="3070" spans="2:13" x14ac:dyDescent="0.25">
      <c r="B3070" s="31" t="s">
        <v>26299</v>
      </c>
      <c r="C3070" s="25" t="s">
        <v>2027</v>
      </c>
      <c r="D3070" s="25" t="s">
        <v>26232</v>
      </c>
      <c r="E3070" s="25" t="s">
        <v>26306</v>
      </c>
      <c r="F3070" s="9" t="str">
        <f t="shared" si="41"/>
        <v>structure with developmental contribution from neural crest</v>
      </c>
      <c r="G3070" s="9" t="s">
        <v>5090</v>
      </c>
      <c r="H3070" s="9" t="s">
        <v>22099</v>
      </c>
      <c r="I3070" s="9" t="s">
        <v>5743</v>
      </c>
      <c r="J3070" s="9" t="s">
        <v>5744</v>
      </c>
      <c r="K3070" s="4" t="s">
        <v>15175</v>
      </c>
      <c r="L3070" s="13">
        <v>10910</v>
      </c>
      <c r="M3070" t="str">
        <f>VLOOKUP(L3070,[1]Human_BrainSpan!$B$2:$C$4000,2,FALSE)</f>
        <v>A10o4</v>
      </c>
    </row>
    <row r="3071" spans="2:13" x14ac:dyDescent="0.25">
      <c r="B3071" s="31" t="s">
        <v>26299</v>
      </c>
      <c r="C3071" s="25" t="s">
        <v>2027</v>
      </c>
      <c r="D3071" s="25" t="s">
        <v>26232</v>
      </c>
      <c r="E3071" s="25" t="s">
        <v>26306</v>
      </c>
      <c r="F3071" s="9" t="str">
        <f t="shared" si="41"/>
        <v>structure with developmental contribution from neural crest</v>
      </c>
      <c r="G3071" s="9" t="s">
        <v>5090</v>
      </c>
      <c r="H3071" s="9" t="s">
        <v>22100</v>
      </c>
      <c r="I3071" s="9" t="s">
        <v>5745</v>
      </c>
      <c r="J3071" s="9" t="s">
        <v>5746</v>
      </c>
      <c r="K3071" s="4" t="s">
        <v>15175</v>
      </c>
      <c r="L3071" s="13">
        <v>10911</v>
      </c>
      <c r="M3071" t="str">
        <f>VLOOKUP(L3071,[1]Human_BrainSpan!$B$2:$C$4000,2,FALSE)</f>
        <v>A10o5</v>
      </c>
    </row>
    <row r="3072" spans="2:13" x14ac:dyDescent="0.25">
      <c r="B3072" s="31" t="s">
        <v>26299</v>
      </c>
      <c r="C3072" s="25" t="s">
        <v>2027</v>
      </c>
      <c r="D3072" s="25" t="s">
        <v>26232</v>
      </c>
      <c r="E3072" s="25" t="s">
        <v>26306</v>
      </c>
      <c r="F3072" s="9" t="str">
        <f t="shared" si="41"/>
        <v>structure with developmental contribution from neural crest</v>
      </c>
      <c r="G3072" s="9" t="s">
        <v>5090</v>
      </c>
      <c r="H3072" s="9" t="s">
        <v>22101</v>
      </c>
      <c r="I3072" s="9" t="s">
        <v>5747</v>
      </c>
      <c r="J3072" s="9" t="s">
        <v>5748</v>
      </c>
      <c r="K3072" s="4" t="s">
        <v>15175</v>
      </c>
      <c r="L3072" s="13">
        <v>10912</v>
      </c>
      <c r="M3072" t="str">
        <f>VLOOKUP(L3072,[1]Human_BrainSpan!$B$2:$C$4000,2,FALSE)</f>
        <v>A10o6</v>
      </c>
    </row>
    <row r="3073" spans="2:13" x14ac:dyDescent="0.25">
      <c r="B3073" s="31" t="s">
        <v>26303</v>
      </c>
      <c r="C3073" s="25" t="s">
        <v>26173</v>
      </c>
      <c r="D3073" s="25" t="s">
        <v>26232</v>
      </c>
      <c r="E3073" s="25" t="s">
        <v>26306</v>
      </c>
      <c r="F3073" s="9" t="str">
        <f t="shared" si="41"/>
        <v>structure with developmental contribution from neural crest</v>
      </c>
      <c r="G3073" s="9" t="s">
        <v>5090</v>
      </c>
      <c r="H3073" s="9" t="s">
        <v>22331</v>
      </c>
      <c r="I3073" s="9" t="s">
        <v>5749</v>
      </c>
      <c r="J3073" s="9" t="s">
        <v>5750</v>
      </c>
      <c r="K3073" s="4" t="s">
        <v>15175</v>
      </c>
      <c r="L3073" s="13">
        <v>10913</v>
      </c>
      <c r="M3073" t="str">
        <f>VLOOKUP(L3073,[1]Human_BrainSpan!$B$2:$C$4000,2,FALSE)</f>
        <v>S1hf1</v>
      </c>
    </row>
    <row r="3074" spans="2:13" x14ac:dyDescent="0.25">
      <c r="B3074" s="31" t="s">
        <v>26303</v>
      </c>
      <c r="C3074" s="25" t="s">
        <v>26173</v>
      </c>
      <c r="D3074" s="25" t="s">
        <v>26232</v>
      </c>
      <c r="E3074" s="25" t="s">
        <v>26306</v>
      </c>
      <c r="F3074" s="9" t="str">
        <f t="shared" si="41"/>
        <v>structure with developmental contribution from neural crest</v>
      </c>
      <c r="G3074" s="9" t="s">
        <v>5090</v>
      </c>
      <c r="H3074" s="9" t="s">
        <v>22332</v>
      </c>
      <c r="I3074" s="9" t="s">
        <v>5751</v>
      </c>
      <c r="J3074" s="9" t="s">
        <v>5752</v>
      </c>
      <c r="K3074" s="4" t="s">
        <v>15175</v>
      </c>
      <c r="L3074" s="13">
        <v>10914</v>
      </c>
      <c r="M3074" t="str">
        <f>VLOOKUP(L3074,[1]Human_BrainSpan!$B$2:$C$4000,2,FALSE)</f>
        <v>S1hf2</v>
      </c>
    </row>
    <row r="3075" spans="2:13" x14ac:dyDescent="0.25">
      <c r="B3075" s="31" t="s">
        <v>26303</v>
      </c>
      <c r="C3075" s="25" t="s">
        <v>26173</v>
      </c>
      <c r="D3075" s="25" t="s">
        <v>26232</v>
      </c>
      <c r="E3075" s="25" t="s">
        <v>26306</v>
      </c>
      <c r="F3075" s="9" t="str">
        <f t="shared" si="41"/>
        <v>structure with developmental contribution from neural crest</v>
      </c>
      <c r="G3075" s="9" t="s">
        <v>5090</v>
      </c>
      <c r="H3075" s="9" t="s">
        <v>22333</v>
      </c>
      <c r="I3075" s="9" t="s">
        <v>5753</v>
      </c>
      <c r="J3075" s="9" t="s">
        <v>5754</v>
      </c>
      <c r="K3075" s="4" t="s">
        <v>15175</v>
      </c>
      <c r="L3075" s="13">
        <v>10915</v>
      </c>
      <c r="M3075" t="str">
        <f>VLOOKUP(L3075,[1]Human_BrainSpan!$B$2:$C$4000,2,FALSE)</f>
        <v>S1hf3</v>
      </c>
    </row>
    <row r="3076" spans="2:13" x14ac:dyDescent="0.25">
      <c r="B3076" s="31" t="s">
        <v>26303</v>
      </c>
      <c r="C3076" s="25" t="s">
        <v>26173</v>
      </c>
      <c r="D3076" s="25" t="s">
        <v>26232</v>
      </c>
      <c r="E3076" s="25" t="s">
        <v>26306</v>
      </c>
      <c r="F3076" s="9" t="str">
        <f t="shared" si="41"/>
        <v>structure with developmental contribution from neural crest</v>
      </c>
      <c r="G3076" s="9" t="s">
        <v>5090</v>
      </c>
      <c r="H3076" s="9" t="s">
        <v>22334</v>
      </c>
      <c r="I3076" s="9" t="s">
        <v>5755</v>
      </c>
      <c r="J3076" s="9" t="s">
        <v>5756</v>
      </c>
      <c r="K3076" s="4" t="s">
        <v>15175</v>
      </c>
      <c r="L3076" s="13">
        <v>10916</v>
      </c>
      <c r="M3076" t="str">
        <f>VLOOKUP(L3076,[1]Human_BrainSpan!$B$2:$C$4000,2,FALSE)</f>
        <v>S1hf4</v>
      </c>
    </row>
    <row r="3077" spans="2:13" x14ac:dyDescent="0.25">
      <c r="B3077" s="31" t="s">
        <v>26303</v>
      </c>
      <c r="C3077" s="25" t="s">
        <v>26173</v>
      </c>
      <c r="D3077" s="25" t="s">
        <v>26232</v>
      </c>
      <c r="E3077" s="25" t="s">
        <v>26306</v>
      </c>
      <c r="F3077" s="9" t="str">
        <f t="shared" si="41"/>
        <v>structure with developmental contribution from neural crest</v>
      </c>
      <c r="G3077" s="9" t="s">
        <v>5090</v>
      </c>
      <c r="H3077" s="9" t="s">
        <v>22335</v>
      </c>
      <c r="I3077" s="9" t="s">
        <v>5757</v>
      </c>
      <c r="J3077" s="9" t="s">
        <v>5758</v>
      </c>
      <c r="K3077" s="4" t="s">
        <v>15175</v>
      </c>
      <c r="L3077" s="13">
        <v>10917</v>
      </c>
      <c r="M3077" t="str">
        <f>VLOOKUP(L3077,[1]Human_BrainSpan!$B$2:$C$4000,2,FALSE)</f>
        <v>S1hf5</v>
      </c>
    </row>
    <row r="3078" spans="2:13" x14ac:dyDescent="0.25">
      <c r="B3078" s="31" t="s">
        <v>26303</v>
      </c>
      <c r="C3078" s="25" t="s">
        <v>26173</v>
      </c>
      <c r="D3078" s="25" t="s">
        <v>26232</v>
      </c>
      <c r="E3078" s="25" t="s">
        <v>26306</v>
      </c>
      <c r="F3078" s="9" t="str">
        <f t="shared" si="41"/>
        <v>structure with developmental contribution from neural crest</v>
      </c>
      <c r="G3078" s="9" t="s">
        <v>5090</v>
      </c>
      <c r="H3078" s="9" t="s">
        <v>22336</v>
      </c>
      <c r="I3078" s="9" t="s">
        <v>5759</v>
      </c>
      <c r="J3078" s="9" t="s">
        <v>5760</v>
      </c>
      <c r="K3078" s="4" t="s">
        <v>15175</v>
      </c>
      <c r="L3078" s="13">
        <v>10918</v>
      </c>
      <c r="M3078" t="str">
        <f>VLOOKUP(L3078,[1]Human_BrainSpan!$B$2:$C$4000,2,FALSE)</f>
        <v>S1hf6</v>
      </c>
    </row>
    <row r="3079" spans="2:13" x14ac:dyDescent="0.25">
      <c r="B3079" s="31" t="s">
        <v>26303</v>
      </c>
      <c r="C3079" s="25" t="s">
        <v>26173</v>
      </c>
      <c r="D3079" s="25" t="s">
        <v>26232</v>
      </c>
      <c r="E3079" s="25" t="s">
        <v>26306</v>
      </c>
      <c r="F3079" s="9" t="str">
        <f t="shared" si="41"/>
        <v>structure with developmental contribution from neural crest</v>
      </c>
      <c r="G3079" s="9" t="s">
        <v>5090</v>
      </c>
      <c r="H3079" s="9" t="s">
        <v>22338</v>
      </c>
      <c r="I3079" s="9" t="s">
        <v>5761</v>
      </c>
      <c r="J3079" s="9" t="s">
        <v>5762</v>
      </c>
      <c r="K3079" s="4" t="s">
        <v>15175</v>
      </c>
      <c r="L3079" s="13">
        <v>10919</v>
      </c>
      <c r="M3079" t="str">
        <f>VLOOKUP(L3079,[1]Human_BrainSpan!$B$2:$C$4000,2,FALSE)</f>
        <v>S1ul1</v>
      </c>
    </row>
    <row r="3080" spans="2:13" x14ac:dyDescent="0.25">
      <c r="B3080" s="31" t="s">
        <v>26303</v>
      </c>
      <c r="C3080" s="25" t="s">
        <v>26173</v>
      </c>
      <c r="D3080" s="25" t="s">
        <v>26232</v>
      </c>
      <c r="E3080" s="25" t="s">
        <v>26306</v>
      </c>
      <c r="F3080" s="9" t="str">
        <f t="shared" si="41"/>
        <v>structure with developmental contribution from neural crest</v>
      </c>
      <c r="G3080" s="9" t="s">
        <v>5090</v>
      </c>
      <c r="H3080" s="9" t="s">
        <v>22339</v>
      </c>
      <c r="I3080" s="9" t="s">
        <v>5763</v>
      </c>
      <c r="J3080" s="9" t="s">
        <v>5764</v>
      </c>
      <c r="K3080" s="4" t="s">
        <v>15175</v>
      </c>
      <c r="L3080" s="13">
        <v>10920</v>
      </c>
      <c r="M3080" t="str">
        <f>VLOOKUP(L3080,[1]Human_BrainSpan!$B$2:$C$4000,2,FALSE)</f>
        <v>S1ul2</v>
      </c>
    </row>
    <row r="3081" spans="2:13" x14ac:dyDescent="0.25">
      <c r="B3081" s="31" t="s">
        <v>26303</v>
      </c>
      <c r="C3081" s="25" t="s">
        <v>26173</v>
      </c>
      <c r="D3081" s="25" t="s">
        <v>26232</v>
      </c>
      <c r="E3081" s="25" t="s">
        <v>26306</v>
      </c>
      <c r="F3081" s="9" t="str">
        <f t="shared" si="41"/>
        <v>structure with developmental contribution from neural crest</v>
      </c>
      <c r="G3081" s="9" t="s">
        <v>5090</v>
      </c>
      <c r="H3081" s="9" t="s">
        <v>22340</v>
      </c>
      <c r="I3081" s="9" t="s">
        <v>5765</v>
      </c>
      <c r="J3081" s="9" t="s">
        <v>5766</v>
      </c>
      <c r="K3081" s="4" t="s">
        <v>15175</v>
      </c>
      <c r="L3081" s="13">
        <v>10921</v>
      </c>
      <c r="M3081" t="str">
        <f>VLOOKUP(L3081,[1]Human_BrainSpan!$B$2:$C$4000,2,FALSE)</f>
        <v>S1ul3</v>
      </c>
    </row>
    <row r="3082" spans="2:13" x14ac:dyDescent="0.25">
      <c r="B3082" s="31" t="s">
        <v>26303</v>
      </c>
      <c r="C3082" s="25" t="s">
        <v>26173</v>
      </c>
      <c r="D3082" s="25" t="s">
        <v>26232</v>
      </c>
      <c r="E3082" s="25" t="s">
        <v>26306</v>
      </c>
      <c r="F3082" s="9" t="str">
        <f t="shared" si="41"/>
        <v>structure with developmental contribution from neural crest</v>
      </c>
      <c r="G3082" s="9" t="s">
        <v>5090</v>
      </c>
      <c r="H3082" s="9" t="s">
        <v>22341</v>
      </c>
      <c r="I3082" s="9" t="s">
        <v>5767</v>
      </c>
      <c r="J3082" s="9" t="s">
        <v>5768</v>
      </c>
      <c r="K3082" s="4" t="s">
        <v>15175</v>
      </c>
      <c r="L3082" s="13">
        <v>10922</v>
      </c>
      <c r="M3082" t="str">
        <f>VLOOKUP(L3082,[1]Human_BrainSpan!$B$2:$C$4000,2,FALSE)</f>
        <v>S1ul4</v>
      </c>
    </row>
    <row r="3083" spans="2:13" x14ac:dyDescent="0.25">
      <c r="B3083" s="31" t="s">
        <v>26303</v>
      </c>
      <c r="C3083" s="25" t="s">
        <v>26173</v>
      </c>
      <c r="D3083" s="25" t="s">
        <v>26232</v>
      </c>
      <c r="E3083" s="25" t="s">
        <v>26306</v>
      </c>
      <c r="F3083" s="9" t="str">
        <f t="shared" si="41"/>
        <v>structure with developmental contribution from neural crest</v>
      </c>
      <c r="G3083" s="9" t="s">
        <v>5090</v>
      </c>
      <c r="H3083" s="9" t="s">
        <v>22342</v>
      </c>
      <c r="I3083" s="9" t="s">
        <v>5769</v>
      </c>
      <c r="J3083" s="9" t="s">
        <v>5770</v>
      </c>
      <c r="K3083" s="4" t="s">
        <v>15175</v>
      </c>
      <c r="L3083" s="13">
        <v>10923</v>
      </c>
      <c r="M3083" t="str">
        <f>VLOOKUP(L3083,[1]Human_BrainSpan!$B$2:$C$4000,2,FALSE)</f>
        <v>S1ul5</v>
      </c>
    </row>
    <row r="3084" spans="2:13" x14ac:dyDescent="0.25">
      <c r="B3084" s="31" t="s">
        <v>26303</v>
      </c>
      <c r="C3084" s="25" t="s">
        <v>26173</v>
      </c>
      <c r="D3084" s="25" t="s">
        <v>26232</v>
      </c>
      <c r="E3084" s="25" t="s">
        <v>26306</v>
      </c>
      <c r="F3084" s="9" t="str">
        <f t="shared" si="41"/>
        <v>structure with developmental contribution from neural crest</v>
      </c>
      <c r="G3084" s="9" t="s">
        <v>5090</v>
      </c>
      <c r="H3084" s="9" t="s">
        <v>22343</v>
      </c>
      <c r="I3084" s="9" t="s">
        <v>5771</v>
      </c>
      <c r="J3084" s="9" t="s">
        <v>5772</v>
      </c>
      <c r="K3084" s="4" t="s">
        <v>15175</v>
      </c>
      <c r="L3084" s="13">
        <v>10924</v>
      </c>
      <c r="M3084" t="str">
        <f>VLOOKUP(L3084,[1]Human_BrainSpan!$B$2:$C$4000,2,FALSE)</f>
        <v>S1ul6</v>
      </c>
    </row>
    <row r="3085" spans="2:13" x14ac:dyDescent="0.25">
      <c r="B3085" s="31" t="s">
        <v>26303</v>
      </c>
      <c r="C3085" s="25" t="s">
        <v>26173</v>
      </c>
      <c r="D3085" s="25" t="s">
        <v>26232</v>
      </c>
      <c r="E3085" s="25" t="s">
        <v>26306</v>
      </c>
      <c r="F3085" s="9" t="str">
        <f t="shared" si="41"/>
        <v>structure with developmental contribution from neural crest</v>
      </c>
      <c r="G3085" s="9" t="s">
        <v>5090</v>
      </c>
      <c r="H3085" s="9" t="s">
        <v>22345</v>
      </c>
      <c r="I3085" s="9" t="s">
        <v>5773</v>
      </c>
      <c r="J3085" s="9" t="s">
        <v>5774</v>
      </c>
      <c r="K3085" s="4" t="s">
        <v>15175</v>
      </c>
      <c r="L3085" s="13">
        <v>10925</v>
      </c>
      <c r="M3085" t="str">
        <f>VLOOKUP(L3085,[1]Human_BrainSpan!$B$2:$C$4000,2,FALSE)</f>
        <v>S1tr1</v>
      </c>
    </row>
    <row r="3086" spans="2:13" x14ac:dyDescent="0.25">
      <c r="B3086" s="31" t="s">
        <v>26303</v>
      </c>
      <c r="C3086" s="25" t="s">
        <v>26173</v>
      </c>
      <c r="D3086" s="25" t="s">
        <v>26232</v>
      </c>
      <c r="E3086" s="25" t="s">
        <v>26306</v>
      </c>
      <c r="F3086" s="9" t="str">
        <f t="shared" si="41"/>
        <v>structure with developmental contribution from neural crest</v>
      </c>
      <c r="G3086" s="9" t="s">
        <v>5090</v>
      </c>
      <c r="H3086" s="9" t="s">
        <v>22346</v>
      </c>
      <c r="I3086" s="9" t="s">
        <v>5775</v>
      </c>
      <c r="J3086" s="9" t="s">
        <v>5776</v>
      </c>
      <c r="K3086" s="4" t="s">
        <v>15175</v>
      </c>
      <c r="L3086" s="13">
        <v>10926</v>
      </c>
      <c r="M3086" t="str">
        <f>VLOOKUP(L3086,[1]Human_BrainSpan!$B$2:$C$4000,2,FALSE)</f>
        <v>S1tr2</v>
      </c>
    </row>
    <row r="3087" spans="2:13" x14ac:dyDescent="0.25">
      <c r="B3087" s="31" t="s">
        <v>26303</v>
      </c>
      <c r="C3087" s="25" t="s">
        <v>26173</v>
      </c>
      <c r="D3087" s="25" t="s">
        <v>26232</v>
      </c>
      <c r="E3087" s="25" t="s">
        <v>26306</v>
      </c>
      <c r="F3087" s="9" t="str">
        <f t="shared" si="41"/>
        <v>structure with developmental contribution from neural crest</v>
      </c>
      <c r="G3087" s="9" t="s">
        <v>5090</v>
      </c>
      <c r="H3087" s="9" t="s">
        <v>22347</v>
      </c>
      <c r="I3087" s="9" t="s">
        <v>5777</v>
      </c>
      <c r="J3087" s="9" t="s">
        <v>5778</v>
      </c>
      <c r="K3087" s="4" t="s">
        <v>15175</v>
      </c>
      <c r="L3087" s="13">
        <v>10927</v>
      </c>
      <c r="M3087" t="str">
        <f>VLOOKUP(L3087,[1]Human_BrainSpan!$B$2:$C$4000,2,FALSE)</f>
        <v>S1tr3</v>
      </c>
    </row>
    <row r="3088" spans="2:13" x14ac:dyDescent="0.25">
      <c r="B3088" s="31" t="s">
        <v>26303</v>
      </c>
      <c r="C3088" s="25" t="s">
        <v>26173</v>
      </c>
      <c r="D3088" s="25" t="s">
        <v>26232</v>
      </c>
      <c r="E3088" s="25" t="s">
        <v>26306</v>
      </c>
      <c r="F3088" s="9" t="str">
        <f t="shared" si="41"/>
        <v>structure with developmental contribution from neural crest</v>
      </c>
      <c r="G3088" s="9" t="s">
        <v>5090</v>
      </c>
      <c r="H3088" s="9" t="s">
        <v>22348</v>
      </c>
      <c r="I3088" s="9" t="s">
        <v>5779</v>
      </c>
      <c r="J3088" s="9" t="s">
        <v>5780</v>
      </c>
      <c r="K3088" s="4" t="s">
        <v>15175</v>
      </c>
      <c r="L3088" s="13">
        <v>10928</v>
      </c>
      <c r="M3088" t="str">
        <f>VLOOKUP(L3088,[1]Human_BrainSpan!$B$2:$C$4000,2,FALSE)</f>
        <v>S1tr4</v>
      </c>
    </row>
    <row r="3089" spans="2:13" x14ac:dyDescent="0.25">
      <c r="B3089" s="31" t="s">
        <v>26303</v>
      </c>
      <c r="C3089" s="25" t="s">
        <v>26173</v>
      </c>
      <c r="D3089" s="25" t="s">
        <v>26232</v>
      </c>
      <c r="E3089" s="25" t="s">
        <v>26306</v>
      </c>
      <c r="F3089" s="9" t="str">
        <f t="shared" si="41"/>
        <v>structure with developmental contribution from neural crest</v>
      </c>
      <c r="G3089" s="9" t="s">
        <v>5090</v>
      </c>
      <c r="H3089" s="9" t="s">
        <v>22349</v>
      </c>
      <c r="I3089" s="9" t="s">
        <v>5781</v>
      </c>
      <c r="J3089" s="9" t="s">
        <v>5782</v>
      </c>
      <c r="K3089" s="4" t="s">
        <v>15175</v>
      </c>
      <c r="L3089" s="13">
        <v>10929</v>
      </c>
      <c r="M3089" t="str">
        <f>VLOOKUP(L3089,[1]Human_BrainSpan!$B$2:$C$4000,2,FALSE)</f>
        <v>S1tr5</v>
      </c>
    </row>
    <row r="3090" spans="2:13" x14ac:dyDescent="0.25">
      <c r="B3090" s="31" t="s">
        <v>26303</v>
      </c>
      <c r="C3090" s="25" t="s">
        <v>26173</v>
      </c>
      <c r="D3090" s="25" t="s">
        <v>26232</v>
      </c>
      <c r="E3090" s="25" t="s">
        <v>26306</v>
      </c>
      <c r="F3090" s="9" t="str">
        <f t="shared" si="41"/>
        <v>structure with developmental contribution from neural crest</v>
      </c>
      <c r="G3090" s="9" t="s">
        <v>5090</v>
      </c>
      <c r="H3090" s="9" t="s">
        <v>22350</v>
      </c>
      <c r="I3090" s="9" t="s">
        <v>5783</v>
      </c>
      <c r="J3090" s="9" t="s">
        <v>5784</v>
      </c>
      <c r="K3090" s="4" t="s">
        <v>15175</v>
      </c>
      <c r="L3090" s="13">
        <v>10930</v>
      </c>
      <c r="M3090" t="str">
        <f>VLOOKUP(L3090,[1]Human_BrainSpan!$B$2:$C$4000,2,FALSE)</f>
        <v>S1tr6</v>
      </c>
    </row>
    <row r="3091" spans="2:13" x14ac:dyDescent="0.25">
      <c r="B3091" s="31" t="s">
        <v>26303</v>
      </c>
      <c r="C3091" s="25" t="s">
        <v>26173</v>
      </c>
      <c r="D3091" s="25" t="s">
        <v>26232</v>
      </c>
      <c r="E3091" s="25" t="s">
        <v>26306</v>
      </c>
      <c r="F3091" s="9" t="str">
        <f t="shared" si="41"/>
        <v>structure with developmental contribution from neural crest</v>
      </c>
      <c r="G3091" s="9" t="s">
        <v>5090</v>
      </c>
      <c r="H3091" s="9" t="s">
        <v>22352</v>
      </c>
      <c r="I3091" s="9" t="s">
        <v>5785</v>
      </c>
      <c r="J3091" s="9" t="s">
        <v>5786</v>
      </c>
      <c r="K3091" s="4" t="s">
        <v>15175</v>
      </c>
      <c r="L3091" s="13">
        <v>10931</v>
      </c>
      <c r="M3091" t="str">
        <f>VLOOKUP(L3091,[1]Human_BrainSpan!$B$2:$C$4000,2,FALSE)</f>
        <v>S1lm1</v>
      </c>
    </row>
    <row r="3092" spans="2:13" x14ac:dyDescent="0.25">
      <c r="B3092" s="31" t="s">
        <v>26303</v>
      </c>
      <c r="C3092" s="25" t="s">
        <v>26173</v>
      </c>
      <c r="D3092" s="25" t="s">
        <v>26232</v>
      </c>
      <c r="E3092" s="25" t="s">
        <v>26306</v>
      </c>
      <c r="F3092" s="9" t="str">
        <f t="shared" si="41"/>
        <v>structure with developmental contribution from neural crest</v>
      </c>
      <c r="G3092" s="9" t="s">
        <v>5090</v>
      </c>
      <c r="H3092" s="9" t="s">
        <v>22353</v>
      </c>
      <c r="I3092" s="9" t="s">
        <v>5787</v>
      </c>
      <c r="J3092" s="9" t="s">
        <v>5788</v>
      </c>
      <c r="K3092" s="4" t="s">
        <v>15175</v>
      </c>
      <c r="L3092" s="13">
        <v>10932</v>
      </c>
      <c r="M3092" t="str">
        <f>VLOOKUP(L3092,[1]Human_BrainSpan!$B$2:$C$4000,2,FALSE)</f>
        <v>S1lm2</v>
      </c>
    </row>
    <row r="3093" spans="2:13" x14ac:dyDescent="0.25">
      <c r="B3093" s="31" t="s">
        <v>26303</v>
      </c>
      <c r="C3093" s="25" t="s">
        <v>26173</v>
      </c>
      <c r="D3093" s="25" t="s">
        <v>26232</v>
      </c>
      <c r="E3093" s="25" t="s">
        <v>26306</v>
      </c>
      <c r="F3093" s="9" t="str">
        <f t="shared" si="41"/>
        <v>structure with developmental contribution from neural crest</v>
      </c>
      <c r="G3093" s="9" t="s">
        <v>5090</v>
      </c>
      <c r="H3093" s="9" t="s">
        <v>22354</v>
      </c>
      <c r="I3093" s="9" t="s">
        <v>5789</v>
      </c>
      <c r="J3093" s="9" t="s">
        <v>5790</v>
      </c>
      <c r="K3093" s="4" t="s">
        <v>15175</v>
      </c>
      <c r="L3093" s="13">
        <v>10933</v>
      </c>
      <c r="M3093" t="str">
        <f>VLOOKUP(L3093,[1]Human_BrainSpan!$B$2:$C$4000,2,FALSE)</f>
        <v>S1lm3</v>
      </c>
    </row>
    <row r="3094" spans="2:13" x14ac:dyDescent="0.25">
      <c r="B3094" s="31" t="s">
        <v>26303</v>
      </c>
      <c r="C3094" s="25" t="s">
        <v>26173</v>
      </c>
      <c r="D3094" s="25" t="s">
        <v>26232</v>
      </c>
      <c r="E3094" s="25" t="s">
        <v>26306</v>
      </c>
      <c r="F3094" s="9" t="str">
        <f t="shared" si="41"/>
        <v>structure with developmental contribution from neural crest</v>
      </c>
      <c r="G3094" s="9" t="s">
        <v>5090</v>
      </c>
      <c r="H3094" s="9" t="s">
        <v>22355</v>
      </c>
      <c r="I3094" s="9" t="s">
        <v>5791</v>
      </c>
      <c r="J3094" s="9" t="s">
        <v>5792</v>
      </c>
      <c r="K3094" s="4" t="s">
        <v>15175</v>
      </c>
      <c r="L3094" s="13">
        <v>10934</v>
      </c>
      <c r="M3094" t="str">
        <f>VLOOKUP(L3094,[1]Human_BrainSpan!$B$2:$C$4000,2,FALSE)</f>
        <v>S1lm4</v>
      </c>
    </row>
    <row r="3095" spans="2:13" x14ac:dyDescent="0.25">
      <c r="B3095" s="31" t="s">
        <v>26303</v>
      </c>
      <c r="C3095" s="25" t="s">
        <v>26173</v>
      </c>
      <c r="D3095" s="25" t="s">
        <v>26232</v>
      </c>
      <c r="E3095" s="25" t="s">
        <v>26306</v>
      </c>
      <c r="F3095" s="9" t="str">
        <f t="shared" si="41"/>
        <v>structure with developmental contribution from neural crest</v>
      </c>
      <c r="G3095" s="9" t="s">
        <v>5090</v>
      </c>
      <c r="H3095" s="9" t="s">
        <v>22356</v>
      </c>
      <c r="I3095" s="9" t="s">
        <v>5793</v>
      </c>
      <c r="J3095" s="9" t="s">
        <v>5794</v>
      </c>
      <c r="K3095" s="4" t="s">
        <v>15175</v>
      </c>
      <c r="L3095" s="13">
        <v>10935</v>
      </c>
      <c r="M3095" t="str">
        <f>VLOOKUP(L3095,[1]Human_BrainSpan!$B$2:$C$4000,2,FALSE)</f>
        <v>S1lm5</v>
      </c>
    </row>
    <row r="3096" spans="2:13" x14ac:dyDescent="0.25">
      <c r="B3096" s="31" t="s">
        <v>26303</v>
      </c>
      <c r="C3096" s="25" t="s">
        <v>26173</v>
      </c>
      <c r="D3096" s="25" t="s">
        <v>26232</v>
      </c>
      <c r="E3096" s="25" t="s">
        <v>26306</v>
      </c>
      <c r="F3096" s="9" t="str">
        <f t="shared" si="41"/>
        <v>structure with developmental contribution from neural crest</v>
      </c>
      <c r="G3096" s="9" t="s">
        <v>5090</v>
      </c>
      <c r="H3096" s="9" t="s">
        <v>22357</v>
      </c>
      <c r="I3096" s="9" t="s">
        <v>5795</v>
      </c>
      <c r="J3096" s="9" t="s">
        <v>5796</v>
      </c>
      <c r="K3096" s="4" t="s">
        <v>15175</v>
      </c>
      <c r="L3096" s="13">
        <v>10936</v>
      </c>
      <c r="M3096" t="str">
        <f>VLOOKUP(L3096,[1]Human_BrainSpan!$B$2:$C$4000,2,FALSE)</f>
        <v>S1lm6</v>
      </c>
    </row>
    <row r="3097" spans="2:13" x14ac:dyDescent="0.25">
      <c r="B3097" s="31" t="s">
        <v>26299</v>
      </c>
      <c r="C3097" s="25" t="s">
        <v>25968</v>
      </c>
      <c r="D3097" s="25" t="s">
        <v>26232</v>
      </c>
      <c r="E3097" s="25" t="s">
        <v>26306</v>
      </c>
      <c r="F3097" s="9" t="str">
        <f t="shared" si="41"/>
        <v>structure with developmental contribution from neural crest</v>
      </c>
      <c r="G3097" s="9" t="s">
        <v>5090</v>
      </c>
      <c r="H3097" s="9" t="s">
        <v>22428</v>
      </c>
      <c r="I3097" s="9" t="s">
        <v>5797</v>
      </c>
      <c r="J3097" s="9" t="s">
        <v>5798</v>
      </c>
      <c r="K3097" s="4" t="s">
        <v>15175</v>
      </c>
      <c r="L3097" s="13">
        <v>10937</v>
      </c>
      <c r="M3097" t="str">
        <f>VLOOKUP(L3097,[1]Human_BrainSpan!$B$2:$C$4000,2,FALSE)</f>
        <v>A40rd1</v>
      </c>
    </row>
    <row r="3098" spans="2:13" x14ac:dyDescent="0.25">
      <c r="B3098" s="31" t="s">
        <v>26299</v>
      </c>
      <c r="C3098" s="25" t="s">
        <v>25968</v>
      </c>
      <c r="D3098" s="25" t="s">
        <v>26232</v>
      </c>
      <c r="E3098" s="25" t="s">
        <v>26306</v>
      </c>
      <c r="F3098" s="9" t="str">
        <f t="shared" si="41"/>
        <v>structure with developmental contribution from neural crest</v>
      </c>
      <c r="G3098" s="9" t="s">
        <v>5090</v>
      </c>
      <c r="H3098" s="9" t="s">
        <v>22429</v>
      </c>
      <c r="I3098" s="9" t="s">
        <v>5799</v>
      </c>
      <c r="J3098" s="9" t="s">
        <v>5800</v>
      </c>
      <c r="K3098" s="4" t="s">
        <v>15175</v>
      </c>
      <c r="L3098" s="13">
        <v>10938</v>
      </c>
      <c r="M3098" t="str">
        <f>VLOOKUP(L3098,[1]Human_BrainSpan!$B$2:$C$4000,2,FALSE)</f>
        <v>A40rd2</v>
      </c>
    </row>
    <row r="3099" spans="2:13" x14ac:dyDescent="0.25">
      <c r="B3099" s="31" t="s">
        <v>26299</v>
      </c>
      <c r="C3099" s="25" t="s">
        <v>25968</v>
      </c>
      <c r="D3099" s="25" t="s">
        <v>26232</v>
      </c>
      <c r="E3099" s="25" t="s">
        <v>26306</v>
      </c>
      <c r="F3099" s="9" t="str">
        <f t="shared" si="41"/>
        <v>structure with developmental contribution from neural crest</v>
      </c>
      <c r="G3099" s="9" t="s">
        <v>5090</v>
      </c>
      <c r="H3099" s="9" t="s">
        <v>22430</v>
      </c>
      <c r="I3099" s="9" t="s">
        <v>5801</v>
      </c>
      <c r="J3099" s="9" t="s">
        <v>5802</v>
      </c>
      <c r="K3099" s="4" t="s">
        <v>15175</v>
      </c>
      <c r="L3099" s="13">
        <v>10939</v>
      </c>
      <c r="M3099" t="str">
        <f>VLOOKUP(L3099,[1]Human_BrainSpan!$B$2:$C$4000,2,FALSE)</f>
        <v>A40rd3</v>
      </c>
    </row>
    <row r="3100" spans="2:13" x14ac:dyDescent="0.25">
      <c r="B3100" s="31" t="s">
        <v>26299</v>
      </c>
      <c r="C3100" s="25" t="s">
        <v>25968</v>
      </c>
      <c r="D3100" s="25" t="s">
        <v>26232</v>
      </c>
      <c r="E3100" s="25" t="s">
        <v>26306</v>
      </c>
      <c r="F3100" s="9" t="str">
        <f t="shared" si="41"/>
        <v>structure with developmental contribution from neural crest</v>
      </c>
      <c r="G3100" s="9" t="s">
        <v>5090</v>
      </c>
      <c r="H3100" s="9" t="s">
        <v>22431</v>
      </c>
      <c r="I3100" s="9" t="s">
        <v>5803</v>
      </c>
      <c r="J3100" s="9" t="s">
        <v>5804</v>
      </c>
      <c r="K3100" s="4" t="s">
        <v>15175</v>
      </c>
      <c r="L3100" s="13">
        <v>10940</v>
      </c>
      <c r="M3100" t="str">
        <f>VLOOKUP(L3100,[1]Human_BrainSpan!$B$2:$C$4000,2,FALSE)</f>
        <v>A40rd4</v>
      </c>
    </row>
    <row r="3101" spans="2:13" x14ac:dyDescent="0.25">
      <c r="B3101" s="31" t="s">
        <v>26299</v>
      </c>
      <c r="C3101" s="25" t="s">
        <v>25968</v>
      </c>
      <c r="D3101" s="25" t="s">
        <v>26232</v>
      </c>
      <c r="E3101" s="25" t="s">
        <v>26306</v>
      </c>
      <c r="F3101" s="9" t="str">
        <f t="shared" si="41"/>
        <v>structure with developmental contribution from neural crest</v>
      </c>
      <c r="G3101" s="9" t="s">
        <v>5090</v>
      </c>
      <c r="H3101" s="9" t="s">
        <v>22432</v>
      </c>
      <c r="I3101" s="9" t="s">
        <v>5805</v>
      </c>
      <c r="J3101" s="9" t="s">
        <v>5806</v>
      </c>
      <c r="K3101" s="4" t="s">
        <v>15175</v>
      </c>
      <c r="L3101" s="13">
        <v>10941</v>
      </c>
      <c r="M3101" t="str">
        <f>VLOOKUP(L3101,[1]Human_BrainSpan!$B$2:$C$4000,2,FALSE)</f>
        <v>A40rd5</v>
      </c>
    </row>
    <row r="3102" spans="2:13" x14ac:dyDescent="0.25">
      <c r="B3102" s="31" t="s">
        <v>26299</v>
      </c>
      <c r="C3102" s="25" t="s">
        <v>25968</v>
      </c>
      <c r="D3102" s="25" t="s">
        <v>26232</v>
      </c>
      <c r="E3102" s="25" t="s">
        <v>26306</v>
      </c>
      <c r="F3102" s="9" t="str">
        <f t="shared" si="41"/>
        <v>structure with developmental contribution from neural crest</v>
      </c>
      <c r="G3102" s="9" t="s">
        <v>5090</v>
      </c>
      <c r="H3102" s="9" t="s">
        <v>22433</v>
      </c>
      <c r="I3102" s="9" t="s">
        <v>5807</v>
      </c>
      <c r="J3102" s="9" t="s">
        <v>5808</v>
      </c>
      <c r="K3102" s="4" t="s">
        <v>15175</v>
      </c>
      <c r="L3102" s="13">
        <v>10942</v>
      </c>
      <c r="M3102" t="str">
        <f>VLOOKUP(L3102,[1]Human_BrainSpan!$B$2:$C$4000,2,FALSE)</f>
        <v>A40rd6</v>
      </c>
    </row>
    <row r="3103" spans="2:13" x14ac:dyDescent="0.25">
      <c r="B3103" s="31" t="s">
        <v>26299</v>
      </c>
      <c r="C3103" s="25" t="s">
        <v>25968</v>
      </c>
      <c r="D3103" s="25" t="s">
        <v>26232</v>
      </c>
      <c r="E3103" s="25" t="s">
        <v>26306</v>
      </c>
      <c r="F3103" s="9" t="str">
        <f t="shared" si="41"/>
        <v>structure with developmental contribution from neural crest</v>
      </c>
      <c r="G3103" s="9" t="s">
        <v>5090</v>
      </c>
      <c r="H3103" s="9" t="s">
        <v>22435</v>
      </c>
      <c r="I3103" s="9" t="s">
        <v>5809</v>
      </c>
      <c r="J3103" s="9" t="s">
        <v>5810</v>
      </c>
      <c r="K3103" s="4" t="s">
        <v>15175</v>
      </c>
      <c r="L3103" s="13">
        <v>10943</v>
      </c>
      <c r="M3103" t="str">
        <f>VLOOKUP(L3103,[1]Human_BrainSpan!$B$2:$C$4000,2,FALSE)</f>
        <v>A40rv1</v>
      </c>
    </row>
    <row r="3104" spans="2:13" x14ac:dyDescent="0.25">
      <c r="B3104" s="31" t="s">
        <v>26299</v>
      </c>
      <c r="C3104" s="25" t="s">
        <v>25968</v>
      </c>
      <c r="D3104" s="25" t="s">
        <v>26232</v>
      </c>
      <c r="E3104" s="25" t="s">
        <v>26306</v>
      </c>
      <c r="F3104" s="9" t="str">
        <f t="shared" si="41"/>
        <v>structure with developmental contribution from neural crest</v>
      </c>
      <c r="G3104" s="9" t="s">
        <v>5090</v>
      </c>
      <c r="H3104" s="9" t="s">
        <v>22436</v>
      </c>
      <c r="I3104" s="9" t="s">
        <v>5811</v>
      </c>
      <c r="J3104" s="9" t="s">
        <v>5812</v>
      </c>
      <c r="K3104" s="4" t="s">
        <v>15175</v>
      </c>
      <c r="L3104" s="13">
        <v>10944</v>
      </c>
      <c r="M3104" t="str">
        <f>VLOOKUP(L3104,[1]Human_BrainSpan!$B$2:$C$4000,2,FALSE)</f>
        <v>A40rv2</v>
      </c>
    </row>
    <row r="3105" spans="2:13" x14ac:dyDescent="0.25">
      <c r="B3105" s="31" t="s">
        <v>26299</v>
      </c>
      <c r="C3105" s="25" t="s">
        <v>25968</v>
      </c>
      <c r="D3105" s="25" t="s">
        <v>26232</v>
      </c>
      <c r="E3105" s="25" t="s">
        <v>26306</v>
      </c>
      <c r="F3105" s="9" t="str">
        <f t="shared" si="41"/>
        <v>structure with developmental contribution from neural crest</v>
      </c>
      <c r="G3105" s="9" t="s">
        <v>5090</v>
      </c>
      <c r="H3105" s="9" t="s">
        <v>22437</v>
      </c>
      <c r="I3105" s="9" t="s">
        <v>5813</v>
      </c>
      <c r="J3105" s="9" t="s">
        <v>5814</v>
      </c>
      <c r="K3105" s="4" t="s">
        <v>15175</v>
      </c>
      <c r="L3105" s="13">
        <v>10945</v>
      </c>
      <c r="M3105" t="str">
        <f>VLOOKUP(L3105,[1]Human_BrainSpan!$B$2:$C$4000,2,FALSE)</f>
        <v>A40rv3</v>
      </c>
    </row>
    <row r="3106" spans="2:13" x14ac:dyDescent="0.25">
      <c r="B3106" s="31" t="s">
        <v>26299</v>
      </c>
      <c r="C3106" s="25" t="s">
        <v>25968</v>
      </c>
      <c r="D3106" s="25" t="s">
        <v>26232</v>
      </c>
      <c r="E3106" s="25" t="s">
        <v>26306</v>
      </c>
      <c r="F3106" s="9" t="str">
        <f t="shared" si="41"/>
        <v>structure with developmental contribution from neural crest</v>
      </c>
      <c r="G3106" s="9" t="s">
        <v>5090</v>
      </c>
      <c r="H3106" s="9" t="s">
        <v>22438</v>
      </c>
      <c r="I3106" s="9" t="s">
        <v>5815</v>
      </c>
      <c r="J3106" s="9" t="s">
        <v>5816</v>
      </c>
      <c r="K3106" s="4" t="s">
        <v>15175</v>
      </c>
      <c r="L3106" s="13">
        <v>10946</v>
      </c>
      <c r="M3106" t="str">
        <f>VLOOKUP(L3106,[1]Human_BrainSpan!$B$2:$C$4000,2,FALSE)</f>
        <v>A40rv4</v>
      </c>
    </row>
    <row r="3107" spans="2:13" x14ac:dyDescent="0.25">
      <c r="B3107" s="31" t="s">
        <v>26299</v>
      </c>
      <c r="C3107" s="25" t="s">
        <v>25968</v>
      </c>
      <c r="D3107" s="25" t="s">
        <v>26232</v>
      </c>
      <c r="E3107" s="25" t="s">
        <v>26306</v>
      </c>
      <c r="F3107" s="9" t="str">
        <f t="shared" si="41"/>
        <v>structure with developmental contribution from neural crest</v>
      </c>
      <c r="G3107" s="9" t="s">
        <v>5090</v>
      </c>
      <c r="H3107" s="9" t="s">
        <v>22439</v>
      </c>
      <c r="I3107" s="9" t="s">
        <v>5817</v>
      </c>
      <c r="J3107" s="9" t="s">
        <v>5818</v>
      </c>
      <c r="K3107" s="4" t="s">
        <v>15175</v>
      </c>
      <c r="L3107" s="13">
        <v>10947</v>
      </c>
      <c r="M3107" t="str">
        <f>VLOOKUP(L3107,[1]Human_BrainSpan!$B$2:$C$4000,2,FALSE)</f>
        <v>A40rv5</v>
      </c>
    </row>
    <row r="3108" spans="2:13" x14ac:dyDescent="0.25">
      <c r="B3108" s="31" t="s">
        <v>26299</v>
      </c>
      <c r="C3108" s="25" t="s">
        <v>25968</v>
      </c>
      <c r="D3108" s="25" t="s">
        <v>26232</v>
      </c>
      <c r="E3108" s="25" t="s">
        <v>26306</v>
      </c>
      <c r="F3108" s="9" t="str">
        <f t="shared" si="41"/>
        <v>structure with developmental contribution from neural crest</v>
      </c>
      <c r="G3108" s="9" t="s">
        <v>5090</v>
      </c>
      <c r="H3108" s="9" t="s">
        <v>22440</v>
      </c>
      <c r="I3108" s="9" t="s">
        <v>5819</v>
      </c>
      <c r="J3108" s="9" t="s">
        <v>5820</v>
      </c>
      <c r="K3108" s="4" t="s">
        <v>15175</v>
      </c>
      <c r="L3108" s="13">
        <v>10948</v>
      </c>
      <c r="M3108" t="str">
        <f>VLOOKUP(L3108,[1]Human_BrainSpan!$B$2:$C$4000,2,FALSE)</f>
        <v>A40rv6</v>
      </c>
    </row>
    <row r="3109" spans="2:13" x14ac:dyDescent="0.25">
      <c r="B3109" s="31" t="s">
        <v>26299</v>
      </c>
      <c r="C3109" s="25" t="s">
        <v>25968</v>
      </c>
      <c r="D3109" s="25" t="s">
        <v>26232</v>
      </c>
      <c r="E3109" s="25" t="s">
        <v>26306</v>
      </c>
      <c r="F3109" s="9" t="str">
        <f t="shared" si="41"/>
        <v>structure with developmental contribution from neural crest</v>
      </c>
      <c r="G3109" s="9" t="s">
        <v>5090</v>
      </c>
      <c r="H3109" s="9" t="s">
        <v>22442</v>
      </c>
      <c r="I3109" s="9" t="s">
        <v>5821</v>
      </c>
      <c r="J3109" s="9" t="s">
        <v>5822</v>
      </c>
      <c r="K3109" s="4" t="s">
        <v>15175</v>
      </c>
      <c r="L3109" s="13">
        <v>10961</v>
      </c>
      <c r="M3109" t="str">
        <f>VLOOKUP(L3109,[1]Human_BrainSpan!$B$2:$C$4000,2,FALSE)</f>
        <v>A40in1</v>
      </c>
    </row>
    <row r="3110" spans="2:13" x14ac:dyDescent="0.25">
      <c r="B3110" s="31" t="s">
        <v>26299</v>
      </c>
      <c r="C3110" s="25" t="s">
        <v>25968</v>
      </c>
      <c r="D3110" s="25" t="s">
        <v>26232</v>
      </c>
      <c r="E3110" s="25" t="s">
        <v>26306</v>
      </c>
      <c r="F3110" s="9" t="str">
        <f t="shared" si="41"/>
        <v>structure with developmental contribution from neural crest</v>
      </c>
      <c r="G3110" s="9" t="s">
        <v>5090</v>
      </c>
      <c r="H3110" s="9" t="s">
        <v>22443</v>
      </c>
      <c r="I3110" s="9" t="s">
        <v>5823</v>
      </c>
      <c r="J3110" s="9" t="s">
        <v>5824</v>
      </c>
      <c r="K3110" s="4" t="s">
        <v>15175</v>
      </c>
      <c r="L3110" s="13">
        <v>10962</v>
      </c>
      <c r="M3110" t="str">
        <f>VLOOKUP(L3110,[1]Human_BrainSpan!$B$2:$C$4000,2,FALSE)</f>
        <v>A40in2</v>
      </c>
    </row>
    <row r="3111" spans="2:13" x14ac:dyDescent="0.25">
      <c r="B3111" s="31" t="s">
        <v>26299</v>
      </c>
      <c r="C3111" s="25" t="s">
        <v>25968</v>
      </c>
      <c r="D3111" s="25" t="s">
        <v>26232</v>
      </c>
      <c r="E3111" s="25" t="s">
        <v>26306</v>
      </c>
      <c r="F3111" s="9" t="str">
        <f t="shared" si="41"/>
        <v>structure with developmental contribution from neural crest</v>
      </c>
      <c r="G3111" s="9" t="s">
        <v>5090</v>
      </c>
      <c r="H3111" s="9" t="s">
        <v>22444</v>
      </c>
      <c r="I3111" s="9" t="s">
        <v>5825</v>
      </c>
      <c r="J3111" s="9" t="s">
        <v>5826</v>
      </c>
      <c r="K3111" s="4" t="s">
        <v>15175</v>
      </c>
      <c r="L3111" s="13">
        <v>10963</v>
      </c>
      <c r="M3111" t="str">
        <f>VLOOKUP(L3111,[1]Human_BrainSpan!$B$2:$C$4000,2,FALSE)</f>
        <v>A40in3</v>
      </c>
    </row>
    <row r="3112" spans="2:13" x14ac:dyDescent="0.25">
      <c r="B3112" s="31" t="s">
        <v>26299</v>
      </c>
      <c r="C3112" s="25" t="s">
        <v>25968</v>
      </c>
      <c r="D3112" s="25" t="s">
        <v>26232</v>
      </c>
      <c r="E3112" s="25" t="s">
        <v>26306</v>
      </c>
      <c r="F3112" s="9" t="str">
        <f t="shared" si="41"/>
        <v>structure with developmental contribution from neural crest</v>
      </c>
      <c r="G3112" s="9" t="s">
        <v>5090</v>
      </c>
      <c r="H3112" s="9" t="s">
        <v>22445</v>
      </c>
      <c r="I3112" s="9" t="s">
        <v>5827</v>
      </c>
      <c r="J3112" s="9" t="s">
        <v>5828</v>
      </c>
      <c r="K3112" s="4" t="s">
        <v>15175</v>
      </c>
      <c r="L3112" s="13">
        <v>10964</v>
      </c>
      <c r="M3112" t="str">
        <f>VLOOKUP(L3112,[1]Human_BrainSpan!$B$2:$C$4000,2,FALSE)</f>
        <v>A40in4</v>
      </c>
    </row>
    <row r="3113" spans="2:13" x14ac:dyDescent="0.25">
      <c r="B3113" s="31" t="s">
        <v>26299</v>
      </c>
      <c r="C3113" s="25" t="s">
        <v>25968</v>
      </c>
      <c r="D3113" s="25" t="s">
        <v>26232</v>
      </c>
      <c r="E3113" s="25" t="s">
        <v>26306</v>
      </c>
      <c r="F3113" s="9" t="str">
        <f t="shared" si="41"/>
        <v>structure with developmental contribution from neural crest</v>
      </c>
      <c r="G3113" s="9" t="s">
        <v>5090</v>
      </c>
      <c r="H3113" s="9" t="s">
        <v>22446</v>
      </c>
      <c r="I3113" s="9" t="s">
        <v>5829</v>
      </c>
      <c r="J3113" s="9" t="s">
        <v>5830</v>
      </c>
      <c r="K3113" s="4" t="s">
        <v>15175</v>
      </c>
      <c r="L3113" s="13">
        <v>10965</v>
      </c>
      <c r="M3113" t="str">
        <f>VLOOKUP(L3113,[1]Human_BrainSpan!$B$2:$C$4000,2,FALSE)</f>
        <v>A40in5</v>
      </c>
    </row>
    <row r="3114" spans="2:13" x14ac:dyDescent="0.25">
      <c r="B3114" s="31" t="s">
        <v>26299</v>
      </c>
      <c r="C3114" s="25" t="s">
        <v>25968</v>
      </c>
      <c r="D3114" s="25" t="s">
        <v>26232</v>
      </c>
      <c r="E3114" s="25" t="s">
        <v>26306</v>
      </c>
      <c r="F3114" s="9" t="str">
        <f t="shared" si="41"/>
        <v>structure with developmental contribution from neural crest</v>
      </c>
      <c r="G3114" s="9" t="s">
        <v>5090</v>
      </c>
      <c r="H3114" s="9" t="s">
        <v>22447</v>
      </c>
      <c r="I3114" s="9" t="s">
        <v>5831</v>
      </c>
      <c r="J3114" s="9" t="s">
        <v>5832</v>
      </c>
      <c r="K3114" s="4" t="s">
        <v>15175</v>
      </c>
      <c r="L3114" s="13">
        <v>10966</v>
      </c>
      <c r="M3114" t="str">
        <f>VLOOKUP(L3114,[1]Human_BrainSpan!$B$2:$C$4000,2,FALSE)</f>
        <v>A40in6</v>
      </c>
    </row>
    <row r="3115" spans="2:13" x14ac:dyDescent="0.25">
      <c r="B3115" s="31" t="s">
        <v>26299</v>
      </c>
      <c r="C3115" s="25" t="s">
        <v>25968</v>
      </c>
      <c r="D3115" s="25" t="s">
        <v>26232</v>
      </c>
      <c r="E3115" s="25" t="s">
        <v>26306</v>
      </c>
      <c r="F3115" s="9" t="str">
        <f t="shared" si="41"/>
        <v>structure with developmental contribution from neural crest</v>
      </c>
      <c r="G3115" s="9" t="s">
        <v>5090</v>
      </c>
      <c r="H3115" s="9" t="s">
        <v>22465</v>
      </c>
      <c r="I3115" s="9" t="s">
        <v>5833</v>
      </c>
      <c r="J3115" s="9" t="s">
        <v>5834</v>
      </c>
      <c r="K3115" s="4" t="s">
        <v>15175</v>
      </c>
      <c r="L3115" s="13">
        <v>10967</v>
      </c>
      <c r="M3115" t="str">
        <f>VLOOKUP(L3115,[1]Human_BrainSpan!$B$2:$C$4000,2,FALSE)</f>
        <v>A39r1</v>
      </c>
    </row>
    <row r="3116" spans="2:13" x14ac:dyDescent="0.25">
      <c r="B3116" s="31" t="s">
        <v>26299</v>
      </c>
      <c r="C3116" s="25" t="s">
        <v>25968</v>
      </c>
      <c r="D3116" s="25" t="s">
        <v>26232</v>
      </c>
      <c r="E3116" s="25" t="s">
        <v>26306</v>
      </c>
      <c r="F3116" s="9" t="str">
        <f t="shared" si="41"/>
        <v>structure with developmental contribution from neural crest</v>
      </c>
      <c r="G3116" s="9" t="s">
        <v>5090</v>
      </c>
      <c r="H3116" s="9" t="s">
        <v>22466</v>
      </c>
      <c r="I3116" s="9" t="s">
        <v>5835</v>
      </c>
      <c r="J3116" s="9" t="s">
        <v>5836</v>
      </c>
      <c r="K3116" s="4" t="s">
        <v>15175</v>
      </c>
      <c r="L3116" s="13">
        <v>10968</v>
      </c>
      <c r="M3116" t="str">
        <f>VLOOKUP(L3116,[1]Human_BrainSpan!$B$2:$C$4000,2,FALSE)</f>
        <v>A39r2</v>
      </c>
    </row>
    <row r="3117" spans="2:13" x14ac:dyDescent="0.25">
      <c r="B3117" s="31" t="s">
        <v>26299</v>
      </c>
      <c r="C3117" s="25" t="s">
        <v>25968</v>
      </c>
      <c r="D3117" s="25" t="s">
        <v>26232</v>
      </c>
      <c r="E3117" s="25" t="s">
        <v>26306</v>
      </c>
      <c r="F3117" s="9" t="str">
        <f t="shared" si="41"/>
        <v>structure with developmental contribution from neural crest</v>
      </c>
      <c r="G3117" s="9" t="s">
        <v>5090</v>
      </c>
      <c r="H3117" s="9" t="s">
        <v>22467</v>
      </c>
      <c r="I3117" s="9" t="s">
        <v>5837</v>
      </c>
      <c r="J3117" s="9" t="s">
        <v>5838</v>
      </c>
      <c r="K3117" s="4" t="s">
        <v>15175</v>
      </c>
      <c r="L3117" s="13">
        <v>10969</v>
      </c>
      <c r="M3117" t="str">
        <f>VLOOKUP(L3117,[1]Human_BrainSpan!$B$2:$C$4000,2,FALSE)</f>
        <v>A39r3</v>
      </c>
    </row>
    <row r="3118" spans="2:13" x14ac:dyDescent="0.25">
      <c r="B3118" s="31" t="s">
        <v>26299</v>
      </c>
      <c r="C3118" s="25" t="s">
        <v>25968</v>
      </c>
      <c r="D3118" s="25" t="s">
        <v>26232</v>
      </c>
      <c r="E3118" s="25" t="s">
        <v>26306</v>
      </c>
      <c r="F3118" s="9" t="str">
        <f t="shared" si="41"/>
        <v>structure with developmental contribution from neural crest</v>
      </c>
      <c r="G3118" s="9" t="s">
        <v>5090</v>
      </c>
      <c r="H3118" s="9" t="s">
        <v>22468</v>
      </c>
      <c r="I3118" s="9" t="s">
        <v>5839</v>
      </c>
      <c r="J3118" s="9" t="s">
        <v>5840</v>
      </c>
      <c r="K3118" s="4" t="s">
        <v>15175</v>
      </c>
      <c r="L3118" s="13">
        <v>10970</v>
      </c>
      <c r="M3118" t="str">
        <f>VLOOKUP(L3118,[1]Human_BrainSpan!$B$2:$C$4000,2,FALSE)</f>
        <v>A39r4</v>
      </c>
    </row>
    <row r="3119" spans="2:13" x14ac:dyDescent="0.25">
      <c r="B3119" s="31" t="s">
        <v>26299</v>
      </c>
      <c r="C3119" s="25" t="s">
        <v>25968</v>
      </c>
      <c r="D3119" s="25" t="s">
        <v>26232</v>
      </c>
      <c r="E3119" s="25" t="s">
        <v>26306</v>
      </c>
      <c r="F3119" s="9" t="str">
        <f t="shared" si="41"/>
        <v>structure with developmental contribution from neural crest</v>
      </c>
      <c r="G3119" s="9" t="s">
        <v>5090</v>
      </c>
      <c r="H3119" s="9" t="s">
        <v>22469</v>
      </c>
      <c r="I3119" s="9" t="s">
        <v>5841</v>
      </c>
      <c r="J3119" s="9" t="s">
        <v>5842</v>
      </c>
      <c r="K3119" s="4" t="s">
        <v>15175</v>
      </c>
      <c r="L3119" s="13">
        <v>10971</v>
      </c>
      <c r="M3119" t="str">
        <f>VLOOKUP(L3119,[1]Human_BrainSpan!$B$2:$C$4000,2,FALSE)</f>
        <v>A39r5</v>
      </c>
    </row>
    <row r="3120" spans="2:13" x14ac:dyDescent="0.25">
      <c r="B3120" s="31" t="s">
        <v>26299</v>
      </c>
      <c r="C3120" s="25" t="s">
        <v>25968</v>
      </c>
      <c r="D3120" s="25" t="s">
        <v>26232</v>
      </c>
      <c r="E3120" s="25" t="s">
        <v>26306</v>
      </c>
      <c r="F3120" s="9" t="str">
        <f t="shared" si="41"/>
        <v>structure with developmental contribution from neural crest</v>
      </c>
      <c r="G3120" s="9" t="s">
        <v>5090</v>
      </c>
      <c r="H3120" s="9" t="s">
        <v>22470</v>
      </c>
      <c r="I3120" s="9" t="s">
        <v>5843</v>
      </c>
      <c r="J3120" s="9" t="s">
        <v>5844</v>
      </c>
      <c r="K3120" s="4" t="s">
        <v>15175</v>
      </c>
      <c r="L3120" s="13">
        <v>10972</v>
      </c>
      <c r="M3120" t="str">
        <f>VLOOKUP(L3120,[1]Human_BrainSpan!$B$2:$C$4000,2,FALSE)</f>
        <v>A39r6</v>
      </c>
    </row>
    <row r="3121" spans="2:13" x14ac:dyDescent="0.25">
      <c r="B3121" s="31" t="s">
        <v>26299</v>
      </c>
      <c r="C3121" s="25" t="s">
        <v>25968</v>
      </c>
      <c r="D3121" s="25" t="s">
        <v>26232</v>
      </c>
      <c r="E3121" s="25" t="s">
        <v>26306</v>
      </c>
      <c r="F3121" s="9" t="str">
        <f t="shared" si="41"/>
        <v>structure with developmental contribution from neural crest</v>
      </c>
      <c r="G3121" s="9" t="s">
        <v>5090</v>
      </c>
      <c r="H3121" s="9" t="s">
        <v>22472</v>
      </c>
      <c r="I3121" s="9" t="s">
        <v>5845</v>
      </c>
      <c r="J3121" s="9" t="s">
        <v>5846</v>
      </c>
      <c r="K3121" s="4" t="s">
        <v>15175</v>
      </c>
      <c r="L3121" s="13">
        <v>10973</v>
      </c>
      <c r="M3121" t="str">
        <f>VLOOKUP(L3121,[1]Human_BrainSpan!$B$2:$C$4000,2,FALSE)</f>
        <v>A39c1</v>
      </c>
    </row>
    <row r="3122" spans="2:13" x14ac:dyDescent="0.25">
      <c r="B3122" s="31" t="s">
        <v>26299</v>
      </c>
      <c r="C3122" s="25" t="s">
        <v>25968</v>
      </c>
      <c r="D3122" s="25" t="s">
        <v>26232</v>
      </c>
      <c r="E3122" s="25" t="s">
        <v>26306</v>
      </c>
      <c r="F3122" s="9" t="str">
        <f t="shared" si="41"/>
        <v>structure with developmental contribution from neural crest</v>
      </c>
      <c r="G3122" s="9" t="s">
        <v>5090</v>
      </c>
      <c r="H3122" s="9" t="s">
        <v>22473</v>
      </c>
      <c r="I3122" s="9" t="s">
        <v>5847</v>
      </c>
      <c r="J3122" s="9" t="s">
        <v>5848</v>
      </c>
      <c r="K3122" s="4" t="s">
        <v>15175</v>
      </c>
      <c r="L3122" s="13">
        <v>10974</v>
      </c>
      <c r="M3122" t="str">
        <f>VLOOKUP(L3122,[1]Human_BrainSpan!$B$2:$C$4000,2,FALSE)</f>
        <v>A39c2</v>
      </c>
    </row>
    <row r="3123" spans="2:13" x14ac:dyDescent="0.25">
      <c r="B3123" s="31" t="s">
        <v>26299</v>
      </c>
      <c r="C3123" s="25" t="s">
        <v>25968</v>
      </c>
      <c r="D3123" s="25" t="s">
        <v>26232</v>
      </c>
      <c r="E3123" s="25" t="s">
        <v>26306</v>
      </c>
      <c r="F3123" s="9" t="str">
        <f t="shared" si="41"/>
        <v>structure with developmental contribution from neural crest</v>
      </c>
      <c r="G3123" s="9" t="s">
        <v>5090</v>
      </c>
      <c r="H3123" s="9" t="s">
        <v>22474</v>
      </c>
      <c r="I3123" s="9" t="s">
        <v>5849</v>
      </c>
      <c r="J3123" s="9" t="s">
        <v>5850</v>
      </c>
      <c r="K3123" s="4" t="s">
        <v>15175</v>
      </c>
      <c r="L3123" s="13">
        <v>10975</v>
      </c>
      <c r="M3123" t="str">
        <f>VLOOKUP(L3123,[1]Human_BrainSpan!$B$2:$C$4000,2,FALSE)</f>
        <v>A39c3</v>
      </c>
    </row>
    <row r="3124" spans="2:13" x14ac:dyDescent="0.25">
      <c r="B3124" s="31" t="s">
        <v>26299</v>
      </c>
      <c r="C3124" s="25" t="s">
        <v>25968</v>
      </c>
      <c r="D3124" s="25" t="s">
        <v>26232</v>
      </c>
      <c r="E3124" s="25" t="s">
        <v>26306</v>
      </c>
      <c r="F3124" s="9" t="str">
        <f t="shared" si="41"/>
        <v>structure with developmental contribution from neural crest</v>
      </c>
      <c r="G3124" s="9" t="s">
        <v>5090</v>
      </c>
      <c r="H3124" s="9" t="s">
        <v>22475</v>
      </c>
      <c r="I3124" s="9" t="s">
        <v>5851</v>
      </c>
      <c r="J3124" s="9" t="s">
        <v>5852</v>
      </c>
      <c r="K3124" s="4" t="s">
        <v>15175</v>
      </c>
      <c r="L3124" s="13">
        <v>10976</v>
      </c>
      <c r="M3124" t="str">
        <f>VLOOKUP(L3124,[1]Human_BrainSpan!$B$2:$C$4000,2,FALSE)</f>
        <v>A39c4</v>
      </c>
    </row>
    <row r="3125" spans="2:13" x14ac:dyDescent="0.25">
      <c r="B3125" s="31" t="s">
        <v>26299</v>
      </c>
      <c r="C3125" s="25" t="s">
        <v>25968</v>
      </c>
      <c r="D3125" s="25" t="s">
        <v>26232</v>
      </c>
      <c r="E3125" s="25" t="s">
        <v>26306</v>
      </c>
      <c r="F3125" s="9" t="str">
        <f t="shared" si="41"/>
        <v>structure with developmental contribution from neural crest</v>
      </c>
      <c r="G3125" s="9" t="s">
        <v>5090</v>
      </c>
      <c r="H3125" s="9" t="s">
        <v>22476</v>
      </c>
      <c r="I3125" s="9" t="s">
        <v>5853</v>
      </c>
      <c r="J3125" s="9" t="s">
        <v>5854</v>
      </c>
      <c r="K3125" s="4" t="s">
        <v>15175</v>
      </c>
      <c r="L3125" s="13">
        <v>10977</v>
      </c>
      <c r="M3125" t="str">
        <f>VLOOKUP(L3125,[1]Human_BrainSpan!$B$2:$C$4000,2,FALSE)</f>
        <v>A39c5</v>
      </c>
    </row>
    <row r="3126" spans="2:13" x14ac:dyDescent="0.25">
      <c r="B3126" s="31" t="s">
        <v>26299</v>
      </c>
      <c r="C3126" s="25" t="s">
        <v>25968</v>
      </c>
      <c r="D3126" s="25" t="s">
        <v>26232</v>
      </c>
      <c r="E3126" s="25" t="s">
        <v>26306</v>
      </c>
      <c r="F3126" s="9" t="str">
        <f t="shared" si="41"/>
        <v>structure with developmental contribution from neural crest</v>
      </c>
      <c r="G3126" s="9" t="s">
        <v>5090</v>
      </c>
      <c r="H3126" s="9" t="s">
        <v>22477</v>
      </c>
      <c r="I3126" s="9" t="s">
        <v>5855</v>
      </c>
      <c r="J3126" s="9" t="s">
        <v>5856</v>
      </c>
      <c r="K3126" s="4" t="s">
        <v>15175</v>
      </c>
      <c r="L3126" s="13">
        <v>10978</v>
      </c>
      <c r="M3126" t="str">
        <f>VLOOKUP(L3126,[1]Human_BrainSpan!$B$2:$C$4000,2,FALSE)</f>
        <v>A39c6</v>
      </c>
    </row>
    <row r="3127" spans="2:13" x14ac:dyDescent="0.25">
      <c r="B3127" s="31" t="s">
        <v>26299</v>
      </c>
      <c r="C3127" s="25" t="s">
        <v>26244</v>
      </c>
      <c r="D3127" s="25" t="s">
        <v>26232</v>
      </c>
      <c r="E3127" s="25" t="s">
        <v>26306</v>
      </c>
      <c r="F3127" s="9" t="str">
        <f t="shared" ref="F3127:F3190" si="42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3127" s="9" t="s">
        <v>5090</v>
      </c>
      <c r="H3127" s="9" t="s">
        <v>22363</v>
      </c>
      <c r="I3127" s="9" t="s">
        <v>5857</v>
      </c>
      <c r="J3127" s="9" t="s">
        <v>5858</v>
      </c>
      <c r="K3127" s="4" t="s">
        <v>15175</v>
      </c>
      <c r="L3127" s="13">
        <v>10979</v>
      </c>
      <c r="M3127" t="str">
        <f>VLOOKUP(L3127,[1]Human_BrainSpan!$B$2:$C$4000,2,FALSE)</f>
        <v>A5ci1</v>
      </c>
    </row>
    <row r="3128" spans="2:13" x14ac:dyDescent="0.25">
      <c r="B3128" s="31" t="s">
        <v>26299</v>
      </c>
      <c r="C3128" s="25" t="s">
        <v>26244</v>
      </c>
      <c r="D3128" s="25" t="s">
        <v>26232</v>
      </c>
      <c r="E3128" s="25" t="s">
        <v>26306</v>
      </c>
      <c r="F3128" s="9" t="str">
        <f t="shared" si="42"/>
        <v>structure with developmental contribution from neural crest</v>
      </c>
      <c r="G3128" s="9" t="s">
        <v>5090</v>
      </c>
      <c r="H3128" s="9" t="s">
        <v>22364</v>
      </c>
      <c r="I3128" s="9" t="s">
        <v>5859</v>
      </c>
      <c r="J3128" s="9" t="s">
        <v>5860</v>
      </c>
      <c r="K3128" s="4" t="s">
        <v>15175</v>
      </c>
      <c r="L3128" s="13">
        <v>10980</v>
      </c>
      <c r="M3128" t="str">
        <f>VLOOKUP(L3128,[1]Human_BrainSpan!$B$2:$C$4000,2,FALSE)</f>
        <v>A5ci2</v>
      </c>
    </row>
    <row r="3129" spans="2:13" x14ac:dyDescent="0.25">
      <c r="B3129" s="31" t="s">
        <v>26299</v>
      </c>
      <c r="C3129" s="25" t="s">
        <v>26244</v>
      </c>
      <c r="D3129" s="25" t="s">
        <v>26232</v>
      </c>
      <c r="E3129" s="25" t="s">
        <v>26306</v>
      </c>
      <c r="F3129" s="9" t="str">
        <f t="shared" si="42"/>
        <v>structure with developmental contribution from neural crest</v>
      </c>
      <c r="G3129" s="9" t="s">
        <v>5090</v>
      </c>
      <c r="H3129" s="9" t="s">
        <v>22365</v>
      </c>
      <c r="I3129" s="9" t="s">
        <v>5861</v>
      </c>
      <c r="J3129" s="9" t="s">
        <v>5862</v>
      </c>
      <c r="K3129" s="4" t="s">
        <v>15175</v>
      </c>
      <c r="L3129" s="13">
        <v>10981</v>
      </c>
      <c r="M3129" t="str">
        <f>VLOOKUP(L3129,[1]Human_BrainSpan!$B$2:$C$4000,2,FALSE)</f>
        <v>A5ci3</v>
      </c>
    </row>
    <row r="3130" spans="2:13" x14ac:dyDescent="0.25">
      <c r="B3130" s="31" t="s">
        <v>26299</v>
      </c>
      <c r="C3130" s="25" t="s">
        <v>26244</v>
      </c>
      <c r="D3130" s="25" t="s">
        <v>26232</v>
      </c>
      <c r="E3130" s="25" t="s">
        <v>26306</v>
      </c>
      <c r="F3130" s="9" t="str">
        <f t="shared" si="42"/>
        <v>structure with developmental contribution from neural crest</v>
      </c>
      <c r="G3130" s="9" t="s">
        <v>5090</v>
      </c>
      <c r="H3130" s="9" t="s">
        <v>22366</v>
      </c>
      <c r="I3130" s="9" t="s">
        <v>5863</v>
      </c>
      <c r="J3130" s="9" t="s">
        <v>5864</v>
      </c>
      <c r="K3130" s="4" t="s">
        <v>15175</v>
      </c>
      <c r="L3130" s="13">
        <v>10982</v>
      </c>
      <c r="M3130" t="str">
        <f>VLOOKUP(L3130,[1]Human_BrainSpan!$B$2:$C$4000,2,FALSE)</f>
        <v>A5ci4</v>
      </c>
    </row>
    <row r="3131" spans="2:13" x14ac:dyDescent="0.25">
      <c r="B3131" s="31" t="s">
        <v>26299</v>
      </c>
      <c r="C3131" s="25" t="s">
        <v>26244</v>
      </c>
      <c r="D3131" s="25" t="s">
        <v>26232</v>
      </c>
      <c r="E3131" s="25" t="s">
        <v>26306</v>
      </c>
      <c r="F3131" s="9" t="str">
        <f t="shared" si="42"/>
        <v>structure with developmental contribution from neural crest</v>
      </c>
      <c r="G3131" s="9" t="s">
        <v>5090</v>
      </c>
      <c r="H3131" s="9" t="s">
        <v>22367</v>
      </c>
      <c r="I3131" s="9" t="s">
        <v>5865</v>
      </c>
      <c r="J3131" s="9" t="s">
        <v>5866</v>
      </c>
      <c r="K3131" s="4" t="s">
        <v>15175</v>
      </c>
      <c r="L3131" s="13">
        <v>10983</v>
      </c>
      <c r="M3131" t="str">
        <f>VLOOKUP(L3131,[1]Human_BrainSpan!$B$2:$C$4000,2,FALSE)</f>
        <v>A5ci5</v>
      </c>
    </row>
    <row r="3132" spans="2:13" x14ac:dyDescent="0.25">
      <c r="B3132" s="31" t="s">
        <v>26299</v>
      </c>
      <c r="C3132" s="25" t="s">
        <v>26244</v>
      </c>
      <c r="D3132" s="25" t="s">
        <v>26232</v>
      </c>
      <c r="E3132" s="25" t="s">
        <v>26306</v>
      </c>
      <c r="F3132" s="9" t="str">
        <f t="shared" si="42"/>
        <v>structure with developmental contribution from neural crest</v>
      </c>
      <c r="G3132" s="9" t="s">
        <v>5090</v>
      </c>
      <c r="H3132" s="9" t="s">
        <v>22368</v>
      </c>
      <c r="I3132" s="9" t="s">
        <v>5867</v>
      </c>
      <c r="J3132" s="9" t="s">
        <v>5868</v>
      </c>
      <c r="K3132" s="4" t="s">
        <v>15175</v>
      </c>
      <c r="L3132" s="13">
        <v>10984</v>
      </c>
      <c r="M3132" t="str">
        <f>VLOOKUP(L3132,[1]Human_BrainSpan!$B$2:$C$4000,2,FALSE)</f>
        <v>A5ci6</v>
      </c>
    </row>
    <row r="3133" spans="2:13" x14ac:dyDescent="0.25">
      <c r="B3133" s="31" t="s">
        <v>26299</v>
      </c>
      <c r="C3133" s="25" t="s">
        <v>26244</v>
      </c>
      <c r="D3133" s="25" t="s">
        <v>26232</v>
      </c>
      <c r="E3133" s="25" t="s">
        <v>26306</v>
      </c>
      <c r="F3133" s="9" t="str">
        <f t="shared" si="42"/>
        <v>structure with developmental contribution from neural crest</v>
      </c>
      <c r="G3133" s="9" t="s">
        <v>5090</v>
      </c>
      <c r="H3133" s="9" t="s">
        <v>22370</v>
      </c>
      <c r="I3133" s="9" t="s">
        <v>5869</v>
      </c>
      <c r="J3133" s="9" t="s">
        <v>5870</v>
      </c>
      <c r="K3133" s="4" t="s">
        <v>15175</v>
      </c>
      <c r="L3133" s="13">
        <v>10985</v>
      </c>
      <c r="M3133" t="str">
        <f>VLOOKUP(L3133,[1]Human_BrainSpan!$B$2:$C$4000,2,FALSE)</f>
        <v>A5l1</v>
      </c>
    </row>
    <row r="3134" spans="2:13" x14ac:dyDescent="0.25">
      <c r="B3134" s="31" t="s">
        <v>26299</v>
      </c>
      <c r="C3134" s="25" t="s">
        <v>26244</v>
      </c>
      <c r="D3134" s="25" t="s">
        <v>26232</v>
      </c>
      <c r="E3134" s="25" t="s">
        <v>26306</v>
      </c>
      <c r="F3134" s="9" t="str">
        <f t="shared" si="42"/>
        <v>structure with developmental contribution from neural crest</v>
      </c>
      <c r="G3134" s="9" t="s">
        <v>5090</v>
      </c>
      <c r="H3134" s="9" t="s">
        <v>22371</v>
      </c>
      <c r="I3134" s="9" t="s">
        <v>5871</v>
      </c>
      <c r="J3134" s="9" t="s">
        <v>5872</v>
      </c>
      <c r="K3134" s="4" t="s">
        <v>15175</v>
      </c>
      <c r="L3134" s="13">
        <v>10986</v>
      </c>
      <c r="M3134" t="str">
        <f>VLOOKUP(L3134,[1]Human_BrainSpan!$B$2:$C$4000,2,FALSE)</f>
        <v>A5l2</v>
      </c>
    </row>
    <row r="3135" spans="2:13" x14ac:dyDescent="0.25">
      <c r="B3135" s="31" t="s">
        <v>26299</v>
      </c>
      <c r="C3135" s="25" t="s">
        <v>26244</v>
      </c>
      <c r="D3135" s="25" t="s">
        <v>26232</v>
      </c>
      <c r="E3135" s="25" t="s">
        <v>26306</v>
      </c>
      <c r="F3135" s="9" t="str">
        <f t="shared" si="42"/>
        <v>structure with developmental contribution from neural crest</v>
      </c>
      <c r="G3135" s="9" t="s">
        <v>5090</v>
      </c>
      <c r="H3135" s="9" t="s">
        <v>22372</v>
      </c>
      <c r="I3135" s="9" t="s">
        <v>5873</v>
      </c>
      <c r="J3135" s="9" t="s">
        <v>5874</v>
      </c>
      <c r="K3135" s="4" t="s">
        <v>15175</v>
      </c>
      <c r="L3135" s="13">
        <v>10987</v>
      </c>
      <c r="M3135" t="str">
        <f>VLOOKUP(L3135,[1]Human_BrainSpan!$B$2:$C$4000,2,FALSE)</f>
        <v>A5l3</v>
      </c>
    </row>
    <row r="3136" spans="2:13" x14ac:dyDescent="0.25">
      <c r="B3136" s="31" t="s">
        <v>26299</v>
      </c>
      <c r="C3136" s="25" t="s">
        <v>26244</v>
      </c>
      <c r="D3136" s="25" t="s">
        <v>26232</v>
      </c>
      <c r="E3136" s="25" t="s">
        <v>26306</v>
      </c>
      <c r="F3136" s="9" t="str">
        <f t="shared" si="42"/>
        <v>structure with developmental contribution from neural crest</v>
      </c>
      <c r="G3136" s="9" t="s">
        <v>5090</v>
      </c>
      <c r="H3136" s="9" t="s">
        <v>22373</v>
      </c>
      <c r="I3136" s="9" t="s">
        <v>5875</v>
      </c>
      <c r="J3136" s="9" t="s">
        <v>5876</v>
      </c>
      <c r="K3136" s="4" t="s">
        <v>15175</v>
      </c>
      <c r="L3136" s="13">
        <v>10988</v>
      </c>
      <c r="M3136" t="str">
        <f>VLOOKUP(L3136,[1]Human_BrainSpan!$B$2:$C$4000,2,FALSE)</f>
        <v>A5l4</v>
      </c>
    </row>
    <row r="3137" spans="2:13" x14ac:dyDescent="0.25">
      <c r="B3137" s="31" t="s">
        <v>26299</v>
      </c>
      <c r="C3137" s="25" t="s">
        <v>26244</v>
      </c>
      <c r="D3137" s="25" t="s">
        <v>26232</v>
      </c>
      <c r="E3137" s="25" t="s">
        <v>26306</v>
      </c>
      <c r="F3137" s="9" t="str">
        <f t="shared" si="42"/>
        <v>structure with developmental contribution from neural crest</v>
      </c>
      <c r="G3137" s="9" t="s">
        <v>5090</v>
      </c>
      <c r="H3137" s="9" t="s">
        <v>22374</v>
      </c>
      <c r="I3137" s="9" t="s">
        <v>5877</v>
      </c>
      <c r="J3137" s="9" t="s">
        <v>5878</v>
      </c>
      <c r="K3137" s="4" t="s">
        <v>15175</v>
      </c>
      <c r="L3137" s="13">
        <v>10989</v>
      </c>
      <c r="M3137" t="str">
        <f>VLOOKUP(L3137,[1]Human_BrainSpan!$B$2:$C$4000,2,FALSE)</f>
        <v>A5l5</v>
      </c>
    </row>
    <row r="3138" spans="2:13" x14ac:dyDescent="0.25">
      <c r="B3138" s="31" t="s">
        <v>26299</v>
      </c>
      <c r="C3138" s="25" t="s">
        <v>26244</v>
      </c>
      <c r="D3138" s="25" t="s">
        <v>26232</v>
      </c>
      <c r="E3138" s="25" t="s">
        <v>26306</v>
      </c>
      <c r="F3138" s="9" t="str">
        <f t="shared" si="42"/>
        <v>structure with developmental contribution from neural crest</v>
      </c>
      <c r="G3138" s="9" t="s">
        <v>5090</v>
      </c>
      <c r="H3138" s="9" t="s">
        <v>22375</v>
      </c>
      <c r="I3138" s="9" t="s">
        <v>5879</v>
      </c>
      <c r="J3138" s="9" t="s">
        <v>5880</v>
      </c>
      <c r="K3138" s="4" t="s">
        <v>15175</v>
      </c>
      <c r="L3138" s="13">
        <v>10990</v>
      </c>
      <c r="M3138" t="str">
        <f>VLOOKUP(L3138,[1]Human_BrainSpan!$B$2:$C$4000,2,FALSE)</f>
        <v>A5l6</v>
      </c>
    </row>
    <row r="3139" spans="2:13" x14ac:dyDescent="0.25">
      <c r="B3139" s="31" t="s">
        <v>26299</v>
      </c>
      <c r="C3139" s="25" t="s">
        <v>26244</v>
      </c>
      <c r="D3139" s="25" t="s">
        <v>26232</v>
      </c>
      <c r="E3139" s="25" t="s">
        <v>26306</v>
      </c>
      <c r="F3139" s="9" t="str">
        <f t="shared" si="42"/>
        <v>structure with developmental contribution from neural crest</v>
      </c>
      <c r="G3139" s="9" t="s">
        <v>5090</v>
      </c>
      <c r="H3139" s="9" t="s">
        <v>22377</v>
      </c>
      <c r="I3139" s="9" t="s">
        <v>5881</v>
      </c>
      <c r="J3139" s="9" t="s">
        <v>5882</v>
      </c>
      <c r="K3139" s="4" t="s">
        <v>15175</v>
      </c>
      <c r="L3139" s="13">
        <v>10991</v>
      </c>
      <c r="M3139" t="str">
        <f>VLOOKUP(L3139,[1]Human_BrainSpan!$B$2:$C$4000,2,FALSE)</f>
        <v>A5m1</v>
      </c>
    </row>
    <row r="3140" spans="2:13" x14ac:dyDescent="0.25">
      <c r="B3140" s="31" t="s">
        <v>26299</v>
      </c>
      <c r="C3140" s="25" t="s">
        <v>26244</v>
      </c>
      <c r="D3140" s="25" t="s">
        <v>26232</v>
      </c>
      <c r="E3140" s="25" t="s">
        <v>26306</v>
      </c>
      <c r="F3140" s="9" t="str">
        <f t="shared" si="42"/>
        <v>structure with developmental contribution from neural crest</v>
      </c>
      <c r="G3140" s="9" t="s">
        <v>5090</v>
      </c>
      <c r="H3140" s="9" t="s">
        <v>22378</v>
      </c>
      <c r="I3140" s="9" t="s">
        <v>5883</v>
      </c>
      <c r="J3140" s="9" t="s">
        <v>5884</v>
      </c>
      <c r="K3140" s="4" t="s">
        <v>15175</v>
      </c>
      <c r="L3140" s="13">
        <v>10992</v>
      </c>
      <c r="M3140" t="str">
        <f>VLOOKUP(L3140,[1]Human_BrainSpan!$B$2:$C$4000,2,FALSE)</f>
        <v>A5m2</v>
      </c>
    </row>
    <row r="3141" spans="2:13" x14ac:dyDescent="0.25">
      <c r="B3141" s="31" t="s">
        <v>26299</v>
      </c>
      <c r="C3141" s="25" t="s">
        <v>26244</v>
      </c>
      <c r="D3141" s="25" t="s">
        <v>26232</v>
      </c>
      <c r="E3141" s="25" t="s">
        <v>26306</v>
      </c>
      <c r="F3141" s="9" t="str">
        <f t="shared" si="42"/>
        <v>structure with developmental contribution from neural crest</v>
      </c>
      <c r="G3141" s="9" t="s">
        <v>5090</v>
      </c>
      <c r="H3141" s="9" t="s">
        <v>22379</v>
      </c>
      <c r="I3141" s="9" t="s">
        <v>5885</v>
      </c>
      <c r="J3141" s="9" t="s">
        <v>5886</v>
      </c>
      <c r="K3141" s="4" t="s">
        <v>15175</v>
      </c>
      <c r="L3141" s="13">
        <v>10993</v>
      </c>
      <c r="M3141" t="str">
        <f>VLOOKUP(L3141,[1]Human_BrainSpan!$B$2:$C$4000,2,FALSE)</f>
        <v>A5m3</v>
      </c>
    </row>
    <row r="3142" spans="2:13" x14ac:dyDescent="0.25">
      <c r="B3142" s="31" t="s">
        <v>26299</v>
      </c>
      <c r="C3142" s="25" t="s">
        <v>26244</v>
      </c>
      <c r="D3142" s="25" t="s">
        <v>26232</v>
      </c>
      <c r="E3142" s="25" t="s">
        <v>26306</v>
      </c>
      <c r="F3142" s="9" t="str">
        <f t="shared" si="42"/>
        <v>structure with developmental contribution from neural crest</v>
      </c>
      <c r="G3142" s="9" t="s">
        <v>5090</v>
      </c>
      <c r="H3142" s="9" t="s">
        <v>22380</v>
      </c>
      <c r="I3142" s="9" t="s">
        <v>5887</v>
      </c>
      <c r="J3142" s="9" t="s">
        <v>5888</v>
      </c>
      <c r="K3142" s="4" t="s">
        <v>15175</v>
      </c>
      <c r="L3142" s="13">
        <v>10994</v>
      </c>
      <c r="M3142" t="str">
        <f>VLOOKUP(L3142,[1]Human_BrainSpan!$B$2:$C$4000,2,FALSE)</f>
        <v>A5m4</v>
      </c>
    </row>
    <row r="3143" spans="2:13" x14ac:dyDescent="0.25">
      <c r="B3143" s="31" t="s">
        <v>26299</v>
      </c>
      <c r="C3143" s="25" t="s">
        <v>26244</v>
      </c>
      <c r="D3143" s="25" t="s">
        <v>26232</v>
      </c>
      <c r="E3143" s="25" t="s">
        <v>26306</v>
      </c>
      <c r="F3143" s="9" t="str">
        <f t="shared" si="42"/>
        <v>structure with developmental contribution from neural crest</v>
      </c>
      <c r="G3143" s="9" t="s">
        <v>5090</v>
      </c>
      <c r="H3143" s="9" t="s">
        <v>22381</v>
      </c>
      <c r="I3143" s="9" t="s">
        <v>5889</v>
      </c>
      <c r="J3143" s="9" t="s">
        <v>5890</v>
      </c>
      <c r="K3143" s="4" t="s">
        <v>15175</v>
      </c>
      <c r="L3143" s="13">
        <v>10995</v>
      </c>
      <c r="M3143" t="str">
        <f>VLOOKUP(L3143,[1]Human_BrainSpan!$B$2:$C$4000,2,FALSE)</f>
        <v>A5m5</v>
      </c>
    </row>
    <row r="3144" spans="2:13" x14ac:dyDescent="0.25">
      <c r="B3144" s="31" t="s">
        <v>26299</v>
      </c>
      <c r="C3144" s="25" t="s">
        <v>26244</v>
      </c>
      <c r="D3144" s="25" t="s">
        <v>26232</v>
      </c>
      <c r="E3144" s="25" t="s">
        <v>26306</v>
      </c>
      <c r="F3144" s="9" t="str">
        <f t="shared" si="42"/>
        <v>structure with developmental contribution from neural crest</v>
      </c>
      <c r="G3144" s="9" t="s">
        <v>5090</v>
      </c>
      <c r="H3144" s="9" t="s">
        <v>22382</v>
      </c>
      <c r="I3144" s="9" t="s">
        <v>5891</v>
      </c>
      <c r="J3144" s="9" t="s">
        <v>5892</v>
      </c>
      <c r="K3144" s="4" t="s">
        <v>15175</v>
      </c>
      <c r="L3144" s="13">
        <v>10996</v>
      </c>
      <c r="M3144" t="str">
        <f>VLOOKUP(L3144,[1]Human_BrainSpan!$B$2:$C$4000,2,FALSE)</f>
        <v>A5m6</v>
      </c>
    </row>
    <row r="3145" spans="2:13" x14ac:dyDescent="0.25">
      <c r="B3145" s="31" t="s">
        <v>26303</v>
      </c>
      <c r="C3145" s="20"/>
      <c r="D3145" s="25" t="s">
        <v>26185</v>
      </c>
      <c r="E3145" s="25" t="s">
        <v>26307</v>
      </c>
      <c r="F3145" s="9" t="str">
        <f t="shared" si="42"/>
        <v>structure with developmental contribution from neural crest</v>
      </c>
      <c r="G3145" s="9" t="s">
        <v>5090</v>
      </c>
      <c r="H3145" s="9" t="s">
        <v>22384</v>
      </c>
      <c r="I3145" s="9" t="s">
        <v>5893</v>
      </c>
      <c r="J3145" s="9" t="s">
        <v>5894</v>
      </c>
      <c r="K3145" s="4" t="s">
        <v>15175</v>
      </c>
      <c r="L3145" s="13">
        <v>10997</v>
      </c>
      <c r="M3145" t="str">
        <f>VLOOKUP(L3145,[1]Human_BrainSpan!$B$2:$C$4000,2,FALSE)</f>
        <v>A7r1</v>
      </c>
    </row>
    <row r="3146" spans="2:13" x14ac:dyDescent="0.25">
      <c r="B3146" s="31" t="s">
        <v>26303</v>
      </c>
      <c r="C3146" s="20"/>
      <c r="D3146" s="25" t="s">
        <v>26185</v>
      </c>
      <c r="E3146" s="25" t="s">
        <v>26307</v>
      </c>
      <c r="F3146" s="9" t="str">
        <f t="shared" si="42"/>
        <v>structure with developmental contribution from neural crest</v>
      </c>
      <c r="G3146" s="9" t="s">
        <v>5090</v>
      </c>
      <c r="H3146" s="9" t="s">
        <v>22385</v>
      </c>
      <c r="I3146" s="9" t="s">
        <v>5895</v>
      </c>
      <c r="J3146" s="9" t="s">
        <v>5896</v>
      </c>
      <c r="K3146" s="4" t="s">
        <v>15175</v>
      </c>
      <c r="L3146" s="13">
        <v>10998</v>
      </c>
      <c r="M3146" t="str">
        <f>VLOOKUP(L3146,[1]Human_BrainSpan!$B$2:$C$4000,2,FALSE)</f>
        <v>A7r2</v>
      </c>
    </row>
    <row r="3147" spans="2:13" x14ac:dyDescent="0.25">
      <c r="B3147" s="31" t="s">
        <v>26303</v>
      </c>
      <c r="C3147" s="20"/>
      <c r="D3147" s="25" t="s">
        <v>26185</v>
      </c>
      <c r="E3147" s="25" t="s">
        <v>26307</v>
      </c>
      <c r="F3147" s="9" t="str">
        <f t="shared" si="42"/>
        <v>structure with developmental contribution from neural crest</v>
      </c>
      <c r="G3147" s="9" t="s">
        <v>5090</v>
      </c>
      <c r="H3147" s="9" t="s">
        <v>22386</v>
      </c>
      <c r="I3147" s="9" t="s">
        <v>5897</v>
      </c>
      <c r="J3147" s="9" t="s">
        <v>5898</v>
      </c>
      <c r="K3147" s="4" t="s">
        <v>15175</v>
      </c>
      <c r="L3147" s="13">
        <v>10999</v>
      </c>
      <c r="M3147" t="str">
        <f>VLOOKUP(L3147,[1]Human_BrainSpan!$B$2:$C$4000,2,FALSE)</f>
        <v>A7r3</v>
      </c>
    </row>
    <row r="3148" spans="2:13" x14ac:dyDescent="0.25">
      <c r="B3148" s="31" t="s">
        <v>26303</v>
      </c>
      <c r="C3148" s="20"/>
      <c r="D3148" s="25" t="s">
        <v>26185</v>
      </c>
      <c r="E3148" s="25" t="s">
        <v>26307</v>
      </c>
      <c r="F3148" s="9" t="str">
        <f t="shared" si="42"/>
        <v>structure with developmental contribution from neural crest</v>
      </c>
      <c r="G3148" s="9" t="s">
        <v>5090</v>
      </c>
      <c r="H3148" s="9" t="s">
        <v>22387</v>
      </c>
      <c r="I3148" s="9" t="s">
        <v>5899</v>
      </c>
      <c r="J3148" s="9" t="s">
        <v>5900</v>
      </c>
      <c r="K3148" s="4" t="s">
        <v>15175</v>
      </c>
      <c r="L3148" s="13">
        <v>11000</v>
      </c>
      <c r="M3148" t="str">
        <f>VLOOKUP(L3148,[1]Human_BrainSpan!$B$2:$C$4000,2,FALSE)</f>
        <v>A7r4</v>
      </c>
    </row>
    <row r="3149" spans="2:13" x14ac:dyDescent="0.25">
      <c r="B3149" s="31" t="s">
        <v>26303</v>
      </c>
      <c r="C3149" s="20"/>
      <c r="D3149" s="25" t="s">
        <v>26185</v>
      </c>
      <c r="E3149" s="25" t="s">
        <v>26307</v>
      </c>
      <c r="F3149" s="9" t="str">
        <f t="shared" si="42"/>
        <v>structure with developmental contribution from neural crest</v>
      </c>
      <c r="G3149" s="9" t="s">
        <v>5090</v>
      </c>
      <c r="H3149" s="9" t="s">
        <v>22388</v>
      </c>
      <c r="I3149" s="9" t="s">
        <v>5901</v>
      </c>
      <c r="J3149" s="9" t="s">
        <v>5902</v>
      </c>
      <c r="K3149" s="4" t="s">
        <v>15175</v>
      </c>
      <c r="L3149" s="13">
        <v>11001</v>
      </c>
      <c r="M3149" t="str">
        <f>VLOOKUP(L3149,[1]Human_BrainSpan!$B$2:$C$4000,2,FALSE)</f>
        <v>A7r5</v>
      </c>
    </row>
    <row r="3150" spans="2:13" x14ac:dyDescent="0.25">
      <c r="B3150" s="31" t="s">
        <v>26303</v>
      </c>
      <c r="C3150" s="20"/>
      <c r="D3150" s="25" t="s">
        <v>26185</v>
      </c>
      <c r="E3150" s="25" t="s">
        <v>26307</v>
      </c>
      <c r="F3150" s="9" t="str">
        <f t="shared" si="42"/>
        <v>structure with developmental contribution from neural crest</v>
      </c>
      <c r="G3150" s="9" t="s">
        <v>5090</v>
      </c>
      <c r="H3150" s="9" t="s">
        <v>22389</v>
      </c>
      <c r="I3150" s="9" t="s">
        <v>5903</v>
      </c>
      <c r="J3150" s="9" t="s">
        <v>5904</v>
      </c>
      <c r="K3150" s="4" t="s">
        <v>15175</v>
      </c>
      <c r="L3150" s="13">
        <v>11002</v>
      </c>
      <c r="M3150" t="str">
        <f>VLOOKUP(L3150,[1]Human_BrainSpan!$B$2:$C$4000,2,FALSE)</f>
        <v>A7r6</v>
      </c>
    </row>
    <row r="3151" spans="2:13" x14ac:dyDescent="0.25">
      <c r="B3151" s="31" t="s">
        <v>26303</v>
      </c>
      <c r="C3151" s="20"/>
      <c r="D3151" s="25" t="s">
        <v>26185</v>
      </c>
      <c r="E3151" s="25" t="s">
        <v>26307</v>
      </c>
      <c r="F3151" s="9" t="str">
        <f t="shared" si="42"/>
        <v>structure with developmental contribution from neural crest</v>
      </c>
      <c r="G3151" s="9" t="s">
        <v>5090</v>
      </c>
      <c r="H3151" s="9" t="s">
        <v>22391</v>
      </c>
      <c r="I3151" s="9" t="s">
        <v>5905</v>
      </c>
      <c r="J3151" s="9" t="s">
        <v>5906</v>
      </c>
      <c r="K3151" s="4" t="s">
        <v>15175</v>
      </c>
      <c r="L3151" s="13">
        <v>11003</v>
      </c>
      <c r="M3151" t="str">
        <f>VLOOKUP(L3151,[1]Human_BrainSpan!$B$2:$C$4000,2,FALSE)</f>
        <v>A7m1</v>
      </c>
    </row>
    <row r="3152" spans="2:13" x14ac:dyDescent="0.25">
      <c r="B3152" s="31" t="s">
        <v>26303</v>
      </c>
      <c r="C3152" s="20"/>
      <c r="D3152" s="25" t="s">
        <v>26185</v>
      </c>
      <c r="E3152" s="25" t="s">
        <v>26307</v>
      </c>
      <c r="F3152" s="9" t="str">
        <f t="shared" si="42"/>
        <v>structure with developmental contribution from neural crest</v>
      </c>
      <c r="G3152" s="9" t="s">
        <v>5090</v>
      </c>
      <c r="H3152" s="9" t="s">
        <v>22392</v>
      </c>
      <c r="I3152" s="9" t="s">
        <v>5907</v>
      </c>
      <c r="J3152" s="9" t="s">
        <v>5908</v>
      </c>
      <c r="K3152" s="4" t="s">
        <v>15175</v>
      </c>
      <c r="L3152" s="13">
        <v>11004</v>
      </c>
      <c r="M3152" t="str">
        <f>VLOOKUP(L3152,[1]Human_BrainSpan!$B$2:$C$4000,2,FALSE)</f>
        <v>A7m2</v>
      </c>
    </row>
    <row r="3153" spans="2:13" x14ac:dyDescent="0.25">
      <c r="B3153" s="31" t="s">
        <v>26303</v>
      </c>
      <c r="C3153" s="20"/>
      <c r="D3153" s="25" t="s">
        <v>26185</v>
      </c>
      <c r="E3153" s="25" t="s">
        <v>26307</v>
      </c>
      <c r="F3153" s="9" t="str">
        <f t="shared" si="42"/>
        <v>structure with developmental contribution from neural crest</v>
      </c>
      <c r="G3153" s="9" t="s">
        <v>5090</v>
      </c>
      <c r="H3153" s="9" t="s">
        <v>22393</v>
      </c>
      <c r="I3153" s="9" t="s">
        <v>5909</v>
      </c>
      <c r="J3153" s="9" t="s">
        <v>5910</v>
      </c>
      <c r="K3153" s="4" t="s">
        <v>15175</v>
      </c>
      <c r="L3153" s="13">
        <v>11005</v>
      </c>
      <c r="M3153" t="str">
        <f>VLOOKUP(L3153,[1]Human_BrainSpan!$B$2:$C$4000,2,FALSE)</f>
        <v>A7m3</v>
      </c>
    </row>
    <row r="3154" spans="2:13" x14ac:dyDescent="0.25">
      <c r="B3154" s="31" t="s">
        <v>26303</v>
      </c>
      <c r="C3154" s="20"/>
      <c r="D3154" s="25" t="s">
        <v>26185</v>
      </c>
      <c r="E3154" s="25" t="s">
        <v>26307</v>
      </c>
      <c r="F3154" s="9" t="str">
        <f t="shared" si="42"/>
        <v>structure with developmental contribution from neural crest</v>
      </c>
      <c r="G3154" s="9" t="s">
        <v>5090</v>
      </c>
      <c r="H3154" s="9" t="s">
        <v>22394</v>
      </c>
      <c r="I3154" s="9" t="s">
        <v>5911</v>
      </c>
      <c r="J3154" s="9" t="s">
        <v>5912</v>
      </c>
      <c r="K3154" s="4" t="s">
        <v>15175</v>
      </c>
      <c r="L3154" s="13">
        <v>11006</v>
      </c>
      <c r="M3154" t="str">
        <f>VLOOKUP(L3154,[1]Human_BrainSpan!$B$2:$C$4000,2,FALSE)</f>
        <v>A7m4</v>
      </c>
    </row>
    <row r="3155" spans="2:13" x14ac:dyDescent="0.25">
      <c r="B3155" s="31" t="s">
        <v>26303</v>
      </c>
      <c r="C3155" s="20"/>
      <c r="D3155" s="25" t="s">
        <v>26185</v>
      </c>
      <c r="E3155" s="25" t="s">
        <v>26307</v>
      </c>
      <c r="F3155" s="9" t="str">
        <f t="shared" si="42"/>
        <v>structure with developmental contribution from neural crest</v>
      </c>
      <c r="G3155" s="9" t="s">
        <v>5090</v>
      </c>
      <c r="H3155" s="9" t="s">
        <v>22395</v>
      </c>
      <c r="I3155" s="9" t="s">
        <v>5913</v>
      </c>
      <c r="J3155" s="9" t="s">
        <v>5914</v>
      </c>
      <c r="K3155" s="4" t="s">
        <v>15175</v>
      </c>
      <c r="L3155" s="13">
        <v>11007</v>
      </c>
      <c r="M3155" t="str">
        <f>VLOOKUP(L3155,[1]Human_BrainSpan!$B$2:$C$4000,2,FALSE)</f>
        <v>A7m5</v>
      </c>
    </row>
    <row r="3156" spans="2:13" x14ac:dyDescent="0.25">
      <c r="B3156" s="31" t="s">
        <v>26303</v>
      </c>
      <c r="C3156" s="20"/>
      <c r="D3156" s="25" t="s">
        <v>26185</v>
      </c>
      <c r="E3156" s="25" t="s">
        <v>26307</v>
      </c>
      <c r="F3156" s="9" t="str">
        <f t="shared" si="42"/>
        <v>structure with developmental contribution from neural crest</v>
      </c>
      <c r="G3156" s="9" t="s">
        <v>5090</v>
      </c>
      <c r="H3156" s="9" t="s">
        <v>22396</v>
      </c>
      <c r="I3156" s="9" t="s">
        <v>5915</v>
      </c>
      <c r="J3156" s="9" t="s">
        <v>5916</v>
      </c>
      <c r="K3156" s="4" t="s">
        <v>15175</v>
      </c>
      <c r="L3156" s="13">
        <v>11008</v>
      </c>
      <c r="M3156" t="str">
        <f>VLOOKUP(L3156,[1]Human_BrainSpan!$B$2:$C$4000,2,FALSE)</f>
        <v>A7m6</v>
      </c>
    </row>
    <row r="3157" spans="2:13" x14ac:dyDescent="0.25">
      <c r="B3157" s="31" t="s">
        <v>26303</v>
      </c>
      <c r="C3157" s="20"/>
      <c r="D3157" s="25" t="s">
        <v>26185</v>
      </c>
      <c r="E3157" s="25" t="s">
        <v>26307</v>
      </c>
      <c r="F3157" s="9" t="str">
        <f t="shared" si="42"/>
        <v>structure with developmental contribution from neural crest</v>
      </c>
      <c r="G3157" s="9" t="s">
        <v>5090</v>
      </c>
      <c r="H3157" s="9" t="s">
        <v>22398</v>
      </c>
      <c r="I3157" s="9" t="s">
        <v>5917</v>
      </c>
      <c r="J3157" s="9" t="s">
        <v>5918</v>
      </c>
      <c r="K3157" s="4" t="s">
        <v>15175</v>
      </c>
      <c r="L3157" s="13">
        <v>11009</v>
      </c>
      <c r="M3157" t="str">
        <f>VLOOKUP(L3157,[1]Human_BrainSpan!$B$2:$C$4000,2,FALSE)</f>
        <v>A7c1</v>
      </c>
    </row>
    <row r="3158" spans="2:13" x14ac:dyDescent="0.25">
      <c r="B3158" s="31" t="s">
        <v>26303</v>
      </c>
      <c r="C3158" s="20"/>
      <c r="D3158" s="25" t="s">
        <v>26185</v>
      </c>
      <c r="E3158" s="25" t="s">
        <v>26307</v>
      </c>
      <c r="F3158" s="9" t="str">
        <f t="shared" si="42"/>
        <v>structure with developmental contribution from neural crest</v>
      </c>
      <c r="G3158" s="9" t="s">
        <v>5090</v>
      </c>
      <c r="H3158" s="9" t="s">
        <v>22399</v>
      </c>
      <c r="I3158" s="9" t="s">
        <v>5919</v>
      </c>
      <c r="J3158" s="9" t="s">
        <v>5920</v>
      </c>
      <c r="K3158" s="4" t="s">
        <v>15175</v>
      </c>
      <c r="L3158" s="13">
        <v>11010</v>
      </c>
      <c r="M3158" t="str">
        <f>VLOOKUP(L3158,[1]Human_BrainSpan!$B$2:$C$4000,2,FALSE)</f>
        <v>A7c2</v>
      </c>
    </row>
    <row r="3159" spans="2:13" x14ac:dyDescent="0.25">
      <c r="B3159" s="31" t="s">
        <v>26303</v>
      </c>
      <c r="C3159" s="20"/>
      <c r="D3159" s="25" t="s">
        <v>26185</v>
      </c>
      <c r="E3159" s="25" t="s">
        <v>26307</v>
      </c>
      <c r="F3159" s="9" t="str">
        <f t="shared" si="42"/>
        <v>structure with developmental contribution from neural crest</v>
      </c>
      <c r="G3159" s="9" t="s">
        <v>5090</v>
      </c>
      <c r="H3159" s="9" t="s">
        <v>22400</v>
      </c>
      <c r="I3159" s="9" t="s">
        <v>5921</v>
      </c>
      <c r="J3159" s="9" t="s">
        <v>5922</v>
      </c>
      <c r="K3159" s="4" t="s">
        <v>15175</v>
      </c>
      <c r="L3159" s="13">
        <v>11011</v>
      </c>
      <c r="M3159" t="str">
        <f>VLOOKUP(L3159,[1]Human_BrainSpan!$B$2:$C$4000,2,FALSE)</f>
        <v>A7c3</v>
      </c>
    </row>
    <row r="3160" spans="2:13" x14ac:dyDescent="0.25">
      <c r="B3160" s="31" t="s">
        <v>26303</v>
      </c>
      <c r="C3160" s="20"/>
      <c r="D3160" s="25" t="s">
        <v>26185</v>
      </c>
      <c r="E3160" s="25" t="s">
        <v>26307</v>
      </c>
      <c r="F3160" s="9" t="str">
        <f t="shared" si="42"/>
        <v>structure with developmental contribution from neural crest</v>
      </c>
      <c r="G3160" s="9" t="s">
        <v>5090</v>
      </c>
      <c r="H3160" s="9" t="s">
        <v>22401</v>
      </c>
      <c r="I3160" s="9" t="s">
        <v>5923</v>
      </c>
      <c r="J3160" s="9" t="s">
        <v>5924</v>
      </c>
      <c r="K3160" s="4" t="s">
        <v>15175</v>
      </c>
      <c r="L3160" s="13">
        <v>11012</v>
      </c>
      <c r="M3160" t="str">
        <f>VLOOKUP(L3160,[1]Human_BrainSpan!$B$2:$C$4000,2,FALSE)</f>
        <v>A7c4</v>
      </c>
    </row>
    <row r="3161" spans="2:13" x14ac:dyDescent="0.25">
      <c r="B3161" s="31" t="s">
        <v>26303</v>
      </c>
      <c r="C3161" s="20"/>
      <c r="D3161" s="25" t="s">
        <v>26185</v>
      </c>
      <c r="E3161" s="25" t="s">
        <v>26307</v>
      </c>
      <c r="F3161" s="9" t="str">
        <f t="shared" si="42"/>
        <v>structure with developmental contribution from neural crest</v>
      </c>
      <c r="G3161" s="9" t="s">
        <v>5090</v>
      </c>
      <c r="H3161" s="9" t="s">
        <v>22402</v>
      </c>
      <c r="I3161" s="9" t="s">
        <v>5925</v>
      </c>
      <c r="J3161" s="9" t="s">
        <v>5926</v>
      </c>
      <c r="K3161" s="4" t="s">
        <v>15175</v>
      </c>
      <c r="L3161" s="13">
        <v>11013</v>
      </c>
      <c r="M3161" t="str">
        <f>VLOOKUP(L3161,[1]Human_BrainSpan!$B$2:$C$4000,2,FALSE)</f>
        <v>A7c5</v>
      </c>
    </row>
    <row r="3162" spans="2:13" x14ac:dyDescent="0.25">
      <c r="B3162" s="31" t="s">
        <v>26303</v>
      </c>
      <c r="C3162" s="20"/>
      <c r="D3162" s="25" t="s">
        <v>26185</v>
      </c>
      <c r="E3162" s="25" t="s">
        <v>26307</v>
      </c>
      <c r="F3162" s="9" t="str">
        <f t="shared" si="42"/>
        <v>structure with developmental contribution from neural crest</v>
      </c>
      <c r="G3162" s="9" t="s">
        <v>5090</v>
      </c>
      <c r="H3162" s="9" t="s">
        <v>22403</v>
      </c>
      <c r="I3162" s="9" t="s">
        <v>5927</v>
      </c>
      <c r="J3162" s="9" t="s">
        <v>5928</v>
      </c>
      <c r="K3162" s="4" t="s">
        <v>15175</v>
      </c>
      <c r="L3162" s="13">
        <v>11014</v>
      </c>
      <c r="M3162" t="str">
        <f>VLOOKUP(L3162,[1]Human_BrainSpan!$B$2:$C$4000,2,FALSE)</f>
        <v>A7c6</v>
      </c>
    </row>
    <row r="3163" spans="2:13" x14ac:dyDescent="0.25">
      <c r="B3163" s="31" t="s">
        <v>26303</v>
      </c>
      <c r="C3163" s="20"/>
      <c r="D3163" s="25" t="s">
        <v>26185</v>
      </c>
      <c r="E3163" s="25" t="s">
        <v>26307</v>
      </c>
      <c r="F3163" s="9" t="str">
        <f t="shared" si="42"/>
        <v>structure with developmental contribution from neural crest</v>
      </c>
      <c r="G3163" s="9" t="s">
        <v>5090</v>
      </c>
      <c r="H3163" s="9" t="s">
        <v>22405</v>
      </c>
      <c r="I3163" s="9" t="s">
        <v>5929</v>
      </c>
      <c r="J3163" s="9" t="s">
        <v>5930</v>
      </c>
      <c r="K3163" s="4" t="s">
        <v>15175</v>
      </c>
      <c r="L3163" s="13">
        <v>11015</v>
      </c>
      <c r="M3163" t="str">
        <f>VLOOKUP(L3163,[1]Human_BrainSpan!$B$2:$C$4000,2,FALSE)</f>
        <v>A7pc1</v>
      </c>
    </row>
    <row r="3164" spans="2:13" x14ac:dyDescent="0.25">
      <c r="B3164" s="31" t="s">
        <v>26303</v>
      </c>
      <c r="C3164" s="20"/>
      <c r="D3164" s="25" t="s">
        <v>26185</v>
      </c>
      <c r="E3164" s="25" t="s">
        <v>26307</v>
      </c>
      <c r="F3164" s="9" t="str">
        <f t="shared" si="42"/>
        <v>structure with developmental contribution from neural crest</v>
      </c>
      <c r="G3164" s="9" t="s">
        <v>5090</v>
      </c>
      <c r="H3164" s="9" t="s">
        <v>22406</v>
      </c>
      <c r="I3164" s="9" t="s">
        <v>5931</v>
      </c>
      <c r="J3164" s="9" t="s">
        <v>5932</v>
      </c>
      <c r="K3164" s="4" t="s">
        <v>15175</v>
      </c>
      <c r="L3164" s="13">
        <v>11016</v>
      </c>
      <c r="M3164" t="str">
        <f>VLOOKUP(L3164,[1]Human_BrainSpan!$B$2:$C$4000,2,FALSE)</f>
        <v>A7pc2</v>
      </c>
    </row>
    <row r="3165" spans="2:13" x14ac:dyDescent="0.25">
      <c r="B3165" s="31" t="s">
        <v>26303</v>
      </c>
      <c r="C3165" s="20"/>
      <c r="D3165" s="25" t="s">
        <v>26185</v>
      </c>
      <c r="E3165" s="25" t="s">
        <v>26307</v>
      </c>
      <c r="F3165" s="9" t="str">
        <f t="shared" si="42"/>
        <v>structure with developmental contribution from neural crest</v>
      </c>
      <c r="G3165" s="9" t="s">
        <v>5090</v>
      </c>
      <c r="H3165" s="9" t="s">
        <v>22407</v>
      </c>
      <c r="I3165" s="9" t="s">
        <v>5933</v>
      </c>
      <c r="J3165" s="9" t="s">
        <v>5934</v>
      </c>
      <c r="K3165" s="4" t="s">
        <v>15175</v>
      </c>
      <c r="L3165" s="13">
        <v>11017</v>
      </c>
      <c r="M3165" t="str">
        <f>VLOOKUP(L3165,[1]Human_BrainSpan!$B$2:$C$4000,2,FALSE)</f>
        <v>A7pc3</v>
      </c>
    </row>
    <row r="3166" spans="2:13" x14ac:dyDescent="0.25">
      <c r="B3166" s="31" t="s">
        <v>26303</v>
      </c>
      <c r="C3166" s="20"/>
      <c r="D3166" s="25" t="s">
        <v>26185</v>
      </c>
      <c r="E3166" s="25" t="s">
        <v>26307</v>
      </c>
      <c r="F3166" s="9" t="str">
        <f t="shared" si="42"/>
        <v>structure with developmental contribution from neural crest</v>
      </c>
      <c r="G3166" s="9" t="s">
        <v>5090</v>
      </c>
      <c r="H3166" s="9" t="s">
        <v>22408</v>
      </c>
      <c r="I3166" s="9" t="s">
        <v>5935</v>
      </c>
      <c r="J3166" s="9" t="s">
        <v>5936</v>
      </c>
      <c r="K3166" s="4" t="s">
        <v>15175</v>
      </c>
      <c r="L3166" s="13">
        <v>11018</v>
      </c>
      <c r="M3166" t="str">
        <f>VLOOKUP(L3166,[1]Human_BrainSpan!$B$2:$C$4000,2,FALSE)</f>
        <v>A7pc4</v>
      </c>
    </row>
    <row r="3167" spans="2:13" x14ac:dyDescent="0.25">
      <c r="B3167" s="31" t="s">
        <v>26303</v>
      </c>
      <c r="C3167" s="20"/>
      <c r="D3167" s="25" t="s">
        <v>26185</v>
      </c>
      <c r="E3167" s="25" t="s">
        <v>26307</v>
      </c>
      <c r="F3167" s="9" t="str">
        <f t="shared" si="42"/>
        <v>structure with developmental contribution from neural crest</v>
      </c>
      <c r="G3167" s="9" t="s">
        <v>5090</v>
      </c>
      <c r="H3167" s="9" t="s">
        <v>22409</v>
      </c>
      <c r="I3167" s="9" t="s">
        <v>5937</v>
      </c>
      <c r="J3167" s="9" t="s">
        <v>5938</v>
      </c>
      <c r="K3167" s="4" t="s">
        <v>15175</v>
      </c>
      <c r="L3167" s="13">
        <v>11019</v>
      </c>
      <c r="M3167" t="str">
        <f>VLOOKUP(L3167,[1]Human_BrainSpan!$B$2:$C$4000,2,FALSE)</f>
        <v>A7pc5</v>
      </c>
    </row>
    <row r="3168" spans="2:13" x14ac:dyDescent="0.25">
      <c r="B3168" s="31" t="s">
        <v>26303</v>
      </c>
      <c r="C3168" s="20"/>
      <c r="D3168" s="25" t="s">
        <v>26185</v>
      </c>
      <c r="E3168" s="25" t="s">
        <v>26307</v>
      </c>
      <c r="F3168" s="9" t="str">
        <f t="shared" si="42"/>
        <v>structure with developmental contribution from neural crest</v>
      </c>
      <c r="G3168" s="9" t="s">
        <v>5090</v>
      </c>
      <c r="H3168" s="9" t="s">
        <v>22410</v>
      </c>
      <c r="I3168" s="9" t="s">
        <v>5939</v>
      </c>
      <c r="J3168" s="9" t="s">
        <v>5940</v>
      </c>
      <c r="K3168" s="4" t="s">
        <v>15175</v>
      </c>
      <c r="L3168" s="13">
        <v>11020</v>
      </c>
      <c r="M3168" t="str">
        <f>VLOOKUP(L3168,[1]Human_BrainSpan!$B$2:$C$4000,2,FALSE)</f>
        <v>A7pc6</v>
      </c>
    </row>
    <row r="3169" spans="2:13" x14ac:dyDescent="0.25">
      <c r="B3169" s="31" t="s">
        <v>26303</v>
      </c>
      <c r="C3169" s="25" t="s">
        <v>26164</v>
      </c>
      <c r="D3169" s="25" t="s">
        <v>26232</v>
      </c>
      <c r="E3169" s="25" t="s">
        <v>26306</v>
      </c>
      <c r="F3169" s="9" t="str">
        <f t="shared" si="42"/>
        <v>structure with developmental contribution from neural crest</v>
      </c>
      <c r="G3169" s="9" t="s">
        <v>5090</v>
      </c>
      <c r="H3169" s="9" t="s">
        <v>22481</v>
      </c>
      <c r="I3169" s="9" t="s">
        <v>5941</v>
      </c>
      <c r="J3169" s="9" t="s">
        <v>5942</v>
      </c>
      <c r="K3169" s="4" t="s">
        <v>15175</v>
      </c>
      <c r="L3169" s="13">
        <v>11021</v>
      </c>
      <c r="M3169" t="str">
        <f>VLOOKUP(L3169,[1]Human_BrainSpan!$B$2:$C$4000,2,FALSE)</f>
        <v>A41-1</v>
      </c>
    </row>
    <row r="3170" spans="2:13" x14ac:dyDescent="0.25">
      <c r="B3170" s="31" t="s">
        <v>26303</v>
      </c>
      <c r="C3170" s="25" t="s">
        <v>26164</v>
      </c>
      <c r="D3170" s="25" t="s">
        <v>26232</v>
      </c>
      <c r="E3170" s="25" t="s">
        <v>26306</v>
      </c>
      <c r="F3170" s="9" t="str">
        <f t="shared" si="42"/>
        <v>structure with developmental contribution from neural crest</v>
      </c>
      <c r="G3170" s="9" t="s">
        <v>5090</v>
      </c>
      <c r="H3170" s="9" t="s">
        <v>22482</v>
      </c>
      <c r="I3170" s="9" t="s">
        <v>5943</v>
      </c>
      <c r="J3170" s="9" t="s">
        <v>5944</v>
      </c>
      <c r="K3170" s="4" t="s">
        <v>15175</v>
      </c>
      <c r="L3170" s="13">
        <v>11022</v>
      </c>
      <c r="M3170" t="str">
        <f>VLOOKUP(L3170,[1]Human_BrainSpan!$B$2:$C$4000,2,FALSE)</f>
        <v>A41-2</v>
      </c>
    </row>
    <row r="3171" spans="2:13" x14ac:dyDescent="0.25">
      <c r="B3171" s="31" t="s">
        <v>26303</v>
      </c>
      <c r="C3171" s="25" t="s">
        <v>26164</v>
      </c>
      <c r="D3171" s="25" t="s">
        <v>26232</v>
      </c>
      <c r="E3171" s="25" t="s">
        <v>26306</v>
      </c>
      <c r="F3171" s="9" t="str">
        <f t="shared" si="42"/>
        <v>structure with developmental contribution from neural crest</v>
      </c>
      <c r="G3171" s="9" t="s">
        <v>5090</v>
      </c>
      <c r="H3171" s="9" t="s">
        <v>22483</v>
      </c>
      <c r="I3171" s="9" t="s">
        <v>5945</v>
      </c>
      <c r="J3171" s="9" t="s">
        <v>5946</v>
      </c>
      <c r="K3171" s="4" t="s">
        <v>15175</v>
      </c>
      <c r="L3171" s="13">
        <v>11023</v>
      </c>
      <c r="M3171" t="str">
        <f>VLOOKUP(L3171,[1]Human_BrainSpan!$B$2:$C$4000,2,FALSE)</f>
        <v>A41-3</v>
      </c>
    </row>
    <row r="3172" spans="2:13" x14ac:dyDescent="0.25">
      <c r="B3172" s="31" t="s">
        <v>26303</v>
      </c>
      <c r="C3172" s="25" t="s">
        <v>26164</v>
      </c>
      <c r="D3172" s="25" t="s">
        <v>26232</v>
      </c>
      <c r="E3172" s="25" t="s">
        <v>26306</v>
      </c>
      <c r="F3172" s="9" t="str">
        <f t="shared" si="42"/>
        <v>structure with developmental contribution from neural crest</v>
      </c>
      <c r="G3172" s="9" t="s">
        <v>5090</v>
      </c>
      <c r="H3172" s="9" t="s">
        <v>22484</v>
      </c>
      <c r="I3172" s="9" t="s">
        <v>5947</v>
      </c>
      <c r="J3172" s="9" t="s">
        <v>5948</v>
      </c>
      <c r="K3172" s="4" t="s">
        <v>15175</v>
      </c>
      <c r="L3172" s="13">
        <v>11024</v>
      </c>
      <c r="M3172" t="str">
        <f>VLOOKUP(L3172,[1]Human_BrainSpan!$B$2:$C$4000,2,FALSE)</f>
        <v>A41-4</v>
      </c>
    </row>
    <row r="3173" spans="2:13" x14ac:dyDescent="0.25">
      <c r="B3173" s="31" t="s">
        <v>26303</v>
      </c>
      <c r="C3173" s="25" t="s">
        <v>26164</v>
      </c>
      <c r="D3173" s="25" t="s">
        <v>26232</v>
      </c>
      <c r="E3173" s="25" t="s">
        <v>26306</v>
      </c>
      <c r="F3173" s="9" t="str">
        <f t="shared" si="42"/>
        <v>structure with developmental contribution from neural crest</v>
      </c>
      <c r="G3173" s="9" t="s">
        <v>5090</v>
      </c>
      <c r="H3173" s="9" t="s">
        <v>22485</v>
      </c>
      <c r="I3173" s="9" t="s">
        <v>5949</v>
      </c>
      <c r="J3173" s="9" t="s">
        <v>5950</v>
      </c>
      <c r="K3173" s="4" t="s">
        <v>15175</v>
      </c>
      <c r="L3173" s="13">
        <v>11025</v>
      </c>
      <c r="M3173" t="str">
        <f>VLOOKUP(L3173,[1]Human_BrainSpan!$B$2:$C$4000,2,FALSE)</f>
        <v>A41-5</v>
      </c>
    </row>
    <row r="3174" spans="2:13" x14ac:dyDescent="0.25">
      <c r="B3174" s="31" t="s">
        <v>26303</v>
      </c>
      <c r="C3174" s="25" t="s">
        <v>26164</v>
      </c>
      <c r="D3174" s="25" t="s">
        <v>26232</v>
      </c>
      <c r="E3174" s="25" t="s">
        <v>26306</v>
      </c>
      <c r="F3174" s="9" t="str">
        <f t="shared" si="42"/>
        <v>structure with developmental contribution from neural crest</v>
      </c>
      <c r="G3174" s="9" t="s">
        <v>5090</v>
      </c>
      <c r="H3174" s="9" t="s">
        <v>22486</v>
      </c>
      <c r="I3174" s="9" t="s">
        <v>5951</v>
      </c>
      <c r="J3174" s="9" t="s">
        <v>5952</v>
      </c>
      <c r="K3174" s="4" t="s">
        <v>15175</v>
      </c>
      <c r="L3174" s="13">
        <v>11026</v>
      </c>
      <c r="M3174" t="str">
        <f>VLOOKUP(L3174,[1]Human_BrainSpan!$B$2:$C$4000,2,FALSE)</f>
        <v>A41-6</v>
      </c>
    </row>
    <row r="3175" spans="2:13" x14ac:dyDescent="0.25">
      <c r="B3175" s="31" t="s">
        <v>26303</v>
      </c>
      <c r="C3175" s="25" t="s">
        <v>26164</v>
      </c>
      <c r="D3175" s="25" t="s">
        <v>26232</v>
      </c>
      <c r="E3175" s="25" t="s">
        <v>26306</v>
      </c>
      <c r="F3175" s="9" t="str">
        <f t="shared" si="42"/>
        <v>structure with developmental contribution from neural crest</v>
      </c>
      <c r="G3175" s="9" t="s">
        <v>5090</v>
      </c>
      <c r="H3175" s="9" t="s">
        <v>22488</v>
      </c>
      <c r="I3175" s="9" t="s">
        <v>5953</v>
      </c>
      <c r="J3175" s="9" t="s">
        <v>5954</v>
      </c>
      <c r="K3175" s="4" t="s">
        <v>15175</v>
      </c>
      <c r="L3175" s="13">
        <v>11027</v>
      </c>
      <c r="M3175" t="str">
        <f>VLOOKUP(L3175,[1]Human_BrainSpan!$B$2:$C$4000,2,FALSE)</f>
        <v>A1Cr1</v>
      </c>
    </row>
    <row r="3176" spans="2:13" x14ac:dyDescent="0.25">
      <c r="B3176" s="31" t="s">
        <v>26303</v>
      </c>
      <c r="C3176" s="25" t="s">
        <v>26164</v>
      </c>
      <c r="D3176" s="25" t="s">
        <v>26232</v>
      </c>
      <c r="E3176" s="25" t="s">
        <v>26306</v>
      </c>
      <c r="F3176" s="9" t="str">
        <f t="shared" si="42"/>
        <v>structure with developmental contribution from neural crest</v>
      </c>
      <c r="G3176" s="9" t="s">
        <v>5090</v>
      </c>
      <c r="H3176" s="9" t="s">
        <v>22489</v>
      </c>
      <c r="I3176" s="9" t="s">
        <v>5955</v>
      </c>
      <c r="J3176" s="9" t="s">
        <v>5956</v>
      </c>
      <c r="K3176" s="4" t="s">
        <v>15175</v>
      </c>
      <c r="L3176" s="13">
        <v>11028</v>
      </c>
      <c r="M3176" t="str">
        <f>VLOOKUP(L3176,[1]Human_BrainSpan!$B$2:$C$4000,2,FALSE)</f>
        <v>A1Cr2</v>
      </c>
    </row>
    <row r="3177" spans="2:13" x14ac:dyDescent="0.25">
      <c r="B3177" s="31" t="s">
        <v>26303</v>
      </c>
      <c r="C3177" s="25" t="s">
        <v>26164</v>
      </c>
      <c r="D3177" s="25" t="s">
        <v>26232</v>
      </c>
      <c r="E3177" s="25" t="s">
        <v>26306</v>
      </c>
      <c r="F3177" s="9" t="str">
        <f t="shared" si="42"/>
        <v>structure with developmental contribution from neural crest</v>
      </c>
      <c r="G3177" s="9" t="s">
        <v>5090</v>
      </c>
      <c r="H3177" s="9" t="s">
        <v>22490</v>
      </c>
      <c r="I3177" s="9" t="s">
        <v>5957</v>
      </c>
      <c r="J3177" s="9" t="s">
        <v>5958</v>
      </c>
      <c r="K3177" s="4" t="s">
        <v>15175</v>
      </c>
      <c r="L3177" s="13">
        <v>11029</v>
      </c>
      <c r="M3177" t="str">
        <f>VLOOKUP(L3177,[1]Human_BrainSpan!$B$2:$C$4000,2,FALSE)</f>
        <v>A1Cr3</v>
      </c>
    </row>
    <row r="3178" spans="2:13" x14ac:dyDescent="0.25">
      <c r="B3178" s="31" t="s">
        <v>26303</v>
      </c>
      <c r="C3178" s="25" t="s">
        <v>26164</v>
      </c>
      <c r="D3178" s="25" t="s">
        <v>26232</v>
      </c>
      <c r="E3178" s="25" t="s">
        <v>26306</v>
      </c>
      <c r="F3178" s="9" t="str">
        <f t="shared" si="42"/>
        <v>structure with developmental contribution from neural crest</v>
      </c>
      <c r="G3178" s="9" t="s">
        <v>5090</v>
      </c>
      <c r="H3178" s="9" t="s">
        <v>22491</v>
      </c>
      <c r="I3178" s="9" t="s">
        <v>5959</v>
      </c>
      <c r="J3178" s="9" t="s">
        <v>5960</v>
      </c>
      <c r="K3178" s="4" t="s">
        <v>15175</v>
      </c>
      <c r="L3178" s="13">
        <v>11030</v>
      </c>
      <c r="M3178" t="str">
        <f>VLOOKUP(L3178,[1]Human_BrainSpan!$B$2:$C$4000,2,FALSE)</f>
        <v>A1Cr4</v>
      </c>
    </row>
    <row r="3179" spans="2:13" x14ac:dyDescent="0.25">
      <c r="B3179" s="31" t="s">
        <v>26303</v>
      </c>
      <c r="C3179" s="25" t="s">
        <v>26164</v>
      </c>
      <c r="D3179" s="25" t="s">
        <v>26232</v>
      </c>
      <c r="E3179" s="25" t="s">
        <v>26306</v>
      </c>
      <c r="F3179" s="9" t="str">
        <f t="shared" si="42"/>
        <v>structure with developmental contribution from neural crest</v>
      </c>
      <c r="G3179" s="9" t="s">
        <v>5090</v>
      </c>
      <c r="H3179" s="9" t="s">
        <v>22492</v>
      </c>
      <c r="I3179" s="9" t="s">
        <v>5961</v>
      </c>
      <c r="J3179" s="9" t="s">
        <v>5962</v>
      </c>
      <c r="K3179" s="4" t="s">
        <v>15175</v>
      </c>
      <c r="L3179" s="13">
        <v>11031</v>
      </c>
      <c r="M3179" t="str">
        <f>VLOOKUP(L3179,[1]Human_BrainSpan!$B$2:$C$4000,2,FALSE)</f>
        <v>A1Cr5</v>
      </c>
    </row>
    <row r="3180" spans="2:13" x14ac:dyDescent="0.25">
      <c r="B3180" s="31" t="s">
        <v>26303</v>
      </c>
      <c r="C3180" s="25" t="s">
        <v>26164</v>
      </c>
      <c r="D3180" s="25" t="s">
        <v>26232</v>
      </c>
      <c r="E3180" s="25" t="s">
        <v>26306</v>
      </c>
      <c r="F3180" s="9" t="str">
        <f t="shared" si="42"/>
        <v>structure with developmental contribution from neural crest</v>
      </c>
      <c r="G3180" s="9" t="s">
        <v>5090</v>
      </c>
      <c r="H3180" s="9" t="s">
        <v>22493</v>
      </c>
      <c r="I3180" s="9" t="s">
        <v>5963</v>
      </c>
      <c r="J3180" s="9" t="s">
        <v>5964</v>
      </c>
      <c r="K3180" s="4" t="s">
        <v>15175</v>
      </c>
      <c r="L3180" s="13">
        <v>11032</v>
      </c>
      <c r="M3180" t="str">
        <f>VLOOKUP(L3180,[1]Human_BrainSpan!$B$2:$C$4000,2,FALSE)</f>
        <v>A1Cr6</v>
      </c>
    </row>
    <row r="3181" spans="2:13" x14ac:dyDescent="0.25">
      <c r="B3181" s="31" t="s">
        <v>26299</v>
      </c>
      <c r="C3181" s="25" t="s">
        <v>2416</v>
      </c>
      <c r="D3181" s="25" t="s">
        <v>26232</v>
      </c>
      <c r="E3181" s="25" t="s">
        <v>26306</v>
      </c>
      <c r="F3181" s="9" t="str">
        <f t="shared" si="42"/>
        <v>structure with developmental contribution from neural crest</v>
      </c>
      <c r="G3181" s="9" t="s">
        <v>5090</v>
      </c>
      <c r="H3181" s="9" t="s">
        <v>22577</v>
      </c>
      <c r="I3181" s="9" t="s">
        <v>5965</v>
      </c>
      <c r="J3181" s="9" t="s">
        <v>5966</v>
      </c>
      <c r="K3181" s="4" t="s">
        <v>15175</v>
      </c>
      <c r="L3181" s="13">
        <v>11033</v>
      </c>
      <c r="M3181" t="str">
        <f>VLOOKUP(L3181,[1]Human_BrainSpan!$B$2:$C$4000,2,FALSE)</f>
        <v>A20r1</v>
      </c>
    </row>
    <row r="3182" spans="2:13" x14ac:dyDescent="0.25">
      <c r="B3182" s="31" t="s">
        <v>26299</v>
      </c>
      <c r="C3182" s="25" t="s">
        <v>2416</v>
      </c>
      <c r="D3182" s="25" t="s">
        <v>26232</v>
      </c>
      <c r="E3182" s="25" t="s">
        <v>26306</v>
      </c>
      <c r="F3182" s="9" t="str">
        <f t="shared" si="42"/>
        <v>structure with developmental contribution from neural crest</v>
      </c>
      <c r="G3182" s="9" t="s">
        <v>5090</v>
      </c>
      <c r="H3182" s="9" t="s">
        <v>22578</v>
      </c>
      <c r="I3182" s="9" t="s">
        <v>5967</v>
      </c>
      <c r="J3182" s="9" t="s">
        <v>5968</v>
      </c>
      <c r="K3182" s="4" t="s">
        <v>15175</v>
      </c>
      <c r="L3182" s="13">
        <v>11034</v>
      </c>
      <c r="M3182" t="str">
        <f>VLOOKUP(L3182,[1]Human_BrainSpan!$B$2:$C$4000,2,FALSE)</f>
        <v>A20r2</v>
      </c>
    </row>
    <row r="3183" spans="2:13" x14ac:dyDescent="0.25">
      <c r="B3183" s="31" t="s">
        <v>26299</v>
      </c>
      <c r="C3183" s="25" t="s">
        <v>2416</v>
      </c>
      <c r="D3183" s="25" t="s">
        <v>26232</v>
      </c>
      <c r="E3183" s="25" t="s">
        <v>26306</v>
      </c>
      <c r="F3183" s="9" t="str">
        <f t="shared" si="42"/>
        <v>structure with developmental contribution from neural crest</v>
      </c>
      <c r="G3183" s="9" t="s">
        <v>5090</v>
      </c>
      <c r="H3183" s="9" t="s">
        <v>22579</v>
      </c>
      <c r="I3183" s="9" t="s">
        <v>5969</v>
      </c>
      <c r="J3183" s="9" t="s">
        <v>5970</v>
      </c>
      <c r="K3183" s="4" t="s">
        <v>15175</v>
      </c>
      <c r="L3183" s="13">
        <v>11035</v>
      </c>
      <c r="M3183" t="str">
        <f>VLOOKUP(L3183,[1]Human_BrainSpan!$B$2:$C$4000,2,FALSE)</f>
        <v>A20r3</v>
      </c>
    </row>
    <row r="3184" spans="2:13" x14ac:dyDescent="0.25">
      <c r="B3184" s="31" t="s">
        <v>26299</v>
      </c>
      <c r="C3184" s="25" t="s">
        <v>2416</v>
      </c>
      <c r="D3184" s="25" t="s">
        <v>26232</v>
      </c>
      <c r="E3184" s="25" t="s">
        <v>26306</v>
      </c>
      <c r="F3184" s="9" t="str">
        <f t="shared" si="42"/>
        <v>structure with developmental contribution from neural crest</v>
      </c>
      <c r="G3184" s="9" t="s">
        <v>5090</v>
      </c>
      <c r="H3184" s="9" t="s">
        <v>22580</v>
      </c>
      <c r="I3184" s="9" t="s">
        <v>5971</v>
      </c>
      <c r="J3184" s="9" t="s">
        <v>5972</v>
      </c>
      <c r="K3184" s="4" t="s">
        <v>15175</v>
      </c>
      <c r="L3184" s="13">
        <v>11036</v>
      </c>
      <c r="M3184" t="str">
        <f>VLOOKUP(L3184,[1]Human_BrainSpan!$B$2:$C$4000,2,FALSE)</f>
        <v>A20r4</v>
      </c>
    </row>
    <row r="3185" spans="2:13" x14ac:dyDescent="0.25">
      <c r="B3185" s="31" t="s">
        <v>26299</v>
      </c>
      <c r="C3185" s="25" t="s">
        <v>2416</v>
      </c>
      <c r="D3185" s="25" t="s">
        <v>26232</v>
      </c>
      <c r="E3185" s="25" t="s">
        <v>26306</v>
      </c>
      <c r="F3185" s="9" t="str">
        <f t="shared" si="42"/>
        <v>structure with developmental contribution from neural crest</v>
      </c>
      <c r="G3185" s="9" t="s">
        <v>5090</v>
      </c>
      <c r="H3185" s="9" t="s">
        <v>22581</v>
      </c>
      <c r="I3185" s="9" t="s">
        <v>5973</v>
      </c>
      <c r="J3185" s="9" t="s">
        <v>5974</v>
      </c>
      <c r="K3185" s="4" t="s">
        <v>15175</v>
      </c>
      <c r="L3185" s="13">
        <v>11037</v>
      </c>
      <c r="M3185" t="str">
        <f>VLOOKUP(L3185,[1]Human_BrainSpan!$B$2:$C$4000,2,FALSE)</f>
        <v>A20r5</v>
      </c>
    </row>
    <row r="3186" spans="2:13" x14ac:dyDescent="0.25">
      <c r="B3186" s="31" t="s">
        <v>26299</v>
      </c>
      <c r="C3186" s="25" t="s">
        <v>2416</v>
      </c>
      <c r="D3186" s="25" t="s">
        <v>26232</v>
      </c>
      <c r="E3186" s="25" t="s">
        <v>26306</v>
      </c>
      <c r="F3186" s="9" t="str">
        <f t="shared" si="42"/>
        <v>structure with developmental contribution from neural crest</v>
      </c>
      <c r="G3186" s="9" t="s">
        <v>5090</v>
      </c>
      <c r="H3186" s="9" t="s">
        <v>22582</v>
      </c>
      <c r="I3186" s="9" t="s">
        <v>5975</v>
      </c>
      <c r="J3186" s="9" t="s">
        <v>5976</v>
      </c>
      <c r="K3186" s="4" t="s">
        <v>15175</v>
      </c>
      <c r="L3186" s="13">
        <v>11038</v>
      </c>
      <c r="M3186" t="str">
        <f>VLOOKUP(L3186,[1]Human_BrainSpan!$B$2:$C$4000,2,FALSE)</f>
        <v>A20r6</v>
      </c>
    </row>
    <row r="3187" spans="2:13" x14ac:dyDescent="0.25">
      <c r="B3187" s="31" t="s">
        <v>26299</v>
      </c>
      <c r="C3187" s="25" t="s">
        <v>2416</v>
      </c>
      <c r="D3187" s="25" t="s">
        <v>26232</v>
      </c>
      <c r="E3187" s="25" t="s">
        <v>26306</v>
      </c>
      <c r="F3187" s="9" t="str">
        <f t="shared" si="42"/>
        <v>structure with developmental contribution from neural crest</v>
      </c>
      <c r="G3187" s="9" t="s">
        <v>5090</v>
      </c>
      <c r="H3187" s="9" t="s">
        <v>22584</v>
      </c>
      <c r="I3187" s="9" t="s">
        <v>5977</v>
      </c>
      <c r="J3187" s="9" t="s">
        <v>5978</v>
      </c>
      <c r="K3187" s="4" t="s">
        <v>15175</v>
      </c>
      <c r="L3187" s="13">
        <v>11039</v>
      </c>
      <c r="M3187" t="str">
        <f>VLOOKUP(L3187,[1]Human_BrainSpan!$B$2:$C$4000,2,FALSE)</f>
        <v>A20i1</v>
      </c>
    </row>
    <row r="3188" spans="2:13" x14ac:dyDescent="0.25">
      <c r="B3188" s="31" t="s">
        <v>26299</v>
      </c>
      <c r="C3188" s="25" t="s">
        <v>2416</v>
      </c>
      <c r="D3188" s="25" t="s">
        <v>26232</v>
      </c>
      <c r="E3188" s="25" t="s">
        <v>26306</v>
      </c>
      <c r="F3188" s="9" t="str">
        <f t="shared" si="42"/>
        <v>structure with developmental contribution from neural crest</v>
      </c>
      <c r="G3188" s="9" t="s">
        <v>5090</v>
      </c>
      <c r="H3188" s="9" t="s">
        <v>22585</v>
      </c>
      <c r="I3188" s="9" t="s">
        <v>5979</v>
      </c>
      <c r="J3188" s="9" t="s">
        <v>5980</v>
      </c>
      <c r="K3188" s="4" t="s">
        <v>15175</v>
      </c>
      <c r="L3188" s="13">
        <v>11040</v>
      </c>
      <c r="M3188" t="str">
        <f>VLOOKUP(L3188,[1]Human_BrainSpan!$B$2:$C$4000,2,FALSE)</f>
        <v>A20i2</v>
      </c>
    </row>
    <row r="3189" spans="2:13" x14ac:dyDescent="0.25">
      <c r="B3189" s="31" t="s">
        <v>26299</v>
      </c>
      <c r="C3189" s="25" t="s">
        <v>2416</v>
      </c>
      <c r="D3189" s="25" t="s">
        <v>26232</v>
      </c>
      <c r="E3189" s="25" t="s">
        <v>26306</v>
      </c>
      <c r="F3189" s="9" t="str">
        <f t="shared" si="42"/>
        <v>structure with developmental contribution from neural crest</v>
      </c>
      <c r="G3189" s="9" t="s">
        <v>5090</v>
      </c>
      <c r="H3189" s="9" t="s">
        <v>22586</v>
      </c>
      <c r="I3189" s="9" t="s">
        <v>5981</v>
      </c>
      <c r="J3189" s="9" t="s">
        <v>5982</v>
      </c>
      <c r="K3189" s="4" t="s">
        <v>15175</v>
      </c>
      <c r="L3189" s="13">
        <v>11041</v>
      </c>
      <c r="M3189" t="str">
        <f>VLOOKUP(L3189,[1]Human_BrainSpan!$B$2:$C$4000,2,FALSE)</f>
        <v>A20i3</v>
      </c>
    </row>
    <row r="3190" spans="2:13" x14ac:dyDescent="0.25">
      <c r="B3190" s="31" t="s">
        <v>26299</v>
      </c>
      <c r="C3190" s="25" t="s">
        <v>2416</v>
      </c>
      <c r="D3190" s="25" t="s">
        <v>26232</v>
      </c>
      <c r="E3190" s="25" t="s">
        <v>26306</v>
      </c>
      <c r="F3190" s="9" t="str">
        <f t="shared" si="42"/>
        <v>structure with developmental contribution from neural crest</v>
      </c>
      <c r="G3190" s="9" t="s">
        <v>5090</v>
      </c>
      <c r="H3190" s="9" t="s">
        <v>22587</v>
      </c>
      <c r="I3190" s="9" t="s">
        <v>5983</v>
      </c>
      <c r="J3190" s="9" t="s">
        <v>5984</v>
      </c>
      <c r="K3190" s="4" t="s">
        <v>15175</v>
      </c>
      <c r="L3190" s="13">
        <v>11042</v>
      </c>
      <c r="M3190" t="str">
        <f>VLOOKUP(L3190,[1]Human_BrainSpan!$B$2:$C$4000,2,FALSE)</f>
        <v>A20i4</v>
      </c>
    </row>
    <row r="3191" spans="2:13" x14ac:dyDescent="0.25">
      <c r="B3191" s="31" t="s">
        <v>26299</v>
      </c>
      <c r="C3191" s="25" t="s">
        <v>2416</v>
      </c>
      <c r="D3191" s="25" t="s">
        <v>26232</v>
      </c>
      <c r="E3191" s="25" t="s">
        <v>26306</v>
      </c>
      <c r="F3191" s="9" t="str">
        <f t="shared" ref="F3191:F3254" si="43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3191" s="9" t="s">
        <v>5090</v>
      </c>
      <c r="H3191" s="9" t="s">
        <v>22588</v>
      </c>
      <c r="I3191" s="9" t="s">
        <v>5985</v>
      </c>
      <c r="J3191" s="9" t="s">
        <v>5986</v>
      </c>
      <c r="K3191" s="4" t="s">
        <v>15175</v>
      </c>
      <c r="L3191" s="13">
        <v>11043</v>
      </c>
      <c r="M3191" t="str">
        <f>VLOOKUP(L3191,[1]Human_BrainSpan!$B$2:$C$4000,2,FALSE)</f>
        <v>A20i5</v>
      </c>
    </row>
    <row r="3192" spans="2:13" x14ac:dyDescent="0.25">
      <c r="B3192" s="31" t="s">
        <v>26299</v>
      </c>
      <c r="C3192" s="25" t="s">
        <v>2416</v>
      </c>
      <c r="D3192" s="25" t="s">
        <v>26232</v>
      </c>
      <c r="E3192" s="25" t="s">
        <v>26306</v>
      </c>
      <c r="F3192" s="9" t="str">
        <f t="shared" si="43"/>
        <v>structure with developmental contribution from neural crest</v>
      </c>
      <c r="G3192" s="9" t="s">
        <v>5090</v>
      </c>
      <c r="H3192" s="9" t="s">
        <v>22589</v>
      </c>
      <c r="I3192" s="9" t="s">
        <v>5987</v>
      </c>
      <c r="J3192" s="9" t="s">
        <v>5988</v>
      </c>
      <c r="K3192" s="4" t="s">
        <v>15175</v>
      </c>
      <c r="L3192" s="13">
        <v>11044</v>
      </c>
      <c r="M3192" t="str">
        <f>VLOOKUP(L3192,[1]Human_BrainSpan!$B$2:$C$4000,2,FALSE)</f>
        <v>A20i6</v>
      </c>
    </row>
    <row r="3193" spans="2:13" x14ac:dyDescent="0.25">
      <c r="B3193" s="31" t="s">
        <v>26299</v>
      </c>
      <c r="C3193" s="25" t="s">
        <v>2416</v>
      </c>
      <c r="D3193" s="25" t="s">
        <v>26232</v>
      </c>
      <c r="E3193" s="25" t="s">
        <v>26306</v>
      </c>
      <c r="F3193" s="9" t="str">
        <f t="shared" si="43"/>
        <v>structure with developmental contribution from neural crest</v>
      </c>
      <c r="G3193" s="9" t="s">
        <v>5090</v>
      </c>
      <c r="H3193" s="9" t="s">
        <v>22591</v>
      </c>
      <c r="I3193" s="9" t="s">
        <v>5989</v>
      </c>
      <c r="J3193" s="9" t="s">
        <v>5990</v>
      </c>
      <c r="K3193" s="4" t="s">
        <v>15175</v>
      </c>
      <c r="L3193" s="13">
        <v>11045</v>
      </c>
      <c r="M3193" t="str">
        <f>VLOOKUP(L3193,[1]Human_BrainSpan!$B$2:$C$4000,2,FALSE)</f>
        <v>A20c1</v>
      </c>
    </row>
    <row r="3194" spans="2:13" x14ac:dyDescent="0.25">
      <c r="B3194" s="31" t="s">
        <v>26299</v>
      </c>
      <c r="C3194" s="25" t="s">
        <v>2416</v>
      </c>
      <c r="D3194" s="25" t="s">
        <v>26232</v>
      </c>
      <c r="E3194" s="25" t="s">
        <v>26306</v>
      </c>
      <c r="F3194" s="9" t="str">
        <f t="shared" si="43"/>
        <v>structure with developmental contribution from neural crest</v>
      </c>
      <c r="G3194" s="9" t="s">
        <v>5090</v>
      </c>
      <c r="H3194" s="9" t="s">
        <v>22592</v>
      </c>
      <c r="I3194" s="9" t="s">
        <v>5991</v>
      </c>
      <c r="J3194" s="9" t="s">
        <v>5992</v>
      </c>
      <c r="K3194" s="4" t="s">
        <v>15175</v>
      </c>
      <c r="L3194" s="13">
        <v>11046</v>
      </c>
      <c r="M3194" t="str">
        <f>VLOOKUP(L3194,[1]Human_BrainSpan!$B$2:$C$4000,2,FALSE)</f>
        <v>A20c2</v>
      </c>
    </row>
    <row r="3195" spans="2:13" x14ac:dyDescent="0.25">
      <c r="B3195" s="31" t="s">
        <v>26299</v>
      </c>
      <c r="C3195" s="25" t="s">
        <v>2416</v>
      </c>
      <c r="D3195" s="25" t="s">
        <v>26232</v>
      </c>
      <c r="E3195" s="25" t="s">
        <v>26306</v>
      </c>
      <c r="F3195" s="9" t="str">
        <f t="shared" si="43"/>
        <v>structure with developmental contribution from neural crest</v>
      </c>
      <c r="G3195" s="9" t="s">
        <v>5090</v>
      </c>
      <c r="H3195" s="9" t="s">
        <v>22593</v>
      </c>
      <c r="I3195" s="9" t="s">
        <v>5993</v>
      </c>
      <c r="J3195" s="9" t="s">
        <v>5994</v>
      </c>
      <c r="K3195" s="4" t="s">
        <v>15175</v>
      </c>
      <c r="L3195" s="13">
        <v>11047</v>
      </c>
      <c r="M3195" t="str">
        <f>VLOOKUP(L3195,[1]Human_BrainSpan!$B$2:$C$4000,2,FALSE)</f>
        <v>A20c3</v>
      </c>
    </row>
    <row r="3196" spans="2:13" x14ac:dyDescent="0.25">
      <c r="B3196" s="31" t="s">
        <v>26299</v>
      </c>
      <c r="C3196" s="25" t="s">
        <v>2416</v>
      </c>
      <c r="D3196" s="25" t="s">
        <v>26232</v>
      </c>
      <c r="E3196" s="25" t="s">
        <v>26306</v>
      </c>
      <c r="F3196" s="9" t="str">
        <f t="shared" si="43"/>
        <v>structure with developmental contribution from neural crest</v>
      </c>
      <c r="G3196" s="9" t="s">
        <v>5090</v>
      </c>
      <c r="H3196" s="9" t="s">
        <v>22594</v>
      </c>
      <c r="I3196" s="9" t="s">
        <v>5995</v>
      </c>
      <c r="J3196" s="9" t="s">
        <v>5996</v>
      </c>
      <c r="K3196" s="4" t="s">
        <v>15175</v>
      </c>
      <c r="L3196" s="13">
        <v>11048</v>
      </c>
      <c r="M3196" t="str">
        <f>VLOOKUP(L3196,[1]Human_BrainSpan!$B$2:$C$4000,2,FALSE)</f>
        <v>A20c4</v>
      </c>
    </row>
    <row r="3197" spans="2:13" x14ac:dyDescent="0.25">
      <c r="B3197" s="31" t="s">
        <v>26299</v>
      </c>
      <c r="C3197" s="25" t="s">
        <v>2416</v>
      </c>
      <c r="D3197" s="25" t="s">
        <v>26232</v>
      </c>
      <c r="E3197" s="25" t="s">
        <v>26306</v>
      </c>
      <c r="F3197" s="9" t="str">
        <f t="shared" si="43"/>
        <v>structure with developmental contribution from neural crest</v>
      </c>
      <c r="G3197" s="9" t="s">
        <v>5090</v>
      </c>
      <c r="H3197" s="9" t="s">
        <v>22595</v>
      </c>
      <c r="I3197" s="9" t="s">
        <v>5997</v>
      </c>
      <c r="J3197" s="9" t="s">
        <v>5998</v>
      </c>
      <c r="K3197" s="4" t="s">
        <v>15175</v>
      </c>
      <c r="L3197" s="13">
        <v>11049</v>
      </c>
      <c r="M3197" t="str">
        <f>VLOOKUP(L3197,[1]Human_BrainSpan!$B$2:$C$4000,2,FALSE)</f>
        <v>A20c5</v>
      </c>
    </row>
    <row r="3198" spans="2:13" x14ac:dyDescent="0.25">
      <c r="B3198" s="31" t="s">
        <v>26299</v>
      </c>
      <c r="C3198" s="25" t="s">
        <v>2416</v>
      </c>
      <c r="D3198" s="25" t="s">
        <v>26232</v>
      </c>
      <c r="E3198" s="25" t="s">
        <v>26306</v>
      </c>
      <c r="F3198" s="9" t="str">
        <f t="shared" si="43"/>
        <v>structure with developmental contribution from neural crest</v>
      </c>
      <c r="G3198" s="9" t="s">
        <v>5090</v>
      </c>
      <c r="H3198" s="9" t="s">
        <v>22596</v>
      </c>
      <c r="I3198" s="9" t="s">
        <v>5999</v>
      </c>
      <c r="J3198" s="9" t="s">
        <v>6000</v>
      </c>
      <c r="K3198" s="4" t="s">
        <v>15175</v>
      </c>
      <c r="L3198" s="13">
        <v>11050</v>
      </c>
      <c r="M3198" t="str">
        <f>VLOOKUP(L3198,[1]Human_BrainSpan!$B$2:$C$4000,2,FALSE)</f>
        <v>A20c6</v>
      </c>
    </row>
    <row r="3199" spans="2:13" x14ac:dyDescent="0.25">
      <c r="B3199" s="31" t="s">
        <v>26303</v>
      </c>
      <c r="C3199" s="25" t="s">
        <v>26214</v>
      </c>
      <c r="D3199" s="25" t="s">
        <v>26232</v>
      </c>
      <c r="E3199" s="25" t="s">
        <v>26306</v>
      </c>
      <c r="F3199" s="9" t="str">
        <f t="shared" si="43"/>
        <v>structure with developmental contribution from neural crest</v>
      </c>
      <c r="G3199" s="9" t="s">
        <v>5090</v>
      </c>
      <c r="H3199" s="9" t="s">
        <v>22495</v>
      </c>
      <c r="I3199" s="9" t="s">
        <v>6001</v>
      </c>
      <c r="J3199" s="9" t="s">
        <v>6002</v>
      </c>
      <c r="K3199" s="4" t="s">
        <v>15175</v>
      </c>
      <c r="L3199" s="13">
        <v>11051</v>
      </c>
      <c r="M3199" t="str">
        <f>VLOOKUP(L3199,[1]Human_BrainSpan!$B$2:$C$4000,2,FALSE)</f>
        <v>A42-1</v>
      </c>
    </row>
    <row r="3200" spans="2:13" x14ac:dyDescent="0.25">
      <c r="B3200" s="31" t="s">
        <v>26303</v>
      </c>
      <c r="C3200" s="25" t="s">
        <v>26214</v>
      </c>
      <c r="D3200" s="25" t="s">
        <v>26232</v>
      </c>
      <c r="E3200" s="25" t="s">
        <v>26306</v>
      </c>
      <c r="F3200" s="9" t="str">
        <f t="shared" si="43"/>
        <v>structure with developmental contribution from neural crest</v>
      </c>
      <c r="G3200" s="9" t="s">
        <v>5090</v>
      </c>
      <c r="H3200" s="9" t="s">
        <v>22496</v>
      </c>
      <c r="I3200" s="9" t="s">
        <v>6003</v>
      </c>
      <c r="J3200" s="9" t="s">
        <v>6004</v>
      </c>
      <c r="K3200" s="4" t="s">
        <v>15175</v>
      </c>
      <c r="L3200" s="13">
        <v>11052</v>
      </c>
      <c r="M3200" t="str">
        <f>VLOOKUP(L3200,[1]Human_BrainSpan!$B$2:$C$4000,2,FALSE)</f>
        <v>A42-2</v>
      </c>
    </row>
    <row r="3201" spans="2:13" x14ac:dyDescent="0.25">
      <c r="B3201" s="31" t="s">
        <v>26303</v>
      </c>
      <c r="C3201" s="25" t="s">
        <v>26214</v>
      </c>
      <c r="D3201" s="25" t="s">
        <v>26232</v>
      </c>
      <c r="E3201" s="25" t="s">
        <v>26306</v>
      </c>
      <c r="F3201" s="9" t="str">
        <f t="shared" si="43"/>
        <v>structure with developmental contribution from neural crest</v>
      </c>
      <c r="G3201" s="9" t="s">
        <v>5090</v>
      </c>
      <c r="H3201" s="9" t="s">
        <v>22497</v>
      </c>
      <c r="I3201" s="9" t="s">
        <v>6005</v>
      </c>
      <c r="J3201" s="9" t="s">
        <v>6006</v>
      </c>
      <c r="K3201" s="4" t="s">
        <v>15175</v>
      </c>
      <c r="L3201" s="13">
        <v>11053</v>
      </c>
      <c r="M3201" t="str">
        <f>VLOOKUP(L3201,[1]Human_BrainSpan!$B$2:$C$4000,2,FALSE)</f>
        <v>A42-3</v>
      </c>
    </row>
    <row r="3202" spans="2:13" x14ac:dyDescent="0.25">
      <c r="B3202" s="31" t="s">
        <v>26303</v>
      </c>
      <c r="C3202" s="25" t="s">
        <v>26214</v>
      </c>
      <c r="D3202" s="25" t="s">
        <v>26232</v>
      </c>
      <c r="E3202" s="25" t="s">
        <v>26306</v>
      </c>
      <c r="F3202" s="9" t="str">
        <f t="shared" si="43"/>
        <v>structure with developmental contribution from neural crest</v>
      </c>
      <c r="G3202" s="9" t="s">
        <v>5090</v>
      </c>
      <c r="H3202" s="9" t="s">
        <v>22498</v>
      </c>
      <c r="I3202" s="9" t="s">
        <v>6007</v>
      </c>
      <c r="J3202" s="9" t="s">
        <v>6008</v>
      </c>
      <c r="K3202" s="4" t="s">
        <v>15175</v>
      </c>
      <c r="L3202" s="13">
        <v>11054</v>
      </c>
      <c r="M3202" t="str">
        <f>VLOOKUP(L3202,[1]Human_BrainSpan!$B$2:$C$4000,2,FALSE)</f>
        <v>A42-4</v>
      </c>
    </row>
    <row r="3203" spans="2:13" x14ac:dyDescent="0.25">
      <c r="B3203" s="31" t="s">
        <v>26303</v>
      </c>
      <c r="C3203" s="25" t="s">
        <v>26214</v>
      </c>
      <c r="D3203" s="25" t="s">
        <v>26232</v>
      </c>
      <c r="E3203" s="25" t="s">
        <v>26306</v>
      </c>
      <c r="F3203" s="9" t="str">
        <f t="shared" si="43"/>
        <v>structure with developmental contribution from neural crest</v>
      </c>
      <c r="G3203" s="9" t="s">
        <v>5090</v>
      </c>
      <c r="H3203" s="9" t="s">
        <v>22499</v>
      </c>
      <c r="I3203" s="9" t="s">
        <v>6009</v>
      </c>
      <c r="J3203" s="9" t="s">
        <v>6010</v>
      </c>
      <c r="K3203" s="4" t="s">
        <v>15175</v>
      </c>
      <c r="L3203" s="13">
        <v>11055</v>
      </c>
      <c r="M3203" t="str">
        <f>VLOOKUP(L3203,[1]Human_BrainSpan!$B$2:$C$4000,2,FALSE)</f>
        <v>A42-5</v>
      </c>
    </row>
    <row r="3204" spans="2:13" x14ac:dyDescent="0.25">
      <c r="B3204" s="31" t="s">
        <v>26303</v>
      </c>
      <c r="C3204" s="25" t="s">
        <v>26214</v>
      </c>
      <c r="D3204" s="25" t="s">
        <v>26232</v>
      </c>
      <c r="E3204" s="25" t="s">
        <v>26306</v>
      </c>
      <c r="F3204" s="9" t="str">
        <f t="shared" si="43"/>
        <v>structure with developmental contribution from neural crest</v>
      </c>
      <c r="G3204" s="9" t="s">
        <v>5090</v>
      </c>
      <c r="H3204" s="9" t="s">
        <v>22500</v>
      </c>
      <c r="I3204" s="9" t="s">
        <v>6011</v>
      </c>
      <c r="J3204" s="9" t="s">
        <v>6012</v>
      </c>
      <c r="K3204" s="4" t="s">
        <v>15175</v>
      </c>
      <c r="L3204" s="13">
        <v>11056</v>
      </c>
      <c r="M3204" t="str">
        <f>VLOOKUP(L3204,[1]Human_BrainSpan!$B$2:$C$4000,2,FALSE)</f>
        <v>A42-6</v>
      </c>
    </row>
    <row r="3205" spans="2:13" x14ac:dyDescent="0.25">
      <c r="B3205" s="31" t="s">
        <v>26299</v>
      </c>
      <c r="C3205" s="25" t="s">
        <v>14846</v>
      </c>
      <c r="D3205" s="25" t="s">
        <v>26232</v>
      </c>
      <c r="E3205" s="25" t="s">
        <v>26306</v>
      </c>
      <c r="F3205" s="9" t="str">
        <f t="shared" si="43"/>
        <v>structure with developmental contribution from neural crest</v>
      </c>
      <c r="G3205" s="9" t="s">
        <v>5090</v>
      </c>
      <c r="H3205" s="9" t="s">
        <v>22517</v>
      </c>
      <c r="I3205" s="9" t="s">
        <v>6013</v>
      </c>
      <c r="J3205" s="9" t="s">
        <v>6014</v>
      </c>
      <c r="K3205" s="4" t="s">
        <v>15175</v>
      </c>
      <c r="L3205" s="13">
        <v>11057</v>
      </c>
      <c r="M3205" t="str">
        <f>VLOOKUP(L3205,[1]Human_BrainSpan!$B$2:$C$4000,2,FALSE)</f>
        <v>A22c1</v>
      </c>
    </row>
    <row r="3206" spans="2:13" x14ac:dyDescent="0.25">
      <c r="B3206" s="31" t="s">
        <v>26299</v>
      </c>
      <c r="C3206" s="25" t="s">
        <v>14846</v>
      </c>
      <c r="D3206" s="25" t="s">
        <v>26232</v>
      </c>
      <c r="E3206" s="25" t="s">
        <v>26306</v>
      </c>
      <c r="F3206" s="9" t="str">
        <f t="shared" si="43"/>
        <v>structure with developmental contribution from neural crest</v>
      </c>
      <c r="G3206" s="9" t="s">
        <v>5090</v>
      </c>
      <c r="H3206" s="9" t="s">
        <v>22518</v>
      </c>
      <c r="I3206" s="9" t="s">
        <v>6015</v>
      </c>
      <c r="J3206" s="9" t="s">
        <v>6016</v>
      </c>
      <c r="K3206" s="4" t="s">
        <v>15175</v>
      </c>
      <c r="L3206" s="13">
        <v>11058</v>
      </c>
      <c r="M3206" t="str">
        <f>VLOOKUP(L3206,[1]Human_BrainSpan!$B$2:$C$4000,2,FALSE)</f>
        <v>A22c2</v>
      </c>
    </row>
    <row r="3207" spans="2:13" x14ac:dyDescent="0.25">
      <c r="B3207" s="31" t="s">
        <v>26299</v>
      </c>
      <c r="C3207" s="25" t="s">
        <v>14846</v>
      </c>
      <c r="D3207" s="25" t="s">
        <v>26232</v>
      </c>
      <c r="E3207" s="25" t="s">
        <v>26306</v>
      </c>
      <c r="F3207" s="9" t="str">
        <f t="shared" si="43"/>
        <v>structure with developmental contribution from neural crest</v>
      </c>
      <c r="G3207" s="9" t="s">
        <v>5090</v>
      </c>
      <c r="H3207" s="9" t="s">
        <v>22519</v>
      </c>
      <c r="I3207" s="9" t="s">
        <v>6017</v>
      </c>
      <c r="J3207" s="9" t="s">
        <v>6018</v>
      </c>
      <c r="K3207" s="4" t="s">
        <v>15175</v>
      </c>
      <c r="L3207" s="13">
        <v>11059</v>
      </c>
      <c r="M3207" t="str">
        <f>VLOOKUP(L3207,[1]Human_BrainSpan!$B$2:$C$4000,2,FALSE)</f>
        <v>A22c3</v>
      </c>
    </row>
    <row r="3208" spans="2:13" x14ac:dyDescent="0.25">
      <c r="B3208" s="31" t="s">
        <v>26299</v>
      </c>
      <c r="C3208" s="25" t="s">
        <v>14846</v>
      </c>
      <c r="D3208" s="25" t="s">
        <v>26232</v>
      </c>
      <c r="E3208" s="25" t="s">
        <v>26306</v>
      </c>
      <c r="F3208" s="9" t="str">
        <f t="shared" si="43"/>
        <v>structure with developmental contribution from neural crest</v>
      </c>
      <c r="G3208" s="9" t="s">
        <v>5090</v>
      </c>
      <c r="H3208" s="9" t="s">
        <v>22520</v>
      </c>
      <c r="I3208" s="9" t="s">
        <v>6019</v>
      </c>
      <c r="J3208" s="9" t="s">
        <v>6020</v>
      </c>
      <c r="K3208" s="4" t="s">
        <v>15175</v>
      </c>
      <c r="L3208" s="13">
        <v>11060</v>
      </c>
      <c r="M3208" t="str">
        <f>VLOOKUP(L3208,[1]Human_BrainSpan!$B$2:$C$4000,2,FALSE)</f>
        <v>A22c4</v>
      </c>
    </row>
    <row r="3209" spans="2:13" x14ac:dyDescent="0.25">
      <c r="B3209" s="31" t="s">
        <v>26299</v>
      </c>
      <c r="C3209" s="25" t="s">
        <v>14846</v>
      </c>
      <c r="D3209" s="25" t="s">
        <v>26232</v>
      </c>
      <c r="E3209" s="25" t="s">
        <v>26306</v>
      </c>
      <c r="F3209" s="9" t="str">
        <f t="shared" si="43"/>
        <v>structure with developmental contribution from neural crest</v>
      </c>
      <c r="G3209" s="9" t="s">
        <v>5090</v>
      </c>
      <c r="H3209" s="9" t="s">
        <v>22521</v>
      </c>
      <c r="I3209" s="9" t="s">
        <v>6021</v>
      </c>
      <c r="J3209" s="9" t="s">
        <v>6022</v>
      </c>
      <c r="K3209" s="4" t="s">
        <v>15175</v>
      </c>
      <c r="L3209" s="13">
        <v>11061</v>
      </c>
      <c r="M3209" t="str">
        <f>VLOOKUP(L3209,[1]Human_BrainSpan!$B$2:$C$4000,2,FALSE)</f>
        <v>A22c5</v>
      </c>
    </row>
    <row r="3210" spans="2:13" x14ac:dyDescent="0.25">
      <c r="B3210" s="31" t="s">
        <v>26299</v>
      </c>
      <c r="C3210" s="25" t="s">
        <v>14846</v>
      </c>
      <c r="D3210" s="25" t="s">
        <v>26232</v>
      </c>
      <c r="E3210" s="25" t="s">
        <v>26306</v>
      </c>
      <c r="F3210" s="9" t="str">
        <f t="shared" si="43"/>
        <v>structure with developmental contribution from neural crest</v>
      </c>
      <c r="G3210" s="9" t="s">
        <v>5090</v>
      </c>
      <c r="H3210" s="9" t="s">
        <v>22522</v>
      </c>
      <c r="I3210" s="9" t="s">
        <v>6023</v>
      </c>
      <c r="J3210" s="9" t="s">
        <v>6024</v>
      </c>
      <c r="K3210" s="4" t="s">
        <v>15175</v>
      </c>
      <c r="L3210" s="13">
        <v>11062</v>
      </c>
      <c r="M3210" t="str">
        <f>VLOOKUP(L3210,[1]Human_BrainSpan!$B$2:$C$4000,2,FALSE)</f>
        <v>A22c6</v>
      </c>
    </row>
    <row r="3211" spans="2:13" x14ac:dyDescent="0.25">
      <c r="B3211" s="31" t="s">
        <v>26299</v>
      </c>
      <c r="C3211" s="25" t="s">
        <v>14846</v>
      </c>
      <c r="D3211" s="25" t="s">
        <v>26232</v>
      </c>
      <c r="E3211" s="25" t="s">
        <v>26306</v>
      </c>
      <c r="F3211" s="9" t="str">
        <f t="shared" si="43"/>
        <v>structure with developmental contribution from neural crest</v>
      </c>
      <c r="G3211" s="9" t="s">
        <v>5090</v>
      </c>
      <c r="H3211" s="9" t="s">
        <v>22503</v>
      </c>
      <c r="I3211" s="9" t="s">
        <v>6025</v>
      </c>
      <c r="J3211" s="9" t="s">
        <v>6026</v>
      </c>
      <c r="K3211" s="4" t="s">
        <v>15175</v>
      </c>
      <c r="L3211" s="13">
        <v>11063</v>
      </c>
      <c r="M3211" t="str">
        <f>VLOOKUP(L3211,[1]Human_BrainSpan!$B$2:$C$4000,2,FALSE)</f>
        <v>A22r1</v>
      </c>
    </row>
    <row r="3212" spans="2:13" x14ac:dyDescent="0.25">
      <c r="B3212" s="31" t="s">
        <v>26299</v>
      </c>
      <c r="C3212" s="25" t="s">
        <v>14846</v>
      </c>
      <c r="D3212" s="25" t="s">
        <v>26232</v>
      </c>
      <c r="E3212" s="25" t="s">
        <v>26306</v>
      </c>
      <c r="F3212" s="9" t="str">
        <f t="shared" si="43"/>
        <v>structure with developmental contribution from neural crest</v>
      </c>
      <c r="G3212" s="9" t="s">
        <v>5090</v>
      </c>
      <c r="H3212" s="9" t="s">
        <v>22504</v>
      </c>
      <c r="I3212" s="9" t="s">
        <v>6027</v>
      </c>
      <c r="J3212" s="9" t="s">
        <v>6028</v>
      </c>
      <c r="K3212" s="4" t="s">
        <v>15175</v>
      </c>
      <c r="L3212" s="13">
        <v>11064</v>
      </c>
      <c r="M3212" t="str">
        <f>VLOOKUP(L3212,[1]Human_BrainSpan!$B$2:$C$4000,2,FALSE)</f>
        <v>A22r2</v>
      </c>
    </row>
    <row r="3213" spans="2:13" x14ac:dyDescent="0.25">
      <c r="B3213" s="31" t="s">
        <v>26299</v>
      </c>
      <c r="C3213" s="25" t="s">
        <v>14846</v>
      </c>
      <c r="D3213" s="25" t="s">
        <v>26232</v>
      </c>
      <c r="E3213" s="25" t="s">
        <v>26306</v>
      </c>
      <c r="F3213" s="9" t="str">
        <f t="shared" si="43"/>
        <v>structure with developmental contribution from neural crest</v>
      </c>
      <c r="G3213" s="9" t="s">
        <v>5090</v>
      </c>
      <c r="H3213" s="9" t="s">
        <v>22505</v>
      </c>
      <c r="I3213" s="9" t="s">
        <v>6029</v>
      </c>
      <c r="J3213" s="9" t="s">
        <v>6030</v>
      </c>
      <c r="K3213" s="4" t="s">
        <v>15175</v>
      </c>
      <c r="L3213" s="13">
        <v>11065</v>
      </c>
      <c r="M3213" t="str">
        <f>VLOOKUP(L3213,[1]Human_BrainSpan!$B$2:$C$4000,2,FALSE)</f>
        <v>A22r3</v>
      </c>
    </row>
    <row r="3214" spans="2:13" x14ac:dyDescent="0.25">
      <c r="B3214" s="31" t="s">
        <v>26299</v>
      </c>
      <c r="C3214" s="25" t="s">
        <v>14846</v>
      </c>
      <c r="D3214" s="25" t="s">
        <v>26232</v>
      </c>
      <c r="E3214" s="25" t="s">
        <v>26306</v>
      </c>
      <c r="F3214" s="9" t="str">
        <f t="shared" si="43"/>
        <v>structure with developmental contribution from neural crest</v>
      </c>
      <c r="G3214" s="9" t="s">
        <v>5090</v>
      </c>
      <c r="H3214" s="9" t="s">
        <v>22506</v>
      </c>
      <c r="I3214" s="9" t="s">
        <v>6031</v>
      </c>
      <c r="J3214" s="9" t="s">
        <v>6032</v>
      </c>
      <c r="K3214" s="4" t="s">
        <v>15175</v>
      </c>
      <c r="L3214" s="13">
        <v>11066</v>
      </c>
      <c r="M3214" t="str">
        <f>VLOOKUP(L3214,[1]Human_BrainSpan!$B$2:$C$4000,2,FALSE)</f>
        <v>A22r4</v>
      </c>
    </row>
    <row r="3215" spans="2:13" x14ac:dyDescent="0.25">
      <c r="B3215" s="31" t="s">
        <v>26299</v>
      </c>
      <c r="C3215" s="25" t="s">
        <v>14846</v>
      </c>
      <c r="D3215" s="25" t="s">
        <v>26232</v>
      </c>
      <c r="E3215" s="25" t="s">
        <v>26306</v>
      </c>
      <c r="F3215" s="9" t="str">
        <f t="shared" si="43"/>
        <v>structure with developmental contribution from neural crest</v>
      </c>
      <c r="G3215" s="9" t="s">
        <v>5090</v>
      </c>
      <c r="H3215" s="9" t="s">
        <v>22507</v>
      </c>
      <c r="I3215" s="9" t="s">
        <v>6033</v>
      </c>
      <c r="J3215" s="9" t="s">
        <v>6034</v>
      </c>
      <c r="K3215" s="4" t="s">
        <v>15175</v>
      </c>
      <c r="L3215" s="13">
        <v>11067</v>
      </c>
      <c r="M3215" t="str">
        <f>VLOOKUP(L3215,[1]Human_BrainSpan!$B$2:$C$4000,2,FALSE)</f>
        <v>A22r5</v>
      </c>
    </row>
    <row r="3216" spans="2:13" x14ac:dyDescent="0.25">
      <c r="B3216" s="31" t="s">
        <v>26299</v>
      </c>
      <c r="C3216" s="25" t="s">
        <v>14846</v>
      </c>
      <c r="D3216" s="25" t="s">
        <v>26232</v>
      </c>
      <c r="E3216" s="25" t="s">
        <v>26306</v>
      </c>
      <c r="F3216" s="9" t="str">
        <f t="shared" si="43"/>
        <v>structure with developmental contribution from neural crest</v>
      </c>
      <c r="G3216" s="9" t="s">
        <v>5090</v>
      </c>
      <c r="H3216" s="9" t="s">
        <v>22508</v>
      </c>
      <c r="I3216" s="9" t="s">
        <v>6035</v>
      </c>
      <c r="J3216" s="9" t="s">
        <v>6036</v>
      </c>
      <c r="K3216" s="4" t="s">
        <v>15175</v>
      </c>
      <c r="L3216" s="13">
        <v>11068</v>
      </c>
      <c r="M3216" t="str">
        <f>VLOOKUP(L3216,[1]Human_BrainSpan!$B$2:$C$4000,2,FALSE)</f>
        <v>A22r6</v>
      </c>
    </row>
    <row r="3217" spans="2:13" x14ac:dyDescent="0.25">
      <c r="B3217" s="31" t="s">
        <v>26299</v>
      </c>
      <c r="C3217" s="25" t="s">
        <v>14846</v>
      </c>
      <c r="D3217" s="25" t="s">
        <v>26232</v>
      </c>
      <c r="E3217" s="25" t="s">
        <v>26306</v>
      </c>
      <c r="F3217" s="9" t="str">
        <f t="shared" si="43"/>
        <v>structure with developmental contribution from neural crest</v>
      </c>
      <c r="G3217" s="9" t="s">
        <v>5090</v>
      </c>
      <c r="H3217" s="9" t="s">
        <v>22510</v>
      </c>
      <c r="I3217" s="9" t="s">
        <v>6037</v>
      </c>
      <c r="J3217" s="9" t="s">
        <v>6038</v>
      </c>
      <c r="K3217" s="4" t="s">
        <v>15175</v>
      </c>
      <c r="L3217" s="13">
        <v>11069</v>
      </c>
      <c r="M3217" t="str">
        <f>VLOOKUP(L3217,[1]Human_BrainSpan!$B$2:$C$4000,2,FALSE)</f>
        <v>A22i1</v>
      </c>
    </row>
    <row r="3218" spans="2:13" x14ac:dyDescent="0.25">
      <c r="B3218" s="31" t="s">
        <v>26299</v>
      </c>
      <c r="C3218" s="25" t="s">
        <v>14846</v>
      </c>
      <c r="D3218" s="25" t="s">
        <v>26232</v>
      </c>
      <c r="E3218" s="25" t="s">
        <v>26306</v>
      </c>
      <c r="F3218" s="9" t="str">
        <f t="shared" si="43"/>
        <v>structure with developmental contribution from neural crest</v>
      </c>
      <c r="G3218" s="9" t="s">
        <v>5090</v>
      </c>
      <c r="H3218" s="9" t="s">
        <v>22511</v>
      </c>
      <c r="I3218" s="9" t="s">
        <v>6039</v>
      </c>
      <c r="J3218" s="9" t="s">
        <v>6040</v>
      </c>
      <c r="K3218" s="4" t="s">
        <v>15175</v>
      </c>
      <c r="L3218" s="13">
        <v>11070</v>
      </c>
      <c r="M3218" t="str">
        <f>VLOOKUP(L3218,[1]Human_BrainSpan!$B$2:$C$4000,2,FALSE)</f>
        <v>A22i2</v>
      </c>
    </row>
    <row r="3219" spans="2:13" x14ac:dyDescent="0.25">
      <c r="B3219" s="31" t="s">
        <v>26299</v>
      </c>
      <c r="C3219" s="25" t="s">
        <v>14846</v>
      </c>
      <c r="D3219" s="25" t="s">
        <v>26232</v>
      </c>
      <c r="E3219" s="25" t="s">
        <v>26306</v>
      </c>
      <c r="F3219" s="9" t="str">
        <f t="shared" si="43"/>
        <v>structure with developmental contribution from neural crest</v>
      </c>
      <c r="G3219" s="9" t="s">
        <v>5090</v>
      </c>
      <c r="H3219" s="9" t="s">
        <v>22512</v>
      </c>
      <c r="I3219" s="9" t="s">
        <v>6041</v>
      </c>
      <c r="J3219" s="9" t="s">
        <v>6042</v>
      </c>
      <c r="K3219" s="4" t="s">
        <v>15175</v>
      </c>
      <c r="L3219" s="13">
        <v>11071</v>
      </c>
      <c r="M3219" t="str">
        <f>VLOOKUP(L3219,[1]Human_BrainSpan!$B$2:$C$4000,2,FALSE)</f>
        <v>A22i3</v>
      </c>
    </row>
    <row r="3220" spans="2:13" x14ac:dyDescent="0.25">
      <c r="B3220" s="31" t="s">
        <v>26299</v>
      </c>
      <c r="C3220" s="25" t="s">
        <v>14846</v>
      </c>
      <c r="D3220" s="25" t="s">
        <v>26232</v>
      </c>
      <c r="E3220" s="25" t="s">
        <v>26306</v>
      </c>
      <c r="F3220" s="9" t="str">
        <f t="shared" si="43"/>
        <v>structure with developmental contribution from neural crest</v>
      </c>
      <c r="G3220" s="9" t="s">
        <v>5090</v>
      </c>
      <c r="H3220" s="9" t="s">
        <v>22513</v>
      </c>
      <c r="I3220" s="9" t="s">
        <v>6043</v>
      </c>
      <c r="J3220" s="9" t="s">
        <v>6044</v>
      </c>
      <c r="K3220" s="4" t="s">
        <v>15175</v>
      </c>
      <c r="L3220" s="13">
        <v>11072</v>
      </c>
      <c r="M3220" t="str">
        <f>VLOOKUP(L3220,[1]Human_BrainSpan!$B$2:$C$4000,2,FALSE)</f>
        <v>A22i4</v>
      </c>
    </row>
    <row r="3221" spans="2:13" x14ac:dyDescent="0.25">
      <c r="B3221" s="31" t="s">
        <v>26299</v>
      </c>
      <c r="C3221" s="25" t="s">
        <v>14846</v>
      </c>
      <c r="D3221" s="25" t="s">
        <v>26232</v>
      </c>
      <c r="E3221" s="25" t="s">
        <v>26306</v>
      </c>
      <c r="F3221" s="9" t="str">
        <f t="shared" si="43"/>
        <v>structure with developmental contribution from neural crest</v>
      </c>
      <c r="G3221" s="9" t="s">
        <v>5090</v>
      </c>
      <c r="H3221" s="9" t="s">
        <v>22514</v>
      </c>
      <c r="I3221" s="9" t="s">
        <v>6045</v>
      </c>
      <c r="J3221" s="9" t="s">
        <v>6046</v>
      </c>
      <c r="K3221" s="4" t="s">
        <v>15175</v>
      </c>
      <c r="L3221" s="13">
        <v>11073</v>
      </c>
      <c r="M3221" t="str">
        <f>VLOOKUP(L3221,[1]Human_BrainSpan!$B$2:$C$4000,2,FALSE)</f>
        <v>A22i5</v>
      </c>
    </row>
    <row r="3222" spans="2:13" x14ac:dyDescent="0.25">
      <c r="B3222" s="31" t="s">
        <v>26299</v>
      </c>
      <c r="C3222" s="25" t="s">
        <v>14846</v>
      </c>
      <c r="D3222" s="25" t="s">
        <v>26232</v>
      </c>
      <c r="E3222" s="25" t="s">
        <v>26306</v>
      </c>
      <c r="F3222" s="9" t="str">
        <f t="shared" si="43"/>
        <v>structure with developmental contribution from neural crest</v>
      </c>
      <c r="G3222" s="9" t="s">
        <v>5090</v>
      </c>
      <c r="H3222" s="9" t="s">
        <v>22515</v>
      </c>
      <c r="I3222" s="9" t="s">
        <v>6047</v>
      </c>
      <c r="J3222" s="9" t="s">
        <v>6048</v>
      </c>
      <c r="K3222" s="4" t="s">
        <v>15175</v>
      </c>
      <c r="L3222" s="13">
        <v>11074</v>
      </c>
      <c r="M3222" t="str">
        <f>VLOOKUP(L3222,[1]Human_BrainSpan!$B$2:$C$4000,2,FALSE)</f>
        <v>A22i6</v>
      </c>
    </row>
    <row r="3223" spans="2:13" x14ac:dyDescent="0.25">
      <c r="B3223" s="31" t="s">
        <v>26299</v>
      </c>
      <c r="C3223" s="25" t="s">
        <v>14846</v>
      </c>
      <c r="D3223" s="25" t="s">
        <v>26232</v>
      </c>
      <c r="E3223" s="25" t="s">
        <v>26306</v>
      </c>
      <c r="F3223" s="9" t="str">
        <f t="shared" si="43"/>
        <v>structure with developmental contribution from neural crest</v>
      </c>
      <c r="G3223" s="9" t="s">
        <v>5090</v>
      </c>
      <c r="H3223" s="9" t="s">
        <v>22525</v>
      </c>
      <c r="I3223" s="9" t="s">
        <v>6049</v>
      </c>
      <c r="J3223" s="9" t="s">
        <v>6050</v>
      </c>
      <c r="K3223" s="4" t="s">
        <v>15175</v>
      </c>
      <c r="L3223" s="13">
        <v>11075</v>
      </c>
      <c r="M3223" t="str">
        <f>VLOOKUP(L3223,[1]Human_BrainSpan!$B$2:$C$4000,2,FALSE)</f>
        <v>A22pr1</v>
      </c>
    </row>
    <row r="3224" spans="2:13" x14ac:dyDescent="0.25">
      <c r="B3224" s="31" t="s">
        <v>26299</v>
      </c>
      <c r="C3224" s="25" t="s">
        <v>14846</v>
      </c>
      <c r="D3224" s="25" t="s">
        <v>26232</v>
      </c>
      <c r="E3224" s="25" t="s">
        <v>26306</v>
      </c>
      <c r="F3224" s="9" t="str">
        <f t="shared" si="43"/>
        <v>structure with developmental contribution from neural crest</v>
      </c>
      <c r="G3224" s="9" t="s">
        <v>5090</v>
      </c>
      <c r="H3224" s="9" t="s">
        <v>22526</v>
      </c>
      <c r="I3224" s="9" t="s">
        <v>6051</v>
      </c>
      <c r="J3224" s="9" t="s">
        <v>6052</v>
      </c>
      <c r="K3224" s="4" t="s">
        <v>15175</v>
      </c>
      <c r="L3224" s="13">
        <v>11076</v>
      </c>
      <c r="M3224" t="str">
        <f>VLOOKUP(L3224,[1]Human_BrainSpan!$B$2:$C$4000,2,FALSE)</f>
        <v>A22pr2</v>
      </c>
    </row>
    <row r="3225" spans="2:13" x14ac:dyDescent="0.25">
      <c r="B3225" s="31" t="s">
        <v>26299</v>
      </c>
      <c r="C3225" s="25" t="s">
        <v>14846</v>
      </c>
      <c r="D3225" s="25" t="s">
        <v>26232</v>
      </c>
      <c r="E3225" s="25" t="s">
        <v>26306</v>
      </c>
      <c r="F3225" s="9" t="str">
        <f t="shared" si="43"/>
        <v>structure with developmental contribution from neural crest</v>
      </c>
      <c r="G3225" s="9" t="s">
        <v>5090</v>
      </c>
      <c r="H3225" s="9" t="s">
        <v>22527</v>
      </c>
      <c r="I3225" s="9" t="s">
        <v>6053</v>
      </c>
      <c r="J3225" s="9" t="s">
        <v>6054</v>
      </c>
      <c r="K3225" s="4" t="s">
        <v>15175</v>
      </c>
      <c r="L3225" s="13">
        <v>11077</v>
      </c>
      <c r="M3225" t="str">
        <f>VLOOKUP(L3225,[1]Human_BrainSpan!$B$2:$C$4000,2,FALSE)</f>
        <v>A22pr3</v>
      </c>
    </row>
    <row r="3226" spans="2:13" x14ac:dyDescent="0.25">
      <c r="B3226" s="31" t="s">
        <v>26299</v>
      </c>
      <c r="C3226" s="25" t="s">
        <v>14846</v>
      </c>
      <c r="D3226" s="25" t="s">
        <v>26232</v>
      </c>
      <c r="E3226" s="25" t="s">
        <v>26306</v>
      </c>
      <c r="F3226" s="9" t="str">
        <f t="shared" si="43"/>
        <v>structure with developmental contribution from neural crest</v>
      </c>
      <c r="G3226" s="9" t="s">
        <v>5090</v>
      </c>
      <c r="H3226" s="9" t="s">
        <v>22528</v>
      </c>
      <c r="I3226" s="9" t="s">
        <v>6055</v>
      </c>
      <c r="J3226" s="9" t="s">
        <v>6056</v>
      </c>
      <c r="K3226" s="4" t="s">
        <v>15175</v>
      </c>
      <c r="L3226" s="13">
        <v>11078</v>
      </c>
      <c r="M3226" t="str">
        <f>VLOOKUP(L3226,[1]Human_BrainSpan!$B$2:$C$4000,2,FALSE)</f>
        <v>A22pr4</v>
      </c>
    </row>
    <row r="3227" spans="2:13" x14ac:dyDescent="0.25">
      <c r="B3227" s="31" t="s">
        <v>26299</v>
      </c>
      <c r="C3227" s="25" t="s">
        <v>14846</v>
      </c>
      <c r="D3227" s="25" t="s">
        <v>26232</v>
      </c>
      <c r="E3227" s="25" t="s">
        <v>26306</v>
      </c>
      <c r="F3227" s="9" t="str">
        <f t="shared" si="43"/>
        <v>structure with developmental contribution from neural crest</v>
      </c>
      <c r="G3227" s="9" t="s">
        <v>5090</v>
      </c>
      <c r="H3227" s="9" t="s">
        <v>22529</v>
      </c>
      <c r="I3227" s="9" t="s">
        <v>6057</v>
      </c>
      <c r="J3227" s="9" t="s">
        <v>6058</v>
      </c>
      <c r="K3227" s="4" t="s">
        <v>15175</v>
      </c>
      <c r="L3227" s="13">
        <v>11079</v>
      </c>
      <c r="M3227" t="str">
        <f>VLOOKUP(L3227,[1]Human_BrainSpan!$B$2:$C$4000,2,FALSE)</f>
        <v>A22pr5</v>
      </c>
    </row>
    <row r="3228" spans="2:13" x14ac:dyDescent="0.25">
      <c r="B3228" s="31" t="s">
        <v>26299</v>
      </c>
      <c r="C3228" s="25" t="s">
        <v>14846</v>
      </c>
      <c r="D3228" s="25" t="s">
        <v>26232</v>
      </c>
      <c r="E3228" s="25" t="s">
        <v>26306</v>
      </c>
      <c r="F3228" s="9" t="str">
        <f t="shared" si="43"/>
        <v>structure with developmental contribution from neural crest</v>
      </c>
      <c r="G3228" s="9" t="s">
        <v>5090</v>
      </c>
      <c r="H3228" s="9" t="s">
        <v>22530</v>
      </c>
      <c r="I3228" s="9" t="s">
        <v>6059</v>
      </c>
      <c r="J3228" s="9" t="s">
        <v>6060</v>
      </c>
      <c r="K3228" s="4" t="s">
        <v>15175</v>
      </c>
      <c r="L3228" s="13">
        <v>11080</v>
      </c>
      <c r="M3228" t="str">
        <f>VLOOKUP(L3228,[1]Human_BrainSpan!$B$2:$C$4000,2,FALSE)</f>
        <v>A22pr6</v>
      </c>
    </row>
    <row r="3229" spans="2:13" x14ac:dyDescent="0.25">
      <c r="B3229" s="31" t="s">
        <v>26299</v>
      </c>
      <c r="C3229" s="25" t="s">
        <v>14846</v>
      </c>
      <c r="D3229" s="25" t="s">
        <v>26232</v>
      </c>
      <c r="E3229" s="25" t="s">
        <v>26306</v>
      </c>
      <c r="F3229" s="9" t="str">
        <f t="shared" si="43"/>
        <v>structure with developmental contribution from neural crest</v>
      </c>
      <c r="G3229" s="9" t="s">
        <v>5090</v>
      </c>
      <c r="H3229" s="9" t="s">
        <v>22532</v>
      </c>
      <c r="I3229" s="9" t="s">
        <v>6061</v>
      </c>
      <c r="J3229" s="9" t="s">
        <v>6062</v>
      </c>
      <c r="K3229" s="4" t="s">
        <v>15175</v>
      </c>
      <c r="L3229" s="13">
        <v>11081</v>
      </c>
      <c r="M3229" t="str">
        <f>VLOOKUP(L3229,[1]Human_BrainSpan!$B$2:$C$4000,2,FALSE)</f>
        <v>A22pi1</v>
      </c>
    </row>
    <row r="3230" spans="2:13" x14ac:dyDescent="0.25">
      <c r="B3230" s="31" t="s">
        <v>26299</v>
      </c>
      <c r="C3230" s="25" t="s">
        <v>14846</v>
      </c>
      <c r="D3230" s="25" t="s">
        <v>26232</v>
      </c>
      <c r="E3230" s="25" t="s">
        <v>26306</v>
      </c>
      <c r="F3230" s="9" t="str">
        <f t="shared" si="43"/>
        <v>structure with developmental contribution from neural crest</v>
      </c>
      <c r="G3230" s="9" t="s">
        <v>5090</v>
      </c>
      <c r="H3230" s="9" t="s">
        <v>22533</v>
      </c>
      <c r="I3230" s="9" t="s">
        <v>6063</v>
      </c>
      <c r="J3230" s="9" t="s">
        <v>6064</v>
      </c>
      <c r="K3230" s="4" t="s">
        <v>15175</v>
      </c>
      <c r="L3230" s="13">
        <v>11082</v>
      </c>
      <c r="M3230" t="str">
        <f>VLOOKUP(L3230,[1]Human_BrainSpan!$B$2:$C$4000,2,FALSE)</f>
        <v>A22pi2</v>
      </c>
    </row>
    <row r="3231" spans="2:13" x14ac:dyDescent="0.25">
      <c r="B3231" s="31" t="s">
        <v>26299</v>
      </c>
      <c r="C3231" s="25" t="s">
        <v>14846</v>
      </c>
      <c r="D3231" s="25" t="s">
        <v>26232</v>
      </c>
      <c r="E3231" s="25" t="s">
        <v>26306</v>
      </c>
      <c r="F3231" s="9" t="str">
        <f t="shared" si="43"/>
        <v>structure with developmental contribution from neural crest</v>
      </c>
      <c r="G3231" s="9" t="s">
        <v>5090</v>
      </c>
      <c r="H3231" s="9" t="s">
        <v>22534</v>
      </c>
      <c r="I3231" s="9" t="s">
        <v>6065</v>
      </c>
      <c r="J3231" s="9" t="s">
        <v>6066</v>
      </c>
      <c r="K3231" s="4" t="s">
        <v>15175</v>
      </c>
      <c r="L3231" s="13">
        <v>11083</v>
      </c>
      <c r="M3231" t="str">
        <f>VLOOKUP(L3231,[1]Human_BrainSpan!$B$2:$C$4000,2,FALSE)</f>
        <v>A22pi3</v>
      </c>
    </row>
    <row r="3232" spans="2:13" x14ac:dyDescent="0.25">
      <c r="B3232" s="31" t="s">
        <v>26299</v>
      </c>
      <c r="C3232" s="25" t="s">
        <v>14846</v>
      </c>
      <c r="D3232" s="25" t="s">
        <v>26232</v>
      </c>
      <c r="E3232" s="25" t="s">
        <v>26306</v>
      </c>
      <c r="F3232" s="9" t="str">
        <f t="shared" si="43"/>
        <v>structure with developmental contribution from neural crest</v>
      </c>
      <c r="G3232" s="9" t="s">
        <v>5090</v>
      </c>
      <c r="H3232" s="9" t="s">
        <v>22535</v>
      </c>
      <c r="I3232" s="9" t="s">
        <v>6067</v>
      </c>
      <c r="J3232" s="9" t="s">
        <v>6068</v>
      </c>
      <c r="K3232" s="4" t="s">
        <v>15175</v>
      </c>
      <c r="L3232" s="13">
        <v>11084</v>
      </c>
      <c r="M3232" t="str">
        <f>VLOOKUP(L3232,[1]Human_BrainSpan!$B$2:$C$4000,2,FALSE)</f>
        <v>A22pi4</v>
      </c>
    </row>
    <row r="3233" spans="2:13" x14ac:dyDescent="0.25">
      <c r="B3233" s="31" t="s">
        <v>26299</v>
      </c>
      <c r="C3233" s="25" t="s">
        <v>14846</v>
      </c>
      <c r="D3233" s="25" t="s">
        <v>26232</v>
      </c>
      <c r="E3233" s="25" t="s">
        <v>26306</v>
      </c>
      <c r="F3233" s="9" t="str">
        <f t="shared" si="43"/>
        <v>structure with developmental contribution from neural crest</v>
      </c>
      <c r="G3233" s="9" t="s">
        <v>5090</v>
      </c>
      <c r="H3233" s="9" t="s">
        <v>22536</v>
      </c>
      <c r="I3233" s="9" t="s">
        <v>6069</v>
      </c>
      <c r="J3233" s="9" t="s">
        <v>6070</v>
      </c>
      <c r="K3233" s="4" t="s">
        <v>15175</v>
      </c>
      <c r="L3233" s="13">
        <v>11085</v>
      </c>
      <c r="M3233" t="str">
        <f>VLOOKUP(L3233,[1]Human_BrainSpan!$B$2:$C$4000,2,FALSE)</f>
        <v>A22pi5</v>
      </c>
    </row>
    <row r="3234" spans="2:13" x14ac:dyDescent="0.25">
      <c r="B3234" s="31" t="s">
        <v>26299</v>
      </c>
      <c r="C3234" s="25" t="s">
        <v>14846</v>
      </c>
      <c r="D3234" s="25" t="s">
        <v>26232</v>
      </c>
      <c r="E3234" s="25" t="s">
        <v>26306</v>
      </c>
      <c r="F3234" s="9" t="str">
        <f t="shared" si="43"/>
        <v>structure with developmental contribution from neural crest</v>
      </c>
      <c r="G3234" s="9" t="s">
        <v>5090</v>
      </c>
      <c r="H3234" s="9" t="s">
        <v>22537</v>
      </c>
      <c r="I3234" s="9" t="s">
        <v>6071</v>
      </c>
      <c r="J3234" s="9" t="s">
        <v>6072</v>
      </c>
      <c r="K3234" s="4" t="s">
        <v>15175</v>
      </c>
      <c r="L3234" s="13">
        <v>11086</v>
      </c>
      <c r="M3234" t="str">
        <f>VLOOKUP(L3234,[1]Human_BrainSpan!$B$2:$C$4000,2,FALSE)</f>
        <v>A22pi6</v>
      </c>
    </row>
    <row r="3235" spans="2:13" x14ac:dyDescent="0.25">
      <c r="B3235" s="31" t="s">
        <v>26299</v>
      </c>
      <c r="C3235" s="25" t="s">
        <v>14846</v>
      </c>
      <c r="D3235" s="25" t="s">
        <v>26232</v>
      </c>
      <c r="E3235" s="25" t="s">
        <v>26306</v>
      </c>
      <c r="F3235" s="9" t="str">
        <f t="shared" si="43"/>
        <v>structure with developmental contribution from neural crest</v>
      </c>
      <c r="G3235" s="9" t="s">
        <v>5090</v>
      </c>
      <c r="H3235" s="9" t="s">
        <v>22539</v>
      </c>
      <c r="I3235" s="9" t="s">
        <v>6073</v>
      </c>
      <c r="J3235" s="9" t="s">
        <v>6074</v>
      </c>
      <c r="K3235" s="4" t="s">
        <v>15175</v>
      </c>
      <c r="L3235" s="13">
        <v>11087</v>
      </c>
      <c r="M3235" t="str">
        <f>VLOOKUP(L3235,[1]Human_BrainSpan!$B$2:$C$4000,2,FALSE)</f>
        <v>A22pc1</v>
      </c>
    </row>
    <row r="3236" spans="2:13" x14ac:dyDescent="0.25">
      <c r="B3236" s="31" t="s">
        <v>26299</v>
      </c>
      <c r="C3236" s="25" t="s">
        <v>14846</v>
      </c>
      <c r="D3236" s="25" t="s">
        <v>26232</v>
      </c>
      <c r="E3236" s="25" t="s">
        <v>26306</v>
      </c>
      <c r="F3236" s="9" t="str">
        <f t="shared" si="43"/>
        <v>structure with developmental contribution from neural crest</v>
      </c>
      <c r="G3236" s="9" t="s">
        <v>5090</v>
      </c>
      <c r="H3236" s="9" t="s">
        <v>22540</v>
      </c>
      <c r="I3236" s="9" t="s">
        <v>6075</v>
      </c>
      <c r="J3236" s="9" t="s">
        <v>6076</v>
      </c>
      <c r="K3236" s="4" t="s">
        <v>15175</v>
      </c>
      <c r="L3236" s="13">
        <v>11088</v>
      </c>
      <c r="M3236" t="str">
        <f>VLOOKUP(L3236,[1]Human_BrainSpan!$B$2:$C$4000,2,FALSE)</f>
        <v>A22pc2</v>
      </c>
    </row>
    <row r="3237" spans="2:13" x14ac:dyDescent="0.25">
      <c r="B3237" s="31" t="s">
        <v>26299</v>
      </c>
      <c r="C3237" s="25" t="s">
        <v>14846</v>
      </c>
      <c r="D3237" s="25" t="s">
        <v>26232</v>
      </c>
      <c r="E3237" s="25" t="s">
        <v>26306</v>
      </c>
      <c r="F3237" s="9" t="str">
        <f t="shared" si="43"/>
        <v>structure with developmental contribution from neural crest</v>
      </c>
      <c r="G3237" s="9" t="s">
        <v>5090</v>
      </c>
      <c r="H3237" s="9" t="s">
        <v>22541</v>
      </c>
      <c r="I3237" s="9" t="s">
        <v>6077</v>
      </c>
      <c r="J3237" s="9" t="s">
        <v>6078</v>
      </c>
      <c r="K3237" s="4" t="s">
        <v>15175</v>
      </c>
      <c r="L3237" s="13">
        <v>11089</v>
      </c>
      <c r="M3237" t="str">
        <f>VLOOKUP(L3237,[1]Human_BrainSpan!$B$2:$C$4000,2,FALSE)</f>
        <v>A22pc3</v>
      </c>
    </row>
    <row r="3238" spans="2:13" x14ac:dyDescent="0.25">
      <c r="B3238" s="31" t="s">
        <v>26299</v>
      </c>
      <c r="C3238" s="25" t="s">
        <v>14846</v>
      </c>
      <c r="D3238" s="25" t="s">
        <v>26232</v>
      </c>
      <c r="E3238" s="25" t="s">
        <v>26306</v>
      </c>
      <c r="F3238" s="9" t="str">
        <f t="shared" si="43"/>
        <v>structure with developmental contribution from neural crest</v>
      </c>
      <c r="G3238" s="9" t="s">
        <v>5090</v>
      </c>
      <c r="H3238" s="9" t="s">
        <v>22542</v>
      </c>
      <c r="I3238" s="9" t="s">
        <v>6079</v>
      </c>
      <c r="J3238" s="9" t="s">
        <v>6080</v>
      </c>
      <c r="K3238" s="4" t="s">
        <v>15175</v>
      </c>
      <c r="L3238" s="13">
        <v>11090</v>
      </c>
      <c r="M3238" t="str">
        <f>VLOOKUP(L3238,[1]Human_BrainSpan!$B$2:$C$4000,2,FALSE)</f>
        <v>A22pc4</v>
      </c>
    </row>
    <row r="3239" spans="2:13" x14ac:dyDescent="0.25">
      <c r="B3239" s="31" t="s">
        <v>26299</v>
      </c>
      <c r="C3239" s="25" t="s">
        <v>14846</v>
      </c>
      <c r="D3239" s="25" t="s">
        <v>26232</v>
      </c>
      <c r="E3239" s="25" t="s">
        <v>26306</v>
      </c>
      <c r="F3239" s="9" t="str">
        <f t="shared" si="43"/>
        <v>structure with developmental contribution from neural crest</v>
      </c>
      <c r="G3239" s="9" t="s">
        <v>5090</v>
      </c>
      <c r="H3239" s="9" t="s">
        <v>22543</v>
      </c>
      <c r="I3239" s="9" t="s">
        <v>6081</v>
      </c>
      <c r="J3239" s="9" t="s">
        <v>6082</v>
      </c>
      <c r="K3239" s="4" t="s">
        <v>15175</v>
      </c>
      <c r="L3239" s="13">
        <v>11091</v>
      </c>
      <c r="M3239" t="str">
        <f>VLOOKUP(L3239,[1]Human_BrainSpan!$B$2:$C$4000,2,FALSE)</f>
        <v>A22pc5</v>
      </c>
    </row>
    <row r="3240" spans="2:13" x14ac:dyDescent="0.25">
      <c r="B3240" s="31" t="s">
        <v>26299</v>
      </c>
      <c r="C3240" s="25" t="s">
        <v>14846</v>
      </c>
      <c r="D3240" s="25" t="s">
        <v>26232</v>
      </c>
      <c r="E3240" s="25" t="s">
        <v>26306</v>
      </c>
      <c r="F3240" s="9" t="str">
        <f t="shared" si="43"/>
        <v>structure with developmental contribution from neural crest</v>
      </c>
      <c r="G3240" s="9" t="s">
        <v>5090</v>
      </c>
      <c r="H3240" s="9" t="s">
        <v>22544</v>
      </c>
      <c r="I3240" s="9" t="s">
        <v>6083</v>
      </c>
      <c r="J3240" s="9" t="s">
        <v>6084</v>
      </c>
      <c r="K3240" s="4" t="s">
        <v>15175</v>
      </c>
      <c r="L3240" s="13">
        <v>11092</v>
      </c>
      <c r="M3240" t="str">
        <f>VLOOKUP(L3240,[1]Human_BrainSpan!$B$2:$C$4000,2,FALSE)</f>
        <v>A22pc6</v>
      </c>
    </row>
    <row r="3241" spans="2:13" x14ac:dyDescent="0.25">
      <c r="B3241" s="31" t="s">
        <v>26299</v>
      </c>
      <c r="C3241" s="25" t="s">
        <v>3165</v>
      </c>
      <c r="D3241" s="25" t="s">
        <v>26232</v>
      </c>
      <c r="E3241" s="25" t="s">
        <v>26306</v>
      </c>
      <c r="F3241" s="9" t="str">
        <f t="shared" si="43"/>
        <v>structure with developmental contribution from neural crest</v>
      </c>
      <c r="G3241" s="9" t="s">
        <v>5090</v>
      </c>
      <c r="H3241" s="9" t="s">
        <v>22555</v>
      </c>
      <c r="I3241" s="9" t="s">
        <v>6085</v>
      </c>
      <c r="J3241" s="9" t="s">
        <v>6086</v>
      </c>
      <c r="K3241" s="4" t="s">
        <v>15175</v>
      </c>
      <c r="L3241" s="13">
        <v>11093</v>
      </c>
      <c r="M3241" t="str">
        <f>VLOOKUP(L3241,[1]Human_BrainSpan!$B$2:$C$4000,2,FALSE)</f>
        <v>A21r1</v>
      </c>
    </row>
    <row r="3242" spans="2:13" x14ac:dyDescent="0.25">
      <c r="B3242" s="31" t="s">
        <v>26299</v>
      </c>
      <c r="C3242" s="25" t="s">
        <v>3165</v>
      </c>
      <c r="D3242" s="25" t="s">
        <v>26232</v>
      </c>
      <c r="E3242" s="25" t="s">
        <v>26306</v>
      </c>
      <c r="F3242" s="9" t="str">
        <f t="shared" si="43"/>
        <v>structure with developmental contribution from neural crest</v>
      </c>
      <c r="G3242" s="9" t="s">
        <v>5090</v>
      </c>
      <c r="H3242" s="9" t="s">
        <v>22556</v>
      </c>
      <c r="I3242" s="9" t="s">
        <v>6087</v>
      </c>
      <c r="J3242" s="9" t="s">
        <v>6088</v>
      </c>
      <c r="K3242" s="4" t="s">
        <v>15175</v>
      </c>
      <c r="L3242" s="13">
        <v>11094</v>
      </c>
      <c r="M3242" t="str">
        <f>VLOOKUP(L3242,[1]Human_BrainSpan!$B$2:$C$4000,2,FALSE)</f>
        <v>A21r2</v>
      </c>
    </row>
    <row r="3243" spans="2:13" x14ac:dyDescent="0.25">
      <c r="B3243" s="31" t="s">
        <v>26299</v>
      </c>
      <c r="C3243" s="25" t="s">
        <v>3165</v>
      </c>
      <c r="D3243" s="25" t="s">
        <v>26232</v>
      </c>
      <c r="E3243" s="25" t="s">
        <v>26306</v>
      </c>
      <c r="F3243" s="9" t="str">
        <f t="shared" si="43"/>
        <v>structure with developmental contribution from neural crest</v>
      </c>
      <c r="G3243" s="9" t="s">
        <v>5090</v>
      </c>
      <c r="H3243" s="9" t="s">
        <v>22557</v>
      </c>
      <c r="I3243" s="9" t="s">
        <v>6089</v>
      </c>
      <c r="J3243" s="9" t="s">
        <v>6090</v>
      </c>
      <c r="K3243" s="4" t="s">
        <v>15175</v>
      </c>
      <c r="L3243" s="13">
        <v>11095</v>
      </c>
      <c r="M3243" t="str">
        <f>VLOOKUP(L3243,[1]Human_BrainSpan!$B$2:$C$4000,2,FALSE)</f>
        <v>A21r3</v>
      </c>
    </row>
    <row r="3244" spans="2:13" x14ac:dyDescent="0.25">
      <c r="B3244" s="31" t="s">
        <v>26299</v>
      </c>
      <c r="C3244" s="25" t="s">
        <v>3165</v>
      </c>
      <c r="D3244" s="25" t="s">
        <v>26232</v>
      </c>
      <c r="E3244" s="25" t="s">
        <v>26306</v>
      </c>
      <c r="F3244" s="9" t="str">
        <f t="shared" si="43"/>
        <v>structure with developmental contribution from neural crest</v>
      </c>
      <c r="G3244" s="9" t="s">
        <v>5090</v>
      </c>
      <c r="H3244" s="9" t="s">
        <v>22558</v>
      </c>
      <c r="I3244" s="9" t="s">
        <v>6091</v>
      </c>
      <c r="J3244" s="9" t="s">
        <v>6092</v>
      </c>
      <c r="K3244" s="4" t="s">
        <v>15175</v>
      </c>
      <c r="L3244" s="13">
        <v>11096</v>
      </c>
      <c r="M3244" t="str">
        <f>VLOOKUP(L3244,[1]Human_BrainSpan!$B$2:$C$4000,2,FALSE)</f>
        <v>A21r4</v>
      </c>
    </row>
    <row r="3245" spans="2:13" x14ac:dyDescent="0.25">
      <c r="B3245" s="31" t="s">
        <v>26299</v>
      </c>
      <c r="C3245" s="25" t="s">
        <v>3165</v>
      </c>
      <c r="D3245" s="25" t="s">
        <v>26232</v>
      </c>
      <c r="E3245" s="25" t="s">
        <v>26306</v>
      </c>
      <c r="F3245" s="9" t="str">
        <f t="shared" si="43"/>
        <v>structure with developmental contribution from neural crest</v>
      </c>
      <c r="G3245" s="9" t="s">
        <v>5090</v>
      </c>
      <c r="H3245" s="9" t="s">
        <v>22559</v>
      </c>
      <c r="I3245" s="9" t="s">
        <v>6093</v>
      </c>
      <c r="J3245" s="9" t="s">
        <v>6094</v>
      </c>
      <c r="K3245" s="4" t="s">
        <v>15175</v>
      </c>
      <c r="L3245" s="13">
        <v>11097</v>
      </c>
      <c r="M3245" t="str">
        <f>VLOOKUP(L3245,[1]Human_BrainSpan!$B$2:$C$4000,2,FALSE)</f>
        <v>A21r5</v>
      </c>
    </row>
    <row r="3246" spans="2:13" x14ac:dyDescent="0.25">
      <c r="B3246" s="31" t="s">
        <v>26299</v>
      </c>
      <c r="C3246" s="25" t="s">
        <v>3165</v>
      </c>
      <c r="D3246" s="25" t="s">
        <v>26232</v>
      </c>
      <c r="E3246" s="25" t="s">
        <v>26306</v>
      </c>
      <c r="F3246" s="9" t="str">
        <f t="shared" si="43"/>
        <v>structure with developmental contribution from neural crest</v>
      </c>
      <c r="G3246" s="9" t="s">
        <v>5090</v>
      </c>
      <c r="H3246" s="9" t="s">
        <v>22560</v>
      </c>
      <c r="I3246" s="9" t="s">
        <v>6095</v>
      </c>
      <c r="J3246" s="9" t="s">
        <v>6096</v>
      </c>
      <c r="K3246" s="4" t="s">
        <v>15175</v>
      </c>
      <c r="L3246" s="13">
        <v>11098</v>
      </c>
      <c r="M3246" t="str">
        <f>VLOOKUP(L3246,[1]Human_BrainSpan!$B$2:$C$4000,2,FALSE)</f>
        <v>A21r6</v>
      </c>
    </row>
    <row r="3247" spans="2:13" x14ac:dyDescent="0.25">
      <c r="B3247" s="31" t="s">
        <v>26299</v>
      </c>
      <c r="C3247" s="25" t="s">
        <v>3165</v>
      </c>
      <c r="D3247" s="25" t="s">
        <v>26232</v>
      </c>
      <c r="E3247" s="25" t="s">
        <v>26306</v>
      </c>
      <c r="F3247" s="9" t="str">
        <f t="shared" si="43"/>
        <v>structure with developmental contribution from neural crest</v>
      </c>
      <c r="G3247" s="9" t="s">
        <v>5090</v>
      </c>
      <c r="H3247" s="9" t="s">
        <v>22562</v>
      </c>
      <c r="I3247" s="9" t="s">
        <v>6097</v>
      </c>
      <c r="J3247" s="9" t="s">
        <v>6098</v>
      </c>
      <c r="K3247" s="4" t="s">
        <v>15175</v>
      </c>
      <c r="L3247" s="13">
        <v>11099</v>
      </c>
      <c r="M3247" t="str">
        <f>VLOOKUP(L3247,[1]Human_BrainSpan!$B$2:$C$4000,2,FALSE)</f>
        <v>A21i1</v>
      </c>
    </row>
    <row r="3248" spans="2:13" x14ac:dyDescent="0.25">
      <c r="B3248" s="31" t="s">
        <v>26299</v>
      </c>
      <c r="C3248" s="25" t="s">
        <v>3165</v>
      </c>
      <c r="D3248" s="25" t="s">
        <v>26232</v>
      </c>
      <c r="E3248" s="25" t="s">
        <v>26306</v>
      </c>
      <c r="F3248" s="9" t="str">
        <f t="shared" si="43"/>
        <v>structure with developmental contribution from neural crest</v>
      </c>
      <c r="G3248" s="9" t="s">
        <v>5090</v>
      </c>
      <c r="H3248" s="9" t="s">
        <v>22563</v>
      </c>
      <c r="I3248" s="9" t="s">
        <v>6099</v>
      </c>
      <c r="J3248" s="9" t="s">
        <v>6100</v>
      </c>
      <c r="K3248" s="4" t="s">
        <v>15175</v>
      </c>
      <c r="L3248" s="13">
        <v>11100</v>
      </c>
      <c r="M3248" t="str">
        <f>VLOOKUP(L3248,[1]Human_BrainSpan!$B$2:$C$4000,2,FALSE)</f>
        <v>A21i2</v>
      </c>
    </row>
    <row r="3249" spans="2:13" x14ac:dyDescent="0.25">
      <c r="B3249" s="31" t="s">
        <v>26299</v>
      </c>
      <c r="C3249" s="25" t="s">
        <v>3165</v>
      </c>
      <c r="D3249" s="25" t="s">
        <v>26232</v>
      </c>
      <c r="E3249" s="25" t="s">
        <v>26306</v>
      </c>
      <c r="F3249" s="9" t="str">
        <f t="shared" si="43"/>
        <v>structure with developmental contribution from neural crest</v>
      </c>
      <c r="G3249" s="9" t="s">
        <v>5090</v>
      </c>
      <c r="H3249" s="9" t="s">
        <v>22564</v>
      </c>
      <c r="I3249" s="9" t="s">
        <v>6101</v>
      </c>
      <c r="J3249" s="9" t="s">
        <v>6102</v>
      </c>
      <c r="K3249" s="4" t="s">
        <v>15175</v>
      </c>
      <c r="L3249" s="13">
        <v>11101</v>
      </c>
      <c r="M3249" t="str">
        <f>VLOOKUP(L3249,[1]Human_BrainSpan!$B$2:$C$4000,2,FALSE)</f>
        <v>A21i3</v>
      </c>
    </row>
    <row r="3250" spans="2:13" x14ac:dyDescent="0.25">
      <c r="B3250" s="31" t="s">
        <v>26299</v>
      </c>
      <c r="C3250" s="25" t="s">
        <v>3165</v>
      </c>
      <c r="D3250" s="25" t="s">
        <v>26232</v>
      </c>
      <c r="E3250" s="25" t="s">
        <v>26306</v>
      </c>
      <c r="F3250" s="9" t="str">
        <f t="shared" si="43"/>
        <v>structure with developmental contribution from neural crest</v>
      </c>
      <c r="G3250" s="9" t="s">
        <v>5090</v>
      </c>
      <c r="H3250" s="9" t="s">
        <v>22565</v>
      </c>
      <c r="I3250" s="9" t="s">
        <v>6103</v>
      </c>
      <c r="J3250" s="9" t="s">
        <v>6104</v>
      </c>
      <c r="K3250" s="4" t="s">
        <v>15175</v>
      </c>
      <c r="L3250" s="13">
        <v>11102</v>
      </c>
      <c r="M3250" t="str">
        <f>VLOOKUP(L3250,[1]Human_BrainSpan!$B$2:$C$4000,2,FALSE)</f>
        <v>A21i4</v>
      </c>
    </row>
    <row r="3251" spans="2:13" x14ac:dyDescent="0.25">
      <c r="B3251" s="31" t="s">
        <v>26299</v>
      </c>
      <c r="C3251" s="25" t="s">
        <v>3165</v>
      </c>
      <c r="D3251" s="25" t="s">
        <v>26232</v>
      </c>
      <c r="E3251" s="25" t="s">
        <v>26306</v>
      </c>
      <c r="F3251" s="9" t="str">
        <f t="shared" si="43"/>
        <v>structure with developmental contribution from neural crest</v>
      </c>
      <c r="G3251" s="9" t="s">
        <v>5090</v>
      </c>
      <c r="H3251" s="9" t="s">
        <v>22566</v>
      </c>
      <c r="I3251" s="9" t="s">
        <v>6105</v>
      </c>
      <c r="J3251" s="9" t="s">
        <v>6106</v>
      </c>
      <c r="K3251" s="4" t="s">
        <v>15175</v>
      </c>
      <c r="L3251" s="13">
        <v>11103</v>
      </c>
      <c r="M3251" t="str">
        <f>VLOOKUP(L3251,[1]Human_BrainSpan!$B$2:$C$4000,2,FALSE)</f>
        <v>A21i5</v>
      </c>
    </row>
    <row r="3252" spans="2:13" x14ac:dyDescent="0.25">
      <c r="B3252" s="31" t="s">
        <v>26299</v>
      </c>
      <c r="C3252" s="25" t="s">
        <v>3165</v>
      </c>
      <c r="D3252" s="25" t="s">
        <v>26232</v>
      </c>
      <c r="E3252" s="25" t="s">
        <v>26306</v>
      </c>
      <c r="F3252" s="9" t="str">
        <f t="shared" si="43"/>
        <v>structure with developmental contribution from neural crest</v>
      </c>
      <c r="G3252" s="9" t="s">
        <v>5090</v>
      </c>
      <c r="H3252" s="9" t="s">
        <v>22567</v>
      </c>
      <c r="I3252" s="9" t="s">
        <v>6107</v>
      </c>
      <c r="J3252" s="9" t="s">
        <v>6108</v>
      </c>
      <c r="K3252" s="4" t="s">
        <v>15175</v>
      </c>
      <c r="L3252" s="13">
        <v>11104</v>
      </c>
      <c r="M3252" t="str">
        <f>VLOOKUP(L3252,[1]Human_BrainSpan!$B$2:$C$4000,2,FALSE)</f>
        <v>A21i6</v>
      </c>
    </row>
    <row r="3253" spans="2:13" x14ac:dyDescent="0.25">
      <c r="B3253" s="31" t="s">
        <v>26299</v>
      </c>
      <c r="C3253" s="25" t="s">
        <v>3165</v>
      </c>
      <c r="D3253" s="25" t="s">
        <v>26232</v>
      </c>
      <c r="E3253" s="25" t="s">
        <v>26306</v>
      </c>
      <c r="F3253" s="9" t="str">
        <f t="shared" si="43"/>
        <v>structure with developmental contribution from neural crest</v>
      </c>
      <c r="G3253" s="9" t="s">
        <v>5090</v>
      </c>
      <c r="H3253" s="9" t="s">
        <v>22569</v>
      </c>
      <c r="I3253" s="9" t="s">
        <v>6109</v>
      </c>
      <c r="J3253" s="9" t="s">
        <v>6110</v>
      </c>
      <c r="K3253" s="4" t="s">
        <v>15175</v>
      </c>
      <c r="L3253" s="13">
        <v>11105</v>
      </c>
      <c r="M3253" t="str">
        <f>VLOOKUP(L3253,[1]Human_BrainSpan!$B$2:$C$4000,2,FALSE)</f>
        <v>A21c1</v>
      </c>
    </row>
    <row r="3254" spans="2:13" x14ac:dyDescent="0.25">
      <c r="B3254" s="31" t="s">
        <v>26299</v>
      </c>
      <c r="C3254" s="25" t="s">
        <v>3165</v>
      </c>
      <c r="D3254" s="25" t="s">
        <v>26232</v>
      </c>
      <c r="E3254" s="25" t="s">
        <v>26306</v>
      </c>
      <c r="F3254" s="9" t="str">
        <f t="shared" si="43"/>
        <v>structure with developmental contribution from neural crest</v>
      </c>
      <c r="G3254" s="9" t="s">
        <v>5090</v>
      </c>
      <c r="H3254" s="9" t="s">
        <v>22570</v>
      </c>
      <c r="I3254" s="9" t="s">
        <v>6111</v>
      </c>
      <c r="J3254" s="9" t="s">
        <v>6112</v>
      </c>
      <c r="K3254" s="4" t="s">
        <v>15175</v>
      </c>
      <c r="L3254" s="13">
        <v>11106</v>
      </c>
      <c r="M3254" t="str">
        <f>VLOOKUP(L3254,[1]Human_BrainSpan!$B$2:$C$4000,2,FALSE)</f>
        <v>A21c2</v>
      </c>
    </row>
    <row r="3255" spans="2:13" x14ac:dyDescent="0.25">
      <c r="B3255" s="31" t="s">
        <v>26299</v>
      </c>
      <c r="C3255" s="25" t="s">
        <v>3165</v>
      </c>
      <c r="D3255" s="25" t="s">
        <v>26232</v>
      </c>
      <c r="E3255" s="25" t="s">
        <v>26306</v>
      </c>
      <c r="F3255" s="9" t="str">
        <f t="shared" ref="F3255:F3318" si="44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3255" s="9" t="s">
        <v>5090</v>
      </c>
      <c r="H3255" s="9" t="s">
        <v>22571</v>
      </c>
      <c r="I3255" s="9" t="s">
        <v>6113</v>
      </c>
      <c r="J3255" s="9" t="s">
        <v>6114</v>
      </c>
      <c r="K3255" s="4" t="s">
        <v>15175</v>
      </c>
      <c r="L3255" s="13">
        <v>11107</v>
      </c>
      <c r="M3255" t="str">
        <f>VLOOKUP(L3255,[1]Human_BrainSpan!$B$2:$C$4000,2,FALSE)</f>
        <v>A21c3</v>
      </c>
    </row>
    <row r="3256" spans="2:13" x14ac:dyDescent="0.25">
      <c r="B3256" s="31" t="s">
        <v>26299</v>
      </c>
      <c r="C3256" s="25" t="s">
        <v>3165</v>
      </c>
      <c r="D3256" s="25" t="s">
        <v>26232</v>
      </c>
      <c r="E3256" s="25" t="s">
        <v>26306</v>
      </c>
      <c r="F3256" s="9" t="str">
        <f t="shared" si="44"/>
        <v>structure with developmental contribution from neural crest</v>
      </c>
      <c r="G3256" s="9" t="s">
        <v>5090</v>
      </c>
      <c r="H3256" s="9" t="s">
        <v>22572</v>
      </c>
      <c r="I3256" s="9" t="s">
        <v>6115</v>
      </c>
      <c r="J3256" s="9" t="s">
        <v>6116</v>
      </c>
      <c r="K3256" s="4" t="s">
        <v>15175</v>
      </c>
      <c r="L3256" s="13">
        <v>11108</v>
      </c>
      <c r="M3256" t="str">
        <f>VLOOKUP(L3256,[1]Human_BrainSpan!$B$2:$C$4000,2,FALSE)</f>
        <v>A21c4</v>
      </c>
    </row>
    <row r="3257" spans="2:13" x14ac:dyDescent="0.25">
      <c r="B3257" s="31" t="s">
        <v>26299</v>
      </c>
      <c r="C3257" s="25" t="s">
        <v>3165</v>
      </c>
      <c r="D3257" s="25" t="s">
        <v>26232</v>
      </c>
      <c r="E3257" s="25" t="s">
        <v>26306</v>
      </c>
      <c r="F3257" s="9" t="str">
        <f t="shared" si="44"/>
        <v>structure with developmental contribution from neural crest</v>
      </c>
      <c r="G3257" s="9" t="s">
        <v>5090</v>
      </c>
      <c r="H3257" s="9" t="s">
        <v>22573</v>
      </c>
      <c r="I3257" s="9" t="s">
        <v>6117</v>
      </c>
      <c r="J3257" s="9" t="s">
        <v>6118</v>
      </c>
      <c r="K3257" s="4" t="s">
        <v>15175</v>
      </c>
      <c r="L3257" s="13">
        <v>11109</v>
      </c>
      <c r="M3257" t="str">
        <f>VLOOKUP(L3257,[1]Human_BrainSpan!$B$2:$C$4000,2,FALSE)</f>
        <v>A21c5</v>
      </c>
    </row>
    <row r="3258" spans="2:13" x14ac:dyDescent="0.25">
      <c r="B3258" s="31" t="s">
        <v>26299</v>
      </c>
      <c r="C3258" s="25" t="s">
        <v>3165</v>
      </c>
      <c r="D3258" s="25" t="s">
        <v>26232</v>
      </c>
      <c r="E3258" s="25" t="s">
        <v>26306</v>
      </c>
      <c r="F3258" s="9" t="str">
        <f t="shared" si="44"/>
        <v>structure with developmental contribution from neural crest</v>
      </c>
      <c r="G3258" s="9" t="s">
        <v>5090</v>
      </c>
      <c r="H3258" s="9" t="s">
        <v>22574</v>
      </c>
      <c r="I3258" s="9" t="s">
        <v>6119</v>
      </c>
      <c r="J3258" s="9" t="s">
        <v>6120</v>
      </c>
      <c r="K3258" s="4" t="s">
        <v>15175</v>
      </c>
      <c r="L3258" s="13">
        <v>11110</v>
      </c>
      <c r="M3258" t="str">
        <f>VLOOKUP(L3258,[1]Human_BrainSpan!$B$2:$C$4000,2,FALSE)</f>
        <v>A21c6</v>
      </c>
    </row>
    <row r="3259" spans="2:13" x14ac:dyDescent="0.25">
      <c r="B3259" s="31" t="s">
        <v>26299</v>
      </c>
      <c r="C3259" s="20" t="s">
        <v>25748</v>
      </c>
      <c r="D3259" s="25" t="s">
        <v>26232</v>
      </c>
      <c r="E3259" s="25" t="s">
        <v>26306</v>
      </c>
      <c r="F3259" s="9" t="str">
        <f t="shared" si="44"/>
        <v>structure with developmental contribution from neural crest</v>
      </c>
      <c r="G3259" s="9" t="s">
        <v>5090</v>
      </c>
      <c r="H3259" s="9" t="s">
        <v>22600</v>
      </c>
      <c r="I3259" s="9" t="s">
        <v>6121</v>
      </c>
      <c r="J3259" s="9" t="s">
        <v>6122</v>
      </c>
      <c r="K3259" s="4" t="s">
        <v>15175</v>
      </c>
      <c r="L3259" s="13">
        <v>11111</v>
      </c>
      <c r="M3259" t="str">
        <f>VLOOKUP(L3259,[1]Human_BrainSpan!$B$2:$C$4000,2,FALSE)</f>
        <v>A36r1</v>
      </c>
    </row>
    <row r="3260" spans="2:13" x14ac:dyDescent="0.25">
      <c r="B3260" s="31" t="s">
        <v>26299</v>
      </c>
      <c r="C3260" s="20" t="s">
        <v>25748</v>
      </c>
      <c r="D3260" s="25" t="s">
        <v>26232</v>
      </c>
      <c r="E3260" s="25" t="s">
        <v>26306</v>
      </c>
      <c r="F3260" s="9" t="str">
        <f t="shared" si="44"/>
        <v>structure with developmental contribution from neural crest</v>
      </c>
      <c r="G3260" s="9" t="s">
        <v>5090</v>
      </c>
      <c r="H3260" s="9" t="s">
        <v>22601</v>
      </c>
      <c r="I3260" s="9" t="s">
        <v>6123</v>
      </c>
      <c r="J3260" s="9" t="s">
        <v>6124</v>
      </c>
      <c r="K3260" s="4" t="s">
        <v>15175</v>
      </c>
      <c r="L3260" s="13">
        <v>11112</v>
      </c>
      <c r="M3260" t="str">
        <f>VLOOKUP(L3260,[1]Human_BrainSpan!$B$2:$C$4000,2,FALSE)</f>
        <v>A36r2</v>
      </c>
    </row>
    <row r="3261" spans="2:13" x14ac:dyDescent="0.25">
      <c r="B3261" s="31" t="s">
        <v>26299</v>
      </c>
      <c r="C3261" s="20" t="s">
        <v>25748</v>
      </c>
      <c r="D3261" s="25" t="s">
        <v>26232</v>
      </c>
      <c r="E3261" s="25" t="s">
        <v>26306</v>
      </c>
      <c r="F3261" s="9" t="str">
        <f t="shared" si="44"/>
        <v>structure with developmental contribution from neural crest</v>
      </c>
      <c r="G3261" s="9" t="s">
        <v>5090</v>
      </c>
      <c r="H3261" s="9" t="s">
        <v>22602</v>
      </c>
      <c r="I3261" s="9" t="s">
        <v>6125</v>
      </c>
      <c r="J3261" s="9" t="s">
        <v>6126</v>
      </c>
      <c r="K3261" s="4" t="s">
        <v>15175</v>
      </c>
      <c r="L3261" s="13">
        <v>11113</v>
      </c>
      <c r="M3261" t="str">
        <f>VLOOKUP(L3261,[1]Human_BrainSpan!$B$2:$C$4000,2,FALSE)</f>
        <v>A36r3</v>
      </c>
    </row>
    <row r="3262" spans="2:13" x14ac:dyDescent="0.25">
      <c r="B3262" s="31" t="s">
        <v>26299</v>
      </c>
      <c r="C3262" s="20" t="s">
        <v>25748</v>
      </c>
      <c r="D3262" s="25" t="s">
        <v>26232</v>
      </c>
      <c r="E3262" s="25" t="s">
        <v>26306</v>
      </c>
      <c r="F3262" s="9" t="str">
        <f t="shared" si="44"/>
        <v>structure with developmental contribution from neural crest</v>
      </c>
      <c r="G3262" s="9" t="s">
        <v>5090</v>
      </c>
      <c r="H3262" s="9" t="s">
        <v>22603</v>
      </c>
      <c r="I3262" s="9" t="s">
        <v>6127</v>
      </c>
      <c r="J3262" s="9" t="s">
        <v>6128</v>
      </c>
      <c r="K3262" s="4" t="s">
        <v>15175</v>
      </c>
      <c r="L3262" s="13">
        <v>11114</v>
      </c>
      <c r="M3262" t="str">
        <f>VLOOKUP(L3262,[1]Human_BrainSpan!$B$2:$C$4000,2,FALSE)</f>
        <v>A36r4</v>
      </c>
    </row>
    <row r="3263" spans="2:13" x14ac:dyDescent="0.25">
      <c r="B3263" s="31" t="s">
        <v>26299</v>
      </c>
      <c r="C3263" s="20" t="s">
        <v>25748</v>
      </c>
      <c r="D3263" s="25" t="s">
        <v>26232</v>
      </c>
      <c r="E3263" s="25" t="s">
        <v>26306</v>
      </c>
      <c r="F3263" s="9" t="str">
        <f t="shared" si="44"/>
        <v>structure with developmental contribution from neural crest</v>
      </c>
      <c r="G3263" s="9" t="s">
        <v>5090</v>
      </c>
      <c r="H3263" s="9" t="s">
        <v>22604</v>
      </c>
      <c r="I3263" s="9" t="s">
        <v>6129</v>
      </c>
      <c r="J3263" s="9" t="s">
        <v>6130</v>
      </c>
      <c r="K3263" s="4" t="s">
        <v>15175</v>
      </c>
      <c r="L3263" s="13">
        <v>11115</v>
      </c>
      <c r="M3263" t="str">
        <f>VLOOKUP(L3263,[1]Human_BrainSpan!$B$2:$C$4000,2,FALSE)</f>
        <v>A36r5</v>
      </c>
    </row>
    <row r="3264" spans="2:13" x14ac:dyDescent="0.25">
      <c r="B3264" s="31" t="s">
        <v>26299</v>
      </c>
      <c r="C3264" s="20" t="s">
        <v>25748</v>
      </c>
      <c r="D3264" s="25" t="s">
        <v>26232</v>
      </c>
      <c r="E3264" s="25" t="s">
        <v>26306</v>
      </c>
      <c r="F3264" s="9" t="str">
        <f t="shared" si="44"/>
        <v>structure with developmental contribution from neural crest</v>
      </c>
      <c r="G3264" s="9" t="s">
        <v>5090</v>
      </c>
      <c r="H3264" s="9" t="s">
        <v>22605</v>
      </c>
      <c r="I3264" s="9" t="s">
        <v>6131</v>
      </c>
      <c r="J3264" s="9" t="s">
        <v>6132</v>
      </c>
      <c r="K3264" s="4" t="s">
        <v>15175</v>
      </c>
      <c r="L3264" s="13">
        <v>11116</v>
      </c>
      <c r="M3264" t="str">
        <f>VLOOKUP(L3264,[1]Human_BrainSpan!$B$2:$C$4000,2,FALSE)</f>
        <v>A36r6</v>
      </c>
    </row>
    <row r="3265" spans="2:13" x14ac:dyDescent="0.25">
      <c r="B3265" s="31" t="s">
        <v>26299</v>
      </c>
      <c r="C3265" s="20" t="s">
        <v>25748</v>
      </c>
      <c r="D3265" s="25" t="s">
        <v>26232</v>
      </c>
      <c r="E3265" s="25" t="s">
        <v>26306</v>
      </c>
      <c r="F3265" s="9" t="str">
        <f t="shared" si="44"/>
        <v>structure with developmental contribution from neural crest</v>
      </c>
      <c r="G3265" s="9" t="s">
        <v>5090</v>
      </c>
      <c r="H3265" s="9" t="s">
        <v>22607</v>
      </c>
      <c r="I3265" s="9" t="s">
        <v>6133</v>
      </c>
      <c r="J3265" s="9" t="s">
        <v>6134</v>
      </c>
      <c r="K3265" s="4" t="s">
        <v>15175</v>
      </c>
      <c r="L3265" s="13">
        <v>11117</v>
      </c>
      <c r="M3265" t="str">
        <f>VLOOKUP(L3265,[1]Human_BrainSpan!$B$2:$C$4000,2,FALSE)</f>
        <v>A36c1</v>
      </c>
    </row>
    <row r="3266" spans="2:13" x14ac:dyDescent="0.25">
      <c r="B3266" s="31" t="s">
        <v>26299</v>
      </c>
      <c r="C3266" s="20" t="s">
        <v>25748</v>
      </c>
      <c r="D3266" s="25" t="s">
        <v>26232</v>
      </c>
      <c r="E3266" s="25" t="s">
        <v>26306</v>
      </c>
      <c r="F3266" s="9" t="str">
        <f t="shared" si="44"/>
        <v>structure with developmental contribution from neural crest</v>
      </c>
      <c r="G3266" s="9" t="s">
        <v>5090</v>
      </c>
      <c r="H3266" s="9" t="s">
        <v>22608</v>
      </c>
      <c r="I3266" s="9" t="s">
        <v>6135</v>
      </c>
      <c r="J3266" s="9" t="s">
        <v>6136</v>
      </c>
      <c r="K3266" s="4" t="s">
        <v>15175</v>
      </c>
      <c r="L3266" s="13">
        <v>11118</v>
      </c>
      <c r="M3266" t="str">
        <f>VLOOKUP(L3266,[1]Human_BrainSpan!$B$2:$C$4000,2,FALSE)</f>
        <v>A36c2</v>
      </c>
    </row>
    <row r="3267" spans="2:13" x14ac:dyDescent="0.25">
      <c r="B3267" s="31" t="s">
        <v>26299</v>
      </c>
      <c r="C3267" s="20" t="s">
        <v>25748</v>
      </c>
      <c r="D3267" s="25" t="s">
        <v>26232</v>
      </c>
      <c r="E3267" s="25" t="s">
        <v>26306</v>
      </c>
      <c r="F3267" s="9" t="str">
        <f t="shared" si="44"/>
        <v>structure with developmental contribution from neural crest</v>
      </c>
      <c r="G3267" s="9" t="s">
        <v>5090</v>
      </c>
      <c r="H3267" s="9" t="s">
        <v>22609</v>
      </c>
      <c r="I3267" s="9" t="s">
        <v>6137</v>
      </c>
      <c r="J3267" s="9" t="s">
        <v>6138</v>
      </c>
      <c r="K3267" s="4" t="s">
        <v>15175</v>
      </c>
      <c r="L3267" s="13">
        <v>11119</v>
      </c>
      <c r="M3267" t="str">
        <f>VLOOKUP(L3267,[1]Human_BrainSpan!$B$2:$C$4000,2,FALSE)</f>
        <v>A36c3</v>
      </c>
    </row>
    <row r="3268" spans="2:13" x14ac:dyDescent="0.25">
      <c r="B3268" s="31" t="s">
        <v>26299</v>
      </c>
      <c r="C3268" s="20" t="s">
        <v>25748</v>
      </c>
      <c r="D3268" s="25" t="s">
        <v>26232</v>
      </c>
      <c r="E3268" s="25" t="s">
        <v>26306</v>
      </c>
      <c r="F3268" s="9" t="str">
        <f t="shared" si="44"/>
        <v>structure with developmental contribution from neural crest</v>
      </c>
      <c r="G3268" s="9" t="s">
        <v>5090</v>
      </c>
      <c r="H3268" s="9" t="s">
        <v>22610</v>
      </c>
      <c r="I3268" s="9" t="s">
        <v>6139</v>
      </c>
      <c r="J3268" s="9" t="s">
        <v>6140</v>
      </c>
      <c r="K3268" s="4" t="s">
        <v>15175</v>
      </c>
      <c r="L3268" s="13">
        <v>11120</v>
      </c>
      <c r="M3268" t="str">
        <f>VLOOKUP(L3268,[1]Human_BrainSpan!$B$2:$C$4000,2,FALSE)</f>
        <v>A36c4</v>
      </c>
    </row>
    <row r="3269" spans="2:13" x14ac:dyDescent="0.25">
      <c r="B3269" s="31" t="s">
        <v>26299</v>
      </c>
      <c r="C3269" s="20" t="s">
        <v>25748</v>
      </c>
      <c r="D3269" s="25" t="s">
        <v>26232</v>
      </c>
      <c r="E3269" s="25" t="s">
        <v>26306</v>
      </c>
      <c r="F3269" s="9" t="str">
        <f t="shared" si="44"/>
        <v>structure with developmental contribution from neural crest</v>
      </c>
      <c r="G3269" s="9" t="s">
        <v>5090</v>
      </c>
      <c r="H3269" s="9" t="s">
        <v>22611</v>
      </c>
      <c r="I3269" s="9" t="s">
        <v>6141</v>
      </c>
      <c r="J3269" s="9" t="s">
        <v>6142</v>
      </c>
      <c r="K3269" s="4" t="s">
        <v>15175</v>
      </c>
      <c r="L3269" s="13">
        <v>11121</v>
      </c>
      <c r="M3269" t="str">
        <f>VLOOKUP(L3269,[1]Human_BrainSpan!$B$2:$C$4000,2,FALSE)</f>
        <v>A36c5</v>
      </c>
    </row>
    <row r="3270" spans="2:13" x14ac:dyDescent="0.25">
      <c r="B3270" s="31" t="s">
        <v>26299</v>
      </c>
      <c r="C3270" s="20" t="s">
        <v>25748</v>
      </c>
      <c r="D3270" s="25" t="s">
        <v>26232</v>
      </c>
      <c r="E3270" s="25" t="s">
        <v>26306</v>
      </c>
      <c r="F3270" s="9" t="str">
        <f t="shared" si="44"/>
        <v>structure with developmental contribution from neural crest</v>
      </c>
      <c r="G3270" s="9" t="s">
        <v>5090</v>
      </c>
      <c r="H3270" s="9" t="s">
        <v>22612</v>
      </c>
      <c r="I3270" s="9" t="s">
        <v>6143</v>
      </c>
      <c r="J3270" s="9" t="s">
        <v>6144</v>
      </c>
      <c r="K3270" s="4" t="s">
        <v>15175</v>
      </c>
      <c r="L3270" s="13">
        <v>11122</v>
      </c>
      <c r="M3270" t="str">
        <f>VLOOKUP(L3270,[1]Human_BrainSpan!$B$2:$C$4000,2,FALSE)</f>
        <v>A36c6</v>
      </c>
    </row>
    <row r="3271" spans="2:13" x14ac:dyDescent="0.25">
      <c r="B3271" s="31" t="s">
        <v>26299</v>
      </c>
      <c r="C3271" s="25" t="s">
        <v>2046</v>
      </c>
      <c r="D3271" s="25" t="s">
        <v>26232</v>
      </c>
      <c r="E3271" s="25" t="s">
        <v>26306</v>
      </c>
      <c r="F3271" s="9" t="str">
        <f t="shared" si="44"/>
        <v>structure with developmental contribution from neural crest</v>
      </c>
      <c r="G3271" s="9" t="s">
        <v>5090</v>
      </c>
      <c r="H3271" s="9" t="s">
        <v>22614</v>
      </c>
      <c r="I3271" s="9" t="s">
        <v>6145</v>
      </c>
      <c r="J3271" s="9" t="s">
        <v>6146</v>
      </c>
      <c r="K3271" s="4" t="s">
        <v>15175</v>
      </c>
      <c r="L3271" s="13">
        <v>11123</v>
      </c>
      <c r="M3271" t="str">
        <f>VLOOKUP(L3271,[1]Human_BrainSpan!$B$2:$C$4000,2,FALSE)</f>
        <v>TF1</v>
      </c>
    </row>
    <row r="3272" spans="2:13" x14ac:dyDescent="0.25">
      <c r="B3272" s="31" t="s">
        <v>26299</v>
      </c>
      <c r="C3272" s="25" t="s">
        <v>2046</v>
      </c>
      <c r="D3272" s="25" t="s">
        <v>26232</v>
      </c>
      <c r="E3272" s="25" t="s">
        <v>26306</v>
      </c>
      <c r="F3272" s="9" t="str">
        <f t="shared" si="44"/>
        <v>structure with developmental contribution from neural crest</v>
      </c>
      <c r="G3272" s="9" t="s">
        <v>5090</v>
      </c>
      <c r="H3272" s="9" t="s">
        <v>22615</v>
      </c>
      <c r="I3272" s="9" t="s">
        <v>6147</v>
      </c>
      <c r="J3272" s="9" t="s">
        <v>6148</v>
      </c>
      <c r="K3272" s="4" t="s">
        <v>15175</v>
      </c>
      <c r="L3272" s="13">
        <v>11124</v>
      </c>
      <c r="M3272" t="str">
        <f>VLOOKUP(L3272,[1]Human_BrainSpan!$B$2:$C$4000,2,FALSE)</f>
        <v>TF2</v>
      </c>
    </row>
    <row r="3273" spans="2:13" x14ac:dyDescent="0.25">
      <c r="B3273" s="31" t="s">
        <v>26299</v>
      </c>
      <c r="C3273" s="25" t="s">
        <v>2046</v>
      </c>
      <c r="D3273" s="25" t="s">
        <v>26232</v>
      </c>
      <c r="E3273" s="25" t="s">
        <v>26306</v>
      </c>
      <c r="F3273" s="9" t="str">
        <f t="shared" si="44"/>
        <v>structure with developmental contribution from neural crest</v>
      </c>
      <c r="G3273" s="9" t="s">
        <v>5090</v>
      </c>
      <c r="H3273" s="9" t="s">
        <v>22616</v>
      </c>
      <c r="I3273" s="9" t="s">
        <v>6149</v>
      </c>
      <c r="J3273" s="9" t="s">
        <v>6150</v>
      </c>
      <c r="K3273" s="4" t="s">
        <v>15175</v>
      </c>
      <c r="L3273" s="13">
        <v>11125</v>
      </c>
      <c r="M3273" t="str">
        <f>VLOOKUP(L3273,[1]Human_BrainSpan!$B$2:$C$4000,2,FALSE)</f>
        <v>TF3</v>
      </c>
    </row>
    <row r="3274" spans="2:13" x14ac:dyDescent="0.25">
      <c r="B3274" s="31" t="s">
        <v>26299</v>
      </c>
      <c r="C3274" s="25" t="s">
        <v>2046</v>
      </c>
      <c r="D3274" s="25" t="s">
        <v>26232</v>
      </c>
      <c r="E3274" s="25" t="s">
        <v>26306</v>
      </c>
      <c r="F3274" s="9" t="str">
        <f t="shared" si="44"/>
        <v>structure with developmental contribution from neural crest</v>
      </c>
      <c r="G3274" s="9" t="s">
        <v>5090</v>
      </c>
      <c r="H3274" s="9" t="s">
        <v>22617</v>
      </c>
      <c r="I3274" s="9" t="s">
        <v>6151</v>
      </c>
      <c r="J3274" s="9" t="s">
        <v>6152</v>
      </c>
      <c r="K3274" s="4" t="s">
        <v>15175</v>
      </c>
      <c r="L3274" s="13">
        <v>11126</v>
      </c>
      <c r="M3274" t="str">
        <f>VLOOKUP(L3274,[1]Human_BrainSpan!$B$2:$C$4000,2,FALSE)</f>
        <v>TF4</v>
      </c>
    </row>
    <row r="3275" spans="2:13" x14ac:dyDescent="0.25">
      <c r="B3275" s="31" t="s">
        <v>26299</v>
      </c>
      <c r="C3275" s="25" t="s">
        <v>2046</v>
      </c>
      <c r="D3275" s="25" t="s">
        <v>26232</v>
      </c>
      <c r="E3275" s="25" t="s">
        <v>26306</v>
      </c>
      <c r="F3275" s="9" t="str">
        <f t="shared" si="44"/>
        <v>structure with developmental contribution from neural crest</v>
      </c>
      <c r="G3275" s="9" t="s">
        <v>5090</v>
      </c>
      <c r="H3275" s="9" t="s">
        <v>22618</v>
      </c>
      <c r="I3275" s="9" t="s">
        <v>6153</v>
      </c>
      <c r="J3275" s="9" t="s">
        <v>6154</v>
      </c>
      <c r="K3275" s="4" t="s">
        <v>15175</v>
      </c>
      <c r="L3275" s="13">
        <v>11127</v>
      </c>
      <c r="M3275" t="str">
        <f>VLOOKUP(L3275,[1]Human_BrainSpan!$B$2:$C$4000,2,FALSE)</f>
        <v>TF5</v>
      </c>
    </row>
    <row r="3276" spans="2:13" x14ac:dyDescent="0.25">
      <c r="B3276" s="31" t="s">
        <v>26299</v>
      </c>
      <c r="C3276" s="25" t="s">
        <v>2046</v>
      </c>
      <c r="D3276" s="25" t="s">
        <v>26232</v>
      </c>
      <c r="E3276" s="25" t="s">
        <v>26306</v>
      </c>
      <c r="F3276" s="9" t="str">
        <f t="shared" si="44"/>
        <v>structure with developmental contribution from neural crest</v>
      </c>
      <c r="G3276" s="9" t="s">
        <v>5090</v>
      </c>
      <c r="H3276" s="9" t="s">
        <v>22619</v>
      </c>
      <c r="I3276" s="9" t="s">
        <v>6155</v>
      </c>
      <c r="J3276" s="9" t="s">
        <v>6156</v>
      </c>
      <c r="K3276" s="4" t="s">
        <v>15175</v>
      </c>
      <c r="L3276" s="13">
        <v>11128</v>
      </c>
      <c r="M3276" t="str">
        <f>VLOOKUP(L3276,[1]Human_BrainSpan!$B$2:$C$4000,2,FALSE)</f>
        <v>TF6</v>
      </c>
    </row>
    <row r="3277" spans="2:13" x14ac:dyDescent="0.25">
      <c r="B3277" s="31" t="s">
        <v>26299</v>
      </c>
      <c r="C3277" s="25" t="s">
        <v>2046</v>
      </c>
      <c r="D3277" s="25" t="s">
        <v>26232</v>
      </c>
      <c r="E3277" s="25" t="s">
        <v>26306</v>
      </c>
      <c r="F3277" s="9" t="str">
        <f t="shared" si="44"/>
        <v>structure with developmental contribution from neural crest</v>
      </c>
      <c r="G3277" s="9" t="s">
        <v>5090</v>
      </c>
      <c r="H3277" s="9" t="s">
        <v>22634</v>
      </c>
      <c r="I3277" s="9" t="s">
        <v>6157</v>
      </c>
      <c r="J3277" s="9" t="s">
        <v>6158</v>
      </c>
      <c r="K3277" s="4" t="s">
        <v>15175</v>
      </c>
      <c r="L3277" s="13">
        <v>11129</v>
      </c>
      <c r="M3277" t="str">
        <f>VLOOKUP(L3277,[1]Human_BrainSpan!$B$2:$C$4000,2,FALSE)</f>
        <v>TFO1</v>
      </c>
    </row>
    <row r="3278" spans="2:13" x14ac:dyDescent="0.25">
      <c r="B3278" s="31" t="s">
        <v>26299</v>
      </c>
      <c r="C3278" s="25" t="s">
        <v>2046</v>
      </c>
      <c r="D3278" s="25" t="s">
        <v>26232</v>
      </c>
      <c r="E3278" s="25" t="s">
        <v>26306</v>
      </c>
      <c r="F3278" s="9" t="str">
        <f t="shared" si="44"/>
        <v>structure with developmental contribution from neural crest</v>
      </c>
      <c r="G3278" s="9" t="s">
        <v>5090</v>
      </c>
      <c r="H3278" s="9" t="s">
        <v>22635</v>
      </c>
      <c r="I3278" s="9" t="s">
        <v>6159</v>
      </c>
      <c r="J3278" s="9" t="s">
        <v>6160</v>
      </c>
      <c r="K3278" s="4" t="s">
        <v>15175</v>
      </c>
      <c r="L3278" s="13">
        <v>11130</v>
      </c>
      <c r="M3278" t="str">
        <f>VLOOKUP(L3278,[1]Human_BrainSpan!$B$2:$C$4000,2,FALSE)</f>
        <v>TFO2</v>
      </c>
    </row>
    <row r="3279" spans="2:13" x14ac:dyDescent="0.25">
      <c r="B3279" s="31" t="s">
        <v>26299</v>
      </c>
      <c r="C3279" s="25" t="s">
        <v>2046</v>
      </c>
      <c r="D3279" s="25" t="s">
        <v>26232</v>
      </c>
      <c r="E3279" s="25" t="s">
        <v>26306</v>
      </c>
      <c r="F3279" s="9" t="str">
        <f t="shared" si="44"/>
        <v>structure with developmental contribution from neural crest</v>
      </c>
      <c r="G3279" s="9" t="s">
        <v>5090</v>
      </c>
      <c r="H3279" s="9" t="s">
        <v>22636</v>
      </c>
      <c r="I3279" s="9" t="s">
        <v>6161</v>
      </c>
      <c r="J3279" s="9" t="s">
        <v>6162</v>
      </c>
      <c r="K3279" s="4" t="s">
        <v>15175</v>
      </c>
      <c r="L3279" s="13">
        <v>11131</v>
      </c>
      <c r="M3279" t="str">
        <f>VLOOKUP(L3279,[1]Human_BrainSpan!$B$2:$C$4000,2,FALSE)</f>
        <v>TFO3</v>
      </c>
    </row>
    <row r="3280" spans="2:13" x14ac:dyDescent="0.25">
      <c r="B3280" s="31" t="s">
        <v>26299</v>
      </c>
      <c r="C3280" s="25" t="s">
        <v>2046</v>
      </c>
      <c r="D3280" s="25" t="s">
        <v>26232</v>
      </c>
      <c r="E3280" s="25" t="s">
        <v>26306</v>
      </c>
      <c r="F3280" s="9" t="str">
        <f t="shared" si="44"/>
        <v>structure with developmental contribution from neural crest</v>
      </c>
      <c r="G3280" s="9" t="s">
        <v>5090</v>
      </c>
      <c r="H3280" s="9" t="s">
        <v>22637</v>
      </c>
      <c r="I3280" s="9" t="s">
        <v>6163</v>
      </c>
      <c r="J3280" s="9" t="s">
        <v>6164</v>
      </c>
      <c r="K3280" s="4" t="s">
        <v>15175</v>
      </c>
      <c r="L3280" s="13">
        <v>11132</v>
      </c>
      <c r="M3280" t="str">
        <f>VLOOKUP(L3280,[1]Human_BrainSpan!$B$2:$C$4000,2,FALSE)</f>
        <v>TFO4</v>
      </c>
    </row>
    <row r="3281" spans="2:13" x14ac:dyDescent="0.25">
      <c r="B3281" s="31" t="s">
        <v>26299</v>
      </c>
      <c r="C3281" s="25" t="s">
        <v>2046</v>
      </c>
      <c r="D3281" s="25" t="s">
        <v>26232</v>
      </c>
      <c r="E3281" s="25" t="s">
        <v>26306</v>
      </c>
      <c r="F3281" s="9" t="str">
        <f t="shared" si="44"/>
        <v>structure with developmental contribution from neural crest</v>
      </c>
      <c r="G3281" s="9" t="s">
        <v>5090</v>
      </c>
      <c r="H3281" s="9" t="s">
        <v>22638</v>
      </c>
      <c r="I3281" s="9" t="s">
        <v>6165</v>
      </c>
      <c r="J3281" s="9" t="s">
        <v>6166</v>
      </c>
      <c r="K3281" s="4" t="s">
        <v>15175</v>
      </c>
      <c r="L3281" s="13">
        <v>11133</v>
      </c>
      <c r="M3281" t="str">
        <f>VLOOKUP(L3281,[1]Human_BrainSpan!$B$2:$C$4000,2,FALSE)</f>
        <v>TFO5</v>
      </c>
    </row>
    <row r="3282" spans="2:13" x14ac:dyDescent="0.25">
      <c r="B3282" s="31" t="s">
        <v>26299</v>
      </c>
      <c r="C3282" s="25" t="s">
        <v>2046</v>
      </c>
      <c r="D3282" s="25" t="s">
        <v>26232</v>
      </c>
      <c r="E3282" s="25" t="s">
        <v>26306</v>
      </c>
      <c r="F3282" s="9" t="str">
        <f t="shared" si="44"/>
        <v>structure with developmental contribution from neural crest</v>
      </c>
      <c r="G3282" s="9" t="s">
        <v>5090</v>
      </c>
      <c r="H3282" s="9" t="s">
        <v>22639</v>
      </c>
      <c r="I3282" s="9" t="s">
        <v>6167</v>
      </c>
      <c r="J3282" s="9" t="s">
        <v>6168</v>
      </c>
      <c r="K3282" s="4" t="s">
        <v>15175</v>
      </c>
      <c r="L3282" s="13">
        <v>11134</v>
      </c>
      <c r="M3282" t="str">
        <f>VLOOKUP(L3282,[1]Human_BrainSpan!$B$2:$C$4000,2,FALSE)</f>
        <v>TFO6</v>
      </c>
    </row>
    <row r="3283" spans="2:13" x14ac:dyDescent="0.25">
      <c r="B3283" s="31" t="s">
        <v>26303</v>
      </c>
      <c r="C3283" s="20"/>
      <c r="D3283" s="25" t="s">
        <v>26232</v>
      </c>
      <c r="E3283" s="25" t="s">
        <v>26307</v>
      </c>
      <c r="F3283" s="9" t="str">
        <f t="shared" si="44"/>
        <v>structure with developmental contribution from neural crest</v>
      </c>
      <c r="G3283" s="9" t="s">
        <v>5090</v>
      </c>
      <c r="H3283" s="9" t="s">
        <v>22641</v>
      </c>
      <c r="I3283" s="9" t="s">
        <v>6169</v>
      </c>
      <c r="J3283" s="9" t="s">
        <v>6170</v>
      </c>
      <c r="K3283" s="4" t="s">
        <v>15175</v>
      </c>
      <c r="L3283" s="13">
        <v>11135</v>
      </c>
      <c r="M3283" t="str">
        <f>VLOOKUP(L3283,[1]Human_BrainSpan!$B$2:$C$4000,2,FALSE)</f>
        <v>A37-1</v>
      </c>
    </row>
    <row r="3284" spans="2:13" x14ac:dyDescent="0.25">
      <c r="B3284" s="31" t="s">
        <v>26303</v>
      </c>
      <c r="C3284" s="20"/>
      <c r="D3284" s="25" t="s">
        <v>26232</v>
      </c>
      <c r="E3284" s="25" t="s">
        <v>26307</v>
      </c>
      <c r="F3284" s="9" t="str">
        <f t="shared" si="44"/>
        <v>structure with developmental contribution from neural crest</v>
      </c>
      <c r="G3284" s="9" t="s">
        <v>5090</v>
      </c>
      <c r="H3284" s="9" t="s">
        <v>22642</v>
      </c>
      <c r="I3284" s="9" t="s">
        <v>6171</v>
      </c>
      <c r="J3284" s="9" t="s">
        <v>6172</v>
      </c>
      <c r="K3284" s="4" t="s">
        <v>15175</v>
      </c>
      <c r="L3284" s="13">
        <v>11136</v>
      </c>
      <c r="M3284" t="str">
        <f>VLOOKUP(L3284,[1]Human_BrainSpan!$B$2:$C$4000,2,FALSE)</f>
        <v>A37-2</v>
      </c>
    </row>
    <row r="3285" spans="2:13" x14ac:dyDescent="0.25">
      <c r="B3285" s="31" t="s">
        <v>26303</v>
      </c>
      <c r="C3285" s="20"/>
      <c r="D3285" s="25" t="s">
        <v>26232</v>
      </c>
      <c r="E3285" s="25" t="s">
        <v>26307</v>
      </c>
      <c r="F3285" s="9" t="str">
        <f t="shared" si="44"/>
        <v>structure with developmental contribution from neural crest</v>
      </c>
      <c r="G3285" s="9" t="s">
        <v>5090</v>
      </c>
      <c r="H3285" s="9" t="s">
        <v>22643</v>
      </c>
      <c r="I3285" s="9" t="s">
        <v>6173</v>
      </c>
      <c r="J3285" s="9" t="s">
        <v>6174</v>
      </c>
      <c r="K3285" s="4" t="s">
        <v>15175</v>
      </c>
      <c r="L3285" s="13">
        <v>11137</v>
      </c>
      <c r="M3285" t="str">
        <f>VLOOKUP(L3285,[1]Human_BrainSpan!$B$2:$C$4000,2,FALSE)</f>
        <v>A37-3</v>
      </c>
    </row>
    <row r="3286" spans="2:13" x14ac:dyDescent="0.25">
      <c r="B3286" s="31" t="s">
        <v>26303</v>
      </c>
      <c r="C3286" s="20"/>
      <c r="D3286" s="25" t="s">
        <v>26232</v>
      </c>
      <c r="E3286" s="25" t="s">
        <v>26307</v>
      </c>
      <c r="F3286" s="9" t="str">
        <f t="shared" si="44"/>
        <v>structure with developmental contribution from neural crest</v>
      </c>
      <c r="G3286" s="9" t="s">
        <v>5090</v>
      </c>
      <c r="H3286" s="9" t="s">
        <v>22644</v>
      </c>
      <c r="I3286" s="9" t="s">
        <v>6175</v>
      </c>
      <c r="J3286" s="9" t="s">
        <v>6176</v>
      </c>
      <c r="K3286" s="4" t="s">
        <v>15175</v>
      </c>
      <c r="L3286" s="13">
        <v>11138</v>
      </c>
      <c r="M3286" t="str">
        <f>VLOOKUP(L3286,[1]Human_BrainSpan!$B$2:$C$4000,2,FALSE)</f>
        <v>A37-4</v>
      </c>
    </row>
    <row r="3287" spans="2:13" x14ac:dyDescent="0.25">
      <c r="B3287" s="31" t="s">
        <v>26303</v>
      </c>
      <c r="C3287" s="20"/>
      <c r="D3287" s="25" t="s">
        <v>26232</v>
      </c>
      <c r="E3287" s="25" t="s">
        <v>26307</v>
      </c>
      <c r="F3287" s="9" t="str">
        <f t="shared" si="44"/>
        <v>structure with developmental contribution from neural crest</v>
      </c>
      <c r="G3287" s="9" t="s">
        <v>5090</v>
      </c>
      <c r="H3287" s="9" t="s">
        <v>22645</v>
      </c>
      <c r="I3287" s="9" t="s">
        <v>6177</v>
      </c>
      <c r="J3287" s="9" t="s">
        <v>6178</v>
      </c>
      <c r="K3287" s="4" t="s">
        <v>15175</v>
      </c>
      <c r="L3287" s="13">
        <v>11139</v>
      </c>
      <c r="M3287" t="str">
        <f>VLOOKUP(L3287,[1]Human_BrainSpan!$B$2:$C$4000,2,FALSE)</f>
        <v>A37-5</v>
      </c>
    </row>
    <row r="3288" spans="2:13" x14ac:dyDescent="0.25">
      <c r="B3288" s="31" t="s">
        <v>26303</v>
      </c>
      <c r="C3288" s="20"/>
      <c r="D3288" s="25" t="s">
        <v>26232</v>
      </c>
      <c r="E3288" s="25" t="s">
        <v>26307</v>
      </c>
      <c r="F3288" s="9" t="str">
        <f t="shared" si="44"/>
        <v>structure with developmental contribution from neural crest</v>
      </c>
      <c r="G3288" s="9" t="s">
        <v>5090</v>
      </c>
      <c r="H3288" s="9" t="s">
        <v>22646</v>
      </c>
      <c r="I3288" s="9" t="s">
        <v>6179</v>
      </c>
      <c r="J3288" s="9" t="s">
        <v>6180</v>
      </c>
      <c r="K3288" s="4" t="s">
        <v>15175</v>
      </c>
      <c r="L3288" s="13">
        <v>11140</v>
      </c>
      <c r="M3288" t="str">
        <f>VLOOKUP(L3288,[1]Human_BrainSpan!$B$2:$C$4000,2,FALSE)</f>
        <v>A37-6</v>
      </c>
    </row>
    <row r="3289" spans="2:13" x14ac:dyDescent="0.25">
      <c r="B3289" s="31" t="s">
        <v>26299</v>
      </c>
      <c r="C3289" s="25" t="s">
        <v>3967</v>
      </c>
      <c r="D3289" s="25" t="s">
        <v>26232</v>
      </c>
      <c r="E3289" s="25" t="s">
        <v>26306</v>
      </c>
      <c r="F3289" s="9" t="str">
        <f t="shared" si="44"/>
        <v>structure with developmental contribution from neural crest</v>
      </c>
      <c r="G3289" s="9" t="s">
        <v>5090</v>
      </c>
      <c r="H3289" s="9" t="s">
        <v>22621</v>
      </c>
      <c r="I3289" s="9" t="s">
        <v>6181</v>
      </c>
      <c r="J3289" s="9" t="s">
        <v>6182</v>
      </c>
      <c r="K3289" s="4" t="s">
        <v>15175</v>
      </c>
      <c r="L3289" s="13">
        <v>11141</v>
      </c>
      <c r="M3289" t="str">
        <f>VLOOKUP(L3289,[1]Human_BrainSpan!$B$2:$C$4000,2,FALSE)</f>
        <v>TH1</v>
      </c>
    </row>
    <row r="3290" spans="2:13" x14ac:dyDescent="0.25">
      <c r="B3290" s="31" t="s">
        <v>26299</v>
      </c>
      <c r="C3290" s="25" t="s">
        <v>3967</v>
      </c>
      <c r="D3290" s="25" t="s">
        <v>26232</v>
      </c>
      <c r="E3290" s="25" t="s">
        <v>26306</v>
      </c>
      <c r="F3290" s="9" t="str">
        <f t="shared" si="44"/>
        <v>structure with developmental contribution from neural crest</v>
      </c>
      <c r="G3290" s="9" t="s">
        <v>5090</v>
      </c>
      <c r="H3290" s="9" t="s">
        <v>22622</v>
      </c>
      <c r="I3290" s="9" t="s">
        <v>6183</v>
      </c>
      <c r="J3290" s="9" t="s">
        <v>6184</v>
      </c>
      <c r="K3290" s="4" t="s">
        <v>15175</v>
      </c>
      <c r="L3290" s="13">
        <v>11142</v>
      </c>
      <c r="M3290" t="str">
        <f>VLOOKUP(L3290,[1]Human_BrainSpan!$B$2:$C$4000,2,FALSE)</f>
        <v>TH2</v>
      </c>
    </row>
    <row r="3291" spans="2:13" x14ac:dyDescent="0.25">
      <c r="B3291" s="31" t="s">
        <v>26299</v>
      </c>
      <c r="C3291" s="25" t="s">
        <v>3967</v>
      </c>
      <c r="D3291" s="25" t="s">
        <v>26232</v>
      </c>
      <c r="E3291" s="25" t="s">
        <v>26306</v>
      </c>
      <c r="F3291" s="9" t="str">
        <f t="shared" si="44"/>
        <v>structure with developmental contribution from neural crest</v>
      </c>
      <c r="G3291" s="9" t="s">
        <v>5090</v>
      </c>
      <c r="H3291" s="9" t="s">
        <v>22623</v>
      </c>
      <c r="I3291" s="9" t="s">
        <v>6185</v>
      </c>
      <c r="J3291" s="9" t="s">
        <v>6186</v>
      </c>
      <c r="K3291" s="4" t="s">
        <v>15175</v>
      </c>
      <c r="L3291" s="13">
        <v>11143</v>
      </c>
      <c r="M3291" t="str">
        <f>VLOOKUP(L3291,[1]Human_BrainSpan!$B$2:$C$4000,2,FALSE)</f>
        <v>TH3</v>
      </c>
    </row>
    <row r="3292" spans="2:13" x14ac:dyDescent="0.25">
      <c r="B3292" s="31" t="s">
        <v>26299</v>
      </c>
      <c r="C3292" s="25" t="s">
        <v>3967</v>
      </c>
      <c r="D3292" s="25" t="s">
        <v>26232</v>
      </c>
      <c r="E3292" s="25" t="s">
        <v>26306</v>
      </c>
      <c r="F3292" s="9" t="str">
        <f t="shared" si="44"/>
        <v>structure with developmental contribution from neural crest</v>
      </c>
      <c r="G3292" s="9" t="s">
        <v>5090</v>
      </c>
      <c r="H3292" s="9" t="s">
        <v>22624</v>
      </c>
      <c r="I3292" s="9" t="s">
        <v>6187</v>
      </c>
      <c r="J3292" s="9" t="s">
        <v>6188</v>
      </c>
      <c r="K3292" s="4" t="s">
        <v>15175</v>
      </c>
      <c r="L3292" s="13">
        <v>11144</v>
      </c>
      <c r="M3292" t="str">
        <f>VLOOKUP(L3292,[1]Human_BrainSpan!$B$2:$C$4000,2,FALSE)</f>
        <v>TH5</v>
      </c>
    </row>
    <row r="3293" spans="2:13" x14ac:dyDescent="0.25">
      <c r="B3293" s="31" t="s">
        <v>26299</v>
      </c>
      <c r="C3293" s="25" t="s">
        <v>3967</v>
      </c>
      <c r="D3293" s="25" t="s">
        <v>26232</v>
      </c>
      <c r="E3293" s="25" t="s">
        <v>26306</v>
      </c>
      <c r="F3293" s="9" t="str">
        <f t="shared" si="44"/>
        <v>structure with developmental contribution from neural crest</v>
      </c>
      <c r="G3293" s="9" t="s">
        <v>5090</v>
      </c>
      <c r="H3293" s="9" t="s">
        <v>22625</v>
      </c>
      <c r="I3293" s="9" t="s">
        <v>6189</v>
      </c>
      <c r="J3293" s="9" t="s">
        <v>6190</v>
      </c>
      <c r="K3293" s="4" t="s">
        <v>15175</v>
      </c>
      <c r="L3293" s="13">
        <v>11145</v>
      </c>
      <c r="M3293" t="str">
        <f>VLOOKUP(L3293,[1]Human_BrainSpan!$B$2:$C$4000,2,FALSE)</f>
        <v>TH6</v>
      </c>
    </row>
    <row r="3294" spans="2:13" x14ac:dyDescent="0.25">
      <c r="B3294" s="31" t="s">
        <v>26299</v>
      </c>
      <c r="C3294" s="25" t="s">
        <v>3967</v>
      </c>
      <c r="D3294" s="25" t="s">
        <v>26232</v>
      </c>
      <c r="E3294" s="25" t="s">
        <v>26306</v>
      </c>
      <c r="F3294" s="9" t="str">
        <f t="shared" si="44"/>
        <v>structure with developmental contribution from neural crest</v>
      </c>
      <c r="G3294" s="9" t="s">
        <v>5090</v>
      </c>
      <c r="H3294" s="9" t="s">
        <v>22627</v>
      </c>
      <c r="I3294" s="9" t="s">
        <v>6191</v>
      </c>
      <c r="J3294" s="9" t="s">
        <v>6192</v>
      </c>
      <c r="K3294" s="4" t="s">
        <v>15175</v>
      </c>
      <c r="L3294" s="13">
        <v>11146</v>
      </c>
      <c r="M3294" t="str">
        <f>VLOOKUP(L3294,[1]Human_BrainSpan!$B$2:$C$4000,2,FALSE)</f>
        <v>TL1</v>
      </c>
    </row>
    <row r="3295" spans="2:13" x14ac:dyDescent="0.25">
      <c r="B3295" s="31" t="s">
        <v>26299</v>
      </c>
      <c r="C3295" s="25" t="s">
        <v>3967</v>
      </c>
      <c r="D3295" s="25" t="s">
        <v>26232</v>
      </c>
      <c r="E3295" s="25" t="s">
        <v>26306</v>
      </c>
      <c r="F3295" s="9" t="str">
        <f t="shared" si="44"/>
        <v>structure with developmental contribution from neural crest</v>
      </c>
      <c r="G3295" s="9" t="s">
        <v>5090</v>
      </c>
      <c r="H3295" s="9" t="s">
        <v>22628</v>
      </c>
      <c r="I3295" s="9" t="s">
        <v>6193</v>
      </c>
      <c r="J3295" s="9" t="s">
        <v>6194</v>
      </c>
      <c r="K3295" s="4" t="s">
        <v>15175</v>
      </c>
      <c r="L3295" s="13">
        <v>11147</v>
      </c>
      <c r="M3295" t="str">
        <f>VLOOKUP(L3295,[1]Human_BrainSpan!$B$2:$C$4000,2,FALSE)</f>
        <v>TL2</v>
      </c>
    </row>
    <row r="3296" spans="2:13" x14ac:dyDescent="0.25">
      <c r="B3296" s="31" t="s">
        <v>26299</v>
      </c>
      <c r="C3296" s="25" t="s">
        <v>3967</v>
      </c>
      <c r="D3296" s="25" t="s">
        <v>26232</v>
      </c>
      <c r="E3296" s="25" t="s">
        <v>26306</v>
      </c>
      <c r="F3296" s="9" t="str">
        <f t="shared" si="44"/>
        <v>structure with developmental contribution from neural crest</v>
      </c>
      <c r="G3296" s="9" t="s">
        <v>5090</v>
      </c>
      <c r="H3296" s="9" t="s">
        <v>22629</v>
      </c>
      <c r="I3296" s="9" t="s">
        <v>6195</v>
      </c>
      <c r="J3296" s="9" t="s">
        <v>6196</v>
      </c>
      <c r="K3296" s="4" t="s">
        <v>15175</v>
      </c>
      <c r="L3296" s="13">
        <v>11148</v>
      </c>
      <c r="M3296" t="str">
        <f>VLOOKUP(L3296,[1]Human_BrainSpan!$B$2:$C$4000,2,FALSE)</f>
        <v>TL3</v>
      </c>
    </row>
    <row r="3297" spans="2:13" x14ac:dyDescent="0.25">
      <c r="B3297" s="31" t="s">
        <v>26299</v>
      </c>
      <c r="C3297" s="25" t="s">
        <v>3967</v>
      </c>
      <c r="D3297" s="25" t="s">
        <v>26232</v>
      </c>
      <c r="E3297" s="25" t="s">
        <v>26306</v>
      </c>
      <c r="F3297" s="9" t="str">
        <f t="shared" si="44"/>
        <v>structure with developmental contribution from neural crest</v>
      </c>
      <c r="G3297" s="9" t="s">
        <v>5090</v>
      </c>
      <c r="H3297" s="9" t="s">
        <v>22630</v>
      </c>
      <c r="I3297" s="9" t="s">
        <v>6197</v>
      </c>
      <c r="J3297" s="9" t="s">
        <v>6198</v>
      </c>
      <c r="K3297" s="4" t="s">
        <v>15175</v>
      </c>
      <c r="L3297" s="13">
        <v>11149</v>
      </c>
      <c r="M3297" t="str">
        <f>VLOOKUP(L3297,[1]Human_BrainSpan!$B$2:$C$4000,2,FALSE)</f>
        <v>TL4</v>
      </c>
    </row>
    <row r="3298" spans="2:13" x14ac:dyDescent="0.25">
      <c r="B3298" s="31" t="s">
        <v>26299</v>
      </c>
      <c r="C3298" s="25" t="s">
        <v>3967</v>
      </c>
      <c r="D3298" s="25" t="s">
        <v>26232</v>
      </c>
      <c r="E3298" s="25" t="s">
        <v>26306</v>
      </c>
      <c r="F3298" s="9" t="str">
        <f t="shared" si="44"/>
        <v>structure with developmental contribution from neural crest</v>
      </c>
      <c r="G3298" s="9" t="s">
        <v>5090</v>
      </c>
      <c r="H3298" s="9" t="s">
        <v>22631</v>
      </c>
      <c r="I3298" s="9" t="s">
        <v>6199</v>
      </c>
      <c r="J3298" s="9" t="s">
        <v>6200</v>
      </c>
      <c r="K3298" s="4" t="s">
        <v>15175</v>
      </c>
      <c r="L3298" s="13">
        <v>11150</v>
      </c>
      <c r="M3298" t="str">
        <f>VLOOKUP(L3298,[1]Human_BrainSpan!$B$2:$C$4000,2,FALSE)</f>
        <v>TL5</v>
      </c>
    </row>
    <row r="3299" spans="2:13" x14ac:dyDescent="0.25">
      <c r="B3299" s="31" t="s">
        <v>26299</v>
      </c>
      <c r="C3299" s="25" t="s">
        <v>3967</v>
      </c>
      <c r="D3299" s="25" t="s">
        <v>26232</v>
      </c>
      <c r="E3299" s="25" t="s">
        <v>26306</v>
      </c>
      <c r="F3299" s="9" t="str">
        <f t="shared" si="44"/>
        <v>structure with developmental contribution from neural crest</v>
      </c>
      <c r="G3299" s="9" t="s">
        <v>5090</v>
      </c>
      <c r="H3299" s="9" t="s">
        <v>22632</v>
      </c>
      <c r="I3299" s="9" t="s">
        <v>6201</v>
      </c>
      <c r="J3299" s="9" t="s">
        <v>6202</v>
      </c>
      <c r="K3299" s="4" t="s">
        <v>15175</v>
      </c>
      <c r="L3299" s="13">
        <v>11151</v>
      </c>
      <c r="M3299" t="str">
        <f>VLOOKUP(L3299,[1]Human_BrainSpan!$B$2:$C$4000,2,FALSE)</f>
        <v>TL6</v>
      </c>
    </row>
    <row r="3300" spans="2:13" x14ac:dyDescent="0.25">
      <c r="B3300" s="31" t="s">
        <v>26303</v>
      </c>
      <c r="C3300" s="25" t="s">
        <v>14932</v>
      </c>
      <c r="D3300" s="25" t="s">
        <v>26232</v>
      </c>
      <c r="E3300" s="25" t="s">
        <v>26306</v>
      </c>
      <c r="F3300" s="9" t="str">
        <f t="shared" si="44"/>
        <v>structure with developmental contribution from neural crest</v>
      </c>
      <c r="G3300" s="9" t="s">
        <v>5090</v>
      </c>
      <c r="H3300" s="9" t="s">
        <v>22648</v>
      </c>
      <c r="I3300" s="9" t="s">
        <v>6203</v>
      </c>
      <c r="J3300" s="9" t="s">
        <v>6204</v>
      </c>
      <c r="K3300" s="4" t="s">
        <v>15175</v>
      </c>
      <c r="L3300" s="13">
        <v>11152</v>
      </c>
      <c r="M3300" t="str">
        <f>VLOOKUP(L3300,[1]Human_BrainSpan!$B$2:$C$4000,2,FALSE)</f>
        <v>A38-1</v>
      </c>
    </row>
    <row r="3301" spans="2:13" x14ac:dyDescent="0.25">
      <c r="B3301" s="31" t="s">
        <v>26303</v>
      </c>
      <c r="C3301" s="25" t="s">
        <v>14932</v>
      </c>
      <c r="D3301" s="25" t="s">
        <v>26232</v>
      </c>
      <c r="E3301" s="25" t="s">
        <v>26306</v>
      </c>
      <c r="F3301" s="9" t="str">
        <f t="shared" si="44"/>
        <v>structure with developmental contribution from neural crest</v>
      </c>
      <c r="G3301" s="9" t="s">
        <v>5090</v>
      </c>
      <c r="H3301" s="9" t="s">
        <v>22649</v>
      </c>
      <c r="I3301" s="9" t="s">
        <v>6205</v>
      </c>
      <c r="J3301" s="9" t="s">
        <v>6206</v>
      </c>
      <c r="K3301" s="4" t="s">
        <v>15175</v>
      </c>
      <c r="L3301" s="13">
        <v>11153</v>
      </c>
      <c r="M3301" t="str">
        <f>VLOOKUP(L3301,[1]Human_BrainSpan!$B$2:$C$4000,2,FALSE)</f>
        <v>A38-2</v>
      </c>
    </row>
    <row r="3302" spans="2:13" x14ac:dyDescent="0.25">
      <c r="B3302" s="31" t="s">
        <v>26303</v>
      </c>
      <c r="C3302" s="25" t="s">
        <v>14932</v>
      </c>
      <c r="D3302" s="25" t="s">
        <v>26232</v>
      </c>
      <c r="E3302" s="25" t="s">
        <v>26306</v>
      </c>
      <c r="F3302" s="9" t="str">
        <f t="shared" si="44"/>
        <v>structure with developmental contribution from neural crest</v>
      </c>
      <c r="G3302" s="9" t="s">
        <v>5090</v>
      </c>
      <c r="H3302" s="9" t="s">
        <v>22650</v>
      </c>
      <c r="I3302" s="9" t="s">
        <v>6207</v>
      </c>
      <c r="J3302" s="9" t="s">
        <v>6208</v>
      </c>
      <c r="K3302" s="4" t="s">
        <v>15175</v>
      </c>
      <c r="L3302" s="13">
        <v>11154</v>
      </c>
      <c r="M3302" t="str">
        <f>VLOOKUP(L3302,[1]Human_BrainSpan!$B$2:$C$4000,2,FALSE)</f>
        <v>A38-3</v>
      </c>
    </row>
    <row r="3303" spans="2:13" x14ac:dyDescent="0.25">
      <c r="B3303" s="31" t="s">
        <v>26303</v>
      </c>
      <c r="C3303" s="25" t="s">
        <v>14932</v>
      </c>
      <c r="D3303" s="25" t="s">
        <v>26232</v>
      </c>
      <c r="E3303" s="25" t="s">
        <v>26306</v>
      </c>
      <c r="F3303" s="9" t="str">
        <f t="shared" si="44"/>
        <v>structure with developmental contribution from neural crest</v>
      </c>
      <c r="G3303" s="9" t="s">
        <v>5090</v>
      </c>
      <c r="H3303" s="9" t="s">
        <v>22651</v>
      </c>
      <c r="I3303" s="9" t="s">
        <v>6209</v>
      </c>
      <c r="J3303" s="9" t="s">
        <v>6210</v>
      </c>
      <c r="K3303" s="4" t="s">
        <v>15175</v>
      </c>
      <c r="L3303" s="13">
        <v>11155</v>
      </c>
      <c r="M3303" t="str">
        <f>VLOOKUP(L3303,[1]Human_BrainSpan!$B$2:$C$4000,2,FALSE)</f>
        <v>A38-4</v>
      </c>
    </row>
    <row r="3304" spans="2:13" x14ac:dyDescent="0.25">
      <c r="B3304" s="31" t="s">
        <v>26303</v>
      </c>
      <c r="C3304" s="25" t="s">
        <v>14932</v>
      </c>
      <c r="D3304" s="25" t="s">
        <v>26232</v>
      </c>
      <c r="E3304" s="25" t="s">
        <v>26306</v>
      </c>
      <c r="F3304" s="9" t="str">
        <f t="shared" si="44"/>
        <v>structure with developmental contribution from neural crest</v>
      </c>
      <c r="G3304" s="9" t="s">
        <v>5090</v>
      </c>
      <c r="H3304" s="9" t="s">
        <v>22652</v>
      </c>
      <c r="I3304" s="9" t="s">
        <v>6211</v>
      </c>
      <c r="J3304" s="9" t="s">
        <v>6212</v>
      </c>
      <c r="K3304" s="4" t="s">
        <v>15175</v>
      </c>
      <c r="L3304" s="13">
        <v>11156</v>
      </c>
      <c r="M3304" t="str">
        <f>VLOOKUP(L3304,[1]Human_BrainSpan!$B$2:$C$4000,2,FALSE)</f>
        <v>A38-5</v>
      </c>
    </row>
    <row r="3305" spans="2:13" x14ac:dyDescent="0.25">
      <c r="B3305" s="31" t="s">
        <v>26303</v>
      </c>
      <c r="C3305" s="25" t="s">
        <v>14932</v>
      </c>
      <c r="D3305" s="25" t="s">
        <v>26232</v>
      </c>
      <c r="E3305" s="25" t="s">
        <v>26306</v>
      </c>
      <c r="F3305" s="9" t="str">
        <f t="shared" si="44"/>
        <v>structure with developmental contribution from neural crest</v>
      </c>
      <c r="G3305" s="9" t="s">
        <v>5090</v>
      </c>
      <c r="H3305" s="9" t="s">
        <v>22653</v>
      </c>
      <c r="I3305" s="9" t="s">
        <v>6213</v>
      </c>
      <c r="J3305" s="9" t="s">
        <v>6214</v>
      </c>
      <c r="K3305" s="4" t="s">
        <v>15175</v>
      </c>
      <c r="L3305" s="13">
        <v>11157</v>
      </c>
      <c r="M3305" t="str">
        <f>VLOOKUP(L3305,[1]Human_BrainSpan!$B$2:$C$4000,2,FALSE)</f>
        <v>A38-6</v>
      </c>
    </row>
    <row r="3306" spans="2:13" x14ac:dyDescent="0.25">
      <c r="B3306" s="31" t="s">
        <v>26303</v>
      </c>
      <c r="C3306" s="20"/>
      <c r="D3306" s="25" t="s">
        <v>26185</v>
      </c>
      <c r="E3306" s="20" t="s">
        <v>26307</v>
      </c>
      <c r="F3306" s="9" t="str">
        <f t="shared" si="44"/>
        <v>structure with developmental contribution from neural crest</v>
      </c>
      <c r="G3306" s="9" t="s">
        <v>5090</v>
      </c>
      <c r="H3306" s="9" t="s">
        <v>22546</v>
      </c>
      <c r="I3306" s="9" t="s">
        <v>6215</v>
      </c>
      <c r="J3306" s="9" t="s">
        <v>6216</v>
      </c>
      <c r="K3306" s="4" t="s">
        <v>15175</v>
      </c>
      <c r="L3306" s="13">
        <v>11158</v>
      </c>
      <c r="M3306" t="str">
        <f>VLOOKUP(L3306,[1]Human_BrainSpan!$B$2:$C$4000,2,FALSE)</f>
        <v>PI1</v>
      </c>
    </row>
    <row r="3307" spans="2:13" x14ac:dyDescent="0.25">
      <c r="B3307" s="31" t="s">
        <v>26303</v>
      </c>
      <c r="C3307" s="20"/>
      <c r="D3307" s="25" t="s">
        <v>26185</v>
      </c>
      <c r="E3307" s="20" t="s">
        <v>26307</v>
      </c>
      <c r="F3307" s="9" t="str">
        <f t="shared" si="44"/>
        <v>structure with developmental contribution from neural crest</v>
      </c>
      <c r="G3307" s="9" t="s">
        <v>5090</v>
      </c>
      <c r="H3307" s="9" t="s">
        <v>22547</v>
      </c>
      <c r="I3307" s="9" t="s">
        <v>6217</v>
      </c>
      <c r="J3307" s="9" t="s">
        <v>6218</v>
      </c>
      <c r="K3307" s="4" t="s">
        <v>15175</v>
      </c>
      <c r="L3307" s="13">
        <v>11159</v>
      </c>
      <c r="M3307" t="str">
        <f>VLOOKUP(L3307,[1]Human_BrainSpan!$B$2:$C$4000,2,FALSE)</f>
        <v>PI2</v>
      </c>
    </row>
    <row r="3308" spans="2:13" x14ac:dyDescent="0.25">
      <c r="B3308" s="31" t="s">
        <v>26303</v>
      </c>
      <c r="C3308" s="20"/>
      <c r="D3308" s="25" t="s">
        <v>26185</v>
      </c>
      <c r="E3308" s="20" t="s">
        <v>26307</v>
      </c>
      <c r="F3308" s="9" t="str">
        <f t="shared" si="44"/>
        <v>structure with developmental contribution from neural crest</v>
      </c>
      <c r="G3308" s="9" t="s">
        <v>5090</v>
      </c>
      <c r="H3308" s="9" t="s">
        <v>22548</v>
      </c>
      <c r="I3308" s="9" t="s">
        <v>6219</v>
      </c>
      <c r="J3308" s="9" t="s">
        <v>6220</v>
      </c>
      <c r="K3308" s="4" t="s">
        <v>15175</v>
      </c>
      <c r="L3308" s="13">
        <v>11160</v>
      </c>
      <c r="M3308" t="str">
        <f>VLOOKUP(L3308,[1]Human_BrainSpan!$B$2:$C$4000,2,FALSE)</f>
        <v>PI3</v>
      </c>
    </row>
    <row r="3309" spans="2:13" x14ac:dyDescent="0.25">
      <c r="B3309" s="31" t="s">
        <v>26303</v>
      </c>
      <c r="C3309" s="20"/>
      <c r="D3309" s="25" t="s">
        <v>26185</v>
      </c>
      <c r="E3309" s="20" t="s">
        <v>26307</v>
      </c>
      <c r="F3309" s="9" t="str">
        <f t="shared" si="44"/>
        <v>structure with developmental contribution from neural crest</v>
      </c>
      <c r="G3309" s="9" t="s">
        <v>5090</v>
      </c>
      <c r="H3309" s="9" t="s">
        <v>22549</v>
      </c>
      <c r="I3309" s="9" t="s">
        <v>6221</v>
      </c>
      <c r="J3309" s="9" t="s">
        <v>6222</v>
      </c>
      <c r="K3309" s="4" t="s">
        <v>15175</v>
      </c>
      <c r="L3309" s="13">
        <v>11161</v>
      </c>
      <c r="M3309" t="str">
        <f>VLOOKUP(L3309,[1]Human_BrainSpan!$B$2:$C$4000,2,FALSE)</f>
        <v>PI4</v>
      </c>
    </row>
    <row r="3310" spans="2:13" x14ac:dyDescent="0.25">
      <c r="B3310" s="31" t="s">
        <v>26303</v>
      </c>
      <c r="C3310" s="20"/>
      <c r="D3310" s="25" t="s">
        <v>26185</v>
      </c>
      <c r="E3310" s="20" t="s">
        <v>26307</v>
      </c>
      <c r="F3310" s="9" t="str">
        <f t="shared" si="44"/>
        <v>structure with developmental contribution from neural crest</v>
      </c>
      <c r="G3310" s="9" t="s">
        <v>5090</v>
      </c>
      <c r="H3310" s="9" t="s">
        <v>22550</v>
      </c>
      <c r="I3310" s="9" t="s">
        <v>6223</v>
      </c>
      <c r="J3310" s="9" t="s">
        <v>6224</v>
      </c>
      <c r="K3310" s="4" t="s">
        <v>15175</v>
      </c>
      <c r="L3310" s="13">
        <v>11162</v>
      </c>
      <c r="M3310" t="str">
        <f>VLOOKUP(L3310,[1]Human_BrainSpan!$B$2:$C$4000,2,FALSE)</f>
        <v>PI5</v>
      </c>
    </row>
    <row r="3311" spans="2:13" x14ac:dyDescent="0.25">
      <c r="B3311" s="31" t="s">
        <v>26303</v>
      </c>
      <c r="C3311" s="20"/>
      <c r="D3311" s="25" t="s">
        <v>26185</v>
      </c>
      <c r="E3311" s="20" t="s">
        <v>26307</v>
      </c>
      <c r="F3311" s="9" t="str">
        <f t="shared" si="44"/>
        <v>structure with developmental contribution from neural crest</v>
      </c>
      <c r="G3311" s="9" t="s">
        <v>5090</v>
      </c>
      <c r="H3311" s="9" t="s">
        <v>22551</v>
      </c>
      <c r="I3311" s="9" t="s">
        <v>6225</v>
      </c>
      <c r="J3311" s="9" t="s">
        <v>6226</v>
      </c>
      <c r="K3311" s="4" t="s">
        <v>15175</v>
      </c>
      <c r="L3311" s="13">
        <v>11163</v>
      </c>
      <c r="M3311" t="str">
        <f>VLOOKUP(L3311,[1]Human_BrainSpan!$B$2:$C$4000,2,FALSE)</f>
        <v>PI6</v>
      </c>
    </row>
    <row r="3312" spans="2:13" x14ac:dyDescent="0.25">
      <c r="B3312" s="31" t="s">
        <v>26303</v>
      </c>
      <c r="C3312" s="25" t="s">
        <v>26175</v>
      </c>
      <c r="D3312" s="25" t="s">
        <v>26232</v>
      </c>
      <c r="E3312" s="25" t="s">
        <v>26306</v>
      </c>
      <c r="F3312" s="9" t="str">
        <f t="shared" si="44"/>
        <v>structure with developmental contribution from neural crest</v>
      </c>
      <c r="G3312" s="9" t="s">
        <v>5090</v>
      </c>
      <c r="H3312" s="9" t="s">
        <v>22678</v>
      </c>
      <c r="I3312" s="9" t="s">
        <v>6227</v>
      </c>
      <c r="J3312" s="9" t="s">
        <v>6228</v>
      </c>
      <c r="K3312" s="4" t="s">
        <v>15175</v>
      </c>
      <c r="L3312" s="13">
        <v>11164</v>
      </c>
      <c r="M3312" t="str">
        <f>VLOOKUP(L3312,[1]Human_BrainSpan!$B$2:$C$4000,2,FALSE)</f>
        <v>V1-1</v>
      </c>
    </row>
    <row r="3313" spans="2:13" x14ac:dyDescent="0.25">
      <c r="B3313" s="31" t="s">
        <v>26303</v>
      </c>
      <c r="C3313" s="25" t="s">
        <v>26175</v>
      </c>
      <c r="D3313" s="25" t="s">
        <v>26232</v>
      </c>
      <c r="E3313" s="25" t="s">
        <v>26306</v>
      </c>
      <c r="F3313" s="9" t="str">
        <f t="shared" si="44"/>
        <v>structure with developmental contribution from neural crest</v>
      </c>
      <c r="G3313" s="9" t="s">
        <v>5090</v>
      </c>
      <c r="H3313" s="9" t="s">
        <v>22679</v>
      </c>
      <c r="I3313" s="9" t="s">
        <v>6229</v>
      </c>
      <c r="J3313" s="9" t="s">
        <v>6230</v>
      </c>
      <c r="K3313" s="4" t="s">
        <v>15175</v>
      </c>
      <c r="L3313" s="13">
        <v>11165</v>
      </c>
      <c r="M3313" t="str">
        <f>VLOOKUP(L3313,[1]Human_BrainSpan!$B$2:$C$4000,2,FALSE)</f>
        <v>V1-2</v>
      </c>
    </row>
    <row r="3314" spans="2:13" x14ac:dyDescent="0.25">
      <c r="B3314" s="31" t="s">
        <v>26303</v>
      </c>
      <c r="C3314" s="25" t="s">
        <v>26175</v>
      </c>
      <c r="D3314" s="25" t="s">
        <v>26232</v>
      </c>
      <c r="E3314" s="25" t="s">
        <v>26306</v>
      </c>
      <c r="F3314" s="9" t="str">
        <f t="shared" si="44"/>
        <v>structure with developmental contribution from neural crest</v>
      </c>
      <c r="G3314" s="9" t="s">
        <v>5090</v>
      </c>
      <c r="H3314" s="9" t="s">
        <v>22680</v>
      </c>
      <c r="I3314" s="9" t="s">
        <v>6231</v>
      </c>
      <c r="J3314" s="9" t="s">
        <v>6232</v>
      </c>
      <c r="K3314" s="4" t="s">
        <v>15175</v>
      </c>
      <c r="L3314" s="13">
        <v>11166</v>
      </c>
      <c r="M3314" t="str">
        <f>VLOOKUP(L3314,[1]Human_BrainSpan!$B$2:$C$4000,2,FALSE)</f>
        <v>V1-3</v>
      </c>
    </row>
    <row r="3315" spans="2:13" x14ac:dyDescent="0.25">
      <c r="B3315" s="31" t="s">
        <v>26303</v>
      </c>
      <c r="C3315" s="25" t="s">
        <v>26175</v>
      </c>
      <c r="D3315" s="25" t="s">
        <v>26232</v>
      </c>
      <c r="E3315" s="25" t="s">
        <v>26306</v>
      </c>
      <c r="F3315" s="9" t="str">
        <f t="shared" si="44"/>
        <v>structure with developmental contribution from neural crest</v>
      </c>
      <c r="G3315" s="9" t="s">
        <v>5090</v>
      </c>
      <c r="H3315" s="9" t="s">
        <v>22681</v>
      </c>
      <c r="I3315" s="9" t="s">
        <v>6233</v>
      </c>
      <c r="J3315" s="9" t="s">
        <v>6234</v>
      </c>
      <c r="K3315" s="4" t="s">
        <v>15175</v>
      </c>
      <c r="L3315" s="13">
        <v>11167</v>
      </c>
      <c r="M3315" t="str">
        <f>VLOOKUP(L3315,[1]Human_BrainSpan!$B$2:$C$4000,2,FALSE)</f>
        <v>V1-4</v>
      </c>
    </row>
    <row r="3316" spans="2:13" x14ac:dyDescent="0.25">
      <c r="B3316" s="31" t="s">
        <v>26303</v>
      </c>
      <c r="C3316" s="25" t="s">
        <v>26175</v>
      </c>
      <c r="D3316" s="25" t="s">
        <v>26232</v>
      </c>
      <c r="E3316" s="25" t="s">
        <v>26306</v>
      </c>
      <c r="F3316" s="9" t="str">
        <f t="shared" si="44"/>
        <v>structure with developmental contribution from neural crest</v>
      </c>
      <c r="G3316" s="9" t="s">
        <v>5090</v>
      </c>
      <c r="H3316" s="9" t="s">
        <v>22682</v>
      </c>
      <c r="I3316" s="9" t="s">
        <v>6235</v>
      </c>
      <c r="J3316" s="9" t="s">
        <v>6236</v>
      </c>
      <c r="K3316" s="4" t="s">
        <v>15175</v>
      </c>
      <c r="L3316" s="13">
        <v>11168</v>
      </c>
      <c r="M3316" t="str">
        <f>VLOOKUP(L3316,[1]Human_BrainSpan!$B$2:$C$4000,2,FALSE)</f>
        <v>V1-4A</v>
      </c>
    </row>
    <row r="3317" spans="2:13" x14ac:dyDescent="0.25">
      <c r="B3317" s="31" t="s">
        <v>26303</v>
      </c>
      <c r="C3317" s="25" t="s">
        <v>26175</v>
      </c>
      <c r="D3317" s="25" t="s">
        <v>26232</v>
      </c>
      <c r="E3317" s="25" t="s">
        <v>26306</v>
      </c>
      <c r="F3317" s="9" t="str">
        <f t="shared" si="44"/>
        <v>structure with developmental contribution from neural crest</v>
      </c>
      <c r="G3317" s="9" t="s">
        <v>5090</v>
      </c>
      <c r="H3317" s="9" t="s">
        <v>22683</v>
      </c>
      <c r="I3317" s="9" t="s">
        <v>6237</v>
      </c>
      <c r="J3317" s="9" t="s">
        <v>6238</v>
      </c>
      <c r="K3317" s="4" t="s">
        <v>15175</v>
      </c>
      <c r="L3317" s="13">
        <v>11169</v>
      </c>
      <c r="M3317" t="str">
        <f>VLOOKUP(L3317,[1]Human_BrainSpan!$B$2:$C$4000,2,FALSE)</f>
        <v>V1-4B</v>
      </c>
    </row>
    <row r="3318" spans="2:13" x14ac:dyDescent="0.25">
      <c r="B3318" s="31" t="s">
        <v>26303</v>
      </c>
      <c r="C3318" s="25" t="s">
        <v>26175</v>
      </c>
      <c r="D3318" s="25" t="s">
        <v>26232</v>
      </c>
      <c r="E3318" s="25" t="s">
        <v>26306</v>
      </c>
      <c r="F3318" s="9" t="str">
        <f t="shared" si="44"/>
        <v>structure with developmental contribution from neural crest</v>
      </c>
      <c r="G3318" s="9" t="s">
        <v>5090</v>
      </c>
      <c r="H3318" s="9" t="s">
        <v>22684</v>
      </c>
      <c r="I3318" s="9" t="s">
        <v>6239</v>
      </c>
      <c r="J3318" s="9" t="s">
        <v>6240</v>
      </c>
      <c r="K3318" s="4" t="s">
        <v>15175</v>
      </c>
      <c r="L3318" s="13">
        <v>11170</v>
      </c>
      <c r="M3318" t="str">
        <f>VLOOKUP(L3318,[1]Human_BrainSpan!$B$2:$C$4000,2,FALSE)</f>
        <v>V1-4C</v>
      </c>
    </row>
    <row r="3319" spans="2:13" x14ac:dyDescent="0.25">
      <c r="B3319" s="31" t="s">
        <v>26303</v>
      </c>
      <c r="C3319" s="25" t="s">
        <v>26175</v>
      </c>
      <c r="D3319" s="25" t="s">
        <v>26232</v>
      </c>
      <c r="E3319" s="25" t="s">
        <v>26306</v>
      </c>
      <c r="F3319" s="9" t="str">
        <f t="shared" ref="F3319:F3382" si="45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3319" s="9" t="s">
        <v>5090</v>
      </c>
      <c r="H3319" s="9" t="s">
        <v>22685</v>
      </c>
      <c r="I3319" s="9" t="s">
        <v>6241</v>
      </c>
      <c r="J3319" s="9" t="s">
        <v>6242</v>
      </c>
      <c r="K3319" s="4" t="s">
        <v>15175</v>
      </c>
      <c r="L3319" s="13">
        <v>11171</v>
      </c>
      <c r="M3319" t="str">
        <f>VLOOKUP(L3319,[1]Human_BrainSpan!$B$2:$C$4000,2,FALSE)</f>
        <v>V1-4Ca</v>
      </c>
    </row>
    <row r="3320" spans="2:13" x14ac:dyDescent="0.25">
      <c r="B3320" s="31" t="s">
        <v>26303</v>
      </c>
      <c r="C3320" s="25" t="s">
        <v>26175</v>
      </c>
      <c r="D3320" s="25" t="s">
        <v>26232</v>
      </c>
      <c r="E3320" s="25" t="s">
        <v>26306</v>
      </c>
      <c r="F3320" s="9" t="str">
        <f t="shared" si="45"/>
        <v>structure with developmental contribution from neural crest</v>
      </c>
      <c r="G3320" s="9" t="s">
        <v>5090</v>
      </c>
      <c r="H3320" s="9" t="s">
        <v>22686</v>
      </c>
      <c r="I3320" s="9" t="s">
        <v>6243</v>
      </c>
      <c r="J3320" s="9" t="s">
        <v>6244</v>
      </c>
      <c r="K3320" s="4" t="s">
        <v>15175</v>
      </c>
      <c r="L3320" s="13">
        <v>11172</v>
      </c>
      <c r="M3320" t="str">
        <f>VLOOKUP(L3320,[1]Human_BrainSpan!$B$2:$C$4000,2,FALSE)</f>
        <v>V1-4Cb</v>
      </c>
    </row>
    <row r="3321" spans="2:13" x14ac:dyDescent="0.25">
      <c r="B3321" s="31" t="s">
        <v>26303</v>
      </c>
      <c r="C3321" s="25" t="s">
        <v>26175</v>
      </c>
      <c r="D3321" s="25" t="s">
        <v>26232</v>
      </c>
      <c r="E3321" s="25" t="s">
        <v>26306</v>
      </c>
      <c r="F3321" s="9" t="str">
        <f t="shared" si="45"/>
        <v>structure with developmental contribution from neural crest</v>
      </c>
      <c r="G3321" s="9" t="s">
        <v>5090</v>
      </c>
      <c r="H3321" s="9" t="s">
        <v>22687</v>
      </c>
      <c r="I3321" s="9" t="s">
        <v>6245</v>
      </c>
      <c r="J3321" s="9" t="s">
        <v>6246</v>
      </c>
      <c r="K3321" s="4" t="s">
        <v>15175</v>
      </c>
      <c r="L3321" s="13">
        <v>11173</v>
      </c>
      <c r="M3321" t="str">
        <f>VLOOKUP(L3321,[1]Human_BrainSpan!$B$2:$C$4000,2,FALSE)</f>
        <v>V1-5</v>
      </c>
    </row>
    <row r="3322" spans="2:13" x14ac:dyDescent="0.25">
      <c r="B3322" s="31" t="s">
        <v>26303</v>
      </c>
      <c r="C3322" s="25" t="s">
        <v>26175</v>
      </c>
      <c r="D3322" s="25" t="s">
        <v>26232</v>
      </c>
      <c r="E3322" s="25" t="s">
        <v>26306</v>
      </c>
      <c r="F3322" s="9" t="str">
        <f t="shared" si="45"/>
        <v>structure with developmental contribution from neural crest</v>
      </c>
      <c r="G3322" s="9" t="s">
        <v>5090</v>
      </c>
      <c r="H3322" s="9" t="s">
        <v>22688</v>
      </c>
      <c r="I3322" s="9" t="s">
        <v>6247</v>
      </c>
      <c r="J3322" s="9" t="s">
        <v>6248</v>
      </c>
      <c r="K3322" s="4" t="s">
        <v>15175</v>
      </c>
      <c r="L3322" s="13">
        <v>11174</v>
      </c>
      <c r="M3322" t="str">
        <f>VLOOKUP(L3322,[1]Human_BrainSpan!$B$2:$C$4000,2,FALSE)</f>
        <v>V1-6</v>
      </c>
    </row>
    <row r="3323" spans="2:13" x14ac:dyDescent="0.25">
      <c r="B3323" s="31" t="s">
        <v>26303</v>
      </c>
      <c r="C3323" s="25" t="s">
        <v>25745</v>
      </c>
      <c r="D3323" s="25" t="s">
        <v>26232</v>
      </c>
      <c r="E3323" s="25" t="s">
        <v>26306</v>
      </c>
      <c r="F3323" s="9" t="str">
        <f t="shared" si="45"/>
        <v>structure with developmental contribution from neural crest</v>
      </c>
      <c r="G3323" s="9" t="s">
        <v>5090</v>
      </c>
      <c r="H3323" s="9" t="s">
        <v>22692</v>
      </c>
      <c r="I3323" s="9" t="s">
        <v>6249</v>
      </c>
      <c r="J3323" s="9" t="s">
        <v>6250</v>
      </c>
      <c r="K3323" s="4" t="s">
        <v>15175</v>
      </c>
      <c r="L3323" s="13">
        <v>11175</v>
      </c>
      <c r="M3323" t="str">
        <f>VLOOKUP(L3323,[1]Human_BrainSpan!$B$2:$C$4000,2,FALSE)</f>
        <v>V2-1</v>
      </c>
    </row>
    <row r="3324" spans="2:13" x14ac:dyDescent="0.25">
      <c r="B3324" s="31" t="s">
        <v>26303</v>
      </c>
      <c r="C3324" s="25" t="s">
        <v>25745</v>
      </c>
      <c r="D3324" s="25" t="s">
        <v>26232</v>
      </c>
      <c r="E3324" s="25" t="s">
        <v>26306</v>
      </c>
      <c r="F3324" s="9" t="str">
        <f t="shared" si="45"/>
        <v>structure with developmental contribution from neural crest</v>
      </c>
      <c r="G3324" s="9" t="s">
        <v>5090</v>
      </c>
      <c r="H3324" s="9" t="s">
        <v>22693</v>
      </c>
      <c r="I3324" s="9" t="s">
        <v>6251</v>
      </c>
      <c r="J3324" s="9" t="s">
        <v>6252</v>
      </c>
      <c r="K3324" s="4" t="s">
        <v>15175</v>
      </c>
      <c r="L3324" s="13">
        <v>11176</v>
      </c>
      <c r="M3324" t="str">
        <f>VLOOKUP(L3324,[1]Human_BrainSpan!$B$2:$C$4000,2,FALSE)</f>
        <v>V2-2</v>
      </c>
    </row>
    <row r="3325" spans="2:13" x14ac:dyDescent="0.25">
      <c r="B3325" s="31" t="s">
        <v>26303</v>
      </c>
      <c r="C3325" s="25" t="s">
        <v>25745</v>
      </c>
      <c r="D3325" s="25" t="s">
        <v>26232</v>
      </c>
      <c r="E3325" s="25" t="s">
        <v>26306</v>
      </c>
      <c r="F3325" s="9" t="str">
        <f t="shared" si="45"/>
        <v>structure with developmental contribution from neural crest</v>
      </c>
      <c r="G3325" s="9" t="s">
        <v>5090</v>
      </c>
      <c r="H3325" s="9" t="s">
        <v>22694</v>
      </c>
      <c r="I3325" s="9" t="s">
        <v>6253</v>
      </c>
      <c r="J3325" s="9" t="s">
        <v>6254</v>
      </c>
      <c r="K3325" s="4" t="s">
        <v>15175</v>
      </c>
      <c r="L3325" s="13">
        <v>11177</v>
      </c>
      <c r="M3325" t="str">
        <f>VLOOKUP(L3325,[1]Human_BrainSpan!$B$2:$C$4000,2,FALSE)</f>
        <v>V2-3</v>
      </c>
    </row>
    <row r="3326" spans="2:13" x14ac:dyDescent="0.25">
      <c r="B3326" s="31" t="s">
        <v>26303</v>
      </c>
      <c r="C3326" s="25" t="s">
        <v>25745</v>
      </c>
      <c r="D3326" s="25" t="s">
        <v>26232</v>
      </c>
      <c r="E3326" s="25" t="s">
        <v>26306</v>
      </c>
      <c r="F3326" s="9" t="str">
        <f t="shared" si="45"/>
        <v>structure with developmental contribution from neural crest</v>
      </c>
      <c r="G3326" s="9" t="s">
        <v>5090</v>
      </c>
      <c r="H3326" s="9" t="s">
        <v>22695</v>
      </c>
      <c r="I3326" s="9" t="s">
        <v>6255</v>
      </c>
      <c r="J3326" s="9" t="s">
        <v>6256</v>
      </c>
      <c r="K3326" s="4" t="s">
        <v>15175</v>
      </c>
      <c r="L3326" s="13">
        <v>11178</v>
      </c>
      <c r="M3326" t="str">
        <f>VLOOKUP(L3326,[1]Human_BrainSpan!$B$2:$C$4000,2,FALSE)</f>
        <v>V2-4</v>
      </c>
    </row>
    <row r="3327" spans="2:13" x14ac:dyDescent="0.25">
      <c r="B3327" s="31" t="s">
        <v>26303</v>
      </c>
      <c r="C3327" s="25" t="s">
        <v>25745</v>
      </c>
      <c r="D3327" s="25" t="s">
        <v>26232</v>
      </c>
      <c r="E3327" s="25" t="s">
        <v>26306</v>
      </c>
      <c r="F3327" s="9" t="str">
        <f t="shared" si="45"/>
        <v>structure with developmental contribution from neural crest</v>
      </c>
      <c r="G3327" s="9" t="s">
        <v>5090</v>
      </c>
      <c r="H3327" s="9" t="s">
        <v>22696</v>
      </c>
      <c r="I3327" s="9" t="s">
        <v>6257</v>
      </c>
      <c r="J3327" s="9" t="s">
        <v>6258</v>
      </c>
      <c r="K3327" s="4" t="s">
        <v>15175</v>
      </c>
      <c r="L3327" s="13">
        <v>11179</v>
      </c>
      <c r="M3327" t="str">
        <f>VLOOKUP(L3327,[1]Human_BrainSpan!$B$2:$C$4000,2,FALSE)</f>
        <v>V2-5</v>
      </c>
    </row>
    <row r="3328" spans="2:13" x14ac:dyDescent="0.25">
      <c r="B3328" s="31" t="s">
        <v>26303</v>
      </c>
      <c r="C3328" s="25" t="s">
        <v>25745</v>
      </c>
      <c r="D3328" s="25" t="s">
        <v>26232</v>
      </c>
      <c r="E3328" s="25" t="s">
        <v>26306</v>
      </c>
      <c r="F3328" s="9" t="str">
        <f t="shared" si="45"/>
        <v>structure with developmental contribution from neural crest</v>
      </c>
      <c r="G3328" s="9" t="s">
        <v>5090</v>
      </c>
      <c r="H3328" s="9" t="s">
        <v>22697</v>
      </c>
      <c r="I3328" s="9" t="s">
        <v>6259</v>
      </c>
      <c r="J3328" s="9" t="s">
        <v>6260</v>
      </c>
      <c r="K3328" s="4" t="s">
        <v>15175</v>
      </c>
      <c r="L3328" s="13">
        <v>11180</v>
      </c>
      <c r="M3328" t="str">
        <f>VLOOKUP(L3328,[1]Human_BrainSpan!$B$2:$C$4000,2,FALSE)</f>
        <v>V2-6</v>
      </c>
    </row>
    <row r="3329" spans="2:13" x14ac:dyDescent="0.25">
      <c r="B3329" s="31" t="s">
        <v>26299</v>
      </c>
      <c r="C3329" s="25" t="s">
        <v>25933</v>
      </c>
      <c r="D3329" s="25" t="s">
        <v>26232</v>
      </c>
      <c r="E3329" s="25" t="s">
        <v>26306</v>
      </c>
      <c r="F3329" s="9" t="str">
        <f t="shared" si="45"/>
        <v>structure with developmental contribution from neural crest</v>
      </c>
      <c r="G3329" s="9" t="s">
        <v>5090</v>
      </c>
      <c r="H3329" s="9" t="s">
        <v>22699</v>
      </c>
      <c r="I3329" s="9" t="s">
        <v>6261</v>
      </c>
      <c r="J3329" s="9" t="s">
        <v>6262</v>
      </c>
      <c r="K3329" s="4" t="s">
        <v>15175</v>
      </c>
      <c r="L3329" s="13">
        <v>11181</v>
      </c>
      <c r="M3329" t="str">
        <f>VLOOKUP(L3329,[1]Human_BrainSpan!$B$2:$C$4000,2,FALSE)</f>
        <v>V3-1</v>
      </c>
    </row>
    <row r="3330" spans="2:13" x14ac:dyDescent="0.25">
      <c r="B3330" s="31" t="s">
        <v>26299</v>
      </c>
      <c r="C3330" s="25" t="s">
        <v>25933</v>
      </c>
      <c r="D3330" s="25" t="s">
        <v>26232</v>
      </c>
      <c r="E3330" s="25" t="s">
        <v>26306</v>
      </c>
      <c r="F3330" s="9" t="str">
        <f t="shared" si="45"/>
        <v>structure with developmental contribution from neural crest</v>
      </c>
      <c r="G3330" s="9" t="s">
        <v>5090</v>
      </c>
      <c r="H3330" s="9" t="s">
        <v>22700</v>
      </c>
      <c r="I3330" s="9" t="s">
        <v>6263</v>
      </c>
      <c r="J3330" s="9" t="s">
        <v>6264</v>
      </c>
      <c r="K3330" s="4" t="s">
        <v>15175</v>
      </c>
      <c r="L3330" s="13">
        <v>11182</v>
      </c>
      <c r="M3330" t="str">
        <f>VLOOKUP(L3330,[1]Human_BrainSpan!$B$2:$C$4000,2,FALSE)</f>
        <v>V3-2</v>
      </c>
    </row>
    <row r="3331" spans="2:13" x14ac:dyDescent="0.25">
      <c r="B3331" s="31" t="s">
        <v>26299</v>
      </c>
      <c r="C3331" s="25" t="s">
        <v>25933</v>
      </c>
      <c r="D3331" s="25" t="s">
        <v>26232</v>
      </c>
      <c r="E3331" s="25" t="s">
        <v>26306</v>
      </c>
      <c r="F3331" s="9" t="str">
        <f t="shared" si="45"/>
        <v>structure with developmental contribution from neural crest</v>
      </c>
      <c r="G3331" s="9" t="s">
        <v>5090</v>
      </c>
      <c r="H3331" s="9" t="s">
        <v>22701</v>
      </c>
      <c r="I3331" s="9" t="s">
        <v>6265</v>
      </c>
      <c r="J3331" s="9" t="s">
        <v>6266</v>
      </c>
      <c r="K3331" s="4" t="s">
        <v>15175</v>
      </c>
      <c r="L3331" s="13">
        <v>11183</v>
      </c>
      <c r="M3331" t="str">
        <f>VLOOKUP(L3331,[1]Human_BrainSpan!$B$2:$C$4000,2,FALSE)</f>
        <v>V3-3</v>
      </c>
    </row>
    <row r="3332" spans="2:13" x14ac:dyDescent="0.25">
      <c r="B3332" s="31" t="s">
        <v>26299</v>
      </c>
      <c r="C3332" s="25" t="s">
        <v>25933</v>
      </c>
      <c r="D3332" s="25" t="s">
        <v>26232</v>
      </c>
      <c r="E3332" s="25" t="s">
        <v>26306</v>
      </c>
      <c r="F3332" s="9" t="str">
        <f t="shared" si="45"/>
        <v>structure with developmental contribution from neural crest</v>
      </c>
      <c r="G3332" s="9" t="s">
        <v>5090</v>
      </c>
      <c r="H3332" s="9" t="s">
        <v>22702</v>
      </c>
      <c r="I3332" s="9" t="s">
        <v>6267</v>
      </c>
      <c r="J3332" s="9" t="s">
        <v>6268</v>
      </c>
      <c r="K3332" s="4" t="s">
        <v>15175</v>
      </c>
      <c r="L3332" s="13">
        <v>11184</v>
      </c>
      <c r="M3332" t="str">
        <f>VLOOKUP(L3332,[1]Human_BrainSpan!$B$2:$C$4000,2,FALSE)</f>
        <v>V3-4</v>
      </c>
    </row>
    <row r="3333" spans="2:13" x14ac:dyDescent="0.25">
      <c r="B3333" s="31" t="s">
        <v>26299</v>
      </c>
      <c r="C3333" s="25" t="s">
        <v>25933</v>
      </c>
      <c r="D3333" s="25" t="s">
        <v>26232</v>
      </c>
      <c r="E3333" s="25" t="s">
        <v>26306</v>
      </c>
      <c r="F3333" s="9" t="str">
        <f t="shared" si="45"/>
        <v>structure with developmental contribution from neural crest</v>
      </c>
      <c r="G3333" s="9" t="s">
        <v>5090</v>
      </c>
      <c r="H3333" s="9" t="s">
        <v>22703</v>
      </c>
      <c r="I3333" s="9" t="s">
        <v>6269</v>
      </c>
      <c r="J3333" s="9" t="s">
        <v>6270</v>
      </c>
      <c r="K3333" s="4" t="s">
        <v>15175</v>
      </c>
      <c r="L3333" s="13">
        <v>11185</v>
      </c>
      <c r="M3333" t="str">
        <f>VLOOKUP(L3333,[1]Human_BrainSpan!$B$2:$C$4000,2,FALSE)</f>
        <v>V3-5</v>
      </c>
    </row>
    <row r="3334" spans="2:13" x14ac:dyDescent="0.25">
      <c r="B3334" s="31" t="s">
        <v>26299</v>
      </c>
      <c r="C3334" s="25" t="s">
        <v>25933</v>
      </c>
      <c r="D3334" s="25" t="s">
        <v>26232</v>
      </c>
      <c r="E3334" s="25" t="s">
        <v>26306</v>
      </c>
      <c r="F3334" s="9" t="str">
        <f t="shared" si="45"/>
        <v>structure with developmental contribution from neural crest</v>
      </c>
      <c r="G3334" s="9" t="s">
        <v>5090</v>
      </c>
      <c r="H3334" s="9" t="s">
        <v>22704</v>
      </c>
      <c r="I3334" s="9" t="s">
        <v>6271</v>
      </c>
      <c r="J3334" s="9" t="s">
        <v>6272</v>
      </c>
      <c r="K3334" s="4" t="s">
        <v>15175</v>
      </c>
      <c r="L3334" s="13">
        <v>11186</v>
      </c>
      <c r="M3334" t="str">
        <f>VLOOKUP(L3334,[1]Human_BrainSpan!$B$2:$C$4000,2,FALSE)</f>
        <v>V3-6</v>
      </c>
    </row>
    <row r="3335" spans="2:13" x14ac:dyDescent="0.25">
      <c r="B3335" s="31" t="s">
        <v>26299</v>
      </c>
      <c r="C3335" s="25" t="s">
        <v>25933</v>
      </c>
      <c r="D3335" s="25" t="s">
        <v>26232</v>
      </c>
      <c r="E3335" s="25" t="s">
        <v>26306</v>
      </c>
      <c r="F3335" s="9" t="str">
        <f t="shared" si="45"/>
        <v>structure with developmental contribution from neural crest</v>
      </c>
      <c r="G3335" s="9" t="s">
        <v>5090</v>
      </c>
      <c r="H3335" s="9" t="s">
        <v>22705</v>
      </c>
      <c r="I3335" s="9" t="s">
        <v>6273</v>
      </c>
      <c r="J3335" s="9" t="s">
        <v>6274</v>
      </c>
      <c r="K3335" s="4" t="s">
        <v>15175</v>
      </c>
      <c r="L3335" s="13">
        <v>11187</v>
      </c>
      <c r="M3335" t="str">
        <f>VLOOKUP(L3335,[1]Human_BrainSpan!$B$2:$C$4000,2,FALSE)</f>
        <v>VP1</v>
      </c>
    </row>
    <row r="3336" spans="2:13" x14ac:dyDescent="0.25">
      <c r="B3336" s="31" t="s">
        <v>26299</v>
      </c>
      <c r="C3336" s="25" t="s">
        <v>25933</v>
      </c>
      <c r="D3336" s="25" t="s">
        <v>26232</v>
      </c>
      <c r="E3336" s="25" t="s">
        <v>26306</v>
      </c>
      <c r="F3336" s="9" t="str">
        <f t="shared" si="45"/>
        <v>structure with developmental contribution from neural crest</v>
      </c>
      <c r="G3336" s="9" t="s">
        <v>5090</v>
      </c>
      <c r="H3336" s="9" t="s">
        <v>22706</v>
      </c>
      <c r="I3336" s="9" t="s">
        <v>6275</v>
      </c>
      <c r="J3336" s="9" t="s">
        <v>6276</v>
      </c>
      <c r="K3336" s="4" t="s">
        <v>15175</v>
      </c>
      <c r="L3336" s="13">
        <v>11188</v>
      </c>
      <c r="M3336" t="str">
        <f>VLOOKUP(L3336,[1]Human_BrainSpan!$B$2:$C$4000,2,FALSE)</f>
        <v>VP2</v>
      </c>
    </row>
    <row r="3337" spans="2:13" x14ac:dyDescent="0.25">
      <c r="B3337" s="31" t="s">
        <v>26299</v>
      </c>
      <c r="C3337" s="25" t="s">
        <v>25933</v>
      </c>
      <c r="D3337" s="25" t="s">
        <v>26232</v>
      </c>
      <c r="E3337" s="25" t="s">
        <v>26306</v>
      </c>
      <c r="F3337" s="9" t="str">
        <f t="shared" si="45"/>
        <v>structure with developmental contribution from neural crest</v>
      </c>
      <c r="G3337" s="9" t="s">
        <v>5090</v>
      </c>
      <c r="H3337" s="9" t="s">
        <v>22707</v>
      </c>
      <c r="I3337" s="9" t="s">
        <v>6277</v>
      </c>
      <c r="J3337" s="9" t="s">
        <v>6278</v>
      </c>
      <c r="K3337" s="4" t="s">
        <v>15175</v>
      </c>
      <c r="L3337" s="13">
        <v>11189</v>
      </c>
      <c r="M3337" t="str">
        <f>VLOOKUP(L3337,[1]Human_BrainSpan!$B$2:$C$4000,2,FALSE)</f>
        <v>VP3</v>
      </c>
    </row>
    <row r="3338" spans="2:13" x14ac:dyDescent="0.25">
      <c r="B3338" s="31" t="s">
        <v>26299</v>
      </c>
      <c r="C3338" s="25" t="s">
        <v>25933</v>
      </c>
      <c r="D3338" s="25" t="s">
        <v>26232</v>
      </c>
      <c r="E3338" s="25" t="s">
        <v>26306</v>
      </c>
      <c r="F3338" s="9" t="str">
        <f t="shared" si="45"/>
        <v>structure with developmental contribution from neural crest</v>
      </c>
      <c r="G3338" s="9" t="s">
        <v>5090</v>
      </c>
      <c r="H3338" s="9" t="s">
        <v>22708</v>
      </c>
      <c r="I3338" s="9" t="s">
        <v>6279</v>
      </c>
      <c r="J3338" s="9" t="s">
        <v>6280</v>
      </c>
      <c r="K3338" s="4" t="s">
        <v>15175</v>
      </c>
      <c r="L3338" s="13">
        <v>11190</v>
      </c>
      <c r="M3338" t="str">
        <f>VLOOKUP(L3338,[1]Human_BrainSpan!$B$2:$C$4000,2,FALSE)</f>
        <v>VP4</v>
      </c>
    </row>
    <row r="3339" spans="2:13" x14ac:dyDescent="0.25">
      <c r="B3339" s="31" t="s">
        <v>26299</v>
      </c>
      <c r="C3339" s="25" t="s">
        <v>25933</v>
      </c>
      <c r="D3339" s="25" t="s">
        <v>26232</v>
      </c>
      <c r="E3339" s="25" t="s">
        <v>26306</v>
      </c>
      <c r="F3339" s="9" t="str">
        <f t="shared" si="45"/>
        <v>structure with developmental contribution from neural crest</v>
      </c>
      <c r="G3339" s="9" t="s">
        <v>5090</v>
      </c>
      <c r="H3339" s="9" t="s">
        <v>22709</v>
      </c>
      <c r="I3339" s="9" t="s">
        <v>6281</v>
      </c>
      <c r="J3339" s="9" t="s">
        <v>6282</v>
      </c>
      <c r="K3339" s="4" t="s">
        <v>15175</v>
      </c>
      <c r="L3339" s="13">
        <v>11191</v>
      </c>
      <c r="M3339" t="str">
        <f>VLOOKUP(L3339,[1]Human_BrainSpan!$B$2:$C$4000,2,FALSE)</f>
        <v>VP5</v>
      </c>
    </row>
    <row r="3340" spans="2:13" x14ac:dyDescent="0.25">
      <c r="B3340" s="31" t="s">
        <v>26299</v>
      </c>
      <c r="C3340" s="25" t="s">
        <v>25933</v>
      </c>
      <c r="D3340" s="25" t="s">
        <v>26232</v>
      </c>
      <c r="E3340" s="25" t="s">
        <v>26306</v>
      </c>
      <c r="F3340" s="9" t="str">
        <f t="shared" si="45"/>
        <v>structure with developmental contribution from neural crest</v>
      </c>
      <c r="G3340" s="9" t="s">
        <v>5090</v>
      </c>
      <c r="H3340" s="9" t="s">
        <v>22710</v>
      </c>
      <c r="I3340" s="9" t="s">
        <v>6283</v>
      </c>
      <c r="J3340" s="9" t="s">
        <v>6284</v>
      </c>
      <c r="K3340" s="4" t="s">
        <v>15175</v>
      </c>
      <c r="L3340" s="13">
        <v>11192</v>
      </c>
      <c r="M3340" t="str">
        <f>VLOOKUP(L3340,[1]Human_BrainSpan!$B$2:$C$4000,2,FALSE)</f>
        <v>VP6</v>
      </c>
    </row>
    <row r="3341" spans="2:13" x14ac:dyDescent="0.25">
      <c r="B3341" s="31" t="s">
        <v>26299</v>
      </c>
      <c r="C3341" s="25" t="s">
        <v>25933</v>
      </c>
      <c r="D3341" s="25" t="s">
        <v>26232</v>
      </c>
      <c r="E3341" s="25" t="s">
        <v>26306</v>
      </c>
      <c r="F3341" s="9" t="str">
        <f t="shared" si="45"/>
        <v>structure with developmental contribution from neural crest</v>
      </c>
      <c r="G3341" s="9" t="s">
        <v>5090</v>
      </c>
      <c r="H3341" s="9" t="s">
        <v>22712</v>
      </c>
      <c r="I3341" s="9" t="s">
        <v>6285</v>
      </c>
      <c r="J3341" s="9" t="s">
        <v>6286</v>
      </c>
      <c r="K3341" s="4" t="s">
        <v>15175</v>
      </c>
      <c r="L3341" s="13">
        <v>11193</v>
      </c>
      <c r="M3341" t="str">
        <f>VLOOKUP(L3341,[1]Human_BrainSpan!$B$2:$C$4000,2,FALSE)</f>
        <v>V3A-1</v>
      </c>
    </row>
    <row r="3342" spans="2:13" x14ac:dyDescent="0.25">
      <c r="B3342" s="31" t="s">
        <v>26299</v>
      </c>
      <c r="C3342" s="25" t="s">
        <v>25933</v>
      </c>
      <c r="D3342" s="25" t="s">
        <v>26232</v>
      </c>
      <c r="E3342" s="25" t="s">
        <v>26306</v>
      </c>
      <c r="F3342" s="9" t="str">
        <f t="shared" si="45"/>
        <v>structure with developmental contribution from neural crest</v>
      </c>
      <c r="G3342" s="9" t="s">
        <v>5090</v>
      </c>
      <c r="H3342" s="9" t="s">
        <v>22713</v>
      </c>
      <c r="I3342" s="9" t="s">
        <v>6287</v>
      </c>
      <c r="J3342" s="9" t="s">
        <v>6288</v>
      </c>
      <c r="K3342" s="4" t="s">
        <v>15175</v>
      </c>
      <c r="L3342" s="13">
        <v>11194</v>
      </c>
      <c r="M3342" t="str">
        <f>VLOOKUP(L3342,[1]Human_BrainSpan!$B$2:$C$4000,2,FALSE)</f>
        <v>V3A-2</v>
      </c>
    </row>
    <row r="3343" spans="2:13" x14ac:dyDescent="0.25">
      <c r="B3343" s="31" t="s">
        <v>26299</v>
      </c>
      <c r="C3343" s="25" t="s">
        <v>25933</v>
      </c>
      <c r="D3343" s="25" t="s">
        <v>26232</v>
      </c>
      <c r="E3343" s="25" t="s">
        <v>26306</v>
      </c>
      <c r="F3343" s="9" t="str">
        <f t="shared" si="45"/>
        <v>structure with developmental contribution from neural crest</v>
      </c>
      <c r="G3343" s="9" t="s">
        <v>5090</v>
      </c>
      <c r="H3343" s="9" t="s">
        <v>22714</v>
      </c>
      <c r="I3343" s="9" t="s">
        <v>6289</v>
      </c>
      <c r="J3343" s="9" t="s">
        <v>6290</v>
      </c>
      <c r="K3343" s="4" t="s">
        <v>15175</v>
      </c>
      <c r="L3343" s="13">
        <v>11195</v>
      </c>
      <c r="M3343" t="str">
        <f>VLOOKUP(L3343,[1]Human_BrainSpan!$B$2:$C$4000,2,FALSE)</f>
        <v>V3A-3</v>
      </c>
    </row>
    <row r="3344" spans="2:13" x14ac:dyDescent="0.25">
      <c r="B3344" s="31" t="s">
        <v>26299</v>
      </c>
      <c r="C3344" s="25" t="s">
        <v>25933</v>
      </c>
      <c r="D3344" s="25" t="s">
        <v>26232</v>
      </c>
      <c r="E3344" s="25" t="s">
        <v>26306</v>
      </c>
      <c r="F3344" s="9" t="str">
        <f t="shared" si="45"/>
        <v>structure with developmental contribution from neural crest</v>
      </c>
      <c r="G3344" s="9" t="s">
        <v>5090</v>
      </c>
      <c r="H3344" s="9" t="s">
        <v>22715</v>
      </c>
      <c r="I3344" s="9" t="s">
        <v>6291</v>
      </c>
      <c r="J3344" s="9" t="s">
        <v>6292</v>
      </c>
      <c r="K3344" s="4" t="s">
        <v>15175</v>
      </c>
      <c r="L3344" s="13">
        <v>11196</v>
      </c>
      <c r="M3344" t="str">
        <f>VLOOKUP(L3344,[1]Human_BrainSpan!$B$2:$C$4000,2,FALSE)</f>
        <v>V3A-4</v>
      </c>
    </row>
    <row r="3345" spans="2:13" x14ac:dyDescent="0.25">
      <c r="B3345" s="31" t="s">
        <v>26299</v>
      </c>
      <c r="C3345" s="25" t="s">
        <v>25933</v>
      </c>
      <c r="D3345" s="25" t="s">
        <v>26232</v>
      </c>
      <c r="E3345" s="25" t="s">
        <v>26306</v>
      </c>
      <c r="F3345" s="9" t="str">
        <f t="shared" si="45"/>
        <v>structure with developmental contribution from neural crest</v>
      </c>
      <c r="G3345" s="9" t="s">
        <v>5090</v>
      </c>
      <c r="H3345" s="9" t="s">
        <v>22716</v>
      </c>
      <c r="I3345" s="9" t="s">
        <v>6293</v>
      </c>
      <c r="J3345" s="9" t="s">
        <v>6294</v>
      </c>
      <c r="K3345" s="4" t="s">
        <v>15175</v>
      </c>
      <c r="L3345" s="13">
        <v>11197</v>
      </c>
      <c r="M3345" t="str">
        <f>VLOOKUP(L3345,[1]Human_BrainSpan!$B$2:$C$4000,2,FALSE)</f>
        <v>V3A-5</v>
      </c>
    </row>
    <row r="3346" spans="2:13" x14ac:dyDescent="0.25">
      <c r="B3346" s="31" t="s">
        <v>26299</v>
      </c>
      <c r="C3346" s="25" t="s">
        <v>25933</v>
      </c>
      <c r="D3346" s="25" t="s">
        <v>26232</v>
      </c>
      <c r="E3346" s="25" t="s">
        <v>26306</v>
      </c>
      <c r="F3346" s="9" t="str">
        <f t="shared" si="45"/>
        <v>structure with developmental contribution from neural crest</v>
      </c>
      <c r="G3346" s="9" t="s">
        <v>5090</v>
      </c>
      <c r="H3346" s="9" t="s">
        <v>22717</v>
      </c>
      <c r="I3346" s="9" t="s">
        <v>6295</v>
      </c>
      <c r="J3346" s="9" t="s">
        <v>6296</v>
      </c>
      <c r="K3346" s="4" t="s">
        <v>15175</v>
      </c>
      <c r="L3346" s="13">
        <v>11198</v>
      </c>
      <c r="M3346" t="str">
        <f>VLOOKUP(L3346,[1]Human_BrainSpan!$B$2:$C$4000,2,FALSE)</f>
        <v>V3A-6</v>
      </c>
    </row>
    <row r="3347" spans="2:13" x14ac:dyDescent="0.25">
      <c r="B3347" s="31" t="s">
        <v>26299</v>
      </c>
      <c r="C3347" s="25" t="s">
        <v>25933</v>
      </c>
      <c r="D3347" s="25" t="s">
        <v>26232</v>
      </c>
      <c r="E3347" s="25" t="s">
        <v>26306</v>
      </c>
      <c r="F3347" s="9" t="str">
        <f t="shared" si="45"/>
        <v>structure with developmental contribution from neural crest</v>
      </c>
      <c r="G3347" s="9" t="s">
        <v>5090</v>
      </c>
      <c r="H3347" s="9" t="s">
        <v>22718</v>
      </c>
      <c r="I3347" s="9" t="s">
        <v>6297</v>
      </c>
      <c r="J3347" s="9" t="s">
        <v>6298</v>
      </c>
      <c r="K3347" s="4" t="s">
        <v>15175</v>
      </c>
      <c r="L3347" s="13">
        <v>11199</v>
      </c>
      <c r="M3347" t="str">
        <f>VLOOKUP(L3347,[1]Human_BrainSpan!$B$2:$C$4000,2,FALSE)</f>
        <v>V4-1</v>
      </c>
    </row>
    <row r="3348" spans="2:13" x14ac:dyDescent="0.25">
      <c r="B3348" s="31" t="s">
        <v>26299</v>
      </c>
      <c r="C3348" s="25" t="s">
        <v>25933</v>
      </c>
      <c r="D3348" s="25" t="s">
        <v>26232</v>
      </c>
      <c r="E3348" s="25" t="s">
        <v>26306</v>
      </c>
      <c r="F3348" s="9" t="str">
        <f t="shared" si="45"/>
        <v>structure with developmental contribution from neural crest</v>
      </c>
      <c r="G3348" s="9" t="s">
        <v>5090</v>
      </c>
      <c r="H3348" s="9" t="s">
        <v>22719</v>
      </c>
      <c r="I3348" s="9" t="s">
        <v>6299</v>
      </c>
      <c r="J3348" s="9" t="s">
        <v>6300</v>
      </c>
      <c r="K3348" s="4" t="s">
        <v>15175</v>
      </c>
      <c r="L3348" s="13">
        <v>11200</v>
      </c>
      <c r="M3348" t="str">
        <f>VLOOKUP(L3348,[1]Human_BrainSpan!$B$2:$C$4000,2,FALSE)</f>
        <v>V4-2</v>
      </c>
    </row>
    <row r="3349" spans="2:13" x14ac:dyDescent="0.25">
      <c r="B3349" s="31" t="s">
        <v>26299</v>
      </c>
      <c r="C3349" s="25" t="s">
        <v>25933</v>
      </c>
      <c r="D3349" s="25" t="s">
        <v>26232</v>
      </c>
      <c r="E3349" s="25" t="s">
        <v>26306</v>
      </c>
      <c r="F3349" s="9" t="str">
        <f t="shared" si="45"/>
        <v>structure with developmental contribution from neural crest</v>
      </c>
      <c r="G3349" s="9" t="s">
        <v>5090</v>
      </c>
      <c r="H3349" s="9" t="s">
        <v>22720</v>
      </c>
      <c r="I3349" s="9" t="s">
        <v>6301</v>
      </c>
      <c r="J3349" s="9" t="s">
        <v>6302</v>
      </c>
      <c r="K3349" s="4" t="s">
        <v>15175</v>
      </c>
      <c r="L3349" s="13">
        <v>11201</v>
      </c>
      <c r="M3349" t="str">
        <f>VLOOKUP(L3349,[1]Human_BrainSpan!$B$2:$C$4000,2,FALSE)</f>
        <v>V4-3</v>
      </c>
    </row>
    <row r="3350" spans="2:13" x14ac:dyDescent="0.25">
      <c r="B3350" s="31" t="s">
        <v>26299</v>
      </c>
      <c r="C3350" s="25" t="s">
        <v>25933</v>
      </c>
      <c r="D3350" s="25" t="s">
        <v>26232</v>
      </c>
      <c r="E3350" s="25" t="s">
        <v>26306</v>
      </c>
      <c r="F3350" s="9" t="str">
        <f t="shared" si="45"/>
        <v>structure with developmental contribution from neural crest</v>
      </c>
      <c r="G3350" s="9" t="s">
        <v>5090</v>
      </c>
      <c r="H3350" s="9" t="s">
        <v>22721</v>
      </c>
      <c r="I3350" s="9" t="s">
        <v>6303</v>
      </c>
      <c r="J3350" s="9" t="s">
        <v>6304</v>
      </c>
      <c r="K3350" s="4" t="s">
        <v>15175</v>
      </c>
      <c r="L3350" s="13">
        <v>11202</v>
      </c>
      <c r="M3350" t="str">
        <f>VLOOKUP(L3350,[1]Human_BrainSpan!$B$2:$C$4000,2,FALSE)</f>
        <v>V4-4</v>
      </c>
    </row>
    <row r="3351" spans="2:13" x14ac:dyDescent="0.25">
      <c r="B3351" s="31" t="s">
        <v>26299</v>
      </c>
      <c r="C3351" s="25" t="s">
        <v>25933</v>
      </c>
      <c r="D3351" s="25" t="s">
        <v>26232</v>
      </c>
      <c r="E3351" s="25" t="s">
        <v>26306</v>
      </c>
      <c r="F3351" s="9" t="str">
        <f t="shared" si="45"/>
        <v>structure with developmental contribution from neural crest</v>
      </c>
      <c r="G3351" s="9" t="s">
        <v>5090</v>
      </c>
      <c r="H3351" s="9" t="s">
        <v>22722</v>
      </c>
      <c r="I3351" s="9" t="s">
        <v>6305</v>
      </c>
      <c r="J3351" s="9" t="s">
        <v>6306</v>
      </c>
      <c r="K3351" s="4" t="s">
        <v>15175</v>
      </c>
      <c r="L3351" s="13">
        <v>11203</v>
      </c>
      <c r="M3351" t="str">
        <f>VLOOKUP(L3351,[1]Human_BrainSpan!$B$2:$C$4000,2,FALSE)</f>
        <v>V4-5</v>
      </c>
    </row>
    <row r="3352" spans="2:13" x14ac:dyDescent="0.25">
      <c r="B3352" s="31" t="s">
        <v>26299</v>
      </c>
      <c r="C3352" s="25" t="s">
        <v>25933</v>
      </c>
      <c r="D3352" s="25" t="s">
        <v>26232</v>
      </c>
      <c r="E3352" s="25" t="s">
        <v>26306</v>
      </c>
      <c r="F3352" s="9" t="str">
        <f t="shared" si="45"/>
        <v>structure with developmental contribution from neural crest</v>
      </c>
      <c r="G3352" s="9" t="s">
        <v>5090</v>
      </c>
      <c r="H3352" s="9" t="s">
        <v>22723</v>
      </c>
      <c r="I3352" s="9" t="s">
        <v>6307</v>
      </c>
      <c r="J3352" s="9" t="s">
        <v>6308</v>
      </c>
      <c r="K3352" s="4" t="s">
        <v>15175</v>
      </c>
      <c r="L3352" s="13">
        <v>11204</v>
      </c>
      <c r="M3352" t="str">
        <f>VLOOKUP(L3352,[1]Human_BrainSpan!$B$2:$C$4000,2,FALSE)</f>
        <v>V4-6</v>
      </c>
    </row>
    <row r="3353" spans="2:13" x14ac:dyDescent="0.25">
      <c r="B3353" s="31" t="s">
        <v>26299</v>
      </c>
      <c r="C3353" s="25" t="s">
        <v>3152</v>
      </c>
      <c r="D3353" s="25" t="s">
        <v>26232</v>
      </c>
      <c r="E3353" s="25" t="s">
        <v>26306</v>
      </c>
      <c r="F3353" s="9" t="str">
        <f t="shared" si="45"/>
        <v>structure with developmental contribution from neural crest</v>
      </c>
      <c r="G3353" s="9" t="s">
        <v>5090</v>
      </c>
      <c r="H3353" s="9" t="s">
        <v>22788</v>
      </c>
      <c r="I3353" s="9" t="s">
        <v>6309</v>
      </c>
      <c r="J3353" s="9" t="s">
        <v>6310</v>
      </c>
      <c r="K3353" s="4" t="s">
        <v>15175</v>
      </c>
      <c r="L3353" s="13">
        <v>11212</v>
      </c>
      <c r="M3353" t="str">
        <f>VLOOKUP(L3353,[1]Human_BrainSpan!$B$2:$C$4000,2,FALSE)</f>
        <v>A24-1</v>
      </c>
    </row>
    <row r="3354" spans="2:13" x14ac:dyDescent="0.25">
      <c r="B3354" s="31" t="s">
        <v>26299</v>
      </c>
      <c r="C3354" s="25" t="s">
        <v>3152</v>
      </c>
      <c r="D3354" s="25" t="s">
        <v>26232</v>
      </c>
      <c r="E3354" s="25" t="s">
        <v>26306</v>
      </c>
      <c r="F3354" s="9" t="str">
        <f t="shared" si="45"/>
        <v>structure with developmental contribution from neural crest</v>
      </c>
      <c r="G3354" s="9" t="s">
        <v>5090</v>
      </c>
      <c r="H3354" s="9" t="s">
        <v>22789</v>
      </c>
      <c r="I3354" s="9" t="s">
        <v>6311</v>
      </c>
      <c r="J3354" s="9" t="s">
        <v>6312</v>
      </c>
      <c r="K3354" s="4" t="s">
        <v>15175</v>
      </c>
      <c r="L3354" s="13">
        <v>11213</v>
      </c>
      <c r="M3354" t="str">
        <f>VLOOKUP(L3354,[1]Human_BrainSpan!$B$2:$C$4000,2,FALSE)</f>
        <v>A24-2</v>
      </c>
    </row>
    <row r="3355" spans="2:13" x14ac:dyDescent="0.25">
      <c r="B3355" s="31" t="s">
        <v>26299</v>
      </c>
      <c r="C3355" s="25" t="s">
        <v>3152</v>
      </c>
      <c r="D3355" s="25" t="s">
        <v>26232</v>
      </c>
      <c r="E3355" s="25" t="s">
        <v>26306</v>
      </c>
      <c r="F3355" s="9" t="str">
        <f t="shared" si="45"/>
        <v>structure with developmental contribution from neural crest</v>
      </c>
      <c r="G3355" s="9" t="s">
        <v>5090</v>
      </c>
      <c r="H3355" s="9" t="s">
        <v>22790</v>
      </c>
      <c r="I3355" s="9" t="s">
        <v>6313</v>
      </c>
      <c r="J3355" s="9" t="s">
        <v>6314</v>
      </c>
      <c r="K3355" s="4" t="s">
        <v>15175</v>
      </c>
      <c r="L3355" s="13">
        <v>11214</v>
      </c>
      <c r="M3355" t="str">
        <f>VLOOKUP(L3355,[1]Human_BrainSpan!$B$2:$C$4000,2,FALSE)</f>
        <v>A24-3</v>
      </c>
    </row>
    <row r="3356" spans="2:13" x14ac:dyDescent="0.25">
      <c r="B3356" s="31" t="s">
        <v>26299</v>
      </c>
      <c r="C3356" s="25" t="s">
        <v>3152</v>
      </c>
      <c r="D3356" s="25" t="s">
        <v>26232</v>
      </c>
      <c r="E3356" s="25" t="s">
        <v>26306</v>
      </c>
      <c r="F3356" s="9" t="str">
        <f t="shared" si="45"/>
        <v>structure with developmental contribution from neural crest</v>
      </c>
      <c r="G3356" s="9" t="s">
        <v>5090</v>
      </c>
      <c r="H3356" s="9" t="s">
        <v>22791</v>
      </c>
      <c r="I3356" s="9" t="s">
        <v>6315</v>
      </c>
      <c r="J3356" s="9" t="s">
        <v>6316</v>
      </c>
      <c r="K3356" s="4" t="s">
        <v>15175</v>
      </c>
      <c r="L3356" s="13">
        <v>11215</v>
      </c>
      <c r="M3356" t="str">
        <f>VLOOKUP(L3356,[1]Human_BrainSpan!$B$2:$C$4000,2,FALSE)</f>
        <v>A24-5a</v>
      </c>
    </row>
    <row r="3357" spans="2:13" x14ac:dyDescent="0.25">
      <c r="B3357" s="31" t="s">
        <v>26299</v>
      </c>
      <c r="C3357" s="25" t="s">
        <v>3152</v>
      </c>
      <c r="D3357" s="25" t="s">
        <v>26232</v>
      </c>
      <c r="E3357" s="25" t="s">
        <v>26306</v>
      </c>
      <c r="F3357" s="9" t="str">
        <f t="shared" si="45"/>
        <v>structure with developmental contribution from neural crest</v>
      </c>
      <c r="G3357" s="9" t="s">
        <v>5090</v>
      </c>
      <c r="H3357" s="9" t="s">
        <v>22792</v>
      </c>
      <c r="I3357" s="9" t="s">
        <v>6317</v>
      </c>
      <c r="J3357" s="9" t="s">
        <v>6318</v>
      </c>
      <c r="K3357" s="4" t="s">
        <v>15175</v>
      </c>
      <c r="L3357" s="13">
        <v>11216</v>
      </c>
      <c r="M3357" t="str">
        <f>VLOOKUP(L3357,[1]Human_BrainSpan!$B$2:$C$4000,2,FALSE)</f>
        <v>A24-5b</v>
      </c>
    </row>
    <row r="3358" spans="2:13" x14ac:dyDescent="0.25">
      <c r="B3358" s="31" t="s">
        <v>26299</v>
      </c>
      <c r="C3358" s="25" t="s">
        <v>3152</v>
      </c>
      <c r="D3358" s="25" t="s">
        <v>26232</v>
      </c>
      <c r="E3358" s="25" t="s">
        <v>26306</v>
      </c>
      <c r="F3358" s="9" t="str">
        <f t="shared" si="45"/>
        <v>structure with developmental contribution from neural crest</v>
      </c>
      <c r="G3358" s="9" t="s">
        <v>5090</v>
      </c>
      <c r="H3358" s="9" t="s">
        <v>22793</v>
      </c>
      <c r="I3358" s="9" t="s">
        <v>6319</v>
      </c>
      <c r="J3358" s="9" t="s">
        <v>6320</v>
      </c>
      <c r="K3358" s="4" t="s">
        <v>15175</v>
      </c>
      <c r="L3358" s="13">
        <v>11217</v>
      </c>
      <c r="M3358" t="str">
        <f>VLOOKUP(L3358,[1]Human_BrainSpan!$B$2:$C$4000,2,FALSE)</f>
        <v>A24-6</v>
      </c>
    </row>
    <row r="3359" spans="2:13" x14ac:dyDescent="0.25">
      <c r="B3359" s="31" t="s">
        <v>26299</v>
      </c>
      <c r="C3359" s="25" t="s">
        <v>1242</v>
      </c>
      <c r="D3359" s="25" t="s">
        <v>26232</v>
      </c>
      <c r="E3359" s="25" t="s">
        <v>26306</v>
      </c>
      <c r="F3359" s="9" t="str">
        <f t="shared" si="45"/>
        <v>structure with developmental contribution from neural crest</v>
      </c>
      <c r="G3359" s="9" t="s">
        <v>5090</v>
      </c>
      <c r="H3359" s="9" t="s">
        <v>22795</v>
      </c>
      <c r="I3359" s="9" t="s">
        <v>6321</v>
      </c>
      <c r="J3359" s="9" t="s">
        <v>6322</v>
      </c>
      <c r="K3359" s="4" t="s">
        <v>15175</v>
      </c>
      <c r="L3359" s="13">
        <v>11218</v>
      </c>
      <c r="M3359" t="str">
        <f>VLOOKUP(L3359,[1]Human_BrainSpan!$B$2:$C$4000,2,FALSE)</f>
        <v>A32-1</v>
      </c>
    </row>
    <row r="3360" spans="2:13" x14ac:dyDescent="0.25">
      <c r="B3360" s="31" t="s">
        <v>26299</v>
      </c>
      <c r="C3360" s="25" t="s">
        <v>1242</v>
      </c>
      <c r="D3360" s="25" t="s">
        <v>26232</v>
      </c>
      <c r="E3360" s="25" t="s">
        <v>26306</v>
      </c>
      <c r="F3360" s="9" t="str">
        <f t="shared" si="45"/>
        <v>structure with developmental contribution from neural crest</v>
      </c>
      <c r="G3360" s="9" t="s">
        <v>5090</v>
      </c>
      <c r="H3360" s="9" t="s">
        <v>22796</v>
      </c>
      <c r="I3360" s="9" t="s">
        <v>6323</v>
      </c>
      <c r="J3360" s="9" t="s">
        <v>6324</v>
      </c>
      <c r="K3360" s="4" t="s">
        <v>15175</v>
      </c>
      <c r="L3360" s="13">
        <v>11219</v>
      </c>
      <c r="M3360" t="str">
        <f>VLOOKUP(L3360,[1]Human_BrainSpan!$B$2:$C$4000,2,FALSE)</f>
        <v>A32-2</v>
      </c>
    </row>
    <row r="3361" spans="2:13" x14ac:dyDescent="0.25">
      <c r="B3361" s="31" t="s">
        <v>26299</v>
      </c>
      <c r="C3361" s="25" t="s">
        <v>1242</v>
      </c>
      <c r="D3361" s="25" t="s">
        <v>26232</v>
      </c>
      <c r="E3361" s="25" t="s">
        <v>26306</v>
      </c>
      <c r="F3361" s="9" t="str">
        <f t="shared" si="45"/>
        <v>structure with developmental contribution from neural crest</v>
      </c>
      <c r="G3361" s="9" t="s">
        <v>5090</v>
      </c>
      <c r="H3361" s="9" t="s">
        <v>22797</v>
      </c>
      <c r="I3361" s="9" t="s">
        <v>6325</v>
      </c>
      <c r="J3361" s="9" t="s">
        <v>6326</v>
      </c>
      <c r="K3361" s="4" t="s">
        <v>15175</v>
      </c>
      <c r="L3361" s="13">
        <v>11220</v>
      </c>
      <c r="M3361" t="str">
        <f>VLOOKUP(L3361,[1]Human_BrainSpan!$B$2:$C$4000,2,FALSE)</f>
        <v>A32-3</v>
      </c>
    </row>
    <row r="3362" spans="2:13" x14ac:dyDescent="0.25">
      <c r="B3362" s="31" t="s">
        <v>26299</v>
      </c>
      <c r="C3362" s="25" t="s">
        <v>1242</v>
      </c>
      <c r="D3362" s="25" t="s">
        <v>26232</v>
      </c>
      <c r="E3362" s="25" t="s">
        <v>26306</v>
      </c>
      <c r="F3362" s="9" t="str">
        <f t="shared" si="45"/>
        <v>structure with developmental contribution from neural crest</v>
      </c>
      <c r="G3362" s="9" t="s">
        <v>5090</v>
      </c>
      <c r="H3362" s="9" t="s">
        <v>22798</v>
      </c>
      <c r="I3362" s="9" t="s">
        <v>6327</v>
      </c>
      <c r="J3362" s="9" t="s">
        <v>6328</v>
      </c>
      <c r="K3362" s="4" t="s">
        <v>15175</v>
      </c>
      <c r="L3362" s="13">
        <v>11221</v>
      </c>
      <c r="M3362" t="str">
        <f>VLOOKUP(L3362,[1]Human_BrainSpan!$B$2:$C$4000,2,FALSE)</f>
        <v>A32-4</v>
      </c>
    </row>
    <row r="3363" spans="2:13" x14ac:dyDescent="0.25">
      <c r="B3363" s="31" t="s">
        <v>26299</v>
      </c>
      <c r="C3363" s="25" t="s">
        <v>1242</v>
      </c>
      <c r="D3363" s="25" t="s">
        <v>26232</v>
      </c>
      <c r="E3363" s="25" t="s">
        <v>26306</v>
      </c>
      <c r="F3363" s="9" t="str">
        <f t="shared" si="45"/>
        <v>structure with developmental contribution from neural crest</v>
      </c>
      <c r="G3363" s="9" t="s">
        <v>5090</v>
      </c>
      <c r="H3363" s="9" t="s">
        <v>22799</v>
      </c>
      <c r="I3363" s="9" t="s">
        <v>6329</v>
      </c>
      <c r="J3363" s="9" t="s">
        <v>6330</v>
      </c>
      <c r="K3363" s="4" t="s">
        <v>15175</v>
      </c>
      <c r="L3363" s="13">
        <v>11222</v>
      </c>
      <c r="M3363" t="str">
        <f>VLOOKUP(L3363,[1]Human_BrainSpan!$B$2:$C$4000,2,FALSE)</f>
        <v>A32-5</v>
      </c>
    </row>
    <row r="3364" spans="2:13" x14ac:dyDescent="0.25">
      <c r="B3364" s="31" t="s">
        <v>26299</v>
      </c>
      <c r="C3364" s="25" t="s">
        <v>1242</v>
      </c>
      <c r="D3364" s="25" t="s">
        <v>26232</v>
      </c>
      <c r="E3364" s="25" t="s">
        <v>26306</v>
      </c>
      <c r="F3364" s="9" t="str">
        <f t="shared" si="45"/>
        <v>structure with developmental contribution from neural crest</v>
      </c>
      <c r="G3364" s="9" t="s">
        <v>5090</v>
      </c>
      <c r="H3364" s="9" t="s">
        <v>22800</v>
      </c>
      <c r="I3364" s="9" t="s">
        <v>6331</v>
      </c>
      <c r="J3364" s="9" t="s">
        <v>6332</v>
      </c>
      <c r="K3364" s="4" t="s">
        <v>15175</v>
      </c>
      <c r="L3364" s="13">
        <v>11223</v>
      </c>
      <c r="M3364" t="str">
        <f>VLOOKUP(L3364,[1]Human_BrainSpan!$B$2:$C$4000,2,FALSE)</f>
        <v>A32-6</v>
      </c>
    </row>
    <row r="3365" spans="2:13" x14ac:dyDescent="0.25">
      <c r="B3365" s="31" t="s">
        <v>26299</v>
      </c>
      <c r="C3365" s="25" t="s">
        <v>3152</v>
      </c>
      <c r="D3365" s="25" t="s">
        <v>26232</v>
      </c>
      <c r="E3365" s="25" t="s">
        <v>26306</v>
      </c>
      <c r="F3365" s="9" t="str">
        <f t="shared" si="45"/>
        <v>structure with developmental contribution from neural crest</v>
      </c>
      <c r="G3365" s="9" t="s">
        <v>5090</v>
      </c>
      <c r="H3365" s="9" t="s">
        <v>22802</v>
      </c>
      <c r="I3365" s="9" t="s">
        <v>6333</v>
      </c>
      <c r="J3365" s="9" t="s">
        <v>6334</v>
      </c>
      <c r="K3365" s="4" t="s">
        <v>15175</v>
      </c>
      <c r="L3365" s="13">
        <v>11224</v>
      </c>
      <c r="M3365" t="str">
        <f>VLOOKUP(L3365,[1]Human_BrainSpan!$B$2:$C$4000,2,FALSE)</f>
        <v>A25-1</v>
      </c>
    </row>
    <row r="3366" spans="2:13" x14ac:dyDescent="0.25">
      <c r="B3366" s="31" t="s">
        <v>26299</v>
      </c>
      <c r="C3366" s="25" t="s">
        <v>3152</v>
      </c>
      <c r="D3366" s="25" t="s">
        <v>26232</v>
      </c>
      <c r="E3366" s="25" t="s">
        <v>26306</v>
      </c>
      <c r="F3366" s="9" t="str">
        <f t="shared" si="45"/>
        <v>structure with developmental contribution from neural crest</v>
      </c>
      <c r="G3366" s="9" t="s">
        <v>5090</v>
      </c>
      <c r="H3366" s="9" t="s">
        <v>22803</v>
      </c>
      <c r="I3366" s="9" t="s">
        <v>6335</v>
      </c>
      <c r="J3366" s="9" t="s">
        <v>6336</v>
      </c>
      <c r="K3366" s="4" t="s">
        <v>15175</v>
      </c>
      <c r="L3366" s="13">
        <v>11225</v>
      </c>
      <c r="M3366" t="str">
        <f>VLOOKUP(L3366,[1]Human_BrainSpan!$B$2:$C$4000,2,FALSE)</f>
        <v>A25-2</v>
      </c>
    </row>
    <row r="3367" spans="2:13" x14ac:dyDescent="0.25">
      <c r="B3367" s="31" t="s">
        <v>26299</v>
      </c>
      <c r="C3367" s="25" t="s">
        <v>3152</v>
      </c>
      <c r="D3367" s="25" t="s">
        <v>26232</v>
      </c>
      <c r="E3367" s="25" t="s">
        <v>26306</v>
      </c>
      <c r="F3367" s="9" t="str">
        <f t="shared" si="45"/>
        <v>structure with developmental contribution from neural crest</v>
      </c>
      <c r="G3367" s="9" t="s">
        <v>5090</v>
      </c>
      <c r="H3367" s="9" t="s">
        <v>22804</v>
      </c>
      <c r="I3367" s="9" t="s">
        <v>6337</v>
      </c>
      <c r="J3367" s="9" t="s">
        <v>6338</v>
      </c>
      <c r="K3367" s="4" t="s">
        <v>15175</v>
      </c>
      <c r="L3367" s="13">
        <v>11226</v>
      </c>
      <c r="M3367" t="str">
        <f>VLOOKUP(L3367,[1]Human_BrainSpan!$B$2:$C$4000,2,FALSE)</f>
        <v>A25-3</v>
      </c>
    </row>
    <row r="3368" spans="2:13" x14ac:dyDescent="0.25">
      <c r="B3368" s="31" t="s">
        <v>26299</v>
      </c>
      <c r="C3368" s="25" t="s">
        <v>3152</v>
      </c>
      <c r="D3368" s="25" t="s">
        <v>26232</v>
      </c>
      <c r="E3368" s="25" t="s">
        <v>26306</v>
      </c>
      <c r="F3368" s="9" t="str">
        <f t="shared" si="45"/>
        <v>structure with developmental contribution from neural crest</v>
      </c>
      <c r="G3368" s="9" t="s">
        <v>5090</v>
      </c>
      <c r="H3368" s="9" t="s">
        <v>22805</v>
      </c>
      <c r="I3368" s="9" t="s">
        <v>6339</v>
      </c>
      <c r="J3368" s="9" t="s">
        <v>6340</v>
      </c>
      <c r="K3368" s="4" t="s">
        <v>15175</v>
      </c>
      <c r="L3368" s="13">
        <v>11227</v>
      </c>
      <c r="M3368" t="str">
        <f>VLOOKUP(L3368,[1]Human_BrainSpan!$B$2:$C$4000,2,FALSE)</f>
        <v>A25-5</v>
      </c>
    </row>
    <row r="3369" spans="2:13" x14ac:dyDescent="0.25">
      <c r="B3369" s="31" t="s">
        <v>26299</v>
      </c>
      <c r="C3369" s="25" t="s">
        <v>3152</v>
      </c>
      <c r="D3369" s="25" t="s">
        <v>26232</v>
      </c>
      <c r="E3369" s="25" t="s">
        <v>26306</v>
      </c>
      <c r="F3369" s="9" t="str">
        <f t="shared" si="45"/>
        <v>structure with developmental contribution from neural crest</v>
      </c>
      <c r="G3369" s="9" t="s">
        <v>5090</v>
      </c>
      <c r="H3369" s="9" t="s">
        <v>22806</v>
      </c>
      <c r="I3369" s="9" t="s">
        <v>6341</v>
      </c>
      <c r="J3369" s="9" t="s">
        <v>6342</v>
      </c>
      <c r="K3369" s="4" t="s">
        <v>15175</v>
      </c>
      <c r="L3369" s="13">
        <v>11228</v>
      </c>
      <c r="M3369" t="str">
        <f>VLOOKUP(L3369,[1]Human_BrainSpan!$B$2:$C$4000,2,FALSE)</f>
        <v>A25-6</v>
      </c>
    </row>
    <row r="3370" spans="2:13" x14ac:dyDescent="0.25">
      <c r="B3370" s="31" t="s">
        <v>26299</v>
      </c>
      <c r="C3370" s="25" t="s">
        <v>3152</v>
      </c>
      <c r="D3370" s="25" t="s">
        <v>26232</v>
      </c>
      <c r="E3370" s="25" t="s">
        <v>26306</v>
      </c>
      <c r="F3370" s="9" t="str">
        <f t="shared" si="45"/>
        <v>structure with developmental contribution from neural crest</v>
      </c>
      <c r="G3370" s="9" t="s">
        <v>5090</v>
      </c>
      <c r="H3370" s="9" t="s">
        <v>22809</v>
      </c>
      <c r="I3370" s="9" t="s">
        <v>6343</v>
      </c>
      <c r="J3370" s="9" t="s">
        <v>6344</v>
      </c>
      <c r="K3370" s="4" t="s">
        <v>15175</v>
      </c>
      <c r="L3370" s="13">
        <v>11229</v>
      </c>
      <c r="M3370" t="str">
        <f>VLOOKUP(L3370,[1]Human_BrainSpan!$B$2:$C$4000,2,FALSE)</f>
        <v>A24mc-1</v>
      </c>
    </row>
    <row r="3371" spans="2:13" x14ac:dyDescent="0.25">
      <c r="B3371" s="31" t="s">
        <v>26299</v>
      </c>
      <c r="C3371" s="25" t="s">
        <v>3152</v>
      </c>
      <c r="D3371" s="25" t="s">
        <v>26232</v>
      </c>
      <c r="E3371" s="25" t="s">
        <v>26306</v>
      </c>
      <c r="F3371" s="9" t="str">
        <f t="shared" si="45"/>
        <v>structure with developmental contribution from neural crest</v>
      </c>
      <c r="G3371" s="9" t="s">
        <v>5090</v>
      </c>
      <c r="H3371" s="9" t="s">
        <v>22810</v>
      </c>
      <c r="I3371" s="9" t="s">
        <v>6345</v>
      </c>
      <c r="J3371" s="9" t="s">
        <v>6346</v>
      </c>
      <c r="K3371" s="4" t="s">
        <v>15175</v>
      </c>
      <c r="L3371" s="13">
        <v>11230</v>
      </c>
      <c r="M3371" t="str">
        <f>VLOOKUP(L3371,[1]Human_BrainSpan!$B$2:$C$4000,2,FALSE)</f>
        <v>A24mc-2</v>
      </c>
    </row>
    <row r="3372" spans="2:13" x14ac:dyDescent="0.25">
      <c r="B3372" s="31" t="s">
        <v>26299</v>
      </c>
      <c r="C3372" s="25" t="s">
        <v>3152</v>
      </c>
      <c r="D3372" s="25" t="s">
        <v>26232</v>
      </c>
      <c r="E3372" s="25" t="s">
        <v>26306</v>
      </c>
      <c r="F3372" s="9" t="str">
        <f t="shared" si="45"/>
        <v>structure with developmental contribution from neural crest</v>
      </c>
      <c r="G3372" s="9" t="s">
        <v>5090</v>
      </c>
      <c r="H3372" s="9" t="s">
        <v>22811</v>
      </c>
      <c r="I3372" s="9" t="s">
        <v>6347</v>
      </c>
      <c r="J3372" s="9" t="s">
        <v>6348</v>
      </c>
      <c r="K3372" s="4" t="s">
        <v>15175</v>
      </c>
      <c r="L3372" s="13">
        <v>11231</v>
      </c>
      <c r="M3372" t="str">
        <f>VLOOKUP(L3372,[1]Human_BrainSpan!$B$2:$C$4000,2,FALSE)</f>
        <v>A24mc-3</v>
      </c>
    </row>
    <row r="3373" spans="2:13" x14ac:dyDescent="0.25">
      <c r="B3373" s="31" t="s">
        <v>26299</v>
      </c>
      <c r="C3373" s="25" t="s">
        <v>3152</v>
      </c>
      <c r="D3373" s="25" t="s">
        <v>26232</v>
      </c>
      <c r="E3373" s="25" t="s">
        <v>26306</v>
      </c>
      <c r="F3373" s="9" t="str">
        <f t="shared" si="45"/>
        <v>structure with developmental contribution from neural crest</v>
      </c>
      <c r="G3373" s="9" t="s">
        <v>5090</v>
      </c>
      <c r="H3373" s="9" t="s">
        <v>22812</v>
      </c>
      <c r="I3373" s="9" t="s">
        <v>6349</v>
      </c>
      <c r="J3373" s="9" t="s">
        <v>6350</v>
      </c>
      <c r="K3373" s="4" t="s">
        <v>15175</v>
      </c>
      <c r="L3373" s="13">
        <v>11232</v>
      </c>
      <c r="M3373" t="str">
        <f>VLOOKUP(L3373,[1]Human_BrainSpan!$B$2:$C$4000,2,FALSE)</f>
        <v>A24mc-5a</v>
      </c>
    </row>
    <row r="3374" spans="2:13" x14ac:dyDescent="0.25">
      <c r="B3374" s="31" t="s">
        <v>26299</v>
      </c>
      <c r="C3374" s="25" t="s">
        <v>3152</v>
      </c>
      <c r="D3374" s="25" t="s">
        <v>26232</v>
      </c>
      <c r="E3374" s="25" t="s">
        <v>26306</v>
      </c>
      <c r="F3374" s="9" t="str">
        <f t="shared" si="45"/>
        <v>structure with developmental contribution from neural crest</v>
      </c>
      <c r="G3374" s="9" t="s">
        <v>5090</v>
      </c>
      <c r="H3374" s="9" t="s">
        <v>22813</v>
      </c>
      <c r="I3374" s="9" t="s">
        <v>6351</v>
      </c>
      <c r="J3374" s="9" t="s">
        <v>6352</v>
      </c>
      <c r="K3374" s="4" t="s">
        <v>15175</v>
      </c>
      <c r="L3374" s="13">
        <v>11233</v>
      </c>
      <c r="M3374" t="str">
        <f>VLOOKUP(L3374,[1]Human_BrainSpan!$B$2:$C$4000,2,FALSE)</f>
        <v>A24mc-5b</v>
      </c>
    </row>
    <row r="3375" spans="2:13" x14ac:dyDescent="0.25">
      <c r="B3375" s="31" t="s">
        <v>26299</v>
      </c>
      <c r="C3375" s="25" t="s">
        <v>3152</v>
      </c>
      <c r="D3375" s="25" t="s">
        <v>26232</v>
      </c>
      <c r="E3375" s="25" t="s">
        <v>26306</v>
      </c>
      <c r="F3375" s="9" t="str">
        <f t="shared" si="45"/>
        <v>structure with developmental contribution from neural crest</v>
      </c>
      <c r="G3375" s="9" t="s">
        <v>5090</v>
      </c>
      <c r="H3375" s="9" t="s">
        <v>22814</v>
      </c>
      <c r="I3375" s="9" t="s">
        <v>6353</v>
      </c>
      <c r="J3375" s="9" t="s">
        <v>6354</v>
      </c>
      <c r="K3375" s="4" t="s">
        <v>15175</v>
      </c>
      <c r="L3375" s="13">
        <v>11234</v>
      </c>
      <c r="M3375" t="str">
        <f>VLOOKUP(L3375,[1]Human_BrainSpan!$B$2:$C$4000,2,FALSE)</f>
        <v>A24mc-6</v>
      </c>
    </row>
    <row r="3376" spans="2:13" x14ac:dyDescent="0.25">
      <c r="B3376" s="31" t="s">
        <v>26299</v>
      </c>
      <c r="C3376" s="25" t="s">
        <v>1242</v>
      </c>
      <c r="D3376" s="25" t="s">
        <v>26232</v>
      </c>
      <c r="E3376" s="25" t="s">
        <v>26306</v>
      </c>
      <c r="F3376" s="9" t="str">
        <f t="shared" si="45"/>
        <v>structure with developmental contribution from neural crest</v>
      </c>
      <c r="G3376" s="9" t="s">
        <v>5090</v>
      </c>
      <c r="H3376" s="9" t="s">
        <v>22816</v>
      </c>
      <c r="I3376" s="9" t="s">
        <v>6355</v>
      </c>
      <c r="J3376" s="9" t="s">
        <v>6356</v>
      </c>
      <c r="K3376" s="4" t="s">
        <v>15175</v>
      </c>
      <c r="L3376" s="13">
        <v>11235</v>
      </c>
      <c r="M3376" t="str">
        <f>VLOOKUP(L3376,[1]Human_BrainSpan!$B$2:$C$4000,2,FALSE)</f>
        <v>A32mc-1</v>
      </c>
    </row>
    <row r="3377" spans="2:13" x14ac:dyDescent="0.25">
      <c r="B3377" s="31" t="s">
        <v>26299</v>
      </c>
      <c r="C3377" s="25" t="s">
        <v>1242</v>
      </c>
      <c r="D3377" s="25" t="s">
        <v>26232</v>
      </c>
      <c r="E3377" s="25" t="s">
        <v>26306</v>
      </c>
      <c r="F3377" s="9" t="str">
        <f t="shared" si="45"/>
        <v>structure with developmental contribution from neural crest</v>
      </c>
      <c r="G3377" s="9" t="s">
        <v>5090</v>
      </c>
      <c r="H3377" s="9" t="s">
        <v>22817</v>
      </c>
      <c r="I3377" s="9" t="s">
        <v>6357</v>
      </c>
      <c r="J3377" s="9" t="s">
        <v>6358</v>
      </c>
      <c r="K3377" s="4" t="s">
        <v>15175</v>
      </c>
      <c r="L3377" s="13">
        <v>11236</v>
      </c>
      <c r="M3377" t="str">
        <f>VLOOKUP(L3377,[1]Human_BrainSpan!$B$2:$C$4000,2,FALSE)</f>
        <v>A32mc-2</v>
      </c>
    </row>
    <row r="3378" spans="2:13" x14ac:dyDescent="0.25">
      <c r="B3378" s="31" t="s">
        <v>26299</v>
      </c>
      <c r="C3378" s="25" t="s">
        <v>1242</v>
      </c>
      <c r="D3378" s="25" t="s">
        <v>26232</v>
      </c>
      <c r="E3378" s="25" t="s">
        <v>26306</v>
      </c>
      <c r="F3378" s="9" t="str">
        <f t="shared" si="45"/>
        <v>structure with developmental contribution from neural crest</v>
      </c>
      <c r="G3378" s="9" t="s">
        <v>5090</v>
      </c>
      <c r="H3378" s="9" t="s">
        <v>22818</v>
      </c>
      <c r="I3378" s="9" t="s">
        <v>6359</v>
      </c>
      <c r="J3378" s="9" t="s">
        <v>6360</v>
      </c>
      <c r="K3378" s="4" t="s">
        <v>15175</v>
      </c>
      <c r="L3378" s="13">
        <v>11237</v>
      </c>
      <c r="M3378" t="str">
        <f>VLOOKUP(L3378,[1]Human_BrainSpan!$B$2:$C$4000,2,FALSE)</f>
        <v>A32mc-3</v>
      </c>
    </row>
    <row r="3379" spans="2:13" x14ac:dyDescent="0.25">
      <c r="B3379" s="31" t="s">
        <v>26299</v>
      </c>
      <c r="C3379" s="25" t="s">
        <v>1242</v>
      </c>
      <c r="D3379" s="25" t="s">
        <v>26232</v>
      </c>
      <c r="E3379" s="25" t="s">
        <v>26306</v>
      </c>
      <c r="F3379" s="9" t="str">
        <f t="shared" si="45"/>
        <v>structure with developmental contribution from neural crest</v>
      </c>
      <c r="G3379" s="9" t="s">
        <v>5090</v>
      </c>
      <c r="H3379" s="9" t="s">
        <v>22819</v>
      </c>
      <c r="I3379" s="9" t="s">
        <v>6361</v>
      </c>
      <c r="J3379" s="9" t="s">
        <v>6362</v>
      </c>
      <c r="K3379" s="4" t="s">
        <v>15175</v>
      </c>
      <c r="L3379" s="13">
        <v>11238</v>
      </c>
      <c r="M3379" t="str">
        <f>VLOOKUP(L3379,[1]Human_BrainSpan!$B$2:$C$4000,2,FALSE)</f>
        <v>A32mc-4</v>
      </c>
    </row>
    <row r="3380" spans="2:13" x14ac:dyDescent="0.25">
      <c r="B3380" s="31" t="s">
        <v>26299</v>
      </c>
      <c r="C3380" s="25" t="s">
        <v>1242</v>
      </c>
      <c r="D3380" s="25" t="s">
        <v>26232</v>
      </c>
      <c r="E3380" s="25" t="s">
        <v>26306</v>
      </c>
      <c r="F3380" s="9" t="str">
        <f t="shared" si="45"/>
        <v>structure with developmental contribution from neural crest</v>
      </c>
      <c r="G3380" s="9" t="s">
        <v>5090</v>
      </c>
      <c r="H3380" s="9" t="s">
        <v>22820</v>
      </c>
      <c r="I3380" s="9" t="s">
        <v>6363</v>
      </c>
      <c r="J3380" s="9" t="s">
        <v>6364</v>
      </c>
      <c r="K3380" s="4" t="s">
        <v>15175</v>
      </c>
      <c r="L3380" s="13">
        <v>11239</v>
      </c>
      <c r="M3380" t="str">
        <f>VLOOKUP(L3380,[1]Human_BrainSpan!$B$2:$C$4000,2,FALSE)</f>
        <v>A32mc-5</v>
      </c>
    </row>
    <row r="3381" spans="2:13" x14ac:dyDescent="0.25">
      <c r="B3381" s="31" t="s">
        <v>26299</v>
      </c>
      <c r="C3381" s="25" t="s">
        <v>1242</v>
      </c>
      <c r="D3381" s="25" t="s">
        <v>26232</v>
      </c>
      <c r="E3381" s="25" t="s">
        <v>26306</v>
      </c>
      <c r="F3381" s="9" t="str">
        <f t="shared" si="45"/>
        <v>structure with developmental contribution from neural crest</v>
      </c>
      <c r="G3381" s="9" t="s">
        <v>5090</v>
      </c>
      <c r="H3381" s="9" t="s">
        <v>22821</v>
      </c>
      <c r="I3381" s="9" t="s">
        <v>6365</v>
      </c>
      <c r="J3381" s="9" t="s">
        <v>6366</v>
      </c>
      <c r="K3381" s="4" t="s">
        <v>15175</v>
      </c>
      <c r="L3381" s="13">
        <v>11240</v>
      </c>
      <c r="M3381" t="str">
        <f>VLOOKUP(L3381,[1]Human_BrainSpan!$B$2:$C$4000,2,FALSE)</f>
        <v>A32mc-6</v>
      </c>
    </row>
    <row r="3382" spans="2:13" x14ac:dyDescent="0.25">
      <c r="B3382" s="31" t="s">
        <v>26299</v>
      </c>
      <c r="C3382" s="25" t="s">
        <v>1242</v>
      </c>
      <c r="D3382" s="25" t="s">
        <v>26232</v>
      </c>
      <c r="E3382" s="25" t="s">
        <v>26306</v>
      </c>
      <c r="F3382" s="9" t="str">
        <f t="shared" si="45"/>
        <v>structure with developmental contribution from neural crest</v>
      </c>
      <c r="G3382" s="9" t="s">
        <v>5090</v>
      </c>
      <c r="H3382" s="9" t="s">
        <v>22824</v>
      </c>
      <c r="I3382" s="9" t="s">
        <v>6367</v>
      </c>
      <c r="J3382" s="9" t="s">
        <v>6368</v>
      </c>
      <c r="K3382" s="4" t="s">
        <v>15175</v>
      </c>
      <c r="L3382" s="13">
        <v>11241</v>
      </c>
      <c r="M3382" t="str">
        <f>VLOOKUP(L3382,[1]Human_BrainSpan!$B$2:$C$4000,2,FALSE)</f>
        <v>A23-1</v>
      </c>
    </row>
    <row r="3383" spans="2:13" x14ac:dyDescent="0.25">
      <c r="B3383" s="31" t="s">
        <v>26299</v>
      </c>
      <c r="C3383" s="25" t="s">
        <v>1242</v>
      </c>
      <c r="D3383" s="25" t="s">
        <v>26232</v>
      </c>
      <c r="E3383" s="25" t="s">
        <v>26306</v>
      </c>
      <c r="F3383" s="9" t="str">
        <f t="shared" ref="F3383:F3446" si="46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3383" s="9" t="s">
        <v>5090</v>
      </c>
      <c r="H3383" s="9" t="s">
        <v>22825</v>
      </c>
      <c r="I3383" s="9" t="s">
        <v>6369</v>
      </c>
      <c r="J3383" s="9" t="s">
        <v>6370</v>
      </c>
      <c r="K3383" s="4" t="s">
        <v>15175</v>
      </c>
      <c r="L3383" s="13">
        <v>11242</v>
      </c>
      <c r="M3383" t="str">
        <f>VLOOKUP(L3383,[1]Human_BrainSpan!$B$2:$C$4000,2,FALSE)</f>
        <v>A23-2</v>
      </c>
    </row>
    <row r="3384" spans="2:13" x14ac:dyDescent="0.25">
      <c r="B3384" s="31" t="s">
        <v>26299</v>
      </c>
      <c r="C3384" s="25" t="s">
        <v>1242</v>
      </c>
      <c r="D3384" s="25" t="s">
        <v>26232</v>
      </c>
      <c r="E3384" s="25" t="s">
        <v>26306</v>
      </c>
      <c r="F3384" s="9" t="str">
        <f t="shared" si="46"/>
        <v>structure with developmental contribution from neural crest</v>
      </c>
      <c r="G3384" s="9" t="s">
        <v>5090</v>
      </c>
      <c r="H3384" s="9" t="s">
        <v>22826</v>
      </c>
      <c r="I3384" s="9" t="s">
        <v>6371</v>
      </c>
      <c r="J3384" s="9" t="s">
        <v>6372</v>
      </c>
      <c r="K3384" s="4" t="s">
        <v>15175</v>
      </c>
      <c r="L3384" s="13">
        <v>11243</v>
      </c>
      <c r="M3384" t="str">
        <f>VLOOKUP(L3384,[1]Human_BrainSpan!$B$2:$C$4000,2,FALSE)</f>
        <v>A23-3</v>
      </c>
    </row>
    <row r="3385" spans="2:13" x14ac:dyDescent="0.25">
      <c r="B3385" s="31" t="s">
        <v>26299</v>
      </c>
      <c r="C3385" s="25" t="s">
        <v>1242</v>
      </c>
      <c r="D3385" s="25" t="s">
        <v>26232</v>
      </c>
      <c r="E3385" s="25" t="s">
        <v>26306</v>
      </c>
      <c r="F3385" s="9" t="str">
        <f t="shared" si="46"/>
        <v>structure with developmental contribution from neural crest</v>
      </c>
      <c r="G3385" s="9" t="s">
        <v>5090</v>
      </c>
      <c r="H3385" s="9" t="s">
        <v>22827</v>
      </c>
      <c r="I3385" s="9" t="s">
        <v>6373</v>
      </c>
      <c r="J3385" s="9" t="s">
        <v>6374</v>
      </c>
      <c r="K3385" s="4" t="s">
        <v>15175</v>
      </c>
      <c r="L3385" s="13">
        <v>11244</v>
      </c>
      <c r="M3385" t="str">
        <f>VLOOKUP(L3385,[1]Human_BrainSpan!$B$2:$C$4000,2,FALSE)</f>
        <v>A23-4</v>
      </c>
    </row>
    <row r="3386" spans="2:13" x14ac:dyDescent="0.25">
      <c r="B3386" s="31" t="s">
        <v>26299</v>
      </c>
      <c r="C3386" s="25" t="s">
        <v>1242</v>
      </c>
      <c r="D3386" s="25" t="s">
        <v>26232</v>
      </c>
      <c r="E3386" s="25" t="s">
        <v>26306</v>
      </c>
      <c r="F3386" s="9" t="str">
        <f t="shared" si="46"/>
        <v>structure with developmental contribution from neural crest</v>
      </c>
      <c r="G3386" s="9" t="s">
        <v>5090</v>
      </c>
      <c r="H3386" s="9" t="s">
        <v>22828</v>
      </c>
      <c r="I3386" s="9" t="s">
        <v>6375</v>
      </c>
      <c r="J3386" s="9" t="s">
        <v>6376</v>
      </c>
      <c r="K3386" s="4" t="s">
        <v>15175</v>
      </c>
      <c r="L3386" s="13">
        <v>11245</v>
      </c>
      <c r="M3386" t="str">
        <f>VLOOKUP(L3386,[1]Human_BrainSpan!$B$2:$C$4000,2,FALSE)</f>
        <v>A23-5</v>
      </c>
    </row>
    <row r="3387" spans="2:13" x14ac:dyDescent="0.25">
      <c r="B3387" s="31" t="s">
        <v>26299</v>
      </c>
      <c r="C3387" s="25" t="s">
        <v>1242</v>
      </c>
      <c r="D3387" s="25" t="s">
        <v>26232</v>
      </c>
      <c r="E3387" s="25" t="s">
        <v>26306</v>
      </c>
      <c r="F3387" s="9" t="str">
        <f t="shared" si="46"/>
        <v>structure with developmental contribution from neural crest</v>
      </c>
      <c r="G3387" s="9" t="s">
        <v>5090</v>
      </c>
      <c r="H3387" s="9" t="s">
        <v>22829</v>
      </c>
      <c r="I3387" s="9" t="s">
        <v>6377</v>
      </c>
      <c r="J3387" s="9" t="s">
        <v>6378</v>
      </c>
      <c r="K3387" s="4" t="s">
        <v>15175</v>
      </c>
      <c r="L3387" s="13">
        <v>11246</v>
      </c>
      <c r="M3387" t="str">
        <f>VLOOKUP(L3387,[1]Human_BrainSpan!$B$2:$C$4000,2,FALSE)</f>
        <v>A23-6</v>
      </c>
    </row>
    <row r="3388" spans="2:13" x14ac:dyDescent="0.25">
      <c r="B3388" s="31" t="s">
        <v>26299</v>
      </c>
      <c r="C3388" s="25" t="s">
        <v>1242</v>
      </c>
      <c r="D3388" s="25" t="s">
        <v>26232</v>
      </c>
      <c r="E3388" s="25" t="s">
        <v>26306</v>
      </c>
      <c r="F3388" s="9" t="str">
        <f t="shared" si="46"/>
        <v>structure with developmental contribution from neural crest</v>
      </c>
      <c r="G3388" s="9" t="s">
        <v>5090</v>
      </c>
      <c r="H3388" s="9" t="s">
        <v>22831</v>
      </c>
      <c r="I3388" s="9" t="s">
        <v>6379</v>
      </c>
      <c r="J3388" s="9" t="s">
        <v>6380</v>
      </c>
      <c r="K3388" s="4" t="s">
        <v>15175</v>
      </c>
      <c r="L3388" s="13">
        <v>11247</v>
      </c>
      <c r="M3388" t="str">
        <f>VLOOKUP(L3388,[1]Human_BrainSpan!$B$2:$C$4000,2,FALSE)</f>
        <v>A31-1</v>
      </c>
    </row>
    <row r="3389" spans="2:13" x14ac:dyDescent="0.25">
      <c r="B3389" s="31" t="s">
        <v>26299</v>
      </c>
      <c r="C3389" s="25" t="s">
        <v>1242</v>
      </c>
      <c r="D3389" s="25" t="s">
        <v>26232</v>
      </c>
      <c r="E3389" s="25" t="s">
        <v>26306</v>
      </c>
      <c r="F3389" s="9" t="str">
        <f t="shared" si="46"/>
        <v>structure with developmental contribution from neural crest</v>
      </c>
      <c r="G3389" s="9" t="s">
        <v>5090</v>
      </c>
      <c r="H3389" s="9" t="s">
        <v>22832</v>
      </c>
      <c r="I3389" s="9" t="s">
        <v>6381</v>
      </c>
      <c r="J3389" s="9" t="s">
        <v>6382</v>
      </c>
      <c r="K3389" s="4" t="s">
        <v>15175</v>
      </c>
      <c r="L3389" s="13">
        <v>11248</v>
      </c>
      <c r="M3389" t="str">
        <f>VLOOKUP(L3389,[1]Human_BrainSpan!$B$2:$C$4000,2,FALSE)</f>
        <v>A31-2</v>
      </c>
    </row>
    <row r="3390" spans="2:13" x14ac:dyDescent="0.25">
      <c r="B3390" s="31" t="s">
        <v>26299</v>
      </c>
      <c r="C3390" s="25" t="s">
        <v>1242</v>
      </c>
      <c r="D3390" s="25" t="s">
        <v>26232</v>
      </c>
      <c r="E3390" s="25" t="s">
        <v>26306</v>
      </c>
      <c r="F3390" s="9" t="str">
        <f t="shared" si="46"/>
        <v>structure with developmental contribution from neural crest</v>
      </c>
      <c r="G3390" s="9" t="s">
        <v>5090</v>
      </c>
      <c r="H3390" s="9" t="s">
        <v>22833</v>
      </c>
      <c r="I3390" s="9" t="s">
        <v>6383</v>
      </c>
      <c r="J3390" s="9" t="s">
        <v>6384</v>
      </c>
      <c r="K3390" s="4" t="s">
        <v>15175</v>
      </c>
      <c r="L3390" s="13">
        <v>11249</v>
      </c>
      <c r="M3390" t="str">
        <f>VLOOKUP(L3390,[1]Human_BrainSpan!$B$2:$C$4000,2,FALSE)</f>
        <v>A31-3</v>
      </c>
    </row>
    <row r="3391" spans="2:13" x14ac:dyDescent="0.25">
      <c r="B3391" s="31" t="s">
        <v>26299</v>
      </c>
      <c r="C3391" s="25" t="s">
        <v>1242</v>
      </c>
      <c r="D3391" s="25" t="s">
        <v>26232</v>
      </c>
      <c r="E3391" s="25" t="s">
        <v>26306</v>
      </c>
      <c r="F3391" s="9" t="str">
        <f t="shared" si="46"/>
        <v>structure with developmental contribution from neural crest</v>
      </c>
      <c r="G3391" s="9" t="s">
        <v>5090</v>
      </c>
      <c r="H3391" s="9" t="s">
        <v>22834</v>
      </c>
      <c r="I3391" s="9" t="s">
        <v>6385</v>
      </c>
      <c r="J3391" s="9" t="s">
        <v>6386</v>
      </c>
      <c r="K3391" s="4" t="s">
        <v>15175</v>
      </c>
      <c r="L3391" s="13">
        <v>11250</v>
      </c>
      <c r="M3391" t="str">
        <f>VLOOKUP(L3391,[1]Human_BrainSpan!$B$2:$C$4000,2,FALSE)</f>
        <v>A31-4</v>
      </c>
    </row>
    <row r="3392" spans="2:13" x14ac:dyDescent="0.25">
      <c r="B3392" s="31" t="s">
        <v>26299</v>
      </c>
      <c r="C3392" s="25" t="s">
        <v>1242</v>
      </c>
      <c r="D3392" s="25" t="s">
        <v>26232</v>
      </c>
      <c r="E3392" s="25" t="s">
        <v>26306</v>
      </c>
      <c r="F3392" s="9" t="str">
        <f t="shared" si="46"/>
        <v>structure with developmental contribution from neural crest</v>
      </c>
      <c r="G3392" s="9" t="s">
        <v>5090</v>
      </c>
      <c r="H3392" s="9" t="s">
        <v>22835</v>
      </c>
      <c r="I3392" s="9" t="s">
        <v>6387</v>
      </c>
      <c r="J3392" s="9" t="s">
        <v>6388</v>
      </c>
      <c r="K3392" s="4" t="s">
        <v>15175</v>
      </c>
      <c r="L3392" s="13">
        <v>11251</v>
      </c>
      <c r="M3392" t="str">
        <f>VLOOKUP(L3392,[1]Human_BrainSpan!$B$2:$C$4000,2,FALSE)</f>
        <v>A31-5</v>
      </c>
    </row>
    <row r="3393" spans="2:13" x14ac:dyDescent="0.25">
      <c r="B3393" s="31" t="s">
        <v>26299</v>
      </c>
      <c r="C3393" s="25" t="s">
        <v>1242</v>
      </c>
      <c r="D3393" s="25" t="s">
        <v>26232</v>
      </c>
      <c r="E3393" s="25" t="s">
        <v>26306</v>
      </c>
      <c r="F3393" s="9" t="str">
        <f t="shared" si="46"/>
        <v>structure with developmental contribution from neural crest</v>
      </c>
      <c r="G3393" s="9" t="s">
        <v>5090</v>
      </c>
      <c r="H3393" s="9" t="s">
        <v>22836</v>
      </c>
      <c r="I3393" s="9" t="s">
        <v>6389</v>
      </c>
      <c r="J3393" s="9" t="s">
        <v>6390</v>
      </c>
      <c r="K3393" s="4" t="s">
        <v>15175</v>
      </c>
      <c r="L3393" s="13">
        <v>11252</v>
      </c>
      <c r="M3393" t="str">
        <f>VLOOKUP(L3393,[1]Human_BrainSpan!$B$2:$C$4000,2,FALSE)</f>
        <v>A31-6</v>
      </c>
    </row>
    <row r="3394" spans="2:13" x14ac:dyDescent="0.25">
      <c r="B3394" s="31" t="s">
        <v>26303</v>
      </c>
      <c r="C3394" s="20"/>
      <c r="D3394" s="25" t="s">
        <v>26185</v>
      </c>
      <c r="E3394" s="20" t="s">
        <v>26307</v>
      </c>
      <c r="F3394" s="9" t="str">
        <f t="shared" si="46"/>
        <v>structure with developmental contribution from neural crest</v>
      </c>
      <c r="G3394" s="9" t="s">
        <v>5090</v>
      </c>
      <c r="H3394" s="9" t="s">
        <v>22758</v>
      </c>
      <c r="I3394" s="9" t="s">
        <v>6391</v>
      </c>
      <c r="J3394" s="9" t="s">
        <v>6392</v>
      </c>
      <c r="K3394" s="4" t="s">
        <v>15175</v>
      </c>
      <c r="L3394" s="13">
        <v>11253</v>
      </c>
      <c r="M3394" t="str">
        <f>VLOOKUP(L3394,[1]Human_BrainSpan!$B$2:$C$4000,2,FALSE)</f>
        <v>RIdg1</v>
      </c>
    </row>
    <row r="3395" spans="2:13" x14ac:dyDescent="0.25">
      <c r="B3395" s="31" t="s">
        <v>26303</v>
      </c>
      <c r="C3395" s="20"/>
      <c r="D3395" s="25" t="s">
        <v>26185</v>
      </c>
      <c r="E3395" s="20" t="s">
        <v>26307</v>
      </c>
      <c r="F3395" s="9" t="str">
        <f t="shared" si="46"/>
        <v>structure with developmental contribution from neural crest</v>
      </c>
      <c r="G3395" s="9" t="s">
        <v>5090</v>
      </c>
      <c r="H3395" s="9" t="s">
        <v>22759</v>
      </c>
      <c r="I3395" s="9" t="s">
        <v>6393</v>
      </c>
      <c r="J3395" s="9" t="s">
        <v>6394</v>
      </c>
      <c r="K3395" s="4" t="s">
        <v>15175</v>
      </c>
      <c r="L3395" s="13">
        <v>11254</v>
      </c>
      <c r="M3395" t="str">
        <f>VLOOKUP(L3395,[1]Human_BrainSpan!$B$2:$C$4000,2,FALSE)</f>
        <v>RIdg2</v>
      </c>
    </row>
    <row r="3396" spans="2:13" x14ac:dyDescent="0.25">
      <c r="B3396" s="31" t="s">
        <v>26303</v>
      </c>
      <c r="C3396" s="20"/>
      <c r="D3396" s="25" t="s">
        <v>26185</v>
      </c>
      <c r="E3396" s="20" t="s">
        <v>26307</v>
      </c>
      <c r="F3396" s="9" t="str">
        <f t="shared" si="46"/>
        <v>structure with developmental contribution from neural crest</v>
      </c>
      <c r="G3396" s="9" t="s">
        <v>5090</v>
      </c>
      <c r="H3396" s="9" t="s">
        <v>22760</v>
      </c>
      <c r="I3396" s="9" t="s">
        <v>6395</v>
      </c>
      <c r="J3396" s="9" t="s">
        <v>6396</v>
      </c>
      <c r="K3396" s="4" t="s">
        <v>15175</v>
      </c>
      <c r="L3396" s="13">
        <v>11255</v>
      </c>
      <c r="M3396" t="str">
        <f>VLOOKUP(L3396,[1]Human_BrainSpan!$B$2:$C$4000,2,FALSE)</f>
        <v>RIdg3</v>
      </c>
    </row>
    <row r="3397" spans="2:13" x14ac:dyDescent="0.25">
      <c r="B3397" s="31" t="s">
        <v>26303</v>
      </c>
      <c r="C3397" s="20"/>
      <c r="D3397" s="25" t="s">
        <v>26185</v>
      </c>
      <c r="E3397" s="20" t="s">
        <v>26307</v>
      </c>
      <c r="F3397" s="9" t="str">
        <f t="shared" si="46"/>
        <v>structure with developmental contribution from neural crest</v>
      </c>
      <c r="G3397" s="9" t="s">
        <v>5090</v>
      </c>
      <c r="H3397" s="9" t="s">
        <v>22761</v>
      </c>
      <c r="I3397" s="9" t="s">
        <v>6397</v>
      </c>
      <c r="J3397" s="9" t="s">
        <v>6398</v>
      </c>
      <c r="K3397" s="4" t="s">
        <v>15175</v>
      </c>
      <c r="L3397" s="13">
        <v>11256</v>
      </c>
      <c r="M3397" t="str">
        <f>VLOOKUP(L3397,[1]Human_BrainSpan!$B$2:$C$4000,2,FALSE)</f>
        <v>RIdg4</v>
      </c>
    </row>
    <row r="3398" spans="2:13" x14ac:dyDescent="0.25">
      <c r="B3398" s="31" t="s">
        <v>26303</v>
      </c>
      <c r="C3398" s="20"/>
      <c r="D3398" s="25" t="s">
        <v>26185</v>
      </c>
      <c r="E3398" s="20" t="s">
        <v>26307</v>
      </c>
      <c r="F3398" s="9" t="str">
        <f t="shared" si="46"/>
        <v>structure with developmental contribution from neural crest</v>
      </c>
      <c r="G3398" s="9" t="s">
        <v>5090</v>
      </c>
      <c r="H3398" s="9" t="s">
        <v>22762</v>
      </c>
      <c r="I3398" s="9" t="s">
        <v>6399</v>
      </c>
      <c r="J3398" s="9" t="s">
        <v>6400</v>
      </c>
      <c r="K3398" s="4" t="s">
        <v>15175</v>
      </c>
      <c r="L3398" s="13">
        <v>11257</v>
      </c>
      <c r="M3398" t="str">
        <f>VLOOKUP(L3398,[1]Human_BrainSpan!$B$2:$C$4000,2,FALSE)</f>
        <v>RIdg5</v>
      </c>
    </row>
    <row r="3399" spans="2:13" x14ac:dyDescent="0.25">
      <c r="B3399" s="31" t="s">
        <v>26303</v>
      </c>
      <c r="C3399" s="20"/>
      <c r="D3399" s="25" t="s">
        <v>26185</v>
      </c>
      <c r="E3399" s="20" t="s">
        <v>26307</v>
      </c>
      <c r="F3399" s="9" t="str">
        <f t="shared" si="46"/>
        <v>structure with developmental contribution from neural crest</v>
      </c>
      <c r="G3399" s="9" t="s">
        <v>5090</v>
      </c>
      <c r="H3399" s="9" t="s">
        <v>22763</v>
      </c>
      <c r="I3399" s="9" t="s">
        <v>6401</v>
      </c>
      <c r="J3399" s="9" t="s">
        <v>6402</v>
      </c>
      <c r="K3399" s="4" t="s">
        <v>15175</v>
      </c>
      <c r="L3399" s="13">
        <v>11258</v>
      </c>
      <c r="M3399" t="str">
        <f>VLOOKUP(L3399,[1]Human_BrainSpan!$B$2:$C$4000,2,FALSE)</f>
        <v>RIdg6</v>
      </c>
    </row>
    <row r="3400" spans="2:13" x14ac:dyDescent="0.25">
      <c r="B3400" s="31" t="s">
        <v>26303</v>
      </c>
      <c r="C3400" s="9" t="s">
        <v>2103</v>
      </c>
      <c r="D3400" s="25" t="s">
        <v>26232</v>
      </c>
      <c r="E3400" s="25" t="s">
        <v>26306</v>
      </c>
      <c r="F3400" s="9" t="str">
        <f t="shared" si="46"/>
        <v>structure with developmental contribution from neural crest</v>
      </c>
      <c r="G3400" s="9" t="s">
        <v>5090</v>
      </c>
      <c r="H3400" s="9" t="s">
        <v>22773</v>
      </c>
      <c r="I3400" s="9" t="s">
        <v>6403</v>
      </c>
      <c r="J3400" s="9" t="s">
        <v>6404</v>
      </c>
      <c r="K3400" s="4" t="s">
        <v>15175</v>
      </c>
      <c r="L3400" s="13">
        <v>11259</v>
      </c>
      <c r="M3400" t="str">
        <f>VLOOKUP(L3400,[1]Human_BrainSpan!$B$2:$C$4000,2,FALSE)</f>
        <v>RIg1</v>
      </c>
    </row>
    <row r="3401" spans="2:13" x14ac:dyDescent="0.25">
      <c r="B3401" s="31" t="s">
        <v>26303</v>
      </c>
      <c r="C3401" s="9" t="s">
        <v>2103</v>
      </c>
      <c r="D3401" s="25" t="s">
        <v>26232</v>
      </c>
      <c r="E3401" s="25" t="s">
        <v>26306</v>
      </c>
      <c r="F3401" s="9" t="str">
        <f t="shared" si="46"/>
        <v>structure with developmental contribution from neural crest</v>
      </c>
      <c r="G3401" s="9" t="s">
        <v>5090</v>
      </c>
      <c r="H3401" s="9" t="s">
        <v>22774</v>
      </c>
      <c r="I3401" s="9" t="s">
        <v>6405</v>
      </c>
      <c r="J3401" s="9" t="s">
        <v>6406</v>
      </c>
      <c r="K3401" s="4" t="s">
        <v>15175</v>
      </c>
      <c r="L3401" s="13">
        <v>11260</v>
      </c>
      <c r="M3401" t="str">
        <f>VLOOKUP(L3401,[1]Human_BrainSpan!$B$2:$C$4000,2,FALSE)</f>
        <v>RIg2</v>
      </c>
    </row>
    <row r="3402" spans="2:13" x14ac:dyDescent="0.25">
      <c r="B3402" s="31" t="s">
        <v>26303</v>
      </c>
      <c r="C3402" s="9" t="s">
        <v>2103</v>
      </c>
      <c r="D3402" s="25" t="s">
        <v>26232</v>
      </c>
      <c r="E3402" s="25" t="s">
        <v>26306</v>
      </c>
      <c r="F3402" s="9" t="str">
        <f t="shared" si="46"/>
        <v>structure with developmental contribution from neural crest</v>
      </c>
      <c r="G3402" s="9" t="s">
        <v>5090</v>
      </c>
      <c r="H3402" s="9" t="s">
        <v>22775</v>
      </c>
      <c r="I3402" s="9" t="s">
        <v>6407</v>
      </c>
      <c r="J3402" s="9" t="s">
        <v>6408</v>
      </c>
      <c r="K3402" s="4" t="s">
        <v>15175</v>
      </c>
      <c r="L3402" s="13">
        <v>11261</v>
      </c>
      <c r="M3402" t="str">
        <f>VLOOKUP(L3402,[1]Human_BrainSpan!$B$2:$C$4000,2,FALSE)</f>
        <v>RIg3</v>
      </c>
    </row>
    <row r="3403" spans="2:13" x14ac:dyDescent="0.25">
      <c r="B3403" s="31" t="s">
        <v>26303</v>
      </c>
      <c r="C3403" s="9" t="s">
        <v>2103</v>
      </c>
      <c r="D3403" s="25" t="s">
        <v>26232</v>
      </c>
      <c r="E3403" s="25" t="s">
        <v>26306</v>
      </c>
      <c r="F3403" s="9" t="str">
        <f t="shared" si="46"/>
        <v>structure with developmental contribution from neural crest</v>
      </c>
      <c r="G3403" s="9" t="s">
        <v>5090</v>
      </c>
      <c r="H3403" s="9" t="s">
        <v>22776</v>
      </c>
      <c r="I3403" s="9" t="s">
        <v>6409</v>
      </c>
      <c r="J3403" s="9" t="s">
        <v>6410</v>
      </c>
      <c r="K3403" s="4" t="s">
        <v>15175</v>
      </c>
      <c r="L3403" s="13">
        <v>11262</v>
      </c>
      <c r="M3403" t="str">
        <f>VLOOKUP(L3403,[1]Human_BrainSpan!$B$2:$C$4000,2,FALSE)</f>
        <v>RIg4</v>
      </c>
    </row>
    <row r="3404" spans="2:13" x14ac:dyDescent="0.25">
      <c r="B3404" s="31" t="s">
        <v>26303</v>
      </c>
      <c r="C3404" s="9" t="s">
        <v>2103</v>
      </c>
      <c r="D3404" s="25" t="s">
        <v>26232</v>
      </c>
      <c r="E3404" s="25" t="s">
        <v>26306</v>
      </c>
      <c r="F3404" s="9" t="str">
        <f t="shared" si="46"/>
        <v>structure with developmental contribution from neural crest</v>
      </c>
      <c r="G3404" s="9" t="s">
        <v>5090</v>
      </c>
      <c r="H3404" s="9" t="s">
        <v>22777</v>
      </c>
      <c r="I3404" s="9" t="s">
        <v>6411</v>
      </c>
      <c r="J3404" s="9" t="s">
        <v>6412</v>
      </c>
      <c r="K3404" s="4" t="s">
        <v>15175</v>
      </c>
      <c r="L3404" s="13">
        <v>11263</v>
      </c>
      <c r="M3404" t="str">
        <f>VLOOKUP(L3404,[1]Human_BrainSpan!$B$2:$C$4000,2,FALSE)</f>
        <v>RIg5</v>
      </c>
    </row>
    <row r="3405" spans="2:13" x14ac:dyDescent="0.25">
      <c r="B3405" s="31" t="s">
        <v>26303</v>
      </c>
      <c r="C3405" s="9" t="s">
        <v>2103</v>
      </c>
      <c r="D3405" s="25" t="s">
        <v>26232</v>
      </c>
      <c r="E3405" s="25" t="s">
        <v>26306</v>
      </c>
      <c r="F3405" s="9" t="str">
        <f t="shared" si="46"/>
        <v>structure with developmental contribution from neural crest</v>
      </c>
      <c r="G3405" s="9" t="s">
        <v>5090</v>
      </c>
      <c r="H3405" s="9" t="s">
        <v>22778</v>
      </c>
      <c r="I3405" s="9" t="s">
        <v>6413</v>
      </c>
      <c r="J3405" s="9" t="s">
        <v>6414</v>
      </c>
      <c r="K3405" s="4" t="s">
        <v>15175</v>
      </c>
      <c r="L3405" s="13">
        <v>11264</v>
      </c>
      <c r="M3405" t="str">
        <f>VLOOKUP(L3405,[1]Human_BrainSpan!$B$2:$C$4000,2,FALSE)</f>
        <v>RIg6</v>
      </c>
    </row>
    <row r="3406" spans="2:13" x14ac:dyDescent="0.25">
      <c r="B3406" s="31" t="s">
        <v>26303</v>
      </c>
      <c r="C3406" s="20" t="s">
        <v>25901</v>
      </c>
      <c r="D3406" s="25" t="s">
        <v>26232</v>
      </c>
      <c r="E3406" s="25"/>
      <c r="F3406" s="9" t="str">
        <f t="shared" si="46"/>
        <v>structure with developmental contribution from neural crest</v>
      </c>
      <c r="G3406" s="9" t="s">
        <v>5090</v>
      </c>
      <c r="H3406" s="9" t="s">
        <v>23014</v>
      </c>
      <c r="I3406" s="9" t="s">
        <v>6415</v>
      </c>
      <c r="J3406" s="9" t="s">
        <v>6416</v>
      </c>
      <c r="K3406" s="4" t="s">
        <v>15175</v>
      </c>
      <c r="L3406" s="13">
        <v>11265</v>
      </c>
      <c r="M3406" t="str">
        <f>VLOOKUP(L3406,[1]Human_BrainSpan!$B$2:$C$4000,2,FALSE)</f>
        <v>DGR</v>
      </c>
    </row>
    <row r="3407" spans="2:13" x14ac:dyDescent="0.25">
      <c r="B3407" s="31" t="s">
        <v>26303</v>
      </c>
      <c r="C3407" s="25" t="s">
        <v>25900</v>
      </c>
      <c r="D3407" s="25" t="s">
        <v>26232</v>
      </c>
      <c r="E3407" s="25"/>
      <c r="F3407" s="9" t="str">
        <f t="shared" si="46"/>
        <v>structure with developmental contribution from neural crest</v>
      </c>
      <c r="G3407" s="9" t="s">
        <v>5090</v>
      </c>
      <c r="H3407" s="9" t="s">
        <v>23015</v>
      </c>
      <c r="I3407" s="9" t="s">
        <v>6417</v>
      </c>
      <c r="J3407" s="9" t="s">
        <v>6418</v>
      </c>
      <c r="K3407" s="4" t="s">
        <v>15175</v>
      </c>
      <c r="L3407" s="13">
        <v>11266</v>
      </c>
      <c r="M3407" t="str">
        <f>VLOOKUP(L3407,[1]Human_BrainSpan!$B$2:$C$4000,2,FALSE)</f>
        <v>DGRmo</v>
      </c>
    </row>
    <row r="3408" spans="2:13" x14ac:dyDescent="0.25">
      <c r="B3408" s="31" t="s">
        <v>26303</v>
      </c>
      <c r="C3408" s="25" t="s">
        <v>25899</v>
      </c>
      <c r="D3408" s="25" t="s">
        <v>26232</v>
      </c>
      <c r="E3408" s="25"/>
      <c r="F3408" s="9" t="str">
        <f t="shared" si="46"/>
        <v>structure with developmental contribution from neural crest</v>
      </c>
      <c r="G3408" s="9" t="s">
        <v>5090</v>
      </c>
      <c r="H3408" s="9" t="s">
        <v>23016</v>
      </c>
      <c r="I3408" s="9" t="s">
        <v>6419</v>
      </c>
      <c r="J3408" s="9" t="s">
        <v>6420</v>
      </c>
      <c r="K3408" s="4" t="s">
        <v>15175</v>
      </c>
      <c r="L3408" s="13">
        <v>11267</v>
      </c>
      <c r="M3408" t="str">
        <f>VLOOKUP(L3408,[1]Human_BrainSpan!$B$2:$C$4000,2,FALSE)</f>
        <v>DGRgr</v>
      </c>
    </row>
    <row r="3409" spans="2:13" x14ac:dyDescent="0.25">
      <c r="B3409" s="31" t="s">
        <v>26303</v>
      </c>
      <c r="C3409" s="25" t="s">
        <v>25903</v>
      </c>
      <c r="D3409" s="25" t="s">
        <v>26232</v>
      </c>
      <c r="E3409" s="25"/>
      <c r="F3409" s="9" t="str">
        <f t="shared" si="46"/>
        <v>structure with developmental contribution from neural crest</v>
      </c>
      <c r="G3409" s="9" t="s">
        <v>5090</v>
      </c>
      <c r="H3409" s="9" t="s">
        <v>23017</v>
      </c>
      <c r="I3409" s="9" t="s">
        <v>6421</v>
      </c>
      <c r="J3409" s="9" t="s">
        <v>6422</v>
      </c>
      <c r="K3409" s="4" t="s">
        <v>15175</v>
      </c>
      <c r="L3409" s="13">
        <v>11268</v>
      </c>
      <c r="M3409" t="str">
        <f>VLOOKUP(L3409,[1]Human_BrainSpan!$B$2:$C$4000,2,FALSE)</f>
        <v>DGRsg</v>
      </c>
    </row>
    <row r="3410" spans="2:13" x14ac:dyDescent="0.25">
      <c r="B3410" s="31" t="s">
        <v>26303</v>
      </c>
      <c r="C3410" s="25" t="s">
        <v>25902</v>
      </c>
      <c r="D3410" s="25" t="s">
        <v>26232</v>
      </c>
      <c r="E3410" s="25"/>
      <c r="F3410" s="9" t="str">
        <f t="shared" si="46"/>
        <v>structure with developmental contribution from neural crest</v>
      </c>
      <c r="G3410" s="9" t="s">
        <v>5090</v>
      </c>
      <c r="H3410" s="9" t="s">
        <v>23018</v>
      </c>
      <c r="I3410" s="9" t="s">
        <v>6423</v>
      </c>
      <c r="J3410" s="9" t="s">
        <v>6424</v>
      </c>
      <c r="K3410" s="4" t="s">
        <v>15175</v>
      </c>
      <c r="L3410" s="13">
        <v>11269</v>
      </c>
      <c r="M3410" t="str">
        <f>VLOOKUP(L3410,[1]Human_BrainSpan!$B$2:$C$4000,2,FALSE)</f>
        <v>DGRpf</v>
      </c>
    </row>
    <row r="3411" spans="2:13" x14ac:dyDescent="0.25">
      <c r="B3411" s="31" t="s">
        <v>26303</v>
      </c>
      <c r="C3411" s="20" t="s">
        <v>25901</v>
      </c>
      <c r="D3411" s="25" t="s">
        <v>26232</v>
      </c>
      <c r="E3411" s="25"/>
      <c r="F3411" s="9" t="str">
        <f t="shared" si="46"/>
        <v>structure with developmental contribution from neural crest</v>
      </c>
      <c r="G3411" s="9" t="s">
        <v>5090</v>
      </c>
      <c r="H3411" s="9" t="s">
        <v>23019</v>
      </c>
      <c r="I3411" s="9" t="s">
        <v>6425</v>
      </c>
      <c r="J3411" s="9" t="s">
        <v>6426</v>
      </c>
      <c r="K3411" s="4" t="s">
        <v>15175</v>
      </c>
      <c r="L3411" s="13">
        <v>11270</v>
      </c>
      <c r="M3411" t="str">
        <f>VLOOKUP(L3411,[1]Human_BrainSpan!$B$2:$C$4000,2,FALSE)</f>
        <v>DGC</v>
      </c>
    </row>
    <row r="3412" spans="2:13" x14ac:dyDescent="0.25">
      <c r="B3412" s="31" t="s">
        <v>26303</v>
      </c>
      <c r="C3412" s="25" t="s">
        <v>25900</v>
      </c>
      <c r="D3412" s="25" t="s">
        <v>26232</v>
      </c>
      <c r="E3412" s="25"/>
      <c r="F3412" s="9" t="str">
        <f t="shared" si="46"/>
        <v>structure with developmental contribution from neural crest</v>
      </c>
      <c r="G3412" s="9" t="s">
        <v>5090</v>
      </c>
      <c r="H3412" s="9" t="s">
        <v>23020</v>
      </c>
      <c r="I3412" s="9" t="s">
        <v>6427</v>
      </c>
      <c r="J3412" s="9" t="s">
        <v>6428</v>
      </c>
      <c r="K3412" s="4" t="s">
        <v>15175</v>
      </c>
      <c r="L3412" s="13">
        <v>11271</v>
      </c>
      <c r="M3412" t="str">
        <f>VLOOKUP(L3412,[1]Human_BrainSpan!$B$2:$C$4000,2,FALSE)</f>
        <v>DGCmo</v>
      </c>
    </row>
    <row r="3413" spans="2:13" x14ac:dyDescent="0.25">
      <c r="B3413" s="31" t="s">
        <v>26303</v>
      </c>
      <c r="C3413" s="25" t="s">
        <v>25899</v>
      </c>
      <c r="D3413" s="25" t="s">
        <v>26232</v>
      </c>
      <c r="E3413" s="25"/>
      <c r="F3413" s="9" t="str">
        <f t="shared" si="46"/>
        <v>structure with developmental contribution from neural crest</v>
      </c>
      <c r="G3413" s="9" t="s">
        <v>5090</v>
      </c>
      <c r="H3413" s="9" t="s">
        <v>23021</v>
      </c>
      <c r="I3413" s="9" t="s">
        <v>6429</v>
      </c>
      <c r="J3413" s="9" t="s">
        <v>6430</v>
      </c>
      <c r="K3413" s="4" t="s">
        <v>15175</v>
      </c>
      <c r="L3413" s="13">
        <v>11272</v>
      </c>
      <c r="M3413" t="str">
        <f>VLOOKUP(L3413,[1]Human_BrainSpan!$B$2:$C$4000,2,FALSE)</f>
        <v>DGCgr</v>
      </c>
    </row>
    <row r="3414" spans="2:13" x14ac:dyDescent="0.25">
      <c r="B3414" s="31" t="s">
        <v>26303</v>
      </c>
      <c r="C3414" s="25" t="s">
        <v>25903</v>
      </c>
      <c r="D3414" s="25" t="s">
        <v>26232</v>
      </c>
      <c r="E3414" s="25"/>
      <c r="F3414" s="9" t="str">
        <f t="shared" si="46"/>
        <v>structure with developmental contribution from neural crest</v>
      </c>
      <c r="G3414" s="9" t="s">
        <v>5090</v>
      </c>
      <c r="H3414" s="9" t="s">
        <v>23022</v>
      </c>
      <c r="I3414" s="9" t="s">
        <v>6431</v>
      </c>
      <c r="J3414" s="9" t="s">
        <v>6432</v>
      </c>
      <c r="K3414" s="4" t="s">
        <v>15175</v>
      </c>
      <c r="L3414" s="13">
        <v>11273</v>
      </c>
      <c r="M3414" t="str">
        <f>VLOOKUP(L3414,[1]Human_BrainSpan!$B$2:$C$4000,2,FALSE)</f>
        <v>DGCsg</v>
      </c>
    </row>
    <row r="3415" spans="2:13" x14ac:dyDescent="0.25">
      <c r="B3415" s="31" t="s">
        <v>26303</v>
      </c>
      <c r="C3415" s="25" t="s">
        <v>25902</v>
      </c>
      <c r="D3415" s="25" t="s">
        <v>26232</v>
      </c>
      <c r="E3415" s="25"/>
      <c r="F3415" s="9" t="str">
        <f t="shared" si="46"/>
        <v>structure with developmental contribution from neural crest</v>
      </c>
      <c r="G3415" s="9" t="s">
        <v>5090</v>
      </c>
      <c r="H3415" s="9" t="s">
        <v>23023</v>
      </c>
      <c r="I3415" s="9" t="s">
        <v>6433</v>
      </c>
      <c r="J3415" s="9" t="s">
        <v>6434</v>
      </c>
      <c r="K3415" s="4" t="s">
        <v>15175</v>
      </c>
      <c r="L3415" s="13">
        <v>11274</v>
      </c>
      <c r="M3415" t="str">
        <f>VLOOKUP(L3415,[1]Human_BrainSpan!$B$2:$C$4000,2,FALSE)</f>
        <v>DGCpf</v>
      </c>
    </row>
    <row r="3416" spans="2:13" x14ac:dyDescent="0.25">
      <c r="B3416" s="31" t="s">
        <v>26303</v>
      </c>
      <c r="C3416" s="35" t="s">
        <v>25762</v>
      </c>
      <c r="D3416" s="35" t="s">
        <v>26232</v>
      </c>
      <c r="E3416" s="35" t="s">
        <v>26306</v>
      </c>
      <c r="F3416" s="9" t="str">
        <f t="shared" si="46"/>
        <v>structure with developmental contribution from neural crest</v>
      </c>
      <c r="G3416" s="9" t="s">
        <v>5090</v>
      </c>
      <c r="H3416" s="9" t="s">
        <v>23093</v>
      </c>
      <c r="I3416" s="9" t="s">
        <v>6435</v>
      </c>
      <c r="J3416" s="9" t="s">
        <v>6436</v>
      </c>
      <c r="K3416" s="4" t="s">
        <v>15175</v>
      </c>
      <c r="L3416" s="13">
        <v>11307</v>
      </c>
      <c r="M3416" t="str">
        <f>VLOOKUP(L3416,[1]Human_BrainSpan!$B$2:$C$4000,2,FALSE)</f>
        <v>CA4Rpy</v>
      </c>
    </row>
    <row r="3417" spans="2:13" x14ac:dyDescent="0.25">
      <c r="B3417" s="31" t="s">
        <v>26303</v>
      </c>
      <c r="C3417" s="35" t="s">
        <v>25762</v>
      </c>
      <c r="D3417" s="35" t="s">
        <v>26232</v>
      </c>
      <c r="E3417" s="35" t="s">
        <v>26306</v>
      </c>
      <c r="F3417" s="9" t="str">
        <f t="shared" si="46"/>
        <v>structure with developmental contribution from neural crest</v>
      </c>
      <c r="G3417" s="9" t="s">
        <v>5090</v>
      </c>
      <c r="H3417" s="9" t="s">
        <v>23094</v>
      </c>
      <c r="I3417" s="9" t="s">
        <v>6437</v>
      </c>
      <c r="J3417" s="9" t="s">
        <v>6438</v>
      </c>
      <c r="K3417" s="4" t="s">
        <v>15175</v>
      </c>
      <c r="L3417" s="13">
        <v>11308</v>
      </c>
      <c r="M3417" t="str">
        <f>VLOOKUP(L3417,[1]Human_BrainSpan!$B$2:$C$4000,2,FALSE)</f>
        <v>CA4Cpy</v>
      </c>
    </row>
    <row r="3418" spans="2:13" x14ac:dyDescent="0.25">
      <c r="B3418" s="31" t="s">
        <v>26303</v>
      </c>
      <c r="C3418" s="25" t="s">
        <v>14722</v>
      </c>
      <c r="D3418" s="25" t="s">
        <v>26232</v>
      </c>
      <c r="E3418" s="25"/>
      <c r="F3418" s="9" t="str">
        <f t="shared" si="46"/>
        <v>structure with developmental contribution from neural crest</v>
      </c>
      <c r="G3418" s="9" t="s">
        <v>5090</v>
      </c>
      <c r="H3418" s="9" t="s">
        <v>23100</v>
      </c>
      <c r="I3418" s="9" t="s">
        <v>6439</v>
      </c>
      <c r="J3418" s="9" t="s">
        <v>6440</v>
      </c>
      <c r="K3418" s="4" t="s">
        <v>15175</v>
      </c>
      <c r="L3418" s="13">
        <v>11309</v>
      </c>
      <c r="M3418" t="str">
        <f>VLOOKUP(L3418,[1]Human_BrainSpan!$B$2:$C$4000,2,FALSE)</f>
        <v>S-R</v>
      </c>
    </row>
    <row r="3419" spans="2:13" x14ac:dyDescent="0.25">
      <c r="B3419" s="31" t="s">
        <v>26303</v>
      </c>
      <c r="C3419" s="25" t="s">
        <v>14722</v>
      </c>
      <c r="D3419" s="25" t="s">
        <v>26232</v>
      </c>
      <c r="E3419" s="35" t="s">
        <v>26306</v>
      </c>
      <c r="F3419" s="9" t="str">
        <f t="shared" si="46"/>
        <v>structure with developmental contribution from neural crest</v>
      </c>
      <c r="G3419" s="9" t="s">
        <v>5090</v>
      </c>
      <c r="H3419" s="9" t="s">
        <v>23101</v>
      </c>
      <c r="I3419" s="9" t="s">
        <v>6441</v>
      </c>
      <c r="J3419" s="9" t="s">
        <v>6442</v>
      </c>
      <c r="K3419" s="4" t="s">
        <v>15175</v>
      </c>
      <c r="L3419" s="13">
        <v>11310</v>
      </c>
      <c r="M3419" t="str">
        <f>VLOOKUP(L3419,[1]Human_BrainSpan!$B$2:$C$4000,2,FALSE)</f>
        <v>SRmo</v>
      </c>
    </row>
    <row r="3420" spans="2:13" x14ac:dyDescent="0.25">
      <c r="B3420" s="31" t="s">
        <v>26303</v>
      </c>
      <c r="C3420" s="25" t="s">
        <v>14722</v>
      </c>
      <c r="D3420" s="35" t="s">
        <v>26232</v>
      </c>
      <c r="E3420" s="35" t="s">
        <v>26306</v>
      </c>
      <c r="F3420" s="9" t="str">
        <f t="shared" si="46"/>
        <v>structure with developmental contribution from neural crest</v>
      </c>
      <c r="G3420" s="9" t="s">
        <v>5090</v>
      </c>
      <c r="H3420" s="9" t="s">
        <v>23102</v>
      </c>
      <c r="I3420" s="9" t="s">
        <v>6443</v>
      </c>
      <c r="J3420" s="9" t="s">
        <v>6444</v>
      </c>
      <c r="K3420" s="4" t="s">
        <v>15175</v>
      </c>
      <c r="L3420" s="13">
        <v>11311</v>
      </c>
      <c r="M3420" t="str">
        <f>VLOOKUP(L3420,[1]Human_BrainSpan!$B$2:$C$4000,2,FALSE)</f>
        <v>SRpy</v>
      </c>
    </row>
    <row r="3421" spans="2:13" x14ac:dyDescent="0.25">
      <c r="B3421" s="31" t="s">
        <v>26303</v>
      </c>
      <c r="C3421" s="25" t="s">
        <v>14722</v>
      </c>
      <c r="D3421" s="25" t="s">
        <v>26232</v>
      </c>
      <c r="E3421" s="35" t="s">
        <v>26306</v>
      </c>
      <c r="F3421" s="9" t="str">
        <f t="shared" si="46"/>
        <v>structure with developmental contribution from neural crest</v>
      </c>
      <c r="G3421" s="9" t="s">
        <v>5090</v>
      </c>
      <c r="H3421" s="9" t="s">
        <v>23103</v>
      </c>
      <c r="I3421" s="9" t="s">
        <v>6445</v>
      </c>
      <c r="J3421" s="9" t="s">
        <v>6446</v>
      </c>
      <c r="K3421" s="4" t="s">
        <v>15175</v>
      </c>
      <c r="L3421" s="13">
        <v>11312</v>
      </c>
      <c r="M3421" t="str">
        <f>VLOOKUP(L3421,[1]Human_BrainSpan!$B$2:$C$4000,2,FALSE)</f>
        <v>SRpf</v>
      </c>
    </row>
    <row r="3422" spans="2:13" x14ac:dyDescent="0.25">
      <c r="B3422" s="31" t="s">
        <v>26303</v>
      </c>
      <c r="C3422" s="25" t="s">
        <v>14722</v>
      </c>
      <c r="D3422" s="25" t="s">
        <v>26232</v>
      </c>
      <c r="E3422" s="25"/>
      <c r="F3422" s="9" t="str">
        <f t="shared" si="46"/>
        <v>structure with developmental contribution from neural crest</v>
      </c>
      <c r="G3422" s="9" t="s">
        <v>5090</v>
      </c>
      <c r="H3422" s="9" t="s">
        <v>23104</v>
      </c>
      <c r="I3422" s="9" t="s">
        <v>6447</v>
      </c>
      <c r="J3422" s="9" t="s">
        <v>6448</v>
      </c>
      <c r="K3422" s="4" t="s">
        <v>15175</v>
      </c>
      <c r="L3422" s="13">
        <v>11313</v>
      </c>
      <c r="M3422" t="str">
        <f>VLOOKUP(L3422,[1]Human_BrainSpan!$B$2:$C$4000,2,FALSE)</f>
        <v>S-C</v>
      </c>
    </row>
    <row r="3423" spans="2:13" x14ac:dyDescent="0.25">
      <c r="B3423" s="31" t="s">
        <v>26303</v>
      </c>
      <c r="C3423" s="25" t="s">
        <v>14722</v>
      </c>
      <c r="D3423" s="25" t="s">
        <v>26232</v>
      </c>
      <c r="E3423" s="35" t="s">
        <v>26306</v>
      </c>
      <c r="F3423" s="9" t="str">
        <f t="shared" si="46"/>
        <v>structure with developmental contribution from neural crest</v>
      </c>
      <c r="G3423" s="9" t="s">
        <v>5090</v>
      </c>
      <c r="H3423" s="9" t="s">
        <v>23105</v>
      </c>
      <c r="I3423" s="9" t="s">
        <v>6449</v>
      </c>
      <c r="J3423" s="9" t="s">
        <v>6450</v>
      </c>
      <c r="K3423" s="4" t="s">
        <v>15175</v>
      </c>
      <c r="L3423" s="13">
        <v>11314</v>
      </c>
      <c r="M3423" t="str">
        <f>VLOOKUP(L3423,[1]Human_BrainSpan!$B$2:$C$4000,2,FALSE)</f>
        <v>SCmo</v>
      </c>
    </row>
    <row r="3424" spans="2:13" x14ac:dyDescent="0.25">
      <c r="B3424" s="31" t="s">
        <v>26303</v>
      </c>
      <c r="C3424" s="25" t="s">
        <v>14722</v>
      </c>
      <c r="D3424" s="35" t="s">
        <v>26232</v>
      </c>
      <c r="E3424" s="35" t="s">
        <v>26306</v>
      </c>
      <c r="F3424" s="9" t="str">
        <f t="shared" si="46"/>
        <v>structure with developmental contribution from neural crest</v>
      </c>
      <c r="G3424" s="9" t="s">
        <v>5090</v>
      </c>
      <c r="H3424" s="9" t="s">
        <v>23106</v>
      </c>
      <c r="I3424" s="9" t="s">
        <v>6451</v>
      </c>
      <c r="J3424" s="9" t="s">
        <v>6452</v>
      </c>
      <c r="K3424" s="4" t="s">
        <v>15175</v>
      </c>
      <c r="L3424" s="13">
        <v>11315</v>
      </c>
      <c r="M3424" t="str">
        <f>VLOOKUP(L3424,[1]Human_BrainSpan!$B$2:$C$4000,2,FALSE)</f>
        <v>SCpy</v>
      </c>
    </row>
    <row r="3425" spans="2:13" x14ac:dyDescent="0.25">
      <c r="B3425" s="31" t="s">
        <v>26303</v>
      </c>
      <c r="C3425" s="25" t="s">
        <v>14722</v>
      </c>
      <c r="D3425" s="25" t="s">
        <v>26232</v>
      </c>
      <c r="E3425" s="35" t="s">
        <v>26306</v>
      </c>
      <c r="F3425" s="9" t="str">
        <f t="shared" si="46"/>
        <v>structure with developmental contribution from neural crest</v>
      </c>
      <c r="G3425" s="9" t="s">
        <v>5090</v>
      </c>
      <c r="H3425" s="9" t="s">
        <v>23107</v>
      </c>
      <c r="I3425" s="9" t="s">
        <v>6453</v>
      </c>
      <c r="J3425" s="9" t="s">
        <v>6454</v>
      </c>
      <c r="K3425" s="4" t="s">
        <v>15175</v>
      </c>
      <c r="L3425" s="13">
        <v>11316</v>
      </c>
      <c r="M3425" t="str">
        <f>VLOOKUP(L3425,[1]Human_BrainSpan!$B$2:$C$4000,2,FALSE)</f>
        <v>SCpf</v>
      </c>
    </row>
    <row r="3426" spans="2:13" x14ac:dyDescent="0.25">
      <c r="B3426" s="31" t="s">
        <v>26303</v>
      </c>
      <c r="C3426" s="34"/>
      <c r="D3426" s="35" t="s">
        <v>26232</v>
      </c>
      <c r="E3426" s="25" t="s">
        <v>26300</v>
      </c>
      <c r="F3426" s="9" t="str">
        <f t="shared" si="46"/>
        <v>structure with developmental contribution from neural crest</v>
      </c>
      <c r="G3426" s="9" t="s">
        <v>5090</v>
      </c>
      <c r="H3426" s="9" t="s">
        <v>23114</v>
      </c>
      <c r="I3426" s="9" t="s">
        <v>6459</v>
      </c>
      <c r="J3426" s="9" t="s">
        <v>6460</v>
      </c>
      <c r="K3426" s="4" t="s">
        <v>15175</v>
      </c>
      <c r="L3426" s="13">
        <v>11319</v>
      </c>
      <c r="M3426" t="str">
        <f>VLOOKUP(L3426,[1]Human_BrainSpan!$B$2:$C$4000,2,FALSE)</f>
        <v>ProRsp</v>
      </c>
    </row>
    <row r="3427" spans="2:13" x14ac:dyDescent="0.25">
      <c r="B3427" s="31" t="s">
        <v>26303</v>
      </c>
      <c r="C3427" s="20"/>
      <c r="D3427" s="25" t="s">
        <v>26232</v>
      </c>
      <c r="E3427" s="25" t="s">
        <v>26300</v>
      </c>
      <c r="F3427" s="9" t="str">
        <f t="shared" si="46"/>
        <v>structure with developmental contribution from neural crest</v>
      </c>
      <c r="G3427" s="9" t="s">
        <v>5090</v>
      </c>
      <c r="H3427" s="9" t="s">
        <v>23115</v>
      </c>
      <c r="I3427" s="9" t="s">
        <v>6461</v>
      </c>
      <c r="J3427" s="9" t="s">
        <v>6462</v>
      </c>
      <c r="K3427" s="4" t="s">
        <v>15175</v>
      </c>
      <c r="L3427" s="13">
        <v>11320</v>
      </c>
      <c r="M3427" t="str">
        <f>VLOOKUP(L3427,[1]Human_BrainSpan!$B$2:$C$4000,2,FALSE)</f>
        <v>ProRso</v>
      </c>
    </row>
    <row r="3428" spans="2:13" x14ac:dyDescent="0.25">
      <c r="B3428" s="31" t="s">
        <v>26303</v>
      </c>
      <c r="C3428" s="20"/>
      <c r="D3428" s="25" t="s">
        <v>26232</v>
      </c>
      <c r="E3428" s="25" t="s">
        <v>26300</v>
      </c>
      <c r="F3428" s="9" t="str">
        <f t="shared" si="46"/>
        <v>structure with developmental contribution from neural crest</v>
      </c>
      <c r="G3428" s="9" t="s">
        <v>5090</v>
      </c>
      <c r="H3428" s="9" t="s">
        <v>23112</v>
      </c>
      <c r="I3428" s="9" t="s">
        <v>6455</v>
      </c>
      <c r="J3428" s="9" t="s">
        <v>6456</v>
      </c>
      <c r="K3428" s="4" t="s">
        <v>15175</v>
      </c>
      <c r="L3428" s="13">
        <v>11317</v>
      </c>
      <c r="M3428" t="str">
        <f>VLOOKUP(L3428,[1]Human_BrainSpan!$B$2:$C$4000,2,FALSE)</f>
        <v>ProR</v>
      </c>
    </row>
    <row r="3429" spans="2:13" x14ac:dyDescent="0.25">
      <c r="B3429" s="31" t="s">
        <v>26303</v>
      </c>
      <c r="C3429" s="20"/>
      <c r="D3429" s="25" t="s">
        <v>26232</v>
      </c>
      <c r="E3429" s="25" t="s">
        <v>26307</v>
      </c>
      <c r="F3429" s="9" t="str">
        <f t="shared" si="46"/>
        <v>structure with developmental contribution from neural crest</v>
      </c>
      <c r="G3429" s="9" t="s">
        <v>5090</v>
      </c>
      <c r="H3429" s="9" t="s">
        <v>23113</v>
      </c>
      <c r="I3429" s="9" t="s">
        <v>6457</v>
      </c>
      <c r="J3429" s="9" t="s">
        <v>6458</v>
      </c>
      <c r="K3429" s="4" t="s">
        <v>15175</v>
      </c>
      <c r="L3429" s="13">
        <v>11318</v>
      </c>
      <c r="M3429" t="str">
        <f>VLOOKUP(L3429,[1]Human_BrainSpan!$B$2:$C$4000,2,FALSE)</f>
        <v>ProRmo</v>
      </c>
    </row>
    <row r="3430" spans="2:13" x14ac:dyDescent="0.25">
      <c r="B3430" s="31" t="s">
        <v>26303</v>
      </c>
      <c r="C3430" s="20"/>
      <c r="D3430" s="25" t="s">
        <v>26232</v>
      </c>
      <c r="E3430" s="25" t="s">
        <v>26300</v>
      </c>
      <c r="F3430" s="9" t="str">
        <f t="shared" si="46"/>
        <v>structure with developmental contribution from neural crest</v>
      </c>
      <c r="G3430" s="9" t="s">
        <v>5090</v>
      </c>
      <c r="H3430" s="9" t="s">
        <v>23116</v>
      </c>
      <c r="I3430" s="9" t="s">
        <v>6463</v>
      </c>
      <c r="J3430" s="9" t="s">
        <v>6464</v>
      </c>
      <c r="K3430" s="4" t="s">
        <v>15175</v>
      </c>
      <c r="L3430" s="13">
        <v>11321</v>
      </c>
      <c r="M3430" t="str">
        <f>VLOOKUP(L3430,[1]Human_BrainSpan!$B$2:$C$4000,2,FALSE)</f>
        <v>ProC</v>
      </c>
    </row>
    <row r="3431" spans="2:13" x14ac:dyDescent="0.25">
      <c r="B3431" s="31" t="s">
        <v>26303</v>
      </c>
      <c r="C3431" s="20"/>
      <c r="D3431" s="25" t="s">
        <v>26232</v>
      </c>
      <c r="E3431" s="25" t="s">
        <v>26307</v>
      </c>
      <c r="F3431" s="9" t="str">
        <f t="shared" si="46"/>
        <v>structure with developmental contribution from neural crest</v>
      </c>
      <c r="G3431" s="9" t="s">
        <v>5090</v>
      </c>
      <c r="H3431" s="9" t="s">
        <v>23117</v>
      </c>
      <c r="I3431" s="9" t="s">
        <v>6465</v>
      </c>
      <c r="J3431" s="9" t="s">
        <v>6466</v>
      </c>
      <c r="K3431" s="4" t="s">
        <v>15175</v>
      </c>
      <c r="L3431" s="13">
        <v>11322</v>
      </c>
      <c r="M3431" t="str">
        <f>VLOOKUP(L3431,[1]Human_BrainSpan!$B$2:$C$4000,2,FALSE)</f>
        <v>ProCmo</v>
      </c>
    </row>
    <row r="3432" spans="2:13" x14ac:dyDescent="0.25">
      <c r="B3432" s="31" t="s">
        <v>26303</v>
      </c>
      <c r="C3432" s="34"/>
      <c r="D3432" s="35" t="s">
        <v>26232</v>
      </c>
      <c r="E3432" s="25" t="s">
        <v>26300</v>
      </c>
      <c r="F3432" s="9" t="str">
        <f t="shared" si="46"/>
        <v>structure with developmental contribution from neural crest</v>
      </c>
      <c r="G3432" s="9" t="s">
        <v>5090</v>
      </c>
      <c r="H3432" s="9" t="s">
        <v>23118</v>
      </c>
      <c r="I3432" s="9" t="s">
        <v>6467</v>
      </c>
      <c r="J3432" s="9" t="s">
        <v>6468</v>
      </c>
      <c r="K3432" s="4" t="s">
        <v>15175</v>
      </c>
      <c r="L3432" s="13">
        <v>11323</v>
      </c>
      <c r="M3432" t="str">
        <f>VLOOKUP(L3432,[1]Human_BrainSpan!$B$2:$C$4000,2,FALSE)</f>
        <v>ProCsp</v>
      </c>
    </row>
    <row r="3433" spans="2:13" x14ac:dyDescent="0.25">
      <c r="B3433" s="31" t="s">
        <v>26303</v>
      </c>
      <c r="C3433" s="20"/>
      <c r="D3433" s="25" t="s">
        <v>26232</v>
      </c>
      <c r="E3433" s="25" t="s">
        <v>26300</v>
      </c>
      <c r="F3433" s="9" t="str">
        <f t="shared" si="46"/>
        <v>structure with developmental contribution from neural crest</v>
      </c>
      <c r="G3433" s="9" t="s">
        <v>5090</v>
      </c>
      <c r="H3433" s="9" t="s">
        <v>23119</v>
      </c>
      <c r="I3433" s="9" t="s">
        <v>6469</v>
      </c>
      <c r="J3433" s="9" t="s">
        <v>6470</v>
      </c>
      <c r="K3433" s="4" t="s">
        <v>15175</v>
      </c>
      <c r="L3433" s="13">
        <v>11324</v>
      </c>
      <c r="M3433" t="str">
        <f>VLOOKUP(L3433,[1]Human_BrainSpan!$B$2:$C$4000,2,FALSE)</f>
        <v>ProCso</v>
      </c>
    </row>
    <row r="3434" spans="2:13" x14ac:dyDescent="0.25">
      <c r="B3434" s="31" t="s">
        <v>26303</v>
      </c>
      <c r="C3434" s="20"/>
      <c r="D3434" s="25" t="s">
        <v>26232</v>
      </c>
      <c r="E3434" s="25" t="s">
        <v>26300</v>
      </c>
      <c r="F3434" s="9" t="str">
        <f t="shared" si="46"/>
        <v>structure with developmental contribution from neural crest</v>
      </c>
      <c r="G3434" s="9" t="s">
        <v>5090</v>
      </c>
      <c r="H3434" s="9" t="s">
        <v>23120</v>
      </c>
      <c r="I3434" s="9" t="s">
        <v>6471</v>
      </c>
      <c r="J3434" s="9" t="s">
        <v>6472</v>
      </c>
      <c r="K3434" s="4" t="s">
        <v>15175</v>
      </c>
      <c r="L3434" s="13">
        <v>11325</v>
      </c>
      <c r="M3434" t="str">
        <f>VLOOKUP(L3434,[1]Human_BrainSpan!$B$2:$C$4000,2,FALSE)</f>
        <v>SuS</v>
      </c>
    </row>
    <row r="3435" spans="2:13" x14ac:dyDescent="0.25">
      <c r="B3435" s="31" t="s">
        <v>26303</v>
      </c>
      <c r="C3435" s="25" t="s">
        <v>26072</v>
      </c>
      <c r="D3435" s="25" t="s">
        <v>26232</v>
      </c>
      <c r="E3435" s="25"/>
      <c r="F3435" s="9" t="str">
        <f t="shared" si="46"/>
        <v>structure with developmental contribution from neural crest</v>
      </c>
      <c r="G3435" s="9" t="s">
        <v>5090</v>
      </c>
      <c r="H3435" s="9" t="s">
        <v>23128</v>
      </c>
      <c r="I3435" s="9" t="s">
        <v>3448</v>
      </c>
      <c r="J3435" s="9" t="s">
        <v>3449</v>
      </c>
      <c r="K3435" s="4" t="s">
        <v>15175</v>
      </c>
      <c r="L3435" s="13">
        <v>11326</v>
      </c>
      <c r="M3435" t="str">
        <f>VLOOKUP(L3435,[1]Human_BrainSpan!$B$2:$C$4000,2,FALSE)</f>
        <v>OBonl</v>
      </c>
    </row>
    <row r="3436" spans="2:13" x14ac:dyDescent="0.25">
      <c r="B3436" s="31" t="s">
        <v>26303</v>
      </c>
      <c r="C3436" s="25" t="s">
        <v>26067</v>
      </c>
      <c r="D3436" s="25" t="s">
        <v>26232</v>
      </c>
      <c r="E3436" s="25"/>
      <c r="F3436" s="9" t="str">
        <f t="shared" si="46"/>
        <v>structure with developmental contribution from neural crest</v>
      </c>
      <c r="G3436" s="9" t="s">
        <v>5090</v>
      </c>
      <c r="H3436" s="9" t="s">
        <v>23129</v>
      </c>
      <c r="I3436" s="9" t="s">
        <v>3425</v>
      </c>
      <c r="J3436" s="9" t="s">
        <v>3426</v>
      </c>
      <c r="K3436" s="4" t="s">
        <v>15175</v>
      </c>
      <c r="L3436" s="13">
        <v>11327</v>
      </c>
      <c r="M3436" t="str">
        <f>VLOOKUP(L3436,[1]Human_BrainSpan!$B$2:$C$4000,2,FALSE)</f>
        <v>OBglo</v>
      </c>
    </row>
    <row r="3437" spans="2:13" x14ac:dyDescent="0.25">
      <c r="B3437" s="31" t="s">
        <v>26303</v>
      </c>
      <c r="C3437" s="25" t="s">
        <v>26066</v>
      </c>
      <c r="D3437" s="25" t="s">
        <v>26232</v>
      </c>
      <c r="E3437" s="25"/>
      <c r="F3437" s="9" t="str">
        <f t="shared" si="46"/>
        <v>structure with developmental contribution from neural crest</v>
      </c>
      <c r="G3437" s="9" t="s">
        <v>5090</v>
      </c>
      <c r="H3437" s="9" t="s">
        <v>23130</v>
      </c>
      <c r="I3437" s="9" t="s">
        <v>6473</v>
      </c>
      <c r="J3437" s="9" t="s">
        <v>6474</v>
      </c>
      <c r="K3437" s="4" t="s">
        <v>15175</v>
      </c>
      <c r="L3437" s="13">
        <v>11328</v>
      </c>
      <c r="M3437" t="str">
        <f>VLOOKUP(L3437,[1]Human_BrainSpan!$B$2:$C$4000,2,FALSE)</f>
        <v>OBopl</v>
      </c>
    </row>
    <row r="3438" spans="2:13" x14ac:dyDescent="0.25">
      <c r="B3438" s="31" t="s">
        <v>26303</v>
      </c>
      <c r="C3438" s="25" t="s">
        <v>26071</v>
      </c>
      <c r="D3438" s="25" t="s">
        <v>26232</v>
      </c>
      <c r="E3438" s="25"/>
      <c r="F3438" s="9" t="str">
        <f t="shared" si="46"/>
        <v>structure with developmental contribution from neural crest</v>
      </c>
      <c r="G3438" s="9" t="s">
        <v>5090</v>
      </c>
      <c r="H3438" s="9" t="s">
        <v>23131</v>
      </c>
      <c r="I3438" s="9" t="s">
        <v>3443</v>
      </c>
      <c r="J3438" s="9" t="s">
        <v>3444</v>
      </c>
      <c r="K3438" s="4" t="s">
        <v>15175</v>
      </c>
      <c r="L3438" s="13">
        <v>11329</v>
      </c>
      <c r="M3438" t="str">
        <f>VLOOKUP(L3438,[1]Human_BrainSpan!$B$2:$C$4000,2,FALSE)</f>
        <v>OBmcl</v>
      </c>
    </row>
    <row r="3439" spans="2:13" x14ac:dyDescent="0.25">
      <c r="B3439" s="31" t="s">
        <v>26303</v>
      </c>
      <c r="C3439" s="25" t="s">
        <v>26069</v>
      </c>
      <c r="D3439" s="25" t="s">
        <v>26232</v>
      </c>
      <c r="E3439" s="25"/>
      <c r="F3439" s="9" t="str">
        <f t="shared" si="46"/>
        <v>structure with developmental contribution from neural crest</v>
      </c>
      <c r="G3439" s="9" t="s">
        <v>5090</v>
      </c>
      <c r="H3439" s="9" t="s">
        <v>23132</v>
      </c>
      <c r="I3439" s="9" t="s">
        <v>3435</v>
      </c>
      <c r="J3439" s="9" t="s">
        <v>3436</v>
      </c>
      <c r="K3439" s="4" t="s">
        <v>15175</v>
      </c>
      <c r="L3439" s="13">
        <v>11330</v>
      </c>
      <c r="M3439" t="str">
        <f>VLOOKUP(L3439,[1]Human_BrainSpan!$B$2:$C$4000,2,FALSE)</f>
        <v>OBipl</v>
      </c>
    </row>
    <row r="3440" spans="2:13" x14ac:dyDescent="0.25">
      <c r="B3440" s="31" t="s">
        <v>26303</v>
      </c>
      <c r="C3440" s="25" t="s">
        <v>26068</v>
      </c>
      <c r="D3440" s="25" t="s">
        <v>26232</v>
      </c>
      <c r="E3440" s="25"/>
      <c r="F3440" s="9" t="str">
        <f t="shared" si="46"/>
        <v>structure with developmental contribution from neural crest</v>
      </c>
      <c r="G3440" s="9" t="s">
        <v>5090</v>
      </c>
      <c r="H3440" s="9" t="s">
        <v>23133</v>
      </c>
      <c r="I3440" s="9" t="s">
        <v>6475</v>
      </c>
      <c r="J3440" s="9" t="s">
        <v>6476</v>
      </c>
      <c r="K3440" s="4" t="s">
        <v>15175</v>
      </c>
      <c r="L3440" s="13">
        <v>11331</v>
      </c>
      <c r="M3440" t="str">
        <f>VLOOKUP(L3440,[1]Human_BrainSpan!$B$2:$C$4000,2,FALSE)</f>
        <v>OBgcl</v>
      </c>
    </row>
    <row r="3441" spans="2:13" x14ac:dyDescent="0.25">
      <c r="B3441" s="31" t="s">
        <v>26303</v>
      </c>
      <c r="C3441" s="25" t="s">
        <v>3471</v>
      </c>
      <c r="D3441" s="25" t="s">
        <v>26232</v>
      </c>
      <c r="E3441" s="25" t="s">
        <v>26306</v>
      </c>
      <c r="F3441" s="9" t="str">
        <f t="shared" si="46"/>
        <v>structure with developmental contribution from neural crest</v>
      </c>
      <c r="G3441" s="9" t="s">
        <v>5090</v>
      </c>
      <c r="H3441" s="9" t="s">
        <v>19760</v>
      </c>
      <c r="I3441" s="9" t="s">
        <v>6477</v>
      </c>
      <c r="J3441" s="9" t="s">
        <v>6478</v>
      </c>
      <c r="K3441" s="4" t="s">
        <v>15175</v>
      </c>
      <c r="L3441" s="13">
        <v>11332</v>
      </c>
      <c r="M3441" t="str">
        <f>VLOOKUP(L3441,[1]Human_BrainSpan!$B$2:$C$4000,2,FALSE)</f>
        <v>OT1</v>
      </c>
    </row>
    <row r="3442" spans="2:13" x14ac:dyDescent="0.25">
      <c r="B3442" s="31" t="s">
        <v>26303</v>
      </c>
      <c r="C3442" s="25" t="s">
        <v>3471</v>
      </c>
      <c r="D3442" s="25" t="s">
        <v>26232</v>
      </c>
      <c r="E3442" s="25" t="s">
        <v>26306</v>
      </c>
      <c r="F3442" s="9" t="str">
        <f t="shared" si="46"/>
        <v>structure with developmental contribution from neural crest</v>
      </c>
      <c r="G3442" s="9" t="s">
        <v>5090</v>
      </c>
      <c r="H3442" s="9" t="s">
        <v>19762</v>
      </c>
      <c r="I3442" s="9" t="s">
        <v>6479</v>
      </c>
      <c r="J3442" s="9" t="s">
        <v>6480</v>
      </c>
      <c r="K3442" s="4" t="s">
        <v>15175</v>
      </c>
      <c r="L3442" s="13">
        <v>11333</v>
      </c>
      <c r="M3442" t="str">
        <f>VLOOKUP(L3442,[1]Human_BrainSpan!$B$2:$C$4000,2,FALSE)</f>
        <v>OT2</v>
      </c>
    </row>
    <row r="3443" spans="2:13" x14ac:dyDescent="0.25">
      <c r="B3443" s="31" t="s">
        <v>26303</v>
      </c>
      <c r="C3443" s="25" t="s">
        <v>3471</v>
      </c>
      <c r="D3443" s="25" t="s">
        <v>26232</v>
      </c>
      <c r="E3443" s="25" t="s">
        <v>26306</v>
      </c>
      <c r="F3443" s="9" t="str">
        <f t="shared" si="46"/>
        <v>structure with developmental contribution from neural crest</v>
      </c>
      <c r="G3443" s="9" t="s">
        <v>5090</v>
      </c>
      <c r="H3443" s="9" t="s">
        <v>19764</v>
      </c>
      <c r="I3443" s="9" t="s">
        <v>6481</v>
      </c>
      <c r="J3443" s="9" t="s">
        <v>6482</v>
      </c>
      <c r="K3443" s="4" t="s">
        <v>15175</v>
      </c>
      <c r="L3443" s="13">
        <v>11334</v>
      </c>
      <c r="M3443" t="str">
        <f>VLOOKUP(L3443,[1]Human_BrainSpan!$B$2:$C$4000,2,FALSE)</f>
        <v>OT3</v>
      </c>
    </row>
    <row r="3444" spans="2:13" x14ac:dyDescent="0.25">
      <c r="B3444" s="31" t="s">
        <v>26303</v>
      </c>
      <c r="C3444" s="25" t="s">
        <v>3837</v>
      </c>
      <c r="D3444" s="25" t="s">
        <v>26232</v>
      </c>
      <c r="E3444" s="25" t="s">
        <v>26306</v>
      </c>
      <c r="F3444" s="9" t="str">
        <f t="shared" si="46"/>
        <v>structure with developmental contribution from neural crest</v>
      </c>
      <c r="G3444" s="9" t="s">
        <v>5090</v>
      </c>
      <c r="H3444" s="9" t="s">
        <v>23142</v>
      </c>
      <c r="I3444" s="9" t="s">
        <v>6483</v>
      </c>
      <c r="J3444" s="9" t="s">
        <v>6484</v>
      </c>
      <c r="K3444" s="4" t="s">
        <v>15175</v>
      </c>
      <c r="L3444" s="13">
        <v>11335</v>
      </c>
      <c r="M3444" t="str">
        <f>VLOOKUP(L3444,[1]Human_BrainSpan!$B$2:$C$4000,2,FALSE)</f>
        <v>Pir1</v>
      </c>
    </row>
    <row r="3445" spans="2:13" x14ac:dyDescent="0.25">
      <c r="B3445" s="31" t="s">
        <v>26303</v>
      </c>
      <c r="C3445" s="25" t="s">
        <v>3837</v>
      </c>
      <c r="D3445" s="25" t="s">
        <v>26232</v>
      </c>
      <c r="E3445" s="25" t="s">
        <v>26306</v>
      </c>
      <c r="F3445" s="9" t="str">
        <f t="shared" si="46"/>
        <v>structure with developmental contribution from neural crest</v>
      </c>
      <c r="G3445" s="9" t="s">
        <v>5090</v>
      </c>
      <c r="H3445" s="9" t="s">
        <v>23143</v>
      </c>
      <c r="I3445" s="9" t="s">
        <v>3841</v>
      </c>
      <c r="J3445" s="9" t="s">
        <v>3842</v>
      </c>
      <c r="K3445" s="4" t="s">
        <v>15175</v>
      </c>
      <c r="L3445" s="13">
        <v>11336</v>
      </c>
      <c r="M3445" t="str">
        <f>VLOOKUP(L3445,[1]Human_BrainSpan!$B$2:$C$4000,2,FALSE)</f>
        <v>Pir2</v>
      </c>
    </row>
    <row r="3446" spans="2:13" x14ac:dyDescent="0.25">
      <c r="B3446" s="31" t="s">
        <v>26303</v>
      </c>
      <c r="C3446" s="25" t="s">
        <v>3837</v>
      </c>
      <c r="D3446" s="25" t="s">
        <v>26232</v>
      </c>
      <c r="E3446" s="25" t="s">
        <v>26306</v>
      </c>
      <c r="F3446" s="9" t="str">
        <f t="shared" si="46"/>
        <v>structure with developmental contribution from neural crest</v>
      </c>
      <c r="G3446" s="9" t="s">
        <v>5090</v>
      </c>
      <c r="H3446" s="9" t="s">
        <v>23144</v>
      </c>
      <c r="I3446" s="9" t="s">
        <v>6485</v>
      </c>
      <c r="J3446" s="9" t="s">
        <v>6486</v>
      </c>
      <c r="K3446" s="4" t="s">
        <v>15175</v>
      </c>
      <c r="L3446" s="13">
        <v>11337</v>
      </c>
      <c r="M3446" t="str">
        <f>VLOOKUP(L3446,[1]Human_BrainSpan!$B$2:$C$4000,2,FALSE)</f>
        <v>Pir3</v>
      </c>
    </row>
    <row r="3447" spans="2:13" x14ac:dyDescent="0.25">
      <c r="B3447" s="31" t="s">
        <v>26303</v>
      </c>
      <c r="C3447" s="25" t="s">
        <v>3837</v>
      </c>
      <c r="D3447" s="25" t="s">
        <v>26232</v>
      </c>
      <c r="E3447" s="25" t="s">
        <v>26306</v>
      </c>
      <c r="F3447" s="9" t="str">
        <f t="shared" ref="F3447:F3510" si="47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3447" s="9" t="s">
        <v>5090</v>
      </c>
      <c r="H3447" s="9" t="s">
        <v>23146</v>
      </c>
      <c r="I3447" s="9" t="s">
        <v>6487</v>
      </c>
      <c r="J3447" s="9" t="s">
        <v>6488</v>
      </c>
      <c r="K3447" s="4" t="s">
        <v>15175</v>
      </c>
      <c r="L3447" s="13">
        <v>11338</v>
      </c>
      <c r="M3447" t="str">
        <f>VLOOKUP(L3447,[1]Human_BrainSpan!$B$2:$C$4000,2,FALSE)</f>
        <v>PEA1</v>
      </c>
    </row>
    <row r="3448" spans="2:13" x14ac:dyDescent="0.25">
      <c r="B3448" s="31" t="s">
        <v>26303</v>
      </c>
      <c r="C3448" s="25" t="s">
        <v>3837</v>
      </c>
      <c r="D3448" s="25" t="s">
        <v>26232</v>
      </c>
      <c r="E3448" s="25" t="s">
        <v>26306</v>
      </c>
      <c r="F3448" s="9" t="str">
        <f t="shared" si="47"/>
        <v>structure with developmental contribution from neural crest</v>
      </c>
      <c r="G3448" s="9" t="s">
        <v>5090</v>
      </c>
      <c r="H3448" s="9" t="s">
        <v>23147</v>
      </c>
      <c r="I3448" s="9" t="s">
        <v>6489</v>
      </c>
      <c r="J3448" s="9" t="s">
        <v>6490</v>
      </c>
      <c r="K3448" s="4" t="s">
        <v>15175</v>
      </c>
      <c r="L3448" s="13">
        <v>11339</v>
      </c>
      <c r="M3448" t="str">
        <f>VLOOKUP(L3448,[1]Human_BrainSpan!$B$2:$C$4000,2,FALSE)</f>
        <v>PEA2</v>
      </c>
    </row>
    <row r="3449" spans="2:13" x14ac:dyDescent="0.25">
      <c r="B3449" s="31" t="s">
        <v>26303</v>
      </c>
      <c r="C3449" s="25" t="s">
        <v>3837</v>
      </c>
      <c r="D3449" s="25" t="s">
        <v>26232</v>
      </c>
      <c r="E3449" s="25" t="s">
        <v>26306</v>
      </c>
      <c r="F3449" s="9" t="str">
        <f t="shared" si="47"/>
        <v>structure with developmental contribution from neural crest</v>
      </c>
      <c r="G3449" s="9" t="s">
        <v>5090</v>
      </c>
      <c r="H3449" s="9" t="s">
        <v>23148</v>
      </c>
      <c r="I3449" s="9" t="s">
        <v>6491</v>
      </c>
      <c r="J3449" s="9" t="s">
        <v>6492</v>
      </c>
      <c r="K3449" s="4" t="s">
        <v>15175</v>
      </c>
      <c r="L3449" s="13">
        <v>11340</v>
      </c>
      <c r="M3449" t="str">
        <f>VLOOKUP(L3449,[1]Human_BrainSpan!$B$2:$C$4000,2,FALSE)</f>
        <v>PEA3</v>
      </c>
    </row>
    <row r="3450" spans="2:13" x14ac:dyDescent="0.25">
      <c r="B3450" s="31" t="s">
        <v>26303</v>
      </c>
      <c r="C3450" s="25" t="s">
        <v>4116</v>
      </c>
      <c r="D3450" s="25" t="s">
        <v>26232</v>
      </c>
      <c r="E3450" s="25"/>
      <c r="F3450" s="9" t="str">
        <f t="shared" si="47"/>
        <v>structure with developmental contribution from neural crest</v>
      </c>
      <c r="G3450" s="9" t="s">
        <v>5090</v>
      </c>
      <c r="H3450" s="9" t="s">
        <v>22958</v>
      </c>
      <c r="I3450" s="9" t="s">
        <v>6493</v>
      </c>
      <c r="J3450" s="9" t="s">
        <v>6494</v>
      </c>
      <c r="K3450" s="4" t="s">
        <v>15175</v>
      </c>
      <c r="L3450" s="13">
        <v>11341</v>
      </c>
      <c r="M3450" t="str">
        <f>VLOOKUP(L3450,[1]Human_BrainSpan!$B$2:$C$4000,2,FALSE)</f>
        <v>PrSr</v>
      </c>
    </row>
    <row r="3451" spans="2:13" x14ac:dyDescent="0.25">
      <c r="B3451" s="31" t="s">
        <v>26303</v>
      </c>
      <c r="C3451" s="25" t="s">
        <v>4116</v>
      </c>
      <c r="D3451" s="25" t="s">
        <v>26232</v>
      </c>
      <c r="E3451" s="25"/>
      <c r="F3451" s="9" t="str">
        <f t="shared" si="47"/>
        <v>structure with developmental contribution from neural crest</v>
      </c>
      <c r="G3451" s="9" t="s">
        <v>5090</v>
      </c>
      <c r="H3451" s="9" t="s">
        <v>22960</v>
      </c>
      <c r="I3451" s="9" t="s">
        <v>6495</v>
      </c>
      <c r="J3451" s="9" t="s">
        <v>6496</v>
      </c>
      <c r="K3451" s="4" t="s">
        <v>15175</v>
      </c>
      <c r="L3451" s="13">
        <v>11342</v>
      </c>
      <c r="M3451" t="str">
        <f>VLOOKUP(L3451,[1]Human_BrainSpan!$B$2:$C$4000,2,FALSE)</f>
        <v>PrSrs</v>
      </c>
    </row>
    <row r="3452" spans="2:13" x14ac:dyDescent="0.25">
      <c r="B3452" s="31" t="s">
        <v>26303</v>
      </c>
      <c r="C3452" s="25" t="s">
        <v>4116</v>
      </c>
      <c r="D3452" s="25" t="s">
        <v>26232</v>
      </c>
      <c r="E3452" s="25" t="s">
        <v>26306</v>
      </c>
      <c r="F3452" s="9" t="str">
        <f t="shared" si="47"/>
        <v>structure with developmental contribution from neural crest</v>
      </c>
      <c r="G3452" s="9" t="s">
        <v>5090</v>
      </c>
      <c r="H3452" s="9" t="s">
        <v>22959</v>
      </c>
      <c r="I3452" s="9" t="s">
        <v>6497</v>
      </c>
      <c r="J3452" s="9" t="s">
        <v>6498</v>
      </c>
      <c r="K3452" s="4" t="s">
        <v>15175</v>
      </c>
      <c r="L3452" s="13">
        <v>11343</v>
      </c>
      <c r="M3452" t="str">
        <f>VLOOKUP(L3452,[1]Human_BrainSpan!$B$2:$C$4000,2,FALSE)</f>
        <v>PrSr1</v>
      </c>
    </row>
    <row r="3453" spans="2:13" x14ac:dyDescent="0.25">
      <c r="B3453" s="31" t="s">
        <v>26303</v>
      </c>
      <c r="C3453" s="25" t="s">
        <v>4116</v>
      </c>
      <c r="D3453" s="25" t="s">
        <v>26232</v>
      </c>
      <c r="E3453" s="25" t="s">
        <v>26306</v>
      </c>
      <c r="F3453" s="9" t="str">
        <f t="shared" si="47"/>
        <v>structure with developmental contribution from neural crest</v>
      </c>
      <c r="G3453" s="9" t="s">
        <v>5090</v>
      </c>
      <c r="H3453" s="9" t="s">
        <v>22961</v>
      </c>
      <c r="I3453" s="9" t="s">
        <v>6499</v>
      </c>
      <c r="J3453" s="9" t="s">
        <v>6500</v>
      </c>
      <c r="K3453" s="4" t="s">
        <v>15175</v>
      </c>
      <c r="L3453" s="13">
        <v>11344</v>
      </c>
      <c r="M3453" t="str">
        <f>VLOOKUP(L3453,[1]Human_BrainSpan!$B$2:$C$4000,2,FALSE)</f>
        <v>PrSr2</v>
      </c>
    </row>
    <row r="3454" spans="2:13" x14ac:dyDescent="0.25">
      <c r="B3454" s="31" t="s">
        <v>26303</v>
      </c>
      <c r="C3454" s="25" t="s">
        <v>4116</v>
      </c>
      <c r="D3454" s="25" t="s">
        <v>26232</v>
      </c>
      <c r="E3454" s="25" t="s">
        <v>26306</v>
      </c>
      <c r="F3454" s="9" t="str">
        <f t="shared" si="47"/>
        <v>structure with developmental contribution from neural crest</v>
      </c>
      <c r="G3454" s="9" t="s">
        <v>5090</v>
      </c>
      <c r="H3454" s="9" t="s">
        <v>22962</v>
      </c>
      <c r="I3454" s="9" t="s">
        <v>6501</v>
      </c>
      <c r="J3454" s="9" t="s">
        <v>6502</v>
      </c>
      <c r="K3454" s="4" t="s">
        <v>15175</v>
      </c>
      <c r="L3454" s="13">
        <v>11345</v>
      </c>
      <c r="M3454" t="str">
        <f>VLOOKUP(L3454,[1]Human_BrainSpan!$B$2:$C$4000,2,FALSE)</f>
        <v>PrSr3</v>
      </c>
    </row>
    <row r="3455" spans="2:13" x14ac:dyDescent="0.25">
      <c r="B3455" s="31" t="s">
        <v>26303</v>
      </c>
      <c r="C3455" s="25" t="s">
        <v>4116</v>
      </c>
      <c r="D3455" s="25" t="s">
        <v>26232</v>
      </c>
      <c r="E3455" s="25" t="s">
        <v>26306</v>
      </c>
      <c r="F3455" s="9" t="str">
        <f t="shared" si="47"/>
        <v>structure with developmental contribution from neural crest</v>
      </c>
      <c r="G3455" s="9" t="s">
        <v>5090</v>
      </c>
      <c r="H3455" s="9" t="s">
        <v>22963</v>
      </c>
      <c r="I3455" s="9" t="s">
        <v>6503</v>
      </c>
      <c r="J3455" s="9" t="s">
        <v>6504</v>
      </c>
      <c r="K3455" s="4" t="s">
        <v>15175</v>
      </c>
      <c r="L3455" s="13">
        <v>11346</v>
      </c>
      <c r="M3455" t="str">
        <f>VLOOKUP(L3455,[1]Human_BrainSpan!$B$2:$C$4000,2,FALSE)</f>
        <v>PrSrld</v>
      </c>
    </row>
    <row r="3456" spans="2:13" x14ac:dyDescent="0.25">
      <c r="B3456" s="31" t="s">
        <v>26303</v>
      </c>
      <c r="C3456" s="25" t="s">
        <v>4116</v>
      </c>
      <c r="D3456" s="25" t="s">
        <v>26232</v>
      </c>
      <c r="E3456" s="25" t="s">
        <v>26306</v>
      </c>
      <c r="F3456" s="9" t="str">
        <f t="shared" si="47"/>
        <v>structure with developmental contribution from neural crest</v>
      </c>
      <c r="G3456" s="9" t="s">
        <v>5090</v>
      </c>
      <c r="H3456" s="9" t="s">
        <v>22964</v>
      </c>
      <c r="I3456" s="9" t="s">
        <v>6505</v>
      </c>
      <c r="J3456" s="9" t="s">
        <v>6506</v>
      </c>
      <c r="K3456" s="4" t="s">
        <v>15175</v>
      </c>
      <c r="L3456" s="13">
        <v>11347</v>
      </c>
      <c r="M3456" t="str">
        <f>VLOOKUP(L3456,[1]Human_BrainSpan!$B$2:$C$4000,2,FALSE)</f>
        <v>PrSrd</v>
      </c>
    </row>
    <row r="3457" spans="2:13" x14ac:dyDescent="0.25">
      <c r="B3457" s="31" t="s">
        <v>26303</v>
      </c>
      <c r="C3457" s="25" t="s">
        <v>4116</v>
      </c>
      <c r="D3457" s="25" t="s">
        <v>26232</v>
      </c>
      <c r="E3457" s="25" t="s">
        <v>26306</v>
      </c>
      <c r="F3457" s="9" t="str">
        <f t="shared" si="47"/>
        <v>structure with developmental contribution from neural crest</v>
      </c>
      <c r="G3457" s="9" t="s">
        <v>5090</v>
      </c>
      <c r="H3457" s="9" t="s">
        <v>22965</v>
      </c>
      <c r="I3457" s="9" t="s">
        <v>6507</v>
      </c>
      <c r="J3457" s="9" t="s">
        <v>6508</v>
      </c>
      <c r="K3457" s="4" t="s">
        <v>15175</v>
      </c>
      <c r="L3457" s="13">
        <v>11348</v>
      </c>
      <c r="M3457" t="str">
        <f>VLOOKUP(L3457,[1]Human_BrainSpan!$B$2:$C$4000,2,FALSE)</f>
        <v>PrSr5</v>
      </c>
    </row>
    <row r="3458" spans="2:13" x14ac:dyDescent="0.25">
      <c r="B3458" s="31" t="s">
        <v>26303</v>
      </c>
      <c r="C3458" s="25" t="s">
        <v>4116</v>
      </c>
      <c r="D3458" s="25" t="s">
        <v>26232</v>
      </c>
      <c r="E3458" s="25" t="s">
        <v>26306</v>
      </c>
      <c r="F3458" s="9" t="str">
        <f t="shared" si="47"/>
        <v>structure with developmental contribution from neural crest</v>
      </c>
      <c r="G3458" s="9" t="s">
        <v>5090</v>
      </c>
      <c r="H3458" s="9" t="s">
        <v>22966</v>
      </c>
      <c r="I3458" s="9" t="s">
        <v>6509</v>
      </c>
      <c r="J3458" s="9" t="s">
        <v>6510</v>
      </c>
      <c r="K3458" s="4" t="s">
        <v>15175</v>
      </c>
      <c r="L3458" s="13">
        <v>11349</v>
      </c>
      <c r="M3458" t="str">
        <f>VLOOKUP(L3458,[1]Human_BrainSpan!$B$2:$C$4000,2,FALSE)</f>
        <v>PrSr6</v>
      </c>
    </row>
    <row r="3459" spans="2:13" x14ac:dyDescent="0.25">
      <c r="B3459" s="31" t="s">
        <v>26299</v>
      </c>
      <c r="C3459" s="25" t="s">
        <v>4051</v>
      </c>
      <c r="D3459" s="25" t="s">
        <v>26232</v>
      </c>
      <c r="E3459" s="25" t="s">
        <v>26309</v>
      </c>
      <c r="F3459" s="9" t="str">
        <f t="shared" si="47"/>
        <v>structure with developmental contribution from neural crest</v>
      </c>
      <c r="G3459" s="9" t="s">
        <v>5090</v>
      </c>
      <c r="H3459" s="9" t="s">
        <v>22967</v>
      </c>
      <c r="I3459" s="9" t="s">
        <v>6511</v>
      </c>
      <c r="J3459" s="9" t="s">
        <v>6512</v>
      </c>
      <c r="K3459" s="4" t="s">
        <v>15175</v>
      </c>
      <c r="L3459" s="13">
        <v>11350</v>
      </c>
      <c r="M3459" t="str">
        <f>VLOOKUP(L3459,[1]Human_BrainSpan!$B$2:$C$4000,2,FALSE)</f>
        <v>PrSc</v>
      </c>
    </row>
    <row r="3460" spans="2:13" x14ac:dyDescent="0.25">
      <c r="B3460" s="31" t="s">
        <v>26299</v>
      </c>
      <c r="C3460" s="25" t="s">
        <v>4116</v>
      </c>
      <c r="D3460" s="25" t="s">
        <v>26232</v>
      </c>
      <c r="E3460" s="25" t="s">
        <v>26306</v>
      </c>
      <c r="F3460" s="9" t="str">
        <f t="shared" si="47"/>
        <v>structure with developmental contribution from neural crest</v>
      </c>
      <c r="G3460" s="9" t="s">
        <v>5090</v>
      </c>
      <c r="H3460" s="9" t="s">
        <v>22969</v>
      </c>
      <c r="I3460" s="9" t="s">
        <v>6513</v>
      </c>
      <c r="J3460" s="9" t="s">
        <v>6514</v>
      </c>
      <c r="K3460" s="4" t="s">
        <v>15175</v>
      </c>
      <c r="L3460" s="13">
        <v>11351</v>
      </c>
      <c r="M3460" t="str">
        <f>VLOOKUP(L3460,[1]Human_BrainSpan!$B$2:$C$4000,2,FALSE)</f>
        <v>PrScs</v>
      </c>
    </row>
    <row r="3461" spans="2:13" x14ac:dyDescent="0.25">
      <c r="B3461" s="31" t="s">
        <v>26299</v>
      </c>
      <c r="C3461" s="25" t="s">
        <v>4116</v>
      </c>
      <c r="D3461" s="25" t="s">
        <v>26232</v>
      </c>
      <c r="E3461" s="25" t="s">
        <v>26306</v>
      </c>
      <c r="F3461" s="9" t="str">
        <f t="shared" si="47"/>
        <v>structure with developmental contribution from neural crest</v>
      </c>
      <c r="G3461" s="9" t="s">
        <v>5090</v>
      </c>
      <c r="H3461" s="9" t="s">
        <v>22968</v>
      </c>
      <c r="I3461" s="9" t="s">
        <v>6515</v>
      </c>
      <c r="J3461" s="9" t="s">
        <v>6516</v>
      </c>
      <c r="K3461" s="4" t="s">
        <v>15175</v>
      </c>
      <c r="L3461" s="13">
        <v>11352</v>
      </c>
      <c r="M3461" t="str">
        <f>VLOOKUP(L3461,[1]Human_BrainSpan!$B$2:$C$4000,2,FALSE)</f>
        <v>PrSc1</v>
      </c>
    </row>
    <row r="3462" spans="2:13" x14ac:dyDescent="0.25">
      <c r="B3462" s="31" t="s">
        <v>26299</v>
      </c>
      <c r="C3462" s="25" t="s">
        <v>4116</v>
      </c>
      <c r="D3462" s="25" t="s">
        <v>26232</v>
      </c>
      <c r="E3462" s="25" t="s">
        <v>26306</v>
      </c>
      <c r="F3462" s="9" t="str">
        <f t="shared" si="47"/>
        <v>structure with developmental contribution from neural crest</v>
      </c>
      <c r="G3462" s="9" t="s">
        <v>5090</v>
      </c>
      <c r="H3462" s="9" t="s">
        <v>22970</v>
      </c>
      <c r="I3462" s="9" t="s">
        <v>6517</v>
      </c>
      <c r="J3462" s="9" t="s">
        <v>6518</v>
      </c>
      <c r="K3462" s="4" t="s">
        <v>15175</v>
      </c>
      <c r="L3462" s="13">
        <v>11353</v>
      </c>
      <c r="M3462" t="str">
        <f>VLOOKUP(L3462,[1]Human_BrainSpan!$B$2:$C$4000,2,FALSE)</f>
        <v>PrSc2</v>
      </c>
    </row>
    <row r="3463" spans="2:13" x14ac:dyDescent="0.25">
      <c r="B3463" s="31" t="s">
        <v>26299</v>
      </c>
      <c r="C3463" s="25" t="s">
        <v>4116</v>
      </c>
      <c r="D3463" s="25" t="s">
        <v>26232</v>
      </c>
      <c r="E3463" s="25" t="s">
        <v>26306</v>
      </c>
      <c r="F3463" s="9" t="str">
        <f t="shared" si="47"/>
        <v>structure with developmental contribution from neural crest</v>
      </c>
      <c r="G3463" s="9" t="s">
        <v>5090</v>
      </c>
      <c r="H3463" s="9" t="s">
        <v>22971</v>
      </c>
      <c r="I3463" s="9" t="s">
        <v>6519</v>
      </c>
      <c r="J3463" s="9" t="s">
        <v>6520</v>
      </c>
      <c r="K3463" s="4" t="s">
        <v>15175</v>
      </c>
      <c r="L3463" s="13">
        <v>11354</v>
      </c>
      <c r="M3463" t="str">
        <f>VLOOKUP(L3463,[1]Human_BrainSpan!$B$2:$C$4000,2,FALSE)</f>
        <v>PrSc3</v>
      </c>
    </row>
    <row r="3464" spans="2:13" x14ac:dyDescent="0.25">
      <c r="B3464" s="31" t="s">
        <v>26299</v>
      </c>
      <c r="C3464" s="25" t="s">
        <v>4116</v>
      </c>
      <c r="D3464" s="25" t="s">
        <v>26232</v>
      </c>
      <c r="E3464" s="25" t="s">
        <v>26306</v>
      </c>
      <c r="F3464" s="9" t="str">
        <f t="shared" si="47"/>
        <v>structure with developmental contribution from neural crest</v>
      </c>
      <c r="G3464" s="9" t="s">
        <v>5090</v>
      </c>
      <c r="H3464" s="9" t="s">
        <v>22972</v>
      </c>
      <c r="I3464" s="9" t="s">
        <v>6521</v>
      </c>
      <c r="J3464" s="9" t="s">
        <v>6522</v>
      </c>
      <c r="K3464" s="4" t="s">
        <v>15175</v>
      </c>
      <c r="L3464" s="13">
        <v>11355</v>
      </c>
      <c r="M3464" t="str">
        <f>VLOOKUP(L3464,[1]Human_BrainSpan!$B$2:$C$4000,2,FALSE)</f>
        <v>PrScld</v>
      </c>
    </row>
    <row r="3465" spans="2:13" x14ac:dyDescent="0.25">
      <c r="B3465" s="31" t="s">
        <v>26299</v>
      </c>
      <c r="C3465" s="25" t="s">
        <v>4116</v>
      </c>
      <c r="D3465" s="25" t="s">
        <v>26232</v>
      </c>
      <c r="E3465" s="25" t="s">
        <v>26306</v>
      </c>
      <c r="F3465" s="9" t="str">
        <f t="shared" si="47"/>
        <v>structure with developmental contribution from neural crest</v>
      </c>
      <c r="G3465" s="9" t="s">
        <v>5090</v>
      </c>
      <c r="H3465" s="9" t="s">
        <v>22973</v>
      </c>
      <c r="I3465" s="9" t="s">
        <v>6523</v>
      </c>
      <c r="J3465" s="9" t="s">
        <v>6524</v>
      </c>
      <c r="K3465" s="4" t="s">
        <v>15175</v>
      </c>
      <c r="L3465" s="13">
        <v>11356</v>
      </c>
      <c r="M3465" t="str">
        <f>VLOOKUP(L3465,[1]Human_BrainSpan!$B$2:$C$4000,2,FALSE)</f>
        <v>PrScd</v>
      </c>
    </row>
    <row r="3466" spans="2:13" x14ac:dyDescent="0.25">
      <c r="B3466" s="31" t="s">
        <v>26299</v>
      </c>
      <c r="C3466" s="25" t="s">
        <v>4116</v>
      </c>
      <c r="D3466" s="25" t="s">
        <v>26232</v>
      </c>
      <c r="E3466" s="25" t="s">
        <v>26306</v>
      </c>
      <c r="F3466" s="9" t="str">
        <f t="shared" si="47"/>
        <v>structure with developmental contribution from neural crest</v>
      </c>
      <c r="G3466" s="9" t="s">
        <v>5090</v>
      </c>
      <c r="H3466" s="9" t="s">
        <v>22974</v>
      </c>
      <c r="I3466" s="9" t="s">
        <v>6525</v>
      </c>
      <c r="J3466" s="9" t="s">
        <v>6526</v>
      </c>
      <c r="K3466" s="4" t="s">
        <v>15175</v>
      </c>
      <c r="L3466" s="13">
        <v>11357</v>
      </c>
      <c r="M3466" t="str">
        <f>VLOOKUP(L3466,[1]Human_BrainSpan!$B$2:$C$4000,2,FALSE)</f>
        <v>PrSc5</v>
      </c>
    </row>
    <row r="3467" spans="2:13" x14ac:dyDescent="0.25">
      <c r="B3467" s="31" t="s">
        <v>26299</v>
      </c>
      <c r="C3467" s="25" t="s">
        <v>4116</v>
      </c>
      <c r="D3467" s="25" t="s">
        <v>26232</v>
      </c>
      <c r="E3467" s="25" t="s">
        <v>26306</v>
      </c>
      <c r="F3467" s="9" t="str">
        <f t="shared" si="47"/>
        <v>structure with developmental contribution from neural crest</v>
      </c>
      <c r="G3467" s="9" t="s">
        <v>5090</v>
      </c>
      <c r="H3467" s="9" t="s">
        <v>22975</v>
      </c>
      <c r="I3467" s="9" t="s">
        <v>6527</v>
      </c>
      <c r="J3467" s="9" t="s">
        <v>6528</v>
      </c>
      <c r="K3467" s="4" t="s">
        <v>15175</v>
      </c>
      <c r="L3467" s="13">
        <v>11358</v>
      </c>
      <c r="M3467" t="str">
        <f>VLOOKUP(L3467,[1]Human_BrainSpan!$B$2:$C$4000,2,FALSE)</f>
        <v>PrSc6</v>
      </c>
    </row>
    <row r="3468" spans="2:13" x14ac:dyDescent="0.25">
      <c r="B3468" s="31" t="s">
        <v>26303</v>
      </c>
      <c r="C3468" s="25" t="s">
        <v>3614</v>
      </c>
      <c r="D3468" s="25" t="s">
        <v>26232</v>
      </c>
      <c r="E3468" s="25"/>
      <c r="F3468" s="9" t="str">
        <f t="shared" si="47"/>
        <v>structure with developmental contribution from neural crest</v>
      </c>
      <c r="G3468" s="9" t="s">
        <v>5090</v>
      </c>
      <c r="H3468" s="9" t="s">
        <v>22948</v>
      </c>
      <c r="I3468" s="9" t="s">
        <v>6529</v>
      </c>
      <c r="J3468" s="9" t="s">
        <v>6530</v>
      </c>
      <c r="K3468" s="4" t="s">
        <v>15175</v>
      </c>
      <c r="L3468" s="13">
        <v>11359</v>
      </c>
      <c r="M3468" t="str">
        <f>VLOOKUP(L3468,[1]Human_BrainSpan!$B$2:$C$4000,2,FALSE)</f>
        <v>PaSb</v>
      </c>
    </row>
    <row r="3469" spans="2:13" x14ac:dyDescent="0.25">
      <c r="B3469" s="31" t="s">
        <v>26303</v>
      </c>
      <c r="C3469" s="25" t="s">
        <v>3614</v>
      </c>
      <c r="D3469" s="25" t="s">
        <v>26232</v>
      </c>
      <c r="E3469" s="25" t="s">
        <v>26306</v>
      </c>
      <c r="F3469" s="9" t="str">
        <f t="shared" si="47"/>
        <v>structure with developmental contribution from neural crest</v>
      </c>
      <c r="G3469" s="9" t="s">
        <v>5090</v>
      </c>
      <c r="H3469" s="9" t="s">
        <v>22949</v>
      </c>
      <c r="I3469" s="9" t="s">
        <v>6531</v>
      </c>
      <c r="J3469" s="9" t="s">
        <v>6532</v>
      </c>
      <c r="K3469" s="4" t="s">
        <v>15175</v>
      </c>
      <c r="L3469" s="13">
        <v>11360</v>
      </c>
      <c r="M3469" t="str">
        <f>VLOOKUP(L3469,[1]Human_BrainSpan!$B$2:$C$4000,2,FALSE)</f>
        <v>PaSb1</v>
      </c>
    </row>
    <row r="3470" spans="2:13" x14ac:dyDescent="0.25">
      <c r="B3470" s="31" t="s">
        <v>26303</v>
      </c>
      <c r="C3470" s="25" t="s">
        <v>3614</v>
      </c>
      <c r="D3470" s="25" t="s">
        <v>26232</v>
      </c>
      <c r="E3470" s="25" t="s">
        <v>26306</v>
      </c>
      <c r="F3470" s="9" t="str">
        <f t="shared" si="47"/>
        <v>structure with developmental contribution from neural crest</v>
      </c>
      <c r="G3470" s="9" t="s">
        <v>5090</v>
      </c>
      <c r="H3470" s="9" t="s">
        <v>22950</v>
      </c>
      <c r="I3470" s="9" t="s">
        <v>6533</v>
      </c>
      <c r="J3470" s="9" t="s">
        <v>6534</v>
      </c>
      <c r="K3470" s="4" t="s">
        <v>15175</v>
      </c>
      <c r="L3470" s="13">
        <v>11361</v>
      </c>
      <c r="M3470" t="str">
        <f>VLOOKUP(L3470,[1]Human_BrainSpan!$B$2:$C$4000,2,FALSE)</f>
        <v>PaSb2-3</v>
      </c>
    </row>
    <row r="3471" spans="2:13" x14ac:dyDescent="0.25">
      <c r="B3471" s="31" t="s">
        <v>26303</v>
      </c>
      <c r="C3471" s="25" t="s">
        <v>3614</v>
      </c>
      <c r="D3471" s="25" t="s">
        <v>26232</v>
      </c>
      <c r="E3471" s="25" t="s">
        <v>26306</v>
      </c>
      <c r="F3471" s="9" t="str">
        <f t="shared" si="47"/>
        <v>structure with developmental contribution from neural crest</v>
      </c>
      <c r="G3471" s="9" t="s">
        <v>5090</v>
      </c>
      <c r="H3471" s="9" t="s">
        <v>22951</v>
      </c>
      <c r="I3471" s="9" t="s">
        <v>6535</v>
      </c>
      <c r="J3471" s="9" t="s">
        <v>6536</v>
      </c>
      <c r="K3471" s="4" t="s">
        <v>15175</v>
      </c>
      <c r="L3471" s="13">
        <v>11362</v>
      </c>
      <c r="M3471" t="str">
        <f>VLOOKUP(L3471,[1]Human_BrainSpan!$B$2:$C$4000,2,FALSE)</f>
        <v>PaSbld</v>
      </c>
    </row>
    <row r="3472" spans="2:13" x14ac:dyDescent="0.25">
      <c r="B3472" s="31" t="s">
        <v>26303</v>
      </c>
      <c r="C3472" s="25" t="s">
        <v>3614</v>
      </c>
      <c r="D3472" s="25" t="s">
        <v>26232</v>
      </c>
      <c r="E3472" s="25"/>
      <c r="F3472" s="9" t="str">
        <f t="shared" si="47"/>
        <v>structure with developmental contribution from neural crest</v>
      </c>
      <c r="G3472" s="9" t="s">
        <v>5090</v>
      </c>
      <c r="H3472" s="9" t="s">
        <v>22953</v>
      </c>
      <c r="I3472" s="9" t="s">
        <v>6537</v>
      </c>
      <c r="J3472" s="9" t="s">
        <v>6538</v>
      </c>
      <c r="K3472" s="4" t="s">
        <v>15175</v>
      </c>
      <c r="L3472" s="13">
        <v>11365</v>
      </c>
      <c r="M3472" t="str">
        <f>VLOOKUP(L3472,[1]Human_BrainSpan!$B$2:$C$4000,2,FALSE)</f>
        <v>PaSa</v>
      </c>
    </row>
    <row r="3473" spans="2:13" x14ac:dyDescent="0.25">
      <c r="B3473" s="31" t="s">
        <v>26303</v>
      </c>
      <c r="C3473" s="25" t="s">
        <v>3614</v>
      </c>
      <c r="D3473" s="25" t="s">
        <v>26232</v>
      </c>
      <c r="E3473" s="25" t="s">
        <v>26306</v>
      </c>
      <c r="F3473" s="9" t="str">
        <f t="shared" si="47"/>
        <v>structure with developmental contribution from neural crest</v>
      </c>
      <c r="G3473" s="9" t="s">
        <v>5090</v>
      </c>
      <c r="H3473" s="9" t="s">
        <v>22954</v>
      </c>
      <c r="I3473" s="9" t="s">
        <v>6539</v>
      </c>
      <c r="J3473" s="9" t="s">
        <v>6540</v>
      </c>
      <c r="K3473" s="4" t="s">
        <v>15175</v>
      </c>
      <c r="L3473" s="13">
        <v>11366</v>
      </c>
      <c r="M3473" t="str">
        <f>VLOOKUP(L3473,[1]Human_BrainSpan!$B$2:$C$4000,2,FALSE)</f>
        <v>PaSa1</v>
      </c>
    </row>
    <row r="3474" spans="2:13" x14ac:dyDescent="0.25">
      <c r="B3474" s="31" t="s">
        <v>26303</v>
      </c>
      <c r="C3474" s="25" t="s">
        <v>3614</v>
      </c>
      <c r="D3474" s="25" t="s">
        <v>26232</v>
      </c>
      <c r="E3474" s="25" t="s">
        <v>26306</v>
      </c>
      <c r="F3474" s="9" t="str">
        <f t="shared" si="47"/>
        <v>structure with developmental contribution from neural crest</v>
      </c>
      <c r="G3474" s="9" t="s">
        <v>5090</v>
      </c>
      <c r="H3474" s="9" t="s">
        <v>22955</v>
      </c>
      <c r="I3474" s="9" t="s">
        <v>6541</v>
      </c>
      <c r="J3474" s="9" t="s">
        <v>6542</v>
      </c>
      <c r="K3474" s="4" t="s">
        <v>15175</v>
      </c>
      <c r="L3474" s="13">
        <v>11367</v>
      </c>
      <c r="M3474" t="str">
        <f>VLOOKUP(L3474,[1]Human_BrainSpan!$B$2:$C$4000,2,FALSE)</f>
        <v>PaSa2-3</v>
      </c>
    </row>
    <row r="3475" spans="2:13" x14ac:dyDescent="0.25">
      <c r="B3475" s="31" t="s">
        <v>26303</v>
      </c>
      <c r="C3475" s="25" t="s">
        <v>3614</v>
      </c>
      <c r="D3475" s="25" t="s">
        <v>26232</v>
      </c>
      <c r="E3475" s="25" t="s">
        <v>26306</v>
      </c>
      <c r="F3475" s="9" t="str">
        <f t="shared" si="47"/>
        <v>structure with developmental contribution from neural crest</v>
      </c>
      <c r="G3475" s="9" t="s">
        <v>5090</v>
      </c>
      <c r="H3475" s="9" t="s">
        <v>22956</v>
      </c>
      <c r="I3475" s="9" t="s">
        <v>6543</v>
      </c>
      <c r="J3475" s="9" t="s">
        <v>6544</v>
      </c>
      <c r="K3475" s="4" t="s">
        <v>15175</v>
      </c>
      <c r="L3475" s="13">
        <v>11368</v>
      </c>
      <c r="M3475" t="str">
        <f>VLOOKUP(L3475,[1]Human_BrainSpan!$B$2:$C$4000,2,FALSE)</f>
        <v>PaSald</v>
      </c>
    </row>
    <row r="3476" spans="2:13" x14ac:dyDescent="0.25">
      <c r="B3476" s="31" t="s">
        <v>26303</v>
      </c>
      <c r="C3476" s="25" t="s">
        <v>1765</v>
      </c>
      <c r="D3476" s="25" t="s">
        <v>26232</v>
      </c>
      <c r="E3476" s="25"/>
      <c r="F3476" s="9" t="str">
        <f t="shared" si="47"/>
        <v>structure with developmental contribution from neural crest</v>
      </c>
      <c r="G3476" s="9" t="s">
        <v>5090</v>
      </c>
      <c r="H3476" s="9" t="s">
        <v>22860</v>
      </c>
      <c r="I3476" s="9" t="s">
        <v>6545</v>
      </c>
      <c r="J3476" s="9" t="s">
        <v>6546</v>
      </c>
      <c r="K3476" s="4" t="s">
        <v>15175</v>
      </c>
      <c r="L3476" s="13">
        <v>11371</v>
      </c>
      <c r="M3476" t="str">
        <f>VLOOKUP(L3476,[1]Human_BrainSpan!$B$2:$C$4000,2,FALSE)</f>
        <v>EO</v>
      </c>
    </row>
    <row r="3477" spans="2:13" x14ac:dyDescent="0.25">
      <c r="B3477" s="31" t="s">
        <v>26303</v>
      </c>
      <c r="C3477" s="25" t="s">
        <v>1765</v>
      </c>
      <c r="D3477" s="25" t="s">
        <v>26232</v>
      </c>
      <c r="E3477" s="25" t="s">
        <v>26306</v>
      </c>
      <c r="F3477" s="9" t="str">
        <f t="shared" si="47"/>
        <v>structure with developmental contribution from neural crest</v>
      </c>
      <c r="G3477" s="9" t="s">
        <v>5090</v>
      </c>
      <c r="H3477" s="9" t="s">
        <v>22862</v>
      </c>
      <c r="I3477" s="9" t="s">
        <v>6547</v>
      </c>
      <c r="J3477" s="9" t="s">
        <v>6548</v>
      </c>
      <c r="K3477" s="4" t="s">
        <v>15175</v>
      </c>
      <c r="L3477" s="13">
        <v>11372</v>
      </c>
      <c r="M3477" t="str">
        <f>VLOOKUP(L3477,[1]Human_BrainSpan!$B$2:$C$4000,2,FALSE)</f>
        <v>EOs</v>
      </c>
    </row>
    <row r="3478" spans="2:13" x14ac:dyDescent="0.25">
      <c r="B3478" s="31" t="s">
        <v>26303</v>
      </c>
      <c r="C3478" s="25" t="s">
        <v>1765</v>
      </c>
      <c r="D3478" s="25" t="s">
        <v>26232</v>
      </c>
      <c r="E3478" s="25" t="s">
        <v>26306</v>
      </c>
      <c r="F3478" s="9" t="str">
        <f t="shared" si="47"/>
        <v>structure with developmental contribution from neural crest</v>
      </c>
      <c r="G3478" s="9" t="s">
        <v>5090</v>
      </c>
      <c r="H3478" s="9" t="s">
        <v>22861</v>
      </c>
      <c r="I3478" s="9" t="s">
        <v>6549</v>
      </c>
      <c r="J3478" s="9" t="s">
        <v>6550</v>
      </c>
      <c r="K3478" s="4" t="s">
        <v>15175</v>
      </c>
      <c r="L3478" s="13">
        <v>11373</v>
      </c>
      <c r="M3478" t="str">
        <f>VLOOKUP(L3478,[1]Human_BrainSpan!$B$2:$C$4000,2,FALSE)</f>
        <v>EO1</v>
      </c>
    </row>
    <row r="3479" spans="2:13" x14ac:dyDescent="0.25">
      <c r="B3479" s="31" t="s">
        <v>26303</v>
      </c>
      <c r="C3479" s="25" t="s">
        <v>1765</v>
      </c>
      <c r="D3479" s="25" t="s">
        <v>26232</v>
      </c>
      <c r="E3479" s="25" t="s">
        <v>26306</v>
      </c>
      <c r="F3479" s="9" t="str">
        <f t="shared" si="47"/>
        <v>structure with developmental contribution from neural crest</v>
      </c>
      <c r="G3479" s="9" t="s">
        <v>5090</v>
      </c>
      <c r="H3479" s="9" t="s">
        <v>22863</v>
      </c>
      <c r="I3479" s="9" t="s">
        <v>6551</v>
      </c>
      <c r="J3479" s="9" t="s">
        <v>6552</v>
      </c>
      <c r="K3479" s="4" t="s">
        <v>15175</v>
      </c>
      <c r="L3479" s="13">
        <v>11374</v>
      </c>
      <c r="M3479" t="str">
        <f>VLOOKUP(L3479,[1]Human_BrainSpan!$B$2:$C$4000,2,FALSE)</f>
        <v>EO2</v>
      </c>
    </row>
    <row r="3480" spans="2:13" x14ac:dyDescent="0.25">
      <c r="B3480" s="31" t="s">
        <v>26303</v>
      </c>
      <c r="C3480" s="25" t="s">
        <v>1765</v>
      </c>
      <c r="D3480" s="25" t="s">
        <v>26232</v>
      </c>
      <c r="E3480" s="25" t="s">
        <v>26306</v>
      </c>
      <c r="F3480" s="9" t="str">
        <f t="shared" si="47"/>
        <v>structure with developmental contribution from neural crest</v>
      </c>
      <c r="G3480" s="9" t="s">
        <v>5090</v>
      </c>
      <c r="H3480" s="9" t="s">
        <v>22864</v>
      </c>
      <c r="I3480" s="9" t="s">
        <v>6553</v>
      </c>
      <c r="J3480" s="9" t="s">
        <v>6554</v>
      </c>
      <c r="K3480" s="4" t="s">
        <v>15175</v>
      </c>
      <c r="L3480" s="13">
        <v>11375</v>
      </c>
      <c r="M3480" t="str">
        <f>VLOOKUP(L3480,[1]Human_BrainSpan!$B$2:$C$4000,2,FALSE)</f>
        <v>EO3</v>
      </c>
    </row>
    <row r="3481" spans="2:13" x14ac:dyDescent="0.25">
      <c r="B3481" s="31" t="s">
        <v>26303</v>
      </c>
      <c r="C3481" s="25" t="s">
        <v>1765</v>
      </c>
      <c r="D3481" s="25" t="s">
        <v>26232</v>
      </c>
      <c r="E3481" s="25" t="s">
        <v>26306</v>
      </c>
      <c r="F3481" s="9" t="str">
        <f t="shared" si="47"/>
        <v>structure with developmental contribution from neural crest</v>
      </c>
      <c r="G3481" s="9" t="s">
        <v>5090</v>
      </c>
      <c r="H3481" s="9" t="s">
        <v>22865</v>
      </c>
      <c r="I3481" s="9" t="s">
        <v>6555</v>
      </c>
      <c r="J3481" s="9" t="s">
        <v>6556</v>
      </c>
      <c r="K3481" s="4" t="s">
        <v>15175</v>
      </c>
      <c r="L3481" s="13">
        <v>11376</v>
      </c>
      <c r="M3481" t="str">
        <f>VLOOKUP(L3481,[1]Human_BrainSpan!$B$2:$C$4000,2,FALSE)</f>
        <v>EO3a</v>
      </c>
    </row>
    <row r="3482" spans="2:13" x14ac:dyDescent="0.25">
      <c r="B3482" s="31" t="s">
        <v>26303</v>
      </c>
      <c r="C3482" s="25" t="s">
        <v>1765</v>
      </c>
      <c r="D3482" s="25" t="s">
        <v>26232</v>
      </c>
      <c r="E3482" s="25" t="s">
        <v>26306</v>
      </c>
      <c r="F3482" s="9" t="str">
        <f t="shared" si="47"/>
        <v>structure with developmental contribution from neural crest</v>
      </c>
      <c r="G3482" s="9" t="s">
        <v>5090</v>
      </c>
      <c r="H3482" s="9" t="s">
        <v>22866</v>
      </c>
      <c r="I3482" s="9" t="s">
        <v>6557</v>
      </c>
      <c r="J3482" s="9" t="s">
        <v>6558</v>
      </c>
      <c r="K3482" s="4" t="s">
        <v>15175</v>
      </c>
      <c r="L3482" s="13">
        <v>11377</v>
      </c>
      <c r="M3482" t="str">
        <f>VLOOKUP(L3482,[1]Human_BrainSpan!$B$2:$C$4000,2,FALSE)</f>
        <v>EO3b</v>
      </c>
    </row>
    <row r="3483" spans="2:13" x14ac:dyDescent="0.25">
      <c r="B3483" s="31" t="s">
        <v>26303</v>
      </c>
      <c r="C3483" s="25" t="s">
        <v>1765</v>
      </c>
      <c r="D3483" s="25" t="s">
        <v>26232</v>
      </c>
      <c r="E3483" s="25" t="s">
        <v>26306</v>
      </c>
      <c r="F3483" s="9" t="str">
        <f t="shared" si="47"/>
        <v>structure with developmental contribution from neural crest</v>
      </c>
      <c r="G3483" s="9" t="s">
        <v>5090</v>
      </c>
      <c r="H3483" s="9" t="s">
        <v>22868</v>
      </c>
      <c r="I3483" s="9" t="s">
        <v>6559</v>
      </c>
      <c r="J3483" s="9" t="s">
        <v>6560</v>
      </c>
      <c r="K3483" s="4" t="s">
        <v>15175</v>
      </c>
      <c r="L3483" s="13">
        <v>11378</v>
      </c>
      <c r="M3483" t="str">
        <f>VLOOKUP(L3483,[1]Human_BrainSpan!$B$2:$C$4000,2,FALSE)</f>
        <v>EOd</v>
      </c>
    </row>
    <row r="3484" spans="2:13" x14ac:dyDescent="0.25">
      <c r="B3484" s="31" t="s">
        <v>26303</v>
      </c>
      <c r="C3484" s="25" t="s">
        <v>1765</v>
      </c>
      <c r="D3484" s="25" t="s">
        <v>26232</v>
      </c>
      <c r="E3484" s="25" t="s">
        <v>26306</v>
      </c>
      <c r="F3484" s="9" t="str">
        <f t="shared" si="47"/>
        <v>structure with developmental contribution from neural crest</v>
      </c>
      <c r="G3484" s="9" t="s">
        <v>5090</v>
      </c>
      <c r="H3484" s="9" t="s">
        <v>22869</v>
      </c>
      <c r="I3484" s="9" t="s">
        <v>6561</v>
      </c>
      <c r="J3484" s="9" t="s">
        <v>6562</v>
      </c>
      <c r="K3484" s="4" t="s">
        <v>15175</v>
      </c>
      <c r="L3484" s="13">
        <v>11379</v>
      </c>
      <c r="M3484" t="str">
        <f>VLOOKUP(L3484,[1]Human_BrainSpan!$B$2:$C$4000,2,FALSE)</f>
        <v>EO5</v>
      </c>
    </row>
    <row r="3485" spans="2:13" x14ac:dyDescent="0.25">
      <c r="B3485" s="31" t="s">
        <v>26303</v>
      </c>
      <c r="C3485" s="25" t="s">
        <v>1765</v>
      </c>
      <c r="D3485" s="25" t="s">
        <v>26232</v>
      </c>
      <c r="E3485" s="25" t="s">
        <v>26306</v>
      </c>
      <c r="F3485" s="9" t="str">
        <f t="shared" si="47"/>
        <v>structure with developmental contribution from neural crest</v>
      </c>
      <c r="G3485" s="9" t="s">
        <v>5090</v>
      </c>
      <c r="H3485" s="9" t="s">
        <v>22870</v>
      </c>
      <c r="I3485" s="9" t="s">
        <v>6563</v>
      </c>
      <c r="J3485" s="9" t="s">
        <v>6564</v>
      </c>
      <c r="K3485" s="4" t="s">
        <v>15175</v>
      </c>
      <c r="L3485" s="13">
        <v>11380</v>
      </c>
      <c r="M3485" t="str">
        <f>VLOOKUP(L3485,[1]Human_BrainSpan!$B$2:$C$4000,2,FALSE)</f>
        <v>EO6</v>
      </c>
    </row>
    <row r="3486" spans="2:13" x14ac:dyDescent="0.25">
      <c r="B3486" s="31" t="s">
        <v>26303</v>
      </c>
      <c r="C3486" s="25" t="s">
        <v>25987</v>
      </c>
      <c r="D3486" s="25" t="s">
        <v>26232</v>
      </c>
      <c r="E3486" s="25" t="s">
        <v>26306</v>
      </c>
      <c r="F3486" s="9" t="str">
        <f t="shared" si="47"/>
        <v>structure with developmental contribution from neural crest</v>
      </c>
      <c r="G3486" s="9" t="s">
        <v>5090</v>
      </c>
      <c r="H3486" s="9" t="s">
        <v>22871</v>
      </c>
      <c r="I3486" s="9" t="s">
        <v>6565</v>
      </c>
      <c r="J3486" s="9" t="s">
        <v>6566</v>
      </c>
      <c r="K3486" s="4" t="s">
        <v>15175</v>
      </c>
      <c r="L3486" s="13">
        <v>11381</v>
      </c>
      <c r="M3486" t="str">
        <f>VLOOKUP(L3486,[1]Human_BrainSpan!$B$2:$C$4000,2,FALSE)</f>
        <v>ER</v>
      </c>
    </row>
    <row r="3487" spans="2:13" x14ac:dyDescent="0.25">
      <c r="B3487" s="31" t="s">
        <v>26303</v>
      </c>
      <c r="C3487" s="25" t="s">
        <v>25987</v>
      </c>
      <c r="D3487" s="25" t="s">
        <v>26232</v>
      </c>
      <c r="E3487" s="25" t="s">
        <v>26306</v>
      </c>
      <c r="F3487" s="9" t="str">
        <f t="shared" si="47"/>
        <v>structure with developmental contribution from neural crest</v>
      </c>
      <c r="G3487" s="9" t="s">
        <v>5090</v>
      </c>
      <c r="H3487" s="9" t="s">
        <v>15902</v>
      </c>
      <c r="I3487" s="9" t="s">
        <v>6567</v>
      </c>
      <c r="J3487" s="9" t="s">
        <v>6568</v>
      </c>
      <c r="K3487" s="4" t="s">
        <v>15175</v>
      </c>
      <c r="L3487" s="13">
        <v>11382</v>
      </c>
      <c r="M3487" t="str">
        <f>VLOOKUP(L3487,[1]Human_BrainSpan!$B$2:$C$4000,2,FALSE)</f>
        <v>ERs</v>
      </c>
    </row>
    <row r="3488" spans="2:13" x14ac:dyDescent="0.25">
      <c r="B3488" s="31" t="s">
        <v>26303</v>
      </c>
      <c r="C3488" s="25" t="s">
        <v>25987</v>
      </c>
      <c r="D3488" s="25" t="s">
        <v>26232</v>
      </c>
      <c r="E3488" s="25" t="s">
        <v>26306</v>
      </c>
      <c r="F3488" s="9" t="str">
        <f t="shared" si="47"/>
        <v>structure with developmental contribution from neural crest</v>
      </c>
      <c r="G3488" s="9" t="s">
        <v>5090</v>
      </c>
      <c r="H3488" s="9" t="s">
        <v>22872</v>
      </c>
      <c r="I3488" s="9" t="s">
        <v>6569</v>
      </c>
      <c r="J3488" s="9" t="s">
        <v>6570</v>
      </c>
      <c r="K3488" s="4" t="s">
        <v>15175</v>
      </c>
      <c r="L3488" s="13">
        <v>11383</v>
      </c>
      <c r="M3488" t="str">
        <f>VLOOKUP(L3488,[1]Human_BrainSpan!$B$2:$C$4000,2,FALSE)</f>
        <v>ER1</v>
      </c>
    </row>
    <row r="3489" spans="2:13" x14ac:dyDescent="0.25">
      <c r="B3489" s="31" t="s">
        <v>26303</v>
      </c>
      <c r="C3489" s="25" t="s">
        <v>25987</v>
      </c>
      <c r="D3489" s="25" t="s">
        <v>26232</v>
      </c>
      <c r="E3489" s="25" t="s">
        <v>26306</v>
      </c>
      <c r="F3489" s="9" t="str">
        <f t="shared" si="47"/>
        <v>structure with developmental contribution from neural crest</v>
      </c>
      <c r="G3489" s="9" t="s">
        <v>5090</v>
      </c>
      <c r="H3489" s="9" t="s">
        <v>22873</v>
      </c>
      <c r="I3489" s="9" t="s">
        <v>6571</v>
      </c>
      <c r="J3489" s="9" t="s">
        <v>6572</v>
      </c>
      <c r="K3489" s="4" t="s">
        <v>15175</v>
      </c>
      <c r="L3489" s="13">
        <v>11384</v>
      </c>
      <c r="M3489" t="str">
        <f>VLOOKUP(L3489,[1]Human_BrainSpan!$B$2:$C$4000,2,FALSE)</f>
        <v>ER2</v>
      </c>
    </row>
    <row r="3490" spans="2:13" x14ac:dyDescent="0.25">
      <c r="B3490" s="31" t="s">
        <v>26303</v>
      </c>
      <c r="C3490" s="25" t="s">
        <v>25987</v>
      </c>
      <c r="D3490" s="25" t="s">
        <v>26232</v>
      </c>
      <c r="E3490" s="25" t="s">
        <v>26306</v>
      </c>
      <c r="F3490" s="9" t="str">
        <f t="shared" si="47"/>
        <v>structure with developmental contribution from neural crest</v>
      </c>
      <c r="G3490" s="9" t="s">
        <v>5090</v>
      </c>
      <c r="H3490" s="9" t="s">
        <v>22874</v>
      </c>
      <c r="I3490" s="9" t="s">
        <v>6573</v>
      </c>
      <c r="J3490" s="9" t="s">
        <v>6574</v>
      </c>
      <c r="K3490" s="4" t="s">
        <v>15175</v>
      </c>
      <c r="L3490" s="13">
        <v>11385</v>
      </c>
      <c r="M3490" t="str">
        <f>VLOOKUP(L3490,[1]Human_BrainSpan!$B$2:$C$4000,2,FALSE)</f>
        <v>ER3</v>
      </c>
    </row>
    <row r="3491" spans="2:13" x14ac:dyDescent="0.25">
      <c r="B3491" s="31" t="s">
        <v>26303</v>
      </c>
      <c r="C3491" s="25" t="s">
        <v>25987</v>
      </c>
      <c r="D3491" s="25" t="s">
        <v>26232</v>
      </c>
      <c r="E3491" s="25" t="s">
        <v>26306</v>
      </c>
      <c r="F3491" s="9" t="str">
        <f t="shared" si="47"/>
        <v>structure with developmental contribution from neural crest</v>
      </c>
      <c r="G3491" s="9" t="s">
        <v>5090</v>
      </c>
      <c r="H3491" s="9" t="s">
        <v>22875</v>
      </c>
      <c r="I3491" s="9" t="s">
        <v>6575</v>
      </c>
      <c r="J3491" s="9" t="s">
        <v>6576</v>
      </c>
      <c r="K3491" s="4" t="s">
        <v>15175</v>
      </c>
      <c r="L3491" s="13">
        <v>11386</v>
      </c>
      <c r="M3491" t="str">
        <f>VLOOKUP(L3491,[1]Human_BrainSpan!$B$2:$C$4000,2,FALSE)</f>
        <v>ER3a</v>
      </c>
    </row>
    <row r="3492" spans="2:13" x14ac:dyDescent="0.25">
      <c r="B3492" s="31" t="s">
        <v>26303</v>
      </c>
      <c r="C3492" s="25" t="s">
        <v>25987</v>
      </c>
      <c r="D3492" s="25" t="s">
        <v>26232</v>
      </c>
      <c r="E3492" s="25" t="s">
        <v>26306</v>
      </c>
      <c r="F3492" s="9" t="str">
        <f t="shared" si="47"/>
        <v>structure with developmental contribution from neural crest</v>
      </c>
      <c r="G3492" s="9" t="s">
        <v>5090</v>
      </c>
      <c r="H3492" s="9" t="s">
        <v>22876</v>
      </c>
      <c r="I3492" s="9" t="s">
        <v>6577</v>
      </c>
      <c r="J3492" s="9" t="s">
        <v>6578</v>
      </c>
      <c r="K3492" s="4" t="s">
        <v>15175</v>
      </c>
      <c r="L3492" s="13">
        <v>11387</v>
      </c>
      <c r="M3492" t="str">
        <f>VLOOKUP(L3492,[1]Human_BrainSpan!$B$2:$C$4000,2,FALSE)</f>
        <v>ER3b</v>
      </c>
    </row>
    <row r="3493" spans="2:13" x14ac:dyDescent="0.25">
      <c r="B3493" s="31" t="s">
        <v>26303</v>
      </c>
      <c r="C3493" s="25" t="s">
        <v>25987</v>
      </c>
      <c r="D3493" s="25" t="s">
        <v>26232</v>
      </c>
      <c r="E3493" s="25" t="s">
        <v>26306</v>
      </c>
      <c r="F3493" s="9" t="str">
        <f t="shared" si="47"/>
        <v>structure with developmental contribution from neural crest</v>
      </c>
      <c r="G3493" s="9" t="s">
        <v>5090</v>
      </c>
      <c r="H3493" s="9" t="s">
        <v>22878</v>
      </c>
      <c r="I3493" s="9" t="s">
        <v>6579</v>
      </c>
      <c r="J3493" s="9" t="s">
        <v>6580</v>
      </c>
      <c r="K3493" s="4" t="s">
        <v>15175</v>
      </c>
      <c r="L3493" s="13">
        <v>11388</v>
      </c>
      <c r="M3493" t="str">
        <f>VLOOKUP(L3493,[1]Human_BrainSpan!$B$2:$C$4000,2,FALSE)</f>
        <v>ERd</v>
      </c>
    </row>
    <row r="3494" spans="2:13" x14ac:dyDescent="0.25">
      <c r="B3494" s="31" t="s">
        <v>26303</v>
      </c>
      <c r="C3494" s="25" t="s">
        <v>25987</v>
      </c>
      <c r="D3494" s="25" t="s">
        <v>26232</v>
      </c>
      <c r="E3494" s="25" t="s">
        <v>26306</v>
      </c>
      <c r="F3494" s="9" t="str">
        <f t="shared" si="47"/>
        <v>structure with developmental contribution from neural crest</v>
      </c>
      <c r="G3494" s="9" t="s">
        <v>5090</v>
      </c>
      <c r="H3494" s="9" t="s">
        <v>22879</v>
      </c>
      <c r="I3494" s="9" t="s">
        <v>6581</v>
      </c>
      <c r="J3494" s="9" t="s">
        <v>6582</v>
      </c>
      <c r="K3494" s="4" t="s">
        <v>15175</v>
      </c>
      <c r="L3494" s="13">
        <v>11389</v>
      </c>
      <c r="M3494" t="str">
        <f>VLOOKUP(L3494,[1]Human_BrainSpan!$B$2:$C$4000,2,FALSE)</f>
        <v>ER5</v>
      </c>
    </row>
    <row r="3495" spans="2:13" x14ac:dyDescent="0.25">
      <c r="B3495" s="31" t="s">
        <v>26303</v>
      </c>
      <c r="C3495" s="25" t="s">
        <v>25987</v>
      </c>
      <c r="D3495" s="25" t="s">
        <v>26232</v>
      </c>
      <c r="E3495" s="25" t="s">
        <v>26306</v>
      </c>
      <c r="F3495" s="9" t="str">
        <f t="shared" si="47"/>
        <v>structure with developmental contribution from neural crest</v>
      </c>
      <c r="G3495" s="9" t="s">
        <v>5090</v>
      </c>
      <c r="H3495" s="9" t="s">
        <v>22880</v>
      </c>
      <c r="I3495" s="9" t="s">
        <v>6583</v>
      </c>
      <c r="J3495" s="9" t="s">
        <v>6584</v>
      </c>
      <c r="K3495" s="4" t="s">
        <v>15175</v>
      </c>
      <c r="L3495" s="13">
        <v>11390</v>
      </c>
      <c r="M3495" t="str">
        <f>VLOOKUP(L3495,[1]Human_BrainSpan!$B$2:$C$4000,2,FALSE)</f>
        <v>ER6</v>
      </c>
    </row>
    <row r="3496" spans="2:13" x14ac:dyDescent="0.25">
      <c r="B3496" s="31" t="s">
        <v>26303</v>
      </c>
      <c r="C3496" s="25" t="s">
        <v>1765</v>
      </c>
      <c r="D3496" s="25" t="s">
        <v>26185</v>
      </c>
      <c r="E3496" s="25" t="s">
        <v>26307</v>
      </c>
      <c r="F3496" s="9" t="str">
        <f t="shared" si="47"/>
        <v>structure with developmental contribution from neural crest</v>
      </c>
      <c r="G3496" s="9" t="s">
        <v>5090</v>
      </c>
      <c r="H3496" s="9" t="s">
        <v>22881</v>
      </c>
      <c r="I3496" s="9" t="s">
        <v>6585</v>
      </c>
      <c r="J3496" s="9" t="s">
        <v>6586</v>
      </c>
      <c r="K3496" s="4" t="s">
        <v>15175</v>
      </c>
      <c r="L3496" s="13">
        <v>11391</v>
      </c>
      <c r="M3496" t="str">
        <f>VLOOKUP(L3496,[1]Human_BrainSpan!$B$2:$C$4000,2,FALSE)</f>
        <v>ELR</v>
      </c>
    </row>
    <row r="3497" spans="2:13" x14ac:dyDescent="0.25">
      <c r="B3497" s="31" t="s">
        <v>26303</v>
      </c>
      <c r="C3497" s="25" t="s">
        <v>1765</v>
      </c>
      <c r="D3497" s="25" t="s">
        <v>26185</v>
      </c>
      <c r="E3497" s="25" t="s">
        <v>26307</v>
      </c>
      <c r="F3497" s="9" t="str">
        <f t="shared" si="47"/>
        <v>structure with developmental contribution from neural crest</v>
      </c>
      <c r="G3497" s="9" t="s">
        <v>5090</v>
      </c>
      <c r="H3497" s="9" t="s">
        <v>22883</v>
      </c>
      <c r="I3497" s="9" t="s">
        <v>6587</v>
      </c>
      <c r="J3497" s="9" t="s">
        <v>6588</v>
      </c>
      <c r="K3497" s="4" t="s">
        <v>15175</v>
      </c>
      <c r="L3497" s="13">
        <v>11392</v>
      </c>
      <c r="M3497" t="str">
        <f>VLOOKUP(L3497,[1]Human_BrainSpan!$B$2:$C$4000,2,FALSE)</f>
        <v>ELRs</v>
      </c>
    </row>
    <row r="3498" spans="2:13" x14ac:dyDescent="0.25">
      <c r="B3498" s="31" t="s">
        <v>26303</v>
      </c>
      <c r="C3498" s="25" t="s">
        <v>1765</v>
      </c>
      <c r="D3498" s="25" t="s">
        <v>26185</v>
      </c>
      <c r="E3498" s="25" t="s">
        <v>26307</v>
      </c>
      <c r="F3498" s="9" t="str">
        <f t="shared" si="47"/>
        <v>structure with developmental contribution from neural crest</v>
      </c>
      <c r="G3498" s="9" t="s">
        <v>5090</v>
      </c>
      <c r="H3498" s="9" t="s">
        <v>22882</v>
      </c>
      <c r="I3498" s="9" t="s">
        <v>6589</v>
      </c>
      <c r="J3498" s="9" t="s">
        <v>6590</v>
      </c>
      <c r="K3498" s="4" t="s">
        <v>15175</v>
      </c>
      <c r="L3498" s="13">
        <v>11393</v>
      </c>
      <c r="M3498" t="str">
        <f>VLOOKUP(L3498,[1]Human_BrainSpan!$B$2:$C$4000,2,FALSE)</f>
        <v>ELR1</v>
      </c>
    </row>
    <row r="3499" spans="2:13" x14ac:dyDescent="0.25">
      <c r="B3499" s="31" t="s">
        <v>26303</v>
      </c>
      <c r="C3499" s="25" t="s">
        <v>1765</v>
      </c>
      <c r="D3499" s="25" t="s">
        <v>26185</v>
      </c>
      <c r="E3499" s="25" t="s">
        <v>26307</v>
      </c>
      <c r="F3499" s="9" t="str">
        <f t="shared" si="47"/>
        <v>structure with developmental contribution from neural crest</v>
      </c>
      <c r="G3499" s="9" t="s">
        <v>5090</v>
      </c>
      <c r="H3499" s="9" t="s">
        <v>22884</v>
      </c>
      <c r="I3499" s="9" t="s">
        <v>6591</v>
      </c>
      <c r="J3499" s="9" t="s">
        <v>6592</v>
      </c>
      <c r="K3499" s="4" t="s">
        <v>15175</v>
      </c>
      <c r="L3499" s="13">
        <v>11394</v>
      </c>
      <c r="M3499" t="str">
        <f>VLOOKUP(L3499,[1]Human_BrainSpan!$B$2:$C$4000,2,FALSE)</f>
        <v>ELR2</v>
      </c>
    </row>
    <row r="3500" spans="2:13" x14ac:dyDescent="0.25">
      <c r="B3500" s="31" t="s">
        <v>26303</v>
      </c>
      <c r="C3500" s="25" t="s">
        <v>1765</v>
      </c>
      <c r="D3500" s="25" t="s">
        <v>26185</v>
      </c>
      <c r="E3500" s="25" t="s">
        <v>26307</v>
      </c>
      <c r="F3500" s="9" t="str">
        <f t="shared" si="47"/>
        <v>structure with developmental contribution from neural crest</v>
      </c>
      <c r="G3500" s="9" t="s">
        <v>5090</v>
      </c>
      <c r="H3500" s="9" t="s">
        <v>22885</v>
      </c>
      <c r="I3500" s="9" t="s">
        <v>6593</v>
      </c>
      <c r="J3500" s="9" t="s">
        <v>6594</v>
      </c>
      <c r="K3500" s="4" t="s">
        <v>15175</v>
      </c>
      <c r="L3500" s="13">
        <v>11395</v>
      </c>
      <c r="M3500" t="str">
        <f>VLOOKUP(L3500,[1]Human_BrainSpan!$B$2:$C$4000,2,FALSE)</f>
        <v>ELR3</v>
      </c>
    </row>
    <row r="3501" spans="2:13" x14ac:dyDescent="0.25">
      <c r="B3501" s="31" t="s">
        <v>26303</v>
      </c>
      <c r="C3501" s="25" t="s">
        <v>1765</v>
      </c>
      <c r="D3501" s="25" t="s">
        <v>26185</v>
      </c>
      <c r="E3501" s="25" t="s">
        <v>26307</v>
      </c>
      <c r="F3501" s="9" t="str">
        <f t="shared" si="47"/>
        <v>structure with developmental contribution from neural crest</v>
      </c>
      <c r="G3501" s="9" t="s">
        <v>5090</v>
      </c>
      <c r="H3501" s="9" t="s">
        <v>22886</v>
      </c>
      <c r="I3501" s="9" t="s">
        <v>6595</v>
      </c>
      <c r="J3501" s="9" t="s">
        <v>6596</v>
      </c>
      <c r="K3501" s="4" t="s">
        <v>15175</v>
      </c>
      <c r="L3501" s="13">
        <v>11396</v>
      </c>
      <c r="M3501" t="str">
        <f>VLOOKUP(L3501,[1]Human_BrainSpan!$B$2:$C$4000,2,FALSE)</f>
        <v>ELR3a</v>
      </c>
    </row>
    <row r="3502" spans="2:13" x14ac:dyDescent="0.25">
      <c r="B3502" s="31" t="s">
        <v>26303</v>
      </c>
      <c r="C3502" s="25" t="s">
        <v>1765</v>
      </c>
      <c r="D3502" s="25" t="s">
        <v>26185</v>
      </c>
      <c r="E3502" s="25" t="s">
        <v>26307</v>
      </c>
      <c r="F3502" s="9" t="str">
        <f t="shared" si="47"/>
        <v>structure with developmental contribution from neural crest</v>
      </c>
      <c r="G3502" s="9" t="s">
        <v>5090</v>
      </c>
      <c r="H3502" s="9" t="s">
        <v>22887</v>
      </c>
      <c r="I3502" s="9" t="s">
        <v>6597</v>
      </c>
      <c r="J3502" s="9" t="s">
        <v>6598</v>
      </c>
      <c r="K3502" s="4" t="s">
        <v>15175</v>
      </c>
      <c r="L3502" s="13">
        <v>11397</v>
      </c>
      <c r="M3502" t="str">
        <f>VLOOKUP(L3502,[1]Human_BrainSpan!$B$2:$C$4000,2,FALSE)</f>
        <v>ELR3b</v>
      </c>
    </row>
    <row r="3503" spans="2:13" x14ac:dyDescent="0.25">
      <c r="B3503" s="31" t="s">
        <v>26303</v>
      </c>
      <c r="C3503" s="25" t="s">
        <v>1765</v>
      </c>
      <c r="D3503" s="25" t="s">
        <v>26185</v>
      </c>
      <c r="E3503" s="25" t="s">
        <v>26307</v>
      </c>
      <c r="F3503" s="9" t="str">
        <f t="shared" si="47"/>
        <v>structure with developmental contribution from neural crest</v>
      </c>
      <c r="G3503" s="9" t="s">
        <v>5090</v>
      </c>
      <c r="H3503" s="9" t="s">
        <v>22889</v>
      </c>
      <c r="I3503" s="9" t="s">
        <v>6599</v>
      </c>
      <c r="J3503" s="9" t="s">
        <v>6600</v>
      </c>
      <c r="K3503" s="4" t="s">
        <v>15175</v>
      </c>
      <c r="L3503" s="13">
        <v>11398</v>
      </c>
      <c r="M3503" t="str">
        <f>VLOOKUP(L3503,[1]Human_BrainSpan!$B$2:$C$4000,2,FALSE)</f>
        <v>ELRd</v>
      </c>
    </row>
    <row r="3504" spans="2:13" x14ac:dyDescent="0.25">
      <c r="B3504" s="31" t="s">
        <v>26303</v>
      </c>
      <c r="C3504" s="25" t="s">
        <v>1765</v>
      </c>
      <c r="D3504" s="25" t="s">
        <v>26185</v>
      </c>
      <c r="E3504" s="25" t="s">
        <v>26307</v>
      </c>
      <c r="F3504" s="9" t="str">
        <f t="shared" si="47"/>
        <v>structure with developmental contribution from neural crest</v>
      </c>
      <c r="G3504" s="9" t="s">
        <v>5090</v>
      </c>
      <c r="H3504" s="9" t="s">
        <v>22890</v>
      </c>
      <c r="I3504" s="9" t="s">
        <v>6601</v>
      </c>
      <c r="J3504" s="9" t="s">
        <v>6602</v>
      </c>
      <c r="K3504" s="4" t="s">
        <v>15175</v>
      </c>
      <c r="L3504" s="13">
        <v>11399</v>
      </c>
      <c r="M3504" t="str">
        <f>VLOOKUP(L3504,[1]Human_BrainSpan!$B$2:$C$4000,2,FALSE)</f>
        <v>ELR5</v>
      </c>
    </row>
    <row r="3505" spans="2:13" x14ac:dyDescent="0.25">
      <c r="B3505" s="31" t="s">
        <v>26303</v>
      </c>
      <c r="C3505" s="25" t="s">
        <v>1765</v>
      </c>
      <c r="D3505" s="25" t="s">
        <v>26185</v>
      </c>
      <c r="E3505" s="25" t="s">
        <v>26307</v>
      </c>
      <c r="F3505" s="9" t="str">
        <f t="shared" si="47"/>
        <v>structure with developmental contribution from neural crest</v>
      </c>
      <c r="G3505" s="9" t="s">
        <v>5090</v>
      </c>
      <c r="H3505" s="9" t="s">
        <v>22891</v>
      </c>
      <c r="I3505" s="9" t="s">
        <v>6603</v>
      </c>
      <c r="J3505" s="9" t="s">
        <v>6604</v>
      </c>
      <c r="K3505" s="4" t="s">
        <v>15175</v>
      </c>
      <c r="L3505" s="13">
        <v>11400</v>
      </c>
      <c r="M3505" t="str">
        <f>VLOOKUP(L3505,[1]Human_BrainSpan!$B$2:$C$4000,2,FALSE)</f>
        <v>ELR6</v>
      </c>
    </row>
    <row r="3506" spans="2:13" x14ac:dyDescent="0.25">
      <c r="B3506" s="31" t="s">
        <v>26303</v>
      </c>
      <c r="C3506" s="25" t="s">
        <v>1765</v>
      </c>
      <c r="D3506" s="25" t="s">
        <v>26185</v>
      </c>
      <c r="E3506" s="25" t="s">
        <v>26307</v>
      </c>
      <c r="F3506" s="9" t="str">
        <f t="shared" si="47"/>
        <v>structure with developmental contribution from neural crest</v>
      </c>
      <c r="G3506" s="9" t="s">
        <v>5090</v>
      </c>
      <c r="H3506" s="9" t="s">
        <v>22892</v>
      </c>
      <c r="I3506" s="9" t="s">
        <v>6605</v>
      </c>
      <c r="J3506" s="9" t="s">
        <v>6606</v>
      </c>
      <c r="K3506" s="4" t="s">
        <v>15175</v>
      </c>
      <c r="L3506" s="13">
        <v>11401</v>
      </c>
      <c r="M3506" t="str">
        <f>VLOOKUP(L3506,[1]Human_BrainSpan!$B$2:$C$4000,2,FALSE)</f>
        <v>EMI</v>
      </c>
    </row>
    <row r="3507" spans="2:13" x14ac:dyDescent="0.25">
      <c r="B3507" s="31" t="s">
        <v>26303</v>
      </c>
      <c r="C3507" s="25" t="s">
        <v>1765</v>
      </c>
      <c r="D3507" s="25" t="s">
        <v>26185</v>
      </c>
      <c r="E3507" s="25" t="s">
        <v>26307</v>
      </c>
      <c r="F3507" s="9" t="str">
        <f t="shared" si="47"/>
        <v>structure with developmental contribution from neural crest</v>
      </c>
      <c r="G3507" s="9" t="s">
        <v>5090</v>
      </c>
      <c r="H3507" s="9" t="s">
        <v>22894</v>
      </c>
      <c r="I3507" s="9" t="s">
        <v>6607</v>
      </c>
      <c r="J3507" s="9" t="s">
        <v>6608</v>
      </c>
      <c r="K3507" s="4" t="s">
        <v>15175</v>
      </c>
      <c r="L3507" s="13">
        <v>11402</v>
      </c>
      <c r="M3507" t="str">
        <f>VLOOKUP(L3507,[1]Human_BrainSpan!$B$2:$C$4000,2,FALSE)</f>
        <v>EMIs</v>
      </c>
    </row>
    <row r="3508" spans="2:13" x14ac:dyDescent="0.25">
      <c r="B3508" s="31" t="s">
        <v>26303</v>
      </c>
      <c r="C3508" s="25" t="s">
        <v>1765</v>
      </c>
      <c r="D3508" s="25" t="s">
        <v>26185</v>
      </c>
      <c r="E3508" s="25" t="s">
        <v>26307</v>
      </c>
      <c r="F3508" s="9" t="str">
        <f t="shared" si="47"/>
        <v>structure with developmental contribution from neural crest</v>
      </c>
      <c r="G3508" s="9" t="s">
        <v>5090</v>
      </c>
      <c r="H3508" s="9" t="s">
        <v>22893</v>
      </c>
      <c r="I3508" s="9" t="s">
        <v>6609</v>
      </c>
      <c r="J3508" s="9" t="s">
        <v>6610</v>
      </c>
      <c r="K3508" s="4" t="s">
        <v>15175</v>
      </c>
      <c r="L3508" s="13">
        <v>11403</v>
      </c>
      <c r="M3508" t="str">
        <f>VLOOKUP(L3508,[1]Human_BrainSpan!$B$2:$C$4000,2,FALSE)</f>
        <v>EMI1</v>
      </c>
    </row>
    <row r="3509" spans="2:13" x14ac:dyDescent="0.25">
      <c r="B3509" s="31" t="s">
        <v>26303</v>
      </c>
      <c r="C3509" s="25" t="s">
        <v>1765</v>
      </c>
      <c r="D3509" s="25" t="s">
        <v>26185</v>
      </c>
      <c r="E3509" s="25" t="s">
        <v>26307</v>
      </c>
      <c r="F3509" s="9" t="str">
        <f t="shared" si="47"/>
        <v>structure with developmental contribution from neural crest</v>
      </c>
      <c r="G3509" s="9" t="s">
        <v>5090</v>
      </c>
      <c r="H3509" s="9" t="s">
        <v>22895</v>
      </c>
      <c r="I3509" s="9" t="s">
        <v>6611</v>
      </c>
      <c r="J3509" s="9" t="s">
        <v>6612</v>
      </c>
      <c r="K3509" s="4" t="s">
        <v>15175</v>
      </c>
      <c r="L3509" s="13">
        <v>11404</v>
      </c>
      <c r="M3509" t="str">
        <f>VLOOKUP(L3509,[1]Human_BrainSpan!$B$2:$C$4000,2,FALSE)</f>
        <v>EMI2</v>
      </c>
    </row>
    <row r="3510" spans="2:13" x14ac:dyDescent="0.25">
      <c r="B3510" s="31" t="s">
        <v>26303</v>
      </c>
      <c r="C3510" s="25" t="s">
        <v>1765</v>
      </c>
      <c r="D3510" s="25" t="s">
        <v>26185</v>
      </c>
      <c r="E3510" s="25" t="s">
        <v>26307</v>
      </c>
      <c r="F3510" s="9" t="str">
        <f t="shared" si="47"/>
        <v>structure with developmental contribution from neural crest</v>
      </c>
      <c r="G3510" s="9" t="s">
        <v>5090</v>
      </c>
      <c r="H3510" s="9" t="s">
        <v>22896</v>
      </c>
      <c r="I3510" s="9" t="s">
        <v>6613</v>
      </c>
      <c r="J3510" s="9" t="s">
        <v>6614</v>
      </c>
      <c r="K3510" s="4" t="s">
        <v>15175</v>
      </c>
      <c r="L3510" s="13">
        <v>11405</v>
      </c>
      <c r="M3510" t="str">
        <f>VLOOKUP(L3510,[1]Human_BrainSpan!$B$2:$C$4000,2,FALSE)</f>
        <v>EMI3</v>
      </c>
    </row>
    <row r="3511" spans="2:13" x14ac:dyDescent="0.25">
      <c r="B3511" s="31" t="s">
        <v>26303</v>
      </c>
      <c r="C3511" s="25" t="s">
        <v>1765</v>
      </c>
      <c r="D3511" s="25" t="s">
        <v>26185</v>
      </c>
      <c r="E3511" s="25" t="s">
        <v>26307</v>
      </c>
      <c r="F3511" s="9" t="str">
        <f t="shared" ref="F3511:F3574" si="48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3511" s="9" t="s">
        <v>5090</v>
      </c>
      <c r="H3511" s="9" t="s">
        <v>22897</v>
      </c>
      <c r="I3511" s="9" t="s">
        <v>6615</v>
      </c>
      <c r="J3511" s="9" t="s">
        <v>6616</v>
      </c>
      <c r="K3511" s="4" t="s">
        <v>15175</v>
      </c>
      <c r="L3511" s="13">
        <v>11406</v>
      </c>
      <c r="M3511" t="str">
        <f>VLOOKUP(L3511,[1]Human_BrainSpan!$B$2:$C$4000,2,FALSE)</f>
        <v>EMI3a</v>
      </c>
    </row>
    <row r="3512" spans="2:13" x14ac:dyDescent="0.25">
      <c r="B3512" s="31" t="s">
        <v>26303</v>
      </c>
      <c r="C3512" s="25" t="s">
        <v>1765</v>
      </c>
      <c r="D3512" s="25" t="s">
        <v>26185</v>
      </c>
      <c r="E3512" s="25" t="s">
        <v>26307</v>
      </c>
      <c r="F3512" s="9" t="str">
        <f t="shared" si="48"/>
        <v>structure with developmental contribution from neural crest</v>
      </c>
      <c r="G3512" s="9" t="s">
        <v>5090</v>
      </c>
      <c r="H3512" s="9" t="s">
        <v>22898</v>
      </c>
      <c r="I3512" s="9" t="s">
        <v>6617</v>
      </c>
      <c r="J3512" s="9" t="s">
        <v>6618</v>
      </c>
      <c r="K3512" s="4" t="s">
        <v>15175</v>
      </c>
      <c r="L3512" s="13">
        <v>11407</v>
      </c>
      <c r="M3512" t="str">
        <f>VLOOKUP(L3512,[1]Human_BrainSpan!$B$2:$C$4000,2,FALSE)</f>
        <v>EMI3b</v>
      </c>
    </row>
    <row r="3513" spans="2:13" x14ac:dyDescent="0.25">
      <c r="B3513" s="31" t="s">
        <v>26303</v>
      </c>
      <c r="C3513" s="25" t="s">
        <v>1765</v>
      </c>
      <c r="D3513" s="25" t="s">
        <v>26185</v>
      </c>
      <c r="E3513" s="25" t="s">
        <v>26307</v>
      </c>
      <c r="F3513" s="9" t="str">
        <f t="shared" si="48"/>
        <v>structure with developmental contribution from neural crest</v>
      </c>
      <c r="G3513" s="9" t="s">
        <v>5090</v>
      </c>
      <c r="H3513" s="9" t="s">
        <v>22899</v>
      </c>
      <c r="I3513" s="9" t="s">
        <v>6619</v>
      </c>
      <c r="J3513" s="9" t="s">
        <v>6620</v>
      </c>
      <c r="K3513" s="4" t="s">
        <v>15175</v>
      </c>
      <c r="L3513" s="13">
        <v>11408</v>
      </c>
      <c r="M3513" t="str">
        <f>VLOOKUP(L3513,[1]Human_BrainSpan!$B$2:$C$4000,2,FALSE)</f>
        <v>EMIld</v>
      </c>
    </row>
    <row r="3514" spans="2:13" x14ac:dyDescent="0.25">
      <c r="B3514" s="31" t="s">
        <v>26303</v>
      </c>
      <c r="C3514" s="25" t="s">
        <v>1765</v>
      </c>
      <c r="D3514" s="25" t="s">
        <v>26185</v>
      </c>
      <c r="E3514" s="25" t="s">
        <v>26307</v>
      </c>
      <c r="F3514" s="9" t="str">
        <f t="shared" si="48"/>
        <v>structure with developmental contribution from neural crest</v>
      </c>
      <c r="G3514" s="9" t="s">
        <v>5090</v>
      </c>
      <c r="H3514" s="9" t="s">
        <v>22900</v>
      </c>
      <c r="I3514" s="9" t="s">
        <v>6621</v>
      </c>
      <c r="J3514" s="9" t="s">
        <v>6622</v>
      </c>
      <c r="K3514" s="4" t="s">
        <v>15175</v>
      </c>
      <c r="L3514" s="13">
        <v>11409</v>
      </c>
      <c r="M3514" t="str">
        <f>VLOOKUP(L3514,[1]Human_BrainSpan!$B$2:$C$4000,2,FALSE)</f>
        <v>EMId</v>
      </c>
    </row>
    <row r="3515" spans="2:13" x14ac:dyDescent="0.25">
      <c r="B3515" s="31" t="s">
        <v>26303</v>
      </c>
      <c r="C3515" s="25" t="s">
        <v>1765</v>
      </c>
      <c r="D3515" s="25" t="s">
        <v>26185</v>
      </c>
      <c r="E3515" s="25" t="s">
        <v>26307</v>
      </c>
      <c r="F3515" s="9" t="str">
        <f t="shared" si="48"/>
        <v>structure with developmental contribution from neural crest</v>
      </c>
      <c r="G3515" s="9" t="s">
        <v>5090</v>
      </c>
      <c r="H3515" s="9" t="s">
        <v>22901</v>
      </c>
      <c r="I3515" s="9" t="s">
        <v>6623</v>
      </c>
      <c r="J3515" s="9" t="s">
        <v>6624</v>
      </c>
      <c r="K3515" s="4" t="s">
        <v>15175</v>
      </c>
      <c r="L3515" s="13">
        <v>11410</v>
      </c>
      <c r="M3515" t="str">
        <f>VLOOKUP(L3515,[1]Human_BrainSpan!$B$2:$C$4000,2,FALSE)</f>
        <v>EMI5</v>
      </c>
    </row>
    <row r="3516" spans="2:13" x14ac:dyDescent="0.25">
      <c r="B3516" s="31" t="s">
        <v>26303</v>
      </c>
      <c r="C3516" s="25" t="s">
        <v>1765</v>
      </c>
      <c r="D3516" s="25" t="s">
        <v>26185</v>
      </c>
      <c r="E3516" s="25" t="s">
        <v>26307</v>
      </c>
      <c r="F3516" s="9" t="str">
        <f t="shared" si="48"/>
        <v>structure with developmental contribution from neural crest</v>
      </c>
      <c r="G3516" s="9" t="s">
        <v>5090</v>
      </c>
      <c r="H3516" s="9" t="s">
        <v>22902</v>
      </c>
      <c r="I3516" s="9" t="s">
        <v>6625</v>
      </c>
      <c r="J3516" s="9" t="s">
        <v>6626</v>
      </c>
      <c r="K3516" s="4" t="s">
        <v>15175</v>
      </c>
      <c r="L3516" s="13">
        <v>11411</v>
      </c>
      <c r="M3516" t="str">
        <f>VLOOKUP(L3516,[1]Human_BrainSpan!$B$2:$C$4000,2,FALSE)</f>
        <v>EMI6</v>
      </c>
    </row>
    <row r="3517" spans="2:13" x14ac:dyDescent="0.25">
      <c r="B3517" s="31" t="s">
        <v>26303</v>
      </c>
      <c r="C3517" s="25" t="s">
        <v>1765</v>
      </c>
      <c r="D3517" s="25" t="s">
        <v>26185</v>
      </c>
      <c r="E3517" s="25" t="s">
        <v>26307</v>
      </c>
      <c r="F3517" s="9" t="str">
        <f t="shared" si="48"/>
        <v>structure with developmental contribution from neural crest</v>
      </c>
      <c r="G3517" s="9" t="s">
        <v>5090</v>
      </c>
      <c r="H3517" s="9" t="s">
        <v>22904</v>
      </c>
      <c r="I3517" s="9" t="s">
        <v>6627</v>
      </c>
      <c r="J3517" s="9" t="s">
        <v>6628</v>
      </c>
      <c r="K3517" s="4" t="s">
        <v>15175</v>
      </c>
      <c r="L3517" s="13">
        <v>11412</v>
      </c>
      <c r="M3517" t="str">
        <f>VLOOKUP(L3517,[1]Human_BrainSpan!$B$2:$C$4000,2,FALSE)</f>
        <v>ELI</v>
      </c>
    </row>
    <row r="3518" spans="2:13" x14ac:dyDescent="0.25">
      <c r="B3518" s="31" t="s">
        <v>26303</v>
      </c>
      <c r="C3518" s="25" t="s">
        <v>1765</v>
      </c>
      <c r="D3518" s="25" t="s">
        <v>26185</v>
      </c>
      <c r="E3518" s="25" t="s">
        <v>26307</v>
      </c>
      <c r="F3518" s="9" t="str">
        <f t="shared" si="48"/>
        <v>structure with developmental contribution from neural crest</v>
      </c>
      <c r="G3518" s="9" t="s">
        <v>5090</v>
      </c>
      <c r="H3518" s="9" t="s">
        <v>22906</v>
      </c>
      <c r="I3518" s="9" t="s">
        <v>6629</v>
      </c>
      <c r="J3518" s="9" t="s">
        <v>6630</v>
      </c>
      <c r="K3518" s="4" t="s">
        <v>15175</v>
      </c>
      <c r="L3518" s="13">
        <v>11413</v>
      </c>
      <c r="M3518" t="str">
        <f>VLOOKUP(L3518,[1]Human_BrainSpan!$B$2:$C$4000,2,FALSE)</f>
        <v>ELIs</v>
      </c>
    </row>
    <row r="3519" spans="2:13" x14ac:dyDescent="0.25">
      <c r="B3519" s="31" t="s">
        <v>26303</v>
      </c>
      <c r="C3519" s="25" t="s">
        <v>1765</v>
      </c>
      <c r="D3519" s="25" t="s">
        <v>26185</v>
      </c>
      <c r="E3519" s="25" t="s">
        <v>26307</v>
      </c>
      <c r="F3519" s="9" t="str">
        <f t="shared" si="48"/>
        <v>structure with developmental contribution from neural crest</v>
      </c>
      <c r="G3519" s="9" t="s">
        <v>5090</v>
      </c>
      <c r="H3519" s="9" t="s">
        <v>22905</v>
      </c>
      <c r="I3519" s="9" t="s">
        <v>6631</v>
      </c>
      <c r="J3519" s="9" t="s">
        <v>6632</v>
      </c>
      <c r="K3519" s="4" t="s">
        <v>15175</v>
      </c>
      <c r="L3519" s="13">
        <v>11414</v>
      </c>
      <c r="M3519" t="str">
        <f>VLOOKUP(L3519,[1]Human_BrainSpan!$B$2:$C$4000,2,FALSE)</f>
        <v>ELI1</v>
      </c>
    </row>
    <row r="3520" spans="2:13" x14ac:dyDescent="0.25">
      <c r="B3520" s="31" t="s">
        <v>26303</v>
      </c>
      <c r="C3520" s="25" t="s">
        <v>1765</v>
      </c>
      <c r="D3520" s="25" t="s">
        <v>26185</v>
      </c>
      <c r="E3520" s="25" t="s">
        <v>26307</v>
      </c>
      <c r="F3520" s="9" t="str">
        <f t="shared" si="48"/>
        <v>structure with developmental contribution from neural crest</v>
      </c>
      <c r="G3520" s="9" t="s">
        <v>5090</v>
      </c>
      <c r="H3520" s="9" t="s">
        <v>22907</v>
      </c>
      <c r="I3520" s="9" t="s">
        <v>6633</v>
      </c>
      <c r="J3520" s="9" t="s">
        <v>6634</v>
      </c>
      <c r="K3520" s="4" t="s">
        <v>15175</v>
      </c>
      <c r="L3520" s="13">
        <v>11415</v>
      </c>
      <c r="M3520" t="str">
        <f>VLOOKUP(L3520,[1]Human_BrainSpan!$B$2:$C$4000,2,FALSE)</f>
        <v>ELI2</v>
      </c>
    </row>
    <row r="3521" spans="2:13" x14ac:dyDescent="0.25">
      <c r="B3521" s="31" t="s">
        <v>26303</v>
      </c>
      <c r="C3521" s="25" t="s">
        <v>1765</v>
      </c>
      <c r="D3521" s="25" t="s">
        <v>26185</v>
      </c>
      <c r="E3521" s="25" t="s">
        <v>26307</v>
      </c>
      <c r="F3521" s="9" t="str">
        <f t="shared" si="48"/>
        <v>structure with developmental contribution from neural crest</v>
      </c>
      <c r="G3521" s="9" t="s">
        <v>5090</v>
      </c>
      <c r="H3521" s="9" t="s">
        <v>22908</v>
      </c>
      <c r="I3521" s="9" t="s">
        <v>6635</v>
      </c>
      <c r="J3521" s="9" t="s">
        <v>6636</v>
      </c>
      <c r="K3521" s="4" t="s">
        <v>15175</v>
      </c>
      <c r="L3521" s="13">
        <v>11416</v>
      </c>
      <c r="M3521" t="str">
        <f>VLOOKUP(L3521,[1]Human_BrainSpan!$B$2:$C$4000,2,FALSE)</f>
        <v>ELI3</v>
      </c>
    </row>
    <row r="3522" spans="2:13" x14ac:dyDescent="0.25">
      <c r="B3522" s="31" t="s">
        <v>26303</v>
      </c>
      <c r="C3522" s="25" t="s">
        <v>1765</v>
      </c>
      <c r="D3522" s="25" t="s">
        <v>26185</v>
      </c>
      <c r="E3522" s="25" t="s">
        <v>26307</v>
      </c>
      <c r="F3522" s="9" t="str">
        <f t="shared" si="48"/>
        <v>structure with developmental contribution from neural crest</v>
      </c>
      <c r="G3522" s="9" t="s">
        <v>5090</v>
      </c>
      <c r="H3522" s="9" t="s">
        <v>22909</v>
      </c>
      <c r="I3522" s="9" t="s">
        <v>6637</v>
      </c>
      <c r="J3522" s="9" t="s">
        <v>6638</v>
      </c>
      <c r="K3522" s="4" t="s">
        <v>15175</v>
      </c>
      <c r="L3522" s="13">
        <v>11417</v>
      </c>
      <c r="M3522" t="str">
        <f>VLOOKUP(L3522,[1]Human_BrainSpan!$B$2:$C$4000,2,FALSE)</f>
        <v>ELI3a</v>
      </c>
    </row>
    <row r="3523" spans="2:13" x14ac:dyDescent="0.25">
      <c r="B3523" s="31" t="s">
        <v>26303</v>
      </c>
      <c r="C3523" s="25" t="s">
        <v>1765</v>
      </c>
      <c r="D3523" s="25" t="s">
        <v>26185</v>
      </c>
      <c r="E3523" s="25" t="s">
        <v>26307</v>
      </c>
      <c r="F3523" s="9" t="str">
        <f t="shared" si="48"/>
        <v>structure with developmental contribution from neural crest</v>
      </c>
      <c r="G3523" s="9" t="s">
        <v>5090</v>
      </c>
      <c r="H3523" s="9" t="s">
        <v>22910</v>
      </c>
      <c r="I3523" s="9" t="s">
        <v>6639</v>
      </c>
      <c r="J3523" s="9" t="s">
        <v>6640</v>
      </c>
      <c r="K3523" s="4" t="s">
        <v>15175</v>
      </c>
      <c r="L3523" s="13">
        <v>11418</v>
      </c>
      <c r="M3523" t="str">
        <f>VLOOKUP(L3523,[1]Human_BrainSpan!$B$2:$C$4000,2,FALSE)</f>
        <v>ELI3b</v>
      </c>
    </row>
    <row r="3524" spans="2:13" x14ac:dyDescent="0.25">
      <c r="B3524" s="31" t="s">
        <v>26303</v>
      </c>
      <c r="C3524" s="25" t="s">
        <v>1765</v>
      </c>
      <c r="D3524" s="25" t="s">
        <v>26185</v>
      </c>
      <c r="E3524" s="25" t="s">
        <v>26307</v>
      </c>
      <c r="F3524" s="9" t="str">
        <f t="shared" si="48"/>
        <v>structure with developmental contribution from neural crest</v>
      </c>
      <c r="G3524" s="9" t="s">
        <v>5090</v>
      </c>
      <c r="H3524" s="9" t="s">
        <v>22911</v>
      </c>
      <c r="I3524" s="9" t="s">
        <v>6641</v>
      </c>
      <c r="J3524" s="9" t="s">
        <v>6642</v>
      </c>
      <c r="K3524" s="4" t="s">
        <v>15175</v>
      </c>
      <c r="L3524" s="13">
        <v>11419</v>
      </c>
      <c r="M3524" t="str">
        <f>VLOOKUP(L3524,[1]Human_BrainSpan!$B$2:$C$4000,2,FALSE)</f>
        <v>ELIld</v>
      </c>
    </row>
    <row r="3525" spans="2:13" x14ac:dyDescent="0.25">
      <c r="B3525" s="31" t="s">
        <v>26303</v>
      </c>
      <c r="C3525" s="25" t="s">
        <v>1765</v>
      </c>
      <c r="D3525" s="25" t="s">
        <v>26185</v>
      </c>
      <c r="E3525" s="25" t="s">
        <v>26307</v>
      </c>
      <c r="F3525" s="9" t="str">
        <f t="shared" si="48"/>
        <v>structure with developmental contribution from neural crest</v>
      </c>
      <c r="G3525" s="9" t="s">
        <v>5090</v>
      </c>
      <c r="H3525" s="9" t="s">
        <v>22912</v>
      </c>
      <c r="I3525" s="9" t="s">
        <v>6643</v>
      </c>
      <c r="J3525" s="9" t="s">
        <v>6644</v>
      </c>
      <c r="K3525" s="4" t="s">
        <v>15175</v>
      </c>
      <c r="L3525" s="13">
        <v>11420</v>
      </c>
      <c r="M3525" t="str">
        <f>VLOOKUP(L3525,[1]Human_BrainSpan!$B$2:$C$4000,2,FALSE)</f>
        <v>ELId</v>
      </c>
    </row>
    <row r="3526" spans="2:13" x14ac:dyDescent="0.25">
      <c r="B3526" s="31" t="s">
        <v>26303</v>
      </c>
      <c r="C3526" s="25" t="s">
        <v>1765</v>
      </c>
      <c r="D3526" s="25" t="s">
        <v>26185</v>
      </c>
      <c r="E3526" s="25" t="s">
        <v>26307</v>
      </c>
      <c r="F3526" s="9" t="str">
        <f t="shared" si="48"/>
        <v>structure with developmental contribution from neural crest</v>
      </c>
      <c r="G3526" s="9" t="s">
        <v>5090</v>
      </c>
      <c r="H3526" s="9" t="s">
        <v>22913</v>
      </c>
      <c r="I3526" s="9" t="s">
        <v>6645</v>
      </c>
      <c r="J3526" s="9" t="s">
        <v>6646</v>
      </c>
      <c r="K3526" s="4" t="s">
        <v>15175</v>
      </c>
      <c r="L3526" s="13">
        <v>11421</v>
      </c>
      <c r="M3526" t="str">
        <f>VLOOKUP(L3526,[1]Human_BrainSpan!$B$2:$C$4000,2,FALSE)</f>
        <v>ELI5</v>
      </c>
    </row>
    <row r="3527" spans="2:13" x14ac:dyDescent="0.25">
      <c r="B3527" s="31" t="s">
        <v>26303</v>
      </c>
      <c r="C3527" s="25" t="s">
        <v>1765</v>
      </c>
      <c r="D3527" s="25" t="s">
        <v>26185</v>
      </c>
      <c r="E3527" s="25" t="s">
        <v>26307</v>
      </c>
      <c r="F3527" s="9" t="str">
        <f t="shared" si="48"/>
        <v>structure with developmental contribution from neural crest</v>
      </c>
      <c r="G3527" s="9" t="s">
        <v>5090</v>
      </c>
      <c r="H3527" s="9" t="s">
        <v>22914</v>
      </c>
      <c r="I3527" s="9" t="s">
        <v>6647</v>
      </c>
      <c r="J3527" s="9" t="s">
        <v>6648</v>
      </c>
      <c r="K3527" s="4" t="s">
        <v>15175</v>
      </c>
      <c r="L3527" s="13">
        <v>11422</v>
      </c>
      <c r="M3527" t="str">
        <f>VLOOKUP(L3527,[1]Human_BrainSpan!$B$2:$C$4000,2,FALSE)</f>
        <v>ELI6</v>
      </c>
    </row>
    <row r="3528" spans="2:13" x14ac:dyDescent="0.25">
      <c r="B3528" s="31" t="s">
        <v>26303</v>
      </c>
      <c r="C3528" s="25" t="s">
        <v>1765</v>
      </c>
      <c r="D3528" s="25" t="s">
        <v>26185</v>
      </c>
      <c r="E3528" s="25" t="s">
        <v>26300</v>
      </c>
      <c r="F3528" s="9" t="str">
        <f t="shared" si="48"/>
        <v>structure with developmental contribution from neural crest</v>
      </c>
      <c r="G3528" s="9" t="s">
        <v>5090</v>
      </c>
      <c r="H3528" s="9" t="s">
        <v>22915</v>
      </c>
      <c r="I3528" s="9" t="s">
        <v>6649</v>
      </c>
      <c r="J3528" s="9" t="s">
        <v>6650</v>
      </c>
      <c r="K3528" s="4" t="s">
        <v>15175</v>
      </c>
      <c r="L3528" s="13">
        <v>11423</v>
      </c>
      <c r="M3528" t="str">
        <f>VLOOKUP(L3528,[1]Human_BrainSpan!$B$2:$C$4000,2,FALSE)</f>
        <v>Ec</v>
      </c>
    </row>
    <row r="3529" spans="2:13" x14ac:dyDescent="0.25">
      <c r="B3529" s="31" t="s">
        <v>26303</v>
      </c>
      <c r="C3529" s="25" t="s">
        <v>1765</v>
      </c>
      <c r="D3529" s="25" t="s">
        <v>26185</v>
      </c>
      <c r="E3529" s="25" t="s">
        <v>26307</v>
      </c>
      <c r="F3529" s="9" t="str">
        <f t="shared" si="48"/>
        <v>structure with developmental contribution from neural crest</v>
      </c>
      <c r="G3529" s="9" t="s">
        <v>5090</v>
      </c>
      <c r="H3529" s="9" t="s">
        <v>22917</v>
      </c>
      <c r="I3529" s="9" t="s">
        <v>6651</v>
      </c>
      <c r="J3529" s="9" t="s">
        <v>6652</v>
      </c>
      <c r="K3529" s="4" t="s">
        <v>15175</v>
      </c>
      <c r="L3529" s="13">
        <v>11424</v>
      </c>
      <c r="M3529" t="str">
        <f>VLOOKUP(L3529,[1]Human_BrainSpan!$B$2:$C$4000,2,FALSE)</f>
        <v>Ecs</v>
      </c>
    </row>
    <row r="3530" spans="2:13" x14ac:dyDescent="0.25">
      <c r="B3530" s="31" t="s">
        <v>26303</v>
      </c>
      <c r="C3530" s="25" t="s">
        <v>26020</v>
      </c>
      <c r="D3530" s="25" t="s">
        <v>26232</v>
      </c>
      <c r="E3530" s="25" t="s">
        <v>26306</v>
      </c>
      <c r="F3530" s="9" t="str">
        <f t="shared" si="48"/>
        <v>structure with developmental contribution from neural crest</v>
      </c>
      <c r="G3530" s="9" t="s">
        <v>5090</v>
      </c>
      <c r="H3530" s="9" t="s">
        <v>22916</v>
      </c>
      <c r="I3530" s="9" t="s">
        <v>6653</v>
      </c>
      <c r="J3530" s="9" t="s">
        <v>6654</v>
      </c>
      <c r="K3530" s="4" t="s">
        <v>15175</v>
      </c>
      <c r="L3530" s="13">
        <v>11425</v>
      </c>
      <c r="M3530" t="str">
        <f>VLOOKUP(L3530,[1]Human_BrainSpan!$B$2:$C$4000,2,FALSE)</f>
        <v>Ec1</v>
      </c>
    </row>
    <row r="3531" spans="2:13" x14ac:dyDescent="0.25">
      <c r="B3531" s="31" t="s">
        <v>26303</v>
      </c>
      <c r="C3531" s="25" t="s">
        <v>26020</v>
      </c>
      <c r="D3531" s="25" t="s">
        <v>26232</v>
      </c>
      <c r="E3531" s="25" t="s">
        <v>26306</v>
      </c>
      <c r="F3531" s="9" t="str">
        <f t="shared" si="48"/>
        <v>structure with developmental contribution from neural crest</v>
      </c>
      <c r="G3531" s="9" t="s">
        <v>5090</v>
      </c>
      <c r="H3531" s="9" t="s">
        <v>22918</v>
      </c>
      <c r="I3531" s="9" t="s">
        <v>6655</v>
      </c>
      <c r="J3531" s="9" t="s">
        <v>6656</v>
      </c>
      <c r="K3531" s="4" t="s">
        <v>15175</v>
      </c>
      <c r="L3531" s="13">
        <v>11426</v>
      </c>
      <c r="M3531" t="str">
        <f>VLOOKUP(L3531,[1]Human_BrainSpan!$B$2:$C$4000,2,FALSE)</f>
        <v>Ec2</v>
      </c>
    </row>
    <row r="3532" spans="2:13" x14ac:dyDescent="0.25">
      <c r="B3532" s="31" t="s">
        <v>26303</v>
      </c>
      <c r="C3532" s="25" t="s">
        <v>26020</v>
      </c>
      <c r="D3532" s="25" t="s">
        <v>26232</v>
      </c>
      <c r="E3532" s="25" t="s">
        <v>26306</v>
      </c>
      <c r="F3532" s="9" t="str">
        <f t="shared" si="48"/>
        <v>structure with developmental contribution from neural crest</v>
      </c>
      <c r="G3532" s="9" t="s">
        <v>5090</v>
      </c>
      <c r="H3532" s="9" t="s">
        <v>22919</v>
      </c>
      <c r="I3532" s="9" t="s">
        <v>6657</v>
      </c>
      <c r="J3532" s="9" t="s">
        <v>6658</v>
      </c>
      <c r="K3532" s="4" t="s">
        <v>15175</v>
      </c>
      <c r="L3532" s="13">
        <v>11427</v>
      </c>
      <c r="M3532" t="str">
        <f>VLOOKUP(L3532,[1]Human_BrainSpan!$B$2:$C$4000,2,FALSE)</f>
        <v>Ec3</v>
      </c>
    </row>
    <row r="3533" spans="2:13" x14ac:dyDescent="0.25">
      <c r="B3533" s="31" t="s">
        <v>26303</v>
      </c>
      <c r="C3533" s="25" t="s">
        <v>26020</v>
      </c>
      <c r="D3533" s="25" t="s">
        <v>26232</v>
      </c>
      <c r="E3533" s="25" t="s">
        <v>26306</v>
      </c>
      <c r="F3533" s="9" t="str">
        <f t="shared" si="48"/>
        <v>structure with developmental contribution from neural crest</v>
      </c>
      <c r="G3533" s="9" t="s">
        <v>5090</v>
      </c>
      <c r="H3533" s="9" t="s">
        <v>22920</v>
      </c>
      <c r="I3533" s="9" t="s">
        <v>6659</v>
      </c>
      <c r="J3533" s="9" t="s">
        <v>6660</v>
      </c>
      <c r="K3533" s="4" t="s">
        <v>15175</v>
      </c>
      <c r="L3533" s="13">
        <v>11428</v>
      </c>
      <c r="M3533" t="str">
        <f>VLOOKUP(L3533,[1]Human_BrainSpan!$B$2:$C$4000,2,FALSE)</f>
        <v>Ec3a</v>
      </c>
    </row>
    <row r="3534" spans="2:13" x14ac:dyDescent="0.25">
      <c r="B3534" s="31" t="s">
        <v>26303</v>
      </c>
      <c r="C3534" s="25" t="s">
        <v>26020</v>
      </c>
      <c r="D3534" s="25" t="s">
        <v>26232</v>
      </c>
      <c r="E3534" s="25" t="s">
        <v>26306</v>
      </c>
      <c r="F3534" s="9" t="str">
        <f t="shared" si="48"/>
        <v>structure with developmental contribution from neural crest</v>
      </c>
      <c r="G3534" s="9" t="s">
        <v>5090</v>
      </c>
      <c r="H3534" s="9" t="s">
        <v>22921</v>
      </c>
      <c r="I3534" s="9" t="s">
        <v>6661</v>
      </c>
      <c r="J3534" s="9" t="s">
        <v>6662</v>
      </c>
      <c r="K3534" s="4" t="s">
        <v>15175</v>
      </c>
      <c r="L3534" s="13">
        <v>11429</v>
      </c>
      <c r="M3534" t="str">
        <f>VLOOKUP(L3534,[1]Human_BrainSpan!$B$2:$C$4000,2,FALSE)</f>
        <v>Ec3b</v>
      </c>
    </row>
    <row r="3535" spans="2:13" x14ac:dyDescent="0.25">
      <c r="B3535" s="31" t="s">
        <v>26303</v>
      </c>
      <c r="C3535" s="25" t="s">
        <v>26020</v>
      </c>
      <c r="D3535" s="25" t="s">
        <v>26232</v>
      </c>
      <c r="E3535" s="25" t="s">
        <v>26306</v>
      </c>
      <c r="F3535" s="9" t="str">
        <f t="shared" si="48"/>
        <v>structure with developmental contribution from neural crest</v>
      </c>
      <c r="G3535" s="9" t="s">
        <v>5090</v>
      </c>
      <c r="H3535" s="9" t="s">
        <v>22922</v>
      </c>
      <c r="I3535" s="9" t="s">
        <v>6663</v>
      </c>
      <c r="J3535" s="9" t="s">
        <v>6664</v>
      </c>
      <c r="K3535" s="4" t="s">
        <v>15175</v>
      </c>
      <c r="L3535" s="13">
        <v>11430</v>
      </c>
      <c r="M3535" t="str">
        <f>VLOOKUP(L3535,[1]Human_BrainSpan!$B$2:$C$4000,2,FALSE)</f>
        <v>Ecld</v>
      </c>
    </row>
    <row r="3536" spans="2:13" x14ac:dyDescent="0.25">
      <c r="B3536" s="31" t="s">
        <v>26303</v>
      </c>
      <c r="C3536" s="25" t="s">
        <v>26020</v>
      </c>
      <c r="D3536" s="25" t="s">
        <v>26232</v>
      </c>
      <c r="E3536" s="25" t="s">
        <v>26306</v>
      </c>
      <c r="F3536" s="9" t="str">
        <f t="shared" si="48"/>
        <v>structure with developmental contribution from neural crest</v>
      </c>
      <c r="G3536" s="9" t="s">
        <v>5090</v>
      </c>
      <c r="H3536" s="9" t="s">
        <v>22923</v>
      </c>
      <c r="I3536" s="9" t="s">
        <v>6665</v>
      </c>
      <c r="J3536" s="9" t="s">
        <v>6666</v>
      </c>
      <c r="K3536" s="4" t="s">
        <v>15175</v>
      </c>
      <c r="L3536" s="13">
        <v>11431</v>
      </c>
      <c r="M3536" t="str">
        <f>VLOOKUP(L3536,[1]Human_BrainSpan!$B$2:$C$4000,2,FALSE)</f>
        <v>Ecd</v>
      </c>
    </row>
    <row r="3537" spans="2:13" x14ac:dyDescent="0.25">
      <c r="B3537" s="31" t="s">
        <v>26303</v>
      </c>
      <c r="C3537" s="25" t="s">
        <v>26020</v>
      </c>
      <c r="D3537" s="25" t="s">
        <v>26232</v>
      </c>
      <c r="E3537" s="25" t="s">
        <v>26306</v>
      </c>
      <c r="F3537" s="9" t="str">
        <f t="shared" si="48"/>
        <v>structure with developmental contribution from neural crest</v>
      </c>
      <c r="G3537" s="9" t="s">
        <v>5090</v>
      </c>
      <c r="H3537" s="9" t="s">
        <v>22924</v>
      </c>
      <c r="I3537" s="9" t="s">
        <v>6667</v>
      </c>
      <c r="J3537" s="9" t="s">
        <v>6668</v>
      </c>
      <c r="K3537" s="4" t="s">
        <v>15175</v>
      </c>
      <c r="L3537" s="13">
        <v>11432</v>
      </c>
      <c r="M3537" t="str">
        <f>VLOOKUP(L3537,[1]Human_BrainSpan!$B$2:$C$4000,2,FALSE)</f>
        <v>Ec5</v>
      </c>
    </row>
    <row r="3538" spans="2:13" x14ac:dyDescent="0.25">
      <c r="B3538" s="31" t="s">
        <v>26303</v>
      </c>
      <c r="C3538" s="25" t="s">
        <v>26020</v>
      </c>
      <c r="D3538" s="25" t="s">
        <v>26232</v>
      </c>
      <c r="E3538" s="25" t="s">
        <v>26306</v>
      </c>
      <c r="F3538" s="9" t="str">
        <f t="shared" si="48"/>
        <v>structure with developmental contribution from neural crest</v>
      </c>
      <c r="G3538" s="9" t="s">
        <v>5090</v>
      </c>
      <c r="H3538" s="9" t="s">
        <v>22925</v>
      </c>
      <c r="I3538" s="9" t="s">
        <v>6669</v>
      </c>
      <c r="J3538" s="9" t="s">
        <v>6670</v>
      </c>
      <c r="K3538" s="4" t="s">
        <v>15175</v>
      </c>
      <c r="L3538" s="13">
        <v>11433</v>
      </c>
      <c r="M3538" t="str">
        <f>VLOOKUP(L3538,[1]Human_BrainSpan!$B$2:$C$4000,2,FALSE)</f>
        <v>Ec6</v>
      </c>
    </row>
    <row r="3539" spans="2:13" x14ac:dyDescent="0.25">
      <c r="B3539" s="31" t="s">
        <v>26303</v>
      </c>
      <c r="C3539" s="25" t="s">
        <v>1765</v>
      </c>
      <c r="D3539" s="25" t="s">
        <v>26185</v>
      </c>
      <c r="E3539" s="25" t="s">
        <v>26307</v>
      </c>
      <c r="F3539" s="9" t="str">
        <f t="shared" si="48"/>
        <v>structure with developmental contribution from neural crest</v>
      </c>
      <c r="G3539" s="9" t="s">
        <v>5090</v>
      </c>
      <c r="H3539" s="9" t="s">
        <v>22926</v>
      </c>
      <c r="I3539" s="9" t="s">
        <v>6671</v>
      </c>
      <c r="J3539" s="9" t="s">
        <v>6672</v>
      </c>
      <c r="K3539" s="4" t="s">
        <v>15175</v>
      </c>
      <c r="L3539" s="13">
        <v>11434</v>
      </c>
      <c r="M3539" t="str">
        <f>VLOOKUP(L3539,[1]Human_BrainSpan!$B$2:$C$4000,2,FALSE)</f>
        <v>ECL</v>
      </c>
    </row>
    <row r="3540" spans="2:13" x14ac:dyDescent="0.25">
      <c r="B3540" s="31" t="s">
        <v>26303</v>
      </c>
      <c r="C3540" s="25" t="s">
        <v>1765</v>
      </c>
      <c r="D3540" s="25" t="s">
        <v>26185</v>
      </c>
      <c r="E3540" s="25" t="s">
        <v>26307</v>
      </c>
      <c r="F3540" s="9" t="str">
        <f t="shared" si="48"/>
        <v>structure with developmental contribution from neural crest</v>
      </c>
      <c r="G3540" s="9" t="s">
        <v>5090</v>
      </c>
      <c r="H3540" s="9" t="s">
        <v>22928</v>
      </c>
      <c r="I3540" s="9" t="s">
        <v>6673</v>
      </c>
      <c r="J3540" s="9" t="s">
        <v>6674</v>
      </c>
      <c r="K3540" s="4" t="s">
        <v>15175</v>
      </c>
      <c r="L3540" s="13">
        <v>11435</v>
      </c>
      <c r="M3540" t="str">
        <f>VLOOKUP(L3540,[1]Human_BrainSpan!$B$2:$C$4000,2,FALSE)</f>
        <v>ECLs</v>
      </c>
    </row>
    <row r="3541" spans="2:13" x14ac:dyDescent="0.25">
      <c r="B3541" s="31" t="s">
        <v>26303</v>
      </c>
      <c r="C3541" s="25" t="s">
        <v>1765</v>
      </c>
      <c r="D3541" s="25" t="s">
        <v>26185</v>
      </c>
      <c r="E3541" s="25" t="s">
        <v>26307</v>
      </c>
      <c r="F3541" s="9" t="str">
        <f t="shared" si="48"/>
        <v>structure with developmental contribution from neural crest</v>
      </c>
      <c r="G3541" s="9" t="s">
        <v>5090</v>
      </c>
      <c r="H3541" s="9" t="s">
        <v>22927</v>
      </c>
      <c r="I3541" s="9" t="s">
        <v>6675</v>
      </c>
      <c r="J3541" s="9" t="s">
        <v>6676</v>
      </c>
      <c r="K3541" s="4" t="s">
        <v>15175</v>
      </c>
      <c r="L3541" s="13">
        <v>11436</v>
      </c>
      <c r="M3541" t="str">
        <f>VLOOKUP(L3541,[1]Human_BrainSpan!$B$2:$C$4000,2,FALSE)</f>
        <v>ECL1</v>
      </c>
    </row>
    <row r="3542" spans="2:13" x14ac:dyDescent="0.25">
      <c r="B3542" s="31" t="s">
        <v>26303</v>
      </c>
      <c r="C3542" s="25" t="s">
        <v>1765</v>
      </c>
      <c r="D3542" s="25" t="s">
        <v>26185</v>
      </c>
      <c r="E3542" s="25" t="s">
        <v>26307</v>
      </c>
      <c r="F3542" s="9" t="str">
        <f t="shared" si="48"/>
        <v>structure with developmental contribution from neural crest</v>
      </c>
      <c r="G3542" s="9" t="s">
        <v>5090</v>
      </c>
      <c r="H3542" s="9" t="s">
        <v>22929</v>
      </c>
      <c r="I3542" s="9" t="s">
        <v>6677</v>
      </c>
      <c r="J3542" s="9" t="s">
        <v>6678</v>
      </c>
      <c r="K3542" s="4" t="s">
        <v>15175</v>
      </c>
      <c r="L3542" s="13">
        <v>11437</v>
      </c>
      <c r="M3542" t="str">
        <f>VLOOKUP(L3542,[1]Human_BrainSpan!$B$2:$C$4000,2,FALSE)</f>
        <v>ECL2</v>
      </c>
    </row>
    <row r="3543" spans="2:13" x14ac:dyDescent="0.25">
      <c r="B3543" s="31" t="s">
        <v>26303</v>
      </c>
      <c r="C3543" s="25" t="s">
        <v>1765</v>
      </c>
      <c r="D3543" s="25" t="s">
        <v>26185</v>
      </c>
      <c r="E3543" s="25" t="s">
        <v>26307</v>
      </c>
      <c r="F3543" s="9" t="str">
        <f t="shared" si="48"/>
        <v>structure with developmental contribution from neural crest</v>
      </c>
      <c r="G3543" s="9" t="s">
        <v>5090</v>
      </c>
      <c r="H3543" s="9" t="s">
        <v>22930</v>
      </c>
      <c r="I3543" s="9" t="s">
        <v>6679</v>
      </c>
      <c r="J3543" s="9" t="s">
        <v>6680</v>
      </c>
      <c r="K3543" s="4" t="s">
        <v>15175</v>
      </c>
      <c r="L3543" s="13">
        <v>11438</v>
      </c>
      <c r="M3543" t="str">
        <f>VLOOKUP(L3543,[1]Human_BrainSpan!$B$2:$C$4000,2,FALSE)</f>
        <v>ECL3</v>
      </c>
    </row>
    <row r="3544" spans="2:13" x14ac:dyDescent="0.25">
      <c r="B3544" s="31" t="s">
        <v>26303</v>
      </c>
      <c r="C3544" s="25" t="s">
        <v>1765</v>
      </c>
      <c r="D3544" s="25" t="s">
        <v>26185</v>
      </c>
      <c r="E3544" s="25" t="s">
        <v>26307</v>
      </c>
      <c r="F3544" s="9" t="str">
        <f t="shared" si="48"/>
        <v>structure with developmental contribution from neural crest</v>
      </c>
      <c r="G3544" s="9" t="s">
        <v>5090</v>
      </c>
      <c r="H3544" s="9" t="s">
        <v>22931</v>
      </c>
      <c r="I3544" s="9" t="s">
        <v>6681</v>
      </c>
      <c r="J3544" s="9" t="s">
        <v>6682</v>
      </c>
      <c r="K3544" s="4" t="s">
        <v>15175</v>
      </c>
      <c r="L3544" s="13">
        <v>11439</v>
      </c>
      <c r="M3544" t="str">
        <f>VLOOKUP(L3544,[1]Human_BrainSpan!$B$2:$C$4000,2,FALSE)</f>
        <v>ECL3a</v>
      </c>
    </row>
    <row r="3545" spans="2:13" x14ac:dyDescent="0.25">
      <c r="B3545" s="31" t="s">
        <v>26303</v>
      </c>
      <c r="C3545" s="25" t="s">
        <v>1765</v>
      </c>
      <c r="D3545" s="25" t="s">
        <v>26185</v>
      </c>
      <c r="E3545" s="25" t="s">
        <v>26307</v>
      </c>
      <c r="F3545" s="9" t="str">
        <f t="shared" si="48"/>
        <v>structure with developmental contribution from neural crest</v>
      </c>
      <c r="G3545" s="9" t="s">
        <v>5090</v>
      </c>
      <c r="H3545" s="9" t="s">
        <v>22932</v>
      </c>
      <c r="I3545" s="9" t="s">
        <v>6683</v>
      </c>
      <c r="J3545" s="9" t="s">
        <v>6684</v>
      </c>
      <c r="K3545" s="4" t="s">
        <v>15175</v>
      </c>
      <c r="L3545" s="13">
        <v>11440</v>
      </c>
      <c r="M3545" t="str">
        <f>VLOOKUP(L3545,[1]Human_BrainSpan!$B$2:$C$4000,2,FALSE)</f>
        <v>ECL3b</v>
      </c>
    </row>
    <row r="3546" spans="2:13" x14ac:dyDescent="0.25">
      <c r="B3546" s="31" t="s">
        <v>26303</v>
      </c>
      <c r="C3546" s="25" t="s">
        <v>1765</v>
      </c>
      <c r="D3546" s="25" t="s">
        <v>26185</v>
      </c>
      <c r="E3546" s="25" t="s">
        <v>26307</v>
      </c>
      <c r="F3546" s="9" t="str">
        <f t="shared" si="48"/>
        <v>structure with developmental contribution from neural crest</v>
      </c>
      <c r="G3546" s="9" t="s">
        <v>5090</v>
      </c>
      <c r="H3546" s="9" t="s">
        <v>22933</v>
      </c>
      <c r="I3546" s="9" t="s">
        <v>6685</v>
      </c>
      <c r="J3546" s="9" t="s">
        <v>6686</v>
      </c>
      <c r="K3546" s="4" t="s">
        <v>15175</v>
      </c>
      <c r="L3546" s="13">
        <v>11441</v>
      </c>
      <c r="M3546" t="str">
        <f>VLOOKUP(L3546,[1]Human_BrainSpan!$B$2:$C$4000,2,FALSE)</f>
        <v>ECLld</v>
      </c>
    </row>
    <row r="3547" spans="2:13" x14ac:dyDescent="0.25">
      <c r="B3547" s="31" t="s">
        <v>26303</v>
      </c>
      <c r="C3547" s="25" t="s">
        <v>1765</v>
      </c>
      <c r="D3547" s="25" t="s">
        <v>26185</v>
      </c>
      <c r="E3547" s="25" t="s">
        <v>26307</v>
      </c>
      <c r="F3547" s="9" t="str">
        <f t="shared" si="48"/>
        <v>structure with developmental contribution from neural crest</v>
      </c>
      <c r="G3547" s="9" t="s">
        <v>5090</v>
      </c>
      <c r="H3547" s="9" t="s">
        <v>22934</v>
      </c>
      <c r="I3547" s="9" t="s">
        <v>6687</v>
      </c>
      <c r="J3547" s="9" t="s">
        <v>6688</v>
      </c>
      <c r="K3547" s="4" t="s">
        <v>15175</v>
      </c>
      <c r="L3547" s="13">
        <v>11442</v>
      </c>
      <c r="M3547" t="str">
        <f>VLOOKUP(L3547,[1]Human_BrainSpan!$B$2:$C$4000,2,FALSE)</f>
        <v>ECLd</v>
      </c>
    </row>
    <row r="3548" spans="2:13" x14ac:dyDescent="0.25">
      <c r="B3548" s="31" t="s">
        <v>26303</v>
      </c>
      <c r="C3548" s="25" t="s">
        <v>1765</v>
      </c>
      <c r="D3548" s="25" t="s">
        <v>26185</v>
      </c>
      <c r="E3548" s="25" t="s">
        <v>26307</v>
      </c>
      <c r="F3548" s="9" t="str">
        <f t="shared" si="48"/>
        <v>structure with developmental contribution from neural crest</v>
      </c>
      <c r="G3548" s="9" t="s">
        <v>5090</v>
      </c>
      <c r="H3548" s="9" t="s">
        <v>22935</v>
      </c>
      <c r="I3548" s="9" t="s">
        <v>6689</v>
      </c>
      <c r="J3548" s="9" t="s">
        <v>6690</v>
      </c>
      <c r="K3548" s="4" t="s">
        <v>15175</v>
      </c>
      <c r="L3548" s="13">
        <v>11443</v>
      </c>
      <c r="M3548" t="str">
        <f>VLOOKUP(L3548,[1]Human_BrainSpan!$B$2:$C$4000,2,FALSE)</f>
        <v>ECL5</v>
      </c>
    </row>
    <row r="3549" spans="2:13" x14ac:dyDescent="0.25">
      <c r="B3549" s="31" t="s">
        <v>26303</v>
      </c>
      <c r="C3549" s="25" t="s">
        <v>1765</v>
      </c>
      <c r="D3549" s="25" t="s">
        <v>26185</v>
      </c>
      <c r="E3549" s="25" t="s">
        <v>26307</v>
      </c>
      <c r="F3549" s="9" t="str">
        <f t="shared" si="48"/>
        <v>structure with developmental contribution from neural crest</v>
      </c>
      <c r="G3549" s="9" t="s">
        <v>5090</v>
      </c>
      <c r="H3549" s="9" t="s">
        <v>22936</v>
      </c>
      <c r="I3549" s="9" t="s">
        <v>6691</v>
      </c>
      <c r="J3549" s="9" t="s">
        <v>6692</v>
      </c>
      <c r="K3549" s="4" t="s">
        <v>15175</v>
      </c>
      <c r="L3549" s="13">
        <v>11444</v>
      </c>
      <c r="M3549" t="str">
        <f>VLOOKUP(L3549,[1]Human_BrainSpan!$B$2:$C$4000,2,FALSE)</f>
        <v>ECL6</v>
      </c>
    </row>
    <row r="3550" spans="2:13" x14ac:dyDescent="0.25">
      <c r="B3550" s="31" t="s">
        <v>26303</v>
      </c>
      <c r="C3550" s="25" t="s">
        <v>1765</v>
      </c>
      <c r="D3550" s="25" t="s">
        <v>26185</v>
      </c>
      <c r="E3550" s="25" t="s">
        <v>26307</v>
      </c>
      <c r="F3550" s="9" t="str">
        <f t="shared" si="48"/>
        <v>structure with developmental contribution from neural crest</v>
      </c>
      <c r="G3550" s="9" t="s">
        <v>5090</v>
      </c>
      <c r="H3550" s="9" t="s">
        <v>22937</v>
      </c>
      <c r="I3550" s="9" t="s">
        <v>6693</v>
      </c>
      <c r="J3550" s="9" t="s">
        <v>6694</v>
      </c>
      <c r="K3550" s="4" t="s">
        <v>15175</v>
      </c>
      <c r="L3550" s="13">
        <v>11445</v>
      </c>
      <c r="M3550" t="str">
        <f>VLOOKUP(L3550,[1]Human_BrainSpan!$B$2:$C$4000,2,FALSE)</f>
        <v>ELC</v>
      </c>
    </row>
    <row r="3551" spans="2:13" x14ac:dyDescent="0.25">
      <c r="B3551" s="31" t="s">
        <v>26303</v>
      </c>
      <c r="C3551" s="25" t="s">
        <v>1765</v>
      </c>
      <c r="D3551" s="25" t="s">
        <v>26185</v>
      </c>
      <c r="E3551" s="25" t="s">
        <v>26307</v>
      </c>
      <c r="F3551" s="9" t="str">
        <f t="shared" si="48"/>
        <v>structure with developmental contribution from neural crest</v>
      </c>
      <c r="G3551" s="9" t="s">
        <v>5090</v>
      </c>
      <c r="H3551" s="9" t="s">
        <v>22939</v>
      </c>
      <c r="I3551" s="9" t="s">
        <v>6695</v>
      </c>
      <c r="J3551" s="9" t="s">
        <v>6696</v>
      </c>
      <c r="K3551" s="4" t="s">
        <v>15175</v>
      </c>
      <c r="L3551" s="13">
        <v>11446</v>
      </c>
      <c r="M3551" t="str">
        <f>VLOOKUP(L3551,[1]Human_BrainSpan!$B$2:$C$4000,2,FALSE)</f>
        <v>ELCs</v>
      </c>
    </row>
    <row r="3552" spans="2:13" x14ac:dyDescent="0.25">
      <c r="B3552" s="31" t="s">
        <v>26303</v>
      </c>
      <c r="C3552" s="25" t="s">
        <v>1765</v>
      </c>
      <c r="D3552" s="25" t="s">
        <v>26185</v>
      </c>
      <c r="E3552" s="25" t="s">
        <v>26307</v>
      </c>
      <c r="F3552" s="9" t="str">
        <f t="shared" si="48"/>
        <v>structure with developmental contribution from neural crest</v>
      </c>
      <c r="G3552" s="9" t="s">
        <v>5090</v>
      </c>
      <c r="H3552" s="9" t="s">
        <v>22938</v>
      </c>
      <c r="I3552" s="9" t="s">
        <v>6697</v>
      </c>
      <c r="J3552" s="9" t="s">
        <v>6698</v>
      </c>
      <c r="K3552" s="4" t="s">
        <v>15175</v>
      </c>
      <c r="L3552" s="13">
        <v>11447</v>
      </c>
      <c r="M3552" t="str">
        <f>VLOOKUP(L3552,[1]Human_BrainSpan!$B$2:$C$4000,2,FALSE)</f>
        <v>ELC1</v>
      </c>
    </row>
    <row r="3553" spans="2:13" x14ac:dyDescent="0.25">
      <c r="B3553" s="31" t="s">
        <v>26303</v>
      </c>
      <c r="C3553" s="25" t="s">
        <v>1765</v>
      </c>
      <c r="D3553" s="25" t="s">
        <v>26185</v>
      </c>
      <c r="E3553" s="25" t="s">
        <v>26307</v>
      </c>
      <c r="F3553" s="9" t="str">
        <f t="shared" si="48"/>
        <v>structure with developmental contribution from neural crest</v>
      </c>
      <c r="G3553" s="9" t="s">
        <v>5090</v>
      </c>
      <c r="H3553" s="9" t="s">
        <v>22940</v>
      </c>
      <c r="I3553" s="9" t="s">
        <v>6699</v>
      </c>
      <c r="J3553" s="9" t="s">
        <v>6700</v>
      </c>
      <c r="K3553" s="4" t="s">
        <v>15175</v>
      </c>
      <c r="L3553" s="13">
        <v>11448</v>
      </c>
      <c r="M3553" t="str">
        <f>VLOOKUP(L3553,[1]Human_BrainSpan!$B$2:$C$4000,2,FALSE)</f>
        <v>ELC2</v>
      </c>
    </row>
    <row r="3554" spans="2:13" x14ac:dyDescent="0.25">
      <c r="B3554" s="31" t="s">
        <v>26303</v>
      </c>
      <c r="C3554" s="25" t="s">
        <v>1765</v>
      </c>
      <c r="D3554" s="25" t="s">
        <v>26185</v>
      </c>
      <c r="E3554" s="25" t="s">
        <v>26307</v>
      </c>
      <c r="F3554" s="9" t="str">
        <f t="shared" si="48"/>
        <v>structure with developmental contribution from neural crest</v>
      </c>
      <c r="G3554" s="9" t="s">
        <v>5090</v>
      </c>
      <c r="H3554" s="9" t="s">
        <v>22941</v>
      </c>
      <c r="I3554" s="9" t="s">
        <v>6701</v>
      </c>
      <c r="J3554" s="9" t="s">
        <v>6702</v>
      </c>
      <c r="K3554" s="4" t="s">
        <v>15175</v>
      </c>
      <c r="L3554" s="13">
        <v>11449</v>
      </c>
      <c r="M3554" t="str">
        <f>VLOOKUP(L3554,[1]Human_BrainSpan!$B$2:$C$4000,2,FALSE)</f>
        <v>ELC3</v>
      </c>
    </row>
    <row r="3555" spans="2:13" x14ac:dyDescent="0.25">
      <c r="B3555" s="31" t="s">
        <v>26303</v>
      </c>
      <c r="C3555" s="25" t="s">
        <v>1765</v>
      </c>
      <c r="D3555" s="25" t="s">
        <v>26185</v>
      </c>
      <c r="E3555" s="25" t="s">
        <v>26307</v>
      </c>
      <c r="F3555" s="9" t="str">
        <f t="shared" si="48"/>
        <v>structure with developmental contribution from neural crest</v>
      </c>
      <c r="G3555" s="9" t="s">
        <v>5090</v>
      </c>
      <c r="H3555" s="9" t="s">
        <v>22942</v>
      </c>
      <c r="I3555" s="9" t="s">
        <v>6703</v>
      </c>
      <c r="J3555" s="9" t="s">
        <v>6704</v>
      </c>
      <c r="K3555" s="4" t="s">
        <v>15175</v>
      </c>
      <c r="L3555" s="13">
        <v>11450</v>
      </c>
      <c r="M3555" t="str">
        <f>VLOOKUP(L3555,[1]Human_BrainSpan!$B$2:$C$4000,2,FALSE)</f>
        <v>ELC3a</v>
      </c>
    </row>
    <row r="3556" spans="2:13" x14ac:dyDescent="0.25">
      <c r="B3556" s="31" t="s">
        <v>26303</v>
      </c>
      <c r="C3556" s="25" t="s">
        <v>1765</v>
      </c>
      <c r="D3556" s="25" t="s">
        <v>26185</v>
      </c>
      <c r="E3556" s="25" t="s">
        <v>26307</v>
      </c>
      <c r="F3556" s="9" t="str">
        <f t="shared" si="48"/>
        <v>structure with developmental contribution from neural crest</v>
      </c>
      <c r="G3556" s="9" t="s">
        <v>5090</v>
      </c>
      <c r="H3556" s="9" t="s">
        <v>22943</v>
      </c>
      <c r="I3556" s="9" t="s">
        <v>6705</v>
      </c>
      <c r="J3556" s="9" t="s">
        <v>6706</v>
      </c>
      <c r="K3556" s="4" t="s">
        <v>15175</v>
      </c>
      <c r="L3556" s="13">
        <v>11451</v>
      </c>
      <c r="M3556" t="str">
        <f>VLOOKUP(L3556,[1]Human_BrainSpan!$B$2:$C$4000,2,FALSE)</f>
        <v>ELC3b</v>
      </c>
    </row>
    <row r="3557" spans="2:13" x14ac:dyDescent="0.25">
      <c r="B3557" s="31" t="s">
        <v>26303</v>
      </c>
      <c r="C3557" s="25" t="s">
        <v>1765</v>
      </c>
      <c r="D3557" s="25" t="s">
        <v>26185</v>
      </c>
      <c r="E3557" s="25" t="s">
        <v>26307</v>
      </c>
      <c r="F3557" s="9" t="str">
        <f t="shared" si="48"/>
        <v>structure with developmental contribution from neural crest</v>
      </c>
      <c r="G3557" s="9" t="s">
        <v>5090</v>
      </c>
      <c r="H3557" s="9" t="s">
        <v>22945</v>
      </c>
      <c r="I3557" s="9" t="s">
        <v>6707</v>
      </c>
      <c r="J3557" s="9" t="s">
        <v>6708</v>
      </c>
      <c r="K3557" s="4" t="s">
        <v>15175</v>
      </c>
      <c r="L3557" s="13">
        <v>11452</v>
      </c>
      <c r="M3557" t="str">
        <f>VLOOKUP(L3557,[1]Human_BrainSpan!$B$2:$C$4000,2,FALSE)</f>
        <v>ELCd</v>
      </c>
    </row>
    <row r="3558" spans="2:13" x14ac:dyDescent="0.25">
      <c r="B3558" s="31" t="s">
        <v>26303</v>
      </c>
      <c r="C3558" s="25" t="s">
        <v>1765</v>
      </c>
      <c r="D3558" s="25" t="s">
        <v>26185</v>
      </c>
      <c r="E3558" s="25" t="s">
        <v>26307</v>
      </c>
      <c r="F3558" s="9" t="str">
        <f t="shared" si="48"/>
        <v>structure with developmental contribution from neural crest</v>
      </c>
      <c r="G3558" s="9" t="s">
        <v>5090</v>
      </c>
      <c r="H3558" s="9" t="s">
        <v>22946</v>
      </c>
      <c r="I3558" s="9" t="s">
        <v>6709</v>
      </c>
      <c r="J3558" s="9" t="s">
        <v>6710</v>
      </c>
      <c r="K3558" s="4" t="s">
        <v>15175</v>
      </c>
      <c r="L3558" s="13">
        <v>11453</v>
      </c>
      <c r="M3558" t="str">
        <f>VLOOKUP(L3558,[1]Human_BrainSpan!$B$2:$C$4000,2,FALSE)</f>
        <v>ELC5</v>
      </c>
    </row>
    <row r="3559" spans="2:13" x14ac:dyDescent="0.25">
      <c r="B3559" s="31" t="s">
        <v>26303</v>
      </c>
      <c r="C3559" s="25" t="s">
        <v>1765</v>
      </c>
      <c r="D3559" s="25" t="s">
        <v>26185</v>
      </c>
      <c r="E3559" s="25" t="s">
        <v>26307</v>
      </c>
      <c r="F3559" s="9" t="str">
        <f t="shared" si="48"/>
        <v>structure with developmental contribution from neural crest</v>
      </c>
      <c r="G3559" s="9" t="s">
        <v>5090</v>
      </c>
      <c r="H3559" s="9" t="s">
        <v>22947</v>
      </c>
      <c r="I3559" s="9" t="s">
        <v>6711</v>
      </c>
      <c r="J3559" s="9" t="s">
        <v>6712</v>
      </c>
      <c r="K3559" s="4" t="s">
        <v>15175</v>
      </c>
      <c r="L3559" s="13">
        <v>11454</v>
      </c>
      <c r="M3559" t="str">
        <f>VLOOKUP(L3559,[1]Human_BrainSpan!$B$2:$C$4000,2,FALSE)</f>
        <v>ELC6</v>
      </c>
    </row>
    <row r="3560" spans="2:13" x14ac:dyDescent="0.25">
      <c r="B3560" s="31" t="s">
        <v>26299</v>
      </c>
      <c r="C3560" s="25" t="s">
        <v>3815</v>
      </c>
      <c r="D3560" s="25" t="s">
        <v>26232</v>
      </c>
      <c r="E3560" s="25" t="s">
        <v>26306</v>
      </c>
      <c r="F3560" s="9" t="str">
        <f t="shared" si="48"/>
        <v>structure with developmental contribution from neural crest</v>
      </c>
      <c r="G3560" s="9" t="s">
        <v>5090</v>
      </c>
      <c r="H3560" s="9" t="s">
        <v>22841</v>
      </c>
      <c r="I3560" s="9" t="s">
        <v>6713</v>
      </c>
      <c r="J3560" s="9" t="s">
        <v>6714</v>
      </c>
      <c r="K3560" s="4" t="s">
        <v>15175</v>
      </c>
      <c r="L3560" s="13">
        <v>11455</v>
      </c>
      <c r="M3560" t="str">
        <f>VLOOKUP(L3560,[1]Human_BrainSpan!$B$2:$C$4000,2,FALSE)</f>
        <v>A35r1</v>
      </c>
    </row>
    <row r="3561" spans="2:13" x14ac:dyDescent="0.25">
      <c r="B3561" s="31" t="s">
        <v>26299</v>
      </c>
      <c r="C3561" s="25" t="s">
        <v>3815</v>
      </c>
      <c r="D3561" s="25" t="s">
        <v>26232</v>
      </c>
      <c r="E3561" s="25" t="s">
        <v>26306</v>
      </c>
      <c r="F3561" s="9" t="str">
        <f t="shared" si="48"/>
        <v>structure with developmental contribution from neural crest</v>
      </c>
      <c r="G3561" s="9" t="s">
        <v>5090</v>
      </c>
      <c r="H3561" s="9" t="s">
        <v>22842</v>
      </c>
      <c r="I3561" s="9" t="s">
        <v>6715</v>
      </c>
      <c r="J3561" s="9" t="s">
        <v>6716</v>
      </c>
      <c r="K3561" s="4" t="s">
        <v>15175</v>
      </c>
      <c r="L3561" s="13">
        <v>11456</v>
      </c>
      <c r="M3561" t="str">
        <f>VLOOKUP(L3561,[1]Human_BrainSpan!$B$2:$C$4000,2,FALSE)</f>
        <v>A35r2</v>
      </c>
    </row>
    <row r="3562" spans="2:13" x14ac:dyDescent="0.25">
      <c r="B3562" s="31" t="s">
        <v>26299</v>
      </c>
      <c r="C3562" s="25" t="s">
        <v>3815</v>
      </c>
      <c r="D3562" s="25" t="s">
        <v>26232</v>
      </c>
      <c r="E3562" s="25" t="s">
        <v>26306</v>
      </c>
      <c r="F3562" s="9" t="str">
        <f t="shared" si="48"/>
        <v>structure with developmental contribution from neural crest</v>
      </c>
      <c r="G3562" s="9" t="s">
        <v>5090</v>
      </c>
      <c r="H3562" s="9" t="s">
        <v>22843</v>
      </c>
      <c r="I3562" s="9" t="s">
        <v>6717</v>
      </c>
      <c r="J3562" s="9" t="s">
        <v>6718</v>
      </c>
      <c r="K3562" s="4" t="s">
        <v>15175</v>
      </c>
      <c r="L3562" s="13">
        <v>11457</v>
      </c>
      <c r="M3562" t="str">
        <f>VLOOKUP(L3562,[1]Human_BrainSpan!$B$2:$C$4000,2,FALSE)</f>
        <v>A35r3</v>
      </c>
    </row>
    <row r="3563" spans="2:13" x14ac:dyDescent="0.25">
      <c r="B3563" s="31" t="s">
        <v>26299</v>
      </c>
      <c r="C3563" s="25" t="s">
        <v>3815</v>
      </c>
      <c r="D3563" s="25" t="s">
        <v>26232</v>
      </c>
      <c r="E3563" s="25" t="s">
        <v>26306</v>
      </c>
      <c r="F3563" s="9" t="str">
        <f t="shared" si="48"/>
        <v>structure with developmental contribution from neural crest</v>
      </c>
      <c r="G3563" s="9" t="s">
        <v>5090</v>
      </c>
      <c r="H3563" s="9" t="s">
        <v>22844</v>
      </c>
      <c r="I3563" s="9" t="s">
        <v>6719</v>
      </c>
      <c r="J3563" s="9" t="s">
        <v>6720</v>
      </c>
      <c r="K3563" s="4" t="s">
        <v>15175</v>
      </c>
      <c r="L3563" s="13">
        <v>11458</v>
      </c>
      <c r="M3563" t="str">
        <f>VLOOKUP(L3563,[1]Human_BrainSpan!$B$2:$C$4000,2,FALSE)</f>
        <v>A35r3a</v>
      </c>
    </row>
    <row r="3564" spans="2:13" x14ac:dyDescent="0.25">
      <c r="B3564" s="31" t="s">
        <v>26299</v>
      </c>
      <c r="C3564" s="25" t="s">
        <v>3815</v>
      </c>
      <c r="D3564" s="25" t="s">
        <v>26232</v>
      </c>
      <c r="E3564" s="25" t="s">
        <v>26306</v>
      </c>
      <c r="F3564" s="9" t="str">
        <f t="shared" si="48"/>
        <v>structure with developmental contribution from neural crest</v>
      </c>
      <c r="G3564" s="9" t="s">
        <v>5090</v>
      </c>
      <c r="H3564" s="9" t="s">
        <v>22845</v>
      </c>
      <c r="I3564" s="9" t="s">
        <v>6721</v>
      </c>
      <c r="J3564" s="9" t="s">
        <v>6722</v>
      </c>
      <c r="K3564" s="4" t="s">
        <v>15175</v>
      </c>
      <c r="L3564" s="13">
        <v>11459</v>
      </c>
      <c r="M3564" t="str">
        <f>VLOOKUP(L3564,[1]Human_BrainSpan!$B$2:$C$4000,2,FALSE)</f>
        <v>A35r3b</v>
      </c>
    </row>
    <row r="3565" spans="2:13" x14ac:dyDescent="0.25">
      <c r="B3565" s="31" t="s">
        <v>26299</v>
      </c>
      <c r="C3565" s="25" t="s">
        <v>3815</v>
      </c>
      <c r="D3565" s="25" t="s">
        <v>26232</v>
      </c>
      <c r="E3565" s="25" t="s">
        <v>26306</v>
      </c>
      <c r="F3565" s="9" t="str">
        <f t="shared" si="48"/>
        <v>structure with developmental contribution from neural crest</v>
      </c>
      <c r="G3565" s="9" t="s">
        <v>5090</v>
      </c>
      <c r="H3565" s="9" t="s">
        <v>22846</v>
      </c>
      <c r="I3565" s="9" t="s">
        <v>6723</v>
      </c>
      <c r="J3565" s="9" t="s">
        <v>6724</v>
      </c>
      <c r="K3565" s="4" t="s">
        <v>15175</v>
      </c>
      <c r="L3565" s="13">
        <v>11460</v>
      </c>
      <c r="M3565" t="str">
        <f>VLOOKUP(L3565,[1]Human_BrainSpan!$B$2:$C$4000,2,FALSE)</f>
        <v>A35r3u</v>
      </c>
    </row>
    <row r="3566" spans="2:13" x14ac:dyDescent="0.25">
      <c r="B3566" s="31" t="s">
        <v>26299</v>
      </c>
      <c r="C3566" s="25" t="s">
        <v>3815</v>
      </c>
      <c r="D3566" s="25" t="s">
        <v>26232</v>
      </c>
      <c r="E3566" s="25" t="s">
        <v>26306</v>
      </c>
      <c r="F3566" s="9" t="str">
        <f t="shared" si="48"/>
        <v>structure with developmental contribution from neural crest</v>
      </c>
      <c r="G3566" s="9" t="s">
        <v>5090</v>
      </c>
      <c r="H3566" s="9" t="s">
        <v>22847</v>
      </c>
      <c r="I3566" s="9" t="s">
        <v>6725</v>
      </c>
      <c r="J3566" s="9" t="s">
        <v>6726</v>
      </c>
      <c r="K3566" s="4" t="s">
        <v>15175</v>
      </c>
      <c r="L3566" s="13">
        <v>11461</v>
      </c>
      <c r="M3566" t="str">
        <f>VLOOKUP(L3566,[1]Human_BrainSpan!$B$2:$C$4000,2,FALSE)</f>
        <v>A35r5</v>
      </c>
    </row>
    <row r="3567" spans="2:13" x14ac:dyDescent="0.25">
      <c r="B3567" s="31" t="s">
        <v>26299</v>
      </c>
      <c r="C3567" s="25" t="s">
        <v>3815</v>
      </c>
      <c r="D3567" s="25" t="s">
        <v>26232</v>
      </c>
      <c r="E3567" s="25" t="s">
        <v>26306</v>
      </c>
      <c r="F3567" s="9" t="str">
        <f t="shared" si="48"/>
        <v>structure with developmental contribution from neural crest</v>
      </c>
      <c r="G3567" s="9" t="s">
        <v>5090</v>
      </c>
      <c r="H3567" s="9" t="s">
        <v>22848</v>
      </c>
      <c r="I3567" s="9" t="s">
        <v>6727</v>
      </c>
      <c r="J3567" s="9" t="s">
        <v>6728</v>
      </c>
      <c r="K3567" s="4" t="s">
        <v>15175</v>
      </c>
      <c r="L3567" s="13">
        <v>11462</v>
      </c>
      <c r="M3567" t="str">
        <f>VLOOKUP(L3567,[1]Human_BrainSpan!$B$2:$C$4000,2,FALSE)</f>
        <v>A35r6</v>
      </c>
    </row>
    <row r="3568" spans="2:13" x14ac:dyDescent="0.25">
      <c r="B3568" s="31" t="s">
        <v>26299</v>
      </c>
      <c r="C3568" s="25" t="s">
        <v>3815</v>
      </c>
      <c r="D3568" s="25" t="s">
        <v>26232</v>
      </c>
      <c r="E3568" s="25" t="s">
        <v>26306</v>
      </c>
      <c r="F3568" s="9" t="str">
        <f t="shared" si="48"/>
        <v>structure with developmental contribution from neural crest</v>
      </c>
      <c r="G3568" s="9" t="s">
        <v>5090</v>
      </c>
      <c r="H3568" s="9" t="s">
        <v>22850</v>
      </c>
      <c r="I3568" s="9" t="s">
        <v>6729</v>
      </c>
      <c r="J3568" s="9" t="s">
        <v>6730</v>
      </c>
      <c r="K3568" s="4" t="s">
        <v>15175</v>
      </c>
      <c r="L3568" s="13">
        <v>11463</v>
      </c>
      <c r="M3568" t="str">
        <f>VLOOKUP(L3568,[1]Human_BrainSpan!$B$2:$C$4000,2,FALSE)</f>
        <v>A35c1</v>
      </c>
    </row>
    <row r="3569" spans="2:13" x14ac:dyDescent="0.25">
      <c r="B3569" s="31" t="s">
        <v>26299</v>
      </c>
      <c r="C3569" s="25" t="s">
        <v>3815</v>
      </c>
      <c r="D3569" s="25" t="s">
        <v>26232</v>
      </c>
      <c r="E3569" s="25" t="s">
        <v>26306</v>
      </c>
      <c r="F3569" s="9" t="str">
        <f t="shared" si="48"/>
        <v>structure with developmental contribution from neural crest</v>
      </c>
      <c r="G3569" s="9" t="s">
        <v>5090</v>
      </c>
      <c r="H3569" s="9" t="s">
        <v>22851</v>
      </c>
      <c r="I3569" s="9" t="s">
        <v>6731</v>
      </c>
      <c r="J3569" s="9" t="s">
        <v>6732</v>
      </c>
      <c r="K3569" s="4" t="s">
        <v>15175</v>
      </c>
      <c r="L3569" s="13">
        <v>11464</v>
      </c>
      <c r="M3569" t="str">
        <f>VLOOKUP(L3569,[1]Human_BrainSpan!$B$2:$C$4000,2,FALSE)</f>
        <v>A35c2</v>
      </c>
    </row>
    <row r="3570" spans="2:13" x14ac:dyDescent="0.25">
      <c r="B3570" s="31" t="s">
        <v>26299</v>
      </c>
      <c r="C3570" s="25" t="s">
        <v>3815</v>
      </c>
      <c r="D3570" s="25" t="s">
        <v>26232</v>
      </c>
      <c r="E3570" s="25" t="s">
        <v>26306</v>
      </c>
      <c r="F3570" s="9" t="str">
        <f t="shared" si="48"/>
        <v>structure with developmental contribution from neural crest</v>
      </c>
      <c r="G3570" s="9" t="s">
        <v>5090</v>
      </c>
      <c r="H3570" s="9" t="s">
        <v>22852</v>
      </c>
      <c r="I3570" s="9" t="s">
        <v>6733</v>
      </c>
      <c r="J3570" s="9" t="s">
        <v>6734</v>
      </c>
      <c r="K3570" s="4" t="s">
        <v>15175</v>
      </c>
      <c r="L3570" s="13">
        <v>11465</v>
      </c>
      <c r="M3570" t="str">
        <f>VLOOKUP(L3570,[1]Human_BrainSpan!$B$2:$C$4000,2,FALSE)</f>
        <v>A35c3</v>
      </c>
    </row>
    <row r="3571" spans="2:13" x14ac:dyDescent="0.25">
      <c r="B3571" s="31" t="s">
        <v>26299</v>
      </c>
      <c r="C3571" s="25" t="s">
        <v>3815</v>
      </c>
      <c r="D3571" s="25" t="s">
        <v>26232</v>
      </c>
      <c r="E3571" s="25" t="s">
        <v>26306</v>
      </c>
      <c r="F3571" s="9" t="str">
        <f t="shared" si="48"/>
        <v>structure with developmental contribution from neural crest</v>
      </c>
      <c r="G3571" s="9" t="s">
        <v>5090</v>
      </c>
      <c r="H3571" s="9" t="s">
        <v>22853</v>
      </c>
      <c r="I3571" s="9" t="s">
        <v>6735</v>
      </c>
      <c r="J3571" s="9" t="s">
        <v>6736</v>
      </c>
      <c r="K3571" s="4" t="s">
        <v>15175</v>
      </c>
      <c r="L3571" s="13">
        <v>11466</v>
      </c>
      <c r="M3571" t="str">
        <f>VLOOKUP(L3571,[1]Human_BrainSpan!$B$2:$C$4000,2,FALSE)</f>
        <v>A35c3a</v>
      </c>
    </row>
    <row r="3572" spans="2:13" x14ac:dyDescent="0.25">
      <c r="B3572" s="31" t="s">
        <v>26299</v>
      </c>
      <c r="C3572" s="25" t="s">
        <v>3815</v>
      </c>
      <c r="D3572" s="25" t="s">
        <v>26232</v>
      </c>
      <c r="E3572" s="25" t="s">
        <v>26306</v>
      </c>
      <c r="F3572" s="9" t="str">
        <f t="shared" si="48"/>
        <v>structure with developmental contribution from neural crest</v>
      </c>
      <c r="G3572" s="9" t="s">
        <v>5090</v>
      </c>
      <c r="H3572" s="9" t="s">
        <v>22854</v>
      </c>
      <c r="I3572" s="9" t="s">
        <v>6737</v>
      </c>
      <c r="J3572" s="9" t="s">
        <v>6738</v>
      </c>
      <c r="K3572" s="4" t="s">
        <v>15175</v>
      </c>
      <c r="L3572" s="13">
        <v>11467</v>
      </c>
      <c r="M3572" t="str">
        <f>VLOOKUP(L3572,[1]Human_BrainSpan!$B$2:$C$4000,2,FALSE)</f>
        <v>A35c3b</v>
      </c>
    </row>
    <row r="3573" spans="2:13" x14ac:dyDescent="0.25">
      <c r="B3573" s="31" t="s">
        <v>26299</v>
      </c>
      <c r="C3573" s="25" t="s">
        <v>3815</v>
      </c>
      <c r="D3573" s="25" t="s">
        <v>26232</v>
      </c>
      <c r="E3573" s="25" t="s">
        <v>26306</v>
      </c>
      <c r="F3573" s="9" t="str">
        <f t="shared" si="48"/>
        <v>structure with developmental contribution from neural crest</v>
      </c>
      <c r="G3573" s="9" t="s">
        <v>5090</v>
      </c>
      <c r="H3573" s="9" t="s">
        <v>22855</v>
      </c>
      <c r="I3573" s="9" t="s">
        <v>6739</v>
      </c>
      <c r="J3573" s="9" t="s">
        <v>6740</v>
      </c>
      <c r="K3573" s="4" t="s">
        <v>15175</v>
      </c>
      <c r="L3573" s="13">
        <v>11468</v>
      </c>
      <c r="M3573" t="str">
        <f>VLOOKUP(L3573,[1]Human_BrainSpan!$B$2:$C$4000,2,FALSE)</f>
        <v>A35c3u</v>
      </c>
    </row>
    <row r="3574" spans="2:13" x14ac:dyDescent="0.25">
      <c r="B3574" s="31" t="s">
        <v>26299</v>
      </c>
      <c r="C3574" s="25" t="s">
        <v>3815</v>
      </c>
      <c r="D3574" s="25" t="s">
        <v>26232</v>
      </c>
      <c r="E3574" s="25" t="s">
        <v>26306</v>
      </c>
      <c r="F3574" s="9" t="str">
        <f t="shared" si="48"/>
        <v>structure with developmental contribution from neural crest</v>
      </c>
      <c r="G3574" s="9" t="s">
        <v>5090</v>
      </c>
      <c r="H3574" s="9" t="s">
        <v>22856</v>
      </c>
      <c r="I3574" s="9" t="s">
        <v>6741</v>
      </c>
      <c r="J3574" s="9" t="s">
        <v>6742</v>
      </c>
      <c r="K3574" s="4" t="s">
        <v>15175</v>
      </c>
      <c r="L3574" s="13">
        <v>11469</v>
      </c>
      <c r="M3574" t="str">
        <f>VLOOKUP(L3574,[1]Human_BrainSpan!$B$2:$C$4000,2,FALSE)</f>
        <v>A35c5</v>
      </c>
    </row>
    <row r="3575" spans="2:13" x14ac:dyDescent="0.25">
      <c r="B3575" s="31" t="s">
        <v>26299</v>
      </c>
      <c r="C3575" s="25" t="s">
        <v>3815</v>
      </c>
      <c r="D3575" s="25" t="s">
        <v>26232</v>
      </c>
      <c r="E3575" s="25" t="s">
        <v>26306</v>
      </c>
      <c r="F3575" s="9" t="str">
        <f t="shared" ref="F3575:F3638" si="49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3575" s="9" t="s">
        <v>5090</v>
      </c>
      <c r="H3575" s="9" t="s">
        <v>22857</v>
      </c>
      <c r="I3575" s="9" t="s">
        <v>6743</v>
      </c>
      <c r="J3575" s="9" t="s">
        <v>6744</v>
      </c>
      <c r="K3575" s="4" t="s">
        <v>15175</v>
      </c>
      <c r="L3575" s="13">
        <v>11470</v>
      </c>
      <c r="M3575" t="str">
        <f>VLOOKUP(L3575,[1]Human_BrainSpan!$B$2:$C$4000,2,FALSE)</f>
        <v>A35c6</v>
      </c>
    </row>
    <row r="3576" spans="2:13" x14ac:dyDescent="0.25">
      <c r="B3576" s="31" t="s">
        <v>26299</v>
      </c>
      <c r="C3576" s="25" t="s">
        <v>26190</v>
      </c>
      <c r="D3576" s="25" t="s">
        <v>26232</v>
      </c>
      <c r="E3576" s="25" t="s">
        <v>26306</v>
      </c>
      <c r="F3576" s="9" t="str">
        <f t="shared" si="49"/>
        <v>structure with developmental contribution from neural crest</v>
      </c>
      <c r="G3576" s="9" t="s">
        <v>5090</v>
      </c>
      <c r="H3576" s="9" t="s">
        <v>22978</v>
      </c>
      <c r="I3576" s="9" t="s">
        <v>6745</v>
      </c>
      <c r="J3576" s="9" t="s">
        <v>6746</v>
      </c>
      <c r="K3576" s="4" t="s">
        <v>15175</v>
      </c>
      <c r="L3576" s="13">
        <v>11476</v>
      </c>
      <c r="M3576" t="str">
        <f>VLOOKUP(L3576,[1]Human_BrainSpan!$B$2:$C$4000,2,FALSE)</f>
        <v>A29-1</v>
      </c>
    </row>
    <row r="3577" spans="2:13" x14ac:dyDescent="0.25">
      <c r="B3577" s="31" t="s">
        <v>26299</v>
      </c>
      <c r="C3577" s="25" t="s">
        <v>26190</v>
      </c>
      <c r="D3577" s="25" t="s">
        <v>26232</v>
      </c>
      <c r="E3577" s="25" t="s">
        <v>26306</v>
      </c>
      <c r="F3577" s="9" t="str">
        <f t="shared" si="49"/>
        <v>structure with developmental contribution from neural crest</v>
      </c>
      <c r="G3577" s="9" t="s">
        <v>5090</v>
      </c>
      <c r="H3577" s="9" t="s">
        <v>22979</v>
      </c>
      <c r="I3577" s="9" t="s">
        <v>6747</v>
      </c>
      <c r="J3577" s="9" t="s">
        <v>6748</v>
      </c>
      <c r="K3577" s="4" t="s">
        <v>15175</v>
      </c>
      <c r="L3577" s="13">
        <v>11477</v>
      </c>
      <c r="M3577" t="str">
        <f>VLOOKUP(L3577,[1]Human_BrainSpan!$B$2:$C$4000,2,FALSE)</f>
        <v>A29-2</v>
      </c>
    </row>
    <row r="3578" spans="2:13" x14ac:dyDescent="0.25">
      <c r="B3578" s="31" t="s">
        <v>26299</v>
      </c>
      <c r="C3578" s="25" t="s">
        <v>26190</v>
      </c>
      <c r="D3578" s="25" t="s">
        <v>26232</v>
      </c>
      <c r="E3578" s="25" t="s">
        <v>26306</v>
      </c>
      <c r="F3578" s="9" t="str">
        <f t="shared" si="49"/>
        <v>structure with developmental contribution from neural crest</v>
      </c>
      <c r="G3578" s="9" t="s">
        <v>5090</v>
      </c>
      <c r="H3578" s="9" t="s">
        <v>22980</v>
      </c>
      <c r="I3578" s="9" t="s">
        <v>6749</v>
      </c>
      <c r="J3578" s="9" t="s">
        <v>6750</v>
      </c>
      <c r="K3578" s="4" t="s">
        <v>15175</v>
      </c>
      <c r="L3578" s="13">
        <v>11478</v>
      </c>
      <c r="M3578" t="str">
        <f>VLOOKUP(L3578,[1]Human_BrainSpan!$B$2:$C$4000,2,FALSE)</f>
        <v>A29-3</v>
      </c>
    </row>
    <row r="3579" spans="2:13" x14ac:dyDescent="0.25">
      <c r="B3579" s="31" t="s">
        <v>26299</v>
      </c>
      <c r="C3579" s="25" t="s">
        <v>26190</v>
      </c>
      <c r="D3579" s="25" t="s">
        <v>26232</v>
      </c>
      <c r="E3579" s="25" t="s">
        <v>26306</v>
      </c>
      <c r="F3579" s="9" t="str">
        <f t="shared" si="49"/>
        <v>structure with developmental contribution from neural crest</v>
      </c>
      <c r="G3579" s="9" t="s">
        <v>5090</v>
      </c>
      <c r="H3579" s="9" t="s">
        <v>22983</v>
      </c>
      <c r="I3579" s="9" t="s">
        <v>6751</v>
      </c>
      <c r="J3579" s="9" t="s">
        <v>6752</v>
      </c>
      <c r="K3579" s="4" t="s">
        <v>15175</v>
      </c>
      <c r="L3579" s="13">
        <v>11481</v>
      </c>
      <c r="M3579" t="str">
        <f>VLOOKUP(L3579,[1]Human_BrainSpan!$B$2:$C$4000,2,FALSE)</f>
        <v>A30-1</v>
      </c>
    </row>
    <row r="3580" spans="2:13" x14ac:dyDescent="0.25">
      <c r="B3580" s="31" t="s">
        <v>26299</v>
      </c>
      <c r="C3580" s="25" t="s">
        <v>26190</v>
      </c>
      <c r="D3580" s="25" t="s">
        <v>26232</v>
      </c>
      <c r="E3580" s="25" t="s">
        <v>26306</v>
      </c>
      <c r="F3580" s="9" t="str">
        <f t="shared" si="49"/>
        <v>structure with developmental contribution from neural crest</v>
      </c>
      <c r="G3580" s="9" t="s">
        <v>5090</v>
      </c>
      <c r="H3580" s="9" t="s">
        <v>22984</v>
      </c>
      <c r="I3580" s="9" t="s">
        <v>6753</v>
      </c>
      <c r="J3580" s="9" t="s">
        <v>6754</v>
      </c>
      <c r="K3580" s="4" t="s">
        <v>15175</v>
      </c>
      <c r="L3580" s="13">
        <v>11482</v>
      </c>
      <c r="M3580" t="str">
        <f>VLOOKUP(L3580,[1]Human_BrainSpan!$B$2:$C$4000,2,FALSE)</f>
        <v>A30-2</v>
      </c>
    </row>
    <row r="3581" spans="2:13" x14ac:dyDescent="0.25">
      <c r="B3581" s="31" t="s">
        <v>26299</v>
      </c>
      <c r="C3581" s="25" t="s">
        <v>26190</v>
      </c>
      <c r="D3581" s="25" t="s">
        <v>26232</v>
      </c>
      <c r="E3581" s="25" t="s">
        <v>26306</v>
      </c>
      <c r="F3581" s="9" t="str">
        <f t="shared" si="49"/>
        <v>structure with developmental contribution from neural crest</v>
      </c>
      <c r="G3581" s="9" t="s">
        <v>5090</v>
      </c>
      <c r="H3581" s="9" t="s">
        <v>22985</v>
      </c>
      <c r="I3581" s="9" t="s">
        <v>6755</v>
      </c>
      <c r="J3581" s="9" t="s">
        <v>6756</v>
      </c>
      <c r="K3581" s="4" t="s">
        <v>15175</v>
      </c>
      <c r="L3581" s="13">
        <v>11483</v>
      </c>
      <c r="M3581" t="str">
        <f>VLOOKUP(L3581,[1]Human_BrainSpan!$B$2:$C$4000,2,FALSE)</f>
        <v>A30-3</v>
      </c>
    </row>
    <row r="3582" spans="2:13" x14ac:dyDescent="0.25">
      <c r="B3582" s="31" t="s">
        <v>26299</v>
      </c>
      <c r="C3582" s="25" t="s">
        <v>26190</v>
      </c>
      <c r="D3582" s="25" t="s">
        <v>26232</v>
      </c>
      <c r="E3582" s="25" t="s">
        <v>26306</v>
      </c>
      <c r="F3582" s="9" t="str">
        <f t="shared" si="49"/>
        <v>structure with developmental contribution from neural crest</v>
      </c>
      <c r="G3582" s="9" t="s">
        <v>5090</v>
      </c>
      <c r="H3582" s="9" t="s">
        <v>22986</v>
      </c>
      <c r="I3582" s="9" t="s">
        <v>6757</v>
      </c>
      <c r="J3582" s="9" t="s">
        <v>6758</v>
      </c>
      <c r="K3582" s="4" t="s">
        <v>15175</v>
      </c>
      <c r="L3582" s="13">
        <v>11484</v>
      </c>
      <c r="M3582" t="str">
        <f>VLOOKUP(L3582,[1]Human_BrainSpan!$B$2:$C$4000,2,FALSE)</f>
        <v>A30-5</v>
      </c>
    </row>
    <row r="3583" spans="2:13" x14ac:dyDescent="0.25">
      <c r="B3583" s="31" t="s">
        <v>26299</v>
      </c>
      <c r="C3583" s="25" t="s">
        <v>26190</v>
      </c>
      <c r="D3583" s="25" t="s">
        <v>26232</v>
      </c>
      <c r="E3583" s="25" t="s">
        <v>26306</v>
      </c>
      <c r="F3583" s="9" t="str">
        <f t="shared" si="49"/>
        <v>structure with developmental contribution from neural crest</v>
      </c>
      <c r="G3583" s="9" t="s">
        <v>5090</v>
      </c>
      <c r="H3583" s="9" t="s">
        <v>22987</v>
      </c>
      <c r="I3583" s="9" t="s">
        <v>6759</v>
      </c>
      <c r="J3583" s="9" t="s">
        <v>6760</v>
      </c>
      <c r="K3583" s="4" t="s">
        <v>15175</v>
      </c>
      <c r="L3583" s="13">
        <v>11485</v>
      </c>
      <c r="M3583" t="str">
        <f>VLOOKUP(L3583,[1]Human_BrainSpan!$B$2:$C$4000,2,FALSE)</f>
        <v>A30-6</v>
      </c>
    </row>
    <row r="3584" spans="2:13" x14ac:dyDescent="0.25">
      <c r="B3584" s="31" t="s">
        <v>26303</v>
      </c>
      <c r="C3584" s="25" t="s">
        <v>25771</v>
      </c>
      <c r="D3584" s="25" t="s">
        <v>26232</v>
      </c>
      <c r="E3584" s="25" t="s">
        <v>26306</v>
      </c>
      <c r="F3584" s="9" t="str">
        <f t="shared" si="49"/>
        <v>structure with developmental contribution from neural crest</v>
      </c>
      <c r="G3584" s="9" t="s">
        <v>5090</v>
      </c>
      <c r="H3584" s="9" t="s">
        <v>22990</v>
      </c>
      <c r="I3584" s="9" t="s">
        <v>6761</v>
      </c>
      <c r="J3584" s="9" t="s">
        <v>6762</v>
      </c>
      <c r="K3584" s="4" t="s">
        <v>15175</v>
      </c>
      <c r="L3584" s="13">
        <v>11486</v>
      </c>
      <c r="M3584" t="str">
        <f>VLOOKUP(L3584,[1]Human_BrainSpan!$B$2:$C$4000,2,FALSE)</f>
        <v>Iag1</v>
      </c>
    </row>
    <row r="3585" spans="2:13" x14ac:dyDescent="0.25">
      <c r="B3585" s="31" t="s">
        <v>26303</v>
      </c>
      <c r="C3585" s="25" t="s">
        <v>25771</v>
      </c>
      <c r="D3585" s="25" t="s">
        <v>26232</v>
      </c>
      <c r="E3585" s="25" t="s">
        <v>26306</v>
      </c>
      <c r="F3585" s="9" t="str">
        <f t="shared" si="49"/>
        <v>structure with developmental contribution from neural crest</v>
      </c>
      <c r="G3585" s="9" t="s">
        <v>5090</v>
      </c>
      <c r="H3585" s="9" t="s">
        <v>22991</v>
      </c>
      <c r="I3585" s="9" t="s">
        <v>6763</v>
      </c>
      <c r="J3585" s="9" t="s">
        <v>6764</v>
      </c>
      <c r="K3585" s="4" t="s">
        <v>15175</v>
      </c>
      <c r="L3585" s="13">
        <v>11487</v>
      </c>
      <c r="M3585" t="str">
        <f>VLOOKUP(L3585,[1]Human_BrainSpan!$B$2:$C$4000,2,FALSE)</f>
        <v>Iag2</v>
      </c>
    </row>
    <row r="3586" spans="2:13" x14ac:dyDescent="0.25">
      <c r="B3586" s="31" t="s">
        <v>26303</v>
      </c>
      <c r="C3586" s="25" t="s">
        <v>25771</v>
      </c>
      <c r="D3586" s="25" t="s">
        <v>26232</v>
      </c>
      <c r="E3586" s="25" t="s">
        <v>26306</v>
      </c>
      <c r="F3586" s="9" t="str">
        <f t="shared" si="49"/>
        <v>structure with developmental contribution from neural crest</v>
      </c>
      <c r="G3586" s="9" t="s">
        <v>5090</v>
      </c>
      <c r="H3586" s="9" t="s">
        <v>22992</v>
      </c>
      <c r="I3586" s="9" t="s">
        <v>6765</v>
      </c>
      <c r="J3586" s="9" t="s">
        <v>6766</v>
      </c>
      <c r="K3586" s="4" t="s">
        <v>15175</v>
      </c>
      <c r="L3586" s="13">
        <v>11488</v>
      </c>
      <c r="M3586" t="str">
        <f>VLOOKUP(L3586,[1]Human_BrainSpan!$B$2:$C$4000,2,FALSE)</f>
        <v>Iag3</v>
      </c>
    </row>
    <row r="3587" spans="2:13" x14ac:dyDescent="0.25">
      <c r="B3587" s="31" t="s">
        <v>26303</v>
      </c>
      <c r="C3587" s="25" t="s">
        <v>25771</v>
      </c>
      <c r="D3587" s="25" t="s">
        <v>26232</v>
      </c>
      <c r="E3587" s="25" t="s">
        <v>26306</v>
      </c>
      <c r="F3587" s="9" t="str">
        <f t="shared" si="49"/>
        <v>structure with developmental contribution from neural crest</v>
      </c>
      <c r="G3587" s="9" t="s">
        <v>5090</v>
      </c>
      <c r="H3587" s="9" t="s">
        <v>22993</v>
      </c>
      <c r="I3587" s="9" t="s">
        <v>6767</v>
      </c>
      <c r="J3587" s="9" t="s">
        <v>6768</v>
      </c>
      <c r="K3587" s="4" t="s">
        <v>15175</v>
      </c>
      <c r="L3587" s="13">
        <v>11489</v>
      </c>
      <c r="M3587" t="str">
        <f>VLOOKUP(L3587,[1]Human_BrainSpan!$B$2:$C$4000,2,FALSE)</f>
        <v>Iag5</v>
      </c>
    </row>
    <row r="3588" spans="2:13" x14ac:dyDescent="0.25">
      <c r="B3588" s="31" t="s">
        <v>26303</v>
      </c>
      <c r="C3588" s="25" t="s">
        <v>25771</v>
      </c>
      <c r="D3588" s="25" t="s">
        <v>26232</v>
      </c>
      <c r="E3588" s="25" t="s">
        <v>26306</v>
      </c>
      <c r="F3588" s="9" t="str">
        <f t="shared" si="49"/>
        <v>structure with developmental contribution from neural crest</v>
      </c>
      <c r="G3588" s="9" t="s">
        <v>5090</v>
      </c>
      <c r="H3588" s="9" t="s">
        <v>22994</v>
      </c>
      <c r="I3588" s="9" t="s">
        <v>6769</v>
      </c>
      <c r="J3588" s="9" t="s">
        <v>6770</v>
      </c>
      <c r="K3588" s="4" t="s">
        <v>15175</v>
      </c>
      <c r="L3588" s="13">
        <v>11490</v>
      </c>
      <c r="M3588" t="str">
        <f>VLOOKUP(L3588,[1]Human_BrainSpan!$B$2:$C$4000,2,FALSE)</f>
        <v>Iag6</v>
      </c>
    </row>
    <row r="3589" spans="2:13" x14ac:dyDescent="0.25">
      <c r="B3589" s="31" t="s">
        <v>26299</v>
      </c>
      <c r="C3589" s="25" t="s">
        <v>25771</v>
      </c>
      <c r="D3589" s="25" t="s">
        <v>26232</v>
      </c>
      <c r="E3589" s="25" t="s">
        <v>26306</v>
      </c>
      <c r="F3589" s="9" t="str">
        <f t="shared" si="49"/>
        <v>structure with developmental contribution from neural crest</v>
      </c>
      <c r="G3589" s="9" t="s">
        <v>5090</v>
      </c>
      <c r="H3589" s="9" t="s">
        <v>22996</v>
      </c>
      <c r="I3589" s="9" t="s">
        <v>6771</v>
      </c>
      <c r="J3589" s="9" t="s">
        <v>6772</v>
      </c>
      <c r="K3589" s="4" t="s">
        <v>15175</v>
      </c>
      <c r="L3589" s="13">
        <v>11491</v>
      </c>
      <c r="M3589" t="str">
        <f>VLOOKUP(L3589,[1]Human_BrainSpan!$B$2:$C$4000,2,FALSE)</f>
        <v>FI1</v>
      </c>
    </row>
    <row r="3590" spans="2:13" x14ac:dyDescent="0.25">
      <c r="B3590" s="31" t="s">
        <v>26299</v>
      </c>
      <c r="C3590" s="25" t="s">
        <v>25771</v>
      </c>
      <c r="D3590" s="25" t="s">
        <v>26232</v>
      </c>
      <c r="E3590" s="25" t="s">
        <v>26306</v>
      </c>
      <c r="F3590" s="9" t="str">
        <f t="shared" si="49"/>
        <v>structure with developmental contribution from neural crest</v>
      </c>
      <c r="G3590" s="9" t="s">
        <v>5090</v>
      </c>
      <c r="H3590" s="9" t="s">
        <v>22997</v>
      </c>
      <c r="I3590" s="9" t="s">
        <v>6773</v>
      </c>
      <c r="J3590" s="9" t="s">
        <v>6774</v>
      </c>
      <c r="K3590" s="4" t="s">
        <v>15175</v>
      </c>
      <c r="L3590" s="13">
        <v>11492</v>
      </c>
      <c r="M3590" t="str">
        <f>VLOOKUP(L3590,[1]Human_BrainSpan!$B$2:$C$4000,2,FALSE)</f>
        <v>FI2</v>
      </c>
    </row>
    <row r="3591" spans="2:13" x14ac:dyDescent="0.25">
      <c r="B3591" s="31" t="s">
        <v>26299</v>
      </c>
      <c r="C3591" s="25" t="s">
        <v>25771</v>
      </c>
      <c r="D3591" s="25" t="s">
        <v>26232</v>
      </c>
      <c r="E3591" s="25" t="s">
        <v>26306</v>
      </c>
      <c r="F3591" s="9" t="str">
        <f t="shared" si="49"/>
        <v>structure with developmental contribution from neural crest</v>
      </c>
      <c r="G3591" s="9" t="s">
        <v>5090</v>
      </c>
      <c r="H3591" s="9" t="s">
        <v>22998</v>
      </c>
      <c r="I3591" s="9" t="s">
        <v>6775</v>
      </c>
      <c r="J3591" s="9" t="s">
        <v>6776</v>
      </c>
      <c r="K3591" s="4" t="s">
        <v>15175</v>
      </c>
      <c r="L3591" s="13">
        <v>11493</v>
      </c>
      <c r="M3591" t="str">
        <f>VLOOKUP(L3591,[1]Human_BrainSpan!$B$2:$C$4000,2,FALSE)</f>
        <v>FI3</v>
      </c>
    </row>
    <row r="3592" spans="2:13" x14ac:dyDescent="0.25">
      <c r="B3592" s="31" t="s">
        <v>26299</v>
      </c>
      <c r="C3592" s="25" t="s">
        <v>25771</v>
      </c>
      <c r="D3592" s="25" t="s">
        <v>26232</v>
      </c>
      <c r="E3592" s="25" t="s">
        <v>26306</v>
      </c>
      <c r="F3592" s="9" t="str">
        <f t="shared" si="49"/>
        <v>structure with developmental contribution from neural crest</v>
      </c>
      <c r="G3592" s="9" t="s">
        <v>5090</v>
      </c>
      <c r="H3592" s="9" t="s">
        <v>22999</v>
      </c>
      <c r="I3592" s="9" t="s">
        <v>6777</v>
      </c>
      <c r="J3592" s="9" t="s">
        <v>6778</v>
      </c>
      <c r="K3592" s="4" t="s">
        <v>15175</v>
      </c>
      <c r="L3592" s="13">
        <v>11494</v>
      </c>
      <c r="M3592" t="str">
        <f>VLOOKUP(L3592,[1]Human_BrainSpan!$B$2:$C$4000,2,FALSE)</f>
        <v>FI5</v>
      </c>
    </row>
    <row r="3593" spans="2:13" x14ac:dyDescent="0.25">
      <c r="B3593" s="31" t="s">
        <v>26299</v>
      </c>
      <c r="C3593" s="25" t="s">
        <v>25771</v>
      </c>
      <c r="D3593" s="25" t="s">
        <v>26232</v>
      </c>
      <c r="E3593" s="25" t="s">
        <v>26306</v>
      </c>
      <c r="F3593" s="9" t="str">
        <f t="shared" si="49"/>
        <v>structure with developmental contribution from neural crest</v>
      </c>
      <c r="G3593" s="9" t="s">
        <v>5090</v>
      </c>
      <c r="H3593" s="9" t="s">
        <v>23000</v>
      </c>
      <c r="I3593" s="9" t="s">
        <v>6779</v>
      </c>
      <c r="J3593" s="9" t="s">
        <v>6780</v>
      </c>
      <c r="K3593" s="4" t="s">
        <v>15175</v>
      </c>
      <c r="L3593" s="13">
        <v>11495</v>
      </c>
      <c r="M3593" t="str">
        <f>VLOOKUP(L3593,[1]Human_BrainSpan!$B$2:$C$4000,2,FALSE)</f>
        <v>FI6</v>
      </c>
    </row>
    <row r="3594" spans="2:13" x14ac:dyDescent="0.25">
      <c r="B3594" s="31" t="s">
        <v>26299</v>
      </c>
      <c r="C3594" s="25" t="s">
        <v>25771</v>
      </c>
      <c r="D3594" s="25" t="s">
        <v>26232</v>
      </c>
      <c r="E3594" s="25" t="s">
        <v>26306</v>
      </c>
      <c r="F3594" s="9" t="str">
        <f t="shared" si="49"/>
        <v>structure with developmental contribution from neural crest</v>
      </c>
      <c r="G3594" s="9" t="s">
        <v>5090</v>
      </c>
      <c r="H3594" s="9" t="s">
        <v>23002</v>
      </c>
      <c r="I3594" s="9" t="s">
        <v>6781</v>
      </c>
      <c r="J3594" s="9" t="s">
        <v>6782</v>
      </c>
      <c r="K3594" s="4" t="s">
        <v>15175</v>
      </c>
      <c r="L3594" s="13">
        <v>11496</v>
      </c>
      <c r="M3594" t="str">
        <f>VLOOKUP(L3594,[1]Human_BrainSpan!$B$2:$C$4000,2,FALSE)</f>
        <v>TI1</v>
      </c>
    </row>
    <row r="3595" spans="2:13" x14ac:dyDescent="0.25">
      <c r="B3595" s="31" t="s">
        <v>26299</v>
      </c>
      <c r="C3595" s="25" t="s">
        <v>25771</v>
      </c>
      <c r="D3595" s="25" t="s">
        <v>26232</v>
      </c>
      <c r="E3595" s="25" t="s">
        <v>26306</v>
      </c>
      <c r="F3595" s="9" t="str">
        <f t="shared" si="49"/>
        <v>structure with developmental contribution from neural crest</v>
      </c>
      <c r="G3595" s="9" t="s">
        <v>5090</v>
      </c>
      <c r="H3595" s="9" t="s">
        <v>23003</v>
      </c>
      <c r="I3595" s="9" t="s">
        <v>6783</v>
      </c>
      <c r="J3595" s="9" t="s">
        <v>6784</v>
      </c>
      <c r="K3595" s="4" t="s">
        <v>15175</v>
      </c>
      <c r="L3595" s="13">
        <v>11497</v>
      </c>
      <c r="M3595" t="str">
        <f>VLOOKUP(L3595,[1]Human_BrainSpan!$B$2:$C$4000,2,FALSE)</f>
        <v>TI2</v>
      </c>
    </row>
    <row r="3596" spans="2:13" x14ac:dyDescent="0.25">
      <c r="B3596" s="31" t="s">
        <v>26299</v>
      </c>
      <c r="C3596" s="25" t="s">
        <v>25771</v>
      </c>
      <c r="D3596" s="25" t="s">
        <v>26232</v>
      </c>
      <c r="E3596" s="25" t="s">
        <v>26306</v>
      </c>
      <c r="F3596" s="9" t="str">
        <f t="shared" si="49"/>
        <v>structure with developmental contribution from neural crest</v>
      </c>
      <c r="G3596" s="9" t="s">
        <v>5090</v>
      </c>
      <c r="H3596" s="9" t="s">
        <v>23004</v>
      </c>
      <c r="I3596" s="9" t="s">
        <v>6785</v>
      </c>
      <c r="J3596" s="9" t="s">
        <v>6786</v>
      </c>
      <c r="K3596" s="4" t="s">
        <v>15175</v>
      </c>
      <c r="L3596" s="13">
        <v>11498</v>
      </c>
      <c r="M3596" t="str">
        <f>VLOOKUP(L3596,[1]Human_BrainSpan!$B$2:$C$4000,2,FALSE)</f>
        <v>TI3</v>
      </c>
    </row>
    <row r="3597" spans="2:13" x14ac:dyDescent="0.25">
      <c r="B3597" s="31" t="s">
        <v>26299</v>
      </c>
      <c r="C3597" s="25" t="s">
        <v>25771</v>
      </c>
      <c r="D3597" s="25" t="s">
        <v>26232</v>
      </c>
      <c r="E3597" s="25" t="s">
        <v>26306</v>
      </c>
      <c r="F3597" s="9" t="str">
        <f t="shared" si="49"/>
        <v>structure with developmental contribution from neural crest</v>
      </c>
      <c r="G3597" s="9" t="s">
        <v>5090</v>
      </c>
      <c r="H3597" s="9" t="s">
        <v>23005</v>
      </c>
      <c r="I3597" s="9" t="s">
        <v>6787</v>
      </c>
      <c r="J3597" s="9" t="s">
        <v>6788</v>
      </c>
      <c r="K3597" s="4" t="s">
        <v>15175</v>
      </c>
      <c r="L3597" s="13">
        <v>11499</v>
      </c>
      <c r="M3597" t="str">
        <f>VLOOKUP(L3597,[1]Human_BrainSpan!$B$2:$C$4000,2,FALSE)</f>
        <v>TI5</v>
      </c>
    </row>
    <row r="3598" spans="2:13" x14ac:dyDescent="0.25">
      <c r="B3598" s="31" t="s">
        <v>26299</v>
      </c>
      <c r="C3598" s="25" t="s">
        <v>25771</v>
      </c>
      <c r="D3598" s="25" t="s">
        <v>26232</v>
      </c>
      <c r="E3598" s="25" t="s">
        <v>26306</v>
      </c>
      <c r="F3598" s="9" t="str">
        <f t="shared" si="49"/>
        <v>structure with developmental contribution from neural crest</v>
      </c>
      <c r="G3598" s="9" t="s">
        <v>5090</v>
      </c>
      <c r="H3598" s="9" t="s">
        <v>23006</v>
      </c>
      <c r="I3598" s="9" t="s">
        <v>6789</v>
      </c>
      <c r="J3598" s="9" t="s">
        <v>6790</v>
      </c>
      <c r="K3598" s="4" t="s">
        <v>15175</v>
      </c>
      <c r="L3598" s="13">
        <v>11500</v>
      </c>
      <c r="M3598" t="str">
        <f>VLOOKUP(L3598,[1]Human_BrainSpan!$B$2:$C$4000,2,FALSE)</f>
        <v>TI6</v>
      </c>
    </row>
    <row r="3599" spans="2:13" x14ac:dyDescent="0.25">
      <c r="B3599" s="31" t="s">
        <v>26303</v>
      </c>
      <c r="C3599" s="25" t="s">
        <v>920</v>
      </c>
      <c r="D3599" s="25" t="s">
        <v>26232</v>
      </c>
      <c r="E3599" s="25"/>
      <c r="F3599" s="9" t="str">
        <f t="shared" si="49"/>
        <v>structure with developmental contribution from neural crest</v>
      </c>
      <c r="G3599" s="9" t="s">
        <v>5090</v>
      </c>
      <c r="H3599" s="9" t="s">
        <v>23154</v>
      </c>
      <c r="I3599" s="9" t="s">
        <v>6791</v>
      </c>
      <c r="J3599" s="9" t="s">
        <v>6792</v>
      </c>
      <c r="K3599" s="4" t="s">
        <v>15175</v>
      </c>
      <c r="L3599" s="13">
        <v>11501</v>
      </c>
      <c r="M3599" t="str">
        <f>VLOOKUP(L3599,[1]Human_BrainSpan!$B$2:$C$4000,2,FALSE)</f>
        <v>CEmd</v>
      </c>
    </row>
    <row r="3600" spans="2:13" x14ac:dyDescent="0.25">
      <c r="B3600" s="31" t="s">
        <v>26303</v>
      </c>
      <c r="C3600" s="25" t="s">
        <v>920</v>
      </c>
      <c r="D3600" s="25" t="s">
        <v>26232</v>
      </c>
      <c r="E3600" s="25"/>
      <c r="F3600" s="9" t="str">
        <f t="shared" si="49"/>
        <v>structure with developmental contribution from neural crest</v>
      </c>
      <c r="G3600" s="9" t="s">
        <v>5090</v>
      </c>
      <c r="H3600" s="9" t="s">
        <v>23155</v>
      </c>
      <c r="I3600" s="9" t="s">
        <v>6793</v>
      </c>
      <c r="J3600" s="9" t="s">
        <v>6794</v>
      </c>
      <c r="K3600" s="4" t="s">
        <v>15175</v>
      </c>
      <c r="L3600" s="13">
        <v>11502</v>
      </c>
      <c r="M3600" t="str">
        <f>VLOOKUP(L3600,[1]Human_BrainSpan!$B$2:$C$4000,2,FALSE)</f>
        <v>CEmv</v>
      </c>
    </row>
    <row r="3601" spans="2:13" x14ac:dyDescent="0.25">
      <c r="B3601" s="31" t="s">
        <v>26303</v>
      </c>
      <c r="C3601" s="20" t="s">
        <v>920</v>
      </c>
      <c r="D3601" s="25" t="s">
        <v>26232</v>
      </c>
      <c r="E3601" s="25"/>
      <c r="F3601" s="9" t="str">
        <f t="shared" si="49"/>
        <v>structure with developmental contribution from neural crest</v>
      </c>
      <c r="G3601" s="9" t="s">
        <v>5090</v>
      </c>
      <c r="H3601" s="9" t="s">
        <v>23157</v>
      </c>
      <c r="I3601" s="9" t="s">
        <v>6795</v>
      </c>
      <c r="J3601" s="9" t="s">
        <v>6796</v>
      </c>
      <c r="K3601" s="4" t="s">
        <v>15175</v>
      </c>
      <c r="L3601" s="13">
        <v>11503</v>
      </c>
      <c r="M3601" t="str">
        <f>VLOOKUP(L3601,[1]Human_BrainSpan!$B$2:$C$4000,2,FALSE)</f>
        <v>CElap</v>
      </c>
    </row>
    <row r="3602" spans="2:13" x14ac:dyDescent="0.25">
      <c r="B3602" s="31" t="s">
        <v>26303</v>
      </c>
      <c r="C3602" s="20" t="s">
        <v>920</v>
      </c>
      <c r="D3602" s="25" t="s">
        <v>26232</v>
      </c>
      <c r="E3602" s="25"/>
      <c r="F3602" s="9" t="str">
        <f t="shared" si="49"/>
        <v>structure with developmental contribution from neural crest</v>
      </c>
      <c r="G3602" s="9" t="s">
        <v>5090</v>
      </c>
      <c r="H3602" s="9" t="s">
        <v>23158</v>
      </c>
      <c r="I3602" s="9" t="s">
        <v>6797</v>
      </c>
      <c r="J3602" s="9" t="s">
        <v>6798</v>
      </c>
      <c r="K3602" s="4" t="s">
        <v>15175</v>
      </c>
      <c r="L3602" s="13">
        <v>11504</v>
      </c>
      <c r="M3602" t="str">
        <f>VLOOKUP(L3602,[1]Human_BrainSpan!$B$2:$C$4000,2,FALSE)</f>
        <v>CElca</v>
      </c>
    </row>
    <row r="3603" spans="2:13" x14ac:dyDescent="0.25">
      <c r="B3603" s="31" t="s">
        <v>26303</v>
      </c>
      <c r="C3603" s="20" t="s">
        <v>920</v>
      </c>
      <c r="D3603" s="25" t="s">
        <v>26232</v>
      </c>
      <c r="E3603" s="25"/>
      <c r="F3603" s="9" t="str">
        <f t="shared" si="49"/>
        <v>structure with developmental contribution from neural crest</v>
      </c>
      <c r="G3603" s="9" t="s">
        <v>5090</v>
      </c>
      <c r="H3603" s="9" t="s">
        <v>23159</v>
      </c>
      <c r="I3603" s="9" t="s">
        <v>6799</v>
      </c>
      <c r="J3603" s="9" t="s">
        <v>6800</v>
      </c>
      <c r="K3603" s="4" t="s">
        <v>15175</v>
      </c>
      <c r="L3603" s="13">
        <v>11505</v>
      </c>
      <c r="M3603" t="str">
        <f>VLOOKUP(L3603,[1]Human_BrainSpan!$B$2:$C$4000,2,FALSE)</f>
        <v>CElpc</v>
      </c>
    </row>
    <row r="3604" spans="2:13" x14ac:dyDescent="0.25">
      <c r="B3604" s="31" t="s">
        <v>26303</v>
      </c>
      <c r="C3604" s="20" t="s">
        <v>920</v>
      </c>
      <c r="D3604" s="25" t="s">
        <v>26232</v>
      </c>
      <c r="E3604" s="25"/>
      <c r="F3604" s="9" t="str">
        <f t="shared" si="49"/>
        <v>structure with developmental contribution from neural crest</v>
      </c>
      <c r="G3604" s="9" t="s">
        <v>5090</v>
      </c>
      <c r="H3604" s="9" t="s">
        <v>23160</v>
      </c>
      <c r="I3604" s="9" t="s">
        <v>6801</v>
      </c>
      <c r="J3604" s="9" t="s">
        <v>6802</v>
      </c>
      <c r="K3604" s="4" t="s">
        <v>15175</v>
      </c>
      <c r="L3604" s="13">
        <v>11506</v>
      </c>
      <c r="M3604" t="str">
        <f>VLOOKUP(L3604,[1]Human_BrainSpan!$B$2:$C$4000,2,FALSE)</f>
        <v>CElcn</v>
      </c>
    </row>
    <row r="3605" spans="2:13" x14ac:dyDescent="0.25">
      <c r="B3605" s="31" t="s">
        <v>26303</v>
      </c>
      <c r="C3605" s="25" t="s">
        <v>2559</v>
      </c>
      <c r="D3605" s="25" t="s">
        <v>26232</v>
      </c>
      <c r="E3605" s="25"/>
      <c r="F3605" s="9" t="str">
        <f t="shared" si="49"/>
        <v>structure with developmental contribution from neural crest</v>
      </c>
      <c r="G3605" s="9" t="s">
        <v>5090</v>
      </c>
      <c r="H3605" s="9" t="s">
        <v>23179</v>
      </c>
      <c r="I3605" s="9" t="s">
        <v>6803</v>
      </c>
      <c r="J3605" s="9" t="s">
        <v>6804</v>
      </c>
      <c r="K3605" s="4" t="s">
        <v>15175</v>
      </c>
      <c r="L3605" s="13">
        <v>11507</v>
      </c>
      <c r="M3605" t="str">
        <f>VLOOKUP(L3605,[1]Human_BrainSpan!$B$2:$C$4000,2,FALSE)</f>
        <v>LaD</v>
      </c>
    </row>
    <row r="3606" spans="2:13" x14ac:dyDescent="0.25">
      <c r="B3606" s="31" t="s">
        <v>26303</v>
      </c>
      <c r="C3606" s="25" t="s">
        <v>2559</v>
      </c>
      <c r="D3606" s="25" t="s">
        <v>26232</v>
      </c>
      <c r="E3606" s="25"/>
      <c r="F3606" s="9" t="str">
        <f t="shared" si="49"/>
        <v>structure with developmental contribution from neural crest</v>
      </c>
      <c r="G3606" s="9" t="s">
        <v>5090</v>
      </c>
      <c r="H3606" s="9" t="s">
        <v>23180</v>
      </c>
      <c r="I3606" s="9" t="s">
        <v>6805</v>
      </c>
      <c r="J3606" s="9" t="s">
        <v>6806</v>
      </c>
      <c r="K3606" s="4" t="s">
        <v>15175</v>
      </c>
      <c r="L3606" s="13">
        <v>11508</v>
      </c>
      <c r="M3606" t="str">
        <f>VLOOKUP(L3606,[1]Human_BrainSpan!$B$2:$C$4000,2,FALSE)</f>
        <v>LaDr</v>
      </c>
    </row>
    <row r="3607" spans="2:13" x14ac:dyDescent="0.25">
      <c r="B3607" s="31" t="s">
        <v>26303</v>
      </c>
      <c r="C3607" s="25" t="s">
        <v>2559</v>
      </c>
      <c r="D3607" s="25" t="s">
        <v>26232</v>
      </c>
      <c r="E3607" s="25"/>
      <c r="F3607" s="9" t="str">
        <f t="shared" si="49"/>
        <v>structure with developmental contribution from neural crest</v>
      </c>
      <c r="G3607" s="9" t="s">
        <v>5090</v>
      </c>
      <c r="H3607" s="9" t="s">
        <v>23181</v>
      </c>
      <c r="I3607" s="9" t="s">
        <v>6807</v>
      </c>
      <c r="J3607" s="9" t="s">
        <v>6808</v>
      </c>
      <c r="K3607" s="4" t="s">
        <v>15175</v>
      </c>
      <c r="L3607" s="13">
        <v>11509</v>
      </c>
      <c r="M3607" t="str">
        <f>VLOOKUP(L3607,[1]Human_BrainSpan!$B$2:$C$4000,2,FALSE)</f>
        <v>LaDl</v>
      </c>
    </row>
    <row r="3608" spans="2:13" x14ac:dyDescent="0.25">
      <c r="B3608" s="31" t="s">
        <v>26303</v>
      </c>
      <c r="C3608" s="25" t="s">
        <v>2559</v>
      </c>
      <c r="D3608" s="25" t="s">
        <v>26232</v>
      </c>
      <c r="E3608" s="25"/>
      <c r="F3608" s="9" t="str">
        <f t="shared" si="49"/>
        <v>structure with developmental contribution from neural crest</v>
      </c>
      <c r="G3608" s="9" t="s">
        <v>5090</v>
      </c>
      <c r="H3608" s="9" t="s">
        <v>23182</v>
      </c>
      <c r="I3608" s="9" t="s">
        <v>6809</v>
      </c>
      <c r="J3608" s="9" t="s">
        <v>6810</v>
      </c>
      <c r="K3608" s="4" t="s">
        <v>15175</v>
      </c>
      <c r="L3608" s="13">
        <v>11510</v>
      </c>
      <c r="M3608" t="str">
        <f>VLOOKUP(L3608,[1]Human_BrainSpan!$B$2:$C$4000,2,FALSE)</f>
        <v>LaCom</v>
      </c>
    </row>
    <row r="3609" spans="2:13" x14ac:dyDescent="0.25">
      <c r="B3609" s="31" t="s">
        <v>26303</v>
      </c>
      <c r="C3609" s="25" t="s">
        <v>2559</v>
      </c>
      <c r="D3609" s="25" t="s">
        <v>26232</v>
      </c>
      <c r="E3609" s="25"/>
      <c r="F3609" s="9" t="str">
        <f t="shared" si="49"/>
        <v>structure with developmental contribution from neural crest</v>
      </c>
      <c r="G3609" s="9" t="s">
        <v>5090</v>
      </c>
      <c r="H3609" s="9" t="s">
        <v>23183</v>
      </c>
      <c r="I3609" s="9" t="s">
        <v>6811</v>
      </c>
      <c r="J3609" s="9" t="s">
        <v>6812</v>
      </c>
      <c r="K3609" s="4" t="s">
        <v>15175</v>
      </c>
      <c r="L3609" s="13">
        <v>11511</v>
      </c>
      <c r="M3609" t="str">
        <f>VLOOKUP(L3609,[1]Human_BrainSpan!$B$2:$C$4000,2,FALSE)</f>
        <v>LaDm</v>
      </c>
    </row>
    <row r="3610" spans="2:13" x14ac:dyDescent="0.25">
      <c r="B3610" s="31" t="s">
        <v>26303</v>
      </c>
      <c r="C3610" s="25" t="s">
        <v>2559</v>
      </c>
      <c r="D3610" s="25" t="s">
        <v>26232</v>
      </c>
      <c r="E3610" s="25"/>
      <c r="F3610" s="9" t="str">
        <f t="shared" si="49"/>
        <v>structure with developmental contribution from neural crest</v>
      </c>
      <c r="G3610" s="9" t="s">
        <v>5090</v>
      </c>
      <c r="H3610" s="9" t="s">
        <v>23184</v>
      </c>
      <c r="I3610" s="9" t="s">
        <v>6813</v>
      </c>
      <c r="J3610" s="9" t="s">
        <v>6814</v>
      </c>
      <c r="K3610" s="4" t="s">
        <v>15175</v>
      </c>
      <c r="L3610" s="13">
        <v>11512</v>
      </c>
      <c r="M3610" t="str">
        <f>VLOOKUP(L3610,[1]Human_BrainSpan!$B$2:$C$4000,2,FALSE)</f>
        <v>LaI</v>
      </c>
    </row>
    <row r="3611" spans="2:13" x14ac:dyDescent="0.25">
      <c r="B3611" s="31" t="s">
        <v>26303</v>
      </c>
      <c r="C3611" s="25" t="s">
        <v>2559</v>
      </c>
      <c r="D3611" s="25" t="s">
        <v>26232</v>
      </c>
      <c r="E3611" s="25"/>
      <c r="F3611" s="9" t="str">
        <f t="shared" si="49"/>
        <v>structure with developmental contribution from neural crest</v>
      </c>
      <c r="G3611" s="9" t="s">
        <v>5090</v>
      </c>
      <c r="H3611" s="9" t="s">
        <v>23185</v>
      </c>
      <c r="I3611" s="9" t="s">
        <v>6815</v>
      </c>
      <c r="J3611" s="9" t="s">
        <v>6816</v>
      </c>
      <c r="K3611" s="4" t="s">
        <v>15175</v>
      </c>
      <c r="L3611" s="13">
        <v>11513</v>
      </c>
      <c r="M3611" t="str">
        <f>VLOOKUP(L3611,[1]Human_BrainSpan!$B$2:$C$4000,2,FALSE)</f>
        <v>LaV</v>
      </c>
    </row>
    <row r="3612" spans="2:13" x14ac:dyDescent="0.25">
      <c r="B3612" s="31" t="s">
        <v>26303</v>
      </c>
      <c r="C3612" s="25" t="s">
        <v>2559</v>
      </c>
      <c r="D3612" s="25" t="s">
        <v>26232</v>
      </c>
      <c r="E3612" s="25"/>
      <c r="F3612" s="9" t="str">
        <f t="shared" si="49"/>
        <v>structure with developmental contribution from neural crest</v>
      </c>
      <c r="G3612" s="9" t="s">
        <v>5090</v>
      </c>
      <c r="H3612" s="9" t="s">
        <v>23186</v>
      </c>
      <c r="I3612" s="9" t="s">
        <v>6817</v>
      </c>
      <c r="J3612" s="9" t="s">
        <v>6818</v>
      </c>
      <c r="K3612" s="4" t="s">
        <v>15175</v>
      </c>
      <c r="L3612" s="13">
        <v>11514</v>
      </c>
      <c r="M3612" t="str">
        <f>VLOOKUP(L3612,[1]Human_BrainSpan!$B$2:$C$4000,2,FALSE)</f>
        <v>LaVl</v>
      </c>
    </row>
    <row r="3613" spans="2:13" x14ac:dyDescent="0.25">
      <c r="B3613" s="31" t="s">
        <v>26303</v>
      </c>
      <c r="C3613" s="25" t="s">
        <v>2559</v>
      </c>
      <c r="D3613" s="25" t="s">
        <v>26232</v>
      </c>
      <c r="E3613" s="25"/>
      <c r="F3613" s="9" t="str">
        <f t="shared" si="49"/>
        <v>structure with developmental contribution from neural crest</v>
      </c>
      <c r="G3613" s="9" t="s">
        <v>5090</v>
      </c>
      <c r="H3613" s="9" t="s">
        <v>23187</v>
      </c>
      <c r="I3613" s="9" t="s">
        <v>6819</v>
      </c>
      <c r="J3613" s="9" t="s">
        <v>6820</v>
      </c>
      <c r="K3613" s="4" t="s">
        <v>15175</v>
      </c>
      <c r="L3613" s="13">
        <v>11515</v>
      </c>
      <c r="M3613" t="str">
        <f>VLOOKUP(L3613,[1]Human_BrainSpan!$B$2:$C$4000,2,FALSE)</f>
        <v>LaVm</v>
      </c>
    </row>
    <row r="3614" spans="2:13" x14ac:dyDescent="0.25">
      <c r="B3614" s="31" t="s">
        <v>26303</v>
      </c>
      <c r="C3614" s="25" t="s">
        <v>25804</v>
      </c>
      <c r="D3614" s="25" t="s">
        <v>26232</v>
      </c>
      <c r="E3614" s="20"/>
      <c r="F3614" s="9" t="str">
        <f t="shared" si="49"/>
        <v>structure with developmental contribution from neural crest</v>
      </c>
      <c r="G3614" s="9" t="s">
        <v>5090</v>
      </c>
      <c r="H3614" s="9" t="s">
        <v>23190</v>
      </c>
      <c r="I3614" s="9" t="s">
        <v>6821</v>
      </c>
      <c r="J3614" s="9" t="s">
        <v>6822</v>
      </c>
      <c r="K3614" s="4" t="s">
        <v>15175</v>
      </c>
      <c r="L3614" s="13">
        <v>11516</v>
      </c>
      <c r="M3614" t="str">
        <f>VLOOKUP(L3614,[1]Human_BrainSpan!$B$2:$C$4000,2,FALSE)</f>
        <v>BLD</v>
      </c>
    </row>
    <row r="3615" spans="2:13" x14ac:dyDescent="0.25">
      <c r="B3615" s="31" t="s">
        <v>26303</v>
      </c>
      <c r="C3615" s="25" t="s">
        <v>25804</v>
      </c>
      <c r="D3615" s="25" t="s">
        <v>26232</v>
      </c>
      <c r="E3615" s="20"/>
      <c r="F3615" s="9" t="str">
        <f t="shared" si="49"/>
        <v>structure with developmental contribution from neural crest</v>
      </c>
      <c r="G3615" s="9" t="s">
        <v>5090</v>
      </c>
      <c r="H3615" s="9" t="s">
        <v>23191</v>
      </c>
      <c r="I3615" s="9" t="s">
        <v>6823</v>
      </c>
      <c r="J3615" s="9" t="s">
        <v>6824</v>
      </c>
      <c r="K3615" s="4" t="s">
        <v>15175</v>
      </c>
      <c r="L3615" s="13">
        <v>11517</v>
      </c>
      <c r="M3615" t="str">
        <f>VLOOKUP(L3615,[1]Human_BrainSpan!$B$2:$C$4000,2,FALSE)</f>
        <v>BLDl</v>
      </c>
    </row>
    <row r="3616" spans="2:13" x14ac:dyDescent="0.25">
      <c r="B3616" s="31" t="s">
        <v>26303</v>
      </c>
      <c r="C3616" s="25" t="s">
        <v>25804</v>
      </c>
      <c r="D3616" s="25" t="s">
        <v>26232</v>
      </c>
      <c r="E3616" s="20"/>
      <c r="F3616" s="9" t="str">
        <f t="shared" si="49"/>
        <v>structure with developmental contribution from neural crest</v>
      </c>
      <c r="G3616" s="9" t="s">
        <v>5090</v>
      </c>
      <c r="H3616" s="9" t="s">
        <v>23192</v>
      </c>
      <c r="I3616" s="9" t="s">
        <v>6825</v>
      </c>
      <c r="J3616" s="9" t="s">
        <v>6826</v>
      </c>
      <c r="K3616" s="4" t="s">
        <v>15175</v>
      </c>
      <c r="L3616" s="13">
        <v>11518</v>
      </c>
      <c r="M3616" t="str">
        <f>VLOOKUP(L3616,[1]Human_BrainSpan!$B$2:$C$4000,2,FALSE)</f>
        <v>BLI</v>
      </c>
    </row>
    <row r="3617" spans="2:13" x14ac:dyDescent="0.25">
      <c r="B3617" s="31" t="s">
        <v>26303</v>
      </c>
      <c r="C3617" s="25" t="s">
        <v>25804</v>
      </c>
      <c r="D3617" s="25" t="s">
        <v>26232</v>
      </c>
      <c r="E3617" s="20"/>
      <c r="F3617" s="9" t="str">
        <f t="shared" si="49"/>
        <v>structure with developmental contribution from neural crest</v>
      </c>
      <c r="G3617" s="9" t="s">
        <v>5090</v>
      </c>
      <c r="H3617" s="9" t="s">
        <v>15786</v>
      </c>
      <c r="I3617" s="9" t="s">
        <v>6827</v>
      </c>
      <c r="J3617" s="9" t="s">
        <v>6828</v>
      </c>
      <c r="K3617" s="4" t="s">
        <v>15175</v>
      </c>
      <c r="L3617" s="13">
        <v>11519</v>
      </c>
      <c r="M3617" t="str">
        <f>VLOOKUP(L3617,[1]Human_BrainSpan!$B$2:$C$4000,2,FALSE)</f>
        <v>BLV</v>
      </c>
    </row>
    <row r="3618" spans="2:13" x14ac:dyDescent="0.25">
      <c r="B3618" s="31" t="s">
        <v>26303</v>
      </c>
      <c r="C3618" s="25" t="s">
        <v>25804</v>
      </c>
      <c r="D3618" s="25" t="s">
        <v>26232</v>
      </c>
      <c r="E3618" s="25"/>
      <c r="F3618" s="9" t="str">
        <f t="shared" si="49"/>
        <v>structure with developmental contribution from neural crest</v>
      </c>
      <c r="G3618" s="9" t="s">
        <v>5090</v>
      </c>
      <c r="H3618" s="9" t="s">
        <v>23193</v>
      </c>
      <c r="I3618" s="9" t="s">
        <v>6829</v>
      </c>
      <c r="J3618" s="9" t="s">
        <v>6830</v>
      </c>
      <c r="K3618" s="4" t="s">
        <v>15175</v>
      </c>
      <c r="L3618" s="13">
        <v>11520</v>
      </c>
      <c r="M3618" t="str">
        <f>VLOOKUP(L3618,[1]Human_BrainSpan!$B$2:$C$4000,2,FALSE)</f>
        <v>BLVl</v>
      </c>
    </row>
    <row r="3619" spans="2:13" x14ac:dyDescent="0.25">
      <c r="B3619" s="31" t="s">
        <v>26303</v>
      </c>
      <c r="C3619" s="25" t="s">
        <v>25804</v>
      </c>
      <c r="D3619" s="25" t="s">
        <v>26232</v>
      </c>
      <c r="E3619" s="20"/>
      <c r="F3619" s="9" t="str">
        <f t="shared" si="49"/>
        <v>structure with developmental contribution from neural crest</v>
      </c>
      <c r="G3619" s="9" t="s">
        <v>5090</v>
      </c>
      <c r="H3619" s="9" t="s">
        <v>23194</v>
      </c>
      <c r="I3619" s="9" t="s">
        <v>6831</v>
      </c>
      <c r="J3619" s="9" t="s">
        <v>6832</v>
      </c>
      <c r="K3619" s="4" t="s">
        <v>15175</v>
      </c>
      <c r="L3619" s="13">
        <v>11521</v>
      </c>
      <c r="M3619" t="str">
        <f>VLOOKUP(L3619,[1]Human_BrainSpan!$B$2:$C$4000,2,FALSE)</f>
        <v>BLVm</v>
      </c>
    </row>
    <row r="3620" spans="2:13" x14ac:dyDescent="0.25">
      <c r="B3620" s="31" t="s">
        <v>26303</v>
      </c>
      <c r="C3620" s="25" t="s">
        <v>25765</v>
      </c>
      <c r="D3620" s="25" t="s">
        <v>26232</v>
      </c>
      <c r="E3620" s="25"/>
      <c r="F3620" s="9" t="str">
        <f t="shared" si="49"/>
        <v>structure with developmental contribution from neural crest</v>
      </c>
      <c r="G3620" s="9" t="s">
        <v>5090</v>
      </c>
      <c r="H3620" s="9" t="s">
        <v>23196</v>
      </c>
      <c r="I3620" s="9" t="s">
        <v>6833</v>
      </c>
      <c r="J3620" s="9" t="s">
        <v>6834</v>
      </c>
      <c r="K3620" s="4" t="s">
        <v>15175</v>
      </c>
      <c r="L3620" s="13">
        <v>11522</v>
      </c>
      <c r="M3620" t="str">
        <f>VLOOKUP(L3620,[1]Human_BrainSpan!$B$2:$C$4000,2,FALSE)</f>
        <v>BMD</v>
      </c>
    </row>
    <row r="3621" spans="2:13" x14ac:dyDescent="0.25">
      <c r="B3621" s="31" t="s">
        <v>26303</v>
      </c>
      <c r="C3621" s="25" t="s">
        <v>25765</v>
      </c>
      <c r="D3621" s="25" t="s">
        <v>26232</v>
      </c>
      <c r="E3621" s="25"/>
      <c r="F3621" s="9" t="str">
        <f t="shared" si="49"/>
        <v>structure with developmental contribution from neural crest</v>
      </c>
      <c r="G3621" s="9" t="s">
        <v>5090</v>
      </c>
      <c r="H3621" s="9" t="s">
        <v>23197</v>
      </c>
      <c r="I3621" s="9" t="s">
        <v>6835</v>
      </c>
      <c r="J3621" s="9" t="s">
        <v>6836</v>
      </c>
      <c r="K3621" s="4" t="s">
        <v>15175</v>
      </c>
      <c r="L3621" s="13">
        <v>11523</v>
      </c>
      <c r="M3621" t="str">
        <f>VLOOKUP(L3621,[1]Human_BrainSpan!$B$2:$C$4000,2,FALSE)</f>
        <v>BMDl</v>
      </c>
    </row>
    <row r="3622" spans="2:13" x14ac:dyDescent="0.25">
      <c r="B3622" s="31" t="s">
        <v>26303</v>
      </c>
      <c r="C3622" s="25" t="s">
        <v>25765</v>
      </c>
      <c r="D3622" s="25" t="s">
        <v>26232</v>
      </c>
      <c r="E3622" s="25"/>
      <c r="F3622" s="9" t="str">
        <f t="shared" si="49"/>
        <v>structure with developmental contribution from neural crest</v>
      </c>
      <c r="G3622" s="9" t="s">
        <v>5090</v>
      </c>
      <c r="H3622" s="9" t="s">
        <v>23198</v>
      </c>
      <c r="I3622" s="9" t="s">
        <v>6837</v>
      </c>
      <c r="J3622" s="9" t="s">
        <v>6838</v>
      </c>
      <c r="K3622" s="4" t="s">
        <v>15175</v>
      </c>
      <c r="L3622" s="13">
        <v>11524</v>
      </c>
      <c r="M3622" t="str">
        <f>VLOOKUP(L3622,[1]Human_BrainSpan!$B$2:$C$4000,2,FALSE)</f>
        <v>BMDm</v>
      </c>
    </row>
    <row r="3623" spans="2:13" x14ac:dyDescent="0.25">
      <c r="B3623" s="31" t="s">
        <v>26303</v>
      </c>
      <c r="C3623" s="25" t="s">
        <v>25765</v>
      </c>
      <c r="D3623" s="25" t="s">
        <v>26232</v>
      </c>
      <c r="E3623" s="25"/>
      <c r="F3623" s="9" t="str">
        <f t="shared" si="49"/>
        <v>structure with developmental contribution from neural crest</v>
      </c>
      <c r="G3623" s="9" t="s">
        <v>5090</v>
      </c>
      <c r="H3623" s="9" t="s">
        <v>23199</v>
      </c>
      <c r="I3623" s="9" t="s">
        <v>6839</v>
      </c>
      <c r="J3623" s="9" t="s">
        <v>6840</v>
      </c>
      <c r="K3623" s="4" t="s">
        <v>15175</v>
      </c>
      <c r="L3623" s="13">
        <v>11525</v>
      </c>
      <c r="M3623" t="str">
        <f>VLOOKUP(L3623,[1]Human_BrainSpan!$B$2:$C$4000,2,FALSE)</f>
        <v>BMV</v>
      </c>
    </row>
    <row r="3624" spans="2:13" x14ac:dyDescent="0.25">
      <c r="B3624" s="31" t="s">
        <v>26303</v>
      </c>
      <c r="C3624" s="25" t="s">
        <v>25765</v>
      </c>
      <c r="D3624" s="25" t="s">
        <v>26232</v>
      </c>
      <c r="E3624" s="25"/>
      <c r="F3624" s="9" t="str">
        <f t="shared" si="49"/>
        <v>structure with developmental contribution from neural crest</v>
      </c>
      <c r="G3624" s="9" t="s">
        <v>5090</v>
      </c>
      <c r="H3624" s="9" t="s">
        <v>23200</v>
      </c>
      <c r="I3624" s="9" t="s">
        <v>6841</v>
      </c>
      <c r="J3624" s="9" t="s">
        <v>6842</v>
      </c>
      <c r="K3624" s="4" t="s">
        <v>15175</v>
      </c>
      <c r="L3624" s="13">
        <v>11526</v>
      </c>
      <c r="M3624" t="str">
        <f>VLOOKUP(L3624,[1]Human_BrainSpan!$B$2:$C$4000,2,FALSE)</f>
        <v>BMVl</v>
      </c>
    </row>
    <row r="3625" spans="2:13" x14ac:dyDescent="0.25">
      <c r="B3625" s="31" t="s">
        <v>26303</v>
      </c>
      <c r="C3625" s="25" t="s">
        <v>25765</v>
      </c>
      <c r="D3625" s="25" t="s">
        <v>26232</v>
      </c>
      <c r="E3625" s="25"/>
      <c r="F3625" s="9" t="str">
        <f t="shared" si="49"/>
        <v>structure with developmental contribution from neural crest</v>
      </c>
      <c r="G3625" s="9" t="s">
        <v>5090</v>
      </c>
      <c r="H3625" s="9" t="s">
        <v>23201</v>
      </c>
      <c r="I3625" s="9" t="s">
        <v>6843</v>
      </c>
      <c r="J3625" s="9" t="s">
        <v>6844</v>
      </c>
      <c r="K3625" s="4" t="s">
        <v>15175</v>
      </c>
      <c r="L3625" s="13">
        <v>11527</v>
      </c>
      <c r="M3625" t="str">
        <f>VLOOKUP(L3625,[1]Human_BrainSpan!$B$2:$C$4000,2,FALSE)</f>
        <v>BMVm</v>
      </c>
    </row>
    <row r="3626" spans="2:13" x14ac:dyDescent="0.25">
      <c r="B3626" s="31" t="s">
        <v>26303</v>
      </c>
      <c r="C3626" s="25" t="s">
        <v>25883</v>
      </c>
      <c r="D3626" s="25" t="s">
        <v>26232</v>
      </c>
      <c r="E3626" s="25"/>
      <c r="F3626" s="9" t="str">
        <f t="shared" si="49"/>
        <v>structure with developmental contribution from neural crest</v>
      </c>
      <c r="G3626" s="9" t="s">
        <v>5090</v>
      </c>
      <c r="H3626" s="9" t="s">
        <v>23164</v>
      </c>
      <c r="I3626" s="9" t="s">
        <v>6845</v>
      </c>
      <c r="J3626" s="9" t="s">
        <v>6846</v>
      </c>
      <c r="K3626" s="4" t="s">
        <v>15175</v>
      </c>
      <c r="L3626" s="13">
        <v>11528</v>
      </c>
      <c r="M3626" t="str">
        <f>VLOOKUP(L3626,[1]Human_BrainSpan!$B$2:$C$4000,2,FALSE)</f>
        <v>CoAd</v>
      </c>
    </row>
    <row r="3627" spans="2:13" x14ac:dyDescent="0.25">
      <c r="B3627" s="31" t="s">
        <v>26303</v>
      </c>
      <c r="C3627" s="25" t="s">
        <v>25883</v>
      </c>
      <c r="D3627" s="25" t="s">
        <v>26232</v>
      </c>
      <c r="E3627" s="25"/>
      <c r="F3627" s="9" t="str">
        <f t="shared" si="49"/>
        <v>structure with developmental contribution from neural crest</v>
      </c>
      <c r="G3627" s="9" t="s">
        <v>5090</v>
      </c>
      <c r="H3627" s="9" t="s">
        <v>23165</v>
      </c>
      <c r="I3627" s="9" t="s">
        <v>6847</v>
      </c>
      <c r="J3627" s="9" t="s">
        <v>6848</v>
      </c>
      <c r="K3627" s="4" t="s">
        <v>15175</v>
      </c>
      <c r="L3627" s="13">
        <v>11529</v>
      </c>
      <c r="M3627" t="str">
        <f>VLOOKUP(L3627,[1]Human_BrainSpan!$B$2:$C$4000,2,FALSE)</f>
        <v>CoAv</v>
      </c>
    </row>
    <row r="3628" spans="2:13" x14ac:dyDescent="0.25">
      <c r="B3628" s="31" t="s">
        <v>26303</v>
      </c>
      <c r="C3628" s="25" t="s">
        <v>26018</v>
      </c>
      <c r="D3628" s="25" t="s">
        <v>26232</v>
      </c>
      <c r="E3628" s="25"/>
      <c r="F3628" s="9" t="str">
        <f t="shared" si="49"/>
        <v>structure with developmental contribution from neural crest</v>
      </c>
      <c r="G3628" s="9" t="s">
        <v>5090</v>
      </c>
      <c r="H3628" s="9" t="s">
        <v>23170</v>
      </c>
      <c r="I3628" s="9" t="s">
        <v>6849</v>
      </c>
      <c r="J3628" s="9" t="s">
        <v>6850</v>
      </c>
      <c r="K3628" s="4" t="s">
        <v>15175</v>
      </c>
      <c r="L3628" s="13">
        <v>11530</v>
      </c>
      <c r="M3628" t="str">
        <f>VLOOKUP(L3628,[1]Human_BrainSpan!$B$2:$C$4000,2,FALSE)</f>
        <v>MeR</v>
      </c>
    </row>
    <row r="3629" spans="2:13" x14ac:dyDescent="0.25">
      <c r="B3629" s="31" t="s">
        <v>26303</v>
      </c>
      <c r="C3629" s="25" t="s">
        <v>26018</v>
      </c>
      <c r="D3629" s="25" t="s">
        <v>26232</v>
      </c>
      <c r="E3629" s="25"/>
      <c r="F3629" s="9" t="str">
        <f t="shared" si="49"/>
        <v>structure with developmental contribution from neural crest</v>
      </c>
      <c r="G3629" s="9" t="s">
        <v>5090</v>
      </c>
      <c r="H3629" s="9" t="s">
        <v>23171</v>
      </c>
      <c r="I3629" s="9" t="s">
        <v>6851</v>
      </c>
      <c r="J3629" s="9" t="s">
        <v>6852</v>
      </c>
      <c r="K3629" s="4" t="s">
        <v>15175</v>
      </c>
      <c r="L3629" s="13">
        <v>11531</v>
      </c>
      <c r="M3629" t="str">
        <f>VLOOKUP(L3629,[1]Human_BrainSpan!$B$2:$C$4000,2,FALSE)</f>
        <v>MeC</v>
      </c>
    </row>
    <row r="3630" spans="2:13" x14ac:dyDescent="0.25">
      <c r="B3630" s="31" t="s">
        <v>26303</v>
      </c>
      <c r="C3630" s="25" t="s">
        <v>26018</v>
      </c>
      <c r="D3630" s="25" t="s">
        <v>26232</v>
      </c>
      <c r="E3630" s="25"/>
      <c r="F3630" s="9" t="str">
        <f t="shared" si="49"/>
        <v>structure with developmental contribution from neural crest</v>
      </c>
      <c r="G3630" s="9" t="s">
        <v>5090</v>
      </c>
      <c r="H3630" s="9" t="s">
        <v>23172</v>
      </c>
      <c r="I3630" s="9" t="s">
        <v>6853</v>
      </c>
      <c r="J3630" s="9" t="s">
        <v>6854</v>
      </c>
      <c r="K3630" s="4" t="s">
        <v>15175</v>
      </c>
      <c r="L3630" s="13">
        <v>11532</v>
      </c>
      <c r="M3630" t="str">
        <f>VLOOKUP(L3630,[1]Human_BrainSpan!$B$2:$C$4000,2,FALSE)</f>
        <v>MeCd</v>
      </c>
    </row>
    <row r="3631" spans="2:13" x14ac:dyDescent="0.25">
      <c r="B3631" s="31" t="s">
        <v>26303</v>
      </c>
      <c r="C3631" s="25" t="s">
        <v>26018</v>
      </c>
      <c r="D3631" s="25" t="s">
        <v>26232</v>
      </c>
      <c r="E3631" s="25"/>
      <c r="F3631" s="9" t="str">
        <f t="shared" si="49"/>
        <v>structure with developmental contribution from neural crest</v>
      </c>
      <c r="G3631" s="9" t="s">
        <v>5090</v>
      </c>
      <c r="H3631" s="9" t="s">
        <v>23173</v>
      </c>
      <c r="I3631" s="9" t="s">
        <v>6855</v>
      </c>
      <c r="J3631" s="9" t="s">
        <v>6856</v>
      </c>
      <c r="K3631" s="4" t="s">
        <v>15175</v>
      </c>
      <c r="L3631" s="13">
        <v>11533</v>
      </c>
      <c r="M3631" t="str">
        <f>VLOOKUP(L3631,[1]Human_BrainSpan!$B$2:$C$4000,2,FALSE)</f>
        <v>MeCv</v>
      </c>
    </row>
    <row r="3632" spans="2:13" x14ac:dyDescent="0.25">
      <c r="B3632" s="31" t="s">
        <v>26303</v>
      </c>
      <c r="C3632" s="25" t="s">
        <v>25957</v>
      </c>
      <c r="D3632" s="25" t="s">
        <v>26232</v>
      </c>
      <c r="E3632" s="25"/>
      <c r="F3632" s="9" t="str">
        <f t="shared" si="49"/>
        <v>structure with developmental contribution from neural crest</v>
      </c>
      <c r="G3632" s="9" t="s">
        <v>5090</v>
      </c>
      <c r="H3632" s="9" t="s">
        <v>23243</v>
      </c>
      <c r="I3632" s="9" t="s">
        <v>6857</v>
      </c>
      <c r="J3632" s="9" t="s">
        <v>6858</v>
      </c>
      <c r="K3632" s="4" t="s">
        <v>15175</v>
      </c>
      <c r="L3632" s="13">
        <v>11534</v>
      </c>
      <c r="M3632" t="str">
        <f>VLOOKUP(L3632,[1]Human_BrainSpan!$B$2:$C$4000,2,FALSE)</f>
        <v>CaHrp</v>
      </c>
    </row>
    <row r="3633" spans="2:13" x14ac:dyDescent="0.25">
      <c r="B3633" s="31" t="s">
        <v>26303</v>
      </c>
      <c r="C3633" s="25" t="s">
        <v>25957</v>
      </c>
      <c r="D3633" s="25" t="s">
        <v>26232</v>
      </c>
      <c r="E3633" s="25"/>
      <c r="F3633" s="9" t="str">
        <f t="shared" si="49"/>
        <v>structure with developmental contribution from neural crest</v>
      </c>
      <c r="G3633" s="9" t="s">
        <v>5090</v>
      </c>
      <c r="H3633" s="9" t="s">
        <v>23244</v>
      </c>
      <c r="I3633" s="9" t="s">
        <v>6859</v>
      </c>
      <c r="J3633" s="9" t="s">
        <v>6860</v>
      </c>
      <c r="K3633" s="4" t="s">
        <v>15175</v>
      </c>
      <c r="L3633" s="13">
        <v>11535</v>
      </c>
      <c r="M3633" t="str">
        <f>VLOOKUP(L3633,[1]Human_BrainSpan!$B$2:$C$4000,2,FALSE)</f>
        <v>CaHdl</v>
      </c>
    </row>
    <row r="3634" spans="2:13" x14ac:dyDescent="0.25">
      <c r="B3634" s="31" t="s">
        <v>26303</v>
      </c>
      <c r="C3634" s="25" t="s">
        <v>25957</v>
      </c>
      <c r="D3634" s="25" t="s">
        <v>26232</v>
      </c>
      <c r="E3634" s="25"/>
      <c r="F3634" s="9" t="str">
        <f t="shared" si="49"/>
        <v>structure with developmental contribution from neural crest</v>
      </c>
      <c r="G3634" s="9" t="s">
        <v>5090</v>
      </c>
      <c r="H3634" s="9" t="s">
        <v>23245</v>
      </c>
      <c r="I3634" s="9" t="s">
        <v>6861</v>
      </c>
      <c r="J3634" s="9" t="s">
        <v>6862</v>
      </c>
      <c r="K3634" s="4" t="s">
        <v>15175</v>
      </c>
      <c r="L3634" s="13">
        <v>11536</v>
      </c>
      <c r="M3634" t="str">
        <f>VLOOKUP(L3634,[1]Human_BrainSpan!$B$2:$C$4000,2,FALSE)</f>
        <v>CaHvm</v>
      </c>
    </row>
    <row r="3635" spans="2:13" x14ac:dyDescent="0.25">
      <c r="B3635" s="31" t="s">
        <v>26303</v>
      </c>
      <c r="C3635" s="25" t="s">
        <v>4204</v>
      </c>
      <c r="D3635" s="25" t="s">
        <v>26232</v>
      </c>
      <c r="E3635" s="25"/>
      <c r="F3635" s="9" t="str">
        <f t="shared" si="49"/>
        <v>structure with developmental contribution from neural crest</v>
      </c>
      <c r="G3635" s="9" t="s">
        <v>5090</v>
      </c>
      <c r="H3635" s="9" t="s">
        <v>23251</v>
      </c>
      <c r="I3635" s="9" t="s">
        <v>6863</v>
      </c>
      <c r="J3635" s="9" t="s">
        <v>6864</v>
      </c>
      <c r="K3635" s="4" t="s">
        <v>15175</v>
      </c>
      <c r="L3635" s="13">
        <v>11537</v>
      </c>
      <c r="M3635" t="str">
        <f>VLOOKUP(L3635,[1]Human_BrainSpan!$B$2:$C$4000,2,FALSE)</f>
        <v>PuR</v>
      </c>
    </row>
    <row r="3636" spans="2:13" x14ac:dyDescent="0.25">
      <c r="B3636" s="31" t="s">
        <v>26303</v>
      </c>
      <c r="C3636" s="25" t="s">
        <v>4204</v>
      </c>
      <c r="D3636" s="25" t="s">
        <v>26232</v>
      </c>
      <c r="E3636" s="25"/>
      <c r="F3636" s="9" t="str">
        <f t="shared" si="49"/>
        <v>structure with developmental contribution from neural crest</v>
      </c>
      <c r="G3636" s="9" t="s">
        <v>5090</v>
      </c>
      <c r="H3636" s="9" t="s">
        <v>23253</v>
      </c>
      <c r="I3636" s="9" t="s">
        <v>6865</v>
      </c>
      <c r="J3636" s="9" t="s">
        <v>6866</v>
      </c>
      <c r="K3636" s="4" t="s">
        <v>15175</v>
      </c>
      <c r="L3636" s="13">
        <v>11538</v>
      </c>
      <c r="M3636" t="str">
        <f>VLOOKUP(L3636,[1]Human_BrainSpan!$B$2:$C$4000,2,FALSE)</f>
        <v>PuC</v>
      </c>
    </row>
    <row r="3637" spans="2:13" x14ac:dyDescent="0.25">
      <c r="B3637" s="31" t="s">
        <v>26303</v>
      </c>
      <c r="C3637" s="25" t="s">
        <v>4204</v>
      </c>
      <c r="D3637" s="25" t="s">
        <v>26232</v>
      </c>
      <c r="E3637" s="25"/>
      <c r="F3637" s="9" t="str">
        <f t="shared" si="49"/>
        <v>structure with developmental contribution from neural crest</v>
      </c>
      <c r="G3637" s="9" t="s">
        <v>5090</v>
      </c>
      <c r="H3637" s="9" t="s">
        <v>23254</v>
      </c>
      <c r="I3637" s="9" t="s">
        <v>6867</v>
      </c>
      <c r="J3637" s="9" t="s">
        <v>6868</v>
      </c>
      <c r="K3637" s="4" t="s">
        <v>15175</v>
      </c>
      <c r="L3637" s="13">
        <v>11539</v>
      </c>
      <c r="M3637" t="str">
        <f>VLOOKUP(L3637,[1]Human_BrainSpan!$B$2:$C$4000,2,FALSE)</f>
        <v>Pld</v>
      </c>
    </row>
    <row r="3638" spans="2:13" x14ac:dyDescent="0.25">
      <c r="B3638" s="31" t="s">
        <v>26303</v>
      </c>
      <c r="C3638" s="25" t="s">
        <v>4204</v>
      </c>
      <c r="D3638" s="25" t="s">
        <v>26232</v>
      </c>
      <c r="E3638" s="25"/>
      <c r="F3638" s="9" t="str">
        <f t="shared" si="49"/>
        <v>structure with developmental contribution from neural crest</v>
      </c>
      <c r="G3638" s="9" t="s">
        <v>5090</v>
      </c>
      <c r="H3638" s="9" t="s">
        <v>23255</v>
      </c>
      <c r="I3638" s="9" t="s">
        <v>6869</v>
      </c>
      <c r="J3638" s="9" t="s">
        <v>6870</v>
      </c>
      <c r="K3638" s="4" t="s">
        <v>15175</v>
      </c>
      <c r="L3638" s="13">
        <v>11540</v>
      </c>
      <c r="M3638" t="str">
        <f>VLOOKUP(L3638,[1]Human_BrainSpan!$B$2:$C$4000,2,FALSE)</f>
        <v>Pint</v>
      </c>
    </row>
    <row r="3639" spans="2:13" x14ac:dyDescent="0.25">
      <c r="B3639" s="31" t="s">
        <v>26303</v>
      </c>
      <c r="C3639" s="25" t="s">
        <v>4204</v>
      </c>
      <c r="D3639" s="25" t="s">
        <v>26232</v>
      </c>
      <c r="E3639" s="25"/>
      <c r="F3639" s="9" t="str">
        <f t="shared" ref="F3639:F3702" si="50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3639" s="9" t="s">
        <v>5090</v>
      </c>
      <c r="H3639" s="9" t="s">
        <v>23256</v>
      </c>
      <c r="I3639" s="9" t="s">
        <v>6871</v>
      </c>
      <c r="J3639" s="9" t="s">
        <v>6872</v>
      </c>
      <c r="K3639" s="4" t="s">
        <v>15175</v>
      </c>
      <c r="L3639" s="13">
        <v>11541</v>
      </c>
      <c r="M3639" t="str">
        <f>VLOOKUP(L3639,[1]Human_BrainSpan!$B$2:$C$4000,2,FALSE)</f>
        <v>Pmv</v>
      </c>
    </row>
    <row r="3640" spans="2:13" x14ac:dyDescent="0.25">
      <c r="B3640" s="31" t="s">
        <v>26303</v>
      </c>
      <c r="C3640" s="25" t="s">
        <v>4204</v>
      </c>
      <c r="D3640" s="25" t="s">
        <v>26232</v>
      </c>
      <c r="E3640" s="25"/>
      <c r="F3640" s="9" t="str">
        <f t="shared" si="50"/>
        <v>structure with developmental contribution from neural crest</v>
      </c>
      <c r="G3640" s="9" t="s">
        <v>5090</v>
      </c>
      <c r="H3640" s="9" t="s">
        <v>23258</v>
      </c>
      <c r="I3640" s="9" t="s">
        <v>6873</v>
      </c>
      <c r="J3640" s="9" t="s">
        <v>6874</v>
      </c>
      <c r="K3640" s="4" t="s">
        <v>15175</v>
      </c>
      <c r="L3640" s="13">
        <v>11542</v>
      </c>
      <c r="M3640" t="str">
        <f>VLOOKUP(L3640,[1]Human_BrainSpan!$B$2:$C$4000,2,FALSE)</f>
        <v>PuMG</v>
      </c>
    </row>
    <row r="3641" spans="2:13" x14ac:dyDescent="0.25">
      <c r="B3641" s="31" t="s">
        <v>26303</v>
      </c>
      <c r="C3641" s="25" t="s">
        <v>1310</v>
      </c>
      <c r="D3641" s="25" t="s">
        <v>26232</v>
      </c>
      <c r="E3641" s="25"/>
      <c r="F3641" s="9" t="str">
        <f t="shared" si="50"/>
        <v>structure with developmental contribution from neural crest</v>
      </c>
      <c r="G3641" s="9" t="s">
        <v>5090</v>
      </c>
      <c r="H3641" s="9" t="s">
        <v>23261</v>
      </c>
      <c r="I3641" s="9" t="s">
        <v>6875</v>
      </c>
      <c r="J3641" s="9" t="s">
        <v>6876</v>
      </c>
      <c r="K3641" s="4" t="s">
        <v>15175</v>
      </c>
      <c r="L3641" s="13">
        <v>11543</v>
      </c>
      <c r="M3641" t="str">
        <f>VLOOKUP(L3641,[1]Human_BrainSpan!$B$2:$C$4000,2,FALSE)</f>
        <v>NACcl</v>
      </c>
    </row>
    <row r="3642" spans="2:13" x14ac:dyDescent="0.25">
      <c r="B3642" s="31" t="s">
        <v>26303</v>
      </c>
      <c r="C3642" s="25" t="s">
        <v>1310</v>
      </c>
      <c r="D3642" s="25" t="s">
        <v>26232</v>
      </c>
      <c r="E3642" s="25"/>
      <c r="F3642" s="9" t="str">
        <f t="shared" si="50"/>
        <v>structure with developmental contribution from neural crest</v>
      </c>
      <c r="G3642" s="9" t="s">
        <v>5090</v>
      </c>
      <c r="H3642" s="9" t="s">
        <v>23262</v>
      </c>
      <c r="I3642" s="9" t="s">
        <v>6877</v>
      </c>
      <c r="J3642" s="9" t="s">
        <v>6878</v>
      </c>
      <c r="K3642" s="4" t="s">
        <v>15175</v>
      </c>
      <c r="L3642" s="13">
        <v>11544</v>
      </c>
      <c r="M3642" t="str">
        <f>VLOOKUP(L3642,[1]Human_BrainSpan!$B$2:$C$4000,2,FALSE)</f>
        <v>NACcm</v>
      </c>
    </row>
    <row r="3643" spans="2:13" x14ac:dyDescent="0.25">
      <c r="B3643" s="31" t="s">
        <v>26303</v>
      </c>
      <c r="C3643" s="25" t="s">
        <v>4976</v>
      </c>
      <c r="D3643" s="25" t="s">
        <v>26232</v>
      </c>
      <c r="E3643" s="25"/>
      <c r="F3643" s="9" t="str">
        <f t="shared" si="50"/>
        <v>structure with developmental contribution from neural crest</v>
      </c>
      <c r="G3643" s="9" t="s">
        <v>5090</v>
      </c>
      <c r="H3643" s="9" t="s">
        <v>23264</v>
      </c>
      <c r="I3643" s="9" t="s">
        <v>6879</v>
      </c>
      <c r="J3643" s="9" t="s">
        <v>6880</v>
      </c>
      <c r="K3643" s="4" t="s">
        <v>15175</v>
      </c>
      <c r="L3643" s="13">
        <v>11545</v>
      </c>
      <c r="M3643" t="str">
        <f>VLOOKUP(L3643,[1]Human_BrainSpan!$B$2:$C$4000,2,FALSE)</f>
        <v>NACsl</v>
      </c>
    </row>
    <row r="3644" spans="2:13" x14ac:dyDescent="0.25">
      <c r="B3644" s="31" t="s">
        <v>26303</v>
      </c>
      <c r="C3644" s="25" t="s">
        <v>4976</v>
      </c>
      <c r="D3644" s="25" t="s">
        <v>26232</v>
      </c>
      <c r="E3644" s="25"/>
      <c r="F3644" s="9" t="str">
        <f t="shared" si="50"/>
        <v>structure with developmental contribution from neural crest</v>
      </c>
      <c r="G3644" s="9" t="s">
        <v>5090</v>
      </c>
      <c r="H3644" s="9" t="s">
        <v>23265</v>
      </c>
      <c r="I3644" s="9" t="s">
        <v>6881</v>
      </c>
      <c r="J3644" s="9" t="s">
        <v>6882</v>
      </c>
      <c r="K3644" s="4" t="s">
        <v>15175</v>
      </c>
      <c r="L3644" s="13">
        <v>11546</v>
      </c>
      <c r="M3644" t="str">
        <f>VLOOKUP(L3644,[1]Human_BrainSpan!$B$2:$C$4000,2,FALSE)</f>
        <v>NACsi</v>
      </c>
    </row>
    <row r="3645" spans="2:13" x14ac:dyDescent="0.25">
      <c r="B3645" s="31" t="s">
        <v>26303</v>
      </c>
      <c r="C3645" s="25" t="s">
        <v>4976</v>
      </c>
      <c r="D3645" s="25" t="s">
        <v>26232</v>
      </c>
      <c r="E3645" s="25"/>
      <c r="F3645" s="9" t="str">
        <f t="shared" si="50"/>
        <v>structure with developmental contribution from neural crest</v>
      </c>
      <c r="G3645" s="9" t="s">
        <v>5090</v>
      </c>
      <c r="H3645" s="9" t="s">
        <v>23266</v>
      </c>
      <c r="I3645" s="9" t="s">
        <v>6883</v>
      </c>
      <c r="J3645" s="9" t="s">
        <v>6884</v>
      </c>
      <c r="K3645" s="4" t="s">
        <v>15175</v>
      </c>
      <c r="L3645" s="13">
        <v>11547</v>
      </c>
      <c r="M3645" t="str">
        <f>VLOOKUP(L3645,[1]Human_BrainSpan!$B$2:$C$4000,2,FALSE)</f>
        <v>NACsm</v>
      </c>
    </row>
    <row r="3646" spans="2:13" x14ac:dyDescent="0.25">
      <c r="B3646" s="31" t="s">
        <v>26303</v>
      </c>
      <c r="C3646" s="25" t="s">
        <v>26022</v>
      </c>
      <c r="D3646" s="25" t="s">
        <v>26232</v>
      </c>
      <c r="E3646" s="25"/>
      <c r="F3646" s="9" t="str">
        <f t="shared" si="50"/>
        <v>structure with developmental contribution from neural crest</v>
      </c>
      <c r="G3646" s="9" t="s">
        <v>5090</v>
      </c>
      <c r="H3646" s="9" t="s">
        <v>23268</v>
      </c>
      <c r="I3646" s="9" t="s">
        <v>6885</v>
      </c>
      <c r="J3646" s="9" t="s">
        <v>6886</v>
      </c>
      <c r="K3646" s="4" t="s">
        <v>15175</v>
      </c>
      <c r="L3646" s="13">
        <v>11548</v>
      </c>
      <c r="M3646" t="str">
        <f>VLOOKUP(L3646,[1]Human_BrainSpan!$B$2:$C$4000,2,FALSE)</f>
        <v>GPic</v>
      </c>
    </row>
    <row r="3647" spans="2:13" x14ac:dyDescent="0.25">
      <c r="B3647" s="31" t="s">
        <v>26303</v>
      </c>
      <c r="C3647" s="25" t="s">
        <v>26022</v>
      </c>
      <c r="D3647" s="25" t="s">
        <v>26232</v>
      </c>
      <c r="E3647" s="25"/>
      <c r="F3647" s="9" t="str">
        <f t="shared" si="50"/>
        <v>structure with developmental contribution from neural crest</v>
      </c>
      <c r="G3647" s="9" t="s">
        <v>5090</v>
      </c>
      <c r="H3647" s="9" t="s">
        <v>23269</v>
      </c>
      <c r="I3647" s="9" t="s">
        <v>6887</v>
      </c>
      <c r="J3647" s="9" t="s">
        <v>6888</v>
      </c>
      <c r="K3647" s="4" t="s">
        <v>15175</v>
      </c>
      <c r="L3647" s="13">
        <v>11549</v>
      </c>
      <c r="M3647" t="str">
        <f>VLOOKUP(L3647,[1]Human_BrainSpan!$B$2:$C$4000,2,FALSE)</f>
        <v>GPip</v>
      </c>
    </row>
    <row r="3648" spans="2:13" x14ac:dyDescent="0.25">
      <c r="B3648" s="31" t="s">
        <v>26303</v>
      </c>
      <c r="C3648" s="25" t="s">
        <v>2715</v>
      </c>
      <c r="D3648" s="25" t="s">
        <v>26232</v>
      </c>
      <c r="E3648" s="25"/>
      <c r="F3648" s="9" t="str">
        <f t="shared" si="50"/>
        <v>structure with developmental contribution from neural crest</v>
      </c>
      <c r="G3648" s="9" t="s">
        <v>5090</v>
      </c>
      <c r="H3648" s="9" t="s">
        <v>23280</v>
      </c>
      <c r="I3648" s="9" t="s">
        <v>6889</v>
      </c>
      <c r="J3648" s="9" t="s">
        <v>6890</v>
      </c>
      <c r="K3648" s="4" t="s">
        <v>15175</v>
      </c>
      <c r="L3648" s="13">
        <v>11550</v>
      </c>
      <c r="M3648" t="str">
        <f>VLOOKUP(L3648,[1]Human_BrainSpan!$B$2:$C$4000,2,FALSE)</f>
        <v>LSNd</v>
      </c>
    </row>
    <row r="3649" spans="2:13" x14ac:dyDescent="0.25">
      <c r="B3649" s="31" t="s">
        <v>26303</v>
      </c>
      <c r="C3649" s="25" t="s">
        <v>2715</v>
      </c>
      <c r="D3649" s="25" t="s">
        <v>26232</v>
      </c>
      <c r="E3649" s="25"/>
      <c r="F3649" s="9" t="str">
        <f t="shared" si="50"/>
        <v>structure with developmental contribution from neural crest</v>
      </c>
      <c r="G3649" s="9" t="s">
        <v>5090</v>
      </c>
      <c r="H3649" s="9" t="s">
        <v>23281</v>
      </c>
      <c r="I3649" s="9" t="s">
        <v>6891</v>
      </c>
      <c r="J3649" s="9" t="s">
        <v>6892</v>
      </c>
      <c r="K3649" s="4" t="s">
        <v>15175</v>
      </c>
      <c r="L3649" s="13">
        <v>11551</v>
      </c>
      <c r="M3649" t="str">
        <f>VLOOKUP(L3649,[1]Human_BrainSpan!$B$2:$C$4000,2,FALSE)</f>
        <v>LSNi</v>
      </c>
    </row>
    <row r="3650" spans="2:13" x14ac:dyDescent="0.25">
      <c r="B3650" s="31" t="s">
        <v>26303</v>
      </c>
      <c r="C3650" s="25" t="s">
        <v>2715</v>
      </c>
      <c r="D3650" s="25" t="s">
        <v>26232</v>
      </c>
      <c r="E3650" s="25"/>
      <c r="F3650" s="9" t="str">
        <f t="shared" si="50"/>
        <v>structure with developmental contribution from neural crest</v>
      </c>
      <c r="G3650" s="9" t="s">
        <v>5090</v>
      </c>
      <c r="H3650" s="9" t="s">
        <v>23282</v>
      </c>
      <c r="I3650" s="9" t="s">
        <v>6893</v>
      </c>
      <c r="J3650" s="9" t="s">
        <v>6894</v>
      </c>
      <c r="K3650" s="4" t="s">
        <v>15175</v>
      </c>
      <c r="L3650" s="13">
        <v>11552</v>
      </c>
      <c r="M3650" t="str">
        <f>VLOOKUP(L3650,[1]Human_BrainSpan!$B$2:$C$4000,2,FALSE)</f>
        <v>LSNv</v>
      </c>
    </row>
    <row r="3651" spans="2:13" x14ac:dyDescent="0.25">
      <c r="B3651" s="31" t="s">
        <v>26303</v>
      </c>
      <c r="C3651" s="20"/>
      <c r="D3651" s="25" t="s">
        <v>26232</v>
      </c>
      <c r="E3651" s="25" t="s">
        <v>26300</v>
      </c>
      <c r="F3651" s="9" t="str">
        <f t="shared" si="50"/>
        <v>structure with developmental contribution from neural crest</v>
      </c>
      <c r="G3651" s="9" t="s">
        <v>5090</v>
      </c>
      <c r="H3651" s="9" t="s">
        <v>23287</v>
      </c>
      <c r="I3651" s="9" t="s">
        <v>6895</v>
      </c>
      <c r="J3651" s="9" t="s">
        <v>6896</v>
      </c>
      <c r="K3651" s="4" t="s">
        <v>15175</v>
      </c>
      <c r="L3651" s="13">
        <v>11553</v>
      </c>
      <c r="M3651" t="str">
        <f>VLOOKUP(L3651,[1]Human_BrainSpan!$B$2:$C$4000,2,FALSE)</f>
        <v>BNMl</v>
      </c>
    </row>
    <row r="3652" spans="2:13" x14ac:dyDescent="0.25">
      <c r="B3652" s="31" t="s">
        <v>26303</v>
      </c>
      <c r="C3652" s="20"/>
      <c r="D3652" s="25" t="s">
        <v>26232</v>
      </c>
      <c r="E3652" s="25" t="s">
        <v>26300</v>
      </c>
      <c r="F3652" s="9" t="str">
        <f t="shared" si="50"/>
        <v>structure with developmental contribution from neural crest</v>
      </c>
      <c r="G3652" s="9" t="s">
        <v>5090</v>
      </c>
      <c r="H3652" s="9" t="s">
        <v>23288</v>
      </c>
      <c r="I3652" s="9" t="s">
        <v>6897</v>
      </c>
      <c r="J3652" s="9" t="s">
        <v>6898</v>
      </c>
      <c r="K3652" s="4" t="s">
        <v>15175</v>
      </c>
      <c r="L3652" s="13">
        <v>11554</v>
      </c>
      <c r="M3652" t="str">
        <f>VLOOKUP(L3652,[1]Human_BrainSpan!$B$2:$C$4000,2,FALSE)</f>
        <v>BNMm</v>
      </c>
    </row>
    <row r="3653" spans="2:13" x14ac:dyDescent="0.25">
      <c r="B3653" s="31" t="s">
        <v>26303</v>
      </c>
      <c r="C3653" s="25" t="s">
        <v>26025</v>
      </c>
      <c r="D3653" s="25" t="s">
        <v>26232</v>
      </c>
      <c r="E3653" s="25"/>
      <c r="F3653" s="9" t="str">
        <f t="shared" si="50"/>
        <v>structure with developmental contribution from neural crest</v>
      </c>
      <c r="G3653" s="9" t="s">
        <v>5090</v>
      </c>
      <c r="H3653" s="9" t="s">
        <v>23218</v>
      </c>
      <c r="I3653" s="9" t="s">
        <v>6899</v>
      </c>
      <c r="J3653" s="9" t="s">
        <v>6900</v>
      </c>
      <c r="K3653" s="4" t="s">
        <v>15175</v>
      </c>
      <c r="L3653" s="13">
        <v>11555</v>
      </c>
      <c r="M3653" t="str">
        <f>VLOOKUP(L3653,[1]Human_BrainSpan!$B$2:$C$4000,2,FALSE)</f>
        <v>BSTmr</v>
      </c>
    </row>
    <row r="3654" spans="2:13" x14ac:dyDescent="0.25">
      <c r="B3654" s="31" t="s">
        <v>26303</v>
      </c>
      <c r="C3654" s="25" t="s">
        <v>26025</v>
      </c>
      <c r="D3654" s="25" t="s">
        <v>26232</v>
      </c>
      <c r="E3654" s="25"/>
      <c r="F3654" s="9" t="str">
        <f t="shared" si="50"/>
        <v>structure with developmental contribution from neural crest</v>
      </c>
      <c r="G3654" s="9" t="s">
        <v>5090</v>
      </c>
      <c r="H3654" s="9" t="s">
        <v>23219</v>
      </c>
      <c r="I3654" s="9" t="s">
        <v>6901</v>
      </c>
      <c r="J3654" s="9" t="s">
        <v>6902</v>
      </c>
      <c r="K3654" s="4" t="s">
        <v>15175</v>
      </c>
      <c r="L3654" s="13">
        <v>11556</v>
      </c>
      <c r="M3654" t="str">
        <f>VLOOKUP(L3654,[1]Human_BrainSpan!$B$2:$C$4000,2,FALSE)</f>
        <v>BSTmc</v>
      </c>
    </row>
    <row r="3655" spans="2:13" x14ac:dyDescent="0.25">
      <c r="B3655" s="31" t="s">
        <v>26303</v>
      </c>
      <c r="C3655" s="25" t="s">
        <v>26025</v>
      </c>
      <c r="D3655" s="25" t="s">
        <v>26232</v>
      </c>
      <c r="E3655" s="25"/>
      <c r="F3655" s="9" t="str">
        <f t="shared" si="50"/>
        <v>structure with developmental contribution from neural crest</v>
      </c>
      <c r="G3655" s="9" t="s">
        <v>5090</v>
      </c>
      <c r="H3655" s="9" t="s">
        <v>23220</v>
      </c>
      <c r="I3655" s="9" t="s">
        <v>6903</v>
      </c>
      <c r="J3655" s="9" t="s">
        <v>6904</v>
      </c>
      <c r="K3655" s="4" t="s">
        <v>15175</v>
      </c>
      <c r="L3655" s="13">
        <v>11557</v>
      </c>
      <c r="M3655" t="str">
        <f>VLOOKUP(L3655,[1]Human_BrainSpan!$B$2:$C$4000,2,FALSE)</f>
        <v>BSTmcl</v>
      </c>
    </row>
    <row r="3656" spans="2:13" x14ac:dyDescent="0.25">
      <c r="B3656" s="31" t="s">
        <v>26303</v>
      </c>
      <c r="C3656" s="25" t="s">
        <v>26025</v>
      </c>
      <c r="D3656" s="25" t="s">
        <v>26232</v>
      </c>
      <c r="E3656" s="25"/>
      <c r="F3656" s="9" t="str">
        <f t="shared" si="50"/>
        <v>structure with developmental contribution from neural crest</v>
      </c>
      <c r="G3656" s="9" t="s">
        <v>5090</v>
      </c>
      <c r="H3656" s="9" t="s">
        <v>23221</v>
      </c>
      <c r="I3656" s="9" t="s">
        <v>6905</v>
      </c>
      <c r="J3656" s="9" t="s">
        <v>6906</v>
      </c>
      <c r="K3656" s="4" t="s">
        <v>15175</v>
      </c>
      <c r="L3656" s="13">
        <v>11559</v>
      </c>
      <c r="M3656" t="str">
        <f>VLOOKUP(L3656,[1]Human_BrainSpan!$B$2:$C$4000,2,FALSE)</f>
        <v>BSTmm</v>
      </c>
    </row>
    <row r="3657" spans="2:13" x14ac:dyDescent="0.25">
      <c r="B3657" s="31" t="s">
        <v>26303</v>
      </c>
      <c r="C3657" s="25" t="s">
        <v>25993</v>
      </c>
      <c r="D3657" s="25" t="s">
        <v>26232</v>
      </c>
      <c r="E3657" s="25"/>
      <c r="F3657" s="9" t="str">
        <f t="shared" si="50"/>
        <v>structure with developmental contribution from neural crest</v>
      </c>
      <c r="G3657" s="9" t="s">
        <v>5090</v>
      </c>
      <c r="H3657" s="9" t="s">
        <v>23224</v>
      </c>
      <c r="I3657" s="9" t="s">
        <v>6907</v>
      </c>
      <c r="J3657" s="9" t="s">
        <v>6908</v>
      </c>
      <c r="K3657" s="4" t="s">
        <v>15175</v>
      </c>
      <c r="L3657" s="13">
        <v>11561</v>
      </c>
      <c r="M3657" t="str">
        <f>VLOOKUP(L3657,[1]Human_BrainSpan!$B$2:$C$4000,2,FALSE)</f>
        <v>BSTlj</v>
      </c>
    </row>
    <row r="3658" spans="2:13" x14ac:dyDescent="0.25">
      <c r="B3658" s="31" t="s">
        <v>26303</v>
      </c>
      <c r="C3658" s="25" t="s">
        <v>25993</v>
      </c>
      <c r="D3658" s="25" t="s">
        <v>26232</v>
      </c>
      <c r="E3658" s="25"/>
      <c r="F3658" s="9" t="str">
        <f t="shared" si="50"/>
        <v>structure with developmental contribution from neural crest</v>
      </c>
      <c r="G3658" s="9" t="s">
        <v>5090</v>
      </c>
      <c r="H3658" s="9" t="s">
        <v>23225</v>
      </c>
      <c r="I3658" s="9" t="s">
        <v>6909</v>
      </c>
      <c r="J3658" s="9" t="s">
        <v>6910</v>
      </c>
      <c r="K3658" s="4" t="s">
        <v>15175</v>
      </c>
      <c r="L3658" s="13">
        <v>11562</v>
      </c>
      <c r="M3658" t="str">
        <f>VLOOKUP(L3658,[1]Human_BrainSpan!$B$2:$C$4000,2,FALSE)</f>
        <v>BSTld</v>
      </c>
    </row>
    <row r="3659" spans="2:13" x14ac:dyDescent="0.25">
      <c r="B3659" s="31" t="s">
        <v>26303</v>
      </c>
      <c r="C3659" s="25" t="s">
        <v>25993</v>
      </c>
      <c r="D3659" s="25" t="s">
        <v>26232</v>
      </c>
      <c r="E3659" s="25"/>
      <c r="F3659" s="9" t="str">
        <f t="shared" si="50"/>
        <v>structure with developmental contribution from neural crest</v>
      </c>
      <c r="G3659" s="9" t="s">
        <v>5090</v>
      </c>
      <c r="H3659" s="9" t="s">
        <v>23226</v>
      </c>
      <c r="I3659" s="9" t="s">
        <v>6911</v>
      </c>
      <c r="J3659" s="9" t="s">
        <v>6912</v>
      </c>
      <c r="K3659" s="4" t="s">
        <v>15175</v>
      </c>
      <c r="L3659" s="13">
        <v>11563</v>
      </c>
      <c r="M3659" t="str">
        <f>VLOOKUP(L3659,[1]Human_BrainSpan!$B$2:$C$4000,2,FALSE)</f>
        <v>BSTlv</v>
      </c>
    </row>
    <row r="3660" spans="2:13" x14ac:dyDescent="0.25">
      <c r="B3660" s="31" t="s">
        <v>26303</v>
      </c>
      <c r="C3660" s="25" t="s">
        <v>25993</v>
      </c>
      <c r="D3660" s="25" t="s">
        <v>26232</v>
      </c>
      <c r="E3660" s="25"/>
      <c r="F3660" s="9" t="str">
        <f t="shared" si="50"/>
        <v>structure with developmental contribution from neural crest</v>
      </c>
      <c r="G3660" s="9" t="s">
        <v>5090</v>
      </c>
      <c r="H3660" s="9" t="s">
        <v>23229</v>
      </c>
      <c r="I3660" s="9" t="s">
        <v>6913</v>
      </c>
      <c r="J3660" s="9" t="s">
        <v>6914</v>
      </c>
      <c r="K3660" s="4" t="s">
        <v>15175</v>
      </c>
      <c r="L3660" s="13">
        <v>11564</v>
      </c>
      <c r="M3660" t="str">
        <f>VLOOKUP(L3660,[1]Human_BrainSpan!$B$2:$C$4000,2,FALSE)</f>
        <v>BSTlc</v>
      </c>
    </row>
    <row r="3661" spans="2:13" x14ac:dyDescent="0.25">
      <c r="B3661" s="31" t="s">
        <v>26303</v>
      </c>
      <c r="C3661" s="20"/>
      <c r="D3661" s="25" t="s">
        <v>26232</v>
      </c>
      <c r="E3661" s="25" t="s">
        <v>26300</v>
      </c>
      <c r="F3661" s="9" t="str">
        <f t="shared" si="50"/>
        <v>structure with developmental contribution from neural crest</v>
      </c>
      <c r="G3661" s="9" t="s">
        <v>5090</v>
      </c>
      <c r="H3661" s="9" t="s">
        <v>23233</v>
      </c>
      <c r="I3661" s="9" t="s">
        <v>6915</v>
      </c>
      <c r="J3661" s="9" t="s">
        <v>6916</v>
      </c>
      <c r="K3661" s="4" t="s">
        <v>15175</v>
      </c>
      <c r="L3661" s="13">
        <v>11565</v>
      </c>
      <c r="M3661" t="str">
        <f>VLOOKUP(L3661,[1]Human_BrainSpan!$B$2:$C$4000,2,FALSE)</f>
        <v>BNSTsc</v>
      </c>
    </row>
    <row r="3662" spans="2:13" x14ac:dyDescent="0.25">
      <c r="B3662" s="31" t="s">
        <v>26303</v>
      </c>
      <c r="C3662" s="20"/>
      <c r="D3662" s="25" t="s">
        <v>26232</v>
      </c>
      <c r="E3662" s="25" t="s">
        <v>26300</v>
      </c>
      <c r="F3662" s="9" t="str">
        <f t="shared" si="50"/>
        <v>structure with developmental contribution from neural crest</v>
      </c>
      <c r="G3662" s="9" t="s">
        <v>5090</v>
      </c>
      <c r="H3662" s="9" t="s">
        <v>23234</v>
      </c>
      <c r="I3662" s="9" t="s">
        <v>6917</v>
      </c>
      <c r="J3662" s="9" t="s">
        <v>6918</v>
      </c>
      <c r="K3662" s="4" t="s">
        <v>15175</v>
      </c>
      <c r="L3662" s="13">
        <v>11566</v>
      </c>
      <c r="M3662" t="str">
        <f>VLOOKUP(L3662,[1]Human_BrainSpan!$B$2:$C$4000,2,FALSE)</f>
        <v>BSTscl</v>
      </c>
    </row>
    <row r="3663" spans="2:13" x14ac:dyDescent="0.25">
      <c r="B3663" s="31" t="s">
        <v>26303</v>
      </c>
      <c r="C3663" s="20"/>
      <c r="D3663" s="25" t="s">
        <v>26232</v>
      </c>
      <c r="E3663" s="25" t="s">
        <v>26300</v>
      </c>
      <c r="F3663" s="9" t="str">
        <f t="shared" si="50"/>
        <v>structure with developmental contribution from neural crest</v>
      </c>
      <c r="G3663" s="9" t="s">
        <v>5090</v>
      </c>
      <c r="H3663" s="9" t="s">
        <v>23235</v>
      </c>
      <c r="I3663" s="9" t="s">
        <v>6919</v>
      </c>
      <c r="J3663" s="9" t="s">
        <v>6920</v>
      </c>
      <c r="K3663" s="4" t="s">
        <v>15175</v>
      </c>
      <c r="L3663" s="13">
        <v>11567</v>
      </c>
      <c r="M3663" t="str">
        <f>VLOOKUP(L3663,[1]Human_BrainSpan!$B$2:$C$4000,2,FALSE)</f>
        <v>BSTscm</v>
      </c>
    </row>
    <row r="3664" spans="2:13" x14ac:dyDescent="0.25">
      <c r="B3664" s="31" t="s">
        <v>26303</v>
      </c>
      <c r="C3664" s="20"/>
      <c r="D3664" s="25" t="s">
        <v>26185</v>
      </c>
      <c r="E3664" s="25" t="s">
        <v>26300</v>
      </c>
      <c r="F3664" s="9" t="str">
        <f t="shared" si="50"/>
        <v>structure with developmental contribution from neural crest</v>
      </c>
      <c r="G3664" s="9" t="s">
        <v>5090</v>
      </c>
      <c r="H3664" s="9" t="s">
        <v>23236</v>
      </c>
      <c r="I3664" s="9" t="s">
        <v>6921</v>
      </c>
      <c r="J3664" s="9" t="s">
        <v>6922</v>
      </c>
      <c r="K3664" s="4" t="s">
        <v>15175</v>
      </c>
      <c r="L3664" s="13">
        <v>11568</v>
      </c>
      <c r="M3664" t="str">
        <f>VLOOKUP(L3664,[1]Human_BrainSpan!$B$2:$C$4000,2,FALSE)</f>
        <v>BNSTin</v>
      </c>
    </row>
    <row r="3665" spans="2:13" x14ac:dyDescent="0.25">
      <c r="B3665" s="31" t="s">
        <v>26303</v>
      </c>
      <c r="C3665" s="20"/>
      <c r="D3665" s="25" t="s">
        <v>26232</v>
      </c>
      <c r="E3665" s="25" t="s">
        <v>26300</v>
      </c>
      <c r="F3665" s="9" t="str">
        <f t="shared" si="50"/>
        <v>structure with developmental contribution from neural crest</v>
      </c>
      <c r="G3665" s="9" t="s">
        <v>5090</v>
      </c>
      <c r="H3665" s="9" t="s">
        <v>23238</v>
      </c>
      <c r="I3665" s="9" t="s">
        <v>6923</v>
      </c>
      <c r="J3665" s="9" t="s">
        <v>6924</v>
      </c>
      <c r="K3665" s="4" t="s">
        <v>15175</v>
      </c>
      <c r="L3665" s="13">
        <v>11569</v>
      </c>
      <c r="M3665" t="str">
        <f>VLOOKUP(L3665,[1]Human_BrainSpan!$B$2:$C$4000,2,FALSE)</f>
        <v>SLEAm</v>
      </c>
    </row>
    <row r="3666" spans="2:13" x14ac:dyDescent="0.25">
      <c r="B3666" s="31" t="s">
        <v>26303</v>
      </c>
      <c r="C3666" s="20"/>
      <c r="D3666" s="25" t="s">
        <v>26232</v>
      </c>
      <c r="E3666" s="25" t="s">
        <v>26300</v>
      </c>
      <c r="F3666" s="9" t="str">
        <f t="shared" si="50"/>
        <v>structure with developmental contribution from neural crest</v>
      </c>
      <c r="G3666" s="9" t="s">
        <v>5090</v>
      </c>
      <c r="H3666" s="9" t="s">
        <v>23239</v>
      </c>
      <c r="I3666" s="9" t="s">
        <v>6925</v>
      </c>
      <c r="J3666" s="9" t="s">
        <v>6926</v>
      </c>
      <c r="K3666" s="4" t="s">
        <v>15175</v>
      </c>
      <c r="L3666" s="13">
        <v>11570</v>
      </c>
      <c r="M3666" t="str">
        <f>VLOOKUP(L3666,[1]Human_BrainSpan!$B$2:$C$4000,2,FALSE)</f>
        <v>SLEAc</v>
      </c>
    </row>
    <row r="3667" spans="2:13" x14ac:dyDescent="0.25">
      <c r="B3667" s="31" t="s">
        <v>26303</v>
      </c>
      <c r="C3667" s="25" t="s">
        <v>2016</v>
      </c>
      <c r="D3667" s="25" t="s">
        <v>26232</v>
      </c>
      <c r="E3667" s="25" t="s">
        <v>26306</v>
      </c>
      <c r="F3667" s="9" t="str">
        <f t="shared" si="50"/>
        <v>structure with developmental contribution from neural crest</v>
      </c>
      <c r="G3667" s="9" t="s">
        <v>5090</v>
      </c>
      <c r="H3667" s="9" t="s">
        <v>21267</v>
      </c>
      <c r="I3667" s="9" t="s">
        <v>6927</v>
      </c>
      <c r="J3667" s="9" t="s">
        <v>6928</v>
      </c>
      <c r="K3667" s="4" t="s">
        <v>15175</v>
      </c>
      <c r="L3667" s="13">
        <v>11649</v>
      </c>
      <c r="M3667" t="str">
        <f>VLOOKUP(L3667,[1]Human_BrainSpan!$B$2:$C$4000,2,FALSE)</f>
        <v>fCPdm</v>
      </c>
    </row>
    <row r="3668" spans="2:13" x14ac:dyDescent="0.25">
      <c r="B3668" s="31" t="s">
        <v>26303</v>
      </c>
      <c r="C3668" s="25" t="s">
        <v>2016</v>
      </c>
      <c r="D3668" s="25" t="s">
        <v>26232</v>
      </c>
      <c r="E3668" s="25" t="s">
        <v>26306</v>
      </c>
      <c r="F3668" s="9" t="str">
        <f t="shared" si="50"/>
        <v>structure with developmental contribution from neural crest</v>
      </c>
      <c r="G3668" s="9" t="s">
        <v>5090</v>
      </c>
      <c r="H3668" s="9" t="s">
        <v>21268</v>
      </c>
      <c r="I3668" s="9" t="s">
        <v>6929</v>
      </c>
      <c r="J3668" s="9" t="s">
        <v>6930</v>
      </c>
      <c r="K3668" s="4" t="s">
        <v>15175</v>
      </c>
      <c r="L3668" s="13">
        <v>11650</v>
      </c>
      <c r="M3668" t="str">
        <f>VLOOKUP(L3668,[1]Human_BrainSpan!$B$2:$C$4000,2,FALSE)</f>
        <v>fCPdmo</v>
      </c>
    </row>
    <row r="3669" spans="2:13" x14ac:dyDescent="0.25">
      <c r="B3669" s="31" t="s">
        <v>26303</v>
      </c>
      <c r="C3669" s="25" t="s">
        <v>2016</v>
      </c>
      <c r="D3669" s="25" t="s">
        <v>26232</v>
      </c>
      <c r="E3669" s="25" t="s">
        <v>26306</v>
      </c>
      <c r="F3669" s="9" t="str">
        <f t="shared" si="50"/>
        <v>structure with developmental contribution from neural crest</v>
      </c>
      <c r="G3669" s="9" t="s">
        <v>5090</v>
      </c>
      <c r="H3669" s="9" t="s">
        <v>21269</v>
      </c>
      <c r="I3669" s="9" t="s">
        <v>6931</v>
      </c>
      <c r="J3669" s="9" t="s">
        <v>6932</v>
      </c>
      <c r="K3669" s="4" t="s">
        <v>15175</v>
      </c>
      <c r="L3669" s="13">
        <v>11651</v>
      </c>
      <c r="M3669" t="str">
        <f>VLOOKUP(L3669,[1]Human_BrainSpan!$B$2:$C$4000,2,FALSE)</f>
        <v>fCPdmi</v>
      </c>
    </row>
    <row r="3670" spans="2:13" x14ac:dyDescent="0.25">
      <c r="B3670" s="31" t="s">
        <v>26303</v>
      </c>
      <c r="C3670" s="25" t="s">
        <v>26080</v>
      </c>
      <c r="D3670" s="25" t="s">
        <v>26232</v>
      </c>
      <c r="E3670" s="25" t="s">
        <v>26306</v>
      </c>
      <c r="F3670" s="9" t="str">
        <f t="shared" si="50"/>
        <v>structure with developmental contribution from neural crest</v>
      </c>
      <c r="G3670" s="9" t="s">
        <v>5090</v>
      </c>
      <c r="H3670" s="9" t="s">
        <v>21276</v>
      </c>
      <c r="I3670" s="9" t="s">
        <v>6933</v>
      </c>
      <c r="J3670" s="9" t="s">
        <v>6934</v>
      </c>
      <c r="K3670" s="4" t="s">
        <v>15175</v>
      </c>
      <c r="L3670" s="13">
        <v>11652</v>
      </c>
      <c r="M3670" t="str">
        <f>VLOOKUP(L3670,[1]Human_BrainSpan!$B$2:$C$4000,2,FALSE)</f>
        <v>fCPor</v>
      </c>
    </row>
    <row r="3671" spans="2:13" x14ac:dyDescent="0.25">
      <c r="B3671" s="31" t="s">
        <v>26303</v>
      </c>
      <c r="C3671" s="25" t="s">
        <v>26080</v>
      </c>
      <c r="D3671" s="25" t="s">
        <v>26232</v>
      </c>
      <c r="E3671" s="25" t="s">
        <v>26306</v>
      </c>
      <c r="F3671" s="9" t="str">
        <f t="shared" si="50"/>
        <v>structure with developmental contribution from neural crest</v>
      </c>
      <c r="G3671" s="9" t="s">
        <v>5090</v>
      </c>
      <c r="H3671" s="9" t="s">
        <v>21277</v>
      </c>
      <c r="I3671" s="9" t="s">
        <v>6935</v>
      </c>
      <c r="J3671" s="9" t="s">
        <v>6936</v>
      </c>
      <c r="K3671" s="4" t="s">
        <v>15175</v>
      </c>
      <c r="L3671" s="13">
        <v>11653</v>
      </c>
      <c r="M3671" t="str">
        <f>VLOOKUP(L3671,[1]Human_BrainSpan!$B$2:$C$4000,2,FALSE)</f>
        <v>fCPoro</v>
      </c>
    </row>
    <row r="3672" spans="2:13" x14ac:dyDescent="0.25">
      <c r="B3672" s="31" t="s">
        <v>26303</v>
      </c>
      <c r="C3672" s="25" t="s">
        <v>26080</v>
      </c>
      <c r="D3672" s="25" t="s">
        <v>26232</v>
      </c>
      <c r="E3672" s="25" t="s">
        <v>26306</v>
      </c>
      <c r="F3672" s="9" t="str">
        <f t="shared" si="50"/>
        <v>structure with developmental contribution from neural crest</v>
      </c>
      <c r="G3672" s="9" t="s">
        <v>5090</v>
      </c>
      <c r="H3672" s="9" t="s">
        <v>21278</v>
      </c>
      <c r="I3672" s="9" t="s">
        <v>6937</v>
      </c>
      <c r="J3672" s="9" t="s">
        <v>6938</v>
      </c>
      <c r="K3672" s="4" t="s">
        <v>15175</v>
      </c>
      <c r="L3672" s="13">
        <v>11654</v>
      </c>
      <c r="M3672" t="str">
        <f>VLOOKUP(L3672,[1]Human_BrainSpan!$B$2:$C$4000,2,FALSE)</f>
        <v>fCPori</v>
      </c>
    </row>
    <row r="3673" spans="2:13" x14ac:dyDescent="0.25">
      <c r="B3673" s="31" t="s">
        <v>26303</v>
      </c>
      <c r="C3673" s="25" t="s">
        <v>26166</v>
      </c>
      <c r="D3673" s="25" t="s">
        <v>26232</v>
      </c>
      <c r="E3673" s="25" t="s">
        <v>26306</v>
      </c>
      <c r="F3673" s="9" t="str">
        <f t="shared" si="50"/>
        <v>structure with developmental contribution from neural crest</v>
      </c>
      <c r="G3673" s="9" t="s">
        <v>5090</v>
      </c>
      <c r="H3673" s="9" t="s">
        <v>21279</v>
      </c>
      <c r="I3673" s="9" t="s">
        <v>6939</v>
      </c>
      <c r="J3673" s="9" t="s">
        <v>6940</v>
      </c>
      <c r="K3673" s="4" t="s">
        <v>15175</v>
      </c>
      <c r="L3673" s="13">
        <v>11655</v>
      </c>
      <c r="M3673" t="str">
        <f>VLOOKUP(L3673,[1]Human_BrainSpan!$B$2:$C$4000,2,FALSE)</f>
        <v>fCPm1</v>
      </c>
    </row>
    <row r="3674" spans="2:13" x14ac:dyDescent="0.25">
      <c r="B3674" s="31" t="s">
        <v>26303</v>
      </c>
      <c r="C3674" s="25" t="s">
        <v>26166</v>
      </c>
      <c r="D3674" s="25" t="s">
        <v>26232</v>
      </c>
      <c r="E3674" s="25" t="s">
        <v>26306</v>
      </c>
      <c r="F3674" s="9" t="str">
        <f t="shared" si="50"/>
        <v>structure with developmental contribution from neural crest</v>
      </c>
      <c r="G3674" s="9" t="s">
        <v>5090</v>
      </c>
      <c r="H3674" s="9" t="s">
        <v>21280</v>
      </c>
      <c r="I3674" s="9" t="s">
        <v>6941</v>
      </c>
      <c r="J3674" s="9" t="s">
        <v>6942</v>
      </c>
      <c r="K3674" s="4" t="s">
        <v>15175</v>
      </c>
      <c r="L3674" s="13">
        <v>11656</v>
      </c>
      <c r="M3674" t="str">
        <f>VLOOKUP(L3674,[1]Human_BrainSpan!$B$2:$C$4000,2,FALSE)</f>
        <v>fCPm1o</v>
      </c>
    </row>
    <row r="3675" spans="2:13" x14ac:dyDescent="0.25">
      <c r="B3675" s="31" t="s">
        <v>26303</v>
      </c>
      <c r="C3675" s="25" t="s">
        <v>26166</v>
      </c>
      <c r="D3675" s="25" t="s">
        <v>26232</v>
      </c>
      <c r="E3675" s="25" t="s">
        <v>26306</v>
      </c>
      <c r="F3675" s="9" t="str">
        <f t="shared" si="50"/>
        <v>structure with developmental contribution from neural crest</v>
      </c>
      <c r="G3675" s="9" t="s">
        <v>5090</v>
      </c>
      <c r="H3675" s="9" t="s">
        <v>21281</v>
      </c>
      <c r="I3675" s="9" t="s">
        <v>6943</v>
      </c>
      <c r="J3675" s="9" t="s">
        <v>6944</v>
      </c>
      <c r="K3675" s="4" t="s">
        <v>15175</v>
      </c>
      <c r="L3675" s="13">
        <v>11657</v>
      </c>
      <c r="M3675" t="str">
        <f>VLOOKUP(L3675,[1]Human_BrainSpan!$B$2:$C$4000,2,FALSE)</f>
        <v>fCPm1i</v>
      </c>
    </row>
    <row r="3676" spans="2:13" x14ac:dyDescent="0.25">
      <c r="B3676" s="31" t="s">
        <v>26303</v>
      </c>
      <c r="C3676" s="25" t="s">
        <v>1636</v>
      </c>
      <c r="D3676" s="25" t="s">
        <v>26232</v>
      </c>
      <c r="E3676" s="25" t="s">
        <v>26306</v>
      </c>
      <c r="F3676" s="9" t="str">
        <f t="shared" si="50"/>
        <v>structure with developmental contribution from neural crest</v>
      </c>
      <c r="G3676" s="9" t="s">
        <v>5090</v>
      </c>
      <c r="H3676" s="9" t="s">
        <v>21270</v>
      </c>
      <c r="I3676" s="9" t="s">
        <v>6945</v>
      </c>
      <c r="J3676" s="9" t="s">
        <v>6946</v>
      </c>
      <c r="K3676" s="4" t="s">
        <v>15175</v>
      </c>
      <c r="L3676" s="13">
        <v>11658</v>
      </c>
      <c r="M3676" t="str">
        <f>VLOOKUP(L3676,[1]Human_BrainSpan!$B$2:$C$4000,2,FALSE)</f>
        <v>fCPdl</v>
      </c>
    </row>
    <row r="3677" spans="2:13" x14ac:dyDescent="0.25">
      <c r="B3677" s="31" t="s">
        <v>26303</v>
      </c>
      <c r="C3677" s="25" t="s">
        <v>1636</v>
      </c>
      <c r="D3677" s="25" t="s">
        <v>26232</v>
      </c>
      <c r="E3677" s="25" t="s">
        <v>26306</v>
      </c>
      <c r="F3677" s="9" t="str">
        <f t="shared" si="50"/>
        <v>structure with developmental contribution from neural crest</v>
      </c>
      <c r="G3677" s="9" t="s">
        <v>5090</v>
      </c>
      <c r="H3677" s="9" t="s">
        <v>21271</v>
      </c>
      <c r="I3677" s="9" t="s">
        <v>6947</v>
      </c>
      <c r="J3677" s="9" t="s">
        <v>6948</v>
      </c>
      <c r="K3677" s="4" t="s">
        <v>15175</v>
      </c>
      <c r="L3677" s="13">
        <v>11659</v>
      </c>
      <c r="M3677" t="str">
        <f>VLOOKUP(L3677,[1]Human_BrainSpan!$B$2:$C$4000,2,FALSE)</f>
        <v>fCPdlo</v>
      </c>
    </row>
    <row r="3678" spans="2:13" x14ac:dyDescent="0.25">
      <c r="B3678" s="31" t="s">
        <v>26303</v>
      </c>
      <c r="C3678" s="25" t="s">
        <v>1636</v>
      </c>
      <c r="D3678" s="25" t="s">
        <v>26232</v>
      </c>
      <c r="E3678" s="25" t="s">
        <v>26306</v>
      </c>
      <c r="F3678" s="9" t="str">
        <f t="shared" si="50"/>
        <v>structure with developmental contribution from neural crest</v>
      </c>
      <c r="G3678" s="9" t="s">
        <v>5090</v>
      </c>
      <c r="H3678" s="9" t="s">
        <v>21272</v>
      </c>
      <c r="I3678" s="9" t="s">
        <v>6949</v>
      </c>
      <c r="J3678" s="9" t="s">
        <v>6950</v>
      </c>
      <c r="K3678" s="4" t="s">
        <v>15175</v>
      </c>
      <c r="L3678" s="13">
        <v>11660</v>
      </c>
      <c r="M3678" t="str">
        <f>VLOOKUP(L3678,[1]Human_BrainSpan!$B$2:$C$4000,2,FALSE)</f>
        <v>fCPdli</v>
      </c>
    </row>
    <row r="3679" spans="2:13" x14ac:dyDescent="0.25">
      <c r="B3679" s="31" t="s">
        <v>26303</v>
      </c>
      <c r="C3679" s="25" t="s">
        <v>4077</v>
      </c>
      <c r="D3679" s="25" t="s">
        <v>26232</v>
      </c>
      <c r="E3679" s="25" t="s">
        <v>26306</v>
      </c>
      <c r="F3679" s="9" t="str">
        <f t="shared" si="50"/>
        <v>structure with developmental contribution from neural crest</v>
      </c>
      <c r="G3679" s="9" t="s">
        <v>5090</v>
      </c>
      <c r="H3679" s="9" t="s">
        <v>21273</v>
      </c>
      <c r="I3679" s="9" t="s">
        <v>6951</v>
      </c>
      <c r="J3679" s="9" t="s">
        <v>6952</v>
      </c>
      <c r="K3679" s="4" t="s">
        <v>15175</v>
      </c>
      <c r="L3679" s="13">
        <v>11661</v>
      </c>
      <c r="M3679" t="str">
        <f>VLOOKUP(L3679,[1]Human_BrainSpan!$B$2:$C$4000,2,FALSE)</f>
        <v>fCPvl</v>
      </c>
    </row>
    <row r="3680" spans="2:13" x14ac:dyDescent="0.25">
      <c r="B3680" s="31" t="s">
        <v>26303</v>
      </c>
      <c r="C3680" s="25" t="s">
        <v>4077</v>
      </c>
      <c r="D3680" s="25" t="s">
        <v>26232</v>
      </c>
      <c r="E3680" s="25" t="s">
        <v>26306</v>
      </c>
      <c r="F3680" s="9" t="str">
        <f t="shared" si="50"/>
        <v>structure with developmental contribution from neural crest</v>
      </c>
      <c r="G3680" s="9" t="s">
        <v>5090</v>
      </c>
      <c r="H3680" s="9" t="s">
        <v>21274</v>
      </c>
      <c r="I3680" s="9" t="s">
        <v>6953</v>
      </c>
      <c r="J3680" s="9" t="s">
        <v>6954</v>
      </c>
      <c r="K3680" s="4" t="s">
        <v>15175</v>
      </c>
      <c r="L3680" s="13">
        <v>11662</v>
      </c>
      <c r="M3680" t="str">
        <f>VLOOKUP(L3680,[1]Human_BrainSpan!$B$2:$C$4000,2,FALSE)</f>
        <v>fCPvlo</v>
      </c>
    </row>
    <row r="3681" spans="2:13" x14ac:dyDescent="0.25">
      <c r="B3681" s="31" t="s">
        <v>26303</v>
      </c>
      <c r="C3681" s="25" t="s">
        <v>4077</v>
      </c>
      <c r="D3681" s="25" t="s">
        <v>26232</v>
      </c>
      <c r="E3681" s="25" t="s">
        <v>26306</v>
      </c>
      <c r="F3681" s="9" t="str">
        <f t="shared" si="50"/>
        <v>structure with developmental contribution from neural crest</v>
      </c>
      <c r="G3681" s="9" t="s">
        <v>5090</v>
      </c>
      <c r="H3681" s="9" t="s">
        <v>21275</v>
      </c>
      <c r="I3681" s="9" t="s">
        <v>6955</v>
      </c>
      <c r="J3681" s="9" t="s">
        <v>6956</v>
      </c>
      <c r="K3681" s="4" t="s">
        <v>15175</v>
      </c>
      <c r="L3681" s="13">
        <v>11663</v>
      </c>
      <c r="M3681" t="str">
        <f>VLOOKUP(L3681,[1]Human_BrainSpan!$B$2:$C$4000,2,FALSE)</f>
        <v>fCPvli</v>
      </c>
    </row>
    <row r="3682" spans="2:13" x14ac:dyDescent="0.25">
      <c r="B3682" s="31" t="s">
        <v>26303</v>
      </c>
      <c r="C3682" s="25" t="s">
        <v>2027</v>
      </c>
      <c r="D3682" s="25" t="s">
        <v>26232</v>
      </c>
      <c r="E3682" s="25" t="s">
        <v>26306</v>
      </c>
      <c r="F3682" s="9" t="str">
        <f t="shared" si="50"/>
        <v>structure with developmental contribution from neural crest</v>
      </c>
      <c r="G3682" s="9" t="s">
        <v>5090</v>
      </c>
      <c r="H3682" s="9" t="s">
        <v>21264</v>
      </c>
      <c r="I3682" s="9" t="s">
        <v>6957</v>
      </c>
      <c r="J3682" s="9" t="s">
        <v>6958</v>
      </c>
      <c r="K3682" s="4" t="s">
        <v>15175</v>
      </c>
      <c r="L3682" s="13">
        <v>11664</v>
      </c>
      <c r="M3682" t="str">
        <f>VLOOKUP(L3682,[1]Human_BrainSpan!$B$2:$C$4000,2,FALSE)</f>
        <v>fCPfp</v>
      </c>
    </row>
    <row r="3683" spans="2:13" x14ac:dyDescent="0.25">
      <c r="B3683" s="31" t="s">
        <v>26303</v>
      </c>
      <c r="C3683" s="25" t="s">
        <v>2027</v>
      </c>
      <c r="D3683" s="25" t="s">
        <v>26232</v>
      </c>
      <c r="E3683" s="25" t="s">
        <v>26306</v>
      </c>
      <c r="F3683" s="9" t="str">
        <f t="shared" si="50"/>
        <v>structure with developmental contribution from neural crest</v>
      </c>
      <c r="G3683" s="9" t="s">
        <v>5090</v>
      </c>
      <c r="H3683" s="9" t="s">
        <v>21265</v>
      </c>
      <c r="I3683" s="9" t="s">
        <v>6959</v>
      </c>
      <c r="J3683" s="9" t="s">
        <v>6960</v>
      </c>
      <c r="K3683" s="4" t="s">
        <v>15175</v>
      </c>
      <c r="L3683" s="13">
        <v>11665</v>
      </c>
      <c r="M3683" t="str">
        <f>VLOOKUP(L3683,[1]Human_BrainSpan!$B$2:$C$4000,2,FALSE)</f>
        <v>fCPfpo</v>
      </c>
    </row>
    <row r="3684" spans="2:13" x14ac:dyDescent="0.25">
      <c r="B3684" s="31" t="s">
        <v>26303</v>
      </c>
      <c r="C3684" s="25" t="s">
        <v>2027</v>
      </c>
      <c r="D3684" s="25" t="s">
        <v>26232</v>
      </c>
      <c r="E3684" s="25" t="s">
        <v>26306</v>
      </c>
      <c r="F3684" s="9" t="str">
        <f t="shared" si="50"/>
        <v>structure with developmental contribution from neural crest</v>
      </c>
      <c r="G3684" s="9" t="s">
        <v>5090</v>
      </c>
      <c r="H3684" s="9" t="s">
        <v>21266</v>
      </c>
      <c r="I3684" s="9" t="s">
        <v>6961</v>
      </c>
      <c r="J3684" s="9" t="s">
        <v>6962</v>
      </c>
      <c r="K3684" s="4" t="s">
        <v>15175</v>
      </c>
      <c r="L3684" s="13">
        <v>11666</v>
      </c>
      <c r="M3684" t="str">
        <f>VLOOKUP(L3684,[1]Human_BrainSpan!$B$2:$C$4000,2,FALSE)</f>
        <v>fCPfpi</v>
      </c>
    </row>
    <row r="3685" spans="2:13" x14ac:dyDescent="0.25">
      <c r="B3685" s="31" t="s">
        <v>26303</v>
      </c>
      <c r="C3685" s="25" t="s">
        <v>26175</v>
      </c>
      <c r="D3685" s="25" t="s">
        <v>26232</v>
      </c>
      <c r="E3685" s="25"/>
      <c r="F3685" s="9" t="str">
        <f t="shared" si="50"/>
        <v>structure with developmental contribution from neural crest</v>
      </c>
      <c r="G3685" s="9" t="s">
        <v>5090</v>
      </c>
      <c r="H3685" s="9" t="s">
        <v>21333</v>
      </c>
      <c r="I3685" s="9" t="s">
        <v>6963</v>
      </c>
      <c r="J3685" s="9" t="s">
        <v>6964</v>
      </c>
      <c r="K3685" s="4" t="s">
        <v>15175</v>
      </c>
      <c r="L3685" s="13">
        <v>11667</v>
      </c>
      <c r="M3685" t="str">
        <f>VLOOKUP(L3685,[1]Human_BrainSpan!$B$2:$C$4000,2,FALSE)</f>
        <v>oCPv1</v>
      </c>
    </row>
    <row r="3686" spans="2:13" x14ac:dyDescent="0.25">
      <c r="B3686" s="31" t="s">
        <v>26303</v>
      </c>
      <c r="C3686" s="25" t="s">
        <v>26175</v>
      </c>
      <c r="D3686" s="25" t="s">
        <v>26232</v>
      </c>
      <c r="E3686" s="25"/>
      <c r="F3686" s="9" t="str">
        <f t="shared" si="50"/>
        <v>structure with developmental contribution from neural crest</v>
      </c>
      <c r="G3686" s="9" t="s">
        <v>5090</v>
      </c>
      <c r="H3686" s="9" t="s">
        <v>21334</v>
      </c>
      <c r="I3686" s="9" t="s">
        <v>6965</v>
      </c>
      <c r="J3686" s="9" t="s">
        <v>6966</v>
      </c>
      <c r="K3686" s="4" t="s">
        <v>15175</v>
      </c>
      <c r="L3686" s="13">
        <v>11668</v>
      </c>
      <c r="M3686" t="str">
        <f>VLOOKUP(L3686,[1]Human_BrainSpan!$B$2:$C$4000,2,FALSE)</f>
        <v>oCPv1o</v>
      </c>
    </row>
    <row r="3687" spans="2:13" x14ac:dyDescent="0.25">
      <c r="B3687" s="31" t="s">
        <v>26303</v>
      </c>
      <c r="C3687" s="25" t="s">
        <v>26175</v>
      </c>
      <c r="D3687" s="25" t="s">
        <v>26232</v>
      </c>
      <c r="E3687" s="25"/>
      <c r="F3687" s="9" t="str">
        <f t="shared" si="50"/>
        <v>structure with developmental contribution from neural crest</v>
      </c>
      <c r="G3687" s="9" t="s">
        <v>5090</v>
      </c>
      <c r="H3687" s="9" t="s">
        <v>21335</v>
      </c>
      <c r="I3687" s="9" t="s">
        <v>6967</v>
      </c>
      <c r="J3687" s="9" t="s">
        <v>6968</v>
      </c>
      <c r="K3687" s="4" t="s">
        <v>15175</v>
      </c>
      <c r="L3687" s="13">
        <v>11669</v>
      </c>
      <c r="M3687" t="str">
        <f>VLOOKUP(L3687,[1]Human_BrainSpan!$B$2:$C$4000,2,FALSE)</f>
        <v>oCPv1i</v>
      </c>
    </row>
    <row r="3688" spans="2:13" x14ac:dyDescent="0.25">
      <c r="B3688" s="31" t="s">
        <v>26303</v>
      </c>
      <c r="C3688" s="25" t="s">
        <v>25745</v>
      </c>
      <c r="D3688" s="25" t="s">
        <v>26232</v>
      </c>
      <c r="E3688" s="25" t="s">
        <v>26306</v>
      </c>
      <c r="F3688" s="9" t="str">
        <f t="shared" si="50"/>
        <v>structure with developmental contribution from neural crest</v>
      </c>
      <c r="G3688" s="9" t="s">
        <v>5090</v>
      </c>
      <c r="H3688" s="9" t="s">
        <v>21337</v>
      </c>
      <c r="I3688" s="9" t="s">
        <v>6969</v>
      </c>
      <c r="J3688" s="9" t="s">
        <v>6970</v>
      </c>
      <c r="K3688" s="4" t="s">
        <v>15175</v>
      </c>
      <c r="L3688" s="13">
        <v>11670</v>
      </c>
      <c r="M3688" t="str">
        <f>VLOOKUP(L3688,[1]Human_BrainSpan!$B$2:$C$4000,2,FALSE)</f>
        <v>oCPdm</v>
      </c>
    </row>
    <row r="3689" spans="2:13" x14ac:dyDescent="0.25">
      <c r="B3689" s="31" t="s">
        <v>26303</v>
      </c>
      <c r="C3689" s="25" t="s">
        <v>25933</v>
      </c>
      <c r="D3689" s="25" t="s">
        <v>26232</v>
      </c>
      <c r="E3689" s="25" t="s">
        <v>26306</v>
      </c>
      <c r="F3689" s="9" t="str">
        <f t="shared" si="50"/>
        <v>structure with developmental contribution from neural crest</v>
      </c>
      <c r="G3689" s="9" t="s">
        <v>5090</v>
      </c>
      <c r="H3689" s="9" t="s">
        <v>21338</v>
      </c>
      <c r="I3689" s="9" t="s">
        <v>6971</v>
      </c>
      <c r="J3689" s="9" t="s">
        <v>6972</v>
      </c>
      <c r="K3689" s="4" t="s">
        <v>15175</v>
      </c>
      <c r="L3689" s="13">
        <v>11671</v>
      </c>
      <c r="M3689" t="str">
        <f>VLOOKUP(L3689,[1]Human_BrainSpan!$B$2:$C$4000,2,FALSE)</f>
        <v>oCPdmo</v>
      </c>
    </row>
    <row r="3690" spans="2:13" x14ac:dyDescent="0.25">
      <c r="B3690" s="31" t="s">
        <v>26303</v>
      </c>
      <c r="C3690" s="25" t="s">
        <v>25933</v>
      </c>
      <c r="D3690" s="25" t="s">
        <v>26232</v>
      </c>
      <c r="E3690" s="25" t="s">
        <v>26306</v>
      </c>
      <c r="F3690" s="9" t="str">
        <f t="shared" si="50"/>
        <v>structure with developmental contribution from neural crest</v>
      </c>
      <c r="G3690" s="9" t="s">
        <v>5090</v>
      </c>
      <c r="H3690" s="9" t="s">
        <v>21339</v>
      </c>
      <c r="I3690" s="9" t="s">
        <v>6973</v>
      </c>
      <c r="J3690" s="9" t="s">
        <v>6974</v>
      </c>
      <c r="K3690" s="4" t="s">
        <v>15175</v>
      </c>
      <c r="L3690" s="13">
        <v>11672</v>
      </c>
      <c r="M3690" t="str">
        <f>VLOOKUP(L3690,[1]Human_BrainSpan!$B$2:$C$4000,2,FALSE)</f>
        <v>oCPdmi</v>
      </c>
    </row>
    <row r="3691" spans="2:13" x14ac:dyDescent="0.25">
      <c r="B3691" s="31" t="s">
        <v>26303</v>
      </c>
      <c r="C3691" s="25" t="s">
        <v>25933</v>
      </c>
      <c r="D3691" s="25" t="s">
        <v>26232</v>
      </c>
      <c r="E3691" s="25" t="s">
        <v>26306</v>
      </c>
      <c r="F3691" s="9" t="str">
        <f t="shared" si="50"/>
        <v>structure with developmental contribution from neural crest</v>
      </c>
      <c r="G3691" s="9" t="s">
        <v>5090</v>
      </c>
      <c r="H3691" s="9" t="s">
        <v>21340</v>
      </c>
      <c r="I3691" s="9" t="s">
        <v>6975</v>
      </c>
      <c r="J3691" s="9" t="s">
        <v>6976</v>
      </c>
      <c r="K3691" s="4" t="s">
        <v>15175</v>
      </c>
      <c r="L3691" s="13">
        <v>11673</v>
      </c>
      <c r="M3691" t="str">
        <f>VLOOKUP(L3691,[1]Human_BrainSpan!$B$2:$C$4000,2,FALSE)</f>
        <v>oCPvm</v>
      </c>
    </row>
    <row r="3692" spans="2:13" x14ac:dyDescent="0.25">
      <c r="B3692" s="31" t="s">
        <v>26303</v>
      </c>
      <c r="C3692" s="25" t="s">
        <v>25933</v>
      </c>
      <c r="D3692" s="25" t="s">
        <v>26232</v>
      </c>
      <c r="E3692" s="25" t="s">
        <v>26306</v>
      </c>
      <c r="F3692" s="9" t="str">
        <f t="shared" si="50"/>
        <v>structure with developmental contribution from neural crest</v>
      </c>
      <c r="G3692" s="9" t="s">
        <v>5090</v>
      </c>
      <c r="H3692" s="9" t="s">
        <v>21341</v>
      </c>
      <c r="I3692" s="9" t="s">
        <v>6977</v>
      </c>
      <c r="J3692" s="9" t="s">
        <v>6978</v>
      </c>
      <c r="K3692" s="4" t="s">
        <v>15175</v>
      </c>
      <c r="L3692" s="13">
        <v>11674</v>
      </c>
      <c r="M3692" t="str">
        <f>VLOOKUP(L3692,[1]Human_BrainSpan!$B$2:$C$4000,2,FALSE)</f>
        <v>oCPvmo</v>
      </c>
    </row>
    <row r="3693" spans="2:13" x14ac:dyDescent="0.25">
      <c r="B3693" s="31" t="s">
        <v>26303</v>
      </c>
      <c r="C3693" s="25" t="s">
        <v>25933</v>
      </c>
      <c r="D3693" s="25" t="s">
        <v>26232</v>
      </c>
      <c r="E3693" s="25" t="s">
        <v>26306</v>
      </c>
      <c r="F3693" s="9" t="str">
        <f t="shared" si="50"/>
        <v>structure with developmental contribution from neural crest</v>
      </c>
      <c r="G3693" s="9" t="s">
        <v>5090</v>
      </c>
      <c r="H3693" s="9" t="s">
        <v>21342</v>
      </c>
      <c r="I3693" s="9" t="s">
        <v>6979</v>
      </c>
      <c r="J3693" s="9" t="s">
        <v>6980</v>
      </c>
      <c r="K3693" s="4" t="s">
        <v>15175</v>
      </c>
      <c r="L3693" s="13">
        <v>11675</v>
      </c>
      <c r="M3693" t="str">
        <f>VLOOKUP(L3693,[1]Human_BrainSpan!$B$2:$C$4000,2,FALSE)</f>
        <v>oCPvmi</v>
      </c>
    </row>
    <row r="3694" spans="2:13" x14ac:dyDescent="0.25">
      <c r="B3694" s="31" t="s">
        <v>26303</v>
      </c>
      <c r="C3694" s="25" t="s">
        <v>25933</v>
      </c>
      <c r="D3694" s="25" t="s">
        <v>26232</v>
      </c>
      <c r="E3694" s="25" t="s">
        <v>26306</v>
      </c>
      <c r="F3694" s="9" t="str">
        <f t="shared" si="50"/>
        <v>structure with developmental contribution from neural crest</v>
      </c>
      <c r="G3694" s="9" t="s">
        <v>5090</v>
      </c>
      <c r="H3694" s="9" t="s">
        <v>21343</v>
      </c>
      <c r="I3694" s="9" t="s">
        <v>6981</v>
      </c>
      <c r="J3694" s="9" t="s">
        <v>6982</v>
      </c>
      <c r="K3694" s="4" t="s">
        <v>15175</v>
      </c>
      <c r="L3694" s="13">
        <v>11676</v>
      </c>
      <c r="M3694" t="str">
        <f>VLOOKUP(L3694,[1]Human_BrainSpan!$B$2:$C$4000,2,FALSE)</f>
        <v>oCPml</v>
      </c>
    </row>
    <row r="3695" spans="2:13" x14ac:dyDescent="0.25">
      <c r="B3695" s="31" t="s">
        <v>26303</v>
      </c>
      <c r="C3695" s="25" t="s">
        <v>25933</v>
      </c>
      <c r="D3695" s="25" t="s">
        <v>26232</v>
      </c>
      <c r="E3695" s="25" t="s">
        <v>26306</v>
      </c>
      <c r="F3695" s="9" t="str">
        <f t="shared" si="50"/>
        <v>structure with developmental contribution from neural crest</v>
      </c>
      <c r="G3695" s="9" t="s">
        <v>5090</v>
      </c>
      <c r="H3695" s="9" t="s">
        <v>21344</v>
      </c>
      <c r="I3695" s="9" t="s">
        <v>6983</v>
      </c>
      <c r="J3695" s="9" t="s">
        <v>6984</v>
      </c>
      <c r="K3695" s="4" t="s">
        <v>15175</v>
      </c>
      <c r="L3695" s="13">
        <v>11677</v>
      </c>
      <c r="M3695" t="str">
        <f>VLOOKUP(L3695,[1]Human_BrainSpan!$B$2:$C$4000,2,FALSE)</f>
        <v>oCPmlo</v>
      </c>
    </row>
    <row r="3696" spans="2:13" x14ac:dyDescent="0.25">
      <c r="B3696" s="31" t="s">
        <v>26303</v>
      </c>
      <c r="C3696" s="25" t="s">
        <v>25933</v>
      </c>
      <c r="D3696" s="25" t="s">
        <v>26232</v>
      </c>
      <c r="E3696" s="25" t="s">
        <v>26306</v>
      </c>
      <c r="F3696" s="9" t="str">
        <f t="shared" si="50"/>
        <v>structure with developmental contribution from neural crest</v>
      </c>
      <c r="G3696" s="9" t="s">
        <v>5090</v>
      </c>
      <c r="H3696" s="9" t="s">
        <v>21345</v>
      </c>
      <c r="I3696" s="9" t="s">
        <v>6985</v>
      </c>
      <c r="J3696" s="9" t="s">
        <v>6986</v>
      </c>
      <c r="K3696" s="4" t="s">
        <v>15175</v>
      </c>
      <c r="L3696" s="13">
        <v>11678</v>
      </c>
      <c r="M3696" t="str">
        <f>VLOOKUP(L3696,[1]Human_BrainSpan!$B$2:$C$4000,2,FALSE)</f>
        <v>oCPmli</v>
      </c>
    </row>
    <row r="3697" spans="2:13" x14ac:dyDescent="0.25">
      <c r="B3697" s="31" t="s">
        <v>26303</v>
      </c>
      <c r="C3697" s="25" t="s">
        <v>26173</v>
      </c>
      <c r="D3697" s="25" t="s">
        <v>26232</v>
      </c>
      <c r="E3697" s="25" t="s">
        <v>26306</v>
      </c>
      <c r="F3697" s="9" t="str">
        <f t="shared" si="50"/>
        <v>structure with developmental contribution from neural crest</v>
      </c>
      <c r="G3697" s="9" t="s">
        <v>5090</v>
      </c>
      <c r="H3697" s="9" t="s">
        <v>21283</v>
      </c>
      <c r="I3697" s="9" t="s">
        <v>6987</v>
      </c>
      <c r="J3697" s="9" t="s">
        <v>6988</v>
      </c>
      <c r="K3697" s="4" t="s">
        <v>15175</v>
      </c>
      <c r="L3697" s="13">
        <v>11679</v>
      </c>
      <c r="M3697" t="str">
        <f>VLOOKUP(L3697,[1]Human_BrainSpan!$B$2:$C$4000,2,FALSE)</f>
        <v>pCPs1</v>
      </c>
    </row>
    <row r="3698" spans="2:13" x14ac:dyDescent="0.25">
      <c r="B3698" s="31" t="s">
        <v>26303</v>
      </c>
      <c r="C3698" s="25" t="s">
        <v>26173</v>
      </c>
      <c r="D3698" s="25" t="s">
        <v>26232</v>
      </c>
      <c r="E3698" s="25" t="s">
        <v>26306</v>
      </c>
      <c r="F3698" s="9" t="str">
        <f t="shared" si="50"/>
        <v>structure with developmental contribution from neural crest</v>
      </c>
      <c r="G3698" s="9" t="s">
        <v>5090</v>
      </c>
      <c r="H3698" s="9" t="s">
        <v>21284</v>
      </c>
      <c r="I3698" s="9" t="s">
        <v>6989</v>
      </c>
      <c r="J3698" s="9" t="s">
        <v>6990</v>
      </c>
      <c r="K3698" s="4" t="s">
        <v>15175</v>
      </c>
      <c r="L3698" s="13">
        <v>11680</v>
      </c>
      <c r="M3698" t="str">
        <f>VLOOKUP(L3698,[1]Human_BrainSpan!$B$2:$C$4000,2,FALSE)</f>
        <v>pCPs1o</v>
      </c>
    </row>
    <row r="3699" spans="2:13" x14ac:dyDescent="0.25">
      <c r="B3699" s="31" t="s">
        <v>26303</v>
      </c>
      <c r="C3699" s="25" t="s">
        <v>26173</v>
      </c>
      <c r="D3699" s="25" t="s">
        <v>26232</v>
      </c>
      <c r="E3699" s="25" t="s">
        <v>26306</v>
      </c>
      <c r="F3699" s="9" t="str">
        <f t="shared" si="50"/>
        <v>structure with developmental contribution from neural crest</v>
      </c>
      <c r="G3699" s="9" t="s">
        <v>5090</v>
      </c>
      <c r="H3699" s="9" t="s">
        <v>21285</v>
      </c>
      <c r="I3699" s="9" t="s">
        <v>6991</v>
      </c>
      <c r="J3699" s="9" t="s">
        <v>6992</v>
      </c>
      <c r="K3699" s="4" t="s">
        <v>15175</v>
      </c>
      <c r="L3699" s="13">
        <v>11681</v>
      </c>
      <c r="M3699" t="str">
        <f>VLOOKUP(L3699,[1]Human_BrainSpan!$B$2:$C$4000,2,FALSE)</f>
        <v>pCPs1i</v>
      </c>
    </row>
    <row r="3700" spans="2:13" x14ac:dyDescent="0.25">
      <c r="B3700" s="31" t="s">
        <v>26303</v>
      </c>
      <c r="C3700" s="25" t="s">
        <v>3729</v>
      </c>
      <c r="D3700" s="25" t="s">
        <v>26232</v>
      </c>
      <c r="E3700" s="25"/>
      <c r="F3700" s="9" t="str">
        <f t="shared" si="50"/>
        <v>structure with developmental contribution from neural crest</v>
      </c>
      <c r="G3700" s="9" t="s">
        <v>5090</v>
      </c>
      <c r="H3700" s="9" t="s">
        <v>21289</v>
      </c>
      <c r="I3700" s="9" t="s">
        <v>6993</v>
      </c>
      <c r="J3700" s="9" t="s">
        <v>6994</v>
      </c>
      <c r="K3700" s="4" t="s">
        <v>15175</v>
      </c>
      <c r="L3700" s="13">
        <v>11682</v>
      </c>
      <c r="M3700" t="str">
        <f>VLOOKUP(L3700,[1]Human_BrainSpan!$B$2:$C$4000,2,FALSE)</f>
        <v>pCPpd</v>
      </c>
    </row>
    <row r="3701" spans="2:13" x14ac:dyDescent="0.25">
      <c r="B3701" s="31" t="s">
        <v>26303</v>
      </c>
      <c r="C3701" s="25" t="s">
        <v>3729</v>
      </c>
      <c r="D3701" s="25" t="s">
        <v>26232</v>
      </c>
      <c r="E3701" s="25"/>
      <c r="F3701" s="9" t="str">
        <f t="shared" si="50"/>
        <v>structure with developmental contribution from neural crest</v>
      </c>
      <c r="G3701" s="9" t="s">
        <v>5090</v>
      </c>
      <c r="H3701" s="9" t="s">
        <v>21290</v>
      </c>
      <c r="I3701" s="9" t="s">
        <v>6995</v>
      </c>
      <c r="J3701" s="9" t="s">
        <v>6996</v>
      </c>
      <c r="K3701" s="4" t="s">
        <v>15175</v>
      </c>
      <c r="L3701" s="13">
        <v>11683</v>
      </c>
      <c r="M3701" t="str">
        <f>VLOOKUP(L3701,[1]Human_BrainSpan!$B$2:$C$4000,2,FALSE)</f>
        <v>pCPpdo</v>
      </c>
    </row>
    <row r="3702" spans="2:13" x14ac:dyDescent="0.25">
      <c r="B3702" s="31" t="s">
        <v>26303</v>
      </c>
      <c r="C3702" s="25" t="s">
        <v>3729</v>
      </c>
      <c r="D3702" s="25" t="s">
        <v>26232</v>
      </c>
      <c r="E3702" s="25"/>
      <c r="F3702" s="9" t="str">
        <f t="shared" si="50"/>
        <v>structure with developmental contribution from neural crest</v>
      </c>
      <c r="G3702" s="9" t="s">
        <v>5090</v>
      </c>
      <c r="H3702" s="9" t="s">
        <v>21291</v>
      </c>
      <c r="I3702" s="9" t="s">
        <v>6997</v>
      </c>
      <c r="J3702" s="9" t="s">
        <v>6998</v>
      </c>
      <c r="K3702" s="4" t="s">
        <v>15175</v>
      </c>
      <c r="L3702" s="13">
        <v>11684</v>
      </c>
      <c r="M3702" t="str">
        <f>VLOOKUP(L3702,[1]Human_BrainSpan!$B$2:$C$4000,2,FALSE)</f>
        <v>pCPpdi</v>
      </c>
    </row>
    <row r="3703" spans="2:13" x14ac:dyDescent="0.25">
      <c r="B3703" s="31" t="s">
        <v>26303</v>
      </c>
      <c r="C3703" s="25" t="s">
        <v>3729</v>
      </c>
      <c r="D3703" s="25" t="s">
        <v>26232</v>
      </c>
      <c r="E3703" s="25"/>
      <c r="F3703" s="9" t="str">
        <f t="shared" ref="F3703:F3766" si="51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3703" s="9" t="s">
        <v>5090</v>
      </c>
      <c r="H3703" s="9" t="s">
        <v>21292</v>
      </c>
      <c r="I3703" s="9" t="s">
        <v>6999</v>
      </c>
      <c r="J3703" s="9" t="s">
        <v>7000</v>
      </c>
      <c r="K3703" s="4" t="s">
        <v>15175</v>
      </c>
      <c r="L3703" s="13">
        <v>11685</v>
      </c>
      <c r="M3703" t="str">
        <f>VLOOKUP(L3703,[1]Human_BrainSpan!$B$2:$C$4000,2,FALSE)</f>
        <v>pCPpv</v>
      </c>
    </row>
    <row r="3704" spans="2:13" x14ac:dyDescent="0.25">
      <c r="B3704" s="31" t="s">
        <v>26303</v>
      </c>
      <c r="C3704" s="25" t="s">
        <v>3729</v>
      </c>
      <c r="D3704" s="25" t="s">
        <v>26232</v>
      </c>
      <c r="E3704" s="25"/>
      <c r="F3704" s="9" t="str">
        <f t="shared" si="51"/>
        <v>structure with developmental contribution from neural crest</v>
      </c>
      <c r="G3704" s="9" t="s">
        <v>5090</v>
      </c>
      <c r="H3704" s="9" t="s">
        <v>21293</v>
      </c>
      <c r="I3704" s="9" t="s">
        <v>7001</v>
      </c>
      <c r="J3704" s="9" t="s">
        <v>7002</v>
      </c>
      <c r="K3704" s="4" t="s">
        <v>15175</v>
      </c>
      <c r="L3704" s="13">
        <v>11686</v>
      </c>
      <c r="M3704" t="str">
        <f>VLOOKUP(L3704,[1]Human_BrainSpan!$B$2:$C$4000,2,FALSE)</f>
        <v>pCPpvo</v>
      </c>
    </row>
    <row r="3705" spans="2:13" x14ac:dyDescent="0.25">
      <c r="B3705" s="31" t="s">
        <v>26303</v>
      </c>
      <c r="C3705" s="25" t="s">
        <v>3729</v>
      </c>
      <c r="D3705" s="25" t="s">
        <v>26232</v>
      </c>
      <c r="E3705" s="25"/>
      <c r="F3705" s="9" t="str">
        <f t="shared" si="51"/>
        <v>structure with developmental contribution from neural crest</v>
      </c>
      <c r="G3705" s="9" t="s">
        <v>5090</v>
      </c>
      <c r="H3705" s="9" t="s">
        <v>21294</v>
      </c>
      <c r="I3705" s="9" t="s">
        <v>7003</v>
      </c>
      <c r="J3705" s="9" t="s">
        <v>7004</v>
      </c>
      <c r="K3705" s="4" t="s">
        <v>15175</v>
      </c>
      <c r="L3705" s="13">
        <v>11687</v>
      </c>
      <c r="M3705" t="str">
        <f>VLOOKUP(L3705,[1]Human_BrainSpan!$B$2:$C$4000,2,FALSE)</f>
        <v>pCPpvi</v>
      </c>
    </row>
    <row r="3706" spans="2:13" x14ac:dyDescent="0.25">
      <c r="B3706" s="31" t="s">
        <v>26302</v>
      </c>
      <c r="C3706" s="25" t="s">
        <v>3729</v>
      </c>
      <c r="D3706" s="25" t="s">
        <v>26185</v>
      </c>
      <c r="E3706" s="25" t="s">
        <v>26307</v>
      </c>
      <c r="F3706" s="9" t="str">
        <f t="shared" si="51"/>
        <v>structure with developmental contribution from neural crest</v>
      </c>
      <c r="G3706" s="9" t="s">
        <v>5090</v>
      </c>
      <c r="H3706" s="9" t="s">
        <v>21286</v>
      </c>
      <c r="I3706" s="9" t="s">
        <v>7005</v>
      </c>
      <c r="J3706" s="9" t="s">
        <v>7006</v>
      </c>
      <c r="K3706" s="4" t="s">
        <v>15175</v>
      </c>
      <c r="L3706" s="13">
        <v>11688</v>
      </c>
      <c r="M3706" t="str">
        <f>VLOOKUP(L3706,[1]Human_BrainSpan!$B$2:$C$4000,2,FALSE)</f>
        <v>pCPdm</v>
      </c>
    </row>
    <row r="3707" spans="2:13" x14ac:dyDescent="0.25">
      <c r="B3707" s="31" t="s">
        <v>26302</v>
      </c>
      <c r="C3707" s="25" t="s">
        <v>3729</v>
      </c>
      <c r="D3707" s="25" t="s">
        <v>26185</v>
      </c>
      <c r="E3707" s="25" t="s">
        <v>26307</v>
      </c>
      <c r="F3707" s="9" t="str">
        <f t="shared" si="51"/>
        <v>structure with developmental contribution from neural crest</v>
      </c>
      <c r="G3707" s="9" t="s">
        <v>5090</v>
      </c>
      <c r="H3707" s="9" t="s">
        <v>21287</v>
      </c>
      <c r="I3707" s="9" t="s">
        <v>7007</v>
      </c>
      <c r="J3707" s="9" t="s">
        <v>7008</v>
      </c>
      <c r="K3707" s="4" t="s">
        <v>15175</v>
      </c>
      <c r="L3707" s="13">
        <v>11689</v>
      </c>
      <c r="M3707" t="str">
        <f>VLOOKUP(L3707,[1]Human_BrainSpan!$B$2:$C$4000,2,FALSE)</f>
        <v>pCPdmo</v>
      </c>
    </row>
    <row r="3708" spans="2:13" x14ac:dyDescent="0.25">
      <c r="B3708" s="31" t="s">
        <v>26302</v>
      </c>
      <c r="C3708" s="25" t="s">
        <v>3729</v>
      </c>
      <c r="D3708" s="25" t="s">
        <v>26185</v>
      </c>
      <c r="E3708" s="25" t="s">
        <v>26307</v>
      </c>
      <c r="F3708" s="9" t="str">
        <f t="shared" si="51"/>
        <v>structure with developmental contribution from neural crest</v>
      </c>
      <c r="G3708" s="9" t="s">
        <v>5090</v>
      </c>
      <c r="H3708" s="9" t="s">
        <v>21288</v>
      </c>
      <c r="I3708" s="9" t="s">
        <v>7009</v>
      </c>
      <c r="J3708" s="9" t="s">
        <v>7010</v>
      </c>
      <c r="K3708" s="4" t="s">
        <v>15175</v>
      </c>
      <c r="L3708" s="13">
        <v>11690</v>
      </c>
      <c r="M3708" t="str">
        <f>VLOOKUP(L3708,[1]Human_BrainSpan!$B$2:$C$4000,2,FALSE)</f>
        <v>pCPdmi</v>
      </c>
    </row>
    <row r="3709" spans="2:13" x14ac:dyDescent="0.25">
      <c r="B3709" s="31" t="s">
        <v>26303</v>
      </c>
      <c r="C3709" s="25" t="s">
        <v>26164</v>
      </c>
      <c r="D3709" s="25" t="s">
        <v>26232</v>
      </c>
      <c r="E3709" s="25" t="s">
        <v>26306</v>
      </c>
      <c r="F3709" s="9" t="str">
        <f t="shared" si="51"/>
        <v>structure with developmental contribution from neural crest</v>
      </c>
      <c r="G3709" s="9" t="s">
        <v>5090</v>
      </c>
      <c r="H3709" s="9" t="s">
        <v>21297</v>
      </c>
      <c r="I3709" s="9" t="s">
        <v>7011</v>
      </c>
      <c r="J3709" s="9" t="s">
        <v>7012</v>
      </c>
      <c r="K3709" s="4" t="s">
        <v>15175</v>
      </c>
      <c r="L3709" s="13">
        <v>11691</v>
      </c>
      <c r="M3709" t="str">
        <f>VLOOKUP(L3709,[1]Human_BrainSpan!$B$2:$C$4000,2,FALSE)</f>
        <v>tCPa1</v>
      </c>
    </row>
    <row r="3710" spans="2:13" x14ac:dyDescent="0.25">
      <c r="B3710" s="31" t="s">
        <v>26303</v>
      </c>
      <c r="C3710" s="25" t="s">
        <v>26164</v>
      </c>
      <c r="D3710" s="25" t="s">
        <v>26232</v>
      </c>
      <c r="E3710" s="25" t="s">
        <v>26306</v>
      </c>
      <c r="F3710" s="9" t="str">
        <f t="shared" si="51"/>
        <v>structure with developmental contribution from neural crest</v>
      </c>
      <c r="G3710" s="9" t="s">
        <v>5090</v>
      </c>
      <c r="H3710" s="9" t="s">
        <v>21298</v>
      </c>
      <c r="I3710" s="9" t="s">
        <v>7013</v>
      </c>
      <c r="J3710" s="9" t="s">
        <v>7014</v>
      </c>
      <c r="K3710" s="4" t="s">
        <v>15175</v>
      </c>
      <c r="L3710" s="13">
        <v>11692</v>
      </c>
      <c r="M3710" t="str">
        <f>VLOOKUP(L3710,[1]Human_BrainSpan!$B$2:$C$4000,2,FALSE)</f>
        <v>tCPa1o</v>
      </c>
    </row>
    <row r="3711" spans="2:13" x14ac:dyDescent="0.25">
      <c r="B3711" s="31" t="s">
        <v>26303</v>
      </c>
      <c r="C3711" s="25" t="s">
        <v>26164</v>
      </c>
      <c r="D3711" s="25" t="s">
        <v>26232</v>
      </c>
      <c r="E3711" s="25" t="s">
        <v>26306</v>
      </c>
      <c r="F3711" s="9" t="str">
        <f t="shared" si="51"/>
        <v>structure with developmental contribution from neural crest</v>
      </c>
      <c r="G3711" s="9" t="s">
        <v>5090</v>
      </c>
      <c r="H3711" s="9" t="s">
        <v>21299</v>
      </c>
      <c r="I3711" s="9" t="s">
        <v>7015</v>
      </c>
      <c r="J3711" s="9" t="s">
        <v>7016</v>
      </c>
      <c r="K3711" s="4" t="s">
        <v>15175</v>
      </c>
      <c r="L3711" s="13">
        <v>11693</v>
      </c>
      <c r="M3711" t="str">
        <f>VLOOKUP(L3711,[1]Human_BrainSpan!$B$2:$C$4000,2,FALSE)</f>
        <v>tCPa1i</v>
      </c>
    </row>
    <row r="3712" spans="2:13" x14ac:dyDescent="0.25">
      <c r="B3712" s="31" t="s">
        <v>26303</v>
      </c>
      <c r="C3712" s="20"/>
      <c r="D3712" s="25" t="s">
        <v>26232</v>
      </c>
      <c r="E3712" s="25" t="s">
        <v>26307</v>
      </c>
      <c r="F3712" s="9" t="str">
        <f t="shared" si="51"/>
        <v>structure with developmental contribution from neural crest</v>
      </c>
      <c r="G3712" s="9" t="s">
        <v>5090</v>
      </c>
      <c r="H3712" s="9" t="s">
        <v>21300</v>
      </c>
      <c r="I3712" s="9" t="s">
        <v>7017</v>
      </c>
      <c r="J3712" s="9" t="s">
        <v>7018</v>
      </c>
      <c r="K3712" s="4" t="s">
        <v>15175</v>
      </c>
      <c r="L3712" s="13">
        <v>11694</v>
      </c>
      <c r="M3712" t="str">
        <f>VLOOKUP(L3712,[1]Human_BrainSpan!$B$2:$C$4000,2,FALSE)</f>
        <v>tCPsl</v>
      </c>
    </row>
    <row r="3713" spans="2:13" x14ac:dyDescent="0.25">
      <c r="B3713" s="31" t="s">
        <v>26303</v>
      </c>
      <c r="C3713" s="20"/>
      <c r="D3713" s="25" t="s">
        <v>26232</v>
      </c>
      <c r="E3713" s="25" t="s">
        <v>26307</v>
      </c>
      <c r="F3713" s="9" t="str">
        <f t="shared" si="51"/>
        <v>structure with developmental contribution from neural crest</v>
      </c>
      <c r="G3713" s="9" t="s">
        <v>5090</v>
      </c>
      <c r="H3713" s="9" t="s">
        <v>21301</v>
      </c>
      <c r="I3713" s="9" t="s">
        <v>7019</v>
      </c>
      <c r="J3713" s="9" t="s">
        <v>7020</v>
      </c>
      <c r="K3713" s="4" t="s">
        <v>15175</v>
      </c>
      <c r="L3713" s="13">
        <v>11695</v>
      </c>
      <c r="M3713" t="str">
        <f>VLOOKUP(L3713,[1]Human_BrainSpan!$B$2:$C$4000,2,FALSE)</f>
        <v>tCPslo</v>
      </c>
    </row>
    <row r="3714" spans="2:13" x14ac:dyDescent="0.25">
      <c r="B3714" s="31" t="s">
        <v>26303</v>
      </c>
      <c r="C3714" s="20"/>
      <c r="D3714" s="25" t="s">
        <v>26232</v>
      </c>
      <c r="E3714" s="25" t="s">
        <v>26307</v>
      </c>
      <c r="F3714" s="9" t="str">
        <f t="shared" si="51"/>
        <v>structure with developmental contribution from neural crest</v>
      </c>
      <c r="G3714" s="9" t="s">
        <v>5090</v>
      </c>
      <c r="H3714" s="9" t="s">
        <v>21302</v>
      </c>
      <c r="I3714" s="9" t="s">
        <v>7021</v>
      </c>
      <c r="J3714" s="9" t="s">
        <v>7022</v>
      </c>
      <c r="K3714" s="4" t="s">
        <v>15175</v>
      </c>
      <c r="L3714" s="13">
        <v>11696</v>
      </c>
      <c r="M3714" t="str">
        <f>VLOOKUP(L3714,[1]Human_BrainSpan!$B$2:$C$4000,2,FALSE)</f>
        <v>tCPsli</v>
      </c>
    </row>
    <row r="3715" spans="2:13" x14ac:dyDescent="0.25">
      <c r="B3715" s="31" t="s">
        <v>26299</v>
      </c>
      <c r="C3715" s="25" t="s">
        <v>2416</v>
      </c>
      <c r="D3715" s="25" t="s">
        <v>26232</v>
      </c>
      <c r="E3715" s="25"/>
      <c r="F3715" s="9" t="str">
        <f t="shared" si="51"/>
        <v>structure with developmental contribution from neural crest</v>
      </c>
      <c r="G3715" s="9" t="s">
        <v>5090</v>
      </c>
      <c r="H3715" s="9" t="s">
        <v>21307</v>
      </c>
      <c r="I3715" s="9" t="s">
        <v>7023</v>
      </c>
      <c r="J3715" s="9" t="s">
        <v>7024</v>
      </c>
      <c r="K3715" s="4" t="s">
        <v>15175</v>
      </c>
      <c r="L3715" s="13">
        <v>11697</v>
      </c>
      <c r="M3715" t="str">
        <f>VLOOKUP(L3715,[1]Human_BrainSpan!$B$2:$C$4000,2,FALSE)</f>
        <v>tCPil</v>
      </c>
    </row>
    <row r="3716" spans="2:13" x14ac:dyDescent="0.25">
      <c r="B3716" s="31" t="s">
        <v>26299</v>
      </c>
      <c r="C3716" s="25" t="s">
        <v>2416</v>
      </c>
      <c r="D3716" s="25" t="s">
        <v>26232</v>
      </c>
      <c r="E3716" s="25"/>
      <c r="F3716" s="9" t="str">
        <f t="shared" si="51"/>
        <v>structure with developmental contribution from neural crest</v>
      </c>
      <c r="G3716" s="9" t="s">
        <v>5090</v>
      </c>
      <c r="H3716" s="9" t="s">
        <v>21308</v>
      </c>
      <c r="I3716" s="9" t="s">
        <v>7025</v>
      </c>
      <c r="J3716" s="9" t="s">
        <v>7026</v>
      </c>
      <c r="K3716" s="4" t="s">
        <v>15175</v>
      </c>
      <c r="L3716" s="13">
        <v>11698</v>
      </c>
      <c r="M3716" t="str">
        <f>VLOOKUP(L3716,[1]Human_BrainSpan!$B$2:$C$4000,2,FALSE)</f>
        <v>tCPilo</v>
      </c>
    </row>
    <row r="3717" spans="2:13" x14ac:dyDescent="0.25">
      <c r="B3717" s="31" t="s">
        <v>26299</v>
      </c>
      <c r="C3717" s="25" t="s">
        <v>2416</v>
      </c>
      <c r="D3717" s="25" t="s">
        <v>26232</v>
      </c>
      <c r="E3717" s="25"/>
      <c r="F3717" s="9" t="str">
        <f t="shared" si="51"/>
        <v>structure with developmental contribution from neural crest</v>
      </c>
      <c r="G3717" s="9" t="s">
        <v>5090</v>
      </c>
      <c r="H3717" s="9" t="s">
        <v>21309</v>
      </c>
      <c r="I3717" s="9" t="s">
        <v>7027</v>
      </c>
      <c r="J3717" s="9" t="s">
        <v>7028</v>
      </c>
      <c r="K3717" s="4" t="s">
        <v>15175</v>
      </c>
      <c r="L3717" s="13">
        <v>11699</v>
      </c>
      <c r="M3717" t="str">
        <f>VLOOKUP(L3717,[1]Human_BrainSpan!$B$2:$C$4000,2,FALSE)</f>
        <v>tCPili</v>
      </c>
    </row>
    <row r="3718" spans="2:13" x14ac:dyDescent="0.25">
      <c r="B3718" s="31" t="s">
        <v>26303</v>
      </c>
      <c r="C3718" s="20"/>
      <c r="D3718" s="25" t="s">
        <v>26185</v>
      </c>
      <c r="E3718" s="25" t="s">
        <v>26307</v>
      </c>
      <c r="F3718" s="9" t="str">
        <f t="shared" si="51"/>
        <v>structure with developmental contribution from neural crest</v>
      </c>
      <c r="G3718" s="9" t="s">
        <v>5090</v>
      </c>
      <c r="H3718" s="9" t="s">
        <v>21310</v>
      </c>
      <c r="I3718" s="9" t="s">
        <v>7029</v>
      </c>
      <c r="J3718" s="9" t="s">
        <v>7030</v>
      </c>
      <c r="K3718" s="4" t="s">
        <v>15175</v>
      </c>
      <c r="L3718" s="13">
        <v>11700</v>
      </c>
      <c r="M3718" t="str">
        <f>VLOOKUP(L3718,[1]Human_BrainSpan!$B$2:$C$4000,2,FALSE)</f>
        <v>tCPmi</v>
      </c>
    </row>
    <row r="3719" spans="2:13" x14ac:dyDescent="0.25">
      <c r="B3719" s="31" t="s">
        <v>26303</v>
      </c>
      <c r="C3719" s="20"/>
      <c r="D3719" s="25" t="s">
        <v>26185</v>
      </c>
      <c r="E3719" s="25" t="s">
        <v>26307</v>
      </c>
      <c r="F3719" s="9" t="str">
        <f t="shared" si="51"/>
        <v>structure with developmental contribution from neural crest</v>
      </c>
      <c r="G3719" s="9" t="s">
        <v>5090</v>
      </c>
      <c r="H3719" s="9" t="s">
        <v>21311</v>
      </c>
      <c r="I3719" s="9" t="s">
        <v>7031</v>
      </c>
      <c r="J3719" s="9" t="s">
        <v>7032</v>
      </c>
      <c r="K3719" s="4" t="s">
        <v>15175</v>
      </c>
      <c r="L3719" s="13">
        <v>11701</v>
      </c>
      <c r="M3719" t="str">
        <f>VLOOKUP(L3719,[1]Human_BrainSpan!$B$2:$C$4000,2,FALSE)</f>
        <v>tCPmio</v>
      </c>
    </row>
    <row r="3720" spans="2:13" x14ac:dyDescent="0.25">
      <c r="B3720" s="31" t="s">
        <v>26303</v>
      </c>
      <c r="C3720" s="20"/>
      <c r="D3720" s="25" t="s">
        <v>26185</v>
      </c>
      <c r="E3720" s="25" t="s">
        <v>26307</v>
      </c>
      <c r="F3720" s="9" t="str">
        <f t="shared" si="51"/>
        <v>structure with developmental contribution from neural crest</v>
      </c>
      <c r="G3720" s="9" t="s">
        <v>5090</v>
      </c>
      <c r="H3720" s="9" t="s">
        <v>21312</v>
      </c>
      <c r="I3720" s="9" t="s">
        <v>7033</v>
      </c>
      <c r="J3720" s="9" t="s">
        <v>7034</v>
      </c>
      <c r="K3720" s="4" t="s">
        <v>15175</v>
      </c>
      <c r="L3720" s="13">
        <v>11702</v>
      </c>
      <c r="M3720" t="str">
        <f>VLOOKUP(L3720,[1]Human_BrainSpan!$B$2:$C$4000,2,FALSE)</f>
        <v>tCPmii</v>
      </c>
    </row>
    <row r="3721" spans="2:13" x14ac:dyDescent="0.25">
      <c r="B3721" s="31" t="s">
        <v>26303</v>
      </c>
      <c r="C3721" s="25" t="s">
        <v>3967</v>
      </c>
      <c r="D3721" s="25" t="s">
        <v>26232</v>
      </c>
      <c r="E3721" s="25" t="s">
        <v>26306</v>
      </c>
      <c r="F3721" s="9" t="str">
        <f t="shared" si="51"/>
        <v>structure with developmental contribution from neural crest</v>
      </c>
      <c r="G3721" s="9" t="s">
        <v>5090</v>
      </c>
      <c r="H3721" s="9" t="s">
        <v>21319</v>
      </c>
      <c r="I3721" s="9" t="s">
        <v>7035</v>
      </c>
      <c r="J3721" s="9" t="s">
        <v>7036</v>
      </c>
      <c r="K3721" s="4" t="s">
        <v>15175</v>
      </c>
      <c r="L3721" s="13">
        <v>11703</v>
      </c>
      <c r="M3721" t="str">
        <f>VLOOKUP(L3721,[1]Human_BrainSpan!$B$2:$C$4000,2,FALSE)</f>
        <v>tCPph</v>
      </c>
    </row>
    <row r="3722" spans="2:13" x14ac:dyDescent="0.25">
      <c r="B3722" s="31" t="s">
        <v>26303</v>
      </c>
      <c r="C3722" s="25" t="s">
        <v>3967</v>
      </c>
      <c r="D3722" s="25" t="s">
        <v>26232</v>
      </c>
      <c r="E3722" s="25" t="s">
        <v>26306</v>
      </c>
      <c r="F3722" s="9" t="str">
        <f t="shared" si="51"/>
        <v>structure with developmental contribution from neural crest</v>
      </c>
      <c r="G3722" s="9" t="s">
        <v>5090</v>
      </c>
      <c r="H3722" s="9" t="s">
        <v>21320</v>
      </c>
      <c r="I3722" s="9" t="s">
        <v>7037</v>
      </c>
      <c r="J3722" s="9" t="s">
        <v>7038</v>
      </c>
      <c r="K3722" s="4" t="s">
        <v>15175</v>
      </c>
      <c r="L3722" s="13">
        <v>11704</v>
      </c>
      <c r="M3722" t="str">
        <f>VLOOKUP(L3722,[1]Human_BrainSpan!$B$2:$C$4000,2,FALSE)</f>
        <v>tCPpho</v>
      </c>
    </row>
    <row r="3723" spans="2:13" x14ac:dyDescent="0.25">
      <c r="B3723" s="31" t="s">
        <v>26303</v>
      </c>
      <c r="C3723" s="25" t="s">
        <v>3967</v>
      </c>
      <c r="D3723" s="25" t="s">
        <v>26232</v>
      </c>
      <c r="E3723" s="25" t="s">
        <v>26306</v>
      </c>
      <c r="F3723" s="9" t="str">
        <f t="shared" si="51"/>
        <v>structure with developmental contribution from neural crest</v>
      </c>
      <c r="G3723" s="9" t="s">
        <v>5090</v>
      </c>
      <c r="H3723" s="9" t="s">
        <v>21321</v>
      </c>
      <c r="I3723" s="9" t="s">
        <v>7039</v>
      </c>
      <c r="J3723" s="9" t="s">
        <v>7040</v>
      </c>
      <c r="K3723" s="4" t="s">
        <v>15175</v>
      </c>
      <c r="L3723" s="13">
        <v>11705</v>
      </c>
      <c r="M3723" t="str">
        <f>VLOOKUP(L3723,[1]Human_BrainSpan!$B$2:$C$4000,2,FALSE)</f>
        <v>tCPphi</v>
      </c>
    </row>
    <row r="3724" spans="2:13" x14ac:dyDescent="0.25">
      <c r="B3724" s="31" t="s">
        <v>26303</v>
      </c>
      <c r="C3724" s="20"/>
      <c r="D3724" s="25" t="s">
        <v>26232</v>
      </c>
      <c r="E3724" s="25" t="s">
        <v>26307</v>
      </c>
      <c r="F3724" s="9" t="str">
        <f t="shared" si="51"/>
        <v>structure with developmental contribution from neural crest</v>
      </c>
      <c r="G3724" s="9" t="s">
        <v>5090</v>
      </c>
      <c r="H3724" s="9" t="s">
        <v>21322</v>
      </c>
      <c r="I3724" s="9" t="s">
        <v>7041</v>
      </c>
      <c r="J3724" s="9" t="s">
        <v>7042</v>
      </c>
      <c r="K3724" s="4" t="s">
        <v>15175</v>
      </c>
      <c r="L3724" s="13">
        <v>11706</v>
      </c>
      <c r="M3724" t="str">
        <f>VLOOKUP(L3724,[1]Human_BrainSpan!$B$2:$C$4000,2,FALSE)</f>
        <v>tCPmt</v>
      </c>
    </row>
    <row r="3725" spans="2:13" x14ac:dyDescent="0.25">
      <c r="B3725" s="31" t="s">
        <v>26303</v>
      </c>
      <c r="C3725" s="20"/>
      <c r="D3725" s="25" t="s">
        <v>26232</v>
      </c>
      <c r="E3725" s="25" t="s">
        <v>26307</v>
      </c>
      <c r="F3725" s="9" t="str">
        <f t="shared" si="51"/>
        <v>structure with developmental contribution from neural crest</v>
      </c>
      <c r="G3725" s="9" t="s">
        <v>5090</v>
      </c>
      <c r="H3725" s="9" t="s">
        <v>21323</v>
      </c>
      <c r="I3725" s="9" t="s">
        <v>7043</v>
      </c>
      <c r="J3725" s="9" t="s">
        <v>7044</v>
      </c>
      <c r="K3725" s="4" t="s">
        <v>15175</v>
      </c>
      <c r="L3725" s="13">
        <v>11707</v>
      </c>
      <c r="M3725" t="str">
        <f>VLOOKUP(L3725,[1]Human_BrainSpan!$B$2:$C$4000,2,FALSE)</f>
        <v>tCPmto</v>
      </c>
    </row>
    <row r="3726" spans="2:13" x14ac:dyDescent="0.25">
      <c r="B3726" s="31" t="s">
        <v>26303</v>
      </c>
      <c r="C3726" s="20"/>
      <c r="D3726" s="25" t="s">
        <v>26232</v>
      </c>
      <c r="E3726" s="25" t="s">
        <v>26307</v>
      </c>
      <c r="F3726" s="9" t="str">
        <f t="shared" si="51"/>
        <v>structure with developmental contribution from neural crest</v>
      </c>
      <c r="G3726" s="9" t="s">
        <v>5090</v>
      </c>
      <c r="H3726" s="9" t="s">
        <v>21324</v>
      </c>
      <c r="I3726" s="9" t="s">
        <v>7045</v>
      </c>
      <c r="J3726" s="9" t="s">
        <v>7046</v>
      </c>
      <c r="K3726" s="4" t="s">
        <v>15175</v>
      </c>
      <c r="L3726" s="13">
        <v>11708</v>
      </c>
      <c r="M3726" t="str">
        <f>VLOOKUP(L3726,[1]Human_BrainSpan!$B$2:$C$4000,2,FALSE)</f>
        <v>tCPmti</v>
      </c>
    </row>
    <row r="3727" spans="2:13" x14ac:dyDescent="0.25">
      <c r="B3727" s="31" t="s">
        <v>26303</v>
      </c>
      <c r="C3727" s="20"/>
      <c r="D3727" s="25" t="s">
        <v>26232</v>
      </c>
      <c r="E3727" s="25" t="s">
        <v>26307</v>
      </c>
      <c r="F3727" s="9" t="str">
        <f t="shared" si="51"/>
        <v>structure with developmental contribution from neural crest</v>
      </c>
      <c r="G3727" s="9" t="s">
        <v>5090</v>
      </c>
      <c r="H3727" s="9" t="s">
        <v>21325</v>
      </c>
      <c r="I3727" s="9" t="s">
        <v>7047</v>
      </c>
      <c r="J3727" s="9" t="s">
        <v>7048</v>
      </c>
      <c r="K3727" s="4" t="s">
        <v>15175</v>
      </c>
      <c r="L3727" s="13">
        <v>11709</v>
      </c>
      <c r="M3727" t="str">
        <f>VLOOKUP(L3727,[1]Human_BrainSpan!$B$2:$C$4000,2,FALSE)</f>
        <v>tCPlt</v>
      </c>
    </row>
    <row r="3728" spans="2:13" x14ac:dyDescent="0.25">
      <c r="B3728" s="31" t="s">
        <v>26303</v>
      </c>
      <c r="C3728" s="20"/>
      <c r="D3728" s="25" t="s">
        <v>26232</v>
      </c>
      <c r="E3728" s="25" t="s">
        <v>26307</v>
      </c>
      <c r="F3728" s="9" t="str">
        <f t="shared" si="51"/>
        <v>structure with developmental contribution from neural crest</v>
      </c>
      <c r="G3728" s="9" t="s">
        <v>5090</v>
      </c>
      <c r="H3728" s="9" t="s">
        <v>21326</v>
      </c>
      <c r="I3728" s="9" t="s">
        <v>7049</v>
      </c>
      <c r="J3728" s="9" t="s">
        <v>7050</v>
      </c>
      <c r="K3728" s="4" t="s">
        <v>15175</v>
      </c>
      <c r="L3728" s="13">
        <v>11710</v>
      </c>
      <c r="M3728" t="str">
        <f>VLOOKUP(L3728,[1]Human_BrainSpan!$B$2:$C$4000,2,FALSE)</f>
        <v>tCPlto</v>
      </c>
    </row>
    <row r="3729" spans="2:13" x14ac:dyDescent="0.25">
      <c r="B3729" s="31" t="s">
        <v>26303</v>
      </c>
      <c r="C3729" s="20"/>
      <c r="D3729" s="25" t="s">
        <v>26232</v>
      </c>
      <c r="E3729" s="25" t="s">
        <v>26307</v>
      </c>
      <c r="F3729" s="9" t="str">
        <f t="shared" si="51"/>
        <v>structure with developmental contribution from neural crest</v>
      </c>
      <c r="G3729" s="9" t="s">
        <v>5090</v>
      </c>
      <c r="H3729" s="9" t="s">
        <v>21327</v>
      </c>
      <c r="I3729" s="9" t="s">
        <v>7051</v>
      </c>
      <c r="J3729" s="9" t="s">
        <v>7052</v>
      </c>
      <c r="K3729" s="4" t="s">
        <v>15175</v>
      </c>
      <c r="L3729" s="13">
        <v>11711</v>
      </c>
      <c r="M3729" t="str">
        <f>VLOOKUP(L3729,[1]Human_BrainSpan!$B$2:$C$4000,2,FALSE)</f>
        <v>tCPlti</v>
      </c>
    </row>
    <row r="3730" spans="2:13" x14ac:dyDescent="0.25">
      <c r="B3730" s="31" t="s">
        <v>26303</v>
      </c>
      <c r="C3730" s="25" t="s">
        <v>14932</v>
      </c>
      <c r="D3730" s="25" t="s">
        <v>26232</v>
      </c>
      <c r="E3730" s="25" t="s">
        <v>26306</v>
      </c>
      <c r="F3730" s="9" t="str">
        <f t="shared" si="51"/>
        <v>structure with developmental contribution from neural crest</v>
      </c>
      <c r="G3730" s="9" t="s">
        <v>5090</v>
      </c>
      <c r="H3730" s="9" t="s">
        <v>21328</v>
      </c>
      <c r="I3730" s="9" t="s">
        <v>7053</v>
      </c>
      <c r="J3730" s="9" t="s">
        <v>7054</v>
      </c>
      <c r="K3730" s="4" t="s">
        <v>15175</v>
      </c>
      <c r="L3730" s="13">
        <v>11712</v>
      </c>
      <c r="M3730" t="str">
        <f>VLOOKUP(L3730,[1]Human_BrainSpan!$B$2:$C$4000,2,FALSE)</f>
        <v>tCPtp</v>
      </c>
    </row>
    <row r="3731" spans="2:13" x14ac:dyDescent="0.25">
      <c r="B3731" s="31" t="s">
        <v>26303</v>
      </c>
      <c r="C3731" s="25" t="s">
        <v>14932</v>
      </c>
      <c r="D3731" s="25" t="s">
        <v>26232</v>
      </c>
      <c r="E3731" s="25" t="s">
        <v>26306</v>
      </c>
      <c r="F3731" s="9" t="str">
        <f t="shared" si="51"/>
        <v>structure with developmental contribution from neural crest</v>
      </c>
      <c r="G3731" s="9" t="s">
        <v>5090</v>
      </c>
      <c r="H3731" s="9" t="s">
        <v>21329</v>
      </c>
      <c r="I3731" s="9" t="s">
        <v>7055</v>
      </c>
      <c r="J3731" s="9" t="s">
        <v>7056</v>
      </c>
      <c r="K3731" s="4" t="s">
        <v>15175</v>
      </c>
      <c r="L3731" s="13">
        <v>11713</v>
      </c>
      <c r="M3731" t="str">
        <f>VLOOKUP(L3731,[1]Human_BrainSpan!$B$2:$C$4000,2,FALSE)</f>
        <v>tCPtpo</v>
      </c>
    </row>
    <row r="3732" spans="2:13" x14ac:dyDescent="0.25">
      <c r="B3732" s="31" t="s">
        <v>26303</v>
      </c>
      <c r="C3732" s="25" t="s">
        <v>14932</v>
      </c>
      <c r="D3732" s="25" t="s">
        <v>26232</v>
      </c>
      <c r="E3732" s="25" t="s">
        <v>26306</v>
      </c>
      <c r="F3732" s="9" t="str">
        <f t="shared" si="51"/>
        <v>structure with developmental contribution from neural crest</v>
      </c>
      <c r="G3732" s="9" t="s">
        <v>5090</v>
      </c>
      <c r="H3732" s="9" t="s">
        <v>21330</v>
      </c>
      <c r="I3732" s="9" t="s">
        <v>7057</v>
      </c>
      <c r="J3732" s="9" t="s">
        <v>7058</v>
      </c>
      <c r="K3732" s="4" t="s">
        <v>15175</v>
      </c>
      <c r="L3732" s="13">
        <v>11714</v>
      </c>
      <c r="M3732" t="str">
        <f>VLOOKUP(L3732,[1]Human_BrainSpan!$B$2:$C$4000,2,FALSE)</f>
        <v>tCPtpi</v>
      </c>
    </row>
    <row r="3733" spans="2:13" x14ac:dyDescent="0.25">
      <c r="B3733" s="31" t="s">
        <v>26303</v>
      </c>
      <c r="C3733" s="25" t="s">
        <v>1242</v>
      </c>
      <c r="D3733" s="25" t="s">
        <v>26232</v>
      </c>
      <c r="E3733" s="25" t="s">
        <v>26306</v>
      </c>
      <c r="F3733" s="9" t="str">
        <f t="shared" si="51"/>
        <v>structure with developmental contribution from neural crest</v>
      </c>
      <c r="G3733" s="9" t="s">
        <v>5090</v>
      </c>
      <c r="H3733" s="9" t="s">
        <v>21353</v>
      </c>
      <c r="I3733" s="9" t="s">
        <v>7059</v>
      </c>
      <c r="J3733" s="9" t="s">
        <v>7060</v>
      </c>
      <c r="K3733" s="4" t="s">
        <v>15175</v>
      </c>
      <c r="L3733" s="13">
        <v>11715</v>
      </c>
      <c r="M3733" t="str">
        <f>VLOOKUP(L3733,[1]Human_BrainSpan!$B$2:$C$4000,2,FALSE)</f>
        <v>cCP</v>
      </c>
    </row>
    <row r="3734" spans="2:13" x14ac:dyDescent="0.25">
      <c r="B3734" s="31" t="s">
        <v>26299</v>
      </c>
      <c r="C3734" s="25" t="s">
        <v>1242</v>
      </c>
      <c r="D3734" s="25" t="s">
        <v>26232</v>
      </c>
      <c r="E3734" s="25" t="s">
        <v>26306</v>
      </c>
      <c r="F3734" s="9" t="str">
        <f t="shared" si="51"/>
        <v>structure with developmental contribution from neural crest</v>
      </c>
      <c r="G3734" s="9" t="s">
        <v>5090</v>
      </c>
      <c r="H3734" s="9" t="s">
        <v>21354</v>
      </c>
      <c r="I3734" s="9" t="s">
        <v>7061</v>
      </c>
      <c r="J3734" s="9" t="s">
        <v>7062</v>
      </c>
      <c r="K3734" s="4" t="s">
        <v>15175</v>
      </c>
      <c r="L3734" s="13">
        <v>11716</v>
      </c>
      <c r="M3734" t="str">
        <f>VLOOKUP(L3734,[1]Human_BrainSpan!$B$2:$C$4000,2,FALSE)</f>
        <v>cCPr</v>
      </c>
    </row>
    <row r="3735" spans="2:13" x14ac:dyDescent="0.25">
      <c r="B3735" s="31" t="s">
        <v>26299</v>
      </c>
      <c r="C3735" s="25" t="s">
        <v>1242</v>
      </c>
      <c r="D3735" s="25" t="s">
        <v>26232</v>
      </c>
      <c r="E3735" s="25" t="s">
        <v>26306</v>
      </c>
      <c r="F3735" s="9" t="str">
        <f t="shared" si="51"/>
        <v>structure with developmental contribution from neural crest</v>
      </c>
      <c r="G3735" s="9" t="s">
        <v>5090</v>
      </c>
      <c r="H3735" s="9" t="s">
        <v>21355</v>
      </c>
      <c r="I3735" s="9" t="s">
        <v>7063</v>
      </c>
      <c r="J3735" s="9" t="s">
        <v>7064</v>
      </c>
      <c r="K3735" s="4" t="s">
        <v>15175</v>
      </c>
      <c r="L3735" s="13">
        <v>11717</v>
      </c>
      <c r="M3735" t="str">
        <f>VLOOKUP(L3735,[1]Human_BrainSpan!$B$2:$C$4000,2,FALSE)</f>
        <v>cCPro</v>
      </c>
    </row>
    <row r="3736" spans="2:13" x14ac:dyDescent="0.25">
      <c r="B3736" s="31" t="s">
        <v>26299</v>
      </c>
      <c r="C3736" s="25" t="s">
        <v>1242</v>
      </c>
      <c r="D3736" s="25" t="s">
        <v>26232</v>
      </c>
      <c r="E3736" s="25" t="s">
        <v>26306</v>
      </c>
      <c r="F3736" s="9" t="str">
        <f t="shared" si="51"/>
        <v>structure with developmental contribution from neural crest</v>
      </c>
      <c r="G3736" s="9" t="s">
        <v>5090</v>
      </c>
      <c r="H3736" s="9" t="s">
        <v>21356</v>
      </c>
      <c r="I3736" s="9" t="s">
        <v>7065</v>
      </c>
      <c r="J3736" s="9" t="s">
        <v>7066</v>
      </c>
      <c r="K3736" s="4" t="s">
        <v>15175</v>
      </c>
      <c r="L3736" s="13">
        <v>11718</v>
      </c>
      <c r="M3736" t="str">
        <f>VLOOKUP(L3736,[1]Human_BrainSpan!$B$2:$C$4000,2,FALSE)</f>
        <v>cCPri</v>
      </c>
    </row>
    <row r="3737" spans="2:13" x14ac:dyDescent="0.25">
      <c r="B3737" s="31" t="s">
        <v>26299</v>
      </c>
      <c r="C3737" s="25" t="s">
        <v>1242</v>
      </c>
      <c r="D3737" s="25" t="s">
        <v>26232</v>
      </c>
      <c r="E3737" s="25" t="s">
        <v>26306</v>
      </c>
      <c r="F3737" s="9" t="str">
        <f t="shared" si="51"/>
        <v>structure with developmental contribution from neural crest</v>
      </c>
      <c r="G3737" s="9" t="s">
        <v>5090</v>
      </c>
      <c r="H3737" s="9" t="s">
        <v>21357</v>
      </c>
      <c r="I3737" s="9" t="s">
        <v>7067</v>
      </c>
      <c r="J3737" s="9" t="s">
        <v>7068</v>
      </c>
      <c r="K3737" s="4" t="s">
        <v>15175</v>
      </c>
      <c r="L3737" s="13">
        <v>11719</v>
      </c>
      <c r="M3737" t="str">
        <f>VLOOKUP(L3737,[1]Human_BrainSpan!$B$2:$C$4000,2,FALSE)</f>
        <v>cCPmi</v>
      </c>
    </row>
    <row r="3738" spans="2:13" x14ac:dyDescent="0.25">
      <c r="B3738" s="31" t="s">
        <v>26299</v>
      </c>
      <c r="C3738" s="25" t="s">
        <v>1242</v>
      </c>
      <c r="D3738" s="25" t="s">
        <v>26232</v>
      </c>
      <c r="E3738" s="25" t="s">
        <v>26306</v>
      </c>
      <c r="F3738" s="9" t="str">
        <f t="shared" si="51"/>
        <v>structure with developmental contribution from neural crest</v>
      </c>
      <c r="G3738" s="9" t="s">
        <v>5090</v>
      </c>
      <c r="H3738" s="9" t="s">
        <v>21358</v>
      </c>
      <c r="I3738" s="9" t="s">
        <v>7069</v>
      </c>
      <c r="J3738" s="9" t="s">
        <v>7070</v>
      </c>
      <c r="K3738" s="4" t="s">
        <v>15175</v>
      </c>
      <c r="L3738" s="13">
        <v>11720</v>
      </c>
      <c r="M3738" t="str">
        <f>VLOOKUP(L3738,[1]Human_BrainSpan!$B$2:$C$4000,2,FALSE)</f>
        <v>cCPmio</v>
      </c>
    </row>
    <row r="3739" spans="2:13" x14ac:dyDescent="0.25">
      <c r="B3739" s="31" t="s">
        <v>26299</v>
      </c>
      <c r="C3739" s="25" t="s">
        <v>1242</v>
      </c>
      <c r="D3739" s="25" t="s">
        <v>26232</v>
      </c>
      <c r="E3739" s="25" t="s">
        <v>26306</v>
      </c>
      <c r="F3739" s="9" t="str">
        <f t="shared" si="51"/>
        <v>structure with developmental contribution from neural crest</v>
      </c>
      <c r="G3739" s="9" t="s">
        <v>5090</v>
      </c>
      <c r="H3739" s="9" t="s">
        <v>21359</v>
      </c>
      <c r="I3739" s="9" t="s">
        <v>7071</v>
      </c>
      <c r="J3739" s="9" t="s">
        <v>7072</v>
      </c>
      <c r="K3739" s="4" t="s">
        <v>15175</v>
      </c>
      <c r="L3739" s="13">
        <v>11721</v>
      </c>
      <c r="M3739" t="str">
        <f>VLOOKUP(L3739,[1]Human_BrainSpan!$B$2:$C$4000,2,FALSE)</f>
        <v>cCPmii</v>
      </c>
    </row>
    <row r="3740" spans="2:13" x14ac:dyDescent="0.25">
      <c r="B3740" s="31" t="s">
        <v>26299</v>
      </c>
      <c r="C3740" s="25" t="s">
        <v>1242</v>
      </c>
      <c r="D3740" s="25" t="s">
        <v>26232</v>
      </c>
      <c r="E3740" s="25" t="s">
        <v>26306</v>
      </c>
      <c r="F3740" s="9" t="str">
        <f t="shared" si="51"/>
        <v>structure with developmental contribution from neural crest</v>
      </c>
      <c r="G3740" s="9" t="s">
        <v>5090</v>
      </c>
      <c r="H3740" s="9" t="s">
        <v>21360</v>
      </c>
      <c r="I3740" s="9" t="s">
        <v>7073</v>
      </c>
      <c r="J3740" s="9" t="s">
        <v>7074</v>
      </c>
      <c r="K3740" s="4" t="s">
        <v>15175</v>
      </c>
      <c r="L3740" s="13">
        <v>11722</v>
      </c>
      <c r="M3740" t="str">
        <f>VLOOKUP(L3740,[1]Human_BrainSpan!$B$2:$C$4000,2,FALSE)</f>
        <v>cCPc</v>
      </c>
    </row>
    <row r="3741" spans="2:13" x14ac:dyDescent="0.25">
      <c r="B3741" s="31" t="s">
        <v>26299</v>
      </c>
      <c r="C3741" s="25" t="s">
        <v>1242</v>
      </c>
      <c r="D3741" s="25" t="s">
        <v>26232</v>
      </c>
      <c r="E3741" s="25" t="s">
        <v>26306</v>
      </c>
      <c r="F3741" s="9" t="str">
        <f t="shared" si="51"/>
        <v>structure with developmental contribution from neural crest</v>
      </c>
      <c r="G3741" s="9" t="s">
        <v>5090</v>
      </c>
      <c r="H3741" s="9" t="s">
        <v>21361</v>
      </c>
      <c r="I3741" s="9" t="s">
        <v>7075</v>
      </c>
      <c r="J3741" s="9" t="s">
        <v>7076</v>
      </c>
      <c r="K3741" s="4" t="s">
        <v>15175</v>
      </c>
      <c r="L3741" s="13">
        <v>11723</v>
      </c>
      <c r="M3741" t="str">
        <f>VLOOKUP(L3741,[1]Human_BrainSpan!$B$2:$C$4000,2,FALSE)</f>
        <v>cCPco</v>
      </c>
    </row>
    <row r="3742" spans="2:13" x14ac:dyDescent="0.25">
      <c r="B3742" s="31" t="s">
        <v>26299</v>
      </c>
      <c r="C3742" s="25" t="s">
        <v>1242</v>
      </c>
      <c r="D3742" s="25" t="s">
        <v>26232</v>
      </c>
      <c r="E3742" s="25" t="s">
        <v>26306</v>
      </c>
      <c r="F3742" s="9" t="str">
        <f t="shared" si="51"/>
        <v>structure with developmental contribution from neural crest</v>
      </c>
      <c r="G3742" s="9" t="s">
        <v>5090</v>
      </c>
      <c r="H3742" s="9" t="s">
        <v>21362</v>
      </c>
      <c r="I3742" s="9" t="s">
        <v>7077</v>
      </c>
      <c r="J3742" s="9" t="s">
        <v>7078</v>
      </c>
      <c r="K3742" s="4" t="s">
        <v>15175</v>
      </c>
      <c r="L3742" s="13">
        <v>11724</v>
      </c>
      <c r="M3742" t="str">
        <f>VLOOKUP(L3742,[1]Human_BrainSpan!$B$2:$C$4000,2,FALSE)</f>
        <v>cCPci</v>
      </c>
    </row>
    <row r="3743" spans="2:13" x14ac:dyDescent="0.25">
      <c r="B3743" s="31" t="s">
        <v>26299</v>
      </c>
      <c r="C3743" s="25" t="s">
        <v>1242</v>
      </c>
      <c r="D3743" s="25" t="s">
        <v>26232</v>
      </c>
      <c r="E3743" s="25" t="s">
        <v>26306</v>
      </c>
      <c r="F3743" s="9" t="str">
        <f t="shared" si="51"/>
        <v>structure with developmental contribution from neural crest</v>
      </c>
      <c r="G3743" s="9" t="s">
        <v>5090</v>
      </c>
      <c r="H3743" s="9" t="s">
        <v>21363</v>
      </c>
      <c r="I3743" s="9" t="s">
        <v>7079</v>
      </c>
      <c r="J3743" s="9" t="s">
        <v>7080</v>
      </c>
      <c r="K3743" s="4" t="s">
        <v>15175</v>
      </c>
      <c r="L3743" s="13">
        <v>11725</v>
      </c>
      <c r="M3743" t="str">
        <f>VLOOKUP(L3743,[1]Human_BrainSpan!$B$2:$C$4000,2,FALSE)</f>
        <v>cCPsg</v>
      </c>
    </row>
    <row r="3744" spans="2:13" x14ac:dyDescent="0.25">
      <c r="B3744" s="31" t="s">
        <v>26299</v>
      </c>
      <c r="C3744" s="25" t="s">
        <v>1242</v>
      </c>
      <c r="D3744" s="25" t="s">
        <v>26232</v>
      </c>
      <c r="E3744" s="25" t="s">
        <v>26306</v>
      </c>
      <c r="F3744" s="9" t="str">
        <f t="shared" si="51"/>
        <v>structure with developmental contribution from neural crest</v>
      </c>
      <c r="G3744" s="9" t="s">
        <v>5090</v>
      </c>
      <c r="H3744" s="9" t="s">
        <v>21364</v>
      </c>
      <c r="I3744" s="9" t="s">
        <v>7081</v>
      </c>
      <c r="J3744" s="9" t="s">
        <v>7082</v>
      </c>
      <c r="K3744" s="4" t="s">
        <v>15175</v>
      </c>
      <c r="L3744" s="13">
        <v>11726</v>
      </c>
      <c r="M3744" t="str">
        <f>VLOOKUP(L3744,[1]Human_BrainSpan!$B$2:$C$4000,2,FALSE)</f>
        <v>cCPsgo</v>
      </c>
    </row>
    <row r="3745" spans="2:13" x14ac:dyDescent="0.25">
      <c r="B3745" s="31" t="s">
        <v>26299</v>
      </c>
      <c r="C3745" s="25" t="s">
        <v>1242</v>
      </c>
      <c r="D3745" s="25" t="s">
        <v>26232</v>
      </c>
      <c r="E3745" s="25" t="s">
        <v>26306</v>
      </c>
      <c r="F3745" s="9" t="str">
        <f t="shared" si="51"/>
        <v>structure with developmental contribution from neural crest</v>
      </c>
      <c r="G3745" s="9" t="s">
        <v>5090</v>
      </c>
      <c r="H3745" s="9" t="s">
        <v>21365</v>
      </c>
      <c r="I3745" s="9" t="s">
        <v>7083</v>
      </c>
      <c r="J3745" s="9" t="s">
        <v>7084</v>
      </c>
      <c r="K3745" s="4" t="s">
        <v>15175</v>
      </c>
      <c r="L3745" s="13">
        <v>11727</v>
      </c>
      <c r="M3745" t="str">
        <f>VLOOKUP(L3745,[1]Human_BrainSpan!$B$2:$C$4000,2,FALSE)</f>
        <v>cCPsgi</v>
      </c>
    </row>
    <row r="3746" spans="2:13" x14ac:dyDescent="0.25">
      <c r="B3746" s="31" t="s">
        <v>26303</v>
      </c>
      <c r="C3746" s="25" t="s">
        <v>2440</v>
      </c>
      <c r="D3746" s="25" t="s">
        <v>26232</v>
      </c>
      <c r="E3746" s="25" t="s">
        <v>26306</v>
      </c>
      <c r="F3746" s="9" t="str">
        <f t="shared" si="51"/>
        <v>structure with developmental contribution from neural crest</v>
      </c>
      <c r="G3746" s="9" t="s">
        <v>5090</v>
      </c>
      <c r="H3746" s="9" t="s">
        <v>21346</v>
      </c>
      <c r="I3746" s="9" t="s">
        <v>7085</v>
      </c>
      <c r="J3746" s="9" t="s">
        <v>7086</v>
      </c>
      <c r="K3746" s="4" t="s">
        <v>15175</v>
      </c>
      <c r="L3746" s="13">
        <v>11728</v>
      </c>
      <c r="M3746" t="str">
        <f>VLOOKUP(L3746,[1]Human_BrainSpan!$B$2:$C$4000,2,FALSE)</f>
        <v>iCP</v>
      </c>
    </row>
    <row r="3747" spans="2:13" x14ac:dyDescent="0.25">
      <c r="B3747" s="31" t="s">
        <v>26303</v>
      </c>
      <c r="C3747" s="20"/>
      <c r="D3747" s="25" t="s">
        <v>26185</v>
      </c>
      <c r="E3747" s="20" t="s">
        <v>26307</v>
      </c>
      <c r="F3747" s="9" t="str">
        <f t="shared" si="51"/>
        <v>structure with developmental contribution from neural crest</v>
      </c>
      <c r="G3747" s="9" t="s">
        <v>5090</v>
      </c>
      <c r="H3747" s="9" t="s">
        <v>21347</v>
      </c>
      <c r="I3747" s="9" t="s">
        <v>7087</v>
      </c>
      <c r="J3747" s="9" t="s">
        <v>7088</v>
      </c>
      <c r="K3747" s="4" t="s">
        <v>15175</v>
      </c>
      <c r="L3747" s="13">
        <v>11729</v>
      </c>
      <c r="M3747" t="str">
        <f>VLOOKUP(L3747,[1]Human_BrainSpan!$B$2:$C$4000,2,FALSE)</f>
        <v>iCPdg</v>
      </c>
    </row>
    <row r="3748" spans="2:13" x14ac:dyDescent="0.25">
      <c r="B3748" s="31" t="s">
        <v>26303</v>
      </c>
      <c r="C3748" s="20"/>
      <c r="D3748" s="25" t="s">
        <v>26185</v>
      </c>
      <c r="E3748" s="20" t="s">
        <v>26307</v>
      </c>
      <c r="F3748" s="9" t="str">
        <f t="shared" si="51"/>
        <v>structure with developmental contribution from neural crest</v>
      </c>
      <c r="G3748" s="9" t="s">
        <v>5090</v>
      </c>
      <c r="H3748" s="9" t="s">
        <v>21348</v>
      </c>
      <c r="I3748" s="9" t="s">
        <v>7089</v>
      </c>
      <c r="J3748" s="9" t="s">
        <v>7090</v>
      </c>
      <c r="K3748" s="4" t="s">
        <v>15175</v>
      </c>
      <c r="L3748" s="13">
        <v>11730</v>
      </c>
      <c r="M3748" t="str">
        <f>VLOOKUP(L3748,[1]Human_BrainSpan!$B$2:$C$4000,2,FALSE)</f>
        <v>iCPdgo</v>
      </c>
    </row>
    <row r="3749" spans="2:13" x14ac:dyDescent="0.25">
      <c r="B3749" s="31" t="s">
        <v>26303</v>
      </c>
      <c r="C3749" s="20"/>
      <c r="D3749" s="25" t="s">
        <v>26185</v>
      </c>
      <c r="E3749" s="20" t="s">
        <v>26307</v>
      </c>
      <c r="F3749" s="9" t="str">
        <f t="shared" si="51"/>
        <v>structure with developmental contribution from neural crest</v>
      </c>
      <c r="G3749" s="9" t="s">
        <v>5090</v>
      </c>
      <c r="H3749" s="9" t="s">
        <v>21349</v>
      </c>
      <c r="I3749" s="9" t="s">
        <v>7091</v>
      </c>
      <c r="J3749" s="9" t="s">
        <v>7092</v>
      </c>
      <c r="K3749" s="4" t="s">
        <v>15175</v>
      </c>
      <c r="L3749" s="13">
        <v>11731</v>
      </c>
      <c r="M3749" t="str">
        <f>VLOOKUP(L3749,[1]Human_BrainSpan!$B$2:$C$4000,2,FALSE)</f>
        <v>iCPdgi</v>
      </c>
    </row>
    <row r="3750" spans="2:13" x14ac:dyDescent="0.25">
      <c r="B3750" s="31" t="s">
        <v>26303</v>
      </c>
      <c r="C3750" s="9" t="s">
        <v>2103</v>
      </c>
      <c r="D3750" s="25" t="s">
        <v>26232</v>
      </c>
      <c r="E3750" s="25" t="s">
        <v>26306</v>
      </c>
      <c r="F3750" s="9" t="str">
        <f t="shared" si="51"/>
        <v>structure with developmental contribution from neural crest</v>
      </c>
      <c r="G3750" s="9" t="s">
        <v>5090</v>
      </c>
      <c r="H3750" s="9" t="s">
        <v>21350</v>
      </c>
      <c r="I3750" s="9" t="s">
        <v>7093</v>
      </c>
      <c r="J3750" s="9" t="s">
        <v>7094</v>
      </c>
      <c r="K3750" s="4" t="s">
        <v>15175</v>
      </c>
      <c r="L3750" s="13">
        <v>11732</v>
      </c>
      <c r="M3750" t="str">
        <f>VLOOKUP(L3750,[1]Human_BrainSpan!$B$2:$C$4000,2,FALSE)</f>
        <v>iCPgr</v>
      </c>
    </row>
    <row r="3751" spans="2:13" x14ac:dyDescent="0.25">
      <c r="B3751" s="31" t="s">
        <v>26303</v>
      </c>
      <c r="C3751" s="9" t="s">
        <v>2103</v>
      </c>
      <c r="D3751" s="25" t="s">
        <v>26232</v>
      </c>
      <c r="E3751" s="25" t="s">
        <v>26306</v>
      </c>
      <c r="F3751" s="9" t="str">
        <f t="shared" si="51"/>
        <v>structure with developmental contribution from neural crest</v>
      </c>
      <c r="G3751" s="9" t="s">
        <v>5090</v>
      </c>
      <c r="H3751" s="9" t="s">
        <v>21351</v>
      </c>
      <c r="I3751" s="9" t="s">
        <v>7095</v>
      </c>
      <c r="J3751" s="9" t="s">
        <v>7096</v>
      </c>
      <c r="K3751" s="4" t="s">
        <v>15175</v>
      </c>
      <c r="L3751" s="13">
        <v>11733</v>
      </c>
      <c r="M3751" t="str">
        <f>VLOOKUP(L3751,[1]Human_BrainSpan!$B$2:$C$4000,2,FALSE)</f>
        <v>iCPgro</v>
      </c>
    </row>
    <row r="3752" spans="2:13" x14ac:dyDescent="0.25">
      <c r="B3752" s="31" t="s">
        <v>26303</v>
      </c>
      <c r="C3752" s="9" t="s">
        <v>2103</v>
      </c>
      <c r="D3752" s="25" t="s">
        <v>26232</v>
      </c>
      <c r="E3752" s="25" t="s">
        <v>26306</v>
      </c>
      <c r="F3752" s="9" t="str">
        <f t="shared" si="51"/>
        <v>structure with developmental contribution from neural crest</v>
      </c>
      <c r="G3752" s="9" t="s">
        <v>5090</v>
      </c>
      <c r="H3752" s="9" t="s">
        <v>21352</v>
      </c>
      <c r="I3752" s="9" t="s">
        <v>7097</v>
      </c>
      <c r="J3752" s="9" t="s">
        <v>7098</v>
      </c>
      <c r="K3752" s="4" t="s">
        <v>15175</v>
      </c>
      <c r="L3752" s="13">
        <v>11734</v>
      </c>
      <c r="M3752" t="str">
        <f>VLOOKUP(L3752,[1]Human_BrainSpan!$B$2:$C$4000,2,FALSE)</f>
        <v>iCPgri</v>
      </c>
    </row>
    <row r="3753" spans="2:13" x14ac:dyDescent="0.25">
      <c r="B3753" s="31" t="s">
        <v>26299</v>
      </c>
      <c r="C3753" s="25" t="s">
        <v>19545</v>
      </c>
      <c r="D3753" s="25" t="s">
        <v>26232</v>
      </c>
      <c r="E3753" s="25" t="s">
        <v>26306</v>
      </c>
      <c r="F3753" s="9" t="str">
        <f t="shared" si="51"/>
        <v>structure with developmental contribution from neural crest</v>
      </c>
      <c r="G3753" s="9" t="s">
        <v>5090</v>
      </c>
      <c r="H3753" s="9" t="s">
        <v>21391</v>
      </c>
      <c r="I3753" s="9" t="s">
        <v>7099</v>
      </c>
      <c r="J3753" s="9" t="s">
        <v>7100</v>
      </c>
      <c r="K3753" s="4" t="s">
        <v>15175</v>
      </c>
      <c r="L3753" s="13">
        <v>11735</v>
      </c>
      <c r="M3753" t="str">
        <f>VLOOKUP(L3753,[1]Human_BrainSpan!$B$2:$C$4000,2,FALSE)</f>
        <v>CPhip</v>
      </c>
    </row>
    <row r="3754" spans="2:13" x14ac:dyDescent="0.25">
      <c r="B3754" s="31" t="s">
        <v>26299</v>
      </c>
      <c r="C3754" s="25" t="s">
        <v>19545</v>
      </c>
      <c r="D3754" s="25" t="s">
        <v>26232</v>
      </c>
      <c r="E3754" s="25" t="s">
        <v>26306</v>
      </c>
      <c r="F3754" s="9" t="str">
        <f t="shared" si="51"/>
        <v>structure with developmental contribution from neural crest</v>
      </c>
      <c r="G3754" s="9" t="s">
        <v>5090</v>
      </c>
      <c r="H3754" s="9" t="s">
        <v>21392</v>
      </c>
      <c r="I3754" s="9" t="s">
        <v>7101</v>
      </c>
      <c r="J3754" s="9" t="s">
        <v>7102</v>
      </c>
      <c r="K3754" s="4" t="s">
        <v>15175</v>
      </c>
      <c r="L3754" s="13">
        <v>11736</v>
      </c>
      <c r="M3754" t="str">
        <f>VLOOKUP(L3754,[1]Human_BrainSpan!$B$2:$C$4000,2,FALSE)</f>
        <v>CPhipr</v>
      </c>
    </row>
    <row r="3755" spans="2:13" x14ac:dyDescent="0.25">
      <c r="B3755" s="31" t="s">
        <v>26299</v>
      </c>
      <c r="C3755" s="25" t="s">
        <v>19545</v>
      </c>
      <c r="D3755" s="25" t="s">
        <v>26232</v>
      </c>
      <c r="E3755" s="25" t="s">
        <v>26306</v>
      </c>
      <c r="F3755" s="9" t="str">
        <f t="shared" si="51"/>
        <v>structure with developmental contribution from neural crest</v>
      </c>
      <c r="G3755" s="9" t="s">
        <v>5090</v>
      </c>
      <c r="H3755" s="9" t="s">
        <v>21393</v>
      </c>
      <c r="I3755" s="9" t="s">
        <v>7103</v>
      </c>
      <c r="J3755" s="9" t="s">
        <v>7104</v>
      </c>
      <c r="K3755" s="4" t="s">
        <v>15175</v>
      </c>
      <c r="L3755" s="13">
        <v>11737</v>
      </c>
      <c r="M3755" t="str">
        <f>VLOOKUP(L3755,[1]Human_BrainSpan!$B$2:$C$4000,2,FALSE)</f>
        <v>CPhipc</v>
      </c>
    </row>
    <row r="3756" spans="2:13" x14ac:dyDescent="0.25">
      <c r="B3756" s="31" t="s">
        <v>26303</v>
      </c>
      <c r="C3756" s="25" t="s">
        <v>14722</v>
      </c>
      <c r="D3756" s="25" t="s">
        <v>26232</v>
      </c>
      <c r="E3756" s="25" t="s">
        <v>26306</v>
      </c>
      <c r="F3756" s="9" t="str">
        <f t="shared" si="51"/>
        <v>structure with developmental contribution from neural crest</v>
      </c>
      <c r="G3756" s="9" t="s">
        <v>5090</v>
      </c>
      <c r="H3756" s="9" t="s">
        <v>21394</v>
      </c>
      <c r="I3756" s="9" t="s">
        <v>7105</v>
      </c>
      <c r="J3756" s="9" t="s">
        <v>7106</v>
      </c>
      <c r="K3756" s="4" t="s">
        <v>15175</v>
      </c>
      <c r="L3756" s="13">
        <v>11738</v>
      </c>
      <c r="M3756" t="str">
        <f>VLOOKUP(L3756,[1]Human_BrainSpan!$B$2:$C$4000,2,FALSE)</f>
        <v>CPsub</v>
      </c>
    </row>
    <row r="3757" spans="2:13" x14ac:dyDescent="0.25">
      <c r="B3757" s="31" t="s">
        <v>26303</v>
      </c>
      <c r="C3757" s="25" t="s">
        <v>14722</v>
      </c>
      <c r="D3757" s="25" t="s">
        <v>26232</v>
      </c>
      <c r="E3757" s="25" t="s">
        <v>26306</v>
      </c>
      <c r="F3757" s="9" t="str">
        <f t="shared" si="51"/>
        <v>structure with developmental contribution from neural crest</v>
      </c>
      <c r="G3757" s="9" t="s">
        <v>5090</v>
      </c>
      <c r="H3757" s="9" t="s">
        <v>21395</v>
      </c>
      <c r="I3757" s="9" t="s">
        <v>7107</v>
      </c>
      <c r="J3757" s="9" t="s">
        <v>7108</v>
      </c>
      <c r="K3757" s="4" t="s">
        <v>15175</v>
      </c>
      <c r="L3757" s="13">
        <v>11739</v>
      </c>
      <c r="M3757" t="str">
        <f>VLOOKUP(L3757,[1]Human_BrainSpan!$B$2:$C$4000,2,FALSE)</f>
        <v>CPsubr</v>
      </c>
    </row>
    <row r="3758" spans="2:13" x14ac:dyDescent="0.25">
      <c r="B3758" s="31" t="s">
        <v>26303</v>
      </c>
      <c r="C3758" s="25" t="s">
        <v>14722</v>
      </c>
      <c r="D3758" s="25" t="s">
        <v>26232</v>
      </c>
      <c r="E3758" s="25" t="s">
        <v>26306</v>
      </c>
      <c r="F3758" s="9" t="str">
        <f t="shared" si="51"/>
        <v>structure with developmental contribution from neural crest</v>
      </c>
      <c r="G3758" s="9" t="s">
        <v>5090</v>
      </c>
      <c r="H3758" s="9" t="s">
        <v>21396</v>
      </c>
      <c r="I3758" s="9" t="s">
        <v>7109</v>
      </c>
      <c r="J3758" s="9" t="s">
        <v>7110</v>
      </c>
      <c r="K3758" s="4" t="s">
        <v>15175</v>
      </c>
      <c r="L3758" s="13">
        <v>11740</v>
      </c>
      <c r="M3758" t="str">
        <f>VLOOKUP(L3758,[1]Human_BrainSpan!$B$2:$C$4000,2,FALSE)</f>
        <v>CPsubc</v>
      </c>
    </row>
    <row r="3759" spans="2:13" x14ac:dyDescent="0.25">
      <c r="B3759" s="31" t="s">
        <v>26303</v>
      </c>
      <c r="C3759" s="25" t="s">
        <v>4116</v>
      </c>
      <c r="D3759" s="25" t="s">
        <v>26232</v>
      </c>
      <c r="E3759" s="25" t="s">
        <v>26306</v>
      </c>
      <c r="F3759" s="9" t="str">
        <f t="shared" si="51"/>
        <v>structure with developmental contribution from neural crest</v>
      </c>
      <c r="G3759" s="9" t="s">
        <v>5090</v>
      </c>
      <c r="H3759" s="9" t="s">
        <v>21381</v>
      </c>
      <c r="I3759" s="9" t="s">
        <v>7111</v>
      </c>
      <c r="J3759" s="9" t="s">
        <v>7112</v>
      </c>
      <c r="K3759" s="4" t="s">
        <v>15175</v>
      </c>
      <c r="L3759" s="13">
        <v>11741</v>
      </c>
      <c r="M3759" t="str">
        <f>VLOOKUP(L3759,[1]Human_BrainSpan!$B$2:$C$4000,2,FALSE)</f>
        <v>CPprs</v>
      </c>
    </row>
    <row r="3760" spans="2:13" x14ac:dyDescent="0.25">
      <c r="B3760" s="31" t="s">
        <v>26303</v>
      </c>
      <c r="C3760" s="25" t="s">
        <v>1765</v>
      </c>
      <c r="D3760" s="25" t="s">
        <v>26232</v>
      </c>
      <c r="E3760" s="25" t="s">
        <v>26306</v>
      </c>
      <c r="F3760" s="9" t="str">
        <f t="shared" si="51"/>
        <v>structure with developmental contribution from neural crest</v>
      </c>
      <c r="G3760" s="9" t="s">
        <v>5090</v>
      </c>
      <c r="H3760" s="9" t="s">
        <v>21375</v>
      </c>
      <c r="I3760" s="9" t="s">
        <v>7113</v>
      </c>
      <c r="J3760" s="9" t="s">
        <v>7114</v>
      </c>
      <c r="K3760" s="4" t="s">
        <v>15175</v>
      </c>
      <c r="L3760" s="13">
        <v>11742</v>
      </c>
      <c r="M3760" t="str">
        <f>VLOOKUP(L3760,[1]Human_BrainSpan!$B$2:$C$4000,2,FALSE)</f>
        <v>CPEC</v>
      </c>
    </row>
    <row r="3761" spans="2:13" x14ac:dyDescent="0.25">
      <c r="B3761" s="31" t="s">
        <v>26303</v>
      </c>
      <c r="C3761" s="25" t="s">
        <v>1765</v>
      </c>
      <c r="D3761" s="25" t="s">
        <v>26232</v>
      </c>
      <c r="E3761" s="25" t="s">
        <v>26306</v>
      </c>
      <c r="F3761" s="9" t="str">
        <f t="shared" si="51"/>
        <v>structure with developmental contribution from neural crest</v>
      </c>
      <c r="G3761" s="9" t="s">
        <v>5090</v>
      </c>
      <c r="H3761" s="9" t="s">
        <v>21377</v>
      </c>
      <c r="I3761" s="9" t="s">
        <v>7115</v>
      </c>
      <c r="J3761" s="9" t="s">
        <v>7116</v>
      </c>
      <c r="K3761" s="4" t="s">
        <v>15175</v>
      </c>
      <c r="L3761" s="13">
        <v>11743</v>
      </c>
      <c r="M3761" t="str">
        <f>VLOOKUP(L3761,[1]Human_BrainSpan!$B$2:$C$4000,2,FALSE)</f>
        <v>CPeo</v>
      </c>
    </row>
    <row r="3762" spans="2:13" x14ac:dyDescent="0.25">
      <c r="B3762" s="31" t="s">
        <v>26303</v>
      </c>
      <c r="C3762" s="25" t="s">
        <v>25987</v>
      </c>
      <c r="D3762" s="25" t="s">
        <v>26232</v>
      </c>
      <c r="E3762" s="25" t="s">
        <v>26306</v>
      </c>
      <c r="F3762" s="9" t="str">
        <f t="shared" si="51"/>
        <v>structure with developmental contribution from neural crest</v>
      </c>
      <c r="G3762" s="9" t="s">
        <v>5090</v>
      </c>
      <c r="H3762" s="9" t="s">
        <v>21378</v>
      </c>
      <c r="I3762" s="9" t="s">
        <v>7117</v>
      </c>
      <c r="J3762" s="9" t="s">
        <v>7118</v>
      </c>
      <c r="K3762" s="4" t="s">
        <v>15175</v>
      </c>
      <c r="L3762" s="13">
        <v>11744</v>
      </c>
      <c r="M3762" t="str">
        <f>VLOOKUP(L3762,[1]Human_BrainSpan!$B$2:$C$4000,2,FALSE)</f>
        <v>CPer</v>
      </c>
    </row>
    <row r="3763" spans="2:13" x14ac:dyDescent="0.25">
      <c r="B3763" s="31" t="s">
        <v>26303</v>
      </c>
      <c r="C3763" s="25" t="s">
        <v>26020</v>
      </c>
      <c r="D3763" s="25" t="s">
        <v>26232</v>
      </c>
      <c r="E3763" s="25" t="s">
        <v>26306</v>
      </c>
      <c r="F3763" s="9" t="str">
        <f t="shared" si="51"/>
        <v>structure with developmental contribution from neural crest</v>
      </c>
      <c r="G3763" s="9" t="s">
        <v>5090</v>
      </c>
      <c r="H3763" s="9" t="s">
        <v>21380</v>
      </c>
      <c r="I3763" s="9" t="s">
        <v>7119</v>
      </c>
      <c r="J3763" s="9" t="s">
        <v>7120</v>
      </c>
      <c r="K3763" s="4" t="s">
        <v>15175</v>
      </c>
      <c r="L3763" s="13">
        <v>11745</v>
      </c>
      <c r="M3763" t="str">
        <f>VLOOKUP(L3763,[1]Human_BrainSpan!$B$2:$C$4000,2,FALSE)</f>
        <v>CPec</v>
      </c>
    </row>
    <row r="3764" spans="2:13" x14ac:dyDescent="0.25">
      <c r="B3764" s="31" t="s">
        <v>26303</v>
      </c>
      <c r="C3764" s="25" t="s">
        <v>3815</v>
      </c>
      <c r="D3764" s="25" t="s">
        <v>26232</v>
      </c>
      <c r="E3764" s="25" t="s">
        <v>26306</v>
      </c>
      <c r="F3764" s="9" t="str">
        <f t="shared" si="51"/>
        <v>structure with developmental contribution from neural crest</v>
      </c>
      <c r="G3764" s="9" t="s">
        <v>5090</v>
      </c>
      <c r="H3764" s="9" t="s">
        <v>21367</v>
      </c>
      <c r="I3764" s="9" t="s">
        <v>7121</v>
      </c>
      <c r="J3764" s="9" t="s">
        <v>7122</v>
      </c>
      <c r="K3764" s="4" t="s">
        <v>15175</v>
      </c>
      <c r="L3764" s="13">
        <v>11746</v>
      </c>
      <c r="M3764" t="str">
        <f>VLOOKUP(L3764,[1]Human_BrainSpan!$B$2:$C$4000,2,FALSE)</f>
        <v>CPpc</v>
      </c>
    </row>
    <row r="3765" spans="2:13" x14ac:dyDescent="0.25">
      <c r="B3765" s="31" t="s">
        <v>26303</v>
      </c>
      <c r="C3765" s="25" t="s">
        <v>3815</v>
      </c>
      <c r="D3765" s="25" t="s">
        <v>26232</v>
      </c>
      <c r="E3765" s="25" t="s">
        <v>26306</v>
      </c>
      <c r="F3765" s="9" t="str">
        <f t="shared" si="51"/>
        <v>structure with developmental contribution from neural crest</v>
      </c>
      <c r="G3765" s="9" t="s">
        <v>5090</v>
      </c>
      <c r="H3765" s="9" t="s">
        <v>21368</v>
      </c>
      <c r="I3765" s="9" t="s">
        <v>7123</v>
      </c>
      <c r="J3765" s="9" t="s">
        <v>7124</v>
      </c>
      <c r="K3765" s="4" t="s">
        <v>15175</v>
      </c>
      <c r="L3765" s="13">
        <v>11747</v>
      </c>
      <c r="M3765" t="str">
        <f>VLOOKUP(L3765,[1]Human_BrainSpan!$B$2:$C$4000,2,FALSE)</f>
        <v>CPpcr</v>
      </c>
    </row>
    <row r="3766" spans="2:13" x14ac:dyDescent="0.25">
      <c r="B3766" s="31" t="s">
        <v>26303</v>
      </c>
      <c r="C3766" s="25" t="s">
        <v>3815</v>
      </c>
      <c r="D3766" s="25" t="s">
        <v>26232</v>
      </c>
      <c r="E3766" s="25" t="s">
        <v>26306</v>
      </c>
      <c r="F3766" s="9" t="str">
        <f t="shared" si="51"/>
        <v>structure with developmental contribution from neural crest</v>
      </c>
      <c r="G3766" s="9" t="s">
        <v>5090</v>
      </c>
      <c r="H3766" s="9" t="s">
        <v>21369</v>
      </c>
      <c r="I3766" s="9" t="s">
        <v>7125</v>
      </c>
      <c r="J3766" s="9" t="s">
        <v>7126</v>
      </c>
      <c r="K3766" s="4" t="s">
        <v>15175</v>
      </c>
      <c r="L3766" s="13">
        <v>11748</v>
      </c>
      <c r="M3766" t="str">
        <f>VLOOKUP(L3766,[1]Human_BrainSpan!$B$2:$C$4000,2,FALSE)</f>
        <v>CPpcro</v>
      </c>
    </row>
    <row r="3767" spans="2:13" x14ac:dyDescent="0.25">
      <c r="B3767" s="31" t="s">
        <v>26303</v>
      </c>
      <c r="C3767" s="25" t="s">
        <v>3815</v>
      </c>
      <c r="D3767" s="25" t="s">
        <v>26232</v>
      </c>
      <c r="E3767" s="25" t="s">
        <v>26306</v>
      </c>
      <c r="F3767" s="9" t="str">
        <f t="shared" ref="F3767:F3830" si="52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3767" s="9" t="s">
        <v>5090</v>
      </c>
      <c r="H3767" s="9" t="s">
        <v>21370</v>
      </c>
      <c r="I3767" s="9" t="s">
        <v>7127</v>
      </c>
      <c r="J3767" s="9" t="s">
        <v>7128</v>
      </c>
      <c r="K3767" s="4" t="s">
        <v>15175</v>
      </c>
      <c r="L3767" s="13">
        <v>11749</v>
      </c>
      <c r="M3767" t="str">
        <f>VLOOKUP(L3767,[1]Human_BrainSpan!$B$2:$C$4000,2,FALSE)</f>
        <v>CPpcri</v>
      </c>
    </row>
    <row r="3768" spans="2:13" x14ac:dyDescent="0.25">
      <c r="B3768" s="31" t="s">
        <v>26303</v>
      </c>
      <c r="C3768" s="25" t="s">
        <v>3815</v>
      </c>
      <c r="D3768" s="25" t="s">
        <v>26232</v>
      </c>
      <c r="E3768" s="25" t="s">
        <v>26306</v>
      </c>
      <c r="F3768" s="9" t="str">
        <f t="shared" si="52"/>
        <v>structure with developmental contribution from neural crest</v>
      </c>
      <c r="G3768" s="9" t="s">
        <v>5090</v>
      </c>
      <c r="H3768" s="9" t="s">
        <v>21371</v>
      </c>
      <c r="I3768" s="9" t="s">
        <v>7129</v>
      </c>
      <c r="J3768" s="9" t="s">
        <v>7130</v>
      </c>
      <c r="K3768" s="4" t="s">
        <v>15175</v>
      </c>
      <c r="L3768" s="13">
        <v>11750</v>
      </c>
      <c r="M3768" t="str">
        <f>VLOOKUP(L3768,[1]Human_BrainSpan!$B$2:$C$4000,2,FALSE)</f>
        <v>CPpcc</v>
      </c>
    </row>
    <row r="3769" spans="2:13" x14ac:dyDescent="0.25">
      <c r="B3769" s="31" t="s">
        <v>26303</v>
      </c>
      <c r="C3769" s="25" t="s">
        <v>3815</v>
      </c>
      <c r="D3769" s="25" t="s">
        <v>26232</v>
      </c>
      <c r="E3769" s="25" t="s">
        <v>26306</v>
      </c>
      <c r="F3769" s="9" t="str">
        <f t="shared" si="52"/>
        <v>structure with developmental contribution from neural crest</v>
      </c>
      <c r="G3769" s="9" t="s">
        <v>5090</v>
      </c>
      <c r="H3769" s="9" t="s">
        <v>21372</v>
      </c>
      <c r="I3769" s="9" t="s">
        <v>7131</v>
      </c>
      <c r="J3769" s="9" t="s">
        <v>7132</v>
      </c>
      <c r="K3769" s="4" t="s">
        <v>15175</v>
      </c>
      <c r="L3769" s="13">
        <v>11751</v>
      </c>
      <c r="M3769" t="str">
        <f>VLOOKUP(L3769,[1]Human_BrainSpan!$B$2:$C$4000,2,FALSE)</f>
        <v>CPpcco</v>
      </c>
    </row>
    <row r="3770" spans="2:13" x14ac:dyDescent="0.25">
      <c r="B3770" s="31" t="s">
        <v>26303</v>
      </c>
      <c r="C3770" s="25" t="s">
        <v>3815</v>
      </c>
      <c r="D3770" s="25" t="s">
        <v>26232</v>
      </c>
      <c r="E3770" s="25" t="s">
        <v>26306</v>
      </c>
      <c r="F3770" s="9" t="str">
        <f t="shared" si="52"/>
        <v>structure with developmental contribution from neural crest</v>
      </c>
      <c r="G3770" s="9" t="s">
        <v>5090</v>
      </c>
      <c r="H3770" s="9" t="s">
        <v>21373</v>
      </c>
      <c r="I3770" s="9" t="s">
        <v>7133</v>
      </c>
      <c r="J3770" s="9" t="s">
        <v>7134</v>
      </c>
      <c r="K3770" s="4" t="s">
        <v>15175</v>
      </c>
      <c r="L3770" s="13">
        <v>11752</v>
      </c>
      <c r="M3770" t="str">
        <f>VLOOKUP(L3770,[1]Human_BrainSpan!$B$2:$C$4000,2,FALSE)</f>
        <v>CPpcci</v>
      </c>
    </row>
    <row r="3771" spans="2:13" x14ac:dyDescent="0.25">
      <c r="B3771" s="31" t="s">
        <v>26299</v>
      </c>
      <c r="C3771" s="25" t="s">
        <v>26190</v>
      </c>
      <c r="D3771" s="25" t="s">
        <v>26232</v>
      </c>
      <c r="E3771" s="25" t="s">
        <v>26306</v>
      </c>
      <c r="F3771" s="9" t="str">
        <f t="shared" si="52"/>
        <v>structure with developmental contribution from neural crest</v>
      </c>
      <c r="G3771" s="9" t="s">
        <v>5090</v>
      </c>
      <c r="H3771" s="9" t="s">
        <v>21384</v>
      </c>
      <c r="I3771" s="9" t="s">
        <v>7135</v>
      </c>
      <c r="J3771" s="9" t="s">
        <v>7136</v>
      </c>
      <c r="K3771" s="4" t="s">
        <v>15175</v>
      </c>
      <c r="L3771" s="13">
        <v>11753</v>
      </c>
      <c r="M3771" t="str">
        <f>VLOOKUP(L3771,[1]Human_BrainSpan!$B$2:$C$4000,2,FALSE)</f>
        <v>CPrs</v>
      </c>
    </row>
    <row r="3772" spans="2:13" x14ac:dyDescent="0.25">
      <c r="B3772" s="31" t="s">
        <v>26299</v>
      </c>
      <c r="C3772" s="25" t="s">
        <v>26190</v>
      </c>
      <c r="D3772" s="25" t="s">
        <v>26232</v>
      </c>
      <c r="E3772" s="25" t="s">
        <v>26306</v>
      </c>
      <c r="F3772" s="9" t="str">
        <f t="shared" si="52"/>
        <v>structure with developmental contribution from neural crest</v>
      </c>
      <c r="G3772" s="9" t="s">
        <v>5090</v>
      </c>
      <c r="H3772" s="9" t="s">
        <v>21385</v>
      </c>
      <c r="I3772" s="9" t="s">
        <v>7137</v>
      </c>
      <c r="J3772" s="9" t="s">
        <v>7138</v>
      </c>
      <c r="K3772" s="4" t="s">
        <v>15175</v>
      </c>
      <c r="L3772" s="13">
        <v>11754</v>
      </c>
      <c r="M3772" t="str">
        <f>VLOOKUP(L3772,[1]Human_BrainSpan!$B$2:$C$4000,2,FALSE)</f>
        <v>CPrso</v>
      </c>
    </row>
    <row r="3773" spans="2:13" x14ac:dyDescent="0.25">
      <c r="B3773" s="31" t="s">
        <v>26299</v>
      </c>
      <c r="C3773" s="25" t="s">
        <v>26190</v>
      </c>
      <c r="D3773" s="25" t="s">
        <v>26232</v>
      </c>
      <c r="E3773" s="25" t="s">
        <v>26306</v>
      </c>
      <c r="F3773" s="9" t="str">
        <f t="shared" si="52"/>
        <v>structure with developmental contribution from neural crest</v>
      </c>
      <c r="G3773" s="9" t="s">
        <v>5090</v>
      </c>
      <c r="H3773" s="9" t="s">
        <v>21386</v>
      </c>
      <c r="I3773" s="9" t="s">
        <v>7139</v>
      </c>
      <c r="J3773" s="9" t="s">
        <v>7140</v>
      </c>
      <c r="K3773" s="4" t="s">
        <v>15175</v>
      </c>
      <c r="L3773" s="13">
        <v>11755</v>
      </c>
      <c r="M3773" t="str">
        <f>VLOOKUP(L3773,[1]Human_BrainSpan!$B$2:$C$4000,2,FALSE)</f>
        <v>CPrsi</v>
      </c>
    </row>
    <row r="3774" spans="2:13" x14ac:dyDescent="0.25">
      <c r="B3774" s="31" t="s">
        <v>26303</v>
      </c>
      <c r="C3774" s="25" t="s">
        <v>4077</v>
      </c>
      <c r="D3774" s="25" t="s">
        <v>26232</v>
      </c>
      <c r="E3774" s="25" t="s">
        <v>26306</v>
      </c>
      <c r="F3774" s="9" t="str">
        <f t="shared" si="52"/>
        <v>structure with developmental contribution from neural crest</v>
      </c>
      <c r="G3774" s="9" t="s">
        <v>5090</v>
      </c>
      <c r="H3774" s="9" t="s">
        <v>21401</v>
      </c>
      <c r="I3774" s="9" t="s">
        <v>7141</v>
      </c>
      <c r="J3774" s="9" t="s">
        <v>7142</v>
      </c>
      <c r="K3774" s="4" t="s">
        <v>15175</v>
      </c>
      <c r="L3774" s="13">
        <v>11756</v>
      </c>
      <c r="M3774" t="str">
        <f>VLOOKUP(L3774,[1]Human_BrainSpan!$B$2:$C$4000,2,FALSE)</f>
        <v>fSPdm</v>
      </c>
    </row>
    <row r="3775" spans="2:13" x14ac:dyDescent="0.25">
      <c r="B3775" s="31" t="s">
        <v>26303</v>
      </c>
      <c r="C3775" s="25" t="s">
        <v>26080</v>
      </c>
      <c r="D3775" s="25" t="s">
        <v>26232</v>
      </c>
      <c r="E3775" s="25" t="s">
        <v>26306</v>
      </c>
      <c r="F3775" s="9" t="str">
        <f t="shared" si="52"/>
        <v>structure with developmental contribution from neural crest</v>
      </c>
      <c r="G3775" s="9" t="s">
        <v>5090</v>
      </c>
      <c r="H3775" s="9" t="s">
        <v>21404</v>
      </c>
      <c r="I3775" s="9" t="s">
        <v>7143</v>
      </c>
      <c r="J3775" s="9" t="s">
        <v>7144</v>
      </c>
      <c r="K3775" s="4" t="s">
        <v>15175</v>
      </c>
      <c r="L3775" s="13">
        <v>11757</v>
      </c>
      <c r="M3775" t="str">
        <f>VLOOKUP(L3775,[1]Human_BrainSpan!$B$2:$C$4000,2,FALSE)</f>
        <v>fSPor</v>
      </c>
    </row>
    <row r="3776" spans="2:13" x14ac:dyDescent="0.25">
      <c r="B3776" s="31" t="s">
        <v>26303</v>
      </c>
      <c r="C3776" s="25" t="s">
        <v>2016</v>
      </c>
      <c r="D3776" s="25" t="s">
        <v>26232</v>
      </c>
      <c r="E3776" s="25" t="s">
        <v>26306</v>
      </c>
      <c r="F3776" s="9" t="str">
        <f t="shared" si="52"/>
        <v>structure with developmental contribution from neural crest</v>
      </c>
      <c r="G3776" s="9" t="s">
        <v>5090</v>
      </c>
      <c r="H3776" s="9" t="s">
        <v>21405</v>
      </c>
      <c r="I3776" s="9" t="s">
        <v>7145</v>
      </c>
      <c r="J3776" s="9" t="s">
        <v>7146</v>
      </c>
      <c r="K3776" s="4" t="s">
        <v>15175</v>
      </c>
      <c r="L3776" s="13">
        <v>11758</v>
      </c>
      <c r="M3776" t="str">
        <f>VLOOKUP(L3776,[1]Human_BrainSpan!$B$2:$C$4000,2,FALSE)</f>
        <v>fSPm1</v>
      </c>
    </row>
    <row r="3777" spans="2:13" x14ac:dyDescent="0.25">
      <c r="B3777" s="31" t="s">
        <v>26303</v>
      </c>
      <c r="C3777" s="25" t="s">
        <v>1636</v>
      </c>
      <c r="D3777" s="25" t="s">
        <v>26232</v>
      </c>
      <c r="E3777" s="25" t="s">
        <v>26306</v>
      </c>
      <c r="F3777" s="9" t="str">
        <f t="shared" si="52"/>
        <v>structure with developmental contribution from neural crest</v>
      </c>
      <c r="G3777" s="9" t="s">
        <v>5090</v>
      </c>
      <c r="H3777" s="9" t="s">
        <v>21402</v>
      </c>
      <c r="I3777" s="9" t="s">
        <v>7147</v>
      </c>
      <c r="J3777" s="9" t="s">
        <v>7148</v>
      </c>
      <c r="K3777" s="4" t="s">
        <v>15175</v>
      </c>
      <c r="L3777" s="13">
        <v>11759</v>
      </c>
      <c r="M3777" t="str">
        <f>VLOOKUP(L3777,[1]Human_BrainSpan!$B$2:$C$4000,2,FALSE)</f>
        <v>fSPdl</v>
      </c>
    </row>
    <row r="3778" spans="2:13" x14ac:dyDescent="0.25">
      <c r="B3778" s="31" t="s">
        <v>26303</v>
      </c>
      <c r="C3778" s="25" t="s">
        <v>4077</v>
      </c>
      <c r="D3778" s="25" t="s">
        <v>26232</v>
      </c>
      <c r="E3778" s="25" t="s">
        <v>26306</v>
      </c>
      <c r="F3778" s="9" t="str">
        <f t="shared" si="52"/>
        <v>structure with developmental contribution from neural crest</v>
      </c>
      <c r="G3778" s="9" t="s">
        <v>5090</v>
      </c>
      <c r="H3778" s="9" t="s">
        <v>21403</v>
      </c>
      <c r="I3778" s="9" t="s">
        <v>7149</v>
      </c>
      <c r="J3778" s="9" t="s">
        <v>7150</v>
      </c>
      <c r="K3778" s="4" t="s">
        <v>15175</v>
      </c>
      <c r="L3778" s="13">
        <v>11760</v>
      </c>
      <c r="M3778" t="str">
        <f>VLOOKUP(L3778,[1]Human_BrainSpan!$B$2:$C$4000,2,FALSE)</f>
        <v>fSPvl</v>
      </c>
    </row>
    <row r="3779" spans="2:13" x14ac:dyDescent="0.25">
      <c r="B3779" s="31" t="s">
        <v>26303</v>
      </c>
      <c r="C3779" s="25" t="s">
        <v>2027</v>
      </c>
      <c r="D3779" s="25" t="s">
        <v>26232</v>
      </c>
      <c r="E3779" s="25" t="s">
        <v>26306</v>
      </c>
      <c r="F3779" s="9" t="str">
        <f t="shared" si="52"/>
        <v>structure with developmental contribution from neural crest</v>
      </c>
      <c r="G3779" s="9" t="s">
        <v>5090</v>
      </c>
      <c r="H3779" s="9" t="s">
        <v>21400</v>
      </c>
      <c r="I3779" s="9" t="s">
        <v>7151</v>
      </c>
      <c r="J3779" s="9" t="s">
        <v>7152</v>
      </c>
      <c r="K3779" s="4" t="s">
        <v>15175</v>
      </c>
      <c r="L3779" s="13">
        <v>11761</v>
      </c>
      <c r="M3779" t="str">
        <f>VLOOKUP(L3779,[1]Human_BrainSpan!$B$2:$C$4000,2,FALSE)</f>
        <v>fSPfp</v>
      </c>
    </row>
    <row r="3780" spans="2:13" x14ac:dyDescent="0.25">
      <c r="B3780" s="31" t="s">
        <v>26303</v>
      </c>
      <c r="C3780" s="25" t="s">
        <v>26175</v>
      </c>
      <c r="D3780" s="25" t="s">
        <v>26232</v>
      </c>
      <c r="E3780" s="25"/>
      <c r="F3780" s="9" t="str">
        <f t="shared" si="52"/>
        <v>structure with developmental contribution from neural crest</v>
      </c>
      <c r="G3780" s="9" t="s">
        <v>5090</v>
      </c>
      <c r="H3780" s="9" t="s">
        <v>21429</v>
      </c>
      <c r="I3780" s="9" t="s">
        <v>7153</v>
      </c>
      <c r="J3780" s="9" t="s">
        <v>7154</v>
      </c>
      <c r="K3780" s="4" t="s">
        <v>15175</v>
      </c>
      <c r="L3780" s="13">
        <v>11762</v>
      </c>
      <c r="M3780" t="str">
        <f>VLOOKUP(L3780,[1]Human_BrainSpan!$B$2:$C$4000,2,FALSE)</f>
        <v>oSPv1</v>
      </c>
    </row>
    <row r="3781" spans="2:13" x14ac:dyDescent="0.25">
      <c r="B3781" s="31" t="s">
        <v>26303</v>
      </c>
      <c r="C3781" s="25" t="s">
        <v>25745</v>
      </c>
      <c r="D3781" s="25" t="s">
        <v>26232</v>
      </c>
      <c r="E3781" s="25" t="s">
        <v>26306</v>
      </c>
      <c r="F3781" s="9" t="str">
        <f t="shared" si="52"/>
        <v>structure with developmental contribution from neural crest</v>
      </c>
      <c r="G3781" s="9" t="s">
        <v>5090</v>
      </c>
      <c r="H3781" s="9" t="s">
        <v>21431</v>
      </c>
      <c r="I3781" s="9" t="s">
        <v>7155</v>
      </c>
      <c r="J3781" s="9" t="s">
        <v>7156</v>
      </c>
      <c r="K3781" s="4" t="s">
        <v>15175</v>
      </c>
      <c r="L3781" s="13">
        <v>11763</v>
      </c>
      <c r="M3781" t="str">
        <f>VLOOKUP(L3781,[1]Human_BrainSpan!$B$2:$C$4000,2,FALSE)</f>
        <v>oSPdm</v>
      </c>
    </row>
    <row r="3782" spans="2:13" x14ac:dyDescent="0.25">
      <c r="B3782" s="31" t="s">
        <v>26303</v>
      </c>
      <c r="C3782" s="25" t="s">
        <v>25933</v>
      </c>
      <c r="D3782" s="25" t="s">
        <v>26232</v>
      </c>
      <c r="E3782" s="25" t="s">
        <v>26306</v>
      </c>
      <c r="F3782" s="9" t="str">
        <f t="shared" si="52"/>
        <v>structure with developmental contribution from neural crest</v>
      </c>
      <c r="G3782" s="9" t="s">
        <v>5090</v>
      </c>
      <c r="H3782" s="9" t="s">
        <v>21432</v>
      </c>
      <c r="I3782" s="9" t="s">
        <v>7157</v>
      </c>
      <c r="J3782" s="9" t="s">
        <v>7158</v>
      </c>
      <c r="K3782" s="4" t="s">
        <v>15175</v>
      </c>
      <c r="L3782" s="13">
        <v>11764</v>
      </c>
      <c r="M3782" t="str">
        <f>VLOOKUP(L3782,[1]Human_BrainSpan!$B$2:$C$4000,2,FALSE)</f>
        <v>oSPvm</v>
      </c>
    </row>
    <row r="3783" spans="2:13" x14ac:dyDescent="0.25">
      <c r="B3783" s="31" t="s">
        <v>26303</v>
      </c>
      <c r="C3783" s="25" t="s">
        <v>25933</v>
      </c>
      <c r="D3783" s="25" t="s">
        <v>26232</v>
      </c>
      <c r="E3783" s="25" t="s">
        <v>26306</v>
      </c>
      <c r="F3783" s="9" t="str">
        <f t="shared" si="52"/>
        <v>structure with developmental contribution from neural crest</v>
      </c>
      <c r="G3783" s="9" t="s">
        <v>5090</v>
      </c>
      <c r="H3783" s="9" t="s">
        <v>21433</v>
      </c>
      <c r="I3783" s="9" t="s">
        <v>7159</v>
      </c>
      <c r="J3783" s="9" t="s">
        <v>7160</v>
      </c>
      <c r="K3783" s="4" t="s">
        <v>15175</v>
      </c>
      <c r="L3783" s="13">
        <v>11765</v>
      </c>
      <c r="M3783" t="str">
        <f>VLOOKUP(L3783,[1]Human_BrainSpan!$B$2:$C$4000,2,FALSE)</f>
        <v>oSPml</v>
      </c>
    </row>
    <row r="3784" spans="2:13" x14ac:dyDescent="0.25">
      <c r="B3784" s="31" t="s">
        <v>26303</v>
      </c>
      <c r="C3784" s="25" t="s">
        <v>26173</v>
      </c>
      <c r="D3784" s="25" t="s">
        <v>26232</v>
      </c>
      <c r="E3784" s="25" t="s">
        <v>26306</v>
      </c>
      <c r="F3784" s="9" t="str">
        <f t="shared" si="52"/>
        <v>structure with developmental contribution from neural crest</v>
      </c>
      <c r="G3784" s="9" t="s">
        <v>5090</v>
      </c>
      <c r="H3784" s="9" t="s">
        <v>21407</v>
      </c>
      <c r="I3784" s="9" t="s">
        <v>7161</v>
      </c>
      <c r="J3784" s="9" t="s">
        <v>7162</v>
      </c>
      <c r="K3784" s="4" t="s">
        <v>15175</v>
      </c>
      <c r="L3784" s="13">
        <v>11766</v>
      </c>
      <c r="M3784" t="str">
        <f>VLOOKUP(L3784,[1]Human_BrainSpan!$B$2:$C$4000,2,FALSE)</f>
        <v>pSPs1</v>
      </c>
    </row>
    <row r="3785" spans="2:13" x14ac:dyDescent="0.25">
      <c r="B3785" s="31" t="s">
        <v>26303</v>
      </c>
      <c r="C3785" s="25" t="s">
        <v>3729</v>
      </c>
      <c r="D3785" s="25" t="s">
        <v>26232</v>
      </c>
      <c r="E3785" s="25"/>
      <c r="F3785" s="9" t="str">
        <f t="shared" si="52"/>
        <v>structure with developmental contribution from neural crest</v>
      </c>
      <c r="G3785" s="9" t="s">
        <v>5090</v>
      </c>
      <c r="H3785" s="9" t="s">
        <v>21409</v>
      </c>
      <c r="I3785" s="9" t="s">
        <v>7163</v>
      </c>
      <c r="J3785" s="9" t="s">
        <v>7164</v>
      </c>
      <c r="K3785" s="4" t="s">
        <v>15175</v>
      </c>
      <c r="L3785" s="13">
        <v>11767</v>
      </c>
      <c r="M3785" t="str">
        <f>VLOOKUP(L3785,[1]Human_BrainSpan!$B$2:$C$4000,2,FALSE)</f>
        <v>pSPpd</v>
      </c>
    </row>
    <row r="3786" spans="2:13" x14ac:dyDescent="0.25">
      <c r="B3786" s="31" t="s">
        <v>26303</v>
      </c>
      <c r="C3786" s="25" t="s">
        <v>3729</v>
      </c>
      <c r="D3786" s="25" t="s">
        <v>26232</v>
      </c>
      <c r="E3786" s="25"/>
      <c r="F3786" s="9" t="str">
        <f t="shared" si="52"/>
        <v>structure with developmental contribution from neural crest</v>
      </c>
      <c r="G3786" s="9" t="s">
        <v>5090</v>
      </c>
      <c r="H3786" s="9" t="s">
        <v>21410</v>
      </c>
      <c r="I3786" s="9" t="s">
        <v>7165</v>
      </c>
      <c r="J3786" s="9" t="s">
        <v>7166</v>
      </c>
      <c r="K3786" s="4" t="s">
        <v>15175</v>
      </c>
      <c r="L3786" s="13">
        <v>11768</v>
      </c>
      <c r="M3786" t="str">
        <f>VLOOKUP(L3786,[1]Human_BrainSpan!$B$2:$C$4000,2,FALSE)</f>
        <v>pSPpv</v>
      </c>
    </row>
    <row r="3787" spans="2:13" x14ac:dyDescent="0.25">
      <c r="B3787" s="31" t="s">
        <v>26302</v>
      </c>
      <c r="C3787" s="25" t="s">
        <v>3729</v>
      </c>
      <c r="D3787" s="25" t="s">
        <v>26185</v>
      </c>
      <c r="E3787" s="25" t="s">
        <v>26307</v>
      </c>
      <c r="F3787" s="9" t="str">
        <f t="shared" si="52"/>
        <v>structure with developmental contribution from neural crest</v>
      </c>
      <c r="G3787" s="9" t="s">
        <v>5090</v>
      </c>
      <c r="H3787" s="9" t="s">
        <v>21408</v>
      </c>
      <c r="I3787" s="9" t="s">
        <v>7167</v>
      </c>
      <c r="J3787" s="9" t="s">
        <v>7168</v>
      </c>
      <c r="K3787" s="4" t="s">
        <v>15175</v>
      </c>
      <c r="L3787" s="13">
        <v>11769</v>
      </c>
      <c r="M3787" t="str">
        <f>VLOOKUP(L3787,[1]Human_BrainSpan!$B$2:$C$4000,2,FALSE)</f>
        <v>pSPdm</v>
      </c>
    </row>
    <row r="3788" spans="2:13" x14ac:dyDescent="0.25">
      <c r="B3788" s="31" t="s">
        <v>26303</v>
      </c>
      <c r="C3788" s="25" t="s">
        <v>26164</v>
      </c>
      <c r="D3788" s="25" t="s">
        <v>26232</v>
      </c>
      <c r="E3788" s="25" t="s">
        <v>26306</v>
      </c>
      <c r="F3788" s="9" t="str">
        <f t="shared" si="52"/>
        <v>structure with developmental contribution from neural crest</v>
      </c>
      <c r="G3788" s="9" t="s">
        <v>5090</v>
      </c>
      <c r="H3788" s="9" t="s">
        <v>21413</v>
      </c>
      <c r="I3788" s="9" t="s">
        <v>7169</v>
      </c>
      <c r="J3788" s="9" t="s">
        <v>7170</v>
      </c>
      <c r="K3788" s="4" t="s">
        <v>15175</v>
      </c>
      <c r="L3788" s="13">
        <v>11770</v>
      </c>
      <c r="M3788" t="str">
        <f>VLOOKUP(L3788,[1]Human_BrainSpan!$B$2:$C$4000,2,FALSE)</f>
        <v>tSPa1</v>
      </c>
    </row>
    <row r="3789" spans="2:13" x14ac:dyDescent="0.25">
      <c r="B3789" s="31" t="s">
        <v>26303</v>
      </c>
      <c r="C3789" s="20"/>
      <c r="D3789" s="25" t="s">
        <v>26232</v>
      </c>
      <c r="E3789" s="25" t="s">
        <v>26307</v>
      </c>
      <c r="F3789" s="9" t="str">
        <f t="shared" si="52"/>
        <v>structure with developmental contribution from neural crest</v>
      </c>
      <c r="G3789" s="9" t="s">
        <v>5090</v>
      </c>
      <c r="H3789" s="9" t="s">
        <v>21414</v>
      </c>
      <c r="I3789" s="9" t="s">
        <v>7171</v>
      </c>
      <c r="J3789" s="9" t="s">
        <v>7172</v>
      </c>
      <c r="K3789" s="4" t="s">
        <v>15175</v>
      </c>
      <c r="L3789" s="13">
        <v>11771</v>
      </c>
      <c r="M3789" t="str">
        <f>VLOOKUP(L3789,[1]Human_BrainSpan!$B$2:$C$4000,2,FALSE)</f>
        <v>tSPsl</v>
      </c>
    </row>
    <row r="3790" spans="2:13" x14ac:dyDescent="0.25">
      <c r="B3790" s="31" t="s">
        <v>26299</v>
      </c>
      <c r="C3790" s="25" t="s">
        <v>2416</v>
      </c>
      <c r="D3790" s="25" t="s">
        <v>26232</v>
      </c>
      <c r="E3790" s="25"/>
      <c r="F3790" s="9" t="str">
        <f t="shared" si="52"/>
        <v>structure with developmental contribution from neural crest</v>
      </c>
      <c r="G3790" s="9" t="s">
        <v>5090</v>
      </c>
      <c r="H3790" s="9" t="s">
        <v>21419</v>
      </c>
      <c r="I3790" s="9" t="s">
        <v>7173</v>
      </c>
      <c r="J3790" s="9" t="s">
        <v>7174</v>
      </c>
      <c r="K3790" s="4" t="s">
        <v>15175</v>
      </c>
      <c r="L3790" s="13">
        <v>11772</v>
      </c>
      <c r="M3790" t="str">
        <f>VLOOKUP(L3790,[1]Human_BrainSpan!$B$2:$C$4000,2,FALSE)</f>
        <v>tSPil</v>
      </c>
    </row>
    <row r="3791" spans="2:13" x14ac:dyDescent="0.25">
      <c r="B3791" s="31" t="s">
        <v>26303</v>
      </c>
      <c r="C3791" s="20"/>
      <c r="D3791" s="25" t="s">
        <v>26185</v>
      </c>
      <c r="E3791" s="25" t="s">
        <v>26307</v>
      </c>
      <c r="F3791" s="9" t="str">
        <f t="shared" si="52"/>
        <v>structure with developmental contribution from neural crest</v>
      </c>
      <c r="G3791" s="9" t="s">
        <v>5090</v>
      </c>
      <c r="H3791" s="9" t="s">
        <v>21420</v>
      </c>
      <c r="I3791" s="9" t="s">
        <v>7175</v>
      </c>
      <c r="J3791" s="9" t="s">
        <v>7176</v>
      </c>
      <c r="K3791" s="4" t="s">
        <v>15175</v>
      </c>
      <c r="L3791" s="13">
        <v>11773</v>
      </c>
      <c r="M3791" t="str">
        <f>VLOOKUP(L3791,[1]Human_BrainSpan!$B$2:$C$4000,2,FALSE)</f>
        <v>tSPmi</v>
      </c>
    </row>
    <row r="3792" spans="2:13" x14ac:dyDescent="0.25">
      <c r="B3792" s="31" t="s">
        <v>26303</v>
      </c>
      <c r="C3792" s="25" t="s">
        <v>3967</v>
      </c>
      <c r="D3792" s="25" t="s">
        <v>26232</v>
      </c>
      <c r="E3792" s="25" t="s">
        <v>26306</v>
      </c>
      <c r="F3792" s="9" t="str">
        <f t="shared" si="52"/>
        <v>structure with developmental contribution from neural crest</v>
      </c>
      <c r="G3792" s="9" t="s">
        <v>5090</v>
      </c>
      <c r="H3792" s="9" t="s">
        <v>21423</v>
      </c>
      <c r="I3792" s="9" t="s">
        <v>7177</v>
      </c>
      <c r="J3792" s="9" t="s">
        <v>7178</v>
      </c>
      <c r="K3792" s="4" t="s">
        <v>15175</v>
      </c>
      <c r="L3792" s="13">
        <v>11774</v>
      </c>
      <c r="M3792" t="str">
        <f>VLOOKUP(L3792,[1]Human_BrainSpan!$B$2:$C$4000,2,FALSE)</f>
        <v>tSPph</v>
      </c>
    </row>
    <row r="3793" spans="2:13" x14ac:dyDescent="0.25">
      <c r="B3793" s="31" t="s">
        <v>26303</v>
      </c>
      <c r="C3793" s="20"/>
      <c r="D3793" s="25" t="s">
        <v>26232</v>
      </c>
      <c r="E3793" s="25" t="s">
        <v>26307</v>
      </c>
      <c r="F3793" s="9" t="str">
        <f t="shared" si="52"/>
        <v>structure with developmental contribution from neural crest</v>
      </c>
      <c r="G3793" s="9" t="s">
        <v>5090</v>
      </c>
      <c r="H3793" s="9" t="s">
        <v>21424</v>
      </c>
      <c r="I3793" s="9" t="s">
        <v>7179</v>
      </c>
      <c r="J3793" s="9" t="s">
        <v>7180</v>
      </c>
      <c r="K3793" s="4" t="s">
        <v>15175</v>
      </c>
      <c r="L3793" s="13">
        <v>11775</v>
      </c>
      <c r="M3793" t="str">
        <f>VLOOKUP(L3793,[1]Human_BrainSpan!$B$2:$C$4000,2,FALSE)</f>
        <v>tSPmt</v>
      </c>
    </row>
    <row r="3794" spans="2:13" x14ac:dyDescent="0.25">
      <c r="B3794" s="31" t="s">
        <v>26303</v>
      </c>
      <c r="C3794" s="20"/>
      <c r="D3794" s="25" t="s">
        <v>26232</v>
      </c>
      <c r="E3794" s="25" t="s">
        <v>26307</v>
      </c>
      <c r="F3794" s="9" t="str">
        <f t="shared" si="52"/>
        <v>structure with developmental contribution from neural crest</v>
      </c>
      <c r="G3794" s="9" t="s">
        <v>5090</v>
      </c>
      <c r="H3794" s="9" t="s">
        <v>21425</v>
      </c>
      <c r="I3794" s="9" t="s">
        <v>7181</v>
      </c>
      <c r="J3794" s="9" t="s">
        <v>7182</v>
      </c>
      <c r="K3794" s="4" t="s">
        <v>15175</v>
      </c>
      <c r="L3794" s="13">
        <v>11776</v>
      </c>
      <c r="M3794" t="str">
        <f>VLOOKUP(L3794,[1]Human_BrainSpan!$B$2:$C$4000,2,FALSE)</f>
        <v>tSPlt</v>
      </c>
    </row>
    <row r="3795" spans="2:13" x14ac:dyDescent="0.25">
      <c r="B3795" s="31" t="s">
        <v>26303</v>
      </c>
      <c r="C3795" s="25" t="s">
        <v>14932</v>
      </c>
      <c r="D3795" s="25" t="s">
        <v>26232</v>
      </c>
      <c r="E3795" s="25"/>
      <c r="F3795" s="9" t="str">
        <f t="shared" si="52"/>
        <v>structure with developmental contribution from neural crest</v>
      </c>
      <c r="G3795" s="9" t="s">
        <v>5090</v>
      </c>
      <c r="H3795" s="9" t="s">
        <v>21426</v>
      </c>
      <c r="I3795" s="9" t="s">
        <v>7183</v>
      </c>
      <c r="J3795" s="9" t="s">
        <v>7184</v>
      </c>
      <c r="K3795" s="4" t="s">
        <v>15175</v>
      </c>
      <c r="L3795" s="13">
        <v>11777</v>
      </c>
      <c r="M3795" t="str">
        <f>VLOOKUP(L3795,[1]Human_BrainSpan!$B$2:$C$4000,2,FALSE)</f>
        <v>tSPtp</v>
      </c>
    </row>
    <row r="3796" spans="2:13" x14ac:dyDescent="0.25">
      <c r="B3796" s="31" t="s">
        <v>26303</v>
      </c>
      <c r="C3796" s="25" t="s">
        <v>1242</v>
      </c>
      <c r="D3796" s="25" t="s">
        <v>26232</v>
      </c>
      <c r="E3796" s="25" t="s">
        <v>26306</v>
      </c>
      <c r="F3796" s="9" t="str">
        <f t="shared" si="52"/>
        <v>structure with developmental contribution from neural crest</v>
      </c>
      <c r="G3796" s="9" t="s">
        <v>5090</v>
      </c>
      <c r="H3796" s="9" t="s">
        <v>21437</v>
      </c>
      <c r="I3796" s="9" t="s">
        <v>7185</v>
      </c>
      <c r="J3796" s="9" t="s">
        <v>7186</v>
      </c>
      <c r="K3796" s="4" t="s">
        <v>15175</v>
      </c>
      <c r="L3796" s="13">
        <v>11778</v>
      </c>
      <c r="M3796" t="str">
        <f>VLOOKUP(L3796,[1]Human_BrainSpan!$B$2:$C$4000,2,FALSE)</f>
        <v>cSP</v>
      </c>
    </row>
    <row r="3797" spans="2:13" x14ac:dyDescent="0.25">
      <c r="B3797" s="31" t="s">
        <v>26299</v>
      </c>
      <c r="C3797" s="25" t="s">
        <v>1242</v>
      </c>
      <c r="D3797" s="25" t="s">
        <v>26232</v>
      </c>
      <c r="E3797" s="25" t="s">
        <v>26306</v>
      </c>
      <c r="F3797" s="9" t="str">
        <f t="shared" si="52"/>
        <v>structure with developmental contribution from neural crest</v>
      </c>
      <c r="G3797" s="9" t="s">
        <v>5090</v>
      </c>
      <c r="H3797" s="9" t="s">
        <v>21438</v>
      </c>
      <c r="I3797" s="9" t="s">
        <v>7187</v>
      </c>
      <c r="J3797" s="9" t="s">
        <v>7188</v>
      </c>
      <c r="K3797" s="4" t="s">
        <v>15175</v>
      </c>
      <c r="L3797" s="13">
        <v>11779</v>
      </c>
      <c r="M3797" t="str">
        <f>VLOOKUP(L3797,[1]Human_BrainSpan!$B$2:$C$4000,2,FALSE)</f>
        <v>cSPr</v>
      </c>
    </row>
    <row r="3798" spans="2:13" x14ac:dyDescent="0.25">
      <c r="B3798" s="31" t="s">
        <v>26299</v>
      </c>
      <c r="C3798" s="25" t="s">
        <v>1242</v>
      </c>
      <c r="D3798" s="25" t="s">
        <v>26232</v>
      </c>
      <c r="E3798" s="25" t="s">
        <v>26306</v>
      </c>
      <c r="F3798" s="9" t="str">
        <f t="shared" si="52"/>
        <v>structure with developmental contribution from neural crest</v>
      </c>
      <c r="G3798" s="9" t="s">
        <v>5090</v>
      </c>
      <c r="H3798" s="9" t="s">
        <v>21439</v>
      </c>
      <c r="I3798" s="9" t="s">
        <v>7189</v>
      </c>
      <c r="J3798" s="9" t="s">
        <v>7190</v>
      </c>
      <c r="K3798" s="4" t="s">
        <v>15175</v>
      </c>
      <c r="L3798" s="13">
        <v>11780</v>
      </c>
      <c r="M3798" t="str">
        <f>VLOOKUP(L3798,[1]Human_BrainSpan!$B$2:$C$4000,2,FALSE)</f>
        <v>cSPmi</v>
      </c>
    </row>
    <row r="3799" spans="2:13" x14ac:dyDescent="0.25">
      <c r="B3799" s="31" t="s">
        <v>26299</v>
      </c>
      <c r="C3799" s="25" t="s">
        <v>1242</v>
      </c>
      <c r="D3799" s="25" t="s">
        <v>26232</v>
      </c>
      <c r="E3799" s="25" t="s">
        <v>26306</v>
      </c>
      <c r="F3799" s="9" t="str">
        <f t="shared" si="52"/>
        <v>structure with developmental contribution from neural crest</v>
      </c>
      <c r="G3799" s="9" t="s">
        <v>5090</v>
      </c>
      <c r="H3799" s="9" t="s">
        <v>21440</v>
      </c>
      <c r="I3799" s="9" t="s">
        <v>7191</v>
      </c>
      <c r="J3799" s="9" t="s">
        <v>7192</v>
      </c>
      <c r="K3799" s="4" t="s">
        <v>15175</v>
      </c>
      <c r="L3799" s="13">
        <v>11781</v>
      </c>
      <c r="M3799" t="str">
        <f>VLOOKUP(L3799,[1]Human_BrainSpan!$B$2:$C$4000,2,FALSE)</f>
        <v>cSPc</v>
      </c>
    </row>
    <row r="3800" spans="2:13" x14ac:dyDescent="0.25">
      <c r="B3800" s="31" t="s">
        <v>26299</v>
      </c>
      <c r="C3800" s="25" t="s">
        <v>1242</v>
      </c>
      <c r="D3800" s="25" t="s">
        <v>26232</v>
      </c>
      <c r="E3800" s="25" t="s">
        <v>26306</v>
      </c>
      <c r="F3800" s="9" t="str">
        <f t="shared" si="52"/>
        <v>structure with developmental contribution from neural crest</v>
      </c>
      <c r="G3800" s="9" t="s">
        <v>5090</v>
      </c>
      <c r="H3800" s="9" t="s">
        <v>21441</v>
      </c>
      <c r="I3800" s="9" t="s">
        <v>7193</v>
      </c>
      <c r="J3800" s="9" t="s">
        <v>7194</v>
      </c>
      <c r="K3800" s="4" t="s">
        <v>15175</v>
      </c>
      <c r="L3800" s="13">
        <v>11782</v>
      </c>
      <c r="M3800" t="str">
        <f>VLOOKUP(L3800,[1]Human_BrainSpan!$B$2:$C$4000,2,FALSE)</f>
        <v>cSPsg</v>
      </c>
    </row>
    <row r="3801" spans="2:13" x14ac:dyDescent="0.25">
      <c r="B3801" s="31" t="s">
        <v>26303</v>
      </c>
      <c r="C3801" s="25" t="s">
        <v>2440</v>
      </c>
      <c r="D3801" s="25" t="s">
        <v>26232</v>
      </c>
      <c r="E3801" s="25" t="s">
        <v>26306</v>
      </c>
      <c r="F3801" s="9" t="str">
        <f t="shared" si="52"/>
        <v>structure with developmental contribution from neural crest</v>
      </c>
      <c r="G3801" s="9" t="s">
        <v>5090</v>
      </c>
      <c r="H3801" s="9" t="s">
        <v>21434</v>
      </c>
      <c r="I3801" s="9" t="s">
        <v>7195</v>
      </c>
      <c r="J3801" s="9" t="s">
        <v>7196</v>
      </c>
      <c r="K3801" s="4" t="s">
        <v>15175</v>
      </c>
      <c r="L3801" s="13">
        <v>11783</v>
      </c>
      <c r="M3801" t="str">
        <f>VLOOKUP(L3801,[1]Human_BrainSpan!$B$2:$C$4000,2,FALSE)</f>
        <v>iSP</v>
      </c>
    </row>
    <row r="3802" spans="2:13" x14ac:dyDescent="0.25">
      <c r="B3802" s="31" t="s">
        <v>26303</v>
      </c>
      <c r="C3802" s="20"/>
      <c r="D3802" s="25" t="s">
        <v>26185</v>
      </c>
      <c r="E3802" s="20" t="s">
        <v>26307</v>
      </c>
      <c r="F3802" s="9" t="str">
        <f t="shared" si="52"/>
        <v>structure with developmental contribution from neural crest</v>
      </c>
      <c r="G3802" s="9" t="s">
        <v>5090</v>
      </c>
      <c r="H3802" s="9" t="s">
        <v>21435</v>
      </c>
      <c r="I3802" s="9" t="s">
        <v>7197</v>
      </c>
      <c r="J3802" s="9" t="s">
        <v>7198</v>
      </c>
      <c r="K3802" s="4" t="s">
        <v>15175</v>
      </c>
      <c r="L3802" s="13">
        <v>11784</v>
      </c>
      <c r="M3802" t="str">
        <f>VLOOKUP(L3802,[1]Human_BrainSpan!$B$2:$C$4000,2,FALSE)</f>
        <v>iSPdg</v>
      </c>
    </row>
    <row r="3803" spans="2:13" x14ac:dyDescent="0.25">
      <c r="B3803" s="31" t="s">
        <v>26303</v>
      </c>
      <c r="C3803" s="9" t="s">
        <v>2103</v>
      </c>
      <c r="D3803" s="25" t="s">
        <v>26232</v>
      </c>
      <c r="E3803" s="25" t="s">
        <v>26306</v>
      </c>
      <c r="F3803" s="9" t="str">
        <f t="shared" si="52"/>
        <v>structure with developmental contribution from neural crest</v>
      </c>
      <c r="G3803" s="9" t="s">
        <v>5090</v>
      </c>
      <c r="H3803" s="9" t="s">
        <v>21436</v>
      </c>
      <c r="I3803" s="9" t="s">
        <v>7199</v>
      </c>
      <c r="J3803" s="9" t="s">
        <v>7200</v>
      </c>
      <c r="K3803" s="4" t="s">
        <v>15175</v>
      </c>
      <c r="L3803" s="13">
        <v>11785</v>
      </c>
      <c r="M3803" t="str">
        <f>VLOOKUP(L3803,[1]Human_BrainSpan!$B$2:$C$4000,2,FALSE)</f>
        <v>iSPgr</v>
      </c>
    </row>
    <row r="3804" spans="2:13" x14ac:dyDescent="0.25">
      <c r="B3804" s="31" t="s">
        <v>26303</v>
      </c>
      <c r="C3804" s="25" t="s">
        <v>19545</v>
      </c>
      <c r="D3804" s="25" t="s">
        <v>26232</v>
      </c>
      <c r="E3804" s="25" t="s">
        <v>26306</v>
      </c>
      <c r="F3804" s="9" t="str">
        <f t="shared" si="52"/>
        <v>structure with developmental contribution from neural crest</v>
      </c>
      <c r="G3804" s="9" t="s">
        <v>5090</v>
      </c>
      <c r="H3804" s="9" t="s">
        <v>21456</v>
      </c>
      <c r="I3804" s="9" t="s">
        <v>7201</v>
      </c>
      <c r="J3804" s="9" t="s">
        <v>7202</v>
      </c>
      <c r="K3804" s="4" t="s">
        <v>15175</v>
      </c>
      <c r="L3804" s="13">
        <v>11786</v>
      </c>
      <c r="M3804" t="str">
        <f>VLOOKUP(L3804,[1]Human_BrainSpan!$B$2:$C$4000,2,FALSE)</f>
        <v>SPhip</v>
      </c>
    </row>
    <row r="3805" spans="2:13" x14ac:dyDescent="0.25">
      <c r="B3805" s="31" t="s">
        <v>26303</v>
      </c>
      <c r="C3805" s="25" t="s">
        <v>14722</v>
      </c>
      <c r="D3805" s="25" t="s">
        <v>26232</v>
      </c>
      <c r="E3805" s="25" t="s">
        <v>26306</v>
      </c>
      <c r="F3805" s="9" t="str">
        <f t="shared" si="52"/>
        <v>structure with developmental contribution from neural crest</v>
      </c>
      <c r="G3805" s="9" t="s">
        <v>5090</v>
      </c>
      <c r="H3805" s="9" t="s">
        <v>21459</v>
      </c>
      <c r="I3805" s="9" t="s">
        <v>7203</v>
      </c>
      <c r="J3805" s="9" t="s">
        <v>7204</v>
      </c>
      <c r="K3805" s="4" t="s">
        <v>15175</v>
      </c>
      <c r="L3805" s="13">
        <v>11787</v>
      </c>
      <c r="M3805" t="str">
        <f>VLOOKUP(L3805,[1]Human_BrainSpan!$B$2:$C$4000,2,FALSE)</f>
        <v>SPsub</v>
      </c>
    </row>
    <row r="3806" spans="2:13" x14ac:dyDescent="0.25">
      <c r="B3806" s="31" t="s">
        <v>26303</v>
      </c>
      <c r="C3806" s="25" t="s">
        <v>4116</v>
      </c>
      <c r="D3806" s="25" t="s">
        <v>26232</v>
      </c>
      <c r="E3806" s="25" t="s">
        <v>26306</v>
      </c>
      <c r="F3806" s="9" t="str">
        <f t="shared" si="52"/>
        <v>structure with developmental contribution from neural crest</v>
      </c>
      <c r="G3806" s="9" t="s">
        <v>5090</v>
      </c>
      <c r="H3806" s="9" t="s">
        <v>21450</v>
      </c>
      <c r="I3806" s="9" t="s">
        <v>7205</v>
      </c>
      <c r="J3806" s="9" t="s">
        <v>7206</v>
      </c>
      <c r="K3806" s="4" t="s">
        <v>15175</v>
      </c>
      <c r="L3806" s="13">
        <v>11788</v>
      </c>
      <c r="M3806" t="str">
        <f>VLOOKUP(L3806,[1]Human_BrainSpan!$B$2:$C$4000,2,FALSE)</f>
        <v>SPprs</v>
      </c>
    </row>
    <row r="3807" spans="2:13" x14ac:dyDescent="0.25">
      <c r="B3807" s="31" t="s">
        <v>26303</v>
      </c>
      <c r="C3807" s="25" t="s">
        <v>1765</v>
      </c>
      <c r="D3807" s="25" t="s">
        <v>26232</v>
      </c>
      <c r="E3807" s="25" t="s">
        <v>26306</v>
      </c>
      <c r="F3807" s="9" t="str">
        <f t="shared" si="52"/>
        <v>structure with developmental contribution from neural crest</v>
      </c>
      <c r="G3807" s="9" t="s">
        <v>5090</v>
      </c>
      <c r="H3807" s="9" t="s">
        <v>21447</v>
      </c>
      <c r="I3807" s="9" t="s">
        <v>7207</v>
      </c>
      <c r="J3807" s="9" t="s">
        <v>7208</v>
      </c>
      <c r="K3807" s="4" t="s">
        <v>15175</v>
      </c>
      <c r="L3807" s="13">
        <v>11789</v>
      </c>
      <c r="M3807" t="str">
        <f>VLOOKUP(L3807,[1]Human_BrainSpan!$B$2:$C$4000,2,FALSE)</f>
        <v>SPec</v>
      </c>
    </row>
    <row r="3808" spans="2:13" x14ac:dyDescent="0.25">
      <c r="B3808" s="31" t="s">
        <v>26303</v>
      </c>
      <c r="C3808" s="25" t="s">
        <v>3815</v>
      </c>
      <c r="D3808" s="25" t="s">
        <v>26232</v>
      </c>
      <c r="E3808" s="25" t="s">
        <v>26306</v>
      </c>
      <c r="F3808" s="9" t="str">
        <f t="shared" si="52"/>
        <v>structure with developmental contribution from neural crest</v>
      </c>
      <c r="G3808" s="9" t="s">
        <v>5090</v>
      </c>
      <c r="H3808" s="9" t="s">
        <v>21443</v>
      </c>
      <c r="I3808" s="9" t="s">
        <v>7209</v>
      </c>
      <c r="J3808" s="9" t="s">
        <v>7210</v>
      </c>
      <c r="K3808" s="4" t="s">
        <v>15175</v>
      </c>
      <c r="L3808" s="13">
        <v>11790</v>
      </c>
      <c r="M3808" t="str">
        <f>VLOOKUP(L3808,[1]Human_BrainSpan!$B$2:$C$4000,2,FALSE)</f>
        <v>SPpc</v>
      </c>
    </row>
    <row r="3809" spans="2:13" x14ac:dyDescent="0.25">
      <c r="B3809" s="31" t="s">
        <v>26299</v>
      </c>
      <c r="C3809" s="25" t="s">
        <v>26190</v>
      </c>
      <c r="D3809" s="25" t="s">
        <v>26232</v>
      </c>
      <c r="E3809" s="25" t="s">
        <v>26306</v>
      </c>
      <c r="F3809" s="9" t="str">
        <f t="shared" si="52"/>
        <v>structure with developmental contribution from neural crest</v>
      </c>
      <c r="G3809" s="9" t="s">
        <v>5090</v>
      </c>
      <c r="H3809" s="9" t="s">
        <v>21453</v>
      </c>
      <c r="I3809" s="9" t="s">
        <v>7211</v>
      </c>
      <c r="J3809" s="9" t="s">
        <v>7212</v>
      </c>
      <c r="K3809" s="4" t="s">
        <v>15175</v>
      </c>
      <c r="L3809" s="13">
        <v>11791</v>
      </c>
      <c r="M3809" t="str">
        <f>VLOOKUP(L3809,[1]Human_BrainSpan!$B$2:$C$4000,2,FALSE)</f>
        <v>SPrs</v>
      </c>
    </row>
    <row r="3810" spans="2:13" x14ac:dyDescent="0.25">
      <c r="B3810" s="31" t="s">
        <v>26303</v>
      </c>
      <c r="C3810" s="25" t="s">
        <v>2282</v>
      </c>
      <c r="D3810" s="25" t="s">
        <v>26232</v>
      </c>
      <c r="E3810" s="25"/>
      <c r="F3810" s="9" t="str">
        <f t="shared" si="52"/>
        <v>structure with developmental contribution from neural crest</v>
      </c>
      <c r="G3810" s="9" t="s">
        <v>5090</v>
      </c>
      <c r="H3810" s="9" t="s">
        <v>23546</v>
      </c>
      <c r="I3810" s="9" t="s">
        <v>7213</v>
      </c>
      <c r="J3810" s="9" t="s">
        <v>7214</v>
      </c>
      <c r="K3810" s="4" t="s">
        <v>15175</v>
      </c>
      <c r="L3810" s="13">
        <v>12022</v>
      </c>
      <c r="M3810" t="str">
        <f>VLOOKUP(L3810,[1]Human_BrainSpan!$B$2:$C$4000,2,FALSE)</f>
        <v>dhic</v>
      </c>
    </row>
    <row r="3811" spans="2:13" x14ac:dyDescent="0.25">
      <c r="B3811" s="31" t="s">
        <v>26303</v>
      </c>
      <c r="C3811" s="25" t="s">
        <v>2282</v>
      </c>
      <c r="D3811" s="25" t="s">
        <v>26232</v>
      </c>
      <c r="E3811" s="25"/>
      <c r="F3811" s="9" t="str">
        <f t="shared" si="52"/>
        <v>structure with developmental contribution from neural crest</v>
      </c>
      <c r="G3811" s="9" t="s">
        <v>5090</v>
      </c>
      <c r="H3811" s="9" t="s">
        <v>23547</v>
      </c>
      <c r="I3811" s="9" t="s">
        <v>7215</v>
      </c>
      <c r="J3811" s="9" t="s">
        <v>7216</v>
      </c>
      <c r="K3811" s="4" t="s">
        <v>15175</v>
      </c>
      <c r="L3811" s="13">
        <v>12023</v>
      </c>
      <c r="M3811" t="str">
        <f>VLOOKUP(L3811,[1]Human_BrainSpan!$B$2:$C$4000,2,FALSE)</f>
        <v>vhic</v>
      </c>
    </row>
    <row r="3812" spans="2:13" x14ac:dyDescent="0.25">
      <c r="B3812" s="31" t="s">
        <v>26303</v>
      </c>
      <c r="C3812" s="25" t="s">
        <v>26183</v>
      </c>
      <c r="D3812" s="25" t="s">
        <v>26232</v>
      </c>
      <c r="E3812" s="25"/>
      <c r="F3812" s="9" t="str">
        <f t="shared" si="52"/>
        <v>structure with developmental contribution from neural crest</v>
      </c>
      <c r="G3812" s="9" t="s">
        <v>5090</v>
      </c>
      <c r="H3812" s="9" t="s">
        <v>23542</v>
      </c>
      <c r="I3812" s="9" t="s">
        <v>4237</v>
      </c>
      <c r="J3812" s="9" t="s">
        <v>4238</v>
      </c>
      <c r="K3812" s="4" t="s">
        <v>15175</v>
      </c>
      <c r="L3812" s="13">
        <v>12026</v>
      </c>
      <c r="M3812" t="str">
        <f>VLOOKUP(L3812,[1]Human_BrainSpan!$B$2:$C$4000,2,FALSE)</f>
        <v>ccrd</v>
      </c>
    </row>
    <row r="3813" spans="2:13" x14ac:dyDescent="0.25">
      <c r="B3813" s="31" t="s">
        <v>26299</v>
      </c>
      <c r="C3813" s="25" t="s">
        <v>25904</v>
      </c>
      <c r="D3813" s="25" t="s">
        <v>26232</v>
      </c>
      <c r="E3813" s="25"/>
      <c r="F3813" s="9" t="str">
        <f t="shared" si="52"/>
        <v>structure with developmental contribution from neural crest</v>
      </c>
      <c r="G3813" s="9" t="s">
        <v>5090</v>
      </c>
      <c r="H3813" s="9" t="s">
        <v>23570</v>
      </c>
      <c r="I3813" s="9" t="s">
        <v>1479</v>
      </c>
      <c r="J3813" s="9" t="s">
        <v>1480</v>
      </c>
      <c r="K3813" s="4" t="s">
        <v>15175</v>
      </c>
      <c r="L3813" s="13">
        <v>12034</v>
      </c>
      <c r="M3813" t="str">
        <f>VLOOKUP(L3813,[1]Human_BrainSpan!$B$2:$C$4000,2,FALSE)</f>
        <v>dib</v>
      </c>
    </row>
    <row r="3814" spans="2:13" x14ac:dyDescent="0.25">
      <c r="B3814" s="31" t="s">
        <v>26303</v>
      </c>
      <c r="C3814" s="25" t="s">
        <v>1539</v>
      </c>
      <c r="D3814" s="25" t="s">
        <v>26232</v>
      </c>
      <c r="E3814" s="25"/>
      <c r="F3814" s="9" t="str">
        <f t="shared" si="52"/>
        <v>structure with developmental contribution from neural crest</v>
      </c>
      <c r="G3814" s="9" t="s">
        <v>5090</v>
      </c>
      <c r="H3814" s="9" t="s">
        <v>20949</v>
      </c>
      <c r="I3814" s="9" t="s">
        <v>1539</v>
      </c>
      <c r="J3814" s="9" t="s">
        <v>1540</v>
      </c>
      <c r="K3814" s="4" t="s">
        <v>15175</v>
      </c>
      <c r="L3814" s="13">
        <v>12035</v>
      </c>
      <c r="M3814" t="str">
        <f>VLOOKUP(L3814,[1]Human_BrainSpan!$B$2:$C$4000,2,FALSE)</f>
        <v>dlf</v>
      </c>
    </row>
    <row r="3815" spans="2:13" x14ac:dyDescent="0.25">
      <c r="B3815" s="31" t="s">
        <v>26303</v>
      </c>
      <c r="C3815" s="25" t="s">
        <v>25990</v>
      </c>
      <c r="D3815" s="25" t="s">
        <v>26232</v>
      </c>
      <c r="E3815" s="25"/>
      <c r="F3815" s="9" t="str">
        <f t="shared" si="52"/>
        <v>structure with developmental contribution from neural crest</v>
      </c>
      <c r="G3815" s="9" t="s">
        <v>5090</v>
      </c>
      <c r="H3815" s="9" t="s">
        <v>23574</v>
      </c>
      <c r="I3815" s="9" t="s">
        <v>2622</v>
      </c>
      <c r="J3815" s="9" t="s">
        <v>2623</v>
      </c>
      <c r="K3815" s="4" t="s">
        <v>15175</v>
      </c>
      <c r="L3815" s="13">
        <v>12037</v>
      </c>
      <c r="M3815" t="str">
        <f>VLOOKUP(L3815,[1]Human_BrainSpan!$B$2:$C$4000,2,FALSE)</f>
        <v>emlgp</v>
      </c>
    </row>
    <row r="3816" spans="2:13" x14ac:dyDescent="0.25">
      <c r="B3816" s="31" t="s">
        <v>26303</v>
      </c>
      <c r="C3816" s="25" t="s">
        <v>1788</v>
      </c>
      <c r="D3816" s="25" t="s">
        <v>26232</v>
      </c>
      <c r="E3816" s="25"/>
      <c r="F3816" s="9" t="str">
        <f t="shared" si="52"/>
        <v>structure with developmental contribution from neural crest</v>
      </c>
      <c r="G3816" s="9" t="s">
        <v>5090</v>
      </c>
      <c r="H3816" s="9" t="s">
        <v>23575</v>
      </c>
      <c r="I3816" s="9" t="s">
        <v>1788</v>
      </c>
      <c r="J3816" s="9" t="s">
        <v>1789</v>
      </c>
      <c r="K3816" s="4" t="s">
        <v>15175</v>
      </c>
      <c r="L3816" s="13">
        <v>12038</v>
      </c>
      <c r="M3816" t="str">
        <f>VLOOKUP(L3816,[1]Human_BrainSpan!$B$2:$C$4000,2,FALSE)</f>
        <v>emlth</v>
      </c>
    </row>
    <row r="3817" spans="2:13" x14ac:dyDescent="0.25">
      <c r="B3817" s="31" t="s">
        <v>26299</v>
      </c>
      <c r="C3817" s="25" t="s">
        <v>25891</v>
      </c>
      <c r="D3817" s="25" t="s">
        <v>26232</v>
      </c>
      <c r="E3817" s="25"/>
      <c r="F3817" s="9" t="str">
        <f t="shared" si="52"/>
        <v>structure with developmental contribution from neural crest</v>
      </c>
      <c r="G3817" s="9" t="s">
        <v>5090</v>
      </c>
      <c r="H3817" s="9" t="s">
        <v>23588</v>
      </c>
      <c r="I3817" s="9" t="s">
        <v>7217</v>
      </c>
      <c r="J3817" s="9" t="s">
        <v>7218</v>
      </c>
      <c r="K3817" s="4" t="s">
        <v>15175</v>
      </c>
      <c r="L3817" s="13">
        <v>12042</v>
      </c>
      <c r="M3817" t="str">
        <f>VLOOKUP(L3817,[1]Human_BrainSpan!$B$2:$C$4000,2,FALSE)</f>
        <v>pfpf</v>
      </c>
    </row>
    <row r="3818" spans="2:13" x14ac:dyDescent="0.25">
      <c r="B3818" s="31" t="s">
        <v>26303</v>
      </c>
      <c r="C3818" s="25" t="s">
        <v>1357</v>
      </c>
      <c r="D3818" s="25" t="s">
        <v>26232</v>
      </c>
      <c r="E3818" s="25"/>
      <c r="F3818" s="9" t="str">
        <f t="shared" si="52"/>
        <v>structure with developmental contribution from neural crest</v>
      </c>
      <c r="G3818" s="9" t="s">
        <v>5090</v>
      </c>
      <c r="H3818" s="9" t="s">
        <v>23591</v>
      </c>
      <c r="I3818" s="9" t="s">
        <v>7219</v>
      </c>
      <c r="J3818" s="9" t="s">
        <v>7220</v>
      </c>
      <c r="K3818" s="4" t="s">
        <v>15175</v>
      </c>
      <c r="L3818" s="13">
        <v>12044</v>
      </c>
      <c r="M3818" t="str">
        <f>VLOOKUP(L3818,[1]Human_BrainSpan!$B$2:$C$4000,2,FALSE)</f>
        <v>cbu-ic</v>
      </c>
    </row>
    <row r="3819" spans="2:13" x14ac:dyDescent="0.25">
      <c r="B3819" s="31" t="s">
        <v>26303</v>
      </c>
      <c r="C3819" s="20"/>
      <c r="D3819" s="25" t="s">
        <v>26185</v>
      </c>
      <c r="E3819" s="25" t="s">
        <v>26300</v>
      </c>
      <c r="F3819" s="9" t="str">
        <f t="shared" si="52"/>
        <v>structure with developmental contribution from neural crest</v>
      </c>
      <c r="G3819" s="9" t="s">
        <v>5090</v>
      </c>
      <c r="H3819" s="9" t="s">
        <v>23592</v>
      </c>
      <c r="I3819" s="9" t="s">
        <v>7221</v>
      </c>
      <c r="J3819" s="9" t="s">
        <v>7222</v>
      </c>
      <c r="K3819" s="4" t="s">
        <v>15175</v>
      </c>
      <c r="L3819" s="13">
        <v>12045</v>
      </c>
      <c r="M3819" t="str">
        <f>VLOOKUP(L3819,[1]Human_BrainSpan!$B$2:$C$4000,2,FALSE)</f>
        <v>cre</v>
      </c>
    </row>
    <row r="3820" spans="2:13" x14ac:dyDescent="0.25">
      <c r="B3820" s="31" t="s">
        <v>26303</v>
      </c>
      <c r="C3820" s="20"/>
      <c r="D3820" s="25" t="s">
        <v>26232</v>
      </c>
      <c r="E3820" s="25" t="s">
        <v>26300</v>
      </c>
      <c r="F3820" s="9" t="str">
        <f t="shared" si="52"/>
        <v>structure with developmental contribution from neural crest</v>
      </c>
      <c r="G3820" s="9" t="s">
        <v>5090</v>
      </c>
      <c r="H3820" s="9" t="s">
        <v>23594</v>
      </c>
      <c r="I3820" s="9" t="s">
        <v>7223</v>
      </c>
      <c r="J3820" s="9" t="s">
        <v>7224</v>
      </c>
      <c r="K3820" s="4" t="s">
        <v>15175</v>
      </c>
      <c r="L3820" s="13">
        <v>12046</v>
      </c>
      <c r="M3820" t="str">
        <f>VLOOKUP(L3820,[1]Human_BrainSpan!$B$2:$C$4000,2,FALSE)</f>
        <v>lthp</v>
      </c>
    </row>
    <row r="3821" spans="2:13" x14ac:dyDescent="0.25">
      <c r="B3821" s="31" t="s">
        <v>26303</v>
      </c>
      <c r="C3821" s="25" t="s">
        <v>1370</v>
      </c>
      <c r="D3821" s="25" t="s">
        <v>26232</v>
      </c>
      <c r="E3821" s="25"/>
      <c r="F3821" s="9" t="str">
        <f t="shared" si="52"/>
        <v>structure with developmental contribution from neural crest</v>
      </c>
      <c r="G3821" s="9" t="s">
        <v>5090</v>
      </c>
      <c r="H3821" s="9" t="s">
        <v>18445</v>
      </c>
      <c r="I3821" s="9" t="s">
        <v>7225</v>
      </c>
      <c r="J3821" s="9" t="s">
        <v>7226</v>
      </c>
      <c r="K3821" s="4" t="s">
        <v>15175</v>
      </c>
      <c r="L3821" s="13">
        <v>12047</v>
      </c>
      <c r="M3821" t="str">
        <f>VLOOKUP(L3821,[1]Human_BrainSpan!$B$2:$C$4000,2,FALSE)</f>
        <v>csp</v>
      </c>
    </row>
    <row r="3822" spans="2:13" x14ac:dyDescent="0.25">
      <c r="B3822" s="31" t="s">
        <v>26299</v>
      </c>
      <c r="C3822" s="25" t="s">
        <v>25891</v>
      </c>
      <c r="D3822" s="25" t="s">
        <v>26232</v>
      </c>
      <c r="E3822" s="25"/>
      <c r="F3822" s="9" t="str">
        <f t="shared" si="52"/>
        <v>structure with developmental contribution from neural crest</v>
      </c>
      <c r="G3822" s="9" t="s">
        <v>5090</v>
      </c>
      <c r="H3822" s="9" t="s">
        <v>23595</v>
      </c>
      <c r="I3822" s="9" t="s">
        <v>7227</v>
      </c>
      <c r="J3822" s="9" t="s">
        <v>7228</v>
      </c>
      <c r="K3822" s="4" t="s">
        <v>15175</v>
      </c>
      <c r="L3822" s="13">
        <v>12048</v>
      </c>
      <c r="M3822" t="str">
        <f>VLOOKUP(L3822,[1]Human_BrainSpan!$B$2:$C$4000,2,FALSE)</f>
        <v>fpn</v>
      </c>
    </row>
    <row r="3823" spans="2:13" x14ac:dyDescent="0.25">
      <c r="B3823" s="31" t="s">
        <v>26303</v>
      </c>
      <c r="C3823" s="20"/>
      <c r="D3823" s="25" t="s">
        <v>26185</v>
      </c>
      <c r="E3823" s="25" t="s">
        <v>26300</v>
      </c>
      <c r="F3823" s="9" t="str">
        <f t="shared" si="52"/>
        <v>structure with developmental contribution from neural crest</v>
      </c>
      <c r="G3823" s="9" t="s">
        <v>5090</v>
      </c>
      <c r="H3823" s="9" t="s">
        <v>23596</v>
      </c>
      <c r="I3823" s="9" t="s">
        <v>7229</v>
      </c>
      <c r="J3823" s="9" t="s">
        <v>7230</v>
      </c>
      <c r="K3823" s="4" t="s">
        <v>15175</v>
      </c>
      <c r="L3823" s="13">
        <v>12049</v>
      </c>
      <c r="M3823" t="str">
        <f>VLOOKUP(L3823,[1]Human_BrainSpan!$B$2:$C$4000,2,FALSE)</f>
        <v>sthr</v>
      </c>
    </row>
    <row r="3824" spans="2:13" x14ac:dyDescent="0.25">
      <c r="B3824" s="31" t="s">
        <v>26303</v>
      </c>
      <c r="C3824" s="25" t="s">
        <v>1380</v>
      </c>
      <c r="D3824" s="25" t="s">
        <v>26232</v>
      </c>
      <c r="E3824" s="25"/>
      <c r="F3824" s="9" t="str">
        <f t="shared" si="52"/>
        <v>structure with developmental contribution from neural crest</v>
      </c>
      <c r="G3824" s="9" t="s">
        <v>5090</v>
      </c>
      <c r="H3824" s="9" t="s">
        <v>20830</v>
      </c>
      <c r="I3824" s="9" t="s">
        <v>1378</v>
      </c>
      <c r="J3824" s="9" t="s">
        <v>1379</v>
      </c>
      <c r="K3824" s="4" t="s">
        <v>15175</v>
      </c>
      <c r="L3824" s="13">
        <v>12050</v>
      </c>
      <c r="M3824" t="str">
        <f>VLOOKUP(L3824,[1]Human_BrainSpan!$B$2:$C$4000,2,FALSE)</f>
        <v>cte</v>
      </c>
    </row>
    <row r="3825" spans="2:13" x14ac:dyDescent="0.25">
      <c r="B3825" s="31" t="s">
        <v>26303</v>
      </c>
      <c r="C3825" s="20"/>
      <c r="D3825" s="25" t="s">
        <v>26232</v>
      </c>
      <c r="E3825" s="25" t="s">
        <v>26300</v>
      </c>
      <c r="F3825" s="9" t="str">
        <f t="shared" si="52"/>
        <v>structure with developmental contribution from neural crest</v>
      </c>
      <c r="G3825" s="9" t="s">
        <v>5090</v>
      </c>
      <c r="H3825" s="9" t="s">
        <v>23597</v>
      </c>
      <c r="I3825" s="9" t="s">
        <v>7231</v>
      </c>
      <c r="J3825" s="9" t="s">
        <v>7232</v>
      </c>
      <c r="K3825" s="4" t="s">
        <v>15175</v>
      </c>
      <c r="L3825" s="13">
        <v>12051</v>
      </c>
      <c r="M3825" t="str">
        <f>VLOOKUP(L3825,[1]Human_BrainSpan!$B$2:$C$4000,2,FALSE)</f>
        <v>cru</v>
      </c>
    </row>
    <row r="3826" spans="2:13" x14ac:dyDescent="0.25">
      <c r="B3826" s="31" t="s">
        <v>26303</v>
      </c>
      <c r="C3826" s="25" t="s">
        <v>3499</v>
      </c>
      <c r="D3826" s="25" t="s">
        <v>26185</v>
      </c>
      <c r="E3826" s="25" t="s">
        <v>26300</v>
      </c>
      <c r="F3826" s="9" t="str">
        <f t="shared" si="52"/>
        <v>structure with developmental contribution from neural crest</v>
      </c>
      <c r="G3826" s="9" t="s">
        <v>5090</v>
      </c>
      <c r="H3826" s="9" t="s">
        <v>23600</v>
      </c>
      <c r="I3826" s="9" t="s">
        <v>7233</v>
      </c>
      <c r="J3826" s="9" t="s">
        <v>7234</v>
      </c>
      <c r="K3826" s="4" t="s">
        <v>15175</v>
      </c>
      <c r="L3826" s="13">
        <v>12054</v>
      </c>
      <c r="M3826" t="str">
        <f>VLOOKUP(L3826,[1]Human_BrainSpan!$B$2:$C$4000,2,FALSE)</f>
        <v>or-rl</v>
      </c>
    </row>
    <row r="3827" spans="2:13" x14ac:dyDescent="0.25">
      <c r="B3827" s="31" t="s">
        <v>26299</v>
      </c>
      <c r="C3827" s="25" t="s">
        <v>25891</v>
      </c>
      <c r="D3827" s="25" t="s">
        <v>26232</v>
      </c>
      <c r="E3827" s="25"/>
      <c r="F3827" s="9" t="str">
        <f t="shared" si="52"/>
        <v>structure with developmental contribution from neural crest</v>
      </c>
      <c r="G3827" s="9" t="s">
        <v>5090</v>
      </c>
      <c r="H3827" s="9" t="s">
        <v>23601</v>
      </c>
      <c r="I3827" s="9" t="s">
        <v>7235</v>
      </c>
      <c r="J3827" s="9" t="s">
        <v>7236</v>
      </c>
      <c r="K3827" s="4" t="s">
        <v>15175</v>
      </c>
      <c r="L3827" s="13">
        <v>12055</v>
      </c>
      <c r="M3827" t="str">
        <f>VLOOKUP(L3827,[1]Human_BrainSpan!$B$2:$C$4000,2,FALSE)</f>
        <v>ppn</v>
      </c>
    </row>
    <row r="3828" spans="2:13" x14ac:dyDescent="0.25">
      <c r="B3828" s="31" t="s">
        <v>26299</v>
      </c>
      <c r="C3828" s="25" t="s">
        <v>25891</v>
      </c>
      <c r="D3828" s="25" t="s">
        <v>26232</v>
      </c>
      <c r="E3828" s="25"/>
      <c r="F3828" s="9" t="str">
        <f t="shared" si="52"/>
        <v>structure with developmental contribution from neural crest</v>
      </c>
      <c r="G3828" s="9" t="s">
        <v>5090</v>
      </c>
      <c r="H3828" s="9" t="s">
        <v>23602</v>
      </c>
      <c r="I3828" s="9" t="s">
        <v>7237</v>
      </c>
      <c r="J3828" s="9" t="s">
        <v>7238</v>
      </c>
      <c r="K3828" s="4" t="s">
        <v>15175</v>
      </c>
      <c r="L3828" s="13">
        <v>12056</v>
      </c>
      <c r="M3828" t="str">
        <f>VLOOKUP(L3828,[1]Human_BrainSpan!$B$2:$C$4000,2,FALSE)</f>
        <v>opn</v>
      </c>
    </row>
    <row r="3829" spans="2:13" x14ac:dyDescent="0.25">
      <c r="B3829" s="31" t="s">
        <v>26303</v>
      </c>
      <c r="C3829" s="20"/>
      <c r="D3829" s="25" t="s">
        <v>26232</v>
      </c>
      <c r="E3829" s="25" t="s">
        <v>26300</v>
      </c>
      <c r="F3829" s="9" t="str">
        <f t="shared" si="52"/>
        <v>structure with developmental contribution from neural crest</v>
      </c>
      <c r="G3829" s="9" t="s">
        <v>5090</v>
      </c>
      <c r="H3829" s="9" t="s">
        <v>23603</v>
      </c>
      <c r="I3829" s="9" t="s">
        <v>7239</v>
      </c>
      <c r="J3829" s="9" t="s">
        <v>7240</v>
      </c>
      <c r="K3829" s="4" t="s">
        <v>15175</v>
      </c>
      <c r="L3829" s="13">
        <v>12057</v>
      </c>
      <c r="M3829" t="str">
        <f>VLOOKUP(L3829,[1]Human_BrainSpan!$B$2:$C$4000,2,FALSE)</f>
        <v>oco</v>
      </c>
    </row>
    <row r="3830" spans="2:13" x14ac:dyDescent="0.25">
      <c r="B3830" s="31" t="s">
        <v>26303</v>
      </c>
      <c r="C3830" s="20"/>
      <c r="D3830" s="25" t="s">
        <v>26232</v>
      </c>
      <c r="E3830" s="25" t="s">
        <v>26300</v>
      </c>
      <c r="F3830" s="9" t="str">
        <f t="shared" si="52"/>
        <v>structure with developmental contribution from neural crest</v>
      </c>
      <c r="G3830" s="9" t="s">
        <v>5090</v>
      </c>
      <c r="H3830" s="9" t="s">
        <v>23604</v>
      </c>
      <c r="I3830" s="9" t="s">
        <v>7241</v>
      </c>
      <c r="J3830" s="9" t="s">
        <v>7242</v>
      </c>
      <c r="K3830" s="4" t="s">
        <v>15175</v>
      </c>
      <c r="L3830" s="13">
        <v>12058</v>
      </c>
      <c r="M3830" t="str">
        <f>VLOOKUP(L3830,[1]Human_BrainSpan!$B$2:$C$4000,2,FALSE)</f>
        <v>sulp</v>
      </c>
    </row>
    <row r="3831" spans="2:13" x14ac:dyDescent="0.25">
      <c r="B3831" s="31" t="s">
        <v>26303</v>
      </c>
      <c r="C3831" s="20"/>
      <c r="D3831" s="25" t="s">
        <v>26185</v>
      </c>
      <c r="E3831" s="25" t="s">
        <v>26300</v>
      </c>
      <c r="F3831" s="9" t="str">
        <f t="shared" ref="F3831:F3894" si="53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3831" s="9" t="s">
        <v>5090</v>
      </c>
      <c r="H3831" s="9" t="s">
        <v>23605</v>
      </c>
      <c r="I3831" s="9" t="s">
        <v>7243</v>
      </c>
      <c r="J3831" s="9" t="s">
        <v>7244</v>
      </c>
      <c r="K3831" s="4" t="s">
        <v>15175</v>
      </c>
      <c r="L3831" s="13">
        <v>12060</v>
      </c>
      <c r="M3831" t="str">
        <f>VLOOKUP(L3831,[1]Human_BrainSpan!$B$2:$C$4000,2,FALSE)</f>
        <v>ar-sl</v>
      </c>
    </row>
    <row r="3832" spans="2:13" x14ac:dyDescent="0.25">
      <c r="B3832" s="31" t="s">
        <v>26299</v>
      </c>
      <c r="C3832" s="25" t="s">
        <v>25891</v>
      </c>
      <c r="D3832" s="25" t="s">
        <v>26232</v>
      </c>
      <c r="E3832" s="25"/>
      <c r="F3832" s="9" t="str">
        <f t="shared" si="53"/>
        <v>structure with developmental contribution from neural crest</v>
      </c>
      <c r="G3832" s="9" t="s">
        <v>5090</v>
      </c>
      <c r="H3832" s="9" t="s">
        <v>23606</v>
      </c>
      <c r="I3832" s="9" t="s">
        <v>7245</v>
      </c>
      <c r="J3832" s="9" t="s">
        <v>7246</v>
      </c>
      <c r="K3832" s="4" t="s">
        <v>15175</v>
      </c>
      <c r="L3832" s="13">
        <v>12061</v>
      </c>
      <c r="M3832" t="str">
        <f>VLOOKUP(L3832,[1]Human_BrainSpan!$B$2:$C$4000,2,FALSE)</f>
        <v>tepn</v>
      </c>
    </row>
    <row r="3833" spans="2:13" x14ac:dyDescent="0.25">
      <c r="B3833" s="31" t="s">
        <v>26303</v>
      </c>
      <c r="C3833" s="25" t="s">
        <v>2497</v>
      </c>
      <c r="D3833" s="25" t="s">
        <v>26232</v>
      </c>
      <c r="E3833" s="25"/>
      <c r="F3833" s="9" t="str">
        <f t="shared" si="53"/>
        <v>structure with developmental contribution from neural crest</v>
      </c>
      <c r="G3833" s="9" t="s">
        <v>5090</v>
      </c>
      <c r="H3833" s="9" t="s">
        <v>23607</v>
      </c>
      <c r="I3833" s="9" t="s">
        <v>2946</v>
      </c>
      <c r="J3833" s="9" t="s">
        <v>2947</v>
      </c>
      <c r="K3833" s="4" t="s">
        <v>15175</v>
      </c>
      <c r="L3833" s="13">
        <v>12062</v>
      </c>
      <c r="M3833" t="str">
        <f>VLOOKUP(L3833,[1]Human_BrainSpan!$B$2:$C$4000,2,FALSE)</f>
        <v>imlgp</v>
      </c>
    </row>
    <row r="3834" spans="2:13" x14ac:dyDescent="0.25">
      <c r="B3834" s="31" t="s">
        <v>26303</v>
      </c>
      <c r="C3834" s="25" t="s">
        <v>26023</v>
      </c>
      <c r="D3834" s="25" t="s">
        <v>26232</v>
      </c>
      <c r="E3834" s="25"/>
      <c r="F3834" s="9" t="str">
        <f t="shared" si="53"/>
        <v>structure with developmental contribution from neural crest</v>
      </c>
      <c r="G3834" s="9" t="s">
        <v>5090</v>
      </c>
      <c r="H3834" s="9" t="s">
        <v>23608</v>
      </c>
      <c r="I3834" s="9" t="s">
        <v>2497</v>
      </c>
      <c r="J3834" s="9" t="s">
        <v>2498</v>
      </c>
      <c r="K3834" s="4" t="s">
        <v>15175</v>
      </c>
      <c r="L3834" s="13">
        <v>12063</v>
      </c>
      <c r="M3834" t="str">
        <f>VLOOKUP(L3834,[1]Human_BrainSpan!$B$2:$C$4000,2,FALSE)</f>
        <v>imlth</v>
      </c>
    </row>
    <row r="3835" spans="2:13" x14ac:dyDescent="0.25">
      <c r="B3835" s="31" t="s">
        <v>26303</v>
      </c>
      <c r="C3835" s="25" t="s">
        <v>26014</v>
      </c>
      <c r="D3835" s="25" t="s">
        <v>26232</v>
      </c>
      <c r="E3835" s="25"/>
      <c r="F3835" s="9" t="str">
        <f t="shared" si="53"/>
        <v>structure with developmental contribution from neural crest</v>
      </c>
      <c r="G3835" s="9" t="s">
        <v>5090</v>
      </c>
      <c r="H3835" s="9" t="s">
        <v>18478</v>
      </c>
      <c r="I3835" s="9" t="s">
        <v>2870</v>
      </c>
      <c r="J3835" s="9" t="s">
        <v>2871</v>
      </c>
      <c r="K3835" s="4" t="s">
        <v>15175</v>
      </c>
      <c r="L3835" s="13">
        <v>12065</v>
      </c>
      <c r="M3835" t="str">
        <f>VLOOKUP(L3835,[1]Human_BrainSpan!$B$2:$C$4000,2,FALSE)</f>
        <v>mtg</v>
      </c>
    </row>
    <row r="3836" spans="2:13" x14ac:dyDescent="0.25">
      <c r="B3836" s="31" t="s">
        <v>26303</v>
      </c>
      <c r="C3836" s="25" t="s">
        <v>3464</v>
      </c>
      <c r="D3836" s="25" t="s">
        <v>26185</v>
      </c>
      <c r="E3836" s="25" t="s">
        <v>26300</v>
      </c>
      <c r="F3836" s="9" t="str">
        <f t="shared" si="53"/>
        <v>structure with developmental contribution from neural crest</v>
      </c>
      <c r="G3836" s="9" t="s">
        <v>5090</v>
      </c>
      <c r="H3836" s="9" t="s">
        <v>23622</v>
      </c>
      <c r="I3836" s="9" t="s">
        <v>3464</v>
      </c>
      <c r="J3836" s="9" t="s">
        <v>3465</v>
      </c>
      <c r="K3836" s="4" t="s">
        <v>15175</v>
      </c>
      <c r="L3836" s="13">
        <v>12073</v>
      </c>
      <c r="M3836" t="str">
        <f>VLOOKUP(L3836,[1]Human_BrainSpan!$B$2:$C$4000,2,FALSE)</f>
        <v>olt</v>
      </c>
    </row>
    <row r="3837" spans="2:13" x14ac:dyDescent="0.25">
      <c r="B3837" s="31" t="s">
        <v>26303</v>
      </c>
      <c r="C3837" s="25" t="s">
        <v>3464</v>
      </c>
      <c r="D3837" s="25" t="s">
        <v>26232</v>
      </c>
      <c r="E3837" s="25"/>
      <c r="F3837" s="9" t="str">
        <f t="shared" si="53"/>
        <v>structure with developmental contribution from neural crest</v>
      </c>
      <c r="G3837" s="9" t="s">
        <v>5090</v>
      </c>
      <c r="H3837" s="9" t="s">
        <v>23623</v>
      </c>
      <c r="I3837" s="9" t="s">
        <v>3466</v>
      </c>
      <c r="J3837" s="9" t="s">
        <v>3467</v>
      </c>
      <c r="K3837" s="4" t="s">
        <v>15175</v>
      </c>
      <c r="L3837" s="13">
        <v>12074</v>
      </c>
      <c r="M3837" t="str">
        <f>VLOOKUP(L3837,[1]Human_BrainSpan!$B$2:$C$4000,2,FALSE)</f>
        <v>ost</v>
      </c>
    </row>
    <row r="3838" spans="2:13" x14ac:dyDescent="0.25">
      <c r="B3838" s="31" t="s">
        <v>26303</v>
      </c>
      <c r="C3838" s="25" t="s">
        <v>3781</v>
      </c>
      <c r="D3838" s="25" t="s">
        <v>26232</v>
      </c>
      <c r="E3838" s="25"/>
      <c r="F3838" s="9" t="str">
        <f t="shared" si="53"/>
        <v>structure with developmental contribution from neural crest</v>
      </c>
      <c r="G3838" s="9" t="s">
        <v>5090</v>
      </c>
      <c r="H3838" s="9" t="s">
        <v>23633</v>
      </c>
      <c r="I3838" s="9" t="s">
        <v>3781</v>
      </c>
      <c r="J3838" s="9" t="s">
        <v>3782</v>
      </c>
      <c r="K3838" s="4" t="s">
        <v>15175</v>
      </c>
      <c r="L3838" s="13">
        <v>12080</v>
      </c>
      <c r="M3838" t="str">
        <f>VLOOKUP(L3838,[1]Human_BrainSpan!$B$2:$C$4000,2,FALSE)</f>
        <v>perf</v>
      </c>
    </row>
    <row r="3839" spans="2:13" x14ac:dyDescent="0.25">
      <c r="B3839" s="31" t="s">
        <v>26303</v>
      </c>
      <c r="C3839" s="25" t="s">
        <v>4934</v>
      </c>
      <c r="D3839" s="25" t="s">
        <v>26232</v>
      </c>
      <c r="E3839" s="25"/>
      <c r="F3839" s="9" t="str">
        <f t="shared" si="53"/>
        <v>structure with developmental contribution from neural crest</v>
      </c>
      <c r="G3839" s="9" t="s">
        <v>5090</v>
      </c>
      <c r="H3839" s="9" t="s">
        <v>20781</v>
      </c>
      <c r="I3839" s="9" t="s">
        <v>4934</v>
      </c>
      <c r="J3839" s="9" t="s">
        <v>4935</v>
      </c>
      <c r="K3839" s="4" t="s">
        <v>15175</v>
      </c>
      <c r="L3839" s="13">
        <v>12082</v>
      </c>
      <c r="M3839" t="str">
        <f>VLOOKUP(L3839,[1]Human_BrainSpan!$B$2:$C$4000,2,FALSE)</f>
        <v>sst</v>
      </c>
    </row>
    <row r="3840" spans="2:13" x14ac:dyDescent="0.25">
      <c r="B3840" s="31" t="s">
        <v>26303</v>
      </c>
      <c r="C3840" s="25" t="s">
        <v>4934</v>
      </c>
      <c r="D3840" s="25" t="s">
        <v>26232</v>
      </c>
      <c r="E3840" s="25"/>
      <c r="F3840" s="9" t="str">
        <f t="shared" si="53"/>
        <v>structure with developmental contribution from neural crest</v>
      </c>
      <c r="G3840" s="9" t="s">
        <v>5090</v>
      </c>
      <c r="H3840" s="9" t="s">
        <v>23637</v>
      </c>
      <c r="I3840" s="9" t="s">
        <v>7247</v>
      </c>
      <c r="J3840" s="9" t="s">
        <v>7248</v>
      </c>
      <c r="K3840" s="4" t="s">
        <v>15175</v>
      </c>
      <c r="L3840" s="13">
        <v>12083</v>
      </c>
      <c r="M3840" t="str">
        <f>VLOOKUP(L3840,[1]Human_BrainSpan!$B$2:$C$4000,2,FALSE)</f>
        <v>sste</v>
      </c>
    </row>
    <row r="3841" spans="2:13" x14ac:dyDescent="0.25">
      <c r="B3841" s="31" t="s">
        <v>26303</v>
      </c>
      <c r="C3841" s="25" t="s">
        <v>4934</v>
      </c>
      <c r="D3841" s="25" t="s">
        <v>26232</v>
      </c>
      <c r="E3841" s="25"/>
      <c r="F3841" s="9" t="str">
        <f t="shared" si="53"/>
        <v>structure with developmental contribution from neural crest</v>
      </c>
      <c r="G3841" s="9" t="s">
        <v>5090</v>
      </c>
      <c r="H3841" s="9" t="s">
        <v>23638</v>
      </c>
      <c r="I3841" s="9" t="s">
        <v>7249</v>
      </c>
      <c r="J3841" s="9" t="s">
        <v>7250</v>
      </c>
      <c r="K3841" s="4" t="s">
        <v>15175</v>
      </c>
      <c r="L3841" s="13">
        <v>12084</v>
      </c>
      <c r="M3841" t="str">
        <f>VLOOKUP(L3841,[1]Human_BrainSpan!$B$2:$C$4000,2,FALSE)</f>
        <v>ssti</v>
      </c>
    </row>
    <row r="3842" spans="2:13" x14ac:dyDescent="0.25">
      <c r="B3842" s="31" t="s">
        <v>26303</v>
      </c>
      <c r="C3842" s="25" t="s">
        <v>1213</v>
      </c>
      <c r="D3842" s="25" t="s">
        <v>26232</v>
      </c>
      <c r="E3842" s="25"/>
      <c r="F3842" s="9" t="str">
        <f t="shared" si="53"/>
        <v>structure with developmental contribution from neural crest</v>
      </c>
      <c r="G3842" s="9" t="s">
        <v>5090</v>
      </c>
      <c r="H3842" s="9" t="s">
        <v>23649</v>
      </c>
      <c r="I3842" s="9" t="s">
        <v>1213</v>
      </c>
      <c r="J3842" s="9" t="s">
        <v>1214</v>
      </c>
      <c r="K3842" s="4" t="s">
        <v>15175</v>
      </c>
      <c r="L3842" s="13">
        <v>12089</v>
      </c>
      <c r="M3842" t="str">
        <f>VLOOKUP(L3842,[1]Human_BrainSpan!$B$2:$C$4000,2,FALSE)</f>
        <v>sthf</v>
      </c>
    </row>
    <row r="3843" spans="2:13" x14ac:dyDescent="0.25">
      <c r="B3843" s="31" t="s">
        <v>26303</v>
      </c>
      <c r="C3843" s="25" t="s">
        <v>25827</v>
      </c>
      <c r="D3843" s="25" t="s">
        <v>26232</v>
      </c>
      <c r="E3843" s="25"/>
      <c r="F3843" s="9" t="str">
        <f t="shared" si="53"/>
        <v>structure with developmental contribution from neural crest</v>
      </c>
      <c r="G3843" s="9" t="s">
        <v>5090</v>
      </c>
      <c r="H3843" s="9" t="s">
        <v>23898</v>
      </c>
      <c r="I3843" s="9" t="s">
        <v>911</v>
      </c>
      <c r="J3843" s="9" t="s">
        <v>912</v>
      </c>
      <c r="K3843" s="4" t="s">
        <v>15175</v>
      </c>
      <c r="L3843" s="13">
        <v>12099</v>
      </c>
      <c r="M3843" t="str">
        <f>VLOOKUP(L3843,[1]Human_BrainSpan!$B$2:$C$4000,2,FALSE)</f>
        <v>cpell</v>
      </c>
    </row>
    <row r="3844" spans="2:13" x14ac:dyDescent="0.25">
      <c r="B3844" s="31" t="s">
        <v>26303</v>
      </c>
      <c r="C3844" s="25" t="s">
        <v>25984</v>
      </c>
      <c r="D3844" s="25" t="s">
        <v>26232</v>
      </c>
      <c r="E3844" s="25"/>
      <c r="F3844" s="9" t="str">
        <f t="shared" si="53"/>
        <v>structure with developmental contribution from neural crest</v>
      </c>
      <c r="G3844" s="9" t="s">
        <v>5090</v>
      </c>
      <c r="H3844" s="9" t="s">
        <v>23895</v>
      </c>
      <c r="I3844" s="9" t="s">
        <v>2553</v>
      </c>
      <c r="J3844" s="9" t="s">
        <v>2554</v>
      </c>
      <c r="K3844" s="4" t="s">
        <v>15175</v>
      </c>
      <c r="L3844" s="13">
        <v>12105</v>
      </c>
      <c r="M3844" t="str">
        <f>VLOOKUP(L3844,[1]Human_BrainSpan!$B$2:$C$4000,2,FALSE)</f>
        <v>LaT</v>
      </c>
    </row>
    <row r="3845" spans="2:13" x14ac:dyDescent="0.25">
      <c r="B3845" s="31" t="s">
        <v>26303</v>
      </c>
      <c r="C3845" s="25" t="s">
        <v>25998</v>
      </c>
      <c r="D3845" s="25" t="s">
        <v>26232</v>
      </c>
      <c r="E3845" s="25"/>
      <c r="F3845" s="9" t="str">
        <f t="shared" si="53"/>
        <v>structure with developmental contribution from neural crest</v>
      </c>
      <c r="G3845" s="9" t="s">
        <v>5090</v>
      </c>
      <c r="H3845" s="9" t="s">
        <v>23713</v>
      </c>
      <c r="I3845" s="9" t="s">
        <v>7251</v>
      </c>
      <c r="J3845" s="9" t="s">
        <v>7252</v>
      </c>
      <c r="K3845" s="4" t="s">
        <v>15175</v>
      </c>
      <c r="L3845" s="13">
        <v>12107</v>
      </c>
      <c r="M3845" t="str">
        <f>VLOOKUP(L3845,[1]Human_BrainSpan!$B$2:$C$4000,2,FALSE)</f>
        <v>las-r</v>
      </c>
    </row>
    <row r="3846" spans="2:13" x14ac:dyDescent="0.25">
      <c r="B3846" s="31" t="s">
        <v>26303</v>
      </c>
      <c r="C3846" s="25" t="s">
        <v>25998</v>
      </c>
      <c r="D3846" s="25" t="s">
        <v>26232</v>
      </c>
      <c r="E3846" s="25"/>
      <c r="F3846" s="9" t="str">
        <f t="shared" si="53"/>
        <v>structure with developmental contribution from neural crest</v>
      </c>
      <c r="G3846" s="9" t="s">
        <v>5090</v>
      </c>
      <c r="H3846" s="9" t="s">
        <v>23714</v>
      </c>
      <c r="I3846" s="9" t="s">
        <v>7253</v>
      </c>
      <c r="J3846" s="9" t="s">
        <v>7254</v>
      </c>
      <c r="K3846" s="4" t="s">
        <v>15175</v>
      </c>
      <c r="L3846" s="13">
        <v>12108</v>
      </c>
      <c r="M3846" t="str">
        <f>VLOOKUP(L3846,[1]Human_BrainSpan!$B$2:$C$4000,2,FALSE)</f>
        <v>las-m</v>
      </c>
    </row>
    <row r="3847" spans="2:13" x14ac:dyDescent="0.25">
      <c r="B3847" s="31" t="s">
        <v>26303</v>
      </c>
      <c r="C3847" s="25" t="s">
        <v>25998</v>
      </c>
      <c r="D3847" s="25" t="s">
        <v>26232</v>
      </c>
      <c r="E3847" s="25"/>
      <c r="F3847" s="9" t="str">
        <f t="shared" si="53"/>
        <v>structure with developmental contribution from neural crest</v>
      </c>
      <c r="G3847" s="9" t="s">
        <v>5090</v>
      </c>
      <c r="H3847" s="9" t="s">
        <v>23715</v>
      </c>
      <c r="I3847" s="9" t="s">
        <v>7255</v>
      </c>
      <c r="J3847" s="9" t="s">
        <v>7256</v>
      </c>
      <c r="K3847" s="4" t="s">
        <v>15175</v>
      </c>
      <c r="L3847" s="13">
        <v>12109</v>
      </c>
      <c r="M3847" t="str">
        <f>VLOOKUP(L3847,[1]Human_BrainSpan!$B$2:$C$4000,2,FALSE)</f>
        <v>las-c</v>
      </c>
    </row>
    <row r="3848" spans="2:13" x14ac:dyDescent="0.25">
      <c r="B3848" s="31" t="s">
        <v>26303</v>
      </c>
      <c r="C3848" s="20"/>
      <c r="D3848" s="25" t="s">
        <v>26232</v>
      </c>
      <c r="E3848" s="25" t="s">
        <v>26300</v>
      </c>
      <c r="F3848" s="9" t="str">
        <f t="shared" si="53"/>
        <v>structure with developmental contribution from neural crest</v>
      </c>
      <c r="G3848" s="9" t="s">
        <v>5090</v>
      </c>
      <c r="H3848" s="9" t="s">
        <v>23728</v>
      </c>
      <c r="I3848" s="9" t="s">
        <v>2727</v>
      </c>
      <c r="J3848" s="9" t="s">
        <v>2728</v>
      </c>
      <c r="K3848" s="4" t="s">
        <v>15175</v>
      </c>
      <c r="L3848" s="13">
        <v>12110</v>
      </c>
      <c r="M3848" t="str">
        <f>VLOOKUP(L3848,[1]Human_BrainSpan!$B$2:$C$4000,2,FALSE)</f>
        <v>tranf</v>
      </c>
    </row>
    <row r="3849" spans="2:13" x14ac:dyDescent="0.25">
      <c r="B3849" s="31" t="s">
        <v>26303</v>
      </c>
      <c r="C3849" s="25" t="s">
        <v>2132</v>
      </c>
      <c r="D3849" s="25" t="s">
        <v>26232</v>
      </c>
      <c r="E3849" s="25"/>
      <c r="F3849" s="9" t="str">
        <f t="shared" si="53"/>
        <v>structure with developmental contribution from neural crest</v>
      </c>
      <c r="G3849" s="9" t="s">
        <v>5090</v>
      </c>
      <c r="H3849" s="9" t="s">
        <v>23799</v>
      </c>
      <c r="I3849" s="9" t="s">
        <v>7257</v>
      </c>
      <c r="J3849" s="9" t="s">
        <v>7258</v>
      </c>
      <c r="K3849" s="4" t="s">
        <v>15175</v>
      </c>
      <c r="L3849" s="13">
        <v>12121</v>
      </c>
      <c r="M3849" t="str">
        <f>VLOOKUP(L3849,[1]Human_BrainSpan!$B$2:$C$4000,2,FALSE)</f>
        <v>ReG</v>
      </c>
    </row>
    <row r="3850" spans="2:13" x14ac:dyDescent="0.25">
      <c r="B3850" s="31" t="s">
        <v>26303</v>
      </c>
      <c r="C3850" s="20"/>
      <c r="D3850" s="25" t="s">
        <v>26232</v>
      </c>
      <c r="E3850" s="25" t="s">
        <v>26300</v>
      </c>
      <c r="F3850" s="9" t="str">
        <f t="shared" si="53"/>
        <v>structure with developmental contribution from neural crest</v>
      </c>
      <c r="G3850" s="9" t="s">
        <v>5090</v>
      </c>
      <c r="H3850" s="9" t="s">
        <v>23801</v>
      </c>
      <c r="I3850" s="9" t="s">
        <v>7259</v>
      </c>
      <c r="J3850" s="9" t="s">
        <v>7260</v>
      </c>
      <c r="K3850" s="4" t="s">
        <v>15175</v>
      </c>
      <c r="L3850" s="13">
        <v>12123</v>
      </c>
      <c r="M3850" t="str">
        <f>VLOOKUP(L3850,[1]Human_BrainSpan!$B$2:$C$4000,2,FALSE)</f>
        <v>AOrG</v>
      </c>
    </row>
    <row r="3851" spans="2:13" x14ac:dyDescent="0.25">
      <c r="B3851" s="31" t="s">
        <v>26303</v>
      </c>
      <c r="C3851" s="20"/>
      <c r="D3851" s="25" t="s">
        <v>26232</v>
      </c>
      <c r="E3851" s="25" t="s">
        <v>26300</v>
      </c>
      <c r="F3851" s="9" t="str">
        <f t="shared" si="53"/>
        <v>structure with developmental contribution from neural crest</v>
      </c>
      <c r="G3851" s="9" t="s">
        <v>5090</v>
      </c>
      <c r="H3851" s="9" t="s">
        <v>23802</v>
      </c>
      <c r="I3851" s="9" t="s">
        <v>7261</v>
      </c>
      <c r="J3851" s="9" t="s">
        <v>7262</v>
      </c>
      <c r="K3851" s="4" t="s">
        <v>15175</v>
      </c>
      <c r="L3851" s="13">
        <v>12124</v>
      </c>
      <c r="M3851" t="str">
        <f>VLOOKUP(L3851,[1]Human_BrainSpan!$B$2:$C$4000,2,FALSE)</f>
        <v>POrG</v>
      </c>
    </row>
    <row r="3852" spans="2:13" x14ac:dyDescent="0.25">
      <c r="B3852" s="31" t="s">
        <v>26303</v>
      </c>
      <c r="C3852" s="25" t="s">
        <v>25795</v>
      </c>
      <c r="D3852" s="25" t="s">
        <v>26232</v>
      </c>
      <c r="E3852" s="25"/>
      <c r="F3852" s="9" t="str">
        <f t="shared" si="53"/>
        <v>structure with developmental contribution from neural crest</v>
      </c>
      <c r="G3852" s="9" t="s">
        <v>5090</v>
      </c>
      <c r="H3852" s="9" t="s">
        <v>23804</v>
      </c>
      <c r="I3852" s="9" t="s">
        <v>7263</v>
      </c>
      <c r="J3852" s="9" t="s">
        <v>7264</v>
      </c>
      <c r="K3852" s="4" t="s">
        <v>15175</v>
      </c>
      <c r="L3852" s="13">
        <v>12126</v>
      </c>
      <c r="M3852" t="str">
        <f>VLOOKUP(L3852,[1]Human_BrainSpan!$B$2:$C$4000,2,FALSE)</f>
        <v>PCLr</v>
      </c>
    </row>
    <row r="3853" spans="2:13" x14ac:dyDescent="0.25">
      <c r="B3853" s="31" t="s">
        <v>26303</v>
      </c>
      <c r="C3853" s="25" t="s">
        <v>26184</v>
      </c>
      <c r="D3853" s="25" t="s">
        <v>26232</v>
      </c>
      <c r="E3853" s="25"/>
      <c r="F3853" s="9" t="str">
        <f t="shared" si="53"/>
        <v>structure with developmental contribution from neural crest</v>
      </c>
      <c r="G3853" s="9" t="s">
        <v>5090</v>
      </c>
      <c r="H3853" s="9" t="s">
        <v>23816</v>
      </c>
      <c r="I3853" s="9" t="s">
        <v>7265</v>
      </c>
      <c r="J3853" s="9" t="s">
        <v>7266</v>
      </c>
      <c r="K3853" s="4" t="s">
        <v>15175</v>
      </c>
      <c r="L3853" s="13">
        <v>12133</v>
      </c>
      <c r="M3853" t="str">
        <f>VLOOKUP(L3853,[1]Human_BrainSpan!$B$2:$C$4000,2,FALSE)</f>
        <v>SPL</v>
      </c>
    </row>
    <row r="3854" spans="2:13" x14ac:dyDescent="0.25">
      <c r="B3854" s="31" t="s">
        <v>26303</v>
      </c>
      <c r="C3854" s="25" t="s">
        <v>26143</v>
      </c>
      <c r="D3854" s="25" t="s">
        <v>26232</v>
      </c>
      <c r="E3854" s="25"/>
      <c r="F3854" s="9" t="str">
        <f t="shared" si="53"/>
        <v>structure with developmental contribution from neural crest</v>
      </c>
      <c r="G3854" s="9" t="s">
        <v>5090</v>
      </c>
      <c r="H3854" s="9" t="s">
        <v>23820</v>
      </c>
      <c r="I3854" s="9" t="s">
        <v>7267</v>
      </c>
      <c r="J3854" s="9" t="s">
        <v>7268</v>
      </c>
      <c r="K3854" s="4" t="s">
        <v>15175</v>
      </c>
      <c r="L3854" s="13">
        <v>12138</v>
      </c>
      <c r="M3854" t="str">
        <f>VLOOKUP(L3854,[1]Human_BrainSpan!$B$2:$C$4000,2,FALSE)</f>
        <v>PCLc</v>
      </c>
    </row>
    <row r="3855" spans="2:13" x14ac:dyDescent="0.25">
      <c r="B3855" s="31" t="s">
        <v>26303</v>
      </c>
      <c r="C3855" s="25" t="s">
        <v>25798</v>
      </c>
      <c r="D3855" s="25" t="s">
        <v>26232</v>
      </c>
      <c r="E3855" s="25"/>
      <c r="F3855" s="9" t="str">
        <f t="shared" si="53"/>
        <v>structure with developmental contribution from neural crest</v>
      </c>
      <c r="G3855" s="9" t="s">
        <v>5090</v>
      </c>
      <c r="H3855" s="9" t="s">
        <v>23828</v>
      </c>
      <c r="I3855" s="9" t="s">
        <v>7269</v>
      </c>
      <c r="J3855" s="9" t="s">
        <v>7270</v>
      </c>
      <c r="K3855" s="4" t="s">
        <v>15175</v>
      </c>
      <c r="L3855" s="13">
        <v>12144</v>
      </c>
      <c r="M3855" t="str">
        <f>VLOOKUP(L3855,[1]Human_BrainSpan!$B$2:$C$4000,2,FALSE)</f>
        <v>TTG</v>
      </c>
    </row>
    <row r="3856" spans="2:13" x14ac:dyDescent="0.25">
      <c r="B3856" s="31" t="s">
        <v>26303</v>
      </c>
      <c r="C3856" s="25" t="s">
        <v>3855</v>
      </c>
      <c r="D3856" s="25" t="s">
        <v>26232</v>
      </c>
      <c r="E3856" s="25"/>
      <c r="F3856" s="9" t="str">
        <f t="shared" si="53"/>
        <v>structure with developmental contribution from neural crest</v>
      </c>
      <c r="G3856" s="9" t="s">
        <v>5090</v>
      </c>
      <c r="H3856" s="9" t="s">
        <v>23834</v>
      </c>
      <c r="I3856" s="9" t="s">
        <v>3855</v>
      </c>
      <c r="J3856" s="9" t="s">
        <v>7271</v>
      </c>
      <c r="K3856" s="4" t="s">
        <v>15175</v>
      </c>
      <c r="L3856" s="13">
        <v>12147</v>
      </c>
      <c r="M3856" t="str">
        <f>VLOOKUP(L3856,[1]Human_BrainSpan!$B$2:$C$4000,2,FALSE)</f>
        <v>PLP</v>
      </c>
    </row>
    <row r="3857" spans="2:13" x14ac:dyDescent="0.25">
      <c r="B3857" s="31" t="s">
        <v>26303</v>
      </c>
      <c r="C3857" s="20"/>
      <c r="D3857" s="25" t="s">
        <v>26232</v>
      </c>
      <c r="E3857" s="25" t="s">
        <v>26309</v>
      </c>
      <c r="F3857" s="9" t="str">
        <f t="shared" si="53"/>
        <v>structure with developmental contribution from neural crest</v>
      </c>
      <c r="G3857" s="9" t="s">
        <v>5090</v>
      </c>
      <c r="H3857" s="9" t="s">
        <v>23848</v>
      </c>
      <c r="I3857" s="9" t="s">
        <v>7272</v>
      </c>
      <c r="J3857" s="9" t="s">
        <v>7273</v>
      </c>
      <c r="K3857" s="4" t="s">
        <v>15175</v>
      </c>
      <c r="L3857" s="13">
        <v>12157</v>
      </c>
      <c r="M3857" t="str">
        <f>VLOOKUP(L3857,[1]Human_BrainSpan!$B$2:$C$4000,2,FALSE)</f>
        <v>CgGr</v>
      </c>
    </row>
    <row r="3858" spans="2:13" x14ac:dyDescent="0.25">
      <c r="B3858" s="31" t="s">
        <v>26303</v>
      </c>
      <c r="C3858" s="20"/>
      <c r="D3858" s="25" t="s">
        <v>26232</v>
      </c>
      <c r="E3858" s="25" t="s">
        <v>26309</v>
      </c>
      <c r="F3858" s="9" t="str">
        <f t="shared" si="53"/>
        <v>structure with developmental contribution from neural crest</v>
      </c>
      <c r="G3858" s="9" t="s">
        <v>5090</v>
      </c>
      <c r="H3858" s="9" t="s">
        <v>23849</v>
      </c>
      <c r="I3858" s="9" t="s">
        <v>7274</v>
      </c>
      <c r="J3858" s="9" t="s">
        <v>7275</v>
      </c>
      <c r="K3858" s="4" t="s">
        <v>15175</v>
      </c>
      <c r="L3858" s="13">
        <v>12158</v>
      </c>
      <c r="M3858" t="str">
        <f>VLOOKUP(L3858,[1]Human_BrainSpan!$B$2:$C$4000,2,FALSE)</f>
        <v>CgGc</v>
      </c>
    </row>
    <row r="3859" spans="2:13" x14ac:dyDescent="0.25">
      <c r="B3859" s="31" t="s">
        <v>26303</v>
      </c>
      <c r="C3859" s="20"/>
      <c r="D3859" s="25" t="s">
        <v>26232</v>
      </c>
      <c r="E3859" s="25" t="s">
        <v>26300</v>
      </c>
      <c r="F3859" s="9" t="str">
        <f t="shared" si="53"/>
        <v>structure with developmental contribution from neural crest</v>
      </c>
      <c r="G3859" s="9" t="s">
        <v>5090</v>
      </c>
      <c r="H3859" s="9" t="s">
        <v>23851</v>
      </c>
      <c r="I3859" s="9" t="s">
        <v>7276</v>
      </c>
      <c r="J3859" s="9" t="s">
        <v>7277</v>
      </c>
      <c r="K3859" s="4" t="s">
        <v>15175</v>
      </c>
      <c r="L3859" s="13">
        <v>12159</v>
      </c>
      <c r="M3859" t="str">
        <f>VLOOKUP(L3859,[1]Human_BrainSpan!$B$2:$C$4000,2,FALSE)</f>
        <v>IsCPH</v>
      </c>
    </row>
    <row r="3860" spans="2:13" x14ac:dyDescent="0.25">
      <c r="B3860" s="31" t="s">
        <v>26303</v>
      </c>
      <c r="C3860" s="20"/>
      <c r="D3860" s="25" t="s">
        <v>26232</v>
      </c>
      <c r="E3860" s="25"/>
      <c r="F3860" s="9" t="str">
        <f t="shared" si="53"/>
        <v>structure with developmental contribution from neural crest</v>
      </c>
      <c r="G3860" s="9" t="s">
        <v>5090</v>
      </c>
      <c r="H3860" s="9" t="s">
        <v>23852</v>
      </c>
      <c r="I3860" s="9" t="s">
        <v>7278</v>
      </c>
      <c r="J3860" s="9" t="s">
        <v>7279</v>
      </c>
      <c r="K3860" s="4" t="s">
        <v>15175</v>
      </c>
      <c r="L3860" s="13">
        <v>12160</v>
      </c>
      <c r="M3860" t="str">
        <f>VLOOKUP(L3860,[1]Human_BrainSpan!$B$2:$C$4000,2,FALSE)</f>
        <v>SCG</v>
      </c>
    </row>
    <row r="3861" spans="2:13" x14ac:dyDescent="0.25">
      <c r="B3861" s="31" t="s">
        <v>26303</v>
      </c>
      <c r="C3861" s="20"/>
      <c r="D3861" s="25" t="s">
        <v>26232</v>
      </c>
      <c r="E3861" s="25" t="s">
        <v>26300</v>
      </c>
      <c r="F3861" s="9" t="str">
        <f t="shared" si="53"/>
        <v>structure with developmental contribution from neural crest</v>
      </c>
      <c r="G3861" s="9" t="s">
        <v>5090</v>
      </c>
      <c r="H3861" s="9" t="s">
        <v>23858</v>
      </c>
      <c r="I3861" s="9" t="s">
        <v>7280</v>
      </c>
      <c r="J3861" s="9" t="s">
        <v>7281</v>
      </c>
      <c r="K3861" s="4" t="s">
        <v>15175</v>
      </c>
      <c r="L3861" s="13">
        <v>12167</v>
      </c>
      <c r="M3861" t="str">
        <f>VLOOKUP(L3861,[1]Human_BrainSpan!$B$2:$C$4000,2,FALSE)</f>
        <v>BG</v>
      </c>
    </row>
    <row r="3862" spans="2:13" x14ac:dyDescent="0.25">
      <c r="B3862" s="31" t="s">
        <v>26303</v>
      </c>
      <c r="C3862" s="20"/>
      <c r="D3862" s="25" t="s">
        <v>26232</v>
      </c>
      <c r="E3862" s="25" t="s">
        <v>26300</v>
      </c>
      <c r="F3862" s="9" t="str">
        <f t="shared" si="53"/>
        <v>structure with developmental contribution from neural crest</v>
      </c>
      <c r="G3862" s="9" t="s">
        <v>5090</v>
      </c>
      <c r="H3862" s="9" t="s">
        <v>23859</v>
      </c>
      <c r="I3862" s="9" t="s">
        <v>7282</v>
      </c>
      <c r="J3862" s="9" t="s">
        <v>7283</v>
      </c>
      <c r="K3862" s="4" t="s">
        <v>15175</v>
      </c>
      <c r="L3862" s="13">
        <v>12168</v>
      </c>
      <c r="M3862" t="str">
        <f>VLOOKUP(L3862,[1]Human_BrainSpan!$B$2:$C$4000,2,FALSE)</f>
        <v>ILG</v>
      </c>
    </row>
    <row r="3863" spans="2:13" x14ac:dyDescent="0.25">
      <c r="B3863" s="31" t="s">
        <v>26303</v>
      </c>
      <c r="C3863" s="20"/>
      <c r="D3863" s="25" t="s">
        <v>26232</v>
      </c>
      <c r="E3863" s="25" t="s">
        <v>26300</v>
      </c>
      <c r="F3863" s="9" t="str">
        <f t="shared" si="53"/>
        <v>structure with developmental contribution from neural crest</v>
      </c>
      <c r="G3863" s="9" t="s">
        <v>5090</v>
      </c>
      <c r="H3863" s="9" t="s">
        <v>23860</v>
      </c>
      <c r="I3863" s="9" t="s">
        <v>3791</v>
      </c>
      <c r="J3863" s="9" t="s">
        <v>3792</v>
      </c>
      <c r="K3863" s="4" t="s">
        <v>15175</v>
      </c>
      <c r="L3863" s="13">
        <v>12169</v>
      </c>
      <c r="M3863" t="str">
        <f>VLOOKUP(L3863,[1]Human_BrainSpan!$B$2:$C$4000,2,FALSE)</f>
        <v>SLG</v>
      </c>
    </row>
    <row r="3864" spans="2:13" x14ac:dyDescent="0.25">
      <c r="B3864" s="31" t="s">
        <v>26303</v>
      </c>
      <c r="C3864" s="25" t="s">
        <v>2291</v>
      </c>
      <c r="D3864" s="25" t="s">
        <v>26232</v>
      </c>
      <c r="E3864" s="25"/>
      <c r="F3864" s="9" t="str">
        <f t="shared" si="53"/>
        <v>structure with developmental contribution from neural crest</v>
      </c>
      <c r="G3864" s="9" t="s">
        <v>5090</v>
      </c>
      <c r="H3864" s="9" t="s">
        <v>23861</v>
      </c>
      <c r="I3864" s="9" t="s">
        <v>7284</v>
      </c>
      <c r="J3864" s="9" t="s">
        <v>7285</v>
      </c>
      <c r="K3864" s="4" t="s">
        <v>15175</v>
      </c>
      <c r="L3864" s="13">
        <v>12170</v>
      </c>
      <c r="M3864" t="str">
        <f>VLOOKUP(L3864,[1]Human_BrainSpan!$B$2:$C$4000,2,FALSE)</f>
        <v>HiF</v>
      </c>
    </row>
    <row r="3865" spans="2:13" x14ac:dyDescent="0.25">
      <c r="B3865" s="31" t="s">
        <v>26303</v>
      </c>
      <c r="C3865" s="25" t="s">
        <v>2291</v>
      </c>
      <c r="D3865" s="25" t="s">
        <v>26232</v>
      </c>
      <c r="E3865" s="25"/>
      <c r="F3865" s="9" t="str">
        <f t="shared" si="53"/>
        <v>structure with developmental contribution from neural crest</v>
      </c>
      <c r="G3865" s="9" t="s">
        <v>5090</v>
      </c>
      <c r="H3865" s="9" t="s">
        <v>23862</v>
      </c>
      <c r="I3865" s="9" t="s">
        <v>7286</v>
      </c>
      <c r="J3865" s="9" t="s">
        <v>7287</v>
      </c>
      <c r="K3865" s="4" t="s">
        <v>15175</v>
      </c>
      <c r="L3865" s="13">
        <v>12171</v>
      </c>
      <c r="M3865" t="str">
        <f>VLOOKUP(L3865,[1]Human_BrainSpan!$B$2:$C$4000,2,FALSE)</f>
        <v>HiH</v>
      </c>
    </row>
    <row r="3866" spans="2:13" x14ac:dyDescent="0.25">
      <c r="B3866" s="31" t="s">
        <v>26303</v>
      </c>
      <c r="C3866" s="25" t="s">
        <v>2291</v>
      </c>
      <c r="D3866" s="25" t="s">
        <v>26232</v>
      </c>
      <c r="E3866" s="25"/>
      <c r="F3866" s="9" t="str">
        <f t="shared" si="53"/>
        <v>structure with developmental contribution from neural crest</v>
      </c>
      <c r="G3866" s="9" t="s">
        <v>5090</v>
      </c>
      <c r="H3866" s="9" t="s">
        <v>23863</v>
      </c>
      <c r="I3866" s="9" t="s">
        <v>7288</v>
      </c>
      <c r="J3866" s="9" t="s">
        <v>7289</v>
      </c>
      <c r="K3866" s="4" t="s">
        <v>15175</v>
      </c>
      <c r="L3866" s="13">
        <v>12172</v>
      </c>
      <c r="M3866" t="str">
        <f>VLOOKUP(L3866,[1]Human_BrainSpan!$B$2:$C$4000,2,FALSE)</f>
        <v>HiD</v>
      </c>
    </row>
    <row r="3867" spans="2:13" x14ac:dyDescent="0.25">
      <c r="B3867" s="31" t="s">
        <v>26303</v>
      </c>
      <c r="C3867" s="25" t="s">
        <v>2291</v>
      </c>
      <c r="D3867" s="25" t="s">
        <v>26232</v>
      </c>
      <c r="E3867" s="25"/>
      <c r="F3867" s="9" t="str">
        <f t="shared" si="53"/>
        <v>structure with developmental contribution from neural crest</v>
      </c>
      <c r="G3867" s="9" t="s">
        <v>5090</v>
      </c>
      <c r="H3867" s="9" t="s">
        <v>23864</v>
      </c>
      <c r="I3867" s="9" t="s">
        <v>7290</v>
      </c>
      <c r="J3867" s="9" t="s">
        <v>7291</v>
      </c>
      <c r="K3867" s="4" t="s">
        <v>15175</v>
      </c>
      <c r="L3867" s="13">
        <v>12173</v>
      </c>
      <c r="M3867" t="str">
        <f>VLOOKUP(L3867,[1]Human_BrainSpan!$B$2:$C$4000,2,FALSE)</f>
        <v>HiB</v>
      </c>
    </row>
    <row r="3868" spans="2:13" x14ac:dyDescent="0.25">
      <c r="B3868" s="31" t="s">
        <v>26303</v>
      </c>
      <c r="C3868" s="25" t="s">
        <v>2291</v>
      </c>
      <c r="D3868" s="25" t="s">
        <v>26232</v>
      </c>
      <c r="E3868" s="25"/>
      <c r="F3868" s="9" t="str">
        <f t="shared" si="53"/>
        <v>structure with developmental contribution from neural crest</v>
      </c>
      <c r="G3868" s="9" t="s">
        <v>5090</v>
      </c>
      <c r="H3868" s="9" t="s">
        <v>23865</v>
      </c>
      <c r="I3868" s="9" t="s">
        <v>7292</v>
      </c>
      <c r="J3868" s="9" t="s">
        <v>7293</v>
      </c>
      <c r="K3868" s="4" t="s">
        <v>15175</v>
      </c>
      <c r="L3868" s="13">
        <v>12174</v>
      </c>
      <c r="M3868" t="str">
        <f>VLOOKUP(L3868,[1]Human_BrainSpan!$B$2:$C$4000,2,FALSE)</f>
        <v>HiT</v>
      </c>
    </row>
    <row r="3869" spans="2:13" x14ac:dyDescent="0.25">
      <c r="B3869" s="31" t="s">
        <v>26303</v>
      </c>
      <c r="C3869" s="25" t="s">
        <v>2435</v>
      </c>
      <c r="D3869" s="25" t="s">
        <v>26232</v>
      </c>
      <c r="E3869" s="25"/>
      <c r="F3869" s="9" t="str">
        <f t="shared" si="53"/>
        <v>structure with developmental contribution from neural crest</v>
      </c>
      <c r="G3869" s="9" t="s">
        <v>5090</v>
      </c>
      <c r="H3869" s="9" t="s">
        <v>23843</v>
      </c>
      <c r="I3869" s="9" t="s">
        <v>2433</v>
      </c>
      <c r="J3869" s="9" t="s">
        <v>2434</v>
      </c>
      <c r="K3869" s="4" t="s">
        <v>15175</v>
      </c>
      <c r="L3869" s="13">
        <v>12176</v>
      </c>
      <c r="M3869" t="str">
        <f>VLOOKUP(L3869,[1]Human_BrainSpan!$B$2:$C$4000,2,FALSE)</f>
        <v>InL</v>
      </c>
    </row>
    <row r="3870" spans="2:13" x14ac:dyDescent="0.25">
      <c r="B3870" s="31" t="s">
        <v>26303</v>
      </c>
      <c r="C3870" s="25" t="s">
        <v>2435</v>
      </c>
      <c r="D3870" s="25" t="s">
        <v>26232</v>
      </c>
      <c r="E3870" s="25"/>
      <c r="F3870" s="9" t="str">
        <f t="shared" si="53"/>
        <v>structure with developmental contribution from neural crest</v>
      </c>
      <c r="G3870" s="9" t="s">
        <v>5090</v>
      </c>
      <c r="H3870" s="9" t="s">
        <v>23844</v>
      </c>
      <c r="I3870" s="9" t="s">
        <v>7294</v>
      </c>
      <c r="J3870" s="9" t="s">
        <v>7295</v>
      </c>
      <c r="K3870" s="4" t="s">
        <v>15175</v>
      </c>
      <c r="L3870" s="13">
        <v>12177</v>
      </c>
      <c r="M3870" t="str">
        <f>VLOOKUP(L3870,[1]Human_BrainSpan!$B$2:$C$4000,2,FALSE)</f>
        <v>LIG</v>
      </c>
    </row>
    <row r="3871" spans="2:13" x14ac:dyDescent="0.25">
      <c r="B3871" s="31" t="s">
        <v>26303</v>
      </c>
      <c r="C3871" s="25" t="s">
        <v>2435</v>
      </c>
      <c r="D3871" s="25" t="s">
        <v>26232</v>
      </c>
      <c r="E3871" s="25"/>
      <c r="F3871" s="9" t="str">
        <f t="shared" si="53"/>
        <v>structure with developmental contribution from neural crest</v>
      </c>
      <c r="G3871" s="9" t="s">
        <v>5090</v>
      </c>
      <c r="H3871" s="9" t="s">
        <v>23845</v>
      </c>
      <c r="I3871" s="9" t="s">
        <v>7296</v>
      </c>
      <c r="J3871" s="9" t="s">
        <v>7297</v>
      </c>
      <c r="K3871" s="4" t="s">
        <v>15175</v>
      </c>
      <c r="L3871" s="13">
        <v>12178</v>
      </c>
      <c r="M3871" t="str">
        <f>VLOOKUP(L3871,[1]Human_BrainSpan!$B$2:$C$4000,2,FALSE)</f>
        <v>SIG</v>
      </c>
    </row>
    <row r="3872" spans="2:13" x14ac:dyDescent="0.25">
      <c r="B3872" s="31" t="s">
        <v>26303</v>
      </c>
      <c r="C3872" s="25" t="s">
        <v>26036</v>
      </c>
      <c r="D3872" s="25" t="s">
        <v>26232</v>
      </c>
      <c r="E3872" s="25"/>
      <c r="F3872" s="9" t="str">
        <f t="shared" si="53"/>
        <v>structure with developmental contribution from neural crest</v>
      </c>
      <c r="G3872" s="9" t="s">
        <v>5090</v>
      </c>
      <c r="H3872" s="9" t="s">
        <v>23935</v>
      </c>
      <c r="I3872" s="9" t="s">
        <v>2255</v>
      </c>
      <c r="J3872" s="9" t="s">
        <v>2256</v>
      </c>
      <c r="K3872" s="4" t="s">
        <v>15175</v>
      </c>
      <c r="L3872" s="13">
        <v>12208</v>
      </c>
      <c r="M3872" t="str">
        <f>VLOOKUP(L3872,[1]Human_BrainSpan!$B$2:$C$4000,2,FALSE)</f>
        <v>Me5</v>
      </c>
    </row>
    <row r="3873" spans="2:13" x14ac:dyDescent="0.25">
      <c r="B3873" s="31" t="s">
        <v>26303</v>
      </c>
      <c r="C3873" s="25" t="s">
        <v>2257</v>
      </c>
      <c r="D3873" s="25" t="s">
        <v>26232</v>
      </c>
      <c r="E3873" s="25"/>
      <c r="F3873" s="9" t="str">
        <f t="shared" si="53"/>
        <v>structure with developmental contribution from neural crest</v>
      </c>
      <c r="G3873" s="9" t="s">
        <v>5090</v>
      </c>
      <c r="H3873" s="9" t="s">
        <v>17462</v>
      </c>
      <c r="I3873" s="9" t="s">
        <v>2257</v>
      </c>
      <c r="J3873" s="9" t="s">
        <v>2258</v>
      </c>
      <c r="K3873" s="4" t="s">
        <v>15175</v>
      </c>
      <c r="L3873" s="13">
        <v>12266</v>
      </c>
      <c r="M3873" t="str">
        <f>VLOOKUP(L3873,[1]Human_BrainSpan!$B$2:$C$4000,2,FALSE)</f>
        <v>VTg</v>
      </c>
    </row>
    <row r="3874" spans="2:13" x14ac:dyDescent="0.25">
      <c r="B3874" s="31" t="s">
        <v>26303</v>
      </c>
      <c r="C3874" s="25" t="s">
        <v>2257</v>
      </c>
      <c r="D3874" s="25" t="s">
        <v>26232</v>
      </c>
      <c r="E3874" s="25"/>
      <c r="F3874" s="9" t="str">
        <f t="shared" si="53"/>
        <v>structure with developmental contribution from neural crest</v>
      </c>
      <c r="G3874" s="9" t="s">
        <v>5090</v>
      </c>
      <c r="H3874" s="9" t="s">
        <v>24300</v>
      </c>
      <c r="I3874" s="9" t="s">
        <v>7298</v>
      </c>
      <c r="J3874" s="9" t="s">
        <v>7299</v>
      </c>
      <c r="K3874" s="4" t="s">
        <v>15175</v>
      </c>
      <c r="L3874" s="13">
        <v>12267</v>
      </c>
      <c r="M3874" t="str">
        <f>VLOOKUP(L3874,[1]Human_BrainSpan!$B$2:$C$4000,2,FALSE)</f>
        <v>VTgI</v>
      </c>
    </row>
    <row r="3875" spans="2:13" x14ac:dyDescent="0.25">
      <c r="B3875" s="31" t="s">
        <v>26303</v>
      </c>
      <c r="C3875" s="25" t="s">
        <v>2257</v>
      </c>
      <c r="D3875" s="25" t="s">
        <v>26232</v>
      </c>
      <c r="E3875" s="25"/>
      <c r="F3875" s="9" t="str">
        <f t="shared" si="53"/>
        <v>structure with developmental contribution from neural crest</v>
      </c>
      <c r="G3875" s="9" t="s">
        <v>5090</v>
      </c>
      <c r="H3875" s="9" t="s">
        <v>24301</v>
      </c>
      <c r="I3875" s="9" t="s">
        <v>7300</v>
      </c>
      <c r="J3875" s="9" t="s">
        <v>7301</v>
      </c>
      <c r="K3875" s="4" t="s">
        <v>15175</v>
      </c>
      <c r="L3875" s="13">
        <v>12268</v>
      </c>
      <c r="M3875" t="str">
        <f>VLOOKUP(L3875,[1]Human_BrainSpan!$B$2:$C$4000,2,FALSE)</f>
        <v>VTgP</v>
      </c>
    </row>
    <row r="3876" spans="2:13" x14ac:dyDescent="0.25">
      <c r="B3876" s="31" t="s">
        <v>26303</v>
      </c>
      <c r="C3876" s="25" t="s">
        <v>2257</v>
      </c>
      <c r="D3876" s="25" t="s">
        <v>26232</v>
      </c>
      <c r="E3876" s="25"/>
      <c r="F3876" s="9" t="str">
        <f t="shared" si="53"/>
        <v>structure with developmental contribution from neural crest</v>
      </c>
      <c r="G3876" s="9" t="s">
        <v>5090</v>
      </c>
      <c r="H3876" s="9" t="s">
        <v>24302</v>
      </c>
      <c r="I3876" s="9" t="s">
        <v>7302</v>
      </c>
      <c r="J3876" s="9" t="s">
        <v>7303</v>
      </c>
      <c r="K3876" s="4" t="s">
        <v>15175</v>
      </c>
      <c r="L3876" s="13">
        <v>12269</v>
      </c>
      <c r="M3876" t="str">
        <f>VLOOKUP(L3876,[1]Human_BrainSpan!$B$2:$C$4000,2,FALSE)</f>
        <v>VTgS</v>
      </c>
    </row>
    <row r="3877" spans="2:13" x14ac:dyDescent="0.25">
      <c r="B3877" s="37" t="s">
        <v>26303</v>
      </c>
      <c r="C3877" s="25" t="s">
        <v>1421</v>
      </c>
      <c r="D3877" s="25" t="s">
        <v>26232</v>
      </c>
      <c r="E3877" s="25"/>
      <c r="F3877" s="9" t="str">
        <f t="shared" si="53"/>
        <v>structure with developmental contribution from neural crest</v>
      </c>
      <c r="G3877" s="9" t="s">
        <v>5090</v>
      </c>
      <c r="H3877" s="9" t="s">
        <v>24120</v>
      </c>
      <c r="I3877" s="9" t="s">
        <v>1421</v>
      </c>
      <c r="J3877" s="9" t="s">
        <v>1422</v>
      </c>
      <c r="K3877" s="4" t="s">
        <v>15175</v>
      </c>
      <c r="L3877" s="13">
        <v>12337</v>
      </c>
      <c r="M3877" t="str">
        <f>VLOOKUP(L3877,[1]Human_BrainSpan!$B$2:$C$4000,2,FALSE)</f>
        <v>xscp</v>
      </c>
    </row>
    <row r="3878" spans="2:13" x14ac:dyDescent="0.25">
      <c r="B3878" s="31" t="s">
        <v>26303</v>
      </c>
      <c r="C3878" s="25" t="s">
        <v>25896</v>
      </c>
      <c r="D3878" s="25" t="s">
        <v>26232</v>
      </c>
      <c r="E3878" s="25"/>
      <c r="F3878" s="9" t="str">
        <f t="shared" si="53"/>
        <v>structure with developmental contribution from neural crest</v>
      </c>
      <c r="G3878" s="9" t="s">
        <v>5090</v>
      </c>
      <c r="H3878" s="9" t="s">
        <v>24121</v>
      </c>
      <c r="I3878" s="9" t="s">
        <v>1428</v>
      </c>
      <c r="J3878" s="9" t="s">
        <v>1429</v>
      </c>
      <c r="K3878" s="4" t="s">
        <v>15175</v>
      </c>
      <c r="L3878" s="13">
        <v>12338</v>
      </c>
      <c r="M3878" t="str">
        <f>VLOOKUP(L3878,[1]Human_BrainSpan!$B$2:$C$4000,2,FALSE)</f>
        <v>x4</v>
      </c>
    </row>
    <row r="3879" spans="2:13" x14ac:dyDescent="0.25">
      <c r="B3879" s="37" t="s">
        <v>26303</v>
      </c>
      <c r="C3879" s="20"/>
      <c r="D3879" s="25" t="s">
        <v>26232</v>
      </c>
      <c r="E3879" s="25" t="s">
        <v>26300</v>
      </c>
      <c r="F3879" s="9" t="str">
        <f t="shared" si="53"/>
        <v>structure with developmental contribution from neural crest</v>
      </c>
      <c r="G3879" s="9" t="s">
        <v>5090</v>
      </c>
      <c r="H3879" s="9" t="s">
        <v>24152</v>
      </c>
      <c r="I3879" s="9" t="s">
        <v>7304</v>
      </c>
      <c r="J3879" s="9" t="s">
        <v>7305</v>
      </c>
      <c r="K3879" s="4" t="s">
        <v>15175</v>
      </c>
      <c r="L3879" s="13">
        <v>12355</v>
      </c>
      <c r="M3879" t="str">
        <f>VLOOKUP(L3879,[1]Human_BrainSpan!$B$2:$C$4000,2,FALSE)</f>
        <v>cbru</v>
      </c>
    </row>
    <row r="3880" spans="2:13" x14ac:dyDescent="0.25">
      <c r="B3880" s="37" t="s">
        <v>26303</v>
      </c>
      <c r="C3880" s="20"/>
      <c r="D3880" s="25" t="s">
        <v>26232</v>
      </c>
      <c r="E3880" s="25" t="s">
        <v>26300</v>
      </c>
      <c r="F3880" s="9" t="str">
        <f t="shared" si="53"/>
        <v>structure with developmental contribution from neural crest</v>
      </c>
      <c r="G3880" s="9" t="s">
        <v>5090</v>
      </c>
      <c r="H3880" s="9" t="s">
        <v>24153</v>
      </c>
      <c r="I3880" s="9" t="s">
        <v>7306</v>
      </c>
      <c r="J3880" s="9" t="s">
        <v>7307</v>
      </c>
      <c r="K3880" s="4" t="s">
        <v>15175</v>
      </c>
      <c r="L3880" s="13">
        <v>12356</v>
      </c>
      <c r="M3880" t="str">
        <f>VLOOKUP(L3880,[1]Human_BrainSpan!$B$2:$C$4000,2,FALSE)</f>
        <v>cbth</v>
      </c>
    </row>
    <row r="3881" spans="2:13" x14ac:dyDescent="0.25">
      <c r="B3881" s="31" t="s">
        <v>26303</v>
      </c>
      <c r="C3881" s="25" t="s">
        <v>1476</v>
      </c>
      <c r="D3881" s="25" t="s">
        <v>26232</v>
      </c>
      <c r="E3881" s="25"/>
      <c r="F3881" s="9" t="str">
        <f t="shared" si="53"/>
        <v>structure with developmental contribution from neural crest</v>
      </c>
      <c r="G3881" s="9" t="s">
        <v>5090</v>
      </c>
      <c r="H3881" s="9" t="s">
        <v>24154</v>
      </c>
      <c r="I3881" s="9" t="s">
        <v>1476</v>
      </c>
      <c r="J3881" s="9" t="s">
        <v>1477</v>
      </c>
      <c r="K3881" s="4" t="s">
        <v>15175</v>
      </c>
      <c r="L3881" s="13">
        <v>12357</v>
      </c>
      <c r="M3881" t="str">
        <f>VLOOKUP(L3881,[1]Human_BrainSpan!$B$2:$C$4000,2,FALSE)</f>
        <v>dtth</v>
      </c>
    </row>
    <row r="3882" spans="2:13" x14ac:dyDescent="0.25">
      <c r="B3882" s="31" t="s">
        <v>26303</v>
      </c>
      <c r="C3882" s="20"/>
      <c r="D3882" s="25" t="s">
        <v>26232</v>
      </c>
      <c r="E3882" s="25" t="s">
        <v>26300</v>
      </c>
      <c r="F3882" s="9" t="str">
        <f t="shared" si="53"/>
        <v>structure with developmental contribution from neural crest</v>
      </c>
      <c r="G3882" s="9" t="s">
        <v>5090</v>
      </c>
      <c r="H3882" s="9" t="s">
        <v>24155</v>
      </c>
      <c r="I3882" s="9" t="s">
        <v>7308</v>
      </c>
      <c r="J3882" s="9" t="s">
        <v>7309</v>
      </c>
      <c r="K3882" s="4" t="s">
        <v>15175</v>
      </c>
      <c r="L3882" s="13">
        <v>12358</v>
      </c>
      <c r="M3882" t="str">
        <f>VLOOKUP(L3882,[1]Human_BrainSpan!$B$2:$C$4000,2,FALSE)</f>
        <v>geru</v>
      </c>
    </row>
    <row r="3883" spans="2:13" x14ac:dyDescent="0.25">
      <c r="B3883" s="37" t="s">
        <v>26303</v>
      </c>
      <c r="C3883" s="20"/>
      <c r="D3883" s="25" t="s">
        <v>26232</v>
      </c>
      <c r="E3883" s="25" t="s">
        <v>26300</v>
      </c>
      <c r="F3883" s="9" t="str">
        <f t="shared" si="53"/>
        <v>structure with developmental contribution from neural crest</v>
      </c>
      <c r="G3883" s="9" t="s">
        <v>5090</v>
      </c>
      <c r="H3883" s="9" t="s">
        <v>24156</v>
      </c>
      <c r="I3883" s="9" t="s">
        <v>7310</v>
      </c>
      <c r="J3883" s="9" t="s">
        <v>7311</v>
      </c>
      <c r="K3883" s="4" t="s">
        <v>15175</v>
      </c>
      <c r="L3883" s="13">
        <v>12359</v>
      </c>
      <c r="M3883" t="str">
        <f>VLOOKUP(L3883,[1]Human_BrainSpan!$B$2:$C$4000,2,FALSE)</f>
        <v>rucb</v>
      </c>
    </row>
    <row r="3884" spans="2:13" x14ac:dyDescent="0.25">
      <c r="B3884" s="37" t="s">
        <v>26303</v>
      </c>
      <c r="C3884" s="20"/>
      <c r="D3884" s="25" t="s">
        <v>26232</v>
      </c>
      <c r="E3884" s="25" t="s">
        <v>26300</v>
      </c>
      <c r="F3884" s="9" t="str">
        <f t="shared" si="53"/>
        <v>structure with developmental contribution from neural crest</v>
      </c>
      <c r="G3884" s="9" t="s">
        <v>5090</v>
      </c>
      <c r="H3884" s="9" t="s">
        <v>24157</v>
      </c>
      <c r="I3884" s="9" t="s">
        <v>7312</v>
      </c>
      <c r="J3884" s="9" t="s">
        <v>7313</v>
      </c>
      <c r="K3884" s="4" t="s">
        <v>15175</v>
      </c>
      <c r="L3884" s="13">
        <v>12360</v>
      </c>
      <c r="M3884" t="str">
        <f>VLOOKUP(L3884,[1]Human_BrainSpan!$B$2:$C$4000,2,FALSE)</f>
        <v>tcb</v>
      </c>
    </row>
    <row r="3885" spans="2:13" x14ac:dyDescent="0.25">
      <c r="B3885" s="37" t="s">
        <v>26303</v>
      </c>
      <c r="C3885" s="25" t="s">
        <v>25796</v>
      </c>
      <c r="D3885" s="25" t="s">
        <v>26232</v>
      </c>
      <c r="E3885" s="25"/>
      <c r="F3885" s="9" t="str">
        <f t="shared" si="53"/>
        <v>structure with developmental contribution from neural crest</v>
      </c>
      <c r="G3885" s="9" t="s">
        <v>5090</v>
      </c>
      <c r="H3885" s="9" t="s">
        <v>24158</v>
      </c>
      <c r="I3885" s="9" t="s">
        <v>7314</v>
      </c>
      <c r="J3885" s="9" t="s">
        <v>7315</v>
      </c>
      <c r="K3885" s="4" t="s">
        <v>15175</v>
      </c>
      <c r="L3885" s="13">
        <v>12361</v>
      </c>
      <c r="M3885" t="str">
        <f>VLOOKUP(L3885,[1]Human_BrainSpan!$B$2:$C$4000,2,FALSE)</f>
        <v>vscb-m</v>
      </c>
    </row>
    <row r="3886" spans="2:13" x14ac:dyDescent="0.25">
      <c r="B3886" s="31" t="s">
        <v>26303</v>
      </c>
      <c r="C3886" s="25" t="s">
        <v>7316</v>
      </c>
      <c r="D3886" s="25" t="s">
        <v>26232</v>
      </c>
      <c r="E3886" s="25"/>
      <c r="F3886" s="9" t="str">
        <f t="shared" si="53"/>
        <v>structure with developmental contribution from neural crest</v>
      </c>
      <c r="G3886" s="9" t="s">
        <v>5090</v>
      </c>
      <c r="H3886" s="9" t="s">
        <v>24163</v>
      </c>
      <c r="I3886" s="9" t="s">
        <v>7316</v>
      </c>
      <c r="J3886" s="9" t="s">
        <v>7317</v>
      </c>
      <c r="K3886" s="4" t="s">
        <v>15175</v>
      </c>
      <c r="L3886" s="13">
        <v>12364</v>
      </c>
      <c r="M3886" t="str">
        <f>VLOOKUP(L3886,[1]Human_BrainSpan!$B$2:$C$4000,2,FALSE)</f>
        <v>tpn</v>
      </c>
    </row>
    <row r="3887" spans="2:13" x14ac:dyDescent="0.25">
      <c r="B3887" s="31" t="s">
        <v>26303</v>
      </c>
      <c r="C3887" s="25" t="s">
        <v>1472</v>
      </c>
      <c r="D3887" s="25" t="s">
        <v>26232</v>
      </c>
      <c r="E3887" s="25"/>
      <c r="F3887" s="9" t="str">
        <f t="shared" si="53"/>
        <v>structure with developmental contribution from neural crest</v>
      </c>
      <c r="G3887" s="9" t="s">
        <v>5090</v>
      </c>
      <c r="H3887" s="9" t="s">
        <v>16771</v>
      </c>
      <c r="I3887" s="9" t="s">
        <v>7318</v>
      </c>
      <c r="J3887" s="9" t="s">
        <v>7319</v>
      </c>
      <c r="K3887" s="4" t="s">
        <v>15175</v>
      </c>
      <c r="L3887" s="13">
        <v>12396</v>
      </c>
      <c r="M3887" t="str">
        <f>VLOOKUP(L3887,[1]Human_BrainSpan!$B$2:$C$4000,2,FALSE)</f>
        <v>DT</v>
      </c>
    </row>
    <row r="3888" spans="2:13" x14ac:dyDescent="0.25">
      <c r="B3888" s="31" t="s">
        <v>26303</v>
      </c>
      <c r="C3888" s="25" t="s">
        <v>1472</v>
      </c>
      <c r="D3888" s="25" t="s">
        <v>26232</v>
      </c>
      <c r="E3888" s="25"/>
      <c r="F3888" s="9" t="str">
        <f t="shared" si="53"/>
        <v>structure with developmental contribution from neural crest</v>
      </c>
      <c r="G3888" s="9" t="s">
        <v>5090</v>
      </c>
      <c r="H3888" s="9" t="s">
        <v>24245</v>
      </c>
      <c r="I3888" s="9" t="s">
        <v>7320</v>
      </c>
      <c r="J3888" s="9" t="s">
        <v>7321</v>
      </c>
      <c r="K3888" s="4" t="s">
        <v>15175</v>
      </c>
      <c r="L3888" s="13">
        <v>12397</v>
      </c>
      <c r="M3888" t="str">
        <f>VLOOKUP(L3888,[1]Human_BrainSpan!$B$2:$C$4000,2,FALSE)</f>
        <v>DTlv</v>
      </c>
    </row>
    <row r="3889" spans="2:13" x14ac:dyDescent="0.25">
      <c r="B3889" s="31" t="s">
        <v>26303</v>
      </c>
      <c r="C3889" s="25" t="s">
        <v>1472</v>
      </c>
      <c r="D3889" s="25" t="s">
        <v>26232</v>
      </c>
      <c r="E3889" s="25"/>
      <c r="F3889" s="9" t="str">
        <f t="shared" si="53"/>
        <v>structure with developmental contribution from neural crest</v>
      </c>
      <c r="G3889" s="9" t="s">
        <v>5090</v>
      </c>
      <c r="H3889" s="9" t="s">
        <v>24246</v>
      </c>
      <c r="I3889" s="9" t="s">
        <v>7322</v>
      </c>
      <c r="J3889" s="9" t="s">
        <v>7323</v>
      </c>
      <c r="K3889" s="4" t="s">
        <v>15175</v>
      </c>
      <c r="L3889" s="13">
        <v>12398</v>
      </c>
      <c r="M3889" t="str">
        <f>VLOOKUP(L3889,[1]Human_BrainSpan!$B$2:$C$4000,2,FALSE)</f>
        <v>DTmd</v>
      </c>
    </row>
    <row r="3890" spans="2:13" x14ac:dyDescent="0.25">
      <c r="B3890" s="31" t="s">
        <v>26303</v>
      </c>
      <c r="C3890" s="25" t="s">
        <v>25843</v>
      </c>
      <c r="D3890" s="25" t="s">
        <v>26232</v>
      </c>
      <c r="E3890" s="25"/>
      <c r="F3890" s="9" t="str">
        <f t="shared" si="53"/>
        <v>structure with developmental contribution from neural crest</v>
      </c>
      <c r="G3890" s="9" t="s">
        <v>5090</v>
      </c>
      <c r="H3890" s="9" t="s">
        <v>24247</v>
      </c>
      <c r="I3890" s="9" t="s">
        <v>1133</v>
      </c>
      <c r="J3890" s="9" t="s">
        <v>1134</v>
      </c>
      <c r="K3890" s="4" t="s">
        <v>15175</v>
      </c>
      <c r="L3890" s="13">
        <v>12399</v>
      </c>
      <c r="M3890" t="str">
        <f>VLOOKUP(L3890,[1]Human_BrainSpan!$B$2:$C$4000,2,FALSE)</f>
        <v>InP</v>
      </c>
    </row>
    <row r="3891" spans="2:13" x14ac:dyDescent="0.25">
      <c r="B3891" s="31" t="s">
        <v>26303</v>
      </c>
      <c r="C3891" s="25" t="s">
        <v>843</v>
      </c>
      <c r="D3891" s="25" t="s">
        <v>26232</v>
      </c>
      <c r="E3891" s="25"/>
      <c r="F3891" s="9" t="str">
        <f t="shared" si="53"/>
        <v>structure with developmental contribution from neural crest</v>
      </c>
      <c r="G3891" s="9" t="s">
        <v>5090</v>
      </c>
      <c r="H3891" s="9" t="s">
        <v>24250</v>
      </c>
      <c r="I3891" s="9" t="s">
        <v>1838</v>
      </c>
      <c r="J3891" s="9" t="s">
        <v>1839</v>
      </c>
      <c r="K3891" s="4" t="s">
        <v>15175</v>
      </c>
      <c r="L3891" s="13">
        <v>12402</v>
      </c>
      <c r="M3891" t="str">
        <f>VLOOKUP(L3891,[1]Human_BrainSpan!$B$2:$C$4000,2,FALSE)</f>
        <v>Fas</v>
      </c>
    </row>
    <row r="3892" spans="2:13" x14ac:dyDescent="0.25">
      <c r="B3892" s="31" t="s">
        <v>26303</v>
      </c>
      <c r="C3892" s="25" t="s">
        <v>843</v>
      </c>
      <c r="D3892" s="25" t="s">
        <v>26232</v>
      </c>
      <c r="E3892" s="25"/>
      <c r="F3892" s="9" t="str">
        <f t="shared" si="53"/>
        <v>structure with developmental contribution from neural crest</v>
      </c>
      <c r="G3892" s="9" t="s">
        <v>5090</v>
      </c>
      <c r="H3892" s="9" t="s">
        <v>24251</v>
      </c>
      <c r="I3892" s="9" t="s">
        <v>7324</v>
      </c>
      <c r="J3892" s="9" t="s">
        <v>7325</v>
      </c>
      <c r="K3892" s="4" t="s">
        <v>15175</v>
      </c>
      <c r="L3892" s="13">
        <v>12403</v>
      </c>
      <c r="M3892" t="str">
        <f>VLOOKUP(L3892,[1]Human_BrainSpan!$B$2:$C$4000,2,FALSE)</f>
        <v>FasL</v>
      </c>
    </row>
    <row r="3893" spans="2:13" x14ac:dyDescent="0.25">
      <c r="B3893" s="31" t="s">
        <v>26303</v>
      </c>
      <c r="C3893" s="25" t="s">
        <v>843</v>
      </c>
      <c r="D3893" s="25" t="s">
        <v>26232</v>
      </c>
      <c r="E3893" s="25"/>
      <c r="F3893" s="9" t="str">
        <f t="shared" si="53"/>
        <v>structure with developmental contribution from neural crest</v>
      </c>
      <c r="G3893" s="9" t="s">
        <v>5090</v>
      </c>
      <c r="H3893" s="9" t="s">
        <v>24252</v>
      </c>
      <c r="I3893" s="9" t="s">
        <v>7326</v>
      </c>
      <c r="J3893" s="9" t="s">
        <v>7327</v>
      </c>
      <c r="K3893" s="4" t="s">
        <v>15175</v>
      </c>
      <c r="L3893" s="13">
        <v>12404</v>
      </c>
      <c r="M3893" t="str">
        <f>VLOOKUP(L3893,[1]Human_BrainSpan!$B$2:$C$4000,2,FALSE)</f>
        <v>FasM</v>
      </c>
    </row>
    <row r="3894" spans="2:13" x14ac:dyDescent="0.25">
      <c r="B3894" s="31" t="s">
        <v>26303</v>
      </c>
      <c r="C3894" s="25" t="s">
        <v>26125</v>
      </c>
      <c r="D3894" s="25" t="s">
        <v>26232</v>
      </c>
      <c r="E3894" s="25"/>
      <c r="F3894" s="9" t="str">
        <f t="shared" si="53"/>
        <v>structure with developmental contribution from neural crest</v>
      </c>
      <c r="G3894" s="9" t="s">
        <v>5090</v>
      </c>
      <c r="H3894" s="9" t="s">
        <v>20193</v>
      </c>
      <c r="I3894" s="9" t="s">
        <v>3867</v>
      </c>
      <c r="J3894" s="9" t="s">
        <v>3868</v>
      </c>
      <c r="K3894" s="4" t="s">
        <v>15175</v>
      </c>
      <c r="L3894" s="13">
        <v>12406</v>
      </c>
      <c r="M3894" t="str">
        <f>VLOOKUP(L3894,[1]Human_BrainSpan!$B$2:$C$4000,2,FALSE)</f>
        <v>PN</v>
      </c>
    </row>
    <row r="3895" spans="2:13" x14ac:dyDescent="0.25">
      <c r="B3895" s="31" t="s">
        <v>26303</v>
      </c>
      <c r="C3895" s="25" t="s">
        <v>26125</v>
      </c>
      <c r="D3895" s="25" t="s">
        <v>26232</v>
      </c>
      <c r="E3895" s="25"/>
      <c r="F3895" s="9" t="str">
        <f t="shared" ref="F3895:F3958" si="54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3895" s="9" t="s">
        <v>5090</v>
      </c>
      <c r="H3895" s="9" t="s">
        <v>24256</v>
      </c>
      <c r="I3895" s="9" t="s">
        <v>7328</v>
      </c>
      <c r="J3895" s="9" t="s">
        <v>7329</v>
      </c>
      <c r="K3895" s="4" t="s">
        <v>15175</v>
      </c>
      <c r="L3895" s="13">
        <v>12407</v>
      </c>
      <c r="M3895" t="str">
        <f>VLOOKUP(L3895,[1]Human_BrainSpan!$B$2:$C$4000,2,FALSE)</f>
        <v>PNd</v>
      </c>
    </row>
    <row r="3896" spans="2:13" x14ac:dyDescent="0.25">
      <c r="B3896" s="31" t="s">
        <v>26303</v>
      </c>
      <c r="C3896" s="20"/>
      <c r="D3896" s="25" t="s">
        <v>26185</v>
      </c>
      <c r="E3896" s="25" t="s">
        <v>26300</v>
      </c>
      <c r="F3896" s="9" t="str">
        <f t="shared" si="54"/>
        <v>structure with developmental contribution from neural crest</v>
      </c>
      <c r="G3896" s="9" t="s">
        <v>5090</v>
      </c>
      <c r="H3896" s="9" t="s">
        <v>24257</v>
      </c>
      <c r="I3896" s="9" t="s">
        <v>7330</v>
      </c>
      <c r="J3896" s="9" t="s">
        <v>7331</v>
      </c>
      <c r="K3896" s="4" t="s">
        <v>15175</v>
      </c>
      <c r="L3896" s="13">
        <v>12408</v>
      </c>
      <c r="M3896" t="str">
        <f>VLOOKUP(L3896,[1]Human_BrainSpan!$B$2:$C$4000,2,FALSE)</f>
        <v>PNdl</v>
      </c>
    </row>
    <row r="3897" spans="2:13" x14ac:dyDescent="0.25">
      <c r="B3897" s="31" t="s">
        <v>26303</v>
      </c>
      <c r="C3897" s="25"/>
      <c r="D3897" s="25" t="s">
        <v>26185</v>
      </c>
      <c r="E3897" s="25" t="s">
        <v>26300</v>
      </c>
      <c r="F3897" s="9" t="str">
        <f t="shared" si="54"/>
        <v>structure with developmental contribution from neural crest</v>
      </c>
      <c r="G3897" s="9" t="s">
        <v>5090</v>
      </c>
      <c r="H3897" s="9" t="s">
        <v>24258</v>
      </c>
      <c r="I3897" s="9" t="s">
        <v>7332</v>
      </c>
      <c r="J3897" s="9" t="s">
        <v>7333</v>
      </c>
      <c r="K3897" s="4" t="s">
        <v>15175</v>
      </c>
      <c r="L3897" s="13">
        <v>12409</v>
      </c>
      <c r="M3897" t="str">
        <f>VLOOKUP(L3897,[1]Human_BrainSpan!$B$2:$C$4000,2,FALSE)</f>
        <v>PNdm</v>
      </c>
    </row>
    <row r="3898" spans="2:13" x14ac:dyDescent="0.25">
      <c r="B3898" s="31" t="s">
        <v>26303</v>
      </c>
      <c r="C3898" s="25" t="s">
        <v>2559</v>
      </c>
      <c r="D3898" s="25" t="s">
        <v>26232</v>
      </c>
      <c r="E3898" s="25"/>
      <c r="F3898" s="9" t="str">
        <f t="shared" si="54"/>
        <v>structure with developmental contribution from neural crest</v>
      </c>
      <c r="G3898" s="9" t="s">
        <v>5090</v>
      </c>
      <c r="H3898" s="9" t="s">
        <v>24259</v>
      </c>
      <c r="I3898" s="9" t="s">
        <v>2557</v>
      </c>
      <c r="J3898" s="9" t="s">
        <v>7334</v>
      </c>
      <c r="K3898" s="4" t="s">
        <v>15175</v>
      </c>
      <c r="L3898" s="13">
        <v>12410</v>
      </c>
      <c r="M3898" t="str">
        <f>VLOOKUP(L3898,[1]Human_BrainSpan!$B$2:$C$4000,2,FALSE)</f>
        <v>PNl</v>
      </c>
    </row>
    <row r="3899" spans="2:13" x14ac:dyDescent="0.25">
      <c r="B3899" s="31" t="s">
        <v>26303</v>
      </c>
      <c r="C3899" s="20" t="s">
        <v>26125</v>
      </c>
      <c r="D3899" s="25" t="s">
        <v>26232</v>
      </c>
      <c r="E3899" s="25"/>
      <c r="F3899" s="9" t="str">
        <f t="shared" si="54"/>
        <v>structure with developmental contribution from neural crest</v>
      </c>
      <c r="G3899" s="9" t="s">
        <v>5090</v>
      </c>
      <c r="H3899" s="9" t="s">
        <v>24260</v>
      </c>
      <c r="I3899" s="9" t="s">
        <v>7335</v>
      </c>
      <c r="J3899" s="9" t="s">
        <v>7336</v>
      </c>
      <c r="K3899" s="4" t="s">
        <v>15175</v>
      </c>
      <c r="L3899" s="13">
        <v>12411</v>
      </c>
      <c r="M3899" t="str">
        <f>VLOOKUP(L3899,[1]Human_BrainSpan!$B$2:$C$4000,2,FALSE)</f>
        <v>PNm</v>
      </c>
    </row>
    <row r="3900" spans="2:13" x14ac:dyDescent="0.25">
      <c r="B3900" s="31" t="s">
        <v>26303</v>
      </c>
      <c r="C3900" s="25" t="s">
        <v>3302</v>
      </c>
      <c r="D3900" s="25" t="s">
        <v>26232</v>
      </c>
      <c r="E3900" s="25"/>
      <c r="F3900" s="9" t="str">
        <f t="shared" si="54"/>
        <v>structure with developmental contribution from neural crest</v>
      </c>
      <c r="G3900" s="9" t="s">
        <v>5090</v>
      </c>
      <c r="H3900" s="9" t="s">
        <v>24261</v>
      </c>
      <c r="I3900" s="9" t="s">
        <v>7337</v>
      </c>
      <c r="J3900" s="9" t="s">
        <v>7338</v>
      </c>
      <c r="K3900" s="4" t="s">
        <v>15175</v>
      </c>
      <c r="L3900" s="13">
        <v>12412</v>
      </c>
      <c r="M3900" t="str">
        <f>VLOOKUP(L3900,[1]Human_BrainSpan!$B$2:$C$4000,2,FALSE)</f>
        <v>PNpar</v>
      </c>
    </row>
    <row r="3901" spans="2:13" x14ac:dyDescent="0.25">
      <c r="B3901" s="31" t="s">
        <v>26303</v>
      </c>
      <c r="C3901" s="25" t="s">
        <v>2266</v>
      </c>
      <c r="D3901" s="25" t="s">
        <v>26232</v>
      </c>
      <c r="E3901" s="25"/>
      <c r="F3901" s="9" t="str">
        <f t="shared" si="54"/>
        <v>structure with developmental contribution from neural crest</v>
      </c>
      <c r="G3901" s="9" t="s">
        <v>5090</v>
      </c>
      <c r="H3901" s="9" t="s">
        <v>24262</v>
      </c>
      <c r="I3901" s="9" t="s">
        <v>2259</v>
      </c>
      <c r="J3901" s="9" t="s">
        <v>2260</v>
      </c>
      <c r="K3901" s="4" t="s">
        <v>15175</v>
      </c>
      <c r="L3901" s="13">
        <v>12413</v>
      </c>
      <c r="M3901" t="str">
        <f>VLOOKUP(L3901,[1]Human_BrainSpan!$B$2:$C$4000,2,FALSE)</f>
        <v>PNped</v>
      </c>
    </row>
    <row r="3902" spans="2:13" x14ac:dyDescent="0.25">
      <c r="B3902" s="31" t="s">
        <v>26303</v>
      </c>
      <c r="C3902" s="25" t="s">
        <v>3298</v>
      </c>
      <c r="D3902" s="25" t="s">
        <v>26232</v>
      </c>
      <c r="E3902" s="25"/>
      <c r="F3902" s="9" t="str">
        <f t="shared" si="54"/>
        <v>structure with developmental contribution from neural crest</v>
      </c>
      <c r="G3902" s="9" t="s">
        <v>5090</v>
      </c>
      <c r="H3902" s="9" t="s">
        <v>24263</v>
      </c>
      <c r="I3902" s="9" t="s">
        <v>3298</v>
      </c>
      <c r="J3902" s="9" t="s">
        <v>3299</v>
      </c>
      <c r="K3902" s="4" t="s">
        <v>15175</v>
      </c>
      <c r="L3902" s="13">
        <v>12414</v>
      </c>
      <c r="M3902" t="str">
        <f>VLOOKUP(L3902,[1]Human_BrainSpan!$B$2:$C$4000,2,FALSE)</f>
        <v>RTg</v>
      </c>
    </row>
    <row r="3903" spans="2:13" x14ac:dyDescent="0.25">
      <c r="B3903" s="31" t="s">
        <v>26303</v>
      </c>
      <c r="C3903" s="20"/>
      <c r="D3903" s="25" t="s">
        <v>26185</v>
      </c>
      <c r="E3903" s="25" t="s">
        <v>26300</v>
      </c>
      <c r="F3903" s="9" t="str">
        <f t="shared" si="54"/>
        <v>structure with developmental contribution from neural crest</v>
      </c>
      <c r="G3903" s="9" t="s">
        <v>5090</v>
      </c>
      <c r="H3903" s="9" t="s">
        <v>24265</v>
      </c>
      <c r="I3903" s="9" t="s">
        <v>7339</v>
      </c>
      <c r="J3903" s="9" t="s">
        <v>7340</v>
      </c>
      <c r="K3903" s="4" t="s">
        <v>15175</v>
      </c>
      <c r="L3903" s="13">
        <v>12417</v>
      </c>
      <c r="M3903" t="str">
        <f>VLOOKUP(L3903,[1]Human_BrainSpan!$B$2:$C$4000,2,FALSE)</f>
        <v>PnEN</v>
      </c>
    </row>
    <row r="3904" spans="2:13" x14ac:dyDescent="0.25">
      <c r="B3904" s="31" t="s">
        <v>26303</v>
      </c>
      <c r="C3904" s="25" t="s">
        <v>160</v>
      </c>
      <c r="D3904" s="25" t="s">
        <v>26232</v>
      </c>
      <c r="E3904" s="25"/>
      <c r="F3904" s="9" t="str">
        <f t="shared" si="54"/>
        <v>structure with developmental contribution from neural crest</v>
      </c>
      <c r="G3904" s="9" t="s">
        <v>5090</v>
      </c>
      <c r="H3904" s="9" t="s">
        <v>24266</v>
      </c>
      <c r="I3904" s="9" t="s">
        <v>160</v>
      </c>
      <c r="J3904" s="9" t="s">
        <v>161</v>
      </c>
      <c r="K3904" s="4" t="s">
        <v>15175</v>
      </c>
      <c r="L3904" s="13">
        <v>12418</v>
      </c>
      <c r="M3904" t="str">
        <f>VLOOKUP(L3904,[1]Human_BrainSpan!$B$2:$C$4000,2,FALSE)</f>
        <v>6N</v>
      </c>
    </row>
    <row r="3905" spans="2:13" x14ac:dyDescent="0.25">
      <c r="B3905" s="31" t="s">
        <v>26303</v>
      </c>
      <c r="C3905" s="20"/>
      <c r="D3905" s="25" t="s">
        <v>26232</v>
      </c>
      <c r="E3905" s="25"/>
      <c r="F3905" s="9" t="str">
        <f t="shared" si="54"/>
        <v>structure with developmental contribution from neural crest</v>
      </c>
      <c r="G3905" s="9" t="s">
        <v>5090</v>
      </c>
      <c r="H3905" s="9" t="s">
        <v>24267</v>
      </c>
      <c r="I3905" s="9" t="s">
        <v>7341</v>
      </c>
      <c r="J3905" s="9" t="s">
        <v>7342</v>
      </c>
      <c r="K3905" s="4" t="s">
        <v>15175</v>
      </c>
      <c r="L3905" s="13">
        <v>12419</v>
      </c>
      <c r="M3905" t="str">
        <f>VLOOKUP(L3905,[1]Human_BrainSpan!$B$2:$C$4000,2,FALSE)</f>
        <v>Acs7</v>
      </c>
    </row>
    <row r="3906" spans="2:13" x14ac:dyDescent="0.25">
      <c r="B3906" s="31" t="s">
        <v>26303</v>
      </c>
      <c r="C3906" s="25" t="s">
        <v>1823</v>
      </c>
      <c r="D3906" s="25" t="s">
        <v>26232</v>
      </c>
      <c r="E3906" s="25"/>
      <c r="F3906" s="9" t="str">
        <f t="shared" si="54"/>
        <v>structure with developmental contribution from neural crest</v>
      </c>
      <c r="G3906" s="9" t="s">
        <v>5090</v>
      </c>
      <c r="H3906" s="9" t="s">
        <v>24268</v>
      </c>
      <c r="I3906" s="9" t="s">
        <v>1823</v>
      </c>
      <c r="J3906" s="9" t="s">
        <v>1824</v>
      </c>
      <c r="K3906" s="4" t="s">
        <v>15175</v>
      </c>
      <c r="L3906" s="13">
        <v>12420</v>
      </c>
      <c r="M3906" t="str">
        <f>VLOOKUP(L3906,[1]Human_BrainSpan!$B$2:$C$4000,2,FALSE)</f>
        <v>7N</v>
      </c>
    </row>
    <row r="3907" spans="2:13" x14ac:dyDescent="0.25">
      <c r="B3907" s="31" t="s">
        <v>26303</v>
      </c>
      <c r="C3907" s="25" t="s">
        <v>1823</v>
      </c>
      <c r="D3907" s="25" t="s">
        <v>26232</v>
      </c>
      <c r="E3907" s="25"/>
      <c r="F3907" s="9" t="str">
        <f t="shared" si="54"/>
        <v>structure with developmental contribution from neural crest</v>
      </c>
      <c r="G3907" s="9" t="s">
        <v>5090</v>
      </c>
      <c r="H3907" s="9" t="s">
        <v>24269</v>
      </c>
      <c r="I3907" s="9" t="s">
        <v>7343</v>
      </c>
      <c r="J3907" s="9" t="s">
        <v>7344</v>
      </c>
      <c r="K3907" s="4" t="s">
        <v>15175</v>
      </c>
      <c r="L3907" s="13">
        <v>12421</v>
      </c>
      <c r="M3907" t="str">
        <f>VLOOKUP(L3907,[1]Human_BrainSpan!$B$2:$C$4000,2,FALSE)</f>
        <v>7D</v>
      </c>
    </row>
    <row r="3908" spans="2:13" x14ac:dyDescent="0.25">
      <c r="B3908" s="31" t="s">
        <v>26303</v>
      </c>
      <c r="C3908" s="25" t="s">
        <v>1823</v>
      </c>
      <c r="D3908" s="25" t="s">
        <v>26232</v>
      </c>
      <c r="E3908" s="25"/>
      <c r="F3908" s="9" t="str">
        <f t="shared" si="54"/>
        <v>structure with developmental contribution from neural crest</v>
      </c>
      <c r="G3908" s="9" t="s">
        <v>5090</v>
      </c>
      <c r="H3908" s="9" t="s">
        <v>24270</v>
      </c>
      <c r="I3908" s="9" t="s">
        <v>7345</v>
      </c>
      <c r="J3908" s="9" t="s">
        <v>7346</v>
      </c>
      <c r="K3908" s="4" t="s">
        <v>15175</v>
      </c>
      <c r="L3908" s="13">
        <v>12422</v>
      </c>
      <c r="M3908" t="str">
        <f>VLOOKUP(L3908,[1]Human_BrainSpan!$B$2:$C$4000,2,FALSE)</f>
        <v>7VI</v>
      </c>
    </row>
    <row r="3909" spans="2:13" x14ac:dyDescent="0.25">
      <c r="B3909" s="31" t="s">
        <v>26303</v>
      </c>
      <c r="C3909" s="25" t="s">
        <v>1823</v>
      </c>
      <c r="D3909" s="25" t="s">
        <v>26232</v>
      </c>
      <c r="E3909" s="25"/>
      <c r="F3909" s="9" t="str">
        <f t="shared" si="54"/>
        <v>structure with developmental contribution from neural crest</v>
      </c>
      <c r="G3909" s="9" t="s">
        <v>5090</v>
      </c>
      <c r="H3909" s="9" t="s">
        <v>24271</v>
      </c>
      <c r="I3909" s="9" t="s">
        <v>7347</v>
      </c>
      <c r="J3909" s="9" t="s">
        <v>7348</v>
      </c>
      <c r="K3909" s="4" t="s">
        <v>15175</v>
      </c>
      <c r="L3909" s="13">
        <v>12424</v>
      </c>
      <c r="M3909" t="str">
        <f>VLOOKUP(L3909,[1]Human_BrainSpan!$B$2:$C$4000,2,FALSE)</f>
        <v>7VM</v>
      </c>
    </row>
    <row r="3910" spans="2:13" x14ac:dyDescent="0.25">
      <c r="B3910" s="31" t="s">
        <v>26303</v>
      </c>
      <c r="C3910" s="20"/>
      <c r="D3910" s="25" t="s">
        <v>26185</v>
      </c>
      <c r="E3910" s="25" t="s">
        <v>26300</v>
      </c>
      <c r="F3910" s="9" t="str">
        <f t="shared" si="54"/>
        <v>structure with developmental contribution from neural crest</v>
      </c>
      <c r="G3910" s="9" t="s">
        <v>5090</v>
      </c>
      <c r="H3910" s="9" t="s">
        <v>24359</v>
      </c>
      <c r="I3910" s="9" t="s">
        <v>7349</v>
      </c>
      <c r="J3910" s="9" t="s">
        <v>7350</v>
      </c>
      <c r="K3910" s="4" t="s">
        <v>15175</v>
      </c>
      <c r="L3910" s="13">
        <v>12425</v>
      </c>
      <c r="M3910" t="str">
        <f>VLOOKUP(L3910,[1]Human_BrainSpan!$B$2:$C$4000,2,FALSE)</f>
        <v>PF7</v>
      </c>
    </row>
    <row r="3911" spans="2:13" x14ac:dyDescent="0.25">
      <c r="B3911" s="31" t="s">
        <v>26303</v>
      </c>
      <c r="C3911" s="25" t="s">
        <v>1823</v>
      </c>
      <c r="D3911" s="25" t="s">
        <v>26232</v>
      </c>
      <c r="E3911" s="25"/>
      <c r="F3911" s="9" t="str">
        <f t="shared" si="54"/>
        <v>structure with developmental contribution from neural crest</v>
      </c>
      <c r="G3911" s="9" t="s">
        <v>5090</v>
      </c>
      <c r="H3911" s="9" t="s">
        <v>24273</v>
      </c>
      <c r="I3911" s="9" t="s">
        <v>7351</v>
      </c>
      <c r="J3911" s="9" t="s">
        <v>7352</v>
      </c>
      <c r="K3911" s="4" t="s">
        <v>15175</v>
      </c>
      <c r="L3911" s="13">
        <v>12427</v>
      </c>
      <c r="M3911" t="str">
        <f>VLOOKUP(L3911,[1]Human_BrainSpan!$B$2:$C$4000,2,FALSE)</f>
        <v>7VL</v>
      </c>
    </row>
    <row r="3912" spans="2:13" x14ac:dyDescent="0.25">
      <c r="B3912" s="31" t="s">
        <v>26303</v>
      </c>
      <c r="C3912" s="20"/>
      <c r="D3912" s="25" t="s">
        <v>26232</v>
      </c>
      <c r="E3912" s="25" t="s">
        <v>26300</v>
      </c>
      <c r="F3912" s="9" t="str">
        <f t="shared" si="54"/>
        <v>structure with developmental contribution from neural crest</v>
      </c>
      <c r="G3912" s="9" t="s">
        <v>5090</v>
      </c>
      <c r="H3912" s="9" t="s">
        <v>24274</v>
      </c>
      <c r="I3912" s="9" t="s">
        <v>7353</v>
      </c>
      <c r="J3912" s="9" t="s">
        <v>7354</v>
      </c>
      <c r="K3912" s="4" t="s">
        <v>15175</v>
      </c>
      <c r="L3912" s="13">
        <v>12428</v>
      </c>
      <c r="M3912" t="str">
        <f>VLOOKUP(L3912,[1]Human_BrainSpan!$B$2:$C$4000,2,FALSE)</f>
        <v>Lac</v>
      </c>
    </row>
    <row r="3913" spans="2:13" x14ac:dyDescent="0.25">
      <c r="B3913" s="31" t="s">
        <v>26303</v>
      </c>
      <c r="C3913" s="25" t="s">
        <v>3181</v>
      </c>
      <c r="D3913" s="25" t="s">
        <v>26232</v>
      </c>
      <c r="E3913" s="25"/>
      <c r="F3913" s="9" t="str">
        <f t="shared" si="54"/>
        <v>structure with developmental contribution from neural crest</v>
      </c>
      <c r="G3913" s="9" t="s">
        <v>5090</v>
      </c>
      <c r="H3913" s="9" t="s">
        <v>24275</v>
      </c>
      <c r="I3913" s="9" t="s">
        <v>3181</v>
      </c>
      <c r="J3913" s="9" t="s">
        <v>3182</v>
      </c>
      <c r="K3913" s="4" t="s">
        <v>15175</v>
      </c>
      <c r="L3913" s="13">
        <v>12429</v>
      </c>
      <c r="M3913" t="str">
        <f>VLOOKUP(L3913,[1]Human_BrainSpan!$B$2:$C$4000,2,FALSE)</f>
        <v>Mo5</v>
      </c>
    </row>
    <row r="3914" spans="2:13" x14ac:dyDescent="0.25">
      <c r="B3914" s="31" t="s">
        <v>26303</v>
      </c>
      <c r="C3914" s="25" t="s">
        <v>3181</v>
      </c>
      <c r="D3914" s="25" t="s">
        <v>26232</v>
      </c>
      <c r="E3914" s="25"/>
      <c r="F3914" s="9" t="str">
        <f t="shared" si="54"/>
        <v>structure with developmental contribution from neural crest</v>
      </c>
      <c r="G3914" s="9" t="s">
        <v>5090</v>
      </c>
      <c r="H3914" s="9" t="s">
        <v>24276</v>
      </c>
      <c r="I3914" s="9" t="s">
        <v>7355</v>
      </c>
      <c r="J3914" s="9" t="s">
        <v>7356</v>
      </c>
      <c r="K3914" s="4" t="s">
        <v>15175</v>
      </c>
      <c r="L3914" s="13">
        <v>12430</v>
      </c>
      <c r="M3914" t="str">
        <f>VLOOKUP(L3914,[1]Human_BrainSpan!$B$2:$C$4000,2,FALSE)</f>
        <v>Mo5lpt</v>
      </c>
    </row>
    <row r="3915" spans="2:13" x14ac:dyDescent="0.25">
      <c r="B3915" s="31" t="s">
        <v>26303</v>
      </c>
      <c r="C3915" s="25" t="s">
        <v>3181</v>
      </c>
      <c r="D3915" s="25" t="s">
        <v>26232</v>
      </c>
      <c r="E3915" s="25"/>
      <c r="F3915" s="9" t="str">
        <f t="shared" si="54"/>
        <v>structure with developmental contribution from neural crest</v>
      </c>
      <c r="G3915" s="9" t="s">
        <v>5090</v>
      </c>
      <c r="H3915" s="9" t="s">
        <v>24277</v>
      </c>
      <c r="I3915" s="9" t="s">
        <v>7357</v>
      </c>
      <c r="J3915" s="9" t="s">
        <v>7358</v>
      </c>
      <c r="K3915" s="4" t="s">
        <v>15175</v>
      </c>
      <c r="L3915" s="13">
        <v>12431</v>
      </c>
      <c r="M3915" t="str">
        <f>VLOOKUP(L3915,[1]Human_BrainSpan!$B$2:$C$4000,2,FALSE)</f>
        <v>Mo5ma</v>
      </c>
    </row>
    <row r="3916" spans="2:13" x14ac:dyDescent="0.25">
      <c r="B3916" s="31" t="s">
        <v>26303</v>
      </c>
      <c r="C3916" s="25" t="s">
        <v>3181</v>
      </c>
      <c r="D3916" s="25" t="s">
        <v>26232</v>
      </c>
      <c r="E3916" s="25"/>
      <c r="F3916" s="9" t="str">
        <f t="shared" si="54"/>
        <v>structure with developmental contribution from neural crest</v>
      </c>
      <c r="G3916" s="9" t="s">
        <v>5090</v>
      </c>
      <c r="H3916" s="9" t="s">
        <v>24278</v>
      </c>
      <c r="I3916" s="9" t="s">
        <v>7359</v>
      </c>
      <c r="J3916" s="9" t="s">
        <v>7360</v>
      </c>
      <c r="K3916" s="4" t="s">
        <v>15175</v>
      </c>
      <c r="L3916" s="13">
        <v>12432</v>
      </c>
      <c r="M3916" t="str">
        <f>VLOOKUP(L3916,[1]Human_BrainSpan!$B$2:$C$4000,2,FALSE)</f>
        <v>Mo5mpt</v>
      </c>
    </row>
    <row r="3917" spans="2:13" x14ac:dyDescent="0.25">
      <c r="B3917" s="31" t="s">
        <v>26303</v>
      </c>
      <c r="C3917" s="25" t="s">
        <v>3181</v>
      </c>
      <c r="D3917" s="25" t="s">
        <v>26232</v>
      </c>
      <c r="E3917" s="25"/>
      <c r="F3917" s="9" t="str">
        <f t="shared" si="54"/>
        <v>structure with developmental contribution from neural crest</v>
      </c>
      <c r="G3917" s="9" t="s">
        <v>5090</v>
      </c>
      <c r="H3917" s="9" t="s">
        <v>24279</v>
      </c>
      <c r="I3917" s="9" t="s">
        <v>7361</v>
      </c>
      <c r="J3917" s="9" t="s">
        <v>7362</v>
      </c>
      <c r="K3917" s="4" t="s">
        <v>15175</v>
      </c>
      <c r="L3917" s="13">
        <v>12433</v>
      </c>
      <c r="M3917" t="str">
        <f>VLOOKUP(L3917,[1]Human_BrainSpan!$B$2:$C$4000,2,FALSE)</f>
        <v>Mo5my</v>
      </c>
    </row>
    <row r="3918" spans="2:13" x14ac:dyDescent="0.25">
      <c r="B3918" s="31" t="s">
        <v>26303</v>
      </c>
      <c r="C3918" s="25" t="s">
        <v>3181</v>
      </c>
      <c r="D3918" s="25" t="s">
        <v>26232</v>
      </c>
      <c r="E3918" s="25"/>
      <c r="F3918" s="9" t="str">
        <f t="shared" si="54"/>
        <v>structure with developmental contribution from neural crest</v>
      </c>
      <c r="G3918" s="9" t="s">
        <v>5090</v>
      </c>
      <c r="H3918" s="9" t="s">
        <v>24280</v>
      </c>
      <c r="I3918" s="9" t="s">
        <v>7363</v>
      </c>
      <c r="J3918" s="9" t="s">
        <v>7364</v>
      </c>
      <c r="K3918" s="4" t="s">
        <v>15175</v>
      </c>
      <c r="L3918" s="13">
        <v>12434</v>
      </c>
      <c r="M3918" t="str">
        <f>VLOOKUP(L3918,[1]Human_BrainSpan!$B$2:$C$4000,2,FALSE)</f>
        <v>Mo5te</v>
      </c>
    </row>
    <row r="3919" spans="2:13" x14ac:dyDescent="0.25">
      <c r="B3919" s="31" t="s">
        <v>26303</v>
      </c>
      <c r="C3919" s="25" t="s">
        <v>7365</v>
      </c>
      <c r="D3919" s="25" t="s">
        <v>26232</v>
      </c>
      <c r="E3919" s="25"/>
      <c r="F3919" s="9" t="str">
        <f t="shared" si="54"/>
        <v>structure with developmental contribution from neural crest</v>
      </c>
      <c r="G3919" s="9" t="s">
        <v>5090</v>
      </c>
      <c r="H3919" s="9" t="s">
        <v>24281</v>
      </c>
      <c r="I3919" s="9" t="s">
        <v>7365</v>
      </c>
      <c r="J3919" s="9" t="s">
        <v>7366</v>
      </c>
      <c r="K3919" s="4" t="s">
        <v>15175</v>
      </c>
      <c r="L3919" s="13">
        <v>12435</v>
      </c>
      <c r="M3919" t="str">
        <f>VLOOKUP(L3919,[1]Human_BrainSpan!$B$2:$C$4000,2,FALSE)</f>
        <v>SuSV</v>
      </c>
    </row>
    <row r="3920" spans="2:13" x14ac:dyDescent="0.25">
      <c r="B3920" s="31" t="s">
        <v>26303</v>
      </c>
      <c r="C3920" s="20"/>
      <c r="D3920" s="25" t="s">
        <v>26185</v>
      </c>
      <c r="E3920" s="25" t="s">
        <v>26300</v>
      </c>
      <c r="F3920" s="9" t="str">
        <f t="shared" si="54"/>
        <v>structure with developmental contribution from neural crest</v>
      </c>
      <c r="G3920" s="9" t="s">
        <v>5090</v>
      </c>
      <c r="H3920" s="9" t="s">
        <v>24282</v>
      </c>
      <c r="I3920" s="9" t="s">
        <v>7367</v>
      </c>
      <c r="J3920" s="9" t="s">
        <v>7368</v>
      </c>
      <c r="K3920" s="4" t="s">
        <v>15175</v>
      </c>
      <c r="L3920" s="13">
        <v>12436</v>
      </c>
      <c r="M3920" t="str">
        <f>VLOOKUP(L3920,[1]Human_BrainSpan!$B$2:$C$4000,2,FALSE)</f>
        <v>PnAN</v>
      </c>
    </row>
    <row r="3921" spans="2:13" x14ac:dyDescent="0.25">
      <c r="B3921" s="31" t="s">
        <v>26303</v>
      </c>
      <c r="C3921" s="25" t="s">
        <v>1518</v>
      </c>
      <c r="D3921" s="25" t="s">
        <v>26232</v>
      </c>
      <c r="E3921" s="25"/>
      <c r="F3921" s="9" t="str">
        <f t="shared" si="54"/>
        <v>structure with developmental contribution from neural crest</v>
      </c>
      <c r="G3921" s="9" t="s">
        <v>5090</v>
      </c>
      <c r="H3921" s="9" t="s">
        <v>24284</v>
      </c>
      <c r="I3921" s="9" t="s">
        <v>1518</v>
      </c>
      <c r="J3921" s="9" t="s">
        <v>1519</v>
      </c>
      <c r="K3921" s="4" t="s">
        <v>15175</v>
      </c>
      <c r="L3921" s="13">
        <v>12438</v>
      </c>
      <c r="M3921" t="str">
        <f>VLOOKUP(L3921,[1]Human_BrainSpan!$B$2:$C$4000,2,FALSE)</f>
        <v>DCo</v>
      </c>
    </row>
    <row r="3922" spans="2:13" x14ac:dyDescent="0.25">
      <c r="B3922" s="31" t="s">
        <v>26303</v>
      </c>
      <c r="C3922" s="25" t="s">
        <v>7369</v>
      </c>
      <c r="D3922" s="25" t="s">
        <v>26185</v>
      </c>
      <c r="E3922" s="25"/>
      <c r="F3922" s="9" t="str">
        <f t="shared" si="54"/>
        <v>structure with developmental contribution from neural crest</v>
      </c>
      <c r="G3922" s="9" t="s">
        <v>5090</v>
      </c>
      <c r="H3922" s="9" t="s">
        <v>24286</v>
      </c>
      <c r="I3922" s="9" t="s">
        <v>7369</v>
      </c>
      <c r="J3922" s="9" t="s">
        <v>7370</v>
      </c>
      <c r="K3922" s="4" t="s">
        <v>15175</v>
      </c>
      <c r="L3922" s="13">
        <v>12439</v>
      </c>
      <c r="M3922" t="str">
        <f>VLOOKUP(L3922,[1]Human_BrainSpan!$B$2:$C$4000,2,FALSE)</f>
        <v>VCo</v>
      </c>
    </row>
    <row r="3923" spans="2:13" x14ac:dyDescent="0.25">
      <c r="B3923" s="31" t="s">
        <v>26303</v>
      </c>
      <c r="C3923" s="25" t="s">
        <v>25800</v>
      </c>
      <c r="D3923" s="25" t="s">
        <v>26232</v>
      </c>
      <c r="E3923" s="25"/>
      <c r="F3923" s="9" t="str">
        <f t="shared" si="54"/>
        <v>structure with developmental contribution from neural crest</v>
      </c>
      <c r="G3923" s="9" t="s">
        <v>5090</v>
      </c>
      <c r="H3923" s="9" t="s">
        <v>24287</v>
      </c>
      <c r="I3923" s="9" t="s">
        <v>470</v>
      </c>
      <c r="J3923" s="9" t="s">
        <v>471</v>
      </c>
      <c r="K3923" s="4" t="s">
        <v>15175</v>
      </c>
      <c r="L3923" s="13">
        <v>12440</v>
      </c>
      <c r="M3923" t="str">
        <f>VLOOKUP(L3923,[1]Human_BrainSpan!$B$2:$C$4000,2,FALSE)</f>
        <v>VCoR</v>
      </c>
    </row>
    <row r="3924" spans="2:13" x14ac:dyDescent="0.25">
      <c r="B3924" s="31" t="s">
        <v>26303</v>
      </c>
      <c r="C3924" s="25" t="s">
        <v>26150</v>
      </c>
      <c r="D3924" s="25" t="s">
        <v>26232</v>
      </c>
      <c r="E3924" s="25"/>
      <c r="F3924" s="9" t="str">
        <f t="shared" si="54"/>
        <v>structure with developmental contribution from neural crest</v>
      </c>
      <c r="G3924" s="9" t="s">
        <v>5090</v>
      </c>
      <c r="H3924" s="9" t="s">
        <v>24288</v>
      </c>
      <c r="I3924" s="9" t="s">
        <v>4033</v>
      </c>
      <c r="J3924" s="9" t="s">
        <v>4034</v>
      </c>
      <c r="K3924" s="4" t="s">
        <v>15175</v>
      </c>
      <c r="L3924" s="13">
        <v>12441</v>
      </c>
      <c r="M3924" t="str">
        <f>VLOOKUP(L3924,[1]Human_BrainSpan!$B$2:$C$4000,2,FALSE)</f>
        <v>VCoC</v>
      </c>
    </row>
    <row r="3925" spans="2:13" x14ac:dyDescent="0.25">
      <c r="B3925" s="31" t="s">
        <v>26303</v>
      </c>
      <c r="C3925" s="25" t="s">
        <v>25877</v>
      </c>
      <c r="D3925" s="25" t="s">
        <v>26232</v>
      </c>
      <c r="E3925" s="25" t="s">
        <v>26306</v>
      </c>
      <c r="F3925" s="9" t="str">
        <f t="shared" si="54"/>
        <v>structure with developmental contribution from neural crest</v>
      </c>
      <c r="G3925" s="9" t="s">
        <v>5090</v>
      </c>
      <c r="H3925" s="9" t="s">
        <v>24285</v>
      </c>
      <c r="I3925" s="9" t="s">
        <v>7371</v>
      </c>
      <c r="J3925" s="9" t="s">
        <v>7372</v>
      </c>
      <c r="K3925" s="4" t="s">
        <v>15175</v>
      </c>
      <c r="L3925" s="13">
        <v>12442</v>
      </c>
      <c r="M3925" t="str">
        <f>VLOOKUP(L3925,[1]Human_BrainSpan!$B$2:$C$4000,2,FALSE)</f>
        <v>GrCo</v>
      </c>
    </row>
    <row r="3926" spans="2:13" x14ac:dyDescent="0.25">
      <c r="B3926" s="31" t="s">
        <v>26303</v>
      </c>
      <c r="C3926" s="25" t="s">
        <v>26036</v>
      </c>
      <c r="D3926" s="25" t="s">
        <v>26232</v>
      </c>
      <c r="E3926" s="25"/>
      <c r="F3926" s="9" t="str">
        <f t="shared" si="54"/>
        <v>structure with developmental contribution from neural crest</v>
      </c>
      <c r="G3926" s="9" t="s">
        <v>5090</v>
      </c>
      <c r="H3926" s="9" t="s">
        <v>24289</v>
      </c>
      <c r="I3926" s="9" t="s">
        <v>7373</v>
      </c>
      <c r="J3926" s="9" t="s">
        <v>7374</v>
      </c>
      <c r="K3926" s="4" t="s">
        <v>15175</v>
      </c>
      <c r="L3926" s="13">
        <v>12443</v>
      </c>
      <c r="M3926" t="str">
        <f>VLOOKUP(L3926,[1]Human_BrainSpan!$B$2:$C$4000,2,FALSE)</f>
        <v>Me5-p</v>
      </c>
    </row>
    <row r="3927" spans="2:13" x14ac:dyDescent="0.25">
      <c r="B3927" s="31" t="s">
        <v>26303</v>
      </c>
      <c r="C3927" s="25" t="s">
        <v>4194</v>
      </c>
      <c r="D3927" s="25" t="s">
        <v>26232</v>
      </c>
      <c r="E3927" s="25"/>
      <c r="F3927" s="9" t="str">
        <f t="shared" si="54"/>
        <v>structure with developmental contribution from neural crest</v>
      </c>
      <c r="G3927" s="9" t="s">
        <v>5090</v>
      </c>
      <c r="H3927" s="9" t="s">
        <v>24290</v>
      </c>
      <c r="I3927" s="9" t="s">
        <v>4194</v>
      </c>
      <c r="J3927" s="9" t="s">
        <v>4195</v>
      </c>
      <c r="K3927" s="4" t="s">
        <v>15175</v>
      </c>
      <c r="L3927" s="13">
        <v>12444</v>
      </c>
      <c r="M3927" t="str">
        <f>VLOOKUP(L3927,[1]Human_BrainSpan!$B$2:$C$4000,2,FALSE)</f>
        <v>Pr5</v>
      </c>
    </row>
    <row r="3928" spans="2:13" x14ac:dyDescent="0.25">
      <c r="B3928" s="31" t="s">
        <v>26303</v>
      </c>
      <c r="C3928" s="25" t="s">
        <v>4194</v>
      </c>
      <c r="D3928" s="25" t="s">
        <v>26185</v>
      </c>
      <c r="E3928" s="25" t="s">
        <v>26300</v>
      </c>
      <c r="F3928" s="9" t="str">
        <f t="shared" si="54"/>
        <v>structure with developmental contribution from neural crest</v>
      </c>
      <c r="G3928" s="9" t="s">
        <v>5090</v>
      </c>
      <c r="H3928" s="9" t="s">
        <v>24291</v>
      </c>
      <c r="I3928" s="9" t="s">
        <v>7375</v>
      </c>
      <c r="J3928" s="9" t="s">
        <v>7376</v>
      </c>
      <c r="K3928" s="4" t="s">
        <v>15175</v>
      </c>
      <c r="L3928" s="13">
        <v>12445</v>
      </c>
      <c r="M3928" t="str">
        <f>VLOOKUP(L3928,[1]Human_BrainSpan!$B$2:$C$4000,2,FALSE)</f>
        <v>Pr5dm</v>
      </c>
    </row>
    <row r="3929" spans="2:13" x14ac:dyDescent="0.25">
      <c r="B3929" s="31" t="s">
        <v>26303</v>
      </c>
      <c r="C3929" s="25" t="s">
        <v>4194</v>
      </c>
      <c r="D3929" s="25" t="s">
        <v>26232</v>
      </c>
      <c r="E3929" s="25"/>
      <c r="F3929" s="9" t="str">
        <f t="shared" si="54"/>
        <v>structure with developmental contribution from neural crest</v>
      </c>
      <c r="G3929" s="9" t="s">
        <v>5090</v>
      </c>
      <c r="H3929" s="9" t="s">
        <v>24292</v>
      </c>
      <c r="I3929" s="9" t="s">
        <v>7377</v>
      </c>
      <c r="J3929" s="9" t="s">
        <v>7378</v>
      </c>
      <c r="K3929" s="4" t="s">
        <v>15175</v>
      </c>
      <c r="L3929" s="13">
        <v>12446</v>
      </c>
      <c r="M3929" t="str">
        <f>VLOOKUP(L3929,[1]Human_BrainSpan!$B$2:$C$4000,2,FALSE)</f>
        <v>Pr5vl</v>
      </c>
    </row>
    <row r="3930" spans="2:13" x14ac:dyDescent="0.25">
      <c r="B3930" s="31" t="s">
        <v>26303</v>
      </c>
      <c r="C3930" s="25" t="s">
        <v>26076</v>
      </c>
      <c r="D3930" s="25" t="s">
        <v>26232</v>
      </c>
      <c r="E3930" s="25"/>
      <c r="F3930" s="9" t="str">
        <f t="shared" si="54"/>
        <v>structure with developmental contribution from neural crest</v>
      </c>
      <c r="G3930" s="9" t="s">
        <v>5090</v>
      </c>
      <c r="H3930" s="9" t="s">
        <v>24293</v>
      </c>
      <c r="I3930" s="9" t="s">
        <v>7379</v>
      </c>
      <c r="J3930" s="9" t="s">
        <v>7380</v>
      </c>
      <c r="K3930" s="4" t="s">
        <v>15175</v>
      </c>
      <c r="L3930" s="13">
        <v>12447</v>
      </c>
      <c r="M3930" t="str">
        <f>VLOOKUP(L3930,[1]Human_BrainSpan!$B$2:$C$4000,2,FALSE)</f>
        <v>Sp5o</v>
      </c>
    </row>
    <row r="3931" spans="2:13" x14ac:dyDescent="0.25">
      <c r="B3931" s="31" t="s">
        <v>26303</v>
      </c>
      <c r="C3931" s="25" t="s">
        <v>26286</v>
      </c>
      <c r="D3931" s="25" t="s">
        <v>26232</v>
      </c>
      <c r="E3931" s="25"/>
      <c r="F3931" s="9" t="str">
        <f t="shared" si="54"/>
        <v>structure with developmental contribution from neural crest</v>
      </c>
      <c r="G3931" s="9" t="s">
        <v>5090</v>
      </c>
      <c r="H3931" s="9" t="s">
        <v>24294</v>
      </c>
      <c r="I3931" s="9" t="s">
        <v>7381</v>
      </c>
      <c r="J3931" s="9" t="s">
        <v>7382</v>
      </c>
      <c r="K3931" s="4" t="s">
        <v>15175</v>
      </c>
      <c r="L3931" s="13">
        <v>12448</v>
      </c>
      <c r="M3931" t="str">
        <f>VLOOKUP(L3931,[1]Human_BrainSpan!$B$2:$C$4000,2,FALSE)</f>
        <v>8Ve-p</v>
      </c>
    </row>
    <row r="3932" spans="2:13" x14ac:dyDescent="0.25">
      <c r="B3932" s="31" t="s">
        <v>26303</v>
      </c>
      <c r="C3932" s="25" t="s">
        <v>2745</v>
      </c>
      <c r="D3932" s="25" t="s">
        <v>26232</v>
      </c>
      <c r="E3932" s="25"/>
      <c r="F3932" s="9" t="str">
        <f t="shared" si="54"/>
        <v>structure with developmental contribution from neural crest</v>
      </c>
      <c r="G3932" s="9" t="s">
        <v>5090</v>
      </c>
      <c r="H3932" s="9" t="s">
        <v>24295</v>
      </c>
      <c r="I3932" s="9" t="s">
        <v>2745</v>
      </c>
      <c r="J3932" s="9" t="s">
        <v>2746</v>
      </c>
      <c r="K3932" s="4" t="s">
        <v>15175</v>
      </c>
      <c r="L3932" s="13">
        <v>12449</v>
      </c>
      <c r="M3932" t="str">
        <f>VLOOKUP(L3932,[1]Human_BrainSpan!$B$2:$C$4000,2,FALSE)</f>
        <v>LVe</v>
      </c>
    </row>
    <row r="3933" spans="2:13" x14ac:dyDescent="0.25">
      <c r="B3933" s="31" t="s">
        <v>26303</v>
      </c>
      <c r="C3933" s="25" t="s">
        <v>2745</v>
      </c>
      <c r="D3933" s="25" t="s">
        <v>26232</v>
      </c>
      <c r="E3933" s="25"/>
      <c r="F3933" s="9" t="str">
        <f t="shared" si="54"/>
        <v>structure with developmental contribution from neural crest</v>
      </c>
      <c r="G3933" s="9" t="s">
        <v>5090</v>
      </c>
      <c r="H3933" s="9" t="s">
        <v>24296</v>
      </c>
      <c r="I3933" s="9" t="s">
        <v>7383</v>
      </c>
      <c r="J3933" s="9" t="s">
        <v>7384</v>
      </c>
      <c r="K3933" s="4" t="s">
        <v>15175</v>
      </c>
      <c r="L3933" s="13">
        <v>12450</v>
      </c>
      <c r="M3933" t="str">
        <f>VLOOKUP(L3933,[1]Human_BrainSpan!$B$2:$C$4000,2,FALSE)</f>
        <v>LVeMC</v>
      </c>
    </row>
    <row r="3934" spans="2:13" x14ac:dyDescent="0.25">
      <c r="B3934" s="31" t="s">
        <v>26303</v>
      </c>
      <c r="C3934" s="25" t="s">
        <v>2745</v>
      </c>
      <c r="D3934" s="25" t="s">
        <v>26232</v>
      </c>
      <c r="E3934" s="25"/>
      <c r="F3934" s="9" t="str">
        <f t="shared" si="54"/>
        <v>structure with developmental contribution from neural crest</v>
      </c>
      <c r="G3934" s="9" t="s">
        <v>5090</v>
      </c>
      <c r="H3934" s="9" t="s">
        <v>24297</v>
      </c>
      <c r="I3934" s="9" t="s">
        <v>7385</v>
      </c>
      <c r="J3934" s="9" t="s">
        <v>7386</v>
      </c>
      <c r="K3934" s="4" t="s">
        <v>15175</v>
      </c>
      <c r="L3934" s="13">
        <v>12451</v>
      </c>
      <c r="M3934" t="str">
        <f>VLOOKUP(L3934,[1]Human_BrainSpan!$B$2:$C$4000,2,FALSE)</f>
        <v>LVePC</v>
      </c>
    </row>
    <row r="3935" spans="2:13" x14ac:dyDescent="0.25">
      <c r="B3935" s="31" t="s">
        <v>26303</v>
      </c>
      <c r="C3935" s="25" t="s">
        <v>7387</v>
      </c>
      <c r="D3935" s="25" t="s">
        <v>26232</v>
      </c>
      <c r="E3935" s="25"/>
      <c r="F3935" s="9" t="str">
        <f t="shared" si="54"/>
        <v>structure with developmental contribution from neural crest</v>
      </c>
      <c r="G3935" s="9" t="s">
        <v>5090</v>
      </c>
      <c r="H3935" s="9" t="s">
        <v>24298</v>
      </c>
      <c r="I3935" s="9" t="s">
        <v>7387</v>
      </c>
      <c r="J3935" s="9" t="s">
        <v>7388</v>
      </c>
      <c r="K3935" s="4" t="s">
        <v>15175</v>
      </c>
      <c r="L3935" s="13">
        <v>12452</v>
      </c>
      <c r="M3935" t="str">
        <f>VLOOKUP(L3935,[1]Human_BrainSpan!$B$2:$C$4000,2,FALSE)</f>
        <v>SuVe</v>
      </c>
    </row>
    <row r="3936" spans="2:13" x14ac:dyDescent="0.25">
      <c r="B3936" s="31" t="s">
        <v>26303</v>
      </c>
      <c r="C3936" s="25" t="s">
        <v>3862</v>
      </c>
      <c r="D3936" s="25" t="s">
        <v>26185</v>
      </c>
      <c r="E3936" s="25" t="s">
        <v>26300</v>
      </c>
      <c r="F3936" s="9" t="str">
        <f t="shared" si="54"/>
        <v>structure with developmental contribution from neural crest</v>
      </c>
      <c r="G3936" s="9" t="s">
        <v>5090</v>
      </c>
      <c r="H3936" s="9" t="s">
        <v>24303</v>
      </c>
      <c r="I3936" s="9" t="s">
        <v>7389</v>
      </c>
      <c r="J3936" s="9" t="s">
        <v>7390</v>
      </c>
      <c r="K3936" s="4" t="s">
        <v>15175</v>
      </c>
      <c r="L3936" s="13">
        <v>12453</v>
      </c>
      <c r="M3936" t="str">
        <f>VLOOKUP(L3936,[1]Human_BrainSpan!$B$2:$C$4000,2,FALSE)</f>
        <v>PnAR</v>
      </c>
    </row>
    <row r="3937" spans="2:13" x14ac:dyDescent="0.25">
      <c r="B3937" s="31" t="s">
        <v>26303</v>
      </c>
      <c r="C3937" s="25" t="s">
        <v>26055</v>
      </c>
      <c r="D3937" s="25" t="s">
        <v>26232</v>
      </c>
      <c r="E3937" s="25"/>
      <c r="F3937" s="9" t="str">
        <f t="shared" si="54"/>
        <v>structure with developmental contribution from neural crest</v>
      </c>
      <c r="G3937" s="9" t="s">
        <v>5090</v>
      </c>
      <c r="H3937" s="9" t="s">
        <v>24304</v>
      </c>
      <c r="I3937" s="9" t="s">
        <v>644</v>
      </c>
      <c r="J3937" s="9" t="s">
        <v>645</v>
      </c>
      <c r="K3937" s="4" t="s">
        <v>15175</v>
      </c>
      <c r="L3937" s="13">
        <v>12454</v>
      </c>
      <c r="M3937" t="str">
        <f>VLOOKUP(L3937,[1]Human_BrainSpan!$B$2:$C$4000,2,FALSE)</f>
        <v>LLN</v>
      </c>
    </row>
    <row r="3938" spans="2:13" x14ac:dyDescent="0.25">
      <c r="B3938" s="31" t="s">
        <v>26303</v>
      </c>
      <c r="C3938" s="25" t="s">
        <v>3323</v>
      </c>
      <c r="D3938" s="25" t="s">
        <v>26232</v>
      </c>
      <c r="E3938" s="25"/>
      <c r="F3938" s="9" t="str">
        <f t="shared" si="54"/>
        <v>structure with developmental contribution from neural crest</v>
      </c>
      <c r="G3938" s="9" t="s">
        <v>5090</v>
      </c>
      <c r="H3938" s="9" t="s">
        <v>24307</v>
      </c>
      <c r="I3938" s="9" t="s">
        <v>3323</v>
      </c>
      <c r="J3938" s="9" t="s">
        <v>3324</v>
      </c>
      <c r="K3938" s="4" t="s">
        <v>15175</v>
      </c>
      <c r="L3938" s="13">
        <v>12458</v>
      </c>
      <c r="M3938" t="str">
        <f>VLOOKUP(L3938,[1]Human_BrainSpan!$B$2:$C$4000,2,FALSE)</f>
        <v>TrZ</v>
      </c>
    </row>
    <row r="3939" spans="2:13" x14ac:dyDescent="0.25">
      <c r="B3939" s="31" t="s">
        <v>26303</v>
      </c>
      <c r="C3939" s="25" t="s">
        <v>2635</v>
      </c>
      <c r="D3939" s="25" t="s">
        <v>26232</v>
      </c>
      <c r="E3939" s="25"/>
      <c r="F3939" s="9" t="str">
        <f t="shared" si="54"/>
        <v>structure with developmental contribution from neural crest</v>
      </c>
      <c r="G3939" s="9" t="s">
        <v>5090</v>
      </c>
      <c r="H3939" s="9" t="s">
        <v>24308</v>
      </c>
      <c r="I3939" s="9" t="s">
        <v>2635</v>
      </c>
      <c r="J3939" s="9" t="s">
        <v>2636</v>
      </c>
      <c r="K3939" s="4" t="s">
        <v>15175</v>
      </c>
      <c r="L3939" s="13">
        <v>12459</v>
      </c>
      <c r="M3939" t="str">
        <f>VLOOKUP(L3939,[1]Human_BrainSpan!$B$2:$C$4000,2,FALSE)</f>
        <v>TrZl</v>
      </c>
    </row>
    <row r="3940" spans="2:13" x14ac:dyDescent="0.25">
      <c r="B3940" s="31" t="s">
        <v>26303</v>
      </c>
      <c r="C3940" s="20"/>
      <c r="D3940" s="25" t="s">
        <v>26232</v>
      </c>
      <c r="E3940" s="25" t="s">
        <v>26309</v>
      </c>
      <c r="F3940" s="9" t="str">
        <f t="shared" si="54"/>
        <v>structure with developmental contribution from neural crest</v>
      </c>
      <c r="G3940" s="9" t="s">
        <v>5090</v>
      </c>
      <c r="H3940" s="9" t="s">
        <v>24315</v>
      </c>
      <c r="I3940" s="9" t="s">
        <v>7391</v>
      </c>
      <c r="J3940" s="9" t="s">
        <v>7392</v>
      </c>
      <c r="K3940" s="4" t="s">
        <v>15175</v>
      </c>
      <c r="L3940" s="13">
        <v>12463</v>
      </c>
      <c r="M3940" t="str">
        <f>VLOOKUP(L3940,[1]Human_BrainSpan!$B$2:$C$4000,2,FALSE)</f>
        <v>SPO</v>
      </c>
    </row>
    <row r="3941" spans="2:13" x14ac:dyDescent="0.25">
      <c r="B3941" s="31" t="s">
        <v>26303</v>
      </c>
      <c r="C3941" s="25" t="s">
        <v>26118</v>
      </c>
      <c r="D3941" s="25" t="s">
        <v>26232</v>
      </c>
      <c r="E3941" s="25"/>
      <c r="F3941" s="9" t="str">
        <f t="shared" si="54"/>
        <v>structure with developmental contribution from neural crest</v>
      </c>
      <c r="G3941" s="9" t="s">
        <v>5090</v>
      </c>
      <c r="H3941" s="9" t="s">
        <v>24311</v>
      </c>
      <c r="I3941" s="9" t="s">
        <v>3803</v>
      </c>
      <c r="J3941" s="9" t="s">
        <v>3804</v>
      </c>
      <c r="K3941" s="4" t="s">
        <v>15175</v>
      </c>
      <c r="L3941" s="13">
        <v>12464</v>
      </c>
      <c r="M3941" t="str">
        <f>VLOOKUP(L3941,[1]Human_BrainSpan!$B$2:$C$4000,2,FALSE)</f>
        <v>POI</v>
      </c>
    </row>
    <row r="3942" spans="2:13" x14ac:dyDescent="0.25">
      <c r="B3942" s="31" t="s">
        <v>26303</v>
      </c>
      <c r="C3942" s="20"/>
      <c r="D3942" s="25" t="s">
        <v>26185</v>
      </c>
      <c r="E3942" s="20" t="s">
        <v>26300</v>
      </c>
      <c r="F3942" s="9" t="str">
        <f t="shared" si="54"/>
        <v>structure with developmental contribution from neural crest</v>
      </c>
      <c r="G3942" s="9" t="s">
        <v>5090</v>
      </c>
      <c r="H3942" s="9" t="s">
        <v>24313</v>
      </c>
      <c r="I3942" s="9" t="s">
        <v>7393</v>
      </c>
      <c r="J3942" s="9" t="s">
        <v>7394</v>
      </c>
      <c r="K3942" s="4" t="s">
        <v>15175</v>
      </c>
      <c r="L3942" s="13">
        <v>12466</v>
      </c>
      <c r="M3942" t="str">
        <f>VLOOKUP(L3942,[1]Human_BrainSpan!$B$2:$C$4000,2,FALSE)</f>
        <v>MPOI</v>
      </c>
    </row>
    <row r="3943" spans="2:13" x14ac:dyDescent="0.25">
      <c r="B3943" s="31" t="s">
        <v>26303</v>
      </c>
      <c r="C3943" s="25" t="s">
        <v>26186</v>
      </c>
      <c r="D3943" s="25" t="s">
        <v>26232</v>
      </c>
      <c r="E3943" s="25"/>
      <c r="F3943" s="9" t="str">
        <f t="shared" si="54"/>
        <v>structure with developmental contribution from neural crest</v>
      </c>
      <c r="G3943" s="9" t="s">
        <v>5090</v>
      </c>
      <c r="H3943" s="9" t="s">
        <v>20546</v>
      </c>
      <c r="I3943" s="9" t="s">
        <v>4709</v>
      </c>
      <c r="J3943" s="9" t="s">
        <v>4710</v>
      </c>
      <c r="K3943" s="4" t="s">
        <v>15175</v>
      </c>
      <c r="L3943" s="13">
        <v>12467</v>
      </c>
      <c r="M3943" t="str">
        <f>VLOOKUP(L3943,[1]Human_BrainSpan!$B$2:$C$4000,2,FALSE)</f>
        <v>RO</v>
      </c>
    </row>
    <row r="3944" spans="2:13" x14ac:dyDescent="0.25">
      <c r="B3944" s="31" t="s">
        <v>26303</v>
      </c>
      <c r="C3944" s="25" t="s">
        <v>2732</v>
      </c>
      <c r="D3944" s="25" t="s">
        <v>26232</v>
      </c>
      <c r="E3944" s="25"/>
      <c r="F3944" s="9" t="str">
        <f t="shared" si="54"/>
        <v>structure with developmental contribution from neural crest</v>
      </c>
      <c r="G3944" s="9" t="s">
        <v>5090</v>
      </c>
      <c r="H3944" s="9" t="s">
        <v>17805</v>
      </c>
      <c r="I3944" s="9" t="s">
        <v>2732</v>
      </c>
      <c r="J3944" s="9" t="s">
        <v>2733</v>
      </c>
      <c r="K3944" s="4" t="s">
        <v>15175</v>
      </c>
      <c r="L3944" s="13">
        <v>12469</v>
      </c>
      <c r="M3944" t="str">
        <f>VLOOKUP(L3944,[1]Human_BrainSpan!$B$2:$C$4000,2,FALSE)</f>
        <v>LSO</v>
      </c>
    </row>
    <row r="3945" spans="2:13" x14ac:dyDescent="0.25">
      <c r="B3945" s="31" t="s">
        <v>26303</v>
      </c>
      <c r="C3945" s="25" t="s">
        <v>26031</v>
      </c>
      <c r="D3945" s="25" t="s">
        <v>26232</v>
      </c>
      <c r="E3945" s="25"/>
      <c r="F3945" s="9" t="str">
        <f t="shared" si="54"/>
        <v>structure with developmental contribution from neural crest</v>
      </c>
      <c r="G3945" s="9" t="s">
        <v>5090</v>
      </c>
      <c r="H3945" s="9" t="s">
        <v>17806</v>
      </c>
      <c r="I3945" s="9" t="s">
        <v>3034</v>
      </c>
      <c r="J3945" s="9" t="s">
        <v>3035</v>
      </c>
      <c r="K3945" s="4" t="s">
        <v>15175</v>
      </c>
      <c r="L3945" s="13">
        <v>12470</v>
      </c>
      <c r="M3945" t="str">
        <f>VLOOKUP(L3945,[1]Human_BrainSpan!$B$2:$C$4000,2,FALSE)</f>
        <v>MSO</v>
      </c>
    </row>
    <row r="3946" spans="2:13" x14ac:dyDescent="0.25">
      <c r="B3946" s="31" t="s">
        <v>26303</v>
      </c>
      <c r="C3946" s="25" t="s">
        <v>12796</v>
      </c>
      <c r="D3946" s="25" t="s">
        <v>26232</v>
      </c>
      <c r="E3946" s="25"/>
      <c r="F3946" s="9" t="str">
        <f t="shared" si="54"/>
        <v>structure with developmental contribution from neural crest</v>
      </c>
      <c r="G3946" s="9" t="s">
        <v>5090</v>
      </c>
      <c r="H3946" s="9" t="s">
        <v>24317</v>
      </c>
      <c r="I3946" s="9" t="s">
        <v>3874</v>
      </c>
      <c r="J3946" s="9" t="s">
        <v>3875</v>
      </c>
      <c r="K3946" s="4" t="s">
        <v>15175</v>
      </c>
      <c r="L3946" s="13">
        <v>12471</v>
      </c>
      <c r="M3946" t="str">
        <f>VLOOKUP(L3946,[1]Human_BrainSpan!$B$2:$C$4000,2,FALSE)</f>
        <v>PnRa</v>
      </c>
    </row>
    <row r="3947" spans="2:13" x14ac:dyDescent="0.25">
      <c r="B3947" s="31" t="s">
        <v>25743</v>
      </c>
      <c r="C3947" s="25" t="s">
        <v>1598</v>
      </c>
      <c r="D3947" s="25" t="s">
        <v>26232</v>
      </c>
      <c r="E3947" s="25"/>
      <c r="F3947" s="9" t="str">
        <f t="shared" si="54"/>
        <v>structure with developmental contribution from neural crest</v>
      </c>
      <c r="G3947" s="9" t="s">
        <v>5090</v>
      </c>
      <c r="H3947" s="9" t="s">
        <v>24318</v>
      </c>
      <c r="I3947" s="9" t="s">
        <v>1598</v>
      </c>
      <c r="J3947" s="9" t="s">
        <v>7395</v>
      </c>
      <c r="K3947" s="4" t="s">
        <v>15175</v>
      </c>
      <c r="L3947" s="13">
        <v>12472</v>
      </c>
      <c r="M3947" t="str">
        <f>VLOOKUP(L3947,[1]Human_BrainSpan!$B$2:$C$4000,2,FALSE)</f>
        <v>DR-p</v>
      </c>
    </row>
    <row r="3948" spans="2:13" x14ac:dyDescent="0.25">
      <c r="B3948" s="31" t="s">
        <v>26303</v>
      </c>
      <c r="C3948" s="25" t="s">
        <v>3060</v>
      </c>
      <c r="D3948" s="25" t="s">
        <v>26232</v>
      </c>
      <c r="E3948" s="25"/>
      <c r="F3948" s="9" t="str">
        <f t="shared" si="54"/>
        <v>structure with developmental contribution from neural crest</v>
      </c>
      <c r="G3948" s="9" t="s">
        <v>5090</v>
      </c>
      <c r="H3948" s="9" t="s">
        <v>24319</v>
      </c>
      <c r="I3948" s="9" t="s">
        <v>3060</v>
      </c>
      <c r="J3948" s="9" t="s">
        <v>7396</v>
      </c>
      <c r="K3948" s="4" t="s">
        <v>15175</v>
      </c>
      <c r="L3948" s="13">
        <v>12473</v>
      </c>
      <c r="M3948" t="str">
        <f>VLOOKUP(L3948,[1]Human_BrainSpan!$B$2:$C$4000,2,FALSE)</f>
        <v>MnR-p</v>
      </c>
    </row>
    <row r="3949" spans="2:13" x14ac:dyDescent="0.25">
      <c r="B3949" s="31" t="s">
        <v>26303</v>
      </c>
      <c r="C3949" s="25" t="s">
        <v>3302</v>
      </c>
      <c r="D3949" s="25" t="s">
        <v>26232</v>
      </c>
      <c r="E3949" s="25"/>
      <c r="F3949" s="9" t="str">
        <f t="shared" si="54"/>
        <v>structure with developmental contribution from neural crest</v>
      </c>
      <c r="G3949" s="9" t="s">
        <v>5090</v>
      </c>
      <c r="H3949" s="9" t="s">
        <v>24320</v>
      </c>
      <c r="I3949" s="9" t="s">
        <v>7397</v>
      </c>
      <c r="J3949" s="9" t="s">
        <v>7398</v>
      </c>
      <c r="K3949" s="4" t="s">
        <v>15175</v>
      </c>
      <c r="L3949" s="13">
        <v>12474</v>
      </c>
      <c r="M3949" t="str">
        <f>VLOOKUP(L3949,[1]Human_BrainSpan!$B$2:$C$4000,2,FALSE)</f>
        <v>PMnRt</v>
      </c>
    </row>
    <row r="3950" spans="2:13" x14ac:dyDescent="0.25">
      <c r="B3950" s="31" t="s">
        <v>26303</v>
      </c>
      <c r="C3950" s="25" t="s">
        <v>12796</v>
      </c>
      <c r="D3950" s="25" t="s">
        <v>26232</v>
      </c>
      <c r="E3950" s="25"/>
      <c r="F3950" s="9" t="str">
        <f t="shared" si="54"/>
        <v>structure with developmental contribution from neural crest</v>
      </c>
      <c r="G3950" s="9" t="s">
        <v>5090</v>
      </c>
      <c r="H3950" s="9" t="s">
        <v>24321</v>
      </c>
      <c r="I3950" s="9" t="s">
        <v>3874</v>
      </c>
      <c r="J3950" s="9" t="s">
        <v>3876</v>
      </c>
      <c r="K3950" s="4" t="s">
        <v>15175</v>
      </c>
      <c r="L3950" s="13">
        <v>12475</v>
      </c>
      <c r="M3950" t="str">
        <f>VLOOKUP(L3950,[1]Human_BrainSpan!$B$2:$C$4000,2,FALSE)</f>
        <v>PRn</v>
      </c>
    </row>
    <row r="3951" spans="2:13" x14ac:dyDescent="0.25">
      <c r="B3951" s="31" t="s">
        <v>26303</v>
      </c>
      <c r="C3951" s="20"/>
      <c r="D3951" s="25" t="s">
        <v>26185</v>
      </c>
      <c r="E3951" s="25" t="s">
        <v>26300</v>
      </c>
      <c r="F3951" s="9" t="str">
        <f t="shared" si="54"/>
        <v>structure with developmental contribution from neural crest</v>
      </c>
      <c r="G3951" s="9" t="s">
        <v>5090</v>
      </c>
      <c r="H3951" s="9" t="s">
        <v>17829</v>
      </c>
      <c r="I3951" s="9" t="s">
        <v>7399</v>
      </c>
      <c r="J3951" s="9" t="s">
        <v>7400</v>
      </c>
      <c r="K3951" s="4" t="s">
        <v>15175</v>
      </c>
      <c r="L3951" s="13">
        <v>12476</v>
      </c>
      <c r="M3951" t="str">
        <f>VLOOKUP(L3951,[1]Human_BrainSpan!$B$2:$C$4000,2,FALSE)</f>
        <v>RIP</v>
      </c>
    </row>
    <row r="3952" spans="2:13" x14ac:dyDescent="0.25">
      <c r="B3952" s="31" t="s">
        <v>26303</v>
      </c>
      <c r="C3952" s="25" t="s">
        <v>3562</v>
      </c>
      <c r="D3952" s="25" t="s">
        <v>26232</v>
      </c>
      <c r="E3952" s="25"/>
      <c r="F3952" s="9" t="str">
        <f t="shared" si="54"/>
        <v>structure with developmental contribution from neural crest</v>
      </c>
      <c r="G3952" s="9" t="s">
        <v>5090</v>
      </c>
      <c r="H3952" s="9" t="s">
        <v>20309</v>
      </c>
      <c r="I3952" s="9" t="s">
        <v>3300</v>
      </c>
      <c r="J3952" s="9" t="s">
        <v>3301</v>
      </c>
      <c r="K3952" s="4" t="s">
        <v>15175</v>
      </c>
      <c r="L3952" s="13">
        <v>12481</v>
      </c>
      <c r="M3952" t="str">
        <f>VLOOKUP(L3952,[1]Human_BrainSpan!$B$2:$C$4000,2,FALSE)</f>
        <v>PB</v>
      </c>
    </row>
    <row r="3953" spans="2:13" x14ac:dyDescent="0.25">
      <c r="B3953" s="31" t="s">
        <v>26303</v>
      </c>
      <c r="C3953" s="25" t="s">
        <v>2659</v>
      </c>
      <c r="D3953" s="25" t="s">
        <v>26232</v>
      </c>
      <c r="E3953" s="25"/>
      <c r="F3953" s="9" t="str">
        <f t="shared" si="54"/>
        <v>structure with developmental contribution from neural crest</v>
      </c>
      <c r="G3953" s="9" t="s">
        <v>5090</v>
      </c>
      <c r="H3953" s="9" t="s">
        <v>24323</v>
      </c>
      <c r="I3953" s="9" t="s">
        <v>7401</v>
      </c>
      <c r="J3953" s="9" t="s">
        <v>7402</v>
      </c>
      <c r="K3953" s="4" t="s">
        <v>15175</v>
      </c>
      <c r="L3953" s="13">
        <v>12483</v>
      </c>
      <c r="M3953" t="str">
        <f>VLOOKUP(L3953,[1]Human_BrainSpan!$B$2:$C$4000,2,FALSE)</f>
        <v>LPBc</v>
      </c>
    </row>
    <row r="3954" spans="2:13" x14ac:dyDescent="0.25">
      <c r="B3954" s="31" t="s">
        <v>26303</v>
      </c>
      <c r="C3954" s="25" t="s">
        <v>2659</v>
      </c>
      <c r="D3954" s="25" t="s">
        <v>26232</v>
      </c>
      <c r="E3954" s="25"/>
      <c r="F3954" s="9" t="str">
        <f t="shared" si="54"/>
        <v>structure with developmental contribution from neural crest</v>
      </c>
      <c r="G3954" s="9" t="s">
        <v>5090</v>
      </c>
      <c r="H3954" s="9" t="s">
        <v>24324</v>
      </c>
      <c r="I3954" s="9" t="s">
        <v>7403</v>
      </c>
      <c r="J3954" s="9" t="s">
        <v>7404</v>
      </c>
      <c r="K3954" s="4" t="s">
        <v>15175</v>
      </c>
      <c r="L3954" s="13">
        <v>12484</v>
      </c>
      <c r="M3954" t="str">
        <f>VLOOKUP(L3954,[1]Human_BrainSpan!$B$2:$C$4000,2,FALSE)</f>
        <v>LPBd</v>
      </c>
    </row>
    <row r="3955" spans="2:13" x14ac:dyDescent="0.25">
      <c r="B3955" s="31" t="s">
        <v>26303</v>
      </c>
      <c r="C3955" s="25" t="s">
        <v>2659</v>
      </c>
      <c r="D3955" s="25" t="s">
        <v>26232</v>
      </c>
      <c r="E3955" s="25"/>
      <c r="F3955" s="9" t="str">
        <f t="shared" si="54"/>
        <v>structure with developmental contribution from neural crest</v>
      </c>
      <c r="G3955" s="9" t="s">
        <v>5090</v>
      </c>
      <c r="H3955" s="9" t="s">
        <v>24325</v>
      </c>
      <c r="I3955" s="9" t="s">
        <v>7405</v>
      </c>
      <c r="J3955" s="9" t="s">
        <v>7406</v>
      </c>
      <c r="K3955" s="4" t="s">
        <v>15175</v>
      </c>
      <c r="L3955" s="13">
        <v>12485</v>
      </c>
      <c r="M3955" t="str">
        <f>VLOOKUP(L3955,[1]Human_BrainSpan!$B$2:$C$4000,2,FALSE)</f>
        <v>LPBe</v>
      </c>
    </row>
    <row r="3956" spans="2:13" x14ac:dyDescent="0.25">
      <c r="B3956" s="31" t="s">
        <v>26303</v>
      </c>
      <c r="C3956" s="25" t="s">
        <v>2659</v>
      </c>
      <c r="D3956" s="25" t="s">
        <v>26232</v>
      </c>
      <c r="E3956" s="25"/>
      <c r="F3956" s="9" t="str">
        <f t="shared" si="54"/>
        <v>structure with developmental contribution from neural crest</v>
      </c>
      <c r="G3956" s="9" t="s">
        <v>5090</v>
      </c>
      <c r="H3956" s="9" t="s">
        <v>24326</v>
      </c>
      <c r="I3956" s="9" t="s">
        <v>7407</v>
      </c>
      <c r="J3956" s="9" t="s">
        <v>7408</v>
      </c>
      <c r="K3956" s="4" t="s">
        <v>15175</v>
      </c>
      <c r="L3956" s="13">
        <v>12486</v>
      </c>
      <c r="M3956" t="str">
        <f>VLOOKUP(L3956,[1]Human_BrainSpan!$B$2:$C$4000,2,FALSE)</f>
        <v>LPBs</v>
      </c>
    </row>
    <row r="3957" spans="2:13" x14ac:dyDescent="0.25">
      <c r="B3957" s="31" t="s">
        <v>26303</v>
      </c>
      <c r="C3957" s="25" t="s">
        <v>2973</v>
      </c>
      <c r="D3957" s="25" t="s">
        <v>26232</v>
      </c>
      <c r="E3957" s="25"/>
      <c r="F3957" s="9" t="str">
        <f t="shared" si="54"/>
        <v>structure with developmental contribution from neural crest</v>
      </c>
      <c r="G3957" s="9" t="s">
        <v>5090</v>
      </c>
      <c r="H3957" s="9" t="s">
        <v>24327</v>
      </c>
      <c r="I3957" s="9" t="s">
        <v>7409</v>
      </c>
      <c r="J3957" s="9" t="s">
        <v>7410</v>
      </c>
      <c r="K3957" s="4" t="s">
        <v>15175</v>
      </c>
      <c r="L3957" s="13">
        <v>12488</v>
      </c>
      <c r="M3957" t="str">
        <f>VLOOKUP(L3957,[1]Human_BrainSpan!$B$2:$C$4000,2,FALSE)</f>
        <v>MPBe</v>
      </c>
    </row>
    <row r="3958" spans="2:13" x14ac:dyDescent="0.25">
      <c r="B3958" s="31" t="s">
        <v>26303</v>
      </c>
      <c r="C3958" s="25" t="s">
        <v>2973</v>
      </c>
      <c r="D3958" s="25" t="s">
        <v>26232</v>
      </c>
      <c r="E3958" s="25"/>
      <c r="F3958" s="9" t="str">
        <f t="shared" si="54"/>
        <v>structure with developmental contribution from neural crest</v>
      </c>
      <c r="G3958" s="9" t="s">
        <v>5090</v>
      </c>
      <c r="H3958" s="9" t="s">
        <v>24328</v>
      </c>
      <c r="I3958" s="9" t="s">
        <v>7411</v>
      </c>
      <c r="J3958" s="9" t="s">
        <v>7412</v>
      </c>
      <c r="K3958" s="4" t="s">
        <v>15175</v>
      </c>
      <c r="L3958" s="13">
        <v>12489</v>
      </c>
      <c r="M3958" t="str">
        <f>VLOOKUP(L3958,[1]Human_BrainSpan!$B$2:$C$4000,2,FALSE)</f>
        <v>MPBm</v>
      </c>
    </row>
    <row r="3959" spans="2:13" x14ac:dyDescent="0.25">
      <c r="B3959" s="31" t="s">
        <v>26303</v>
      </c>
      <c r="C3959" s="20"/>
      <c r="D3959" s="25" t="s">
        <v>26185</v>
      </c>
      <c r="E3959" s="25" t="s">
        <v>26300</v>
      </c>
      <c r="F3959" s="9" t="str">
        <f t="shared" ref="F3959:F4022" si="55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3959" s="9" t="s">
        <v>5090</v>
      </c>
      <c r="H3959" s="9" t="s">
        <v>24329</v>
      </c>
      <c r="I3959" s="9" t="s">
        <v>7413</v>
      </c>
      <c r="J3959" s="9" t="s">
        <v>7414</v>
      </c>
      <c r="K3959" s="4" t="s">
        <v>15175</v>
      </c>
      <c r="L3959" s="13">
        <v>12490</v>
      </c>
      <c r="M3959" t="str">
        <f>VLOOKUP(L3959,[1]Human_BrainSpan!$B$2:$C$4000,2,FALSE)</f>
        <v>SPP</v>
      </c>
    </row>
    <row r="3960" spans="2:13" x14ac:dyDescent="0.25">
      <c r="B3960" s="31" t="s">
        <v>26303</v>
      </c>
      <c r="C3960" s="25" t="s">
        <v>26126</v>
      </c>
      <c r="D3960" s="25" t="s">
        <v>26232</v>
      </c>
      <c r="E3960" s="25"/>
      <c r="F3960" s="9" t="str">
        <f t="shared" si="55"/>
        <v>structure with developmental contribution from neural crest</v>
      </c>
      <c r="G3960" s="9" t="s">
        <v>5090</v>
      </c>
      <c r="H3960" s="9" t="s">
        <v>24331</v>
      </c>
      <c r="I3960" s="9" t="s">
        <v>7415</v>
      </c>
      <c r="J3960" s="9" t="s">
        <v>7416</v>
      </c>
      <c r="K3960" s="4" t="s">
        <v>15175</v>
      </c>
      <c r="L3960" s="13">
        <v>12492</v>
      </c>
      <c r="M3960" t="str">
        <f>VLOOKUP(L3960,[1]Human_BrainSpan!$B$2:$C$4000,2,FALSE)</f>
        <v>PnRt</v>
      </c>
    </row>
    <row r="3961" spans="2:13" x14ac:dyDescent="0.25">
      <c r="B3961" s="31" t="s">
        <v>26303</v>
      </c>
      <c r="C3961" s="25" t="s">
        <v>25825</v>
      </c>
      <c r="D3961" s="25" t="s">
        <v>26232</v>
      </c>
      <c r="E3961" s="25"/>
      <c r="F3961" s="9" t="str">
        <f t="shared" si="55"/>
        <v>structure with developmental contribution from neural crest</v>
      </c>
      <c r="G3961" s="9" t="s">
        <v>5090</v>
      </c>
      <c r="H3961" s="9" t="s">
        <v>24332</v>
      </c>
      <c r="I3961" s="9" t="s">
        <v>896</v>
      </c>
      <c r="J3961" s="9" t="s">
        <v>897</v>
      </c>
      <c r="K3961" s="4" t="s">
        <v>15175</v>
      </c>
      <c r="L3961" s="13">
        <v>12493</v>
      </c>
      <c r="M3961" t="str">
        <f>VLOOKUP(L3961,[1]Human_BrainSpan!$B$2:$C$4000,2,FALSE)</f>
        <v>PnC</v>
      </c>
    </row>
    <row r="3962" spans="2:13" x14ac:dyDescent="0.25">
      <c r="B3962" s="31" t="s">
        <v>26303</v>
      </c>
      <c r="C3962" s="25" t="s">
        <v>26077</v>
      </c>
      <c r="D3962" s="25" t="s">
        <v>26232</v>
      </c>
      <c r="E3962" s="25"/>
      <c r="F3962" s="9" t="str">
        <f t="shared" si="55"/>
        <v>structure with developmental contribution from neural crest</v>
      </c>
      <c r="G3962" s="9" t="s">
        <v>5090</v>
      </c>
      <c r="H3962" s="9" t="s">
        <v>24333</v>
      </c>
      <c r="I3962" s="9" t="s">
        <v>3516</v>
      </c>
      <c r="J3962" s="9" t="s">
        <v>3517</v>
      </c>
      <c r="K3962" s="4" t="s">
        <v>15175</v>
      </c>
      <c r="L3962" s="13">
        <v>12494</v>
      </c>
      <c r="M3962" t="str">
        <f>VLOOKUP(L3962,[1]Human_BrainSpan!$B$2:$C$4000,2,FALSE)</f>
        <v>PnO</v>
      </c>
    </row>
    <row r="3963" spans="2:13" x14ac:dyDescent="0.25">
      <c r="B3963" s="31" t="s">
        <v>26303</v>
      </c>
      <c r="C3963" s="20"/>
      <c r="D3963" s="25" t="s">
        <v>26232</v>
      </c>
      <c r="E3963" s="25" t="s">
        <v>26309</v>
      </c>
      <c r="F3963" s="9" t="str">
        <f t="shared" si="55"/>
        <v>structure with developmental contribution from neural crest</v>
      </c>
      <c r="G3963" s="9" t="s">
        <v>5090</v>
      </c>
      <c r="H3963" s="9" t="s">
        <v>24334</v>
      </c>
      <c r="I3963" s="9" t="s">
        <v>7417</v>
      </c>
      <c r="J3963" s="9" t="s">
        <v>7418</v>
      </c>
      <c r="K3963" s="4" t="s">
        <v>15175</v>
      </c>
      <c r="L3963" s="13">
        <v>12495</v>
      </c>
      <c r="M3963" t="str">
        <f>VLOOKUP(L3963,[1]Human_BrainSpan!$B$2:$C$4000,2,FALSE)</f>
        <v>PLN</v>
      </c>
    </row>
    <row r="3964" spans="2:13" x14ac:dyDescent="0.25">
      <c r="B3964" s="31" t="s">
        <v>26303</v>
      </c>
      <c r="C3964" s="25" t="s">
        <v>26059</v>
      </c>
      <c r="D3964" s="25" t="s">
        <v>26232</v>
      </c>
      <c r="E3964" s="25"/>
      <c r="F3964" s="9" t="str">
        <f t="shared" si="55"/>
        <v>structure with developmental contribution from neural crest</v>
      </c>
      <c r="G3964" s="9" t="s">
        <v>5090</v>
      </c>
      <c r="H3964" s="9" t="s">
        <v>24335</v>
      </c>
      <c r="I3964" s="9" t="s">
        <v>3302</v>
      </c>
      <c r="J3964" s="9" t="s">
        <v>3303</v>
      </c>
      <c r="K3964" s="4" t="s">
        <v>15175</v>
      </c>
      <c r="L3964" s="13">
        <v>12496</v>
      </c>
      <c r="M3964" t="str">
        <f>VLOOKUP(L3964,[1]Human_BrainSpan!$B$2:$C$4000,2,FALSE)</f>
        <v>PMn</v>
      </c>
    </row>
    <row r="3965" spans="2:13" x14ac:dyDescent="0.25">
      <c r="B3965" s="31" t="s">
        <v>26303</v>
      </c>
      <c r="C3965" s="25" t="s">
        <v>3298</v>
      </c>
      <c r="D3965" s="25" t="s">
        <v>26232</v>
      </c>
      <c r="E3965" s="25"/>
      <c r="F3965" s="9" t="str">
        <f t="shared" si="55"/>
        <v>structure with developmental contribution from neural crest</v>
      </c>
      <c r="G3965" s="9" t="s">
        <v>5090</v>
      </c>
      <c r="H3965" s="9" t="s">
        <v>24336</v>
      </c>
      <c r="I3965" s="9" t="s">
        <v>3298</v>
      </c>
      <c r="J3965" s="9" t="s">
        <v>3304</v>
      </c>
      <c r="K3965" s="4" t="s">
        <v>15175</v>
      </c>
      <c r="L3965" s="13">
        <v>12497</v>
      </c>
      <c r="M3965" t="str">
        <f>VLOOKUP(L3965,[1]Human_BrainSpan!$B$2:$C$4000,2,FALSE)</f>
        <v>RtTg</v>
      </c>
    </row>
    <row r="3966" spans="2:13" x14ac:dyDescent="0.25">
      <c r="B3966" s="31" t="s">
        <v>26303</v>
      </c>
      <c r="C3966" s="25"/>
      <c r="D3966" s="25" t="s">
        <v>26232</v>
      </c>
      <c r="E3966" s="25" t="s">
        <v>26300</v>
      </c>
      <c r="F3966" s="9" t="str">
        <f t="shared" si="55"/>
        <v>structure with developmental contribution from neural crest</v>
      </c>
      <c r="G3966" s="9" t="s">
        <v>5090</v>
      </c>
      <c r="H3966" s="9" t="s">
        <v>24338</v>
      </c>
      <c r="I3966" s="9" t="s">
        <v>7419</v>
      </c>
      <c r="J3966" s="9" t="s">
        <v>7420</v>
      </c>
      <c r="K3966" s="4" t="s">
        <v>15175</v>
      </c>
      <c r="L3966" s="13">
        <v>12498</v>
      </c>
      <c r="M3966" t="str">
        <f>VLOOKUP(L3966,[1]Human_BrainSpan!$B$2:$C$4000,2,FALSE)</f>
        <v>PnNA</v>
      </c>
    </row>
    <row r="3967" spans="2:13" x14ac:dyDescent="0.25">
      <c r="B3967" s="31" t="s">
        <v>26303</v>
      </c>
      <c r="C3967" s="25" t="s">
        <v>2801</v>
      </c>
      <c r="D3967" s="25" t="s">
        <v>26232</v>
      </c>
      <c r="E3967" s="25"/>
      <c r="F3967" s="9" t="str">
        <f t="shared" si="55"/>
        <v>structure with developmental contribution from neural crest</v>
      </c>
      <c r="G3967" s="9" t="s">
        <v>5090</v>
      </c>
      <c r="H3967" s="9" t="s">
        <v>20003</v>
      </c>
      <c r="I3967" s="9" t="s">
        <v>7421</v>
      </c>
      <c r="J3967" s="9" t="s">
        <v>7422</v>
      </c>
      <c r="K3967" s="4" t="s">
        <v>15175</v>
      </c>
      <c r="L3967" s="13">
        <v>12499</v>
      </c>
      <c r="M3967" t="str">
        <f>VLOOKUP(L3967,[1]Human_BrainSpan!$B$2:$C$4000,2,FALSE)</f>
        <v>NC</v>
      </c>
    </row>
    <row r="3968" spans="2:13" x14ac:dyDescent="0.25">
      <c r="B3968" s="31" t="s">
        <v>26303</v>
      </c>
      <c r="C3968" s="25" t="s">
        <v>721</v>
      </c>
      <c r="D3968" s="25" t="s">
        <v>26232</v>
      </c>
      <c r="E3968" s="25"/>
      <c r="F3968" s="9" t="str">
        <f t="shared" si="55"/>
        <v>structure with developmental contribution from neural crest</v>
      </c>
      <c r="G3968" s="9" t="s">
        <v>5090</v>
      </c>
      <c r="H3968" s="9" t="s">
        <v>24339</v>
      </c>
      <c r="I3968" s="9" t="s">
        <v>646</v>
      </c>
      <c r="J3968" s="9" t="s">
        <v>647</v>
      </c>
      <c r="K3968" s="4" t="s">
        <v>15175</v>
      </c>
      <c r="L3968" s="13">
        <v>12500</v>
      </c>
      <c r="M3968" t="str">
        <f>VLOOKUP(L3968,[1]Human_BrainSpan!$B$2:$C$4000,2,FALSE)</f>
        <v>SubC</v>
      </c>
    </row>
    <row r="3969" spans="2:13" x14ac:dyDescent="0.25">
      <c r="B3969" s="31" t="s">
        <v>26303</v>
      </c>
      <c r="C3969" s="25" t="s">
        <v>721</v>
      </c>
      <c r="D3969" s="25" t="s">
        <v>26232</v>
      </c>
      <c r="E3969" s="25"/>
      <c r="F3969" s="9" t="str">
        <f t="shared" si="55"/>
        <v>structure with developmental contribution from neural crest</v>
      </c>
      <c r="G3969" s="9" t="s">
        <v>5090</v>
      </c>
      <c r="H3969" s="9" t="s">
        <v>24340</v>
      </c>
      <c r="I3969" s="9" t="s">
        <v>7423</v>
      </c>
      <c r="J3969" s="9" t="s">
        <v>7424</v>
      </c>
      <c r="K3969" s="4" t="s">
        <v>15175</v>
      </c>
      <c r="L3969" s="13">
        <v>12501</v>
      </c>
      <c r="M3969" t="str">
        <f>VLOOKUP(L3969,[1]Human_BrainSpan!$B$2:$C$4000,2,FALSE)</f>
        <v>SubCd</v>
      </c>
    </row>
    <row r="3970" spans="2:13" x14ac:dyDescent="0.25">
      <c r="B3970" s="31" t="s">
        <v>26303</v>
      </c>
      <c r="C3970" s="25" t="s">
        <v>721</v>
      </c>
      <c r="D3970" s="25" t="s">
        <v>26232</v>
      </c>
      <c r="E3970" s="25"/>
      <c r="F3970" s="9" t="str">
        <f t="shared" si="55"/>
        <v>structure with developmental contribution from neural crest</v>
      </c>
      <c r="G3970" s="9" t="s">
        <v>5090</v>
      </c>
      <c r="H3970" s="9" t="s">
        <v>24341</v>
      </c>
      <c r="I3970" s="9" t="s">
        <v>7425</v>
      </c>
      <c r="J3970" s="9" t="s">
        <v>7426</v>
      </c>
      <c r="K3970" s="4" t="s">
        <v>15175</v>
      </c>
      <c r="L3970" s="13">
        <v>12502</v>
      </c>
      <c r="M3970" t="str">
        <f>VLOOKUP(L3970,[1]Human_BrainSpan!$B$2:$C$4000,2,FALSE)</f>
        <v>SubCv</v>
      </c>
    </row>
    <row r="3971" spans="2:13" x14ac:dyDescent="0.25">
      <c r="B3971" s="31" t="s">
        <v>26303</v>
      </c>
      <c r="C3971" s="25" t="s">
        <v>3887</v>
      </c>
      <c r="D3971" s="25" t="s">
        <v>26232</v>
      </c>
      <c r="E3971" s="25"/>
      <c r="F3971" s="9" t="str">
        <f t="shared" si="55"/>
        <v>structure with developmental contribution from neural crest</v>
      </c>
      <c r="G3971" s="9" t="s">
        <v>5090</v>
      </c>
      <c r="H3971" s="9" t="s">
        <v>24342</v>
      </c>
      <c r="I3971" s="9" t="s">
        <v>7427</v>
      </c>
      <c r="J3971" s="9" t="s">
        <v>7428</v>
      </c>
      <c r="K3971" s="4" t="s">
        <v>15175</v>
      </c>
      <c r="L3971" s="13">
        <v>12503</v>
      </c>
      <c r="M3971" t="str">
        <f>VLOOKUP(L3971,[1]Human_BrainSpan!$B$2:$C$4000,2,FALSE)</f>
        <v>XPnTg</v>
      </c>
    </row>
    <row r="3972" spans="2:13" x14ac:dyDescent="0.25">
      <c r="B3972" s="31" t="s">
        <v>26303</v>
      </c>
      <c r="C3972" s="25" t="s">
        <v>26266</v>
      </c>
      <c r="D3972" s="25" t="s">
        <v>26185</v>
      </c>
      <c r="E3972" s="25" t="s">
        <v>26300</v>
      </c>
      <c r="F3972" s="9" t="str">
        <f t="shared" si="55"/>
        <v>structure with developmental contribution from neural crest</v>
      </c>
      <c r="G3972" s="9" t="s">
        <v>5090</v>
      </c>
      <c r="H3972" s="9" t="s">
        <v>20364</v>
      </c>
      <c r="I3972" s="9" t="s">
        <v>7429</v>
      </c>
      <c r="J3972" s="9" t="s">
        <v>7430</v>
      </c>
      <c r="K3972" s="4" t="s">
        <v>15175</v>
      </c>
      <c r="L3972" s="13">
        <v>12504</v>
      </c>
      <c r="M3972" t="str">
        <f>VLOOKUP(L3972,[1]Human_BrainSpan!$B$2:$C$4000,2,FALSE)</f>
        <v>Acs5</v>
      </c>
    </row>
    <row r="3973" spans="2:13" x14ac:dyDescent="0.25">
      <c r="B3973" s="31" t="s">
        <v>26303</v>
      </c>
      <c r="C3973" s="20"/>
      <c r="D3973" s="25" t="s">
        <v>26232</v>
      </c>
      <c r="E3973" s="25" t="s">
        <v>26300</v>
      </c>
      <c r="F3973" s="9" t="str">
        <f t="shared" si="55"/>
        <v>structure with developmental contribution from neural crest</v>
      </c>
      <c r="G3973" s="9" t="s">
        <v>5090</v>
      </c>
      <c r="H3973" s="9" t="s">
        <v>24343</v>
      </c>
      <c r="I3973" s="9" t="s">
        <v>7431</v>
      </c>
      <c r="J3973" s="9" t="s">
        <v>7432</v>
      </c>
      <c r="K3973" s="4" t="s">
        <v>15175</v>
      </c>
      <c r="L3973" s="13">
        <v>12505</v>
      </c>
      <c r="M3973" t="str">
        <f>VLOOKUP(L3973,[1]Human_BrainSpan!$B$2:$C$4000,2,FALSE)</f>
        <v>AInS</v>
      </c>
    </row>
    <row r="3974" spans="2:13" x14ac:dyDescent="0.25">
      <c r="B3974" s="31" t="s">
        <v>25743</v>
      </c>
      <c r="C3974" s="25" t="s">
        <v>16</v>
      </c>
      <c r="D3974" s="25" t="s">
        <v>26232</v>
      </c>
      <c r="E3974" s="25"/>
      <c r="F3974" s="9" t="str">
        <f t="shared" si="55"/>
        <v>structure with developmental contribution from neural crest</v>
      </c>
      <c r="G3974" s="9" t="s">
        <v>5090</v>
      </c>
      <c r="H3974" s="9" t="s">
        <v>17426</v>
      </c>
      <c r="I3974" s="9" t="s">
        <v>16</v>
      </c>
      <c r="J3974" s="9" t="s">
        <v>17</v>
      </c>
      <c r="K3974" s="4" t="s">
        <v>15175</v>
      </c>
      <c r="L3974" s="13">
        <v>12506</v>
      </c>
      <c r="M3974" t="str">
        <f>VLOOKUP(L3974,[1]Human_BrainSpan!$B$2:$C$4000,2,FALSE)</f>
        <v>Bar</v>
      </c>
    </row>
    <row r="3975" spans="2:13" x14ac:dyDescent="0.25">
      <c r="B3975" s="31" t="s">
        <v>26303</v>
      </c>
      <c r="C3975" s="20"/>
      <c r="D3975" s="25" t="s">
        <v>26185</v>
      </c>
      <c r="E3975" s="25" t="s">
        <v>26300</v>
      </c>
      <c r="F3975" s="9" t="str">
        <f t="shared" si="55"/>
        <v>structure with developmental contribution from neural crest</v>
      </c>
      <c r="G3975" s="9" t="s">
        <v>5090</v>
      </c>
      <c r="H3975" s="9" t="s">
        <v>17790</v>
      </c>
      <c r="I3975" s="9" t="s">
        <v>7433</v>
      </c>
      <c r="J3975" s="9" t="s">
        <v>7434</v>
      </c>
      <c r="K3975" s="4" t="s">
        <v>15175</v>
      </c>
      <c r="L3975" s="13">
        <v>12507</v>
      </c>
      <c r="M3975" t="str">
        <f>VLOOKUP(L3975,[1]Human_BrainSpan!$B$2:$C$4000,2,FALSE)</f>
        <v>CAT</v>
      </c>
    </row>
    <row r="3976" spans="2:13" x14ac:dyDescent="0.25">
      <c r="B3976" s="31" t="s">
        <v>26303</v>
      </c>
      <c r="C3976" s="25" t="s">
        <v>1614</v>
      </c>
      <c r="D3976" s="25" t="s">
        <v>26232</v>
      </c>
      <c r="E3976" s="25"/>
      <c r="F3976" s="9" t="str">
        <f t="shared" si="55"/>
        <v>structure with developmental contribution from neural crest</v>
      </c>
      <c r="G3976" s="9" t="s">
        <v>5090</v>
      </c>
      <c r="H3976" s="9" t="s">
        <v>17455</v>
      </c>
      <c r="I3976" s="9" t="s">
        <v>1614</v>
      </c>
      <c r="J3976" s="9" t="s">
        <v>1615</v>
      </c>
      <c r="K3976" s="4" t="s">
        <v>15175</v>
      </c>
      <c r="L3976" s="13">
        <v>12508</v>
      </c>
      <c r="M3976" t="str">
        <f>VLOOKUP(L3976,[1]Human_BrainSpan!$B$2:$C$4000,2,FALSE)</f>
        <v>DTg</v>
      </c>
    </row>
    <row r="3977" spans="2:13" x14ac:dyDescent="0.25">
      <c r="B3977" s="31" t="s">
        <v>26303</v>
      </c>
      <c r="C3977" s="25" t="s">
        <v>1614</v>
      </c>
      <c r="D3977" s="25" t="s">
        <v>26232</v>
      </c>
      <c r="E3977" s="25"/>
      <c r="F3977" s="9" t="str">
        <f t="shared" si="55"/>
        <v>structure with developmental contribution from neural crest</v>
      </c>
      <c r="G3977" s="9" t="s">
        <v>5090</v>
      </c>
      <c r="H3977" s="9" t="s">
        <v>17456</v>
      </c>
      <c r="I3977" s="9" t="s">
        <v>7435</v>
      </c>
      <c r="J3977" s="9" t="s">
        <v>7436</v>
      </c>
      <c r="K3977" s="4" t="s">
        <v>15175</v>
      </c>
      <c r="L3977" s="13">
        <v>12509</v>
      </c>
      <c r="M3977" t="str">
        <f>VLOOKUP(L3977,[1]Human_BrainSpan!$B$2:$C$4000,2,FALSE)</f>
        <v>DTgC</v>
      </c>
    </row>
    <row r="3978" spans="2:13" x14ac:dyDescent="0.25">
      <c r="B3978" s="31" t="s">
        <v>26303</v>
      </c>
      <c r="C3978" s="25" t="s">
        <v>2261</v>
      </c>
      <c r="D3978" s="25" t="s">
        <v>26232</v>
      </c>
      <c r="E3978" s="25"/>
      <c r="F3978" s="9" t="str">
        <f t="shared" si="55"/>
        <v>structure with developmental contribution from neural crest</v>
      </c>
      <c r="G3978" s="9" t="s">
        <v>5090</v>
      </c>
      <c r="H3978" s="9" t="s">
        <v>24345</v>
      </c>
      <c r="I3978" s="9" t="s">
        <v>7437</v>
      </c>
      <c r="J3978" s="9" t="s">
        <v>7438</v>
      </c>
      <c r="K3978" s="4" t="s">
        <v>15175</v>
      </c>
      <c r="L3978" s="13">
        <v>12510</v>
      </c>
      <c r="M3978" t="str">
        <f>VLOOKUP(L3978,[1]Human_BrainSpan!$B$2:$C$4000,2,FALSE)</f>
        <v>DTgP</v>
      </c>
    </row>
    <row r="3979" spans="2:13" x14ac:dyDescent="0.25">
      <c r="B3979" s="31" t="s">
        <v>26303</v>
      </c>
      <c r="C3979" s="20"/>
      <c r="D3979" s="25" t="s">
        <v>26185</v>
      </c>
      <c r="E3979" s="25" t="s">
        <v>26300</v>
      </c>
      <c r="F3979" s="9" t="str">
        <f t="shared" si="55"/>
        <v>structure with developmental contribution from neural crest</v>
      </c>
      <c r="G3979" s="9" t="s">
        <v>5090</v>
      </c>
      <c r="H3979" s="9" t="s">
        <v>24347</v>
      </c>
      <c r="I3979" s="9" t="s">
        <v>7439</v>
      </c>
      <c r="J3979" s="9" t="s">
        <v>7440</v>
      </c>
      <c r="K3979" s="4" t="s">
        <v>15175</v>
      </c>
      <c r="L3979" s="13">
        <v>12512</v>
      </c>
      <c r="M3979" t="str">
        <f>VLOOKUP(L3979,[1]Human_BrainSpan!$B$2:$C$4000,2,FALSE)</f>
        <v>EpC</v>
      </c>
    </row>
    <row r="3980" spans="2:13" x14ac:dyDescent="0.25">
      <c r="B3980" s="31" t="s">
        <v>26303</v>
      </c>
      <c r="C3980" s="20"/>
      <c r="D3980" s="25" t="s">
        <v>26232</v>
      </c>
      <c r="E3980" s="25" t="s">
        <v>26309</v>
      </c>
      <c r="F3980" s="9" t="str">
        <f t="shared" si="55"/>
        <v>structure with developmental contribution from neural crest</v>
      </c>
      <c r="G3980" s="9" t="s">
        <v>5090</v>
      </c>
      <c r="H3980" s="9" t="s">
        <v>24348</v>
      </c>
      <c r="I3980" s="9" t="s">
        <v>7441</v>
      </c>
      <c r="J3980" s="9" t="s">
        <v>7442</v>
      </c>
      <c r="K3980" s="4" t="s">
        <v>15175</v>
      </c>
      <c r="L3980" s="13">
        <v>12513</v>
      </c>
      <c r="M3980" t="str">
        <f>VLOOKUP(L3980,[1]Human_BrainSpan!$B$2:$C$4000,2,FALSE)</f>
        <v>PnG</v>
      </c>
    </row>
    <row r="3981" spans="2:13" x14ac:dyDescent="0.25">
      <c r="B3981" s="31" t="s">
        <v>26303</v>
      </c>
      <c r="C3981" s="25" t="s">
        <v>2931</v>
      </c>
      <c r="D3981" s="25" t="s">
        <v>26232</v>
      </c>
      <c r="E3981" s="25"/>
      <c r="F3981" s="9" t="str">
        <f t="shared" si="55"/>
        <v>structure with developmental contribution from neural crest</v>
      </c>
      <c r="G3981" s="9" t="s">
        <v>5090</v>
      </c>
      <c r="H3981" s="9" t="s">
        <v>24349</v>
      </c>
      <c r="I3981" s="9" t="s">
        <v>7443</v>
      </c>
      <c r="J3981" s="9" t="s">
        <v>7444</v>
      </c>
      <c r="K3981" s="4" t="s">
        <v>15175</v>
      </c>
      <c r="L3981" s="13">
        <v>12514</v>
      </c>
      <c r="M3981" t="str">
        <f>VLOOKUP(L3981,[1]Human_BrainSpan!$B$2:$C$4000,2,FALSE)</f>
        <v>IIMLF</v>
      </c>
    </row>
    <row r="3982" spans="2:13" x14ac:dyDescent="0.25">
      <c r="B3982" s="31" t="s">
        <v>26303</v>
      </c>
      <c r="C3982" s="25" t="s">
        <v>2931</v>
      </c>
      <c r="D3982" s="25" t="s">
        <v>26232</v>
      </c>
      <c r="E3982" s="25"/>
      <c r="F3982" s="9" t="str">
        <f t="shared" si="55"/>
        <v>structure with developmental contribution from neural crest</v>
      </c>
      <c r="G3982" s="9" t="s">
        <v>5090</v>
      </c>
      <c r="H3982" s="9" t="s">
        <v>24350</v>
      </c>
      <c r="I3982" s="9" t="s">
        <v>7445</v>
      </c>
      <c r="J3982" s="9" t="s">
        <v>7446</v>
      </c>
      <c r="K3982" s="4" t="s">
        <v>15175</v>
      </c>
      <c r="L3982" s="13">
        <v>12515</v>
      </c>
      <c r="M3982" t="str">
        <f>VLOOKUP(L3982,[1]Human_BrainSpan!$B$2:$C$4000,2,FALSE)</f>
        <v>IMLF</v>
      </c>
    </row>
    <row r="3983" spans="2:13" x14ac:dyDescent="0.25">
      <c r="B3983" s="31" t="s">
        <v>26303</v>
      </c>
      <c r="C3983" s="20"/>
      <c r="D3983" s="25" t="s">
        <v>26185</v>
      </c>
      <c r="E3983" s="25" t="s">
        <v>26300</v>
      </c>
      <c r="F3983" s="9" t="str">
        <f t="shared" si="55"/>
        <v>structure with developmental contribution from neural crest</v>
      </c>
      <c r="G3983" s="9" t="s">
        <v>5090</v>
      </c>
      <c r="H3983" s="9" t="s">
        <v>20368</v>
      </c>
      <c r="I3983" s="9" t="s">
        <v>7447</v>
      </c>
      <c r="J3983" s="9" t="s">
        <v>7448</v>
      </c>
      <c r="K3983" s="4" t="s">
        <v>15175</v>
      </c>
      <c r="L3983" s="13">
        <v>12516</v>
      </c>
      <c r="M3983" t="str">
        <f>VLOOKUP(L3983,[1]Human_BrainSpan!$B$2:$C$4000,2,FALSE)</f>
        <v>I5</v>
      </c>
    </row>
    <row r="3984" spans="2:13" x14ac:dyDescent="0.25">
      <c r="B3984" s="31" t="s">
        <v>26303</v>
      </c>
      <c r="C3984" s="20"/>
      <c r="D3984" s="25" t="s">
        <v>26232</v>
      </c>
      <c r="E3984" s="25" t="s">
        <v>26300</v>
      </c>
      <c r="F3984" s="9" t="str">
        <f t="shared" si="55"/>
        <v>structure with developmental contribution from neural crest</v>
      </c>
      <c r="G3984" s="9" t="s">
        <v>5090</v>
      </c>
      <c r="H3984" s="9" t="s">
        <v>24351</v>
      </c>
      <c r="I3984" s="9" t="s">
        <v>7449</v>
      </c>
      <c r="J3984" s="9" t="s">
        <v>7450</v>
      </c>
      <c r="K3984" s="4" t="s">
        <v>15175</v>
      </c>
      <c r="L3984" s="13">
        <v>12517</v>
      </c>
      <c r="M3984" t="str">
        <f>VLOOKUP(L3984,[1]Human_BrainSpan!$B$2:$C$4000,2,FALSE)</f>
        <v>JxO</v>
      </c>
    </row>
    <row r="3985" spans="2:13" x14ac:dyDescent="0.25">
      <c r="B3985" s="31" t="s">
        <v>26303</v>
      </c>
      <c r="C3985" s="25" t="s">
        <v>2261</v>
      </c>
      <c r="D3985" s="25" t="s">
        <v>26232</v>
      </c>
      <c r="E3985" s="25"/>
      <c r="F3985" s="9" t="str">
        <f t="shared" si="55"/>
        <v>structure with developmental contribution from neural crest</v>
      </c>
      <c r="G3985" s="9" t="s">
        <v>5090</v>
      </c>
      <c r="H3985" s="9" t="s">
        <v>17411</v>
      </c>
      <c r="I3985" s="9" t="s">
        <v>2261</v>
      </c>
      <c r="J3985" s="9" t="s">
        <v>2262</v>
      </c>
      <c r="K3985" s="4" t="s">
        <v>15175</v>
      </c>
      <c r="L3985" s="13">
        <v>12519</v>
      </c>
      <c r="M3985" t="str">
        <f>VLOOKUP(L3985,[1]Human_BrainSpan!$B$2:$C$4000,2,FALSE)</f>
        <v>LDTg</v>
      </c>
    </row>
    <row r="3986" spans="2:13" x14ac:dyDescent="0.25">
      <c r="B3986" s="31" t="s">
        <v>26303</v>
      </c>
      <c r="C3986" s="25" t="s">
        <v>2261</v>
      </c>
      <c r="D3986" s="25" t="s">
        <v>26232</v>
      </c>
      <c r="E3986" s="25"/>
      <c r="F3986" s="9" t="str">
        <f t="shared" si="55"/>
        <v>structure with developmental contribution from neural crest</v>
      </c>
      <c r="G3986" s="9" t="s">
        <v>5090</v>
      </c>
      <c r="H3986" s="9" t="s">
        <v>24352</v>
      </c>
      <c r="I3986" s="9" t="s">
        <v>7451</v>
      </c>
      <c r="J3986" s="9" t="s">
        <v>7452</v>
      </c>
      <c r="K3986" s="4" t="s">
        <v>15175</v>
      </c>
      <c r="L3986" s="13">
        <v>12520</v>
      </c>
      <c r="M3986" t="str">
        <f>VLOOKUP(L3986,[1]Human_BrainSpan!$B$2:$C$4000,2,FALSE)</f>
        <v>LDTgD</v>
      </c>
    </row>
    <row r="3987" spans="2:13" x14ac:dyDescent="0.25">
      <c r="B3987" s="31" t="s">
        <v>26303</v>
      </c>
      <c r="C3987" s="25" t="s">
        <v>2261</v>
      </c>
      <c r="D3987" s="25" t="s">
        <v>26232</v>
      </c>
      <c r="E3987" s="25"/>
      <c r="F3987" s="9" t="str">
        <f t="shared" si="55"/>
        <v>structure with developmental contribution from neural crest</v>
      </c>
      <c r="G3987" s="9" t="s">
        <v>5090</v>
      </c>
      <c r="H3987" s="9" t="s">
        <v>24353</v>
      </c>
      <c r="I3987" s="9" t="s">
        <v>7453</v>
      </c>
      <c r="J3987" s="9" t="s">
        <v>7454</v>
      </c>
      <c r="K3987" s="4" t="s">
        <v>15175</v>
      </c>
      <c r="L3987" s="13">
        <v>12521</v>
      </c>
      <c r="M3987" t="str">
        <f>VLOOKUP(L3987,[1]Human_BrainSpan!$B$2:$C$4000,2,FALSE)</f>
        <v>LDTgV</v>
      </c>
    </row>
    <row r="3988" spans="2:13" x14ac:dyDescent="0.25">
      <c r="B3988" s="31" t="s">
        <v>26303</v>
      </c>
      <c r="C3988" s="20"/>
      <c r="D3988" s="25" t="s">
        <v>26232</v>
      </c>
      <c r="E3988" s="25" t="s">
        <v>26300</v>
      </c>
      <c r="F3988" s="9" t="str">
        <f t="shared" si="55"/>
        <v>structure with developmental contribution from neural crest</v>
      </c>
      <c r="G3988" s="9" t="s">
        <v>5090</v>
      </c>
      <c r="H3988" s="9" t="s">
        <v>24354</v>
      </c>
      <c r="I3988" s="9" t="s">
        <v>7455</v>
      </c>
      <c r="J3988" s="9" t="s">
        <v>7456</v>
      </c>
      <c r="K3988" s="4" t="s">
        <v>15175</v>
      </c>
      <c r="L3988" s="13">
        <v>12522</v>
      </c>
      <c r="M3988" t="str">
        <f>VLOOKUP(L3988,[1]Human_BrainSpan!$B$2:$C$4000,2,FALSE)</f>
        <v>K</v>
      </c>
    </row>
    <row r="3989" spans="2:13" x14ac:dyDescent="0.25">
      <c r="B3989" s="31" t="s">
        <v>26303</v>
      </c>
      <c r="C3989" s="20"/>
      <c r="D3989" s="25" t="s">
        <v>26232</v>
      </c>
      <c r="E3989" s="25" t="s">
        <v>26300</v>
      </c>
      <c r="F3989" s="9" t="str">
        <f t="shared" si="55"/>
        <v>structure with developmental contribution from neural crest</v>
      </c>
      <c r="G3989" s="9" t="s">
        <v>5090</v>
      </c>
      <c r="H3989" s="9" t="s">
        <v>24355</v>
      </c>
      <c r="I3989" s="9" t="s">
        <v>7457</v>
      </c>
      <c r="J3989" s="9" t="s">
        <v>7458</v>
      </c>
      <c r="K3989" s="4" t="s">
        <v>15175</v>
      </c>
      <c r="L3989" s="13">
        <v>12523</v>
      </c>
      <c r="M3989" t="str">
        <f>VLOOKUP(L3989,[1]Human_BrainSpan!$B$2:$C$4000,2,FALSE)</f>
        <v>L</v>
      </c>
    </row>
    <row r="3990" spans="2:13" x14ac:dyDescent="0.25">
      <c r="B3990" s="31" t="s">
        <v>26299</v>
      </c>
      <c r="C3990" s="25" t="s">
        <v>172</v>
      </c>
      <c r="D3990" s="25" t="s">
        <v>26232</v>
      </c>
      <c r="E3990" s="25"/>
      <c r="F3990" s="9" t="str">
        <f t="shared" si="55"/>
        <v>structure with developmental contribution from neural crest</v>
      </c>
      <c r="G3990" s="9" t="s">
        <v>5090</v>
      </c>
      <c r="H3990" s="9" t="s">
        <v>17825</v>
      </c>
      <c r="I3990" s="9" t="s">
        <v>7459</v>
      </c>
      <c r="J3990" s="9" t="s">
        <v>7460</v>
      </c>
      <c r="K3990" s="4" t="s">
        <v>15175</v>
      </c>
      <c r="L3990" s="13">
        <v>12524</v>
      </c>
      <c r="M3990" t="str">
        <f>VLOOKUP(L3990,[1]Human_BrainSpan!$B$2:$C$4000,2,FALSE)</f>
        <v>Pa6</v>
      </c>
    </row>
    <row r="3991" spans="2:13" x14ac:dyDescent="0.25">
      <c r="B3991" s="31" t="s">
        <v>26303</v>
      </c>
      <c r="C3991" s="20"/>
      <c r="D3991" s="25" t="s">
        <v>26185</v>
      </c>
      <c r="E3991" s="25" t="s">
        <v>26300</v>
      </c>
      <c r="F3991" s="9" t="str">
        <f t="shared" si="55"/>
        <v>structure with developmental contribution from neural crest</v>
      </c>
      <c r="G3991" s="9" t="s">
        <v>5090</v>
      </c>
      <c r="H3991" s="9" t="s">
        <v>24356</v>
      </c>
      <c r="I3991" s="9" t="s">
        <v>7461</v>
      </c>
      <c r="J3991" s="9" t="s">
        <v>7462</v>
      </c>
      <c r="K3991" s="4" t="s">
        <v>15175</v>
      </c>
      <c r="L3991" s="13">
        <v>12525</v>
      </c>
      <c r="M3991" t="str">
        <f>VLOOKUP(L3991,[1]Human_BrainSpan!$B$2:$C$4000,2,FALSE)</f>
        <v>PCuN</v>
      </c>
    </row>
    <row r="3992" spans="2:13" x14ac:dyDescent="0.25">
      <c r="B3992" s="31" t="s">
        <v>26303</v>
      </c>
      <c r="C3992" s="25" t="s">
        <v>2683</v>
      </c>
      <c r="D3992" s="25" t="s">
        <v>26232</v>
      </c>
      <c r="E3992" s="25"/>
      <c r="F3992" s="9" t="str">
        <f t="shared" si="55"/>
        <v>structure with developmental contribution from neural crest</v>
      </c>
      <c r="G3992" s="9" t="s">
        <v>5090</v>
      </c>
      <c r="H3992" s="9" t="s">
        <v>24357</v>
      </c>
      <c r="I3992" s="9" t="s">
        <v>2683</v>
      </c>
      <c r="J3992" s="9" t="s">
        <v>2684</v>
      </c>
      <c r="K3992" s="4" t="s">
        <v>15175</v>
      </c>
      <c r="L3992" s="13">
        <v>12526</v>
      </c>
      <c r="M3992" t="str">
        <f>VLOOKUP(L3992,[1]Human_BrainSpan!$B$2:$C$4000,2,FALSE)</f>
        <v>LPCu</v>
      </c>
    </row>
    <row r="3993" spans="2:13" x14ac:dyDescent="0.25">
      <c r="B3993" s="31" t="s">
        <v>26303</v>
      </c>
      <c r="C3993" s="25" t="s">
        <v>3000</v>
      </c>
      <c r="D3993" s="25" t="s">
        <v>26232</v>
      </c>
      <c r="E3993" s="25"/>
      <c r="F3993" s="9" t="str">
        <f t="shared" si="55"/>
        <v>structure with developmental contribution from neural crest</v>
      </c>
      <c r="G3993" s="9" t="s">
        <v>5090</v>
      </c>
      <c r="H3993" s="9" t="s">
        <v>24358</v>
      </c>
      <c r="I3993" s="9" t="s">
        <v>3000</v>
      </c>
      <c r="J3993" s="9" t="s">
        <v>3001</v>
      </c>
      <c r="K3993" s="4" t="s">
        <v>15175</v>
      </c>
      <c r="L3993" s="13">
        <v>12527</v>
      </c>
      <c r="M3993" t="str">
        <f>VLOOKUP(L3993,[1]Human_BrainSpan!$B$2:$C$4000,2,FALSE)</f>
        <v>MPCu</v>
      </c>
    </row>
    <row r="3994" spans="2:13" x14ac:dyDescent="0.25">
      <c r="B3994" s="31" t="s">
        <v>26303</v>
      </c>
      <c r="C3994" s="25" t="s">
        <v>3891</v>
      </c>
      <c r="D3994" s="25" t="s">
        <v>26232</v>
      </c>
      <c r="E3994" s="25"/>
      <c r="F3994" s="9" t="str">
        <f t="shared" si="55"/>
        <v>structure with developmental contribution from neural crest</v>
      </c>
      <c r="G3994" s="9" t="s">
        <v>5090</v>
      </c>
      <c r="H3994" s="9" t="s">
        <v>24360</v>
      </c>
      <c r="I3994" s="9" t="s">
        <v>7463</v>
      </c>
      <c r="J3994" s="9" t="s">
        <v>7464</v>
      </c>
      <c r="K3994" s="4" t="s">
        <v>15175</v>
      </c>
      <c r="L3994" s="13">
        <v>12528</v>
      </c>
      <c r="M3994" t="str">
        <f>VLOOKUP(L3994,[1]Human_BrainSpan!$B$2:$C$4000,2,FALSE)</f>
        <v>PnBi</v>
      </c>
    </row>
    <row r="3995" spans="2:13" x14ac:dyDescent="0.25">
      <c r="B3995" s="31" t="s">
        <v>26303</v>
      </c>
      <c r="C3995" s="20"/>
      <c r="D3995" s="25" t="s">
        <v>26232</v>
      </c>
      <c r="E3995" s="25" t="s">
        <v>26300</v>
      </c>
      <c r="F3995" s="9" t="str">
        <f t="shared" si="55"/>
        <v>structure with developmental contribution from neural crest</v>
      </c>
      <c r="G3995" s="9" t="s">
        <v>5090</v>
      </c>
      <c r="H3995" s="9" t="s">
        <v>20362</v>
      </c>
      <c r="I3995" s="9" t="s">
        <v>7465</v>
      </c>
      <c r="J3995" s="9" t="s">
        <v>7466</v>
      </c>
      <c r="K3995" s="4" t="s">
        <v>15175</v>
      </c>
      <c r="L3995" s="13">
        <v>12529</v>
      </c>
      <c r="M3995" t="str">
        <f>VLOOKUP(L3995,[1]Human_BrainSpan!$B$2:$C$4000,2,FALSE)</f>
        <v>P5</v>
      </c>
    </row>
    <row r="3996" spans="2:13" x14ac:dyDescent="0.25">
      <c r="B3996" s="31" t="s">
        <v>26303</v>
      </c>
      <c r="C3996" s="20"/>
      <c r="D3996" s="25" t="s">
        <v>26232</v>
      </c>
      <c r="E3996" s="25"/>
      <c r="F3996" s="9" t="str">
        <f t="shared" si="55"/>
        <v>structure with developmental contribution from neural crest</v>
      </c>
      <c r="G3996" s="9" t="s">
        <v>5090</v>
      </c>
      <c r="H3996" s="9" t="s">
        <v>24361</v>
      </c>
      <c r="I3996" s="9" t="s">
        <v>7467</v>
      </c>
      <c r="J3996" s="9" t="s">
        <v>7468</v>
      </c>
      <c r="K3996" s="4" t="s">
        <v>15175</v>
      </c>
      <c r="L3996" s="13">
        <v>12530</v>
      </c>
      <c r="M3996" t="str">
        <f>VLOOKUP(L3996,[1]Human_BrainSpan!$B$2:$C$4000,2,FALSE)</f>
        <v>R7</v>
      </c>
    </row>
    <row r="3997" spans="2:13" x14ac:dyDescent="0.25">
      <c r="B3997" s="31" t="s">
        <v>26303</v>
      </c>
      <c r="C3997" s="25" t="s">
        <v>4743</v>
      </c>
      <c r="D3997" s="25" t="s">
        <v>26232</v>
      </c>
      <c r="E3997" s="25"/>
      <c r="F3997" s="9" t="str">
        <f t="shared" si="55"/>
        <v>structure with developmental contribution from neural crest</v>
      </c>
      <c r="G3997" s="9" t="s">
        <v>5090</v>
      </c>
      <c r="H3997" s="9" t="s">
        <v>24362</v>
      </c>
      <c r="I3997" s="9" t="s">
        <v>4743</v>
      </c>
      <c r="J3997" s="9" t="s">
        <v>4744</v>
      </c>
      <c r="K3997" s="4" t="s">
        <v>15175</v>
      </c>
      <c r="L3997" s="13">
        <v>12531</v>
      </c>
      <c r="M3997" t="str">
        <f>VLOOKUP(L3997,[1]Human_BrainSpan!$B$2:$C$4000,2,FALSE)</f>
        <v>RTz</v>
      </c>
    </row>
    <row r="3998" spans="2:13" x14ac:dyDescent="0.25">
      <c r="B3998" s="31" t="s">
        <v>26303</v>
      </c>
      <c r="C3998" s="20"/>
      <c r="D3998" s="25" t="s">
        <v>26232</v>
      </c>
      <c r="E3998" s="25" t="s">
        <v>26300</v>
      </c>
      <c r="F3998" s="9" t="str">
        <f t="shared" si="55"/>
        <v>structure with developmental contribution from neural crest</v>
      </c>
      <c r="G3998" s="9" t="s">
        <v>5090</v>
      </c>
      <c r="H3998" s="9" t="s">
        <v>24364</v>
      </c>
      <c r="I3998" s="9" t="s">
        <v>7469</v>
      </c>
      <c r="J3998" s="9" t="s">
        <v>7470</v>
      </c>
      <c r="K3998" s="4" t="s">
        <v>15175</v>
      </c>
      <c r="L3998" s="13">
        <v>12534</v>
      </c>
      <c r="M3998" t="str">
        <f>VLOOKUP(L3998,[1]Human_BrainSpan!$B$2:$C$4000,2,FALSE)</f>
        <v>VLTg</v>
      </c>
    </row>
    <row r="3999" spans="2:13" x14ac:dyDescent="0.25">
      <c r="B3999" s="31" t="s">
        <v>26303</v>
      </c>
      <c r="C3999" s="25" t="s">
        <v>508</v>
      </c>
      <c r="D3999" s="25" t="s">
        <v>26232</v>
      </c>
      <c r="E3999" s="25"/>
      <c r="F3999" s="9" t="str">
        <f t="shared" si="55"/>
        <v>structure with developmental contribution from neural crest</v>
      </c>
      <c r="G3999" s="9" t="s">
        <v>5090</v>
      </c>
      <c r="H3999" s="9" t="s">
        <v>24367</v>
      </c>
      <c r="I3999" s="9" t="s">
        <v>506</v>
      </c>
      <c r="J3999" s="9" t="s">
        <v>507</v>
      </c>
      <c r="K3999" s="4" t="s">
        <v>15175</v>
      </c>
      <c r="L3999" s="13">
        <v>12536</v>
      </c>
      <c r="M3999" t="str">
        <f>VLOOKUP(L3999,[1]Human_BrainSpan!$B$2:$C$4000,2,FALSE)</f>
        <v>Ar</v>
      </c>
    </row>
    <row r="4000" spans="2:13" x14ac:dyDescent="0.25">
      <c r="B4000" s="31" t="s">
        <v>26303</v>
      </c>
      <c r="C4000" s="20"/>
      <c r="D4000" s="25" t="s">
        <v>26185</v>
      </c>
      <c r="E4000" s="25" t="s">
        <v>26309</v>
      </c>
      <c r="F4000" s="9" t="str">
        <f t="shared" si="55"/>
        <v>structure with developmental contribution from neural crest</v>
      </c>
      <c r="G4000" s="9" t="s">
        <v>5090</v>
      </c>
      <c r="H4000" s="9" t="s">
        <v>24368</v>
      </c>
      <c r="I4000" s="9" t="s">
        <v>7471</v>
      </c>
      <c r="J4000" s="9" t="s">
        <v>7472</v>
      </c>
      <c r="K4000" s="4" t="s">
        <v>15175</v>
      </c>
      <c r="L4000" s="13">
        <v>12537</v>
      </c>
      <c r="M4000" t="str">
        <f>VLOOKUP(L4000,[1]Human_BrainSpan!$B$2:$C$4000,2,FALSE)</f>
        <v>Ct</v>
      </c>
    </row>
    <row r="4001" spans="2:13" x14ac:dyDescent="0.25">
      <c r="B4001" s="31" t="s">
        <v>26303</v>
      </c>
      <c r="C4001" s="20"/>
      <c r="D4001" s="25" t="s">
        <v>26232</v>
      </c>
      <c r="E4001" s="25" t="s">
        <v>26300</v>
      </c>
      <c r="F4001" s="9" t="str">
        <f t="shared" si="55"/>
        <v>structure with developmental contribution from neural crest</v>
      </c>
      <c r="G4001" s="9" t="s">
        <v>5090</v>
      </c>
      <c r="H4001" s="9" t="s">
        <v>24369</v>
      </c>
      <c r="I4001" s="9" t="s">
        <v>7473</v>
      </c>
      <c r="J4001" s="9" t="s">
        <v>7474</v>
      </c>
      <c r="K4001" s="4" t="s">
        <v>15175</v>
      </c>
      <c r="L4001" s="13">
        <v>12538</v>
      </c>
      <c r="M4001" t="str">
        <f>VLOOKUP(L4001,[1]Human_BrainSpan!$B$2:$C$4000,2,FALSE)</f>
        <v>MoTg</v>
      </c>
    </row>
    <row r="4002" spans="2:13" x14ac:dyDescent="0.25">
      <c r="B4002" s="31" t="s">
        <v>26303</v>
      </c>
      <c r="C4002" s="20"/>
      <c r="D4002" s="25" t="s">
        <v>26185</v>
      </c>
      <c r="E4002" s="25" t="s">
        <v>26300</v>
      </c>
      <c r="F4002" s="9" t="str">
        <f t="shared" si="55"/>
        <v>structure with developmental contribution from neural crest</v>
      </c>
      <c r="G4002" s="9" t="s">
        <v>5090</v>
      </c>
      <c r="H4002" s="9" t="s">
        <v>24370</v>
      </c>
      <c r="I4002" s="9" t="s">
        <v>7475</v>
      </c>
      <c r="J4002" s="9" t="s">
        <v>7476</v>
      </c>
      <c r="K4002" s="4" t="s">
        <v>15175</v>
      </c>
      <c r="L4002" s="13">
        <v>12539</v>
      </c>
      <c r="M4002" t="str">
        <f>VLOOKUP(L4002,[1]Human_BrainSpan!$B$2:$C$4000,2,FALSE)</f>
        <v>MoEN</v>
      </c>
    </row>
    <row r="4003" spans="2:13" x14ac:dyDescent="0.25">
      <c r="B4003" s="31" t="s">
        <v>26303</v>
      </c>
      <c r="C4003" s="25" t="s">
        <v>3248</v>
      </c>
      <c r="D4003" s="25" t="s">
        <v>26232</v>
      </c>
      <c r="E4003" s="25"/>
      <c r="F4003" s="9" t="str">
        <f t="shared" si="55"/>
        <v>structure with developmental contribution from neural crest</v>
      </c>
      <c r="G4003" s="9" t="s">
        <v>5090</v>
      </c>
      <c r="H4003" s="9" t="s">
        <v>24371</v>
      </c>
      <c r="I4003" s="9" t="s">
        <v>3245</v>
      </c>
      <c r="J4003" s="9" t="s">
        <v>3246</v>
      </c>
      <c r="K4003" s="4" t="s">
        <v>15175</v>
      </c>
      <c r="L4003" s="13">
        <v>12540</v>
      </c>
      <c r="M4003" t="str">
        <f>VLOOKUP(L4003,[1]Human_BrainSpan!$B$2:$C$4000,2,FALSE)</f>
        <v>Amb</v>
      </c>
    </row>
    <row r="4004" spans="2:13" x14ac:dyDescent="0.25">
      <c r="B4004" s="31" t="s">
        <v>26303</v>
      </c>
      <c r="C4004" s="25" t="s">
        <v>3248</v>
      </c>
      <c r="D4004" s="25" t="s">
        <v>26232</v>
      </c>
      <c r="E4004" s="25"/>
      <c r="F4004" s="9" t="str">
        <f t="shared" si="55"/>
        <v>structure with developmental contribution from neural crest</v>
      </c>
      <c r="G4004" s="9" t="s">
        <v>5090</v>
      </c>
      <c r="H4004" s="9" t="s">
        <v>24372</v>
      </c>
      <c r="I4004" s="9" t="s">
        <v>7477</v>
      </c>
      <c r="J4004" s="9" t="s">
        <v>7478</v>
      </c>
      <c r="K4004" s="4" t="s">
        <v>15175</v>
      </c>
      <c r="L4004" s="13">
        <v>12541</v>
      </c>
      <c r="M4004" t="str">
        <f>VLOOKUP(L4004,[1]Human_BrainSpan!$B$2:$C$4000,2,FALSE)</f>
        <v>AmbC</v>
      </c>
    </row>
    <row r="4005" spans="2:13" x14ac:dyDescent="0.25">
      <c r="B4005" s="31" t="s">
        <v>26303</v>
      </c>
      <c r="C4005" s="25" t="s">
        <v>3248</v>
      </c>
      <c r="D4005" s="25" t="s">
        <v>26232</v>
      </c>
      <c r="E4005" s="25"/>
      <c r="F4005" s="9" t="str">
        <f t="shared" si="55"/>
        <v>structure with developmental contribution from neural crest</v>
      </c>
      <c r="G4005" s="9" t="s">
        <v>5090</v>
      </c>
      <c r="H4005" s="9" t="s">
        <v>24373</v>
      </c>
      <c r="I4005" s="9" t="s">
        <v>7479</v>
      </c>
      <c r="J4005" s="9" t="s">
        <v>7480</v>
      </c>
      <c r="K4005" s="4" t="s">
        <v>15175</v>
      </c>
      <c r="L4005" s="13">
        <v>12542</v>
      </c>
      <c r="M4005" t="str">
        <f>VLOOKUP(L4005,[1]Human_BrainSpan!$B$2:$C$4000,2,FALSE)</f>
        <v>AmbL</v>
      </c>
    </row>
    <row r="4006" spans="2:13" x14ac:dyDescent="0.25">
      <c r="B4006" s="31" t="s">
        <v>26303</v>
      </c>
      <c r="C4006" s="25" t="s">
        <v>3248</v>
      </c>
      <c r="D4006" s="25" t="s">
        <v>26232</v>
      </c>
      <c r="E4006" s="25"/>
      <c r="F4006" s="9" t="str">
        <f t="shared" si="55"/>
        <v>structure with developmental contribution from neural crest</v>
      </c>
      <c r="G4006" s="9" t="s">
        <v>5090</v>
      </c>
      <c r="H4006" s="9" t="s">
        <v>24374</v>
      </c>
      <c r="I4006" s="9" t="s">
        <v>7481</v>
      </c>
      <c r="J4006" s="9" t="s">
        <v>7482</v>
      </c>
      <c r="K4006" s="4" t="s">
        <v>15175</v>
      </c>
      <c r="L4006" s="13">
        <v>12543</v>
      </c>
      <c r="M4006" t="str">
        <f>VLOOKUP(L4006,[1]Human_BrainSpan!$B$2:$C$4000,2,FALSE)</f>
        <v>AmbSC</v>
      </c>
    </row>
    <row r="4007" spans="2:13" x14ac:dyDescent="0.25">
      <c r="B4007" s="31" t="s">
        <v>26303</v>
      </c>
      <c r="C4007" s="25" t="s">
        <v>2411</v>
      </c>
      <c r="D4007" s="25" t="s">
        <v>26232</v>
      </c>
      <c r="E4007" s="25"/>
      <c r="F4007" s="9" t="str">
        <f t="shared" si="55"/>
        <v>structure with developmental contribution from neural crest</v>
      </c>
      <c r="G4007" s="9" t="s">
        <v>5090</v>
      </c>
      <c r="H4007" s="9" t="s">
        <v>24380</v>
      </c>
      <c r="I4007" s="9" t="s">
        <v>2411</v>
      </c>
      <c r="J4007" s="9" t="s">
        <v>2412</v>
      </c>
      <c r="K4007" s="4" t="s">
        <v>15175</v>
      </c>
      <c r="L4007" s="13">
        <v>12544</v>
      </c>
      <c r="M4007" t="str">
        <f>VLOOKUP(L4007,[1]Human_BrainSpan!$B$2:$C$4000,2,FALSE)</f>
        <v>InSV</v>
      </c>
    </row>
    <row r="4008" spans="2:13" x14ac:dyDescent="0.25">
      <c r="B4008" s="31" t="s">
        <v>26303</v>
      </c>
      <c r="C4008" s="25" t="s">
        <v>2327</v>
      </c>
      <c r="D4008" s="25" t="s">
        <v>26232</v>
      </c>
      <c r="E4008" s="25"/>
      <c r="F4008" s="9" t="str">
        <f t="shared" si="55"/>
        <v>structure with developmental contribution from neural crest</v>
      </c>
      <c r="G4008" s="9" t="s">
        <v>5090</v>
      </c>
      <c r="H4008" s="9" t="s">
        <v>24375</v>
      </c>
      <c r="I4008" s="9" t="s">
        <v>2327</v>
      </c>
      <c r="J4008" s="9" t="s">
        <v>2328</v>
      </c>
      <c r="K4008" s="4" t="s">
        <v>15175</v>
      </c>
      <c r="L4008" s="13">
        <v>12545</v>
      </c>
      <c r="M4008" t="str">
        <f>VLOOKUP(L4008,[1]Human_BrainSpan!$B$2:$C$4000,2,FALSE)</f>
        <v>12N</v>
      </c>
    </row>
    <row r="4009" spans="2:13" x14ac:dyDescent="0.25">
      <c r="B4009" s="31" t="s">
        <v>26303</v>
      </c>
      <c r="C4009" s="25" t="s">
        <v>2327</v>
      </c>
      <c r="D4009" s="25" t="s">
        <v>26232</v>
      </c>
      <c r="E4009" s="25"/>
      <c r="F4009" s="9" t="str">
        <f t="shared" si="55"/>
        <v>structure with developmental contribution from neural crest</v>
      </c>
      <c r="G4009" s="9" t="s">
        <v>5090</v>
      </c>
      <c r="H4009" s="9" t="s">
        <v>24376</v>
      </c>
      <c r="I4009" s="9" t="s">
        <v>7483</v>
      </c>
      <c r="J4009" s="9" t="s">
        <v>7484</v>
      </c>
      <c r="K4009" s="4" t="s">
        <v>15175</v>
      </c>
      <c r="L4009" s="13">
        <v>12546</v>
      </c>
      <c r="M4009" t="str">
        <f>VLOOKUP(L4009,[1]Human_BrainSpan!$B$2:$C$4000,2,FALSE)</f>
        <v>12GH</v>
      </c>
    </row>
    <row r="4010" spans="2:13" x14ac:dyDescent="0.25">
      <c r="B4010" s="31" t="s">
        <v>26303</v>
      </c>
      <c r="C4010" s="25" t="s">
        <v>2327</v>
      </c>
      <c r="D4010" s="25" t="s">
        <v>26232</v>
      </c>
      <c r="E4010" s="25"/>
      <c r="F4010" s="9" t="str">
        <f t="shared" si="55"/>
        <v>structure with developmental contribution from neural crest</v>
      </c>
      <c r="G4010" s="9" t="s">
        <v>5090</v>
      </c>
      <c r="H4010" s="9" t="s">
        <v>24377</v>
      </c>
      <c r="I4010" s="9" t="s">
        <v>7485</v>
      </c>
      <c r="J4010" s="9" t="s">
        <v>7486</v>
      </c>
      <c r="K4010" s="4" t="s">
        <v>15175</v>
      </c>
      <c r="L4010" s="13">
        <v>12547</v>
      </c>
      <c r="M4010" t="str">
        <f>VLOOKUP(L4010,[1]Human_BrainSpan!$B$2:$C$4000,2,FALSE)</f>
        <v>12L</v>
      </c>
    </row>
    <row r="4011" spans="2:13" x14ac:dyDescent="0.25">
      <c r="B4011" s="31" t="s">
        <v>26303</v>
      </c>
      <c r="C4011" s="25" t="s">
        <v>2327</v>
      </c>
      <c r="D4011" s="25" t="s">
        <v>26232</v>
      </c>
      <c r="E4011" s="25"/>
      <c r="F4011" s="9" t="str">
        <f t="shared" si="55"/>
        <v>structure with developmental contribution from neural crest</v>
      </c>
      <c r="G4011" s="9" t="s">
        <v>5090</v>
      </c>
      <c r="H4011" s="9" t="s">
        <v>24378</v>
      </c>
      <c r="I4011" s="9" t="s">
        <v>7487</v>
      </c>
      <c r="J4011" s="9" t="s">
        <v>7488</v>
      </c>
      <c r="K4011" s="4" t="s">
        <v>15175</v>
      </c>
      <c r="L4011" s="13">
        <v>12548</v>
      </c>
      <c r="M4011" t="str">
        <f>VLOOKUP(L4011,[1]Human_BrainSpan!$B$2:$C$4000,2,FALSE)</f>
        <v>12M</v>
      </c>
    </row>
    <row r="4012" spans="2:13" x14ac:dyDescent="0.25">
      <c r="B4012" s="31" t="s">
        <v>26303</v>
      </c>
      <c r="C4012" s="25" t="s">
        <v>2327</v>
      </c>
      <c r="D4012" s="25" t="s">
        <v>26232</v>
      </c>
      <c r="E4012" s="25"/>
      <c r="F4012" s="9" t="str">
        <f t="shared" si="55"/>
        <v>structure with developmental contribution from neural crest</v>
      </c>
      <c r="G4012" s="9" t="s">
        <v>5090</v>
      </c>
      <c r="H4012" s="9" t="s">
        <v>24379</v>
      </c>
      <c r="I4012" s="9" t="s">
        <v>7489</v>
      </c>
      <c r="J4012" s="9" t="s">
        <v>7490</v>
      </c>
      <c r="K4012" s="4" t="s">
        <v>15175</v>
      </c>
      <c r="L4012" s="13">
        <v>12549</v>
      </c>
      <c r="M4012" t="str">
        <f>VLOOKUP(L4012,[1]Human_BrainSpan!$B$2:$C$4000,2,FALSE)</f>
        <v>12V</v>
      </c>
    </row>
    <row r="4013" spans="2:13" x14ac:dyDescent="0.25">
      <c r="B4013" s="31" t="s">
        <v>26303</v>
      </c>
      <c r="C4013" s="25" t="s">
        <v>25912</v>
      </c>
      <c r="D4013" s="25" t="s">
        <v>26232</v>
      </c>
      <c r="E4013" s="25"/>
      <c r="F4013" s="9" t="str">
        <f t="shared" si="55"/>
        <v>structure with developmental contribution from neural crest</v>
      </c>
      <c r="G4013" s="9" t="s">
        <v>5090</v>
      </c>
      <c r="H4013" s="9" t="s">
        <v>24381</v>
      </c>
      <c r="I4013" s="9" t="s">
        <v>1546</v>
      </c>
      <c r="J4013" s="9" t="s">
        <v>1547</v>
      </c>
      <c r="K4013" s="4" t="s">
        <v>15175</v>
      </c>
      <c r="L4013" s="13">
        <v>12550</v>
      </c>
      <c r="M4013" t="str">
        <f>VLOOKUP(L4013,[1]Human_BrainSpan!$B$2:$C$4000,2,FALSE)</f>
        <v>10N</v>
      </c>
    </row>
    <row r="4014" spans="2:13" x14ac:dyDescent="0.25">
      <c r="B4014" s="31" t="s">
        <v>26303</v>
      </c>
      <c r="C4014" s="25" t="s">
        <v>25912</v>
      </c>
      <c r="D4014" s="25" t="s">
        <v>26232</v>
      </c>
      <c r="E4014" s="25"/>
      <c r="F4014" s="9" t="str">
        <f t="shared" si="55"/>
        <v>structure with developmental contribution from neural crest</v>
      </c>
      <c r="G4014" s="9" t="s">
        <v>5090</v>
      </c>
      <c r="H4014" s="9" t="s">
        <v>24382</v>
      </c>
      <c r="I4014" s="9" t="s">
        <v>7491</v>
      </c>
      <c r="J4014" s="9" t="s">
        <v>7492</v>
      </c>
      <c r="K4014" s="4" t="s">
        <v>15175</v>
      </c>
      <c r="L4014" s="13">
        <v>12551</v>
      </c>
      <c r="M4014" t="str">
        <f>VLOOKUP(L4014,[1]Human_BrainSpan!$B$2:$C$4000,2,FALSE)</f>
        <v>10CaI</v>
      </c>
    </row>
    <row r="4015" spans="2:13" x14ac:dyDescent="0.25">
      <c r="B4015" s="31" t="s">
        <v>26303</v>
      </c>
      <c r="C4015" s="25" t="s">
        <v>25912</v>
      </c>
      <c r="D4015" s="25" t="s">
        <v>26232</v>
      </c>
      <c r="E4015" s="25"/>
      <c r="F4015" s="9" t="str">
        <f t="shared" si="55"/>
        <v>structure with developmental contribution from neural crest</v>
      </c>
      <c r="G4015" s="9" t="s">
        <v>5090</v>
      </c>
      <c r="H4015" s="9" t="s">
        <v>24383</v>
      </c>
      <c r="I4015" s="9" t="s">
        <v>7493</v>
      </c>
      <c r="J4015" s="9" t="s">
        <v>7494</v>
      </c>
      <c r="K4015" s="4" t="s">
        <v>15175</v>
      </c>
      <c r="L4015" s="13">
        <v>12552</v>
      </c>
      <c r="M4015" t="str">
        <f>VLOOKUP(L4015,[1]Human_BrainSpan!$B$2:$C$4000,2,FALSE)</f>
        <v>10CeI</v>
      </c>
    </row>
    <row r="4016" spans="2:13" x14ac:dyDescent="0.25">
      <c r="B4016" s="31" t="s">
        <v>26303</v>
      </c>
      <c r="C4016" s="25" t="s">
        <v>25912</v>
      </c>
      <c r="D4016" s="25" t="s">
        <v>26232</v>
      </c>
      <c r="E4016" s="25"/>
      <c r="F4016" s="9" t="str">
        <f t="shared" si="55"/>
        <v>structure with developmental contribution from neural crest</v>
      </c>
      <c r="G4016" s="9" t="s">
        <v>5090</v>
      </c>
      <c r="H4016" s="9" t="s">
        <v>24384</v>
      </c>
      <c r="I4016" s="9" t="s">
        <v>7495</v>
      </c>
      <c r="J4016" s="9" t="s">
        <v>7496</v>
      </c>
      <c r="K4016" s="4" t="s">
        <v>15175</v>
      </c>
      <c r="L4016" s="13">
        <v>12553</v>
      </c>
      <c r="M4016" t="str">
        <f>VLOOKUP(L4016,[1]Human_BrainSpan!$B$2:$C$4000,2,FALSE)</f>
        <v>10DI</v>
      </c>
    </row>
    <row r="4017" spans="2:13" x14ac:dyDescent="0.25">
      <c r="B4017" s="31" t="s">
        <v>26303</v>
      </c>
      <c r="C4017" s="25" t="s">
        <v>25912</v>
      </c>
      <c r="D4017" s="25" t="s">
        <v>26232</v>
      </c>
      <c r="E4017" s="25"/>
      <c r="F4017" s="9" t="str">
        <f t="shared" si="55"/>
        <v>structure with developmental contribution from neural crest</v>
      </c>
      <c r="G4017" s="9" t="s">
        <v>5090</v>
      </c>
      <c r="H4017" s="9" t="s">
        <v>24385</v>
      </c>
      <c r="I4017" s="9" t="s">
        <v>7497</v>
      </c>
      <c r="J4017" s="9" t="s">
        <v>7498</v>
      </c>
      <c r="K4017" s="4" t="s">
        <v>15175</v>
      </c>
      <c r="L4017" s="13">
        <v>12554</v>
      </c>
      <c r="M4017" t="str">
        <f>VLOOKUP(L4017,[1]Human_BrainSpan!$B$2:$C$4000,2,FALSE)</f>
        <v>10DR</v>
      </c>
    </row>
    <row r="4018" spans="2:13" x14ac:dyDescent="0.25">
      <c r="B4018" s="31" t="s">
        <v>26303</v>
      </c>
      <c r="C4018" s="25" t="s">
        <v>25912</v>
      </c>
      <c r="D4018" s="25" t="s">
        <v>26232</v>
      </c>
      <c r="E4018" s="25"/>
      <c r="F4018" s="9" t="str">
        <f t="shared" si="55"/>
        <v>structure with developmental contribution from neural crest</v>
      </c>
      <c r="G4018" s="9" t="s">
        <v>5090</v>
      </c>
      <c r="H4018" s="9" t="s">
        <v>24386</v>
      </c>
      <c r="I4018" s="9" t="s">
        <v>7499</v>
      </c>
      <c r="J4018" s="9" t="s">
        <v>7500</v>
      </c>
      <c r="K4018" s="4" t="s">
        <v>15175</v>
      </c>
      <c r="L4018" s="13">
        <v>12555</v>
      </c>
      <c r="M4018" t="str">
        <f>VLOOKUP(L4018,[1]Human_BrainSpan!$B$2:$C$4000,2,FALSE)</f>
        <v>10F</v>
      </c>
    </row>
    <row r="4019" spans="2:13" x14ac:dyDescent="0.25">
      <c r="B4019" s="31" t="s">
        <v>26303</v>
      </c>
      <c r="C4019" s="20"/>
      <c r="D4019" s="25" t="s">
        <v>26185</v>
      </c>
      <c r="E4019" s="25" t="s">
        <v>26300</v>
      </c>
      <c r="F4019" s="9" t="str">
        <f t="shared" si="55"/>
        <v>structure with developmental contribution from neural crest</v>
      </c>
      <c r="G4019" s="9" t="s">
        <v>5090</v>
      </c>
      <c r="H4019" s="9" t="s">
        <v>24389</v>
      </c>
      <c r="I4019" s="9" t="s">
        <v>7501</v>
      </c>
      <c r="J4019" s="9" t="s">
        <v>7502</v>
      </c>
      <c r="K4019" s="4" t="s">
        <v>15175</v>
      </c>
      <c r="L4019" s="13">
        <v>12556</v>
      </c>
      <c r="M4019" t="str">
        <f>VLOOKUP(L4019,[1]Human_BrainSpan!$B$2:$C$4000,2,FALSE)</f>
        <v>MoAN</v>
      </c>
    </row>
    <row r="4020" spans="2:13" x14ac:dyDescent="0.25">
      <c r="B4020" s="31" t="s">
        <v>26303</v>
      </c>
      <c r="C4020" s="25" t="s">
        <v>26061</v>
      </c>
      <c r="D4020" s="25" t="s">
        <v>26232</v>
      </c>
      <c r="E4020" s="25"/>
      <c r="F4020" s="9" t="str">
        <f t="shared" si="55"/>
        <v>structure with developmental contribution from neural crest</v>
      </c>
      <c r="G4020" s="9" t="s">
        <v>5090</v>
      </c>
      <c r="H4020" s="9" t="s">
        <v>24390</v>
      </c>
      <c r="I4020" s="9" t="s">
        <v>3312</v>
      </c>
      <c r="J4020" s="9" t="s">
        <v>3313</v>
      </c>
      <c r="K4020" s="4" t="s">
        <v>15175</v>
      </c>
      <c r="L4020" s="13">
        <v>12557</v>
      </c>
      <c r="M4020" t="str">
        <f>VLOOKUP(L4020,[1]Human_BrainSpan!$B$2:$C$4000,2,FALSE)</f>
        <v>Sol</v>
      </c>
    </row>
    <row r="4021" spans="2:13" x14ac:dyDescent="0.25">
      <c r="B4021" s="31" t="s">
        <v>26303</v>
      </c>
      <c r="C4021" s="25" t="s">
        <v>26061</v>
      </c>
      <c r="D4021" s="25" t="s">
        <v>26232</v>
      </c>
      <c r="E4021" s="25"/>
      <c r="F4021" s="9" t="str">
        <f t="shared" si="55"/>
        <v>structure with developmental contribution from neural crest</v>
      </c>
      <c r="G4021" s="9" t="s">
        <v>5090</v>
      </c>
      <c r="H4021" s="9" t="s">
        <v>24391</v>
      </c>
      <c r="I4021" s="9" t="s">
        <v>7503</v>
      </c>
      <c r="J4021" s="9" t="s">
        <v>7504</v>
      </c>
      <c r="K4021" s="4" t="s">
        <v>15175</v>
      </c>
      <c r="L4021" s="13">
        <v>12558</v>
      </c>
      <c r="M4021" t="str">
        <f>VLOOKUP(L4021,[1]Human_BrainSpan!$B$2:$C$4000,2,FALSE)</f>
        <v>SolC</v>
      </c>
    </row>
    <row r="4022" spans="2:13" x14ac:dyDescent="0.25">
      <c r="B4022" s="31" t="s">
        <v>26303</v>
      </c>
      <c r="C4022" s="25" t="s">
        <v>26061</v>
      </c>
      <c r="D4022" s="25" t="s">
        <v>26232</v>
      </c>
      <c r="E4022" s="25"/>
      <c r="F4022" s="9" t="str">
        <f t="shared" si="55"/>
        <v>structure with developmental contribution from neural crest</v>
      </c>
      <c r="G4022" s="9" t="s">
        <v>5090</v>
      </c>
      <c r="H4022" s="9" t="s">
        <v>24392</v>
      </c>
      <c r="I4022" s="9" t="s">
        <v>7505</v>
      </c>
      <c r="J4022" s="9" t="s">
        <v>7506</v>
      </c>
      <c r="K4022" s="4" t="s">
        <v>15175</v>
      </c>
      <c r="L4022" s="13">
        <v>12559</v>
      </c>
      <c r="M4022" t="str">
        <f>VLOOKUP(L4022,[1]Human_BrainSpan!$B$2:$C$4000,2,FALSE)</f>
        <v>SolD</v>
      </c>
    </row>
    <row r="4023" spans="2:13" x14ac:dyDescent="0.25">
      <c r="B4023" s="31" t="s">
        <v>26303</v>
      </c>
      <c r="C4023" s="25" t="s">
        <v>26061</v>
      </c>
      <c r="D4023" s="25" t="s">
        <v>26232</v>
      </c>
      <c r="E4023" s="25"/>
      <c r="F4023" s="9" t="str">
        <f t="shared" ref="F4023:F4086" si="56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4023" s="9" t="s">
        <v>5090</v>
      </c>
      <c r="H4023" s="9" t="s">
        <v>24393</v>
      </c>
      <c r="I4023" s="9" t="s">
        <v>7507</v>
      </c>
      <c r="J4023" s="9" t="s">
        <v>7508</v>
      </c>
      <c r="K4023" s="4" t="s">
        <v>15175</v>
      </c>
      <c r="L4023" s="13">
        <v>12560</v>
      </c>
      <c r="M4023" t="str">
        <f>VLOOKUP(L4023,[1]Human_BrainSpan!$B$2:$C$4000,2,FALSE)</f>
        <v>SolDL</v>
      </c>
    </row>
    <row r="4024" spans="2:13" x14ac:dyDescent="0.25">
      <c r="B4024" s="31" t="s">
        <v>26303</v>
      </c>
      <c r="C4024" s="25" t="s">
        <v>26061</v>
      </c>
      <c r="D4024" s="25" t="s">
        <v>26232</v>
      </c>
      <c r="E4024" s="25"/>
      <c r="F4024" s="9" t="str">
        <f t="shared" si="56"/>
        <v>structure with developmental contribution from neural crest</v>
      </c>
      <c r="G4024" s="9" t="s">
        <v>5090</v>
      </c>
      <c r="H4024" s="9" t="s">
        <v>24394</v>
      </c>
      <c r="I4024" s="9" t="s">
        <v>7509</v>
      </c>
      <c r="J4024" s="9" t="s">
        <v>7510</v>
      </c>
      <c r="K4024" s="4" t="s">
        <v>15175</v>
      </c>
      <c r="L4024" s="13">
        <v>12561</v>
      </c>
      <c r="M4024" t="str">
        <f>VLOOKUP(L4024,[1]Human_BrainSpan!$B$2:$C$4000,2,FALSE)</f>
        <v>SolG</v>
      </c>
    </row>
    <row r="4025" spans="2:13" x14ac:dyDescent="0.25">
      <c r="B4025" s="31" t="s">
        <v>26303</v>
      </c>
      <c r="C4025" s="25" t="s">
        <v>26061</v>
      </c>
      <c r="D4025" s="25" t="s">
        <v>26232</v>
      </c>
      <c r="E4025" s="25"/>
      <c r="F4025" s="9" t="str">
        <f t="shared" si="56"/>
        <v>structure with developmental contribution from neural crest</v>
      </c>
      <c r="G4025" s="9" t="s">
        <v>5090</v>
      </c>
      <c r="H4025" s="9" t="s">
        <v>24395</v>
      </c>
      <c r="I4025" s="9" t="s">
        <v>7511</v>
      </c>
      <c r="J4025" s="9" t="s">
        <v>7512</v>
      </c>
      <c r="K4025" s="4" t="s">
        <v>15175</v>
      </c>
      <c r="L4025" s="13">
        <v>12562</v>
      </c>
      <c r="M4025" t="str">
        <f>VLOOKUP(L4025,[1]Human_BrainSpan!$B$2:$C$4000,2,FALSE)</f>
        <v>SolIM</v>
      </c>
    </row>
    <row r="4026" spans="2:13" x14ac:dyDescent="0.25">
      <c r="B4026" s="31" t="s">
        <v>26303</v>
      </c>
      <c r="C4026" s="25" t="s">
        <v>26061</v>
      </c>
      <c r="D4026" s="25" t="s">
        <v>26232</v>
      </c>
      <c r="E4026" s="25"/>
      <c r="F4026" s="9" t="str">
        <f t="shared" si="56"/>
        <v>structure with developmental contribution from neural crest</v>
      </c>
      <c r="G4026" s="9" t="s">
        <v>5090</v>
      </c>
      <c r="H4026" s="9" t="s">
        <v>24396</v>
      </c>
      <c r="I4026" s="9" t="s">
        <v>7513</v>
      </c>
      <c r="J4026" s="9" t="s">
        <v>7514</v>
      </c>
      <c r="K4026" s="4" t="s">
        <v>15175</v>
      </c>
      <c r="L4026" s="13">
        <v>12563</v>
      </c>
      <c r="M4026" t="str">
        <f>VLOOKUP(L4026,[1]Human_BrainSpan!$B$2:$C$4000,2,FALSE)</f>
        <v>SolI</v>
      </c>
    </row>
    <row r="4027" spans="2:13" x14ac:dyDescent="0.25">
      <c r="B4027" s="31" t="s">
        <v>26303</v>
      </c>
      <c r="C4027" s="25" t="s">
        <v>26061</v>
      </c>
      <c r="D4027" s="25" t="s">
        <v>26232</v>
      </c>
      <c r="E4027" s="25"/>
      <c r="F4027" s="9" t="str">
        <f t="shared" si="56"/>
        <v>structure with developmental contribution from neural crest</v>
      </c>
      <c r="G4027" s="9" t="s">
        <v>5090</v>
      </c>
      <c r="H4027" s="9" t="s">
        <v>24397</v>
      </c>
      <c r="I4027" s="9" t="s">
        <v>7515</v>
      </c>
      <c r="J4027" s="9" t="s">
        <v>7516</v>
      </c>
      <c r="K4027" s="4" t="s">
        <v>15175</v>
      </c>
      <c r="L4027" s="13">
        <v>12564</v>
      </c>
      <c r="M4027" t="str">
        <f>VLOOKUP(L4027,[1]Human_BrainSpan!$B$2:$C$4000,2,FALSE)</f>
        <v>SolIc</v>
      </c>
    </row>
    <row r="4028" spans="2:13" x14ac:dyDescent="0.25">
      <c r="B4028" s="31" t="s">
        <v>26303</v>
      </c>
      <c r="C4028" s="25" t="s">
        <v>26061</v>
      </c>
      <c r="D4028" s="25" t="s">
        <v>26232</v>
      </c>
      <c r="E4028" s="25"/>
      <c r="F4028" s="9" t="str">
        <f t="shared" si="56"/>
        <v>structure with developmental contribution from neural crest</v>
      </c>
      <c r="G4028" s="9" t="s">
        <v>5090</v>
      </c>
      <c r="H4028" s="9" t="s">
        <v>24398</v>
      </c>
      <c r="I4028" s="9" t="s">
        <v>7517</v>
      </c>
      <c r="J4028" s="9" t="s">
        <v>7518</v>
      </c>
      <c r="K4028" s="4" t="s">
        <v>15175</v>
      </c>
      <c r="L4028" s="13">
        <v>12565</v>
      </c>
      <c r="M4028" t="str">
        <f>VLOOKUP(L4028,[1]Human_BrainSpan!$B$2:$C$4000,2,FALSE)</f>
        <v>SolIr</v>
      </c>
    </row>
    <row r="4029" spans="2:13" x14ac:dyDescent="0.25">
      <c r="B4029" s="31" t="s">
        <v>26303</v>
      </c>
      <c r="C4029" s="25" t="s">
        <v>26030</v>
      </c>
      <c r="D4029" s="25" t="s">
        <v>26232</v>
      </c>
      <c r="E4029" s="25"/>
      <c r="F4029" s="9" t="str">
        <f t="shared" si="56"/>
        <v>structure with developmental contribution from neural crest</v>
      </c>
      <c r="G4029" s="9" t="s">
        <v>5090</v>
      </c>
      <c r="H4029" s="9" t="s">
        <v>24399</v>
      </c>
      <c r="I4029" s="9" t="s">
        <v>7519</v>
      </c>
      <c r="J4029" s="9" t="s">
        <v>7520</v>
      </c>
      <c r="K4029" s="4" t="s">
        <v>15175</v>
      </c>
      <c r="L4029" s="13">
        <v>12566</v>
      </c>
      <c r="M4029" t="str">
        <f>VLOOKUP(L4029,[1]Human_BrainSpan!$B$2:$C$4000,2,FALSE)</f>
        <v>SolM</v>
      </c>
    </row>
    <row r="4030" spans="2:13" x14ac:dyDescent="0.25">
      <c r="B4030" s="31" t="s">
        <v>26303</v>
      </c>
      <c r="C4030" s="25" t="s">
        <v>26061</v>
      </c>
      <c r="D4030" s="25" t="s">
        <v>26232</v>
      </c>
      <c r="E4030" s="25"/>
      <c r="F4030" s="9" t="str">
        <f t="shared" si="56"/>
        <v>structure with developmental contribution from neural crest</v>
      </c>
      <c r="G4030" s="9" t="s">
        <v>5090</v>
      </c>
      <c r="H4030" s="9" t="s">
        <v>24400</v>
      </c>
      <c r="I4030" s="9" t="s">
        <v>7521</v>
      </c>
      <c r="J4030" s="9" t="s">
        <v>7522</v>
      </c>
      <c r="K4030" s="4" t="s">
        <v>15175</v>
      </c>
      <c r="L4030" s="13">
        <v>12567</v>
      </c>
      <c r="M4030" t="str">
        <f>VLOOKUP(L4030,[1]Human_BrainSpan!$B$2:$C$4000,2,FALSE)</f>
        <v>SolPaC</v>
      </c>
    </row>
    <row r="4031" spans="2:13" x14ac:dyDescent="0.25">
      <c r="B4031" s="31" t="s">
        <v>26303</v>
      </c>
      <c r="C4031" s="25" t="s">
        <v>26061</v>
      </c>
      <c r="D4031" s="25" t="s">
        <v>26232</v>
      </c>
      <c r="E4031" s="25"/>
      <c r="F4031" s="9" t="str">
        <f t="shared" si="56"/>
        <v>structure with developmental contribution from neural crest</v>
      </c>
      <c r="G4031" s="9" t="s">
        <v>5090</v>
      </c>
      <c r="H4031" s="9" t="s">
        <v>24401</v>
      </c>
      <c r="I4031" s="9" t="s">
        <v>7523</v>
      </c>
      <c r="J4031" s="9" t="s">
        <v>7524</v>
      </c>
      <c r="K4031" s="4" t="s">
        <v>15175</v>
      </c>
      <c r="L4031" s="13">
        <v>12568</v>
      </c>
      <c r="M4031" t="str">
        <f>VLOOKUP(L4031,[1]Human_BrainSpan!$B$2:$C$4000,2,FALSE)</f>
        <v>SolV</v>
      </c>
    </row>
    <row r="4032" spans="2:13" x14ac:dyDescent="0.25">
      <c r="B4032" s="31" t="s">
        <v>26303</v>
      </c>
      <c r="C4032" s="20"/>
      <c r="D4032" s="25" t="s">
        <v>26232</v>
      </c>
      <c r="E4032" s="25" t="s">
        <v>26300</v>
      </c>
      <c r="F4032" s="9" t="str">
        <f t="shared" si="56"/>
        <v>structure with developmental contribution from neural crest</v>
      </c>
      <c r="G4032" s="9" t="s">
        <v>5090</v>
      </c>
      <c r="H4032" s="9" t="s">
        <v>24403</v>
      </c>
      <c r="I4032" s="9" t="s">
        <v>7525</v>
      </c>
      <c r="J4032" s="9" t="s">
        <v>7526</v>
      </c>
      <c r="K4032" s="4" t="s">
        <v>15175</v>
      </c>
      <c r="L4032" s="13">
        <v>12570</v>
      </c>
      <c r="M4032" t="str">
        <f>VLOOKUP(L4032,[1]Human_BrainSpan!$B$2:$C$4000,2,FALSE)</f>
        <v>SSol</v>
      </c>
    </row>
    <row r="4033" spans="2:13" x14ac:dyDescent="0.25">
      <c r="B4033" s="31" t="s">
        <v>26303</v>
      </c>
      <c r="C4033" s="25" t="s">
        <v>26225</v>
      </c>
      <c r="D4033" s="25" t="s">
        <v>26232</v>
      </c>
      <c r="E4033" s="25"/>
      <c r="F4033" s="9" t="str">
        <f t="shared" si="56"/>
        <v>structure with developmental contribution from neural crest</v>
      </c>
      <c r="G4033" s="9" t="s">
        <v>5090</v>
      </c>
      <c r="H4033" s="9" t="s">
        <v>24405</v>
      </c>
      <c r="I4033" s="9" t="s">
        <v>4997</v>
      </c>
      <c r="J4033" s="9" t="s">
        <v>4998</v>
      </c>
      <c r="K4033" s="4" t="s">
        <v>15175</v>
      </c>
      <c r="L4033" s="13">
        <v>12572</v>
      </c>
      <c r="M4033" t="str">
        <f>VLOOKUP(L4033,[1]Human_BrainSpan!$B$2:$C$4000,2,FALSE)</f>
        <v>Sp5</v>
      </c>
    </row>
    <row r="4034" spans="2:13" x14ac:dyDescent="0.25">
      <c r="B4034" s="31" t="s">
        <v>26303</v>
      </c>
      <c r="C4034" s="25" t="s">
        <v>25822</v>
      </c>
      <c r="D4034" s="25" t="s">
        <v>26232</v>
      </c>
      <c r="E4034" s="25" t="s">
        <v>26306</v>
      </c>
      <c r="F4034" s="9" t="str">
        <f t="shared" si="56"/>
        <v>structure with developmental contribution from neural crest</v>
      </c>
      <c r="G4034" s="9" t="s">
        <v>5090</v>
      </c>
      <c r="H4034" s="9" t="s">
        <v>24407</v>
      </c>
      <c r="I4034" s="9" t="s">
        <v>7527</v>
      </c>
      <c r="J4034" s="9" t="s">
        <v>7528</v>
      </c>
      <c r="K4034" s="4" t="s">
        <v>15175</v>
      </c>
      <c r="L4034" s="13">
        <v>12574</v>
      </c>
      <c r="M4034" t="str">
        <f>VLOOKUP(L4034,[1]Human_BrainSpan!$B$2:$C$4000,2,FALSE)</f>
        <v>Sp5C1</v>
      </c>
    </row>
    <row r="4035" spans="2:13" x14ac:dyDescent="0.25">
      <c r="B4035" s="31" t="s">
        <v>26303</v>
      </c>
      <c r="C4035" s="25" t="s">
        <v>25822</v>
      </c>
      <c r="D4035" s="25" t="s">
        <v>26232</v>
      </c>
      <c r="E4035" s="25" t="s">
        <v>26306</v>
      </c>
      <c r="F4035" s="9" t="str">
        <f t="shared" si="56"/>
        <v>structure with developmental contribution from neural crest</v>
      </c>
      <c r="G4035" s="9" t="s">
        <v>5090</v>
      </c>
      <c r="H4035" s="9" t="s">
        <v>24408</v>
      </c>
      <c r="I4035" s="9" t="s">
        <v>7529</v>
      </c>
      <c r="J4035" s="9" t="s">
        <v>7530</v>
      </c>
      <c r="K4035" s="4" t="s">
        <v>15175</v>
      </c>
      <c r="L4035" s="13">
        <v>12575</v>
      </c>
      <c r="M4035" t="str">
        <f>VLOOKUP(L4035,[1]Human_BrainSpan!$B$2:$C$4000,2,FALSE)</f>
        <v>Sp5C2</v>
      </c>
    </row>
    <row r="4036" spans="2:13" x14ac:dyDescent="0.25">
      <c r="B4036" s="31" t="s">
        <v>26303</v>
      </c>
      <c r="C4036" s="25" t="s">
        <v>25822</v>
      </c>
      <c r="D4036" s="25" t="s">
        <v>26232</v>
      </c>
      <c r="E4036" s="25" t="s">
        <v>26306</v>
      </c>
      <c r="F4036" s="9" t="str">
        <f t="shared" si="56"/>
        <v>structure with developmental contribution from neural crest</v>
      </c>
      <c r="G4036" s="9" t="s">
        <v>5090</v>
      </c>
      <c r="H4036" s="9" t="s">
        <v>24409</v>
      </c>
      <c r="I4036" s="9" t="s">
        <v>7531</v>
      </c>
      <c r="J4036" s="9" t="s">
        <v>7532</v>
      </c>
      <c r="K4036" s="4" t="s">
        <v>15175</v>
      </c>
      <c r="L4036" s="13">
        <v>12576</v>
      </c>
      <c r="M4036" t="str">
        <f>VLOOKUP(L4036,[1]Human_BrainSpan!$B$2:$C$4000,2,FALSE)</f>
        <v>SP5C3/4</v>
      </c>
    </row>
    <row r="4037" spans="2:13" x14ac:dyDescent="0.25">
      <c r="B4037" s="31" t="s">
        <v>26303</v>
      </c>
      <c r="C4037" s="25" t="s">
        <v>26225</v>
      </c>
      <c r="D4037" s="25" t="s">
        <v>26185</v>
      </c>
      <c r="E4037" s="25" t="s">
        <v>26300</v>
      </c>
      <c r="F4037" s="9" t="str">
        <f t="shared" si="56"/>
        <v>structure with developmental contribution from neural crest</v>
      </c>
      <c r="G4037" s="9" t="s">
        <v>5090</v>
      </c>
      <c r="H4037" s="9" t="s">
        <v>24410</v>
      </c>
      <c r="I4037" s="9" t="s">
        <v>7533</v>
      </c>
      <c r="J4037" s="9" t="s">
        <v>7534</v>
      </c>
      <c r="K4037" s="4" t="s">
        <v>15175</v>
      </c>
      <c r="L4037" s="13">
        <v>12577</v>
      </c>
      <c r="M4037" t="str">
        <f>VLOOKUP(L4037,[1]Human_BrainSpan!$B$2:$C$4000,2,FALSE)</f>
        <v>DM5</v>
      </c>
    </row>
    <row r="4038" spans="2:13" x14ac:dyDescent="0.25">
      <c r="B4038" s="31" t="s">
        <v>26303</v>
      </c>
      <c r="C4038" s="20"/>
      <c r="D4038" s="25" t="s">
        <v>26232</v>
      </c>
      <c r="E4038" s="25" t="s">
        <v>26300</v>
      </c>
      <c r="F4038" s="9" t="str">
        <f t="shared" si="56"/>
        <v>structure with developmental contribution from neural crest</v>
      </c>
      <c r="G4038" s="9" t="s">
        <v>5090</v>
      </c>
      <c r="H4038" s="9" t="s">
        <v>24412</v>
      </c>
      <c r="I4038" s="9" t="s">
        <v>7535</v>
      </c>
      <c r="J4038" s="9" t="s">
        <v>7536</v>
      </c>
      <c r="K4038" s="4" t="s">
        <v>15175</v>
      </c>
      <c r="L4038" s="13">
        <v>12579</v>
      </c>
      <c r="M4038" t="str">
        <f>VLOOKUP(L4038,[1]Human_BrainSpan!$B$2:$C$4000,2,FALSE)</f>
        <v>8Ve</v>
      </c>
    </row>
    <row r="4039" spans="2:13" x14ac:dyDescent="0.25">
      <c r="B4039" s="31" t="s">
        <v>26299</v>
      </c>
      <c r="C4039" s="25" t="s">
        <v>15125</v>
      </c>
      <c r="D4039" s="25" t="s">
        <v>26232</v>
      </c>
      <c r="E4039" s="25"/>
      <c r="F4039" s="9" t="str">
        <f t="shared" si="56"/>
        <v>structure with developmental contribution from neural crest</v>
      </c>
      <c r="G4039" s="9" t="s">
        <v>5090</v>
      </c>
      <c r="H4039" s="9" t="s">
        <v>24413</v>
      </c>
      <c r="I4039" s="9" t="s">
        <v>7537</v>
      </c>
      <c r="J4039" s="9" t="s">
        <v>7538</v>
      </c>
      <c r="K4039" s="4" t="s">
        <v>15175</v>
      </c>
      <c r="L4039" s="13">
        <v>12580</v>
      </c>
      <c r="M4039" t="str">
        <f>VLOOKUP(L4039,[1]Human_BrainSpan!$B$2:$C$4000,2,FALSE)</f>
        <v>I8</v>
      </c>
    </row>
    <row r="4040" spans="2:13" x14ac:dyDescent="0.25">
      <c r="B4040" s="31" t="s">
        <v>26303</v>
      </c>
      <c r="C4040" s="25" t="s">
        <v>3042</v>
      </c>
      <c r="D4040" s="25" t="s">
        <v>26232</v>
      </c>
      <c r="E4040" s="25"/>
      <c r="F4040" s="9" t="str">
        <f t="shared" si="56"/>
        <v>structure with developmental contribution from neural crest</v>
      </c>
      <c r="G4040" s="9" t="s">
        <v>5090</v>
      </c>
      <c r="H4040" s="9" t="s">
        <v>24414</v>
      </c>
      <c r="I4040" s="9" t="s">
        <v>3042</v>
      </c>
      <c r="J4040" s="9" t="s">
        <v>3043</v>
      </c>
      <c r="K4040" s="4" t="s">
        <v>15175</v>
      </c>
      <c r="L4040" s="13">
        <v>12581</v>
      </c>
      <c r="M4040" t="str">
        <f>VLOOKUP(L4040,[1]Human_BrainSpan!$B$2:$C$4000,2,FALSE)</f>
        <v>MVe</v>
      </c>
    </row>
    <row r="4041" spans="2:13" x14ac:dyDescent="0.25">
      <c r="B4041" s="31" t="s">
        <v>26303</v>
      </c>
      <c r="C4041" s="25" t="s">
        <v>3042</v>
      </c>
      <c r="D4041" s="25" t="s">
        <v>26232</v>
      </c>
      <c r="E4041" s="25"/>
      <c r="F4041" s="9" t="str">
        <f t="shared" si="56"/>
        <v>structure with developmental contribution from neural crest</v>
      </c>
      <c r="G4041" s="9" t="s">
        <v>5090</v>
      </c>
      <c r="H4041" s="9" t="s">
        <v>24415</v>
      </c>
      <c r="I4041" s="9" t="s">
        <v>7539</v>
      </c>
      <c r="J4041" s="9" t="s">
        <v>7540</v>
      </c>
      <c r="K4041" s="4" t="s">
        <v>15175</v>
      </c>
      <c r="L4041" s="13">
        <v>12582</v>
      </c>
      <c r="M4041" t="str">
        <f>VLOOKUP(L4041,[1]Human_BrainSpan!$B$2:$C$4000,2,FALSE)</f>
        <v>MVeMC</v>
      </c>
    </row>
    <row r="4042" spans="2:13" x14ac:dyDescent="0.25">
      <c r="B4042" s="31" t="s">
        <v>26303</v>
      </c>
      <c r="C4042" s="25" t="s">
        <v>3042</v>
      </c>
      <c r="D4042" s="25" t="s">
        <v>26232</v>
      </c>
      <c r="E4042" s="25"/>
      <c r="F4042" s="9" t="str">
        <f t="shared" si="56"/>
        <v>structure with developmental contribution from neural crest</v>
      </c>
      <c r="G4042" s="9" t="s">
        <v>5090</v>
      </c>
      <c r="H4042" s="9" t="s">
        <v>24416</v>
      </c>
      <c r="I4042" s="9" t="s">
        <v>7541</v>
      </c>
      <c r="J4042" s="9" t="s">
        <v>7542</v>
      </c>
      <c r="K4042" s="4" t="s">
        <v>15175</v>
      </c>
      <c r="L4042" s="13">
        <v>12583</v>
      </c>
      <c r="M4042" t="str">
        <f>VLOOKUP(L4042,[1]Human_BrainSpan!$B$2:$C$4000,2,FALSE)</f>
        <v>MVePC</v>
      </c>
    </row>
    <row r="4043" spans="2:13" x14ac:dyDescent="0.25">
      <c r="B4043" s="31" t="s">
        <v>26303</v>
      </c>
      <c r="C4043" s="20"/>
      <c r="D4043" s="25" t="s">
        <v>26232</v>
      </c>
      <c r="E4043" s="25" t="s">
        <v>26300</v>
      </c>
      <c r="F4043" s="9" t="str">
        <f t="shared" si="56"/>
        <v>structure with developmental contribution from neural crest</v>
      </c>
      <c r="G4043" s="9" t="s">
        <v>5090</v>
      </c>
      <c r="H4043" s="9" t="s">
        <v>17712</v>
      </c>
      <c r="I4043" s="9" t="s">
        <v>7543</v>
      </c>
      <c r="J4043" s="9" t="s">
        <v>7544</v>
      </c>
      <c r="K4043" s="4" t="s">
        <v>15175</v>
      </c>
      <c r="L4043" s="13">
        <v>12584</v>
      </c>
      <c r="M4043" t="str">
        <f>VLOOKUP(L4043,[1]Human_BrainSpan!$B$2:$C$4000,2,FALSE)</f>
        <v>EVe</v>
      </c>
    </row>
    <row r="4044" spans="2:13" x14ac:dyDescent="0.25">
      <c r="B4044" s="31" t="s">
        <v>25743</v>
      </c>
      <c r="C4044" s="25" t="s">
        <v>25970</v>
      </c>
      <c r="D4044" s="25" t="s">
        <v>26232</v>
      </c>
      <c r="E4044" s="25"/>
      <c r="F4044" s="9" t="str">
        <f t="shared" si="56"/>
        <v>structure with developmental contribution from neural crest</v>
      </c>
      <c r="G4044" s="9" t="s">
        <v>5090</v>
      </c>
      <c r="H4044" s="9" t="s">
        <v>24417</v>
      </c>
      <c r="I4044" s="9" t="s">
        <v>7545</v>
      </c>
      <c r="J4044" s="9" t="s">
        <v>7546</v>
      </c>
      <c r="K4044" s="4" t="s">
        <v>15175</v>
      </c>
      <c r="L4044" s="13">
        <v>12585</v>
      </c>
      <c r="M4044" t="str">
        <f>VLOOKUP(L4044,[1]Human_BrainSpan!$B$2:$C$4000,2,FALSE)</f>
        <v>SpVe</v>
      </c>
    </row>
    <row r="4045" spans="2:13" x14ac:dyDescent="0.25">
      <c r="B4045" s="31" t="s">
        <v>26303</v>
      </c>
      <c r="C4045" s="20"/>
      <c r="D4045" s="25" t="s">
        <v>26232</v>
      </c>
      <c r="E4045" s="25" t="s">
        <v>26300</v>
      </c>
      <c r="F4045" s="9" t="str">
        <f t="shared" si="56"/>
        <v>structure with developmental contribution from neural crest</v>
      </c>
      <c r="G4045" s="9" t="s">
        <v>5090</v>
      </c>
      <c r="H4045" s="9" t="s">
        <v>24418</v>
      </c>
      <c r="I4045" s="9" t="s">
        <v>7547</v>
      </c>
      <c r="J4045" s="9" t="s">
        <v>7548</v>
      </c>
      <c r="K4045" s="4" t="s">
        <v>15175</v>
      </c>
      <c r="L4045" s="13">
        <v>12586</v>
      </c>
      <c r="M4045" t="str">
        <f>VLOOKUP(L4045,[1]Human_BrainSpan!$B$2:$C$4000,2,FALSE)</f>
        <v>PaVe</v>
      </c>
    </row>
    <row r="4046" spans="2:13" x14ac:dyDescent="0.25">
      <c r="B4046" s="31" t="s">
        <v>26303</v>
      </c>
      <c r="C4046" s="20"/>
      <c r="D4046" s="25" t="s">
        <v>26232</v>
      </c>
      <c r="E4046" s="25" t="s">
        <v>26300</v>
      </c>
      <c r="F4046" s="9" t="str">
        <f t="shared" si="56"/>
        <v>structure with developmental contribution from neural crest</v>
      </c>
      <c r="G4046" s="9" t="s">
        <v>5090</v>
      </c>
      <c r="H4046" s="9" t="s">
        <v>24419</v>
      </c>
      <c r="I4046" s="9" t="s">
        <v>7549</v>
      </c>
      <c r="J4046" s="9" t="s">
        <v>7550</v>
      </c>
      <c r="K4046" s="4" t="s">
        <v>15175</v>
      </c>
      <c r="L4046" s="13">
        <v>12587</v>
      </c>
      <c r="M4046" t="str">
        <f>VLOOKUP(L4046,[1]Human_BrainSpan!$B$2:$C$4000,2,FALSE)</f>
        <v>MoSR</v>
      </c>
    </row>
    <row r="4047" spans="2:13" x14ac:dyDescent="0.25">
      <c r="B4047" s="31" t="s">
        <v>26303</v>
      </c>
      <c r="C4047" s="25" t="s">
        <v>180</v>
      </c>
      <c r="D4047" s="25" t="s">
        <v>26185</v>
      </c>
      <c r="E4047" s="25" t="s">
        <v>26300</v>
      </c>
      <c r="F4047" s="9" t="str">
        <f t="shared" si="56"/>
        <v>structure with developmental contribution from neural crest</v>
      </c>
      <c r="G4047" s="9" t="s">
        <v>5090</v>
      </c>
      <c r="H4047" s="9" t="s">
        <v>24420</v>
      </c>
      <c r="I4047" s="9" t="s">
        <v>7551</v>
      </c>
      <c r="J4047" s="9" t="s">
        <v>7552</v>
      </c>
      <c r="K4047" s="4" t="s">
        <v>15175</v>
      </c>
      <c r="L4047" s="13">
        <v>12588</v>
      </c>
      <c r="M4047" t="str">
        <f>VLOOKUP(L4047,[1]Human_BrainSpan!$B$2:$C$4000,2,FALSE)</f>
        <v>ECu</v>
      </c>
    </row>
    <row r="4048" spans="2:13" x14ac:dyDescent="0.25">
      <c r="B4048" s="31" t="s">
        <v>26303</v>
      </c>
      <c r="C4048" s="25" t="s">
        <v>1396</v>
      </c>
      <c r="D4048" s="25" t="s">
        <v>26232</v>
      </c>
      <c r="E4048" s="25"/>
      <c r="F4048" s="9" t="str">
        <f t="shared" si="56"/>
        <v>structure with developmental contribution from neural crest</v>
      </c>
      <c r="G4048" s="9" t="s">
        <v>5090</v>
      </c>
      <c r="H4048" s="9" t="s">
        <v>24421</v>
      </c>
      <c r="I4048" s="9" t="s">
        <v>1396</v>
      </c>
      <c r="J4048" s="9" t="s">
        <v>1397</v>
      </c>
      <c r="K4048" s="4" t="s">
        <v>15175</v>
      </c>
      <c r="L4048" s="13">
        <v>12589</v>
      </c>
      <c r="M4048" t="str">
        <f>VLOOKUP(L4048,[1]Human_BrainSpan!$B$2:$C$4000,2,FALSE)</f>
        <v>Cu</v>
      </c>
    </row>
    <row r="4049" spans="2:13" x14ac:dyDescent="0.25">
      <c r="B4049" s="31" t="s">
        <v>26303</v>
      </c>
      <c r="C4049" s="25" t="s">
        <v>1396</v>
      </c>
      <c r="D4049" s="25" t="s">
        <v>26232</v>
      </c>
      <c r="E4049" s="25"/>
      <c r="F4049" s="9" t="str">
        <f t="shared" si="56"/>
        <v>structure with developmental contribution from neural crest</v>
      </c>
      <c r="G4049" s="9" t="s">
        <v>5090</v>
      </c>
      <c r="H4049" s="9" t="s">
        <v>24422</v>
      </c>
      <c r="I4049" s="9" t="s">
        <v>7553</v>
      </c>
      <c r="J4049" s="9" t="s">
        <v>7554</v>
      </c>
      <c r="K4049" s="4" t="s">
        <v>15175</v>
      </c>
      <c r="L4049" s="13">
        <v>12590</v>
      </c>
      <c r="M4049" t="str">
        <f>VLOOKUP(L4049,[1]Human_BrainSpan!$B$2:$C$4000,2,FALSE)</f>
        <v>CuR</v>
      </c>
    </row>
    <row r="4050" spans="2:13" x14ac:dyDescent="0.25">
      <c r="B4050" s="31" t="s">
        <v>26303</v>
      </c>
      <c r="C4050" s="25" t="s">
        <v>1396</v>
      </c>
      <c r="D4050" s="25" t="s">
        <v>26232</v>
      </c>
      <c r="E4050" s="25"/>
      <c r="F4050" s="9" t="str">
        <f t="shared" si="56"/>
        <v>structure with developmental contribution from neural crest</v>
      </c>
      <c r="G4050" s="9" t="s">
        <v>5090</v>
      </c>
      <c r="H4050" s="9" t="s">
        <v>24423</v>
      </c>
      <c r="I4050" s="9" t="s">
        <v>7555</v>
      </c>
      <c r="J4050" s="9" t="s">
        <v>7556</v>
      </c>
      <c r="K4050" s="4" t="s">
        <v>15175</v>
      </c>
      <c r="L4050" s="13">
        <v>12591</v>
      </c>
      <c r="M4050" t="str">
        <f>VLOOKUP(L4050,[1]Human_BrainSpan!$B$2:$C$4000,2,FALSE)</f>
        <v>CuT</v>
      </c>
    </row>
    <row r="4051" spans="2:13" x14ac:dyDescent="0.25">
      <c r="B4051" s="31" t="s">
        <v>26303</v>
      </c>
      <c r="C4051" s="25" t="s">
        <v>2098</v>
      </c>
      <c r="D4051" s="25" t="s">
        <v>26232</v>
      </c>
      <c r="E4051" s="25"/>
      <c r="F4051" s="9" t="str">
        <f t="shared" si="56"/>
        <v>structure with developmental contribution from neural crest</v>
      </c>
      <c r="G4051" s="9" t="s">
        <v>5090</v>
      </c>
      <c r="H4051" s="9" t="s">
        <v>24424</v>
      </c>
      <c r="I4051" s="9" t="s">
        <v>2098</v>
      </c>
      <c r="J4051" s="9" t="s">
        <v>2099</v>
      </c>
      <c r="K4051" s="4" t="s">
        <v>15175</v>
      </c>
      <c r="L4051" s="13">
        <v>12592</v>
      </c>
      <c r="M4051" t="str">
        <f>VLOOKUP(L4051,[1]Human_BrainSpan!$B$2:$C$4000,2,FALSE)</f>
        <v>Gr</v>
      </c>
    </row>
    <row r="4052" spans="2:13" x14ac:dyDescent="0.25">
      <c r="B4052" s="31" t="s">
        <v>26303</v>
      </c>
      <c r="C4052" s="25" t="s">
        <v>2098</v>
      </c>
      <c r="D4052" s="25" t="s">
        <v>26232</v>
      </c>
      <c r="E4052" s="25"/>
      <c r="F4052" s="9" t="str">
        <f t="shared" si="56"/>
        <v>structure with developmental contribution from neural crest</v>
      </c>
      <c r="G4052" s="9" t="s">
        <v>5090</v>
      </c>
      <c r="H4052" s="9" t="s">
        <v>24425</v>
      </c>
      <c r="I4052" s="9" t="s">
        <v>7557</v>
      </c>
      <c r="J4052" s="9" t="s">
        <v>7558</v>
      </c>
      <c r="K4052" s="4" t="s">
        <v>15175</v>
      </c>
      <c r="L4052" s="13">
        <v>12593</v>
      </c>
      <c r="M4052" t="str">
        <f>VLOOKUP(L4052,[1]Human_BrainSpan!$B$2:$C$4000,2,FALSE)</f>
        <v>GrC</v>
      </c>
    </row>
    <row r="4053" spans="2:13" x14ac:dyDescent="0.25">
      <c r="B4053" s="31" t="s">
        <v>26303</v>
      </c>
      <c r="C4053" s="25" t="s">
        <v>2098</v>
      </c>
      <c r="D4053" s="25" t="s">
        <v>26232</v>
      </c>
      <c r="E4053" s="25"/>
      <c r="F4053" s="9" t="str">
        <f t="shared" si="56"/>
        <v>structure with developmental contribution from neural crest</v>
      </c>
      <c r="G4053" s="9" t="s">
        <v>5090</v>
      </c>
      <c r="H4053" s="9" t="s">
        <v>24426</v>
      </c>
      <c r="I4053" s="9" t="s">
        <v>7559</v>
      </c>
      <c r="J4053" s="9" t="s">
        <v>7560</v>
      </c>
      <c r="K4053" s="4" t="s">
        <v>15175</v>
      </c>
      <c r="L4053" s="13">
        <v>12594</v>
      </c>
      <c r="M4053" t="str">
        <f>VLOOKUP(L4053,[1]Human_BrainSpan!$B$2:$C$4000,2,FALSE)</f>
        <v>GrR</v>
      </c>
    </row>
    <row r="4054" spans="2:13" x14ac:dyDescent="0.25">
      <c r="B4054" s="37" t="s">
        <v>26303</v>
      </c>
      <c r="C4054" s="20"/>
      <c r="D4054" s="25" t="s">
        <v>26232</v>
      </c>
      <c r="E4054" s="25" t="s">
        <v>26300</v>
      </c>
      <c r="F4054" s="9" t="str">
        <f t="shared" si="56"/>
        <v>structure with developmental contribution from neural crest</v>
      </c>
      <c r="G4054" s="9" t="s">
        <v>5090</v>
      </c>
      <c r="H4054" s="9" t="s">
        <v>24427</v>
      </c>
      <c r="I4054" s="9" t="s">
        <v>7561</v>
      </c>
      <c r="J4054" s="9" t="s">
        <v>7562</v>
      </c>
      <c r="K4054" s="4" t="s">
        <v>15175</v>
      </c>
      <c r="L4054" s="13">
        <v>12595</v>
      </c>
      <c r="M4054" t="str">
        <f>VLOOKUP(L4054,[1]Human_BrainSpan!$B$2:$C$4000,2,FALSE)</f>
        <v>PrCbN</v>
      </c>
    </row>
    <row r="4055" spans="2:13" x14ac:dyDescent="0.25">
      <c r="B4055" s="31" t="s">
        <v>26303</v>
      </c>
      <c r="C4055" s="20"/>
      <c r="D4055" s="25" t="s">
        <v>26232</v>
      </c>
      <c r="E4055" s="25" t="s">
        <v>26300</v>
      </c>
      <c r="F4055" s="9" t="str">
        <f t="shared" si="56"/>
        <v>structure with developmental contribution from neural crest</v>
      </c>
      <c r="G4055" s="9" t="s">
        <v>5090</v>
      </c>
      <c r="H4055" s="9" t="s">
        <v>24428</v>
      </c>
      <c r="I4055" s="9" t="s">
        <v>7563</v>
      </c>
      <c r="J4055" s="9" t="s">
        <v>7564</v>
      </c>
      <c r="K4055" s="4" t="s">
        <v>15175</v>
      </c>
      <c r="L4055" s="13">
        <v>12596</v>
      </c>
      <c r="M4055" t="str">
        <f>VLOOKUP(L4055,[1]Human_BrainSpan!$B$2:$C$4000,2,FALSE)</f>
        <v>Crb</v>
      </c>
    </row>
    <row r="4056" spans="2:13" x14ac:dyDescent="0.25">
      <c r="B4056" s="31" t="s">
        <v>26303</v>
      </c>
      <c r="C4056" s="25" t="s">
        <v>25915</v>
      </c>
      <c r="D4056" s="25" t="s">
        <v>26232</v>
      </c>
      <c r="E4056" s="25"/>
      <c r="F4056" s="9" t="str">
        <f t="shared" si="56"/>
        <v>structure with developmental contribution from neural crest</v>
      </c>
      <c r="G4056" s="9" t="s">
        <v>5090</v>
      </c>
      <c r="H4056" s="9" t="s">
        <v>24429</v>
      </c>
      <c r="I4056" s="9" t="s">
        <v>1581</v>
      </c>
      <c r="J4056" s="9" t="s">
        <v>1582</v>
      </c>
      <c r="K4056" s="4" t="s">
        <v>15175</v>
      </c>
      <c r="L4056" s="13">
        <v>12597</v>
      </c>
      <c r="M4056" t="str">
        <f>VLOOKUP(L4056,[1]Human_BrainSpan!$B$2:$C$4000,2,FALSE)</f>
        <v>DPMn</v>
      </c>
    </row>
    <row r="4057" spans="2:13" x14ac:dyDescent="0.25">
      <c r="B4057" s="31" t="s">
        <v>26303</v>
      </c>
      <c r="C4057" s="25" t="s">
        <v>25915</v>
      </c>
      <c r="D4057" s="25" t="s">
        <v>26232</v>
      </c>
      <c r="E4057" s="25"/>
      <c r="F4057" s="9" t="str">
        <f t="shared" si="56"/>
        <v>structure with developmental contribution from neural crest</v>
      </c>
      <c r="G4057" s="9" t="s">
        <v>5090</v>
      </c>
      <c r="H4057" s="9" t="s">
        <v>24430</v>
      </c>
      <c r="I4057" s="9" t="s">
        <v>7565</v>
      </c>
      <c r="J4057" s="9" t="s">
        <v>7566</v>
      </c>
      <c r="K4057" s="4" t="s">
        <v>15175</v>
      </c>
      <c r="L4057" s="13">
        <v>12598</v>
      </c>
      <c r="M4057" t="str">
        <f>VLOOKUP(L4057,[1]Human_BrainSpan!$B$2:$C$4000,2,FALSE)</f>
        <v>CDPMn</v>
      </c>
    </row>
    <row r="4058" spans="2:13" x14ac:dyDescent="0.25">
      <c r="B4058" s="31" t="s">
        <v>26303</v>
      </c>
      <c r="C4058" s="25" t="s">
        <v>25915</v>
      </c>
      <c r="D4058" s="25" t="s">
        <v>26232</v>
      </c>
      <c r="E4058" s="25"/>
      <c r="F4058" s="9" t="str">
        <f t="shared" si="56"/>
        <v>structure with developmental contribution from neural crest</v>
      </c>
      <c r="G4058" s="9" t="s">
        <v>5090</v>
      </c>
      <c r="H4058" s="9" t="s">
        <v>24431</v>
      </c>
      <c r="I4058" s="9" t="s">
        <v>7567</v>
      </c>
      <c r="J4058" s="9" t="s">
        <v>7568</v>
      </c>
      <c r="K4058" s="4" t="s">
        <v>15175</v>
      </c>
      <c r="L4058" s="13">
        <v>12599</v>
      </c>
      <c r="M4058" t="str">
        <f>VLOOKUP(L4058,[1]Human_BrainSpan!$B$2:$C$4000,2,FALSE)</f>
        <v>ODPMn</v>
      </c>
    </row>
    <row r="4059" spans="2:13" x14ac:dyDescent="0.25">
      <c r="B4059" s="31" t="s">
        <v>26303</v>
      </c>
      <c r="C4059" s="25" t="s">
        <v>2387</v>
      </c>
      <c r="D4059" s="25" t="s">
        <v>26232</v>
      </c>
      <c r="E4059" s="25"/>
      <c r="F4059" s="9" t="str">
        <f t="shared" si="56"/>
        <v>structure with developmental contribution from neural crest</v>
      </c>
      <c r="G4059" s="9" t="s">
        <v>5090</v>
      </c>
      <c r="H4059" s="9" t="s">
        <v>24432</v>
      </c>
      <c r="I4059" s="9" t="s">
        <v>7569</v>
      </c>
      <c r="J4059" s="9" t="s">
        <v>7570</v>
      </c>
      <c r="K4059" s="4" t="s">
        <v>15175</v>
      </c>
      <c r="L4059" s="13">
        <v>12601</v>
      </c>
      <c r="M4059" t="str">
        <f>VLOOKUP(L4059,[1]Human_BrainSpan!$B$2:$C$4000,2,FALSE)</f>
        <v>IODM</v>
      </c>
    </row>
    <row r="4060" spans="2:13" x14ac:dyDescent="0.25">
      <c r="B4060" s="31" t="s">
        <v>26303</v>
      </c>
      <c r="C4060" s="25" t="s">
        <v>2387</v>
      </c>
      <c r="D4060" s="25" t="s">
        <v>26232</v>
      </c>
      <c r="E4060" s="25"/>
      <c r="F4060" s="9" t="str">
        <f t="shared" si="56"/>
        <v>structure with developmental contribution from neural crest</v>
      </c>
      <c r="G4060" s="9" t="s">
        <v>5090</v>
      </c>
      <c r="H4060" s="9" t="s">
        <v>24433</v>
      </c>
      <c r="I4060" s="9" t="s">
        <v>2391</v>
      </c>
      <c r="J4060" s="9" t="s">
        <v>2392</v>
      </c>
      <c r="K4060" s="4" t="s">
        <v>15175</v>
      </c>
      <c r="L4060" s="13">
        <v>12602</v>
      </c>
      <c r="M4060" t="str">
        <f>VLOOKUP(L4060,[1]Human_BrainSpan!$B$2:$C$4000,2,FALSE)</f>
        <v>IOBe</v>
      </c>
    </row>
    <row r="4061" spans="2:13" x14ac:dyDescent="0.25">
      <c r="B4061" s="31" t="s">
        <v>26303</v>
      </c>
      <c r="C4061" s="25" t="s">
        <v>25907</v>
      </c>
      <c r="D4061" s="25" t="s">
        <v>26232</v>
      </c>
      <c r="E4061" s="25"/>
      <c r="F4061" s="9" t="str">
        <f t="shared" si="56"/>
        <v>structure with developmental contribution from neural crest</v>
      </c>
      <c r="G4061" s="9" t="s">
        <v>5090</v>
      </c>
      <c r="H4061" s="9" t="s">
        <v>24434</v>
      </c>
      <c r="I4061" s="9" t="s">
        <v>1502</v>
      </c>
      <c r="J4061" s="9" t="s">
        <v>1503</v>
      </c>
      <c r="K4061" s="4" t="s">
        <v>15175</v>
      </c>
      <c r="L4061" s="13">
        <v>12603</v>
      </c>
      <c r="M4061" t="str">
        <f>VLOOKUP(L4061,[1]Human_BrainSpan!$B$2:$C$4000,2,FALSE)</f>
        <v>IOD</v>
      </c>
    </row>
    <row r="4062" spans="2:13" x14ac:dyDescent="0.25">
      <c r="B4062" s="31" t="s">
        <v>26303</v>
      </c>
      <c r="C4062" s="25" t="s">
        <v>25907</v>
      </c>
      <c r="D4062" s="25" t="s">
        <v>26232</v>
      </c>
      <c r="E4062" s="25"/>
      <c r="F4062" s="9" t="str">
        <f t="shared" si="56"/>
        <v>structure with developmental contribution from neural crest</v>
      </c>
      <c r="G4062" s="9" t="s">
        <v>5090</v>
      </c>
      <c r="H4062" s="9" t="s">
        <v>24435</v>
      </c>
      <c r="I4062" s="9" t="s">
        <v>7571</v>
      </c>
      <c r="J4062" s="9" t="s">
        <v>7572</v>
      </c>
      <c r="K4062" s="4" t="s">
        <v>15175</v>
      </c>
      <c r="L4062" s="13">
        <v>12604</v>
      </c>
      <c r="M4062" t="str">
        <f>VLOOKUP(L4062,[1]Human_BrainSpan!$B$2:$C$4000,2,FALSE)</f>
        <v>IODC</v>
      </c>
    </row>
    <row r="4063" spans="2:13" x14ac:dyDescent="0.25">
      <c r="B4063" s="31" t="s">
        <v>26303</v>
      </c>
      <c r="C4063" s="25" t="s">
        <v>26016</v>
      </c>
      <c r="D4063" s="25" t="s">
        <v>26232</v>
      </c>
      <c r="E4063" s="25"/>
      <c r="F4063" s="9" t="str">
        <f t="shared" si="56"/>
        <v>structure with developmental contribution from neural crest</v>
      </c>
      <c r="G4063" s="9" t="s">
        <v>5090</v>
      </c>
      <c r="H4063" s="9" t="s">
        <v>24436</v>
      </c>
      <c r="I4063" s="9" t="s">
        <v>2881</v>
      </c>
      <c r="J4063" s="9" t="s">
        <v>2882</v>
      </c>
      <c r="K4063" s="4" t="s">
        <v>15175</v>
      </c>
      <c r="L4063" s="13">
        <v>12605</v>
      </c>
      <c r="M4063" t="str">
        <f>VLOOKUP(L4063,[1]Human_BrainSpan!$B$2:$C$4000,2,FALSE)</f>
        <v>IOM</v>
      </c>
    </row>
    <row r="4064" spans="2:13" x14ac:dyDescent="0.25">
      <c r="B4064" s="31" t="s">
        <v>26303</v>
      </c>
      <c r="C4064" s="25" t="s">
        <v>26016</v>
      </c>
      <c r="D4064" s="25" t="s">
        <v>26232</v>
      </c>
      <c r="E4064" s="25"/>
      <c r="F4064" s="9" t="str">
        <f t="shared" si="56"/>
        <v>structure with developmental contribution from neural crest</v>
      </c>
      <c r="G4064" s="9" t="s">
        <v>5090</v>
      </c>
      <c r="H4064" s="9" t="s">
        <v>24437</v>
      </c>
      <c r="I4064" s="9" t="s">
        <v>7573</v>
      </c>
      <c r="J4064" s="9" t="s">
        <v>7574</v>
      </c>
      <c r="K4064" s="4" t="s">
        <v>15175</v>
      </c>
      <c r="L4064" s="13">
        <v>12606</v>
      </c>
      <c r="M4064" t="str">
        <f>VLOOKUP(L4064,[1]Human_BrainSpan!$B$2:$C$4000,2,FALSE)</f>
        <v>IOK</v>
      </c>
    </row>
    <row r="4065" spans="2:13" x14ac:dyDescent="0.25">
      <c r="B4065" s="31" t="s">
        <v>26303</v>
      </c>
      <c r="C4065" s="25" t="s">
        <v>26016</v>
      </c>
      <c r="D4065" s="25" t="s">
        <v>26232</v>
      </c>
      <c r="E4065" s="25"/>
      <c r="F4065" s="9" t="str">
        <f t="shared" si="56"/>
        <v>structure with developmental contribution from neural crest</v>
      </c>
      <c r="G4065" s="9" t="s">
        <v>5090</v>
      </c>
      <c r="H4065" s="9" t="s">
        <v>24438</v>
      </c>
      <c r="I4065" s="9" t="s">
        <v>7575</v>
      </c>
      <c r="J4065" s="9" t="s">
        <v>7576</v>
      </c>
      <c r="K4065" s="4" t="s">
        <v>15175</v>
      </c>
      <c r="L4065" s="13">
        <v>12607</v>
      </c>
      <c r="M4065" t="str">
        <f>VLOOKUP(L4065,[1]Human_BrainSpan!$B$2:$C$4000,2,FALSE)</f>
        <v>IOA</v>
      </c>
    </row>
    <row r="4066" spans="2:13" x14ac:dyDescent="0.25">
      <c r="B4066" s="31" t="s">
        <v>26303</v>
      </c>
      <c r="C4066" s="25" t="s">
        <v>26016</v>
      </c>
      <c r="D4066" s="25" t="s">
        <v>26232</v>
      </c>
      <c r="E4066" s="25"/>
      <c r="F4066" s="9" t="str">
        <f t="shared" si="56"/>
        <v>structure with developmental contribution from neural crest</v>
      </c>
      <c r="G4066" s="9" t="s">
        <v>5090</v>
      </c>
      <c r="H4066" s="9" t="s">
        <v>24439</v>
      </c>
      <c r="I4066" s="9" t="s">
        <v>7577</v>
      </c>
      <c r="J4066" s="9" t="s">
        <v>7578</v>
      </c>
      <c r="K4066" s="4" t="s">
        <v>15175</v>
      </c>
      <c r="L4066" s="13">
        <v>12608</v>
      </c>
      <c r="M4066" t="str">
        <f>VLOOKUP(L4066,[1]Human_BrainSpan!$B$2:$C$4000,2,FALSE)</f>
        <v>IOB</v>
      </c>
    </row>
    <row r="4067" spans="2:13" x14ac:dyDescent="0.25">
      <c r="B4067" s="31" t="s">
        <v>26303</v>
      </c>
      <c r="C4067" s="25" t="s">
        <v>26016</v>
      </c>
      <c r="D4067" s="25" t="s">
        <v>26232</v>
      </c>
      <c r="E4067" s="25"/>
      <c r="F4067" s="9" t="str">
        <f t="shared" si="56"/>
        <v>structure with developmental contribution from neural crest</v>
      </c>
      <c r="G4067" s="9" t="s">
        <v>5090</v>
      </c>
      <c r="H4067" s="9" t="s">
        <v>24440</v>
      </c>
      <c r="I4067" s="9" t="s">
        <v>7579</v>
      </c>
      <c r="J4067" s="9" t="s">
        <v>7580</v>
      </c>
      <c r="K4067" s="4" t="s">
        <v>15175</v>
      </c>
      <c r="L4067" s="13">
        <v>12609</v>
      </c>
      <c r="M4067" t="str">
        <f>VLOOKUP(L4067,[1]Human_BrainSpan!$B$2:$C$4000,2,FALSE)</f>
        <v>IOC</v>
      </c>
    </row>
    <row r="4068" spans="2:13" x14ac:dyDescent="0.25">
      <c r="B4068" s="31" t="s">
        <v>26303</v>
      </c>
      <c r="C4068" s="25" t="s">
        <v>26176</v>
      </c>
      <c r="D4068" s="25" t="s">
        <v>26232</v>
      </c>
      <c r="E4068" s="25"/>
      <c r="F4068" s="9" t="str">
        <f t="shared" si="56"/>
        <v>structure with developmental contribution from neural crest</v>
      </c>
      <c r="G4068" s="9" t="s">
        <v>5090</v>
      </c>
      <c r="H4068" s="9" t="s">
        <v>24441</v>
      </c>
      <c r="I4068" s="9" t="s">
        <v>4184</v>
      </c>
      <c r="J4068" s="9" t="s">
        <v>4185</v>
      </c>
      <c r="K4068" s="4" t="s">
        <v>15175</v>
      </c>
      <c r="L4068" s="13">
        <v>12610</v>
      </c>
      <c r="M4068" t="str">
        <f>VLOOKUP(L4068,[1]Human_BrainSpan!$B$2:$C$4000,2,FALSE)</f>
        <v>IOPr</v>
      </c>
    </row>
    <row r="4069" spans="2:13" x14ac:dyDescent="0.25">
      <c r="B4069" s="31" t="s">
        <v>26303</v>
      </c>
      <c r="C4069" s="25" t="s">
        <v>2387</v>
      </c>
      <c r="D4069" s="25" t="s">
        <v>26232</v>
      </c>
      <c r="E4069" s="25"/>
      <c r="F4069" s="9" t="str">
        <f t="shared" si="56"/>
        <v>structure with developmental contribution from neural crest</v>
      </c>
      <c r="G4069" s="9" t="s">
        <v>5090</v>
      </c>
      <c r="H4069" s="9" t="s">
        <v>24442</v>
      </c>
      <c r="I4069" s="9" t="s">
        <v>7581</v>
      </c>
      <c r="J4069" s="9" t="s">
        <v>7582</v>
      </c>
      <c r="K4069" s="4" t="s">
        <v>15175</v>
      </c>
      <c r="L4069" s="13">
        <v>12611</v>
      </c>
      <c r="M4069" t="str">
        <f>VLOOKUP(L4069,[1]Human_BrainSpan!$B$2:$C$4000,2,FALSE)</f>
        <v>IOVL</v>
      </c>
    </row>
    <row r="4070" spans="2:13" x14ac:dyDescent="0.25">
      <c r="B4070" s="31" t="s">
        <v>26303</v>
      </c>
      <c r="C4070" s="25" t="s">
        <v>3262</v>
      </c>
      <c r="D4070" s="25" t="s">
        <v>26232</v>
      </c>
      <c r="E4070" s="25"/>
      <c r="F4070" s="9" t="str">
        <f t="shared" si="56"/>
        <v>structure with developmental contribution from neural crest</v>
      </c>
      <c r="G4070" s="9" t="s">
        <v>5090</v>
      </c>
      <c r="H4070" s="9" t="s">
        <v>24443</v>
      </c>
      <c r="I4070" s="9" t="s">
        <v>3256</v>
      </c>
      <c r="J4070" s="9" t="s">
        <v>3257</v>
      </c>
      <c r="K4070" s="4" t="s">
        <v>15175</v>
      </c>
      <c r="L4070" s="13">
        <v>12612</v>
      </c>
      <c r="M4070" t="str">
        <f>VLOOKUP(L4070,[1]Human_BrainSpan!$B$2:$C$4000,2,FALSE)</f>
        <v>InM</v>
      </c>
    </row>
    <row r="4071" spans="2:13" x14ac:dyDescent="0.25">
      <c r="B4071" s="31" t="s">
        <v>26303</v>
      </c>
      <c r="C4071" s="25" t="s">
        <v>25843</v>
      </c>
      <c r="D4071" s="25" t="s">
        <v>26232</v>
      </c>
      <c r="E4071" s="25"/>
      <c r="F4071" s="9" t="str">
        <f t="shared" si="56"/>
        <v>structure with developmental contribution from neural crest</v>
      </c>
      <c r="G4071" s="9" t="s">
        <v>5090</v>
      </c>
      <c r="H4071" s="9" t="s">
        <v>16484</v>
      </c>
      <c r="I4071" s="9" t="s">
        <v>1135</v>
      </c>
      <c r="J4071" s="9" t="s">
        <v>1136</v>
      </c>
      <c r="K4071" s="4" t="s">
        <v>15175</v>
      </c>
      <c r="L4071" s="13">
        <v>12613</v>
      </c>
      <c r="M4071" t="str">
        <f>VLOOKUP(L4071,[1]Human_BrainSpan!$B$2:$C$4000,2,FALSE)</f>
        <v>IPo</v>
      </c>
    </row>
    <row r="4072" spans="2:13" x14ac:dyDescent="0.25">
      <c r="B4072" s="31" t="s">
        <v>26303</v>
      </c>
      <c r="C4072" s="25" t="s">
        <v>3891</v>
      </c>
      <c r="D4072" s="25" t="s">
        <v>26232</v>
      </c>
      <c r="E4072" s="25"/>
      <c r="F4072" s="9" t="str">
        <f t="shared" si="56"/>
        <v>structure with developmental contribution from neural crest</v>
      </c>
      <c r="G4072" s="9" t="s">
        <v>5090</v>
      </c>
      <c r="H4072" s="9" t="s">
        <v>24444</v>
      </c>
      <c r="I4072" s="9" t="s">
        <v>3891</v>
      </c>
      <c r="J4072" s="9" t="s">
        <v>3892</v>
      </c>
      <c r="K4072" s="4" t="s">
        <v>15175</v>
      </c>
      <c r="L4072" s="13">
        <v>12614</v>
      </c>
      <c r="M4072" t="str">
        <f>VLOOKUP(L4072,[1]Human_BrainSpan!$B$2:$C$4000,2,FALSE)</f>
        <v>PnbN</v>
      </c>
    </row>
    <row r="4073" spans="2:13" x14ac:dyDescent="0.25">
      <c r="B4073" s="31" t="s">
        <v>26303</v>
      </c>
      <c r="C4073" s="25" t="s">
        <v>3352</v>
      </c>
      <c r="D4073" s="25" t="s">
        <v>26232</v>
      </c>
      <c r="E4073" s="25"/>
      <c r="F4073" s="9" t="str">
        <f t="shared" si="56"/>
        <v>structure with developmental contribution from neural crest</v>
      </c>
      <c r="G4073" s="9" t="s">
        <v>5090</v>
      </c>
      <c r="H4073" s="9" t="s">
        <v>24445</v>
      </c>
      <c r="I4073" s="9" t="s">
        <v>3348</v>
      </c>
      <c r="J4073" s="9" t="s">
        <v>3349</v>
      </c>
      <c r="K4073" s="4" t="s">
        <v>15175</v>
      </c>
      <c r="L4073" s="13">
        <v>12615</v>
      </c>
      <c r="M4073" t="str">
        <f>VLOOKUP(L4073,[1]Human_BrainSpan!$B$2:$C$4000,2,FALSE)</f>
        <v>PrH</v>
      </c>
    </row>
    <row r="4074" spans="2:13" x14ac:dyDescent="0.25">
      <c r="B4074" s="31" t="s">
        <v>26303</v>
      </c>
      <c r="C4074" s="20"/>
      <c r="D4074" s="25" t="s">
        <v>26185</v>
      </c>
      <c r="E4074" s="25" t="s">
        <v>26300</v>
      </c>
      <c r="F4074" s="9" t="str">
        <f t="shared" si="56"/>
        <v>structure with developmental contribution from neural crest</v>
      </c>
      <c r="G4074" s="9" t="s">
        <v>5090</v>
      </c>
      <c r="H4074" s="9" t="s">
        <v>24447</v>
      </c>
      <c r="I4074" s="9" t="s">
        <v>7583</v>
      </c>
      <c r="J4074" s="9" t="s">
        <v>7584</v>
      </c>
      <c r="K4074" s="4" t="s">
        <v>15175</v>
      </c>
      <c r="L4074" s="13">
        <v>12617</v>
      </c>
      <c r="M4074" t="str">
        <f>VLOOKUP(L4074,[1]Human_BrainSpan!$B$2:$C$4000,2,FALSE)</f>
        <v>DRt</v>
      </c>
    </row>
    <row r="4075" spans="2:13" x14ac:dyDescent="0.25">
      <c r="B4075" s="31" t="s">
        <v>26303</v>
      </c>
      <c r="C4075" s="20"/>
      <c r="D4075" s="25" t="s">
        <v>26185</v>
      </c>
      <c r="E4075" s="25" t="s">
        <v>26300</v>
      </c>
      <c r="F4075" s="9" t="str">
        <f t="shared" si="56"/>
        <v>structure with developmental contribution from neural crest</v>
      </c>
      <c r="G4075" s="9" t="s">
        <v>5090</v>
      </c>
      <c r="H4075" s="9" t="s">
        <v>24468</v>
      </c>
      <c r="I4075" s="9" t="s">
        <v>7585</v>
      </c>
      <c r="J4075" s="9" t="s">
        <v>7586</v>
      </c>
      <c r="K4075" s="4" t="s">
        <v>15175</v>
      </c>
      <c r="L4075" s="13">
        <v>12619</v>
      </c>
      <c r="M4075" t="str">
        <f>VLOOKUP(L4075,[1]Human_BrainSpan!$B$2:$C$4000,2,FALSE)</f>
        <v>PCRtA</v>
      </c>
    </row>
    <row r="4076" spans="2:13" x14ac:dyDescent="0.25">
      <c r="B4076" s="31" t="s">
        <v>26303</v>
      </c>
      <c r="C4076" s="25" t="s">
        <v>2481</v>
      </c>
      <c r="D4076" s="25" t="s">
        <v>26232</v>
      </c>
      <c r="E4076" s="25"/>
      <c r="F4076" s="9" t="str">
        <f t="shared" si="56"/>
        <v>structure with developmental contribution from neural crest</v>
      </c>
      <c r="G4076" s="9" t="s">
        <v>5090</v>
      </c>
      <c r="H4076" s="9" t="s">
        <v>24448</v>
      </c>
      <c r="I4076" s="9" t="s">
        <v>2481</v>
      </c>
      <c r="J4076" s="9" t="s">
        <v>2482</v>
      </c>
      <c r="K4076" s="4" t="s">
        <v>15175</v>
      </c>
      <c r="L4076" s="13">
        <v>12620</v>
      </c>
      <c r="M4076" t="str">
        <f>VLOOKUP(L4076,[1]Human_BrainSpan!$B$2:$C$4000,2,FALSE)</f>
        <v>IRt</v>
      </c>
    </row>
    <row r="4077" spans="2:13" x14ac:dyDescent="0.25">
      <c r="B4077" s="31" t="s">
        <v>26303</v>
      </c>
      <c r="C4077" s="20"/>
      <c r="D4077" s="25" t="s">
        <v>26185</v>
      </c>
      <c r="E4077" s="25" t="s">
        <v>26300</v>
      </c>
      <c r="F4077" s="9" t="str">
        <f t="shared" si="56"/>
        <v>structure with developmental contribution from neural crest</v>
      </c>
      <c r="G4077" s="9" t="s">
        <v>5090</v>
      </c>
      <c r="H4077" s="9" t="s">
        <v>24449</v>
      </c>
      <c r="I4077" s="9" t="s">
        <v>7587</v>
      </c>
      <c r="J4077" s="9" t="s">
        <v>7588</v>
      </c>
      <c r="K4077" s="4" t="s">
        <v>15175</v>
      </c>
      <c r="L4077" s="13">
        <v>12621</v>
      </c>
      <c r="M4077" t="str">
        <f>VLOOKUP(L4077,[1]Human_BrainSpan!$B$2:$C$4000,2,FALSE)</f>
        <v>CVL</v>
      </c>
    </row>
    <row r="4078" spans="2:13" x14ac:dyDescent="0.25">
      <c r="B4078" s="31" t="s">
        <v>26303</v>
      </c>
      <c r="C4078" s="20"/>
      <c r="D4078" s="25" t="s">
        <v>26232</v>
      </c>
      <c r="E4078" s="25" t="s">
        <v>26300</v>
      </c>
      <c r="F4078" s="9" t="str">
        <f t="shared" si="56"/>
        <v>structure with developmental contribution from neural crest</v>
      </c>
      <c r="G4078" s="9" t="s">
        <v>5090</v>
      </c>
      <c r="H4078" s="9" t="s">
        <v>24450</v>
      </c>
      <c r="I4078" s="9" t="s">
        <v>7589</v>
      </c>
      <c r="J4078" s="9" t="s">
        <v>7590</v>
      </c>
      <c r="K4078" s="4" t="s">
        <v>15175</v>
      </c>
      <c r="L4078" s="13">
        <v>12622</v>
      </c>
      <c r="M4078" t="str">
        <f>VLOOKUP(L4078,[1]Human_BrainSpan!$B$2:$C$4000,2,FALSE)</f>
        <v>NA/A</v>
      </c>
    </row>
    <row r="4079" spans="2:13" x14ac:dyDescent="0.25">
      <c r="B4079" s="31" t="s">
        <v>26303</v>
      </c>
      <c r="C4079" s="20"/>
      <c r="D4079" s="25" t="s">
        <v>26232</v>
      </c>
      <c r="E4079" s="25" t="s">
        <v>26300</v>
      </c>
      <c r="F4079" s="9" t="str">
        <f t="shared" si="56"/>
        <v>structure with developmental contribution from neural crest</v>
      </c>
      <c r="G4079" s="9" t="s">
        <v>5090</v>
      </c>
      <c r="H4079" s="9" t="s">
        <v>24451</v>
      </c>
      <c r="I4079" s="9" t="s">
        <v>7591</v>
      </c>
      <c r="J4079" s="9" t="s">
        <v>7592</v>
      </c>
      <c r="K4079" s="4" t="s">
        <v>15175</v>
      </c>
      <c r="L4079" s="13">
        <v>12623</v>
      </c>
      <c r="M4079" t="str">
        <f>VLOOKUP(L4079,[1]Human_BrainSpan!$B$2:$C$4000,2,FALSE)</f>
        <v>RVRG</v>
      </c>
    </row>
    <row r="4080" spans="2:13" x14ac:dyDescent="0.25">
      <c r="B4080" s="31" t="s">
        <v>26303</v>
      </c>
      <c r="C4080" s="20"/>
      <c r="D4080" s="25" t="s">
        <v>26185</v>
      </c>
      <c r="E4080" s="25" t="s">
        <v>26300</v>
      </c>
      <c r="F4080" s="9" t="str">
        <f t="shared" si="56"/>
        <v>structure with developmental contribution from neural crest</v>
      </c>
      <c r="G4080" s="9" t="s">
        <v>5090</v>
      </c>
      <c r="H4080" s="9" t="s">
        <v>17975</v>
      </c>
      <c r="I4080" s="9" t="s">
        <v>7593</v>
      </c>
      <c r="J4080" s="9" t="s">
        <v>7594</v>
      </c>
      <c r="K4080" s="4" t="s">
        <v>15175</v>
      </c>
      <c r="L4080" s="13">
        <v>12624</v>
      </c>
      <c r="M4080" t="str">
        <f>VLOOKUP(L4080,[1]Human_BrainSpan!$B$2:$C$4000,2,FALSE)</f>
        <v>RVL</v>
      </c>
    </row>
    <row r="4081" spans="2:13" x14ac:dyDescent="0.25">
      <c r="B4081" s="31" t="s">
        <v>26303</v>
      </c>
      <c r="C4081" s="25" t="s">
        <v>25947</v>
      </c>
      <c r="D4081" s="25" t="s">
        <v>26232</v>
      </c>
      <c r="E4081" s="25"/>
      <c r="F4081" s="9" t="str">
        <f t="shared" si="56"/>
        <v>structure with developmental contribution from neural crest</v>
      </c>
      <c r="G4081" s="9" t="s">
        <v>5090</v>
      </c>
      <c r="H4081" s="9" t="s">
        <v>24452</v>
      </c>
      <c r="I4081" s="9" t="s">
        <v>2070</v>
      </c>
      <c r="J4081" s="9" t="s">
        <v>2071</v>
      </c>
      <c r="K4081" s="4" t="s">
        <v>15175</v>
      </c>
      <c r="L4081" s="13">
        <v>12625</v>
      </c>
      <c r="M4081" t="str">
        <f>VLOOKUP(L4081,[1]Human_BrainSpan!$B$2:$C$4000,2,FALSE)</f>
        <v>GiRt</v>
      </c>
    </row>
    <row r="4082" spans="2:13" x14ac:dyDescent="0.25">
      <c r="B4082" s="31" t="s">
        <v>26303</v>
      </c>
      <c r="C4082" s="25" t="s">
        <v>3591</v>
      </c>
      <c r="D4082" s="25" t="s">
        <v>26232</v>
      </c>
      <c r="E4082" s="25"/>
      <c r="F4082" s="9" t="str">
        <f t="shared" si="56"/>
        <v>structure with developmental contribution from neural crest</v>
      </c>
      <c r="G4082" s="9" t="s">
        <v>5090</v>
      </c>
      <c r="H4082" s="9" t="s">
        <v>24455</v>
      </c>
      <c r="I4082" s="9" t="s">
        <v>3591</v>
      </c>
      <c r="J4082" s="9" t="s">
        <v>3592</v>
      </c>
      <c r="K4082" s="4" t="s">
        <v>15175</v>
      </c>
      <c r="L4082" s="13">
        <v>12626</v>
      </c>
      <c r="M4082" t="str">
        <f>VLOOKUP(L4082,[1]Human_BrainSpan!$B$2:$C$4000,2,FALSE)</f>
        <v>PGi</v>
      </c>
    </row>
    <row r="4083" spans="2:13" x14ac:dyDescent="0.25">
      <c r="B4083" s="31" t="s">
        <v>26303</v>
      </c>
      <c r="C4083" s="25" t="s">
        <v>3591</v>
      </c>
      <c r="D4083" s="25" t="s">
        <v>26232</v>
      </c>
      <c r="E4083" s="25"/>
      <c r="F4083" s="9" t="str">
        <f t="shared" si="56"/>
        <v>structure with developmental contribution from neural crest</v>
      </c>
      <c r="G4083" s="9" t="s">
        <v>5090</v>
      </c>
      <c r="H4083" s="9" t="s">
        <v>24456</v>
      </c>
      <c r="I4083" s="9" t="s">
        <v>7595</v>
      </c>
      <c r="J4083" s="9" t="s">
        <v>7596</v>
      </c>
      <c r="K4083" s="4" t="s">
        <v>15175</v>
      </c>
      <c r="L4083" s="13">
        <v>12627</v>
      </c>
      <c r="M4083" t="str">
        <f>VLOOKUP(L4083,[1]Human_BrainSpan!$B$2:$C$4000,2,FALSE)</f>
        <v>APGi</v>
      </c>
    </row>
    <row r="4084" spans="2:13" x14ac:dyDescent="0.25">
      <c r="B4084" s="31" t="s">
        <v>26303</v>
      </c>
      <c r="C4084" s="25" t="s">
        <v>25947</v>
      </c>
      <c r="D4084" s="25" t="s">
        <v>26232</v>
      </c>
      <c r="E4084" s="25"/>
      <c r="F4084" s="9" t="str">
        <f t="shared" si="56"/>
        <v>structure with developmental contribution from neural crest</v>
      </c>
      <c r="G4084" s="9" t="s">
        <v>5090</v>
      </c>
      <c r="H4084" s="9" t="s">
        <v>24458</v>
      </c>
      <c r="I4084" s="9" t="s">
        <v>7597</v>
      </c>
      <c r="J4084" s="9" t="s">
        <v>7598</v>
      </c>
      <c r="K4084" s="4" t="s">
        <v>15175</v>
      </c>
      <c r="L4084" s="13">
        <v>12630</v>
      </c>
      <c r="M4084" t="str">
        <f>VLOOKUP(L4084,[1]Human_BrainSpan!$B$2:$C$4000,2,FALSE)</f>
        <v>GiRtV</v>
      </c>
    </row>
    <row r="4085" spans="2:13" x14ac:dyDescent="0.25">
      <c r="B4085" s="31" t="s">
        <v>26303</v>
      </c>
      <c r="C4085" s="25" t="s">
        <v>25947</v>
      </c>
      <c r="D4085" s="25" t="s">
        <v>26232</v>
      </c>
      <c r="E4085" s="25"/>
      <c r="F4085" s="9" t="str">
        <f t="shared" si="56"/>
        <v>structure with developmental contribution from neural crest</v>
      </c>
      <c r="G4085" s="9" t="s">
        <v>5090</v>
      </c>
      <c r="H4085" s="9" t="s">
        <v>24453</v>
      </c>
      <c r="I4085" s="9" t="s">
        <v>7599</v>
      </c>
      <c r="J4085" s="9" t="s">
        <v>7600</v>
      </c>
      <c r="K4085" s="4" t="s">
        <v>15175</v>
      </c>
      <c r="L4085" s="13">
        <v>12631</v>
      </c>
      <c r="M4085" t="str">
        <f>VLOOKUP(L4085,[1]Human_BrainSpan!$B$2:$C$4000,2,FALSE)</f>
        <v>GiRtA</v>
      </c>
    </row>
    <row r="4086" spans="2:13" x14ac:dyDescent="0.25">
      <c r="B4086" s="31" t="s">
        <v>26303</v>
      </c>
      <c r="C4086" s="25" t="s">
        <v>2709</v>
      </c>
      <c r="D4086" s="25" t="s">
        <v>26232</v>
      </c>
      <c r="E4086" s="25"/>
      <c r="F4086" s="9" t="str">
        <f t="shared" si="56"/>
        <v>structure with developmental contribution from neural crest</v>
      </c>
      <c r="G4086" s="9" t="s">
        <v>5090</v>
      </c>
      <c r="H4086" s="9" t="s">
        <v>24459</v>
      </c>
      <c r="I4086" s="9" t="s">
        <v>7601</v>
      </c>
      <c r="J4086" s="9" t="s">
        <v>7602</v>
      </c>
      <c r="K4086" s="4" t="s">
        <v>15175</v>
      </c>
      <c r="L4086" s="13">
        <v>12632</v>
      </c>
      <c r="M4086" t="str">
        <f>VLOOKUP(L4086,[1]Human_BrainSpan!$B$2:$C$4000,2,FALSE)</f>
        <v>LMRt</v>
      </c>
    </row>
    <row r="4087" spans="2:13" x14ac:dyDescent="0.25">
      <c r="B4087" s="31" t="s">
        <v>26303</v>
      </c>
      <c r="C4087" s="25" t="s">
        <v>2709</v>
      </c>
      <c r="D4087" s="25" t="s">
        <v>26232</v>
      </c>
      <c r="E4087" s="25"/>
      <c r="F4087" s="9" t="str">
        <f t="shared" ref="F4087:F4150" si="57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4087" s="9" t="s">
        <v>5090</v>
      </c>
      <c r="H4087" s="9" t="s">
        <v>24460</v>
      </c>
      <c r="I4087" s="9" t="s">
        <v>7603</v>
      </c>
      <c r="J4087" s="9" t="s">
        <v>7604</v>
      </c>
      <c r="K4087" s="4" t="s">
        <v>15175</v>
      </c>
      <c r="L4087" s="13">
        <v>12634</v>
      </c>
      <c r="M4087" t="str">
        <f>VLOOKUP(L4087,[1]Human_BrainSpan!$B$2:$C$4000,2,FALSE)</f>
        <v>LRt</v>
      </c>
    </row>
    <row r="4088" spans="2:13" x14ac:dyDescent="0.25">
      <c r="B4088" s="31" t="s">
        <v>26303</v>
      </c>
      <c r="C4088" s="25" t="s">
        <v>2709</v>
      </c>
      <c r="D4088" s="25" t="s">
        <v>26232</v>
      </c>
      <c r="E4088" s="25"/>
      <c r="F4088" s="9" t="str">
        <f t="shared" si="57"/>
        <v>structure with developmental contribution from neural crest</v>
      </c>
      <c r="G4088" s="9" t="s">
        <v>5090</v>
      </c>
      <c r="H4088" s="9" t="s">
        <v>24461</v>
      </c>
      <c r="I4088" s="9" t="s">
        <v>7605</v>
      </c>
      <c r="J4088" s="9" t="s">
        <v>7606</v>
      </c>
      <c r="K4088" s="4" t="s">
        <v>15175</v>
      </c>
      <c r="L4088" s="13">
        <v>12635</v>
      </c>
      <c r="M4088" t="str">
        <f>VLOOKUP(L4088,[1]Human_BrainSpan!$B$2:$C$4000,2,FALSE)</f>
        <v>LRtMC</v>
      </c>
    </row>
    <row r="4089" spans="2:13" x14ac:dyDescent="0.25">
      <c r="B4089" s="31" t="s">
        <v>26303</v>
      </c>
      <c r="C4089" s="25" t="s">
        <v>2709</v>
      </c>
      <c r="D4089" s="25" t="s">
        <v>26232</v>
      </c>
      <c r="E4089" s="25"/>
      <c r="F4089" s="9" t="str">
        <f t="shared" si="57"/>
        <v>structure with developmental contribution from neural crest</v>
      </c>
      <c r="G4089" s="9" t="s">
        <v>5090</v>
      </c>
      <c r="H4089" s="9" t="s">
        <v>24462</v>
      </c>
      <c r="I4089" s="9" t="s">
        <v>7607</v>
      </c>
      <c r="J4089" s="9" t="s">
        <v>7608</v>
      </c>
      <c r="K4089" s="4" t="s">
        <v>15175</v>
      </c>
      <c r="L4089" s="13">
        <v>12636</v>
      </c>
      <c r="M4089" t="str">
        <f>VLOOKUP(L4089,[1]Human_BrainSpan!$B$2:$C$4000,2,FALSE)</f>
        <v>LRtPC</v>
      </c>
    </row>
    <row r="4090" spans="2:13" x14ac:dyDescent="0.25">
      <c r="B4090" s="31" t="s">
        <v>26303</v>
      </c>
      <c r="C4090" s="25" t="s">
        <v>2709</v>
      </c>
      <c r="D4090" s="25" t="s">
        <v>26232</v>
      </c>
      <c r="E4090" s="25"/>
      <c r="F4090" s="9" t="str">
        <f t="shared" si="57"/>
        <v>structure with developmental contribution from neural crest</v>
      </c>
      <c r="G4090" s="9" t="s">
        <v>5090</v>
      </c>
      <c r="H4090" s="9" t="s">
        <v>24463</v>
      </c>
      <c r="I4090" s="9" t="s">
        <v>7609</v>
      </c>
      <c r="J4090" s="9" t="s">
        <v>7610</v>
      </c>
      <c r="K4090" s="4" t="s">
        <v>15175</v>
      </c>
      <c r="L4090" s="13">
        <v>12637</v>
      </c>
      <c r="M4090" t="str">
        <f>VLOOKUP(L4090,[1]Human_BrainSpan!$B$2:$C$4000,2,FALSE)</f>
        <v>LRtS5</v>
      </c>
    </row>
    <row r="4091" spans="2:13" x14ac:dyDescent="0.25">
      <c r="B4091" s="31" t="s">
        <v>26303</v>
      </c>
      <c r="C4091" s="25" t="s">
        <v>3071</v>
      </c>
      <c r="D4091" s="25" t="s">
        <v>26232</v>
      </c>
      <c r="E4091" s="25"/>
      <c r="F4091" s="9" t="str">
        <f t="shared" si="57"/>
        <v>structure with developmental contribution from neural crest</v>
      </c>
      <c r="G4091" s="9" t="s">
        <v>5090</v>
      </c>
      <c r="H4091" s="9" t="s">
        <v>24465</v>
      </c>
      <c r="I4091" s="9" t="s">
        <v>7611</v>
      </c>
      <c r="J4091" s="9" t="s">
        <v>7612</v>
      </c>
      <c r="K4091" s="4" t="s">
        <v>15175</v>
      </c>
      <c r="L4091" s="13">
        <v>12639</v>
      </c>
      <c r="M4091" t="str">
        <f>VLOOKUP(L4091,[1]Human_BrainSpan!$B$2:$C$4000,2,FALSE)</f>
        <v>MdD</v>
      </c>
    </row>
    <row r="4092" spans="2:13" x14ac:dyDescent="0.25">
      <c r="B4092" s="31" t="s">
        <v>26303</v>
      </c>
      <c r="C4092" s="25" t="s">
        <v>3071</v>
      </c>
      <c r="D4092" s="25" t="s">
        <v>26232</v>
      </c>
      <c r="E4092" s="25"/>
      <c r="F4092" s="9" t="str">
        <f t="shared" si="57"/>
        <v>structure with developmental contribution from neural crest</v>
      </c>
      <c r="G4092" s="9" t="s">
        <v>5090</v>
      </c>
      <c r="H4092" s="9" t="s">
        <v>24466</v>
      </c>
      <c r="I4092" s="9" t="s">
        <v>7613</v>
      </c>
      <c r="J4092" s="9" t="s">
        <v>7614</v>
      </c>
      <c r="K4092" s="4" t="s">
        <v>15175</v>
      </c>
      <c r="L4092" s="13">
        <v>12640</v>
      </c>
      <c r="M4092" t="str">
        <f>VLOOKUP(L4092,[1]Human_BrainSpan!$B$2:$C$4000,2,FALSE)</f>
        <v>MdV</v>
      </c>
    </row>
    <row r="4093" spans="2:13" x14ac:dyDescent="0.25">
      <c r="B4093" s="31" t="s">
        <v>26303</v>
      </c>
      <c r="C4093" s="25" t="s">
        <v>26035</v>
      </c>
      <c r="D4093" s="25" t="s">
        <v>26232</v>
      </c>
      <c r="E4093" s="25"/>
      <c r="F4093" s="9" t="str">
        <f t="shared" si="57"/>
        <v>structure with developmental contribution from neural crest</v>
      </c>
      <c r="G4093" s="9" t="s">
        <v>5090</v>
      </c>
      <c r="H4093" s="9" t="s">
        <v>24469</v>
      </c>
      <c r="I4093" s="9" t="s">
        <v>7615</v>
      </c>
      <c r="J4093" s="9" t="s">
        <v>7616</v>
      </c>
      <c r="K4093" s="4" t="s">
        <v>15175</v>
      </c>
      <c r="L4093" s="13">
        <v>12641</v>
      </c>
      <c r="M4093" t="str">
        <f>VLOOKUP(L4093,[1]Human_BrainSpan!$B$2:$C$4000,2,FALSE)</f>
        <v>MoRa</v>
      </c>
    </row>
    <row r="4094" spans="2:13" x14ac:dyDescent="0.25">
      <c r="B4094" s="31" t="s">
        <v>26303</v>
      </c>
      <c r="C4094" s="25" t="s">
        <v>3357</v>
      </c>
      <c r="D4094" s="25" t="s">
        <v>26232</v>
      </c>
      <c r="E4094" s="25"/>
      <c r="F4094" s="9" t="str">
        <f t="shared" si="57"/>
        <v>structure with developmental contribution from neural crest</v>
      </c>
      <c r="G4094" s="9" t="s">
        <v>5090</v>
      </c>
      <c r="H4094" s="9" t="s">
        <v>24470</v>
      </c>
      <c r="I4094" s="9" t="s">
        <v>3355</v>
      </c>
      <c r="J4094" s="9" t="s">
        <v>3356</v>
      </c>
      <c r="K4094" s="4" t="s">
        <v>15175</v>
      </c>
      <c r="L4094" s="13">
        <v>12642</v>
      </c>
      <c r="M4094" t="str">
        <f>VLOOKUP(L4094,[1]Human_BrainSpan!$B$2:$C$4000,2,FALSE)</f>
        <v>RMg</v>
      </c>
    </row>
    <row r="4095" spans="2:13" x14ac:dyDescent="0.25">
      <c r="B4095" s="31" t="s">
        <v>26303</v>
      </c>
      <c r="C4095" s="25" t="s">
        <v>3363</v>
      </c>
      <c r="D4095" s="25" t="s">
        <v>26232</v>
      </c>
      <c r="E4095" s="25"/>
      <c r="F4095" s="9" t="str">
        <f t="shared" si="57"/>
        <v>structure with developmental contribution from neural crest</v>
      </c>
      <c r="G4095" s="9" t="s">
        <v>5090</v>
      </c>
      <c r="H4095" s="9" t="s">
        <v>24471</v>
      </c>
      <c r="I4095" s="9" t="s">
        <v>3361</v>
      </c>
      <c r="J4095" s="9" t="s">
        <v>3362</v>
      </c>
      <c r="K4095" s="4" t="s">
        <v>15175</v>
      </c>
      <c r="L4095" s="13">
        <v>12643</v>
      </c>
      <c r="M4095" t="str">
        <f>VLOOKUP(L4095,[1]Human_BrainSpan!$B$2:$C$4000,2,FALSE)</f>
        <v>ROb</v>
      </c>
    </row>
    <row r="4096" spans="2:13" x14ac:dyDescent="0.25">
      <c r="B4096" s="31" t="s">
        <v>26303</v>
      </c>
      <c r="C4096" s="25" t="s">
        <v>3369</v>
      </c>
      <c r="D4096" s="25" t="s">
        <v>26232</v>
      </c>
      <c r="E4096" s="25"/>
      <c r="F4096" s="9" t="str">
        <f t="shared" si="57"/>
        <v>structure with developmental contribution from neural crest</v>
      </c>
      <c r="G4096" s="9" t="s">
        <v>5090</v>
      </c>
      <c r="H4096" s="9" t="s">
        <v>15314</v>
      </c>
      <c r="I4096" s="9" t="s">
        <v>3367</v>
      </c>
      <c r="J4096" s="9" t="s">
        <v>3368</v>
      </c>
      <c r="K4096" s="4" t="s">
        <v>15175</v>
      </c>
      <c r="L4096" s="13">
        <v>12644</v>
      </c>
      <c r="M4096" t="str">
        <f>VLOOKUP(L4096,[1]Human_BrainSpan!$B$2:$C$4000,2,FALSE)</f>
        <v>RPa</v>
      </c>
    </row>
    <row r="4097" spans="2:13" x14ac:dyDescent="0.25">
      <c r="B4097" s="31" t="s">
        <v>26303</v>
      </c>
      <c r="C4097" s="20"/>
      <c r="D4097" s="25" t="s">
        <v>26232</v>
      </c>
      <c r="E4097" s="25" t="s">
        <v>26300</v>
      </c>
      <c r="F4097" s="9" t="str">
        <f t="shared" si="57"/>
        <v>structure with developmental contribution from neural crest</v>
      </c>
      <c r="G4097" s="9" t="s">
        <v>5090</v>
      </c>
      <c r="H4097" s="9" t="s">
        <v>24473</v>
      </c>
      <c r="I4097" s="9" t="s">
        <v>7617</v>
      </c>
      <c r="J4097" s="9" t="s">
        <v>7618</v>
      </c>
      <c r="K4097" s="4" t="s">
        <v>15175</v>
      </c>
      <c r="L4097" s="13">
        <v>12645</v>
      </c>
      <c r="M4097" t="str">
        <f>VLOOKUP(L4097,[1]Human_BrainSpan!$B$2:$C$4000,2,FALSE)</f>
        <v>XMoTg</v>
      </c>
    </row>
    <row r="4098" spans="2:13" x14ac:dyDescent="0.25">
      <c r="B4098" s="31" t="s">
        <v>26303</v>
      </c>
      <c r="C4098" s="25"/>
      <c r="D4098" s="25" t="s">
        <v>26232</v>
      </c>
      <c r="E4098" s="25" t="s">
        <v>26300</v>
      </c>
      <c r="F4098" s="9" t="str">
        <f t="shared" si="57"/>
        <v>structure with developmental contribution from neural crest</v>
      </c>
      <c r="G4098" s="9" t="s">
        <v>5090</v>
      </c>
      <c r="H4098" s="9" t="s">
        <v>24476</v>
      </c>
      <c r="I4098" s="9" t="s">
        <v>7619</v>
      </c>
      <c r="J4098" s="9" t="s">
        <v>7620</v>
      </c>
      <c r="K4098" s="4" t="s">
        <v>15175</v>
      </c>
      <c r="L4098" s="13">
        <v>12646</v>
      </c>
      <c r="M4098" t="str">
        <f>VLOOKUP(L4098,[1]Human_BrainSpan!$B$2:$C$4000,2,FALSE)</f>
        <v>Bo</v>
      </c>
    </row>
    <row r="4099" spans="2:13" x14ac:dyDescent="0.25">
      <c r="B4099" s="31" t="s">
        <v>26303</v>
      </c>
      <c r="C4099" s="20"/>
      <c r="D4099" s="25" t="s">
        <v>26232</v>
      </c>
      <c r="E4099" s="25" t="s">
        <v>26309</v>
      </c>
      <c r="F4099" s="9" t="str">
        <f t="shared" si="57"/>
        <v>structure with developmental contribution from neural crest</v>
      </c>
      <c r="G4099" s="9" t="s">
        <v>5090</v>
      </c>
      <c r="H4099" s="9" t="s">
        <v>24477</v>
      </c>
      <c r="I4099" s="9" t="s">
        <v>4469</v>
      </c>
      <c r="J4099" s="9" t="s">
        <v>4470</v>
      </c>
      <c r="K4099" s="4" t="s">
        <v>15175</v>
      </c>
      <c r="L4099" s="13">
        <v>12647</v>
      </c>
      <c r="M4099" t="str">
        <f>VLOOKUP(L4099,[1]Human_BrainSpan!$B$2:$C$4000,2,FALSE)</f>
        <v>CGL</v>
      </c>
    </row>
    <row r="4100" spans="2:13" x14ac:dyDescent="0.25">
      <c r="B4100" s="31" t="s">
        <v>26303</v>
      </c>
      <c r="C4100" s="25" t="s">
        <v>1754</v>
      </c>
      <c r="D4100" s="25" t="s">
        <v>26232</v>
      </c>
      <c r="E4100" s="25"/>
      <c r="F4100" s="9" t="str">
        <f t="shared" si="57"/>
        <v>structure with developmental contribution from neural crest</v>
      </c>
      <c r="G4100" s="9" t="s">
        <v>5090</v>
      </c>
      <c r="H4100" s="9" t="s">
        <v>24481</v>
      </c>
      <c r="I4100" s="9" t="s">
        <v>1754</v>
      </c>
      <c r="J4100" s="9" t="s">
        <v>1755</v>
      </c>
      <c r="K4100" s="4" t="s">
        <v>15175</v>
      </c>
      <c r="L4100" s="13">
        <v>12648</v>
      </c>
      <c r="M4100" t="str">
        <f>VLOOKUP(L4100,[1]Human_BrainSpan!$B$2:$C$4000,2,FALSE)</f>
        <v>EL</v>
      </c>
    </row>
    <row r="4101" spans="2:13" x14ac:dyDescent="0.25">
      <c r="B4101" s="31" t="s">
        <v>26303</v>
      </c>
      <c r="C4101" s="25" t="s">
        <v>1772</v>
      </c>
      <c r="D4101" s="25" t="s">
        <v>26232</v>
      </c>
      <c r="E4101" s="25"/>
      <c r="F4101" s="9" t="str">
        <f t="shared" si="57"/>
        <v>structure with developmental contribution from neural crest</v>
      </c>
      <c r="G4101" s="9" t="s">
        <v>5090</v>
      </c>
      <c r="H4101" s="9" t="s">
        <v>24482</v>
      </c>
      <c r="I4101" s="9" t="s">
        <v>1772</v>
      </c>
      <c r="J4101" s="9" t="s">
        <v>1773</v>
      </c>
      <c r="K4101" s="4" t="s">
        <v>15175</v>
      </c>
      <c r="L4101" s="13">
        <v>12649</v>
      </c>
      <c r="M4101" t="str">
        <f>VLOOKUP(L4101,[1]Human_BrainSpan!$B$2:$C$4000,2,FALSE)</f>
        <v>EF</v>
      </c>
    </row>
    <row r="4102" spans="2:13" x14ac:dyDescent="0.25">
      <c r="B4102" s="31" t="s">
        <v>26303</v>
      </c>
      <c r="C4102" s="20"/>
      <c r="D4102" s="25" t="s">
        <v>26185</v>
      </c>
      <c r="E4102" s="25" t="s">
        <v>26300</v>
      </c>
      <c r="F4102" s="9" t="str">
        <f t="shared" si="57"/>
        <v>structure with developmental contribution from neural crest</v>
      </c>
      <c r="G4102" s="9" t="s">
        <v>5090</v>
      </c>
      <c r="H4102" s="9" t="s">
        <v>24483</v>
      </c>
      <c r="I4102" s="9" t="s">
        <v>7621</v>
      </c>
      <c r="J4102" s="9" t="s">
        <v>7622</v>
      </c>
      <c r="K4102" s="4" t="s">
        <v>15175</v>
      </c>
      <c r="L4102" s="13">
        <v>12650</v>
      </c>
      <c r="M4102" t="str">
        <f>VLOOKUP(L4102,[1]Human_BrainSpan!$B$2:$C$4000,2,FALSE)</f>
        <v>IF12</v>
      </c>
    </row>
    <row r="4103" spans="2:13" x14ac:dyDescent="0.25">
      <c r="B4103" s="31" t="s">
        <v>26303</v>
      </c>
      <c r="C4103" s="20"/>
      <c r="D4103" s="25" t="s">
        <v>26232</v>
      </c>
      <c r="E4103" s="25" t="s">
        <v>26309</v>
      </c>
      <c r="F4103" s="9" t="str">
        <f t="shared" si="57"/>
        <v>structure with developmental contribution from neural crest</v>
      </c>
      <c r="G4103" s="9" t="s">
        <v>5090</v>
      </c>
      <c r="H4103" s="9" t="s">
        <v>24485</v>
      </c>
      <c r="I4103" s="9" t="s">
        <v>7623</v>
      </c>
      <c r="J4103" s="9" t="s">
        <v>7624</v>
      </c>
      <c r="K4103" s="4" t="s">
        <v>15175</v>
      </c>
      <c r="L4103" s="13">
        <v>12651</v>
      </c>
      <c r="M4103" t="str">
        <f>VLOOKUP(L4103,[1]Human_BrainSpan!$B$2:$C$4000,2,FALSE)</f>
        <v>Z</v>
      </c>
    </row>
    <row r="4104" spans="2:13" x14ac:dyDescent="0.25">
      <c r="B4104" s="31" t="s">
        <v>26303</v>
      </c>
      <c r="C4104" s="20"/>
      <c r="D4104" s="25" t="s">
        <v>26232</v>
      </c>
      <c r="E4104" s="25" t="s">
        <v>26309</v>
      </c>
      <c r="F4104" s="9" t="str">
        <f t="shared" si="57"/>
        <v>structure with developmental contribution from neural crest</v>
      </c>
      <c r="G4104" s="9" t="s">
        <v>5090</v>
      </c>
      <c r="H4104" s="9" t="s">
        <v>24486</v>
      </c>
      <c r="I4104" s="9" t="s">
        <v>7625</v>
      </c>
      <c r="J4104" s="9" t="s">
        <v>7626</v>
      </c>
      <c r="K4104" s="4" t="s">
        <v>15175</v>
      </c>
      <c r="L4104" s="13">
        <v>12652</v>
      </c>
      <c r="M4104" t="str">
        <f>VLOOKUP(L4104,[1]Human_BrainSpan!$B$2:$C$4000,2,FALSE)</f>
        <v>Y</v>
      </c>
    </row>
    <row r="4105" spans="2:13" x14ac:dyDescent="0.25">
      <c r="B4105" s="31" t="s">
        <v>26303</v>
      </c>
      <c r="C4105" s="25" t="s">
        <v>26233</v>
      </c>
      <c r="D4105" s="25" t="s">
        <v>26232</v>
      </c>
      <c r="E4105" s="25"/>
      <c r="F4105" s="9" t="str">
        <f t="shared" si="57"/>
        <v>structure with developmental contribution from neural crest</v>
      </c>
      <c r="G4105" s="9" t="s">
        <v>5090</v>
      </c>
      <c r="H4105" s="9" t="s">
        <v>24487</v>
      </c>
      <c r="I4105" s="9" t="s">
        <v>7627</v>
      </c>
      <c r="J4105" s="9" t="s">
        <v>7628</v>
      </c>
      <c r="K4105" s="4" t="s">
        <v>15175</v>
      </c>
      <c r="L4105" s="13">
        <v>12654</v>
      </c>
      <c r="M4105" t="str">
        <f>VLOOKUP(L4105,[1]Human_BrainSpan!$B$2:$C$4000,2,FALSE)</f>
        <v>Ro</v>
      </c>
    </row>
    <row r="4106" spans="2:13" x14ac:dyDescent="0.25">
      <c r="B4106" s="31" t="s">
        <v>26303</v>
      </c>
      <c r="C4106" s="20"/>
      <c r="D4106" s="25" t="s">
        <v>26232</v>
      </c>
      <c r="E4106" s="25" t="s">
        <v>26300</v>
      </c>
      <c r="F4106" s="9" t="str">
        <f t="shared" si="57"/>
        <v>structure with developmental contribution from neural crest</v>
      </c>
      <c r="G4106" s="9" t="s">
        <v>5090</v>
      </c>
      <c r="H4106" s="9" t="s">
        <v>24488</v>
      </c>
      <c r="I4106" s="9" t="s">
        <v>7629</v>
      </c>
      <c r="J4106" s="9" t="s">
        <v>7630</v>
      </c>
      <c r="K4106" s="4" t="s">
        <v>15175</v>
      </c>
      <c r="L4106" s="13">
        <v>12655</v>
      </c>
      <c r="M4106" t="str">
        <f>VLOOKUP(L4106,[1]Human_BrainSpan!$B$2:$C$4000,2,FALSE)</f>
        <v>PaRa</v>
      </c>
    </row>
    <row r="4107" spans="2:13" x14ac:dyDescent="0.25">
      <c r="B4107" s="31" t="s">
        <v>26303</v>
      </c>
      <c r="C4107" s="25" t="s">
        <v>3629</v>
      </c>
      <c r="D4107" s="25" t="s">
        <v>26232</v>
      </c>
      <c r="E4107" s="25"/>
      <c r="F4107" s="9" t="str">
        <f t="shared" si="57"/>
        <v>structure with developmental contribution from neural crest</v>
      </c>
      <c r="G4107" s="9" t="s">
        <v>5090</v>
      </c>
      <c r="H4107" s="9" t="s">
        <v>20445</v>
      </c>
      <c r="I4107" s="9" t="s">
        <v>3629</v>
      </c>
      <c r="J4107" s="9" t="s">
        <v>3630</v>
      </c>
      <c r="K4107" s="4" t="s">
        <v>15175</v>
      </c>
      <c r="L4107" s="13">
        <v>12656</v>
      </c>
      <c r="M4107" t="str">
        <f>VLOOKUP(L4107,[1]Human_BrainSpan!$B$2:$C$4000,2,FALSE)</f>
        <v>Pa5</v>
      </c>
    </row>
    <row r="4108" spans="2:13" x14ac:dyDescent="0.25">
      <c r="B4108" s="31" t="s">
        <v>26303</v>
      </c>
      <c r="C4108" s="25"/>
      <c r="D4108" s="25" t="s">
        <v>26185</v>
      </c>
      <c r="E4108" s="25" t="s">
        <v>26300</v>
      </c>
      <c r="F4108" s="9" t="str">
        <f t="shared" si="57"/>
        <v>structure with developmental contribution from neural crest</v>
      </c>
      <c r="G4108" s="9" t="s">
        <v>5090</v>
      </c>
      <c r="H4108" s="9" t="s">
        <v>24489</v>
      </c>
      <c r="I4108" s="9" t="s">
        <v>7631</v>
      </c>
      <c r="J4108" s="9" t="s">
        <v>7632</v>
      </c>
      <c r="K4108" s="4" t="s">
        <v>15175</v>
      </c>
      <c r="L4108" s="13">
        <v>12657</v>
      </c>
      <c r="M4108" t="str">
        <f>VLOOKUP(L4108,[1]Human_BrainSpan!$B$2:$C$4000,2,FALSE)</f>
        <v>PeCu</v>
      </c>
    </row>
    <row r="4109" spans="2:13" x14ac:dyDescent="0.25">
      <c r="B4109" s="31" t="s">
        <v>26303</v>
      </c>
      <c r="C4109" s="25" t="s">
        <v>3629</v>
      </c>
      <c r="D4109" s="25" t="s">
        <v>26232</v>
      </c>
      <c r="E4109" s="25"/>
      <c r="F4109" s="9" t="str">
        <f t="shared" si="57"/>
        <v>structure with developmental contribution from neural crest</v>
      </c>
      <c r="G4109" s="9" t="s">
        <v>5090</v>
      </c>
      <c r="H4109" s="9" t="s">
        <v>24490</v>
      </c>
      <c r="I4109" s="9" t="s">
        <v>3818</v>
      </c>
      <c r="J4109" s="9" t="s">
        <v>3819</v>
      </c>
      <c r="K4109" s="4" t="s">
        <v>15175</v>
      </c>
      <c r="L4109" s="13">
        <v>12658</v>
      </c>
      <c r="M4109" t="str">
        <f>VLOOKUP(L4109,[1]Human_BrainSpan!$B$2:$C$4000,2,FALSE)</f>
        <v>Pe5</v>
      </c>
    </row>
    <row r="4110" spans="2:13" x14ac:dyDescent="0.25">
      <c r="B4110" s="31" t="s">
        <v>26303</v>
      </c>
      <c r="C4110" s="9" t="s">
        <v>4714</v>
      </c>
      <c r="D4110" s="25" t="s">
        <v>26232</v>
      </c>
      <c r="E4110" s="25"/>
      <c r="F4110" s="9" t="str">
        <f t="shared" si="57"/>
        <v>structure with developmental contribution from neural crest</v>
      </c>
      <c r="G4110" s="9" t="s">
        <v>5090</v>
      </c>
      <c r="H4110" s="9" t="s">
        <v>20273</v>
      </c>
      <c r="I4110" s="9" t="s">
        <v>7633</v>
      </c>
      <c r="J4110" s="9" t="s">
        <v>7634</v>
      </c>
      <c r="K4110" s="4" t="s">
        <v>15175</v>
      </c>
      <c r="L4110" s="13">
        <v>12660</v>
      </c>
      <c r="M4110" t="str">
        <f>VLOOKUP(L4110,[1]Human_BrainSpan!$B$2:$C$4000,2,FALSE)</f>
        <v>RAmb</v>
      </c>
    </row>
    <row r="4111" spans="2:13" x14ac:dyDescent="0.25">
      <c r="B4111" s="31" t="s">
        <v>26303</v>
      </c>
      <c r="C4111" s="25" t="s">
        <v>13330</v>
      </c>
      <c r="D4111" s="25" t="s">
        <v>26232</v>
      </c>
      <c r="E4111" s="25"/>
      <c r="F4111" s="9" t="str">
        <f t="shared" si="57"/>
        <v>structure with developmental contribution from neural crest</v>
      </c>
      <c r="G4111" s="9" t="s">
        <v>5090</v>
      </c>
      <c r="H4111" s="9" t="s">
        <v>18716</v>
      </c>
      <c r="I4111" s="9" t="s">
        <v>7635</v>
      </c>
      <c r="J4111" s="9" t="s">
        <v>7636</v>
      </c>
      <c r="K4111" s="4" t="s">
        <v>15175</v>
      </c>
      <c r="L4111" s="13">
        <v>12661</v>
      </c>
      <c r="M4111" t="str">
        <f>VLOOKUP(L4111,[1]Human_BrainSpan!$B$2:$C$4000,2,FALSE)</f>
        <v>SSp</v>
      </c>
    </row>
    <row r="4112" spans="2:13" x14ac:dyDescent="0.25">
      <c r="B4112" s="31" t="s">
        <v>26303</v>
      </c>
      <c r="C4112" s="25" t="s">
        <v>26249</v>
      </c>
      <c r="D4112" s="25" t="s">
        <v>26232</v>
      </c>
      <c r="E4112" s="25"/>
      <c r="F4112" s="9" t="str">
        <f t="shared" si="57"/>
        <v>structure with developmental contribution from neural crest</v>
      </c>
      <c r="G4112" s="9" t="s">
        <v>5090</v>
      </c>
      <c r="H4112" s="9" t="s">
        <v>17800</v>
      </c>
      <c r="I4112" s="9" t="s">
        <v>7637</v>
      </c>
      <c r="J4112" s="9" t="s">
        <v>7638</v>
      </c>
      <c r="K4112" s="4" t="s">
        <v>15175</v>
      </c>
      <c r="L4112" s="13">
        <v>12662</v>
      </c>
      <c r="M4112" t="str">
        <f>VLOOKUP(L4112,[1]Human_BrainSpan!$B$2:$C$4000,2,FALSE)</f>
        <v>SGe</v>
      </c>
    </row>
    <row r="4113" spans="2:13" x14ac:dyDescent="0.25">
      <c r="B4113" s="31" t="s">
        <v>26303</v>
      </c>
      <c r="C4113" s="20"/>
      <c r="D4113" s="25" t="s">
        <v>26232</v>
      </c>
      <c r="E4113" s="25" t="s">
        <v>26300</v>
      </c>
      <c r="F4113" s="9" t="str">
        <f t="shared" si="57"/>
        <v>structure with developmental contribution from neural crest</v>
      </c>
      <c r="G4113" s="9" t="s">
        <v>5090</v>
      </c>
      <c r="H4113" s="9" t="s">
        <v>24492</v>
      </c>
      <c r="I4113" s="9" t="s">
        <v>7639</v>
      </c>
      <c r="J4113" s="9" t="s">
        <v>7640</v>
      </c>
      <c r="K4113" s="4" t="s">
        <v>15175</v>
      </c>
      <c r="L4113" s="13">
        <v>12663</v>
      </c>
      <c r="M4113" t="str">
        <f>VLOOKUP(L4113,[1]Human_BrainSpan!$B$2:$C$4000,2,FALSE)</f>
        <v>SuL</v>
      </c>
    </row>
    <row r="4114" spans="2:13" x14ac:dyDescent="0.25">
      <c r="B4114" s="31" t="s">
        <v>26303</v>
      </c>
      <c r="C4114" s="20"/>
      <c r="D4114" s="25" t="s">
        <v>26232</v>
      </c>
      <c r="E4114" s="25" t="s">
        <v>26300</v>
      </c>
      <c r="F4114" s="9" t="str">
        <f t="shared" si="57"/>
        <v>structure with developmental contribution from neural crest</v>
      </c>
      <c r="G4114" s="9" t="s">
        <v>5090</v>
      </c>
      <c r="H4114" s="9" t="s">
        <v>24538</v>
      </c>
      <c r="I4114" s="9" t="s">
        <v>7641</v>
      </c>
      <c r="J4114" s="9" t="s">
        <v>7642</v>
      </c>
      <c r="K4114" s="4" t="s">
        <v>15175</v>
      </c>
      <c r="L4114" s="13">
        <v>12665</v>
      </c>
      <c r="M4114" t="str">
        <f>VLOOKUP(L4114,[1]Human_BrainSpan!$B$2:$C$4000,2,FALSE)</f>
        <v>RhIS</v>
      </c>
    </row>
    <row r="4115" spans="2:13" x14ac:dyDescent="0.25">
      <c r="B4115" s="31" t="s">
        <v>26303</v>
      </c>
      <c r="C4115" s="20"/>
      <c r="D4115" s="25" t="s">
        <v>26232</v>
      </c>
      <c r="E4115" s="25" t="s">
        <v>26300</v>
      </c>
      <c r="F4115" s="9" t="str">
        <f t="shared" si="57"/>
        <v>structure with developmental contribution from neural crest</v>
      </c>
      <c r="G4115" s="9" t="s">
        <v>5090</v>
      </c>
      <c r="H4115" s="9" t="s">
        <v>24539</v>
      </c>
      <c r="I4115" s="9" t="s">
        <v>7643</v>
      </c>
      <c r="J4115" s="9" t="s">
        <v>7644</v>
      </c>
      <c r="K4115" s="4" t="s">
        <v>15175</v>
      </c>
      <c r="L4115" s="13">
        <v>12666</v>
      </c>
      <c r="M4115" t="str">
        <f>VLOOKUP(L4115,[1]Human_BrainSpan!$B$2:$C$4000,2,FALSE)</f>
        <v>RhA</v>
      </c>
    </row>
    <row r="4116" spans="2:13" x14ac:dyDescent="0.25">
      <c r="B4116" s="31" t="s">
        <v>26303</v>
      </c>
      <c r="C4116" s="20"/>
      <c r="D4116" s="25" t="s">
        <v>26232</v>
      </c>
      <c r="E4116" s="25" t="s">
        <v>26300</v>
      </c>
      <c r="F4116" s="9" t="str">
        <f t="shared" si="57"/>
        <v>structure with developmental contribution from neural crest</v>
      </c>
      <c r="G4116" s="9" t="s">
        <v>5090</v>
      </c>
      <c r="H4116" s="9" t="s">
        <v>24543</v>
      </c>
      <c r="I4116" s="9" t="s">
        <v>7645</v>
      </c>
      <c r="J4116" s="9" t="s">
        <v>7646</v>
      </c>
      <c r="K4116" s="4" t="s">
        <v>15175</v>
      </c>
      <c r="L4116" s="13">
        <v>12670</v>
      </c>
      <c r="M4116" t="str">
        <f>VLOOKUP(L4116,[1]Human_BrainSpan!$B$2:$C$4000,2,FALSE)</f>
        <v>RhB</v>
      </c>
    </row>
    <row r="4117" spans="2:13" x14ac:dyDescent="0.25">
      <c r="B4117" s="31" t="s">
        <v>26303</v>
      </c>
      <c r="C4117" s="20"/>
      <c r="D4117" s="25" t="s">
        <v>26232</v>
      </c>
      <c r="E4117" s="25" t="s">
        <v>26300</v>
      </c>
      <c r="F4117" s="9" t="str">
        <f t="shared" si="57"/>
        <v>structure with developmental contribution from neural crest</v>
      </c>
      <c r="G4117" s="9" t="s">
        <v>5090</v>
      </c>
      <c r="H4117" s="9" t="s">
        <v>24545</v>
      </c>
      <c r="I4117" s="9" t="s">
        <v>7647</v>
      </c>
      <c r="J4117" s="9" t="s">
        <v>7648</v>
      </c>
      <c r="K4117" s="4" t="s">
        <v>15175</v>
      </c>
      <c r="L4117" s="13">
        <v>12672</v>
      </c>
      <c r="M4117" t="str">
        <f>VLOOKUP(L4117,[1]Human_BrainSpan!$B$2:$C$4000,2,FALSE)</f>
        <v>RhC</v>
      </c>
    </row>
    <row r="4118" spans="2:13" x14ac:dyDescent="0.25">
      <c r="B4118" s="31" t="s">
        <v>26303</v>
      </c>
      <c r="C4118" s="20"/>
      <c r="D4118" s="25" t="s">
        <v>26232</v>
      </c>
      <c r="E4118" s="25" t="s">
        <v>26300</v>
      </c>
      <c r="F4118" s="9" t="str">
        <f t="shared" si="57"/>
        <v>structure with developmental contribution from neural crest</v>
      </c>
      <c r="G4118" s="9" t="s">
        <v>5090</v>
      </c>
      <c r="H4118" s="9" t="s">
        <v>24549</v>
      </c>
      <c r="I4118" s="9" t="s">
        <v>7649</v>
      </c>
      <c r="J4118" s="9" t="s">
        <v>7650</v>
      </c>
      <c r="K4118" s="4" t="s">
        <v>15175</v>
      </c>
      <c r="L4118" s="13">
        <v>12676</v>
      </c>
      <c r="M4118" t="str">
        <f>VLOOKUP(L4118,[1]Human_BrainSpan!$B$2:$C$4000,2,FALSE)</f>
        <v>RhD</v>
      </c>
    </row>
    <row r="4119" spans="2:13" x14ac:dyDescent="0.25">
      <c r="B4119" s="31" t="s">
        <v>26303</v>
      </c>
      <c r="C4119" s="20"/>
      <c r="D4119" s="25" t="s">
        <v>26232</v>
      </c>
      <c r="E4119" s="25" t="s">
        <v>26306</v>
      </c>
      <c r="F4119" s="9" t="str">
        <f t="shared" si="57"/>
        <v>structure with developmental contribution from neural crest</v>
      </c>
      <c r="G4119" s="9" t="s">
        <v>5090</v>
      </c>
      <c r="H4119" s="9" t="s">
        <v>24588</v>
      </c>
      <c r="I4119" s="9" t="s">
        <v>7651</v>
      </c>
      <c r="J4119" s="9" t="s">
        <v>7652</v>
      </c>
      <c r="K4119" s="4" t="s">
        <v>15175</v>
      </c>
      <c r="L4119" s="13">
        <v>12678</v>
      </c>
      <c r="M4119" t="str">
        <f>VLOOKUP(L4119,[1]Human_BrainSpan!$B$2:$C$4000,2,FALSE)</f>
        <v>VZH</v>
      </c>
    </row>
    <row r="4120" spans="2:13" x14ac:dyDescent="0.25">
      <c r="B4120" s="37" t="s">
        <v>26299</v>
      </c>
      <c r="C4120" s="25" t="s">
        <v>1053</v>
      </c>
      <c r="D4120" s="25" t="s">
        <v>26232</v>
      </c>
      <c r="E4120" s="25" t="s">
        <v>26306</v>
      </c>
      <c r="F4120" s="9" t="str">
        <f t="shared" si="57"/>
        <v>structure with developmental contribution from neural crest</v>
      </c>
      <c r="G4120" s="9" t="s">
        <v>5090</v>
      </c>
      <c r="H4120" s="9" t="s">
        <v>24589</v>
      </c>
      <c r="I4120" s="9" t="s">
        <v>7653</v>
      </c>
      <c r="J4120" s="9" t="s">
        <v>7654</v>
      </c>
      <c r="K4120" s="4" t="s">
        <v>15175</v>
      </c>
      <c r="L4120" s="13">
        <v>12679</v>
      </c>
      <c r="M4120" t="str">
        <f>VLOOKUP(L4120,[1]Human_BrainSpan!$B$2:$C$4000,2,FALSE)</f>
        <v>VZCB</v>
      </c>
    </row>
    <row r="4121" spans="2:13" x14ac:dyDescent="0.25">
      <c r="B4121" s="31" t="s">
        <v>26299</v>
      </c>
      <c r="C4121" s="25" t="s">
        <v>3862</v>
      </c>
      <c r="D4121" s="25" t="s">
        <v>26232</v>
      </c>
      <c r="E4121" s="25"/>
      <c r="F4121" s="9" t="str">
        <f t="shared" si="57"/>
        <v>structure with developmental contribution from neural crest</v>
      </c>
      <c r="G4121" s="9" t="s">
        <v>5090</v>
      </c>
      <c r="H4121" s="9" t="s">
        <v>24590</v>
      </c>
      <c r="I4121" s="9" t="s">
        <v>7655</v>
      </c>
      <c r="J4121" s="9" t="s">
        <v>7656</v>
      </c>
      <c r="K4121" s="4" t="s">
        <v>15175</v>
      </c>
      <c r="L4121" s="13">
        <v>12680</v>
      </c>
      <c r="M4121" t="str">
        <f>VLOOKUP(L4121,[1]Human_BrainSpan!$B$2:$C$4000,2,FALSE)</f>
        <v>VZPN</v>
      </c>
    </row>
    <row r="4122" spans="2:13" x14ac:dyDescent="0.25">
      <c r="B4122" s="31" t="s">
        <v>26299</v>
      </c>
      <c r="C4122" s="25" t="s">
        <v>3198</v>
      </c>
      <c r="D4122" s="25" t="s">
        <v>26232</v>
      </c>
      <c r="E4122" s="25"/>
      <c r="F4122" s="9" t="str">
        <f t="shared" si="57"/>
        <v>structure with developmental contribution from neural crest</v>
      </c>
      <c r="G4122" s="9" t="s">
        <v>5090</v>
      </c>
      <c r="H4122" s="9" t="s">
        <v>24591</v>
      </c>
      <c r="I4122" s="9" t="s">
        <v>7657</v>
      </c>
      <c r="J4122" s="9" t="s">
        <v>7658</v>
      </c>
      <c r="K4122" s="4" t="s">
        <v>15175</v>
      </c>
      <c r="L4122" s="13">
        <v>12681</v>
      </c>
      <c r="M4122" t="str">
        <f>VLOOKUP(L4122,[1]Human_BrainSpan!$B$2:$C$4000,2,FALSE)</f>
        <v>VZMO</v>
      </c>
    </row>
    <row r="4123" spans="2:13" x14ac:dyDescent="0.25">
      <c r="B4123" s="31" t="s">
        <v>26303</v>
      </c>
      <c r="C4123" s="25" t="s">
        <v>25960</v>
      </c>
      <c r="D4123" s="25" t="s">
        <v>26232</v>
      </c>
      <c r="E4123" s="25" t="s">
        <v>26306</v>
      </c>
      <c r="F4123" s="9" t="str">
        <f t="shared" si="57"/>
        <v>structure with developmental contribution from neural crest</v>
      </c>
      <c r="G4123" s="9" t="s">
        <v>5090</v>
      </c>
      <c r="H4123" s="9" t="s">
        <v>24576</v>
      </c>
      <c r="I4123" s="9" t="s">
        <v>1668</v>
      </c>
      <c r="J4123" s="9" t="s">
        <v>1669</v>
      </c>
      <c r="K4123" s="4" t="s">
        <v>15175</v>
      </c>
      <c r="L4123" s="13">
        <v>12682</v>
      </c>
      <c r="M4123" t="str">
        <f>VLOOKUP(L4123,[1]Human_BrainSpan!$B$2:$C$4000,2,FALSE)</f>
        <v>IZH</v>
      </c>
    </row>
    <row r="4124" spans="2:13" x14ac:dyDescent="0.25">
      <c r="B4124" s="31" t="s">
        <v>26303</v>
      </c>
      <c r="C4124" s="25" t="s">
        <v>25960</v>
      </c>
      <c r="D4124" s="25" t="s">
        <v>26232</v>
      </c>
      <c r="E4124" s="25" t="s">
        <v>26306</v>
      </c>
      <c r="F4124" s="9" t="str">
        <f t="shared" si="57"/>
        <v>structure with developmental contribution from neural crest</v>
      </c>
      <c r="G4124" s="9" t="s">
        <v>5090</v>
      </c>
      <c r="H4124" s="9" t="s">
        <v>24587</v>
      </c>
      <c r="I4124" s="9" t="s">
        <v>7659</v>
      </c>
      <c r="J4124" s="9" t="s">
        <v>7660</v>
      </c>
      <c r="K4124" s="4" t="s">
        <v>15175</v>
      </c>
      <c r="L4124" s="13">
        <v>12683</v>
      </c>
      <c r="M4124" t="str">
        <f>VLOOKUP(L4124,[1]Human_BrainSpan!$B$2:$C$4000,2,FALSE)</f>
        <v>IZHro</v>
      </c>
    </row>
    <row r="4125" spans="2:13" x14ac:dyDescent="0.25">
      <c r="B4125" s="31" t="s">
        <v>26303</v>
      </c>
      <c r="C4125" s="25" t="s">
        <v>25960</v>
      </c>
      <c r="D4125" s="25" t="s">
        <v>26232</v>
      </c>
      <c r="E4125" s="25" t="s">
        <v>26306</v>
      </c>
      <c r="F4125" s="9" t="str">
        <f t="shared" si="57"/>
        <v>structure with developmental contribution from neural crest</v>
      </c>
      <c r="G4125" s="9" t="s">
        <v>5090</v>
      </c>
      <c r="H4125" s="9" t="s">
        <v>24577</v>
      </c>
      <c r="I4125" s="9" t="s">
        <v>7661</v>
      </c>
      <c r="J4125" s="9" t="s">
        <v>7662</v>
      </c>
      <c r="K4125" s="4" t="s">
        <v>15175</v>
      </c>
      <c r="L4125" s="13">
        <v>12684</v>
      </c>
      <c r="M4125" t="str">
        <f>VLOOKUP(L4125,[1]Human_BrainSpan!$B$2:$C$4000,2,FALSE)</f>
        <v>IZHal</v>
      </c>
    </row>
    <row r="4126" spans="2:13" x14ac:dyDescent="0.25">
      <c r="B4126" s="31" t="s">
        <v>26303</v>
      </c>
      <c r="C4126" s="25" t="s">
        <v>2247</v>
      </c>
      <c r="D4126" s="25" t="s">
        <v>26232</v>
      </c>
      <c r="E4126" s="25"/>
      <c r="F4126" s="9" t="str">
        <f t="shared" si="57"/>
        <v>structure with developmental contribution from neural crest</v>
      </c>
      <c r="G4126" s="9" t="s">
        <v>5090</v>
      </c>
      <c r="H4126" s="9" t="s">
        <v>24578</v>
      </c>
      <c r="I4126" s="9" t="s">
        <v>7663</v>
      </c>
      <c r="J4126" s="9" t="s">
        <v>7664</v>
      </c>
      <c r="K4126" s="4" t="s">
        <v>15175</v>
      </c>
      <c r="L4126" s="13">
        <v>12685</v>
      </c>
      <c r="M4126" t="str">
        <f>VLOOKUP(L4126,[1]Human_BrainSpan!$B$2:$C$4000,2,FALSE)</f>
        <v>SSA</v>
      </c>
    </row>
    <row r="4127" spans="2:13" x14ac:dyDescent="0.25">
      <c r="B4127" s="31" t="s">
        <v>26303</v>
      </c>
      <c r="C4127" s="25" t="s">
        <v>2247</v>
      </c>
      <c r="D4127" s="25" t="s">
        <v>26232</v>
      </c>
      <c r="E4127" s="25"/>
      <c r="F4127" s="9" t="str">
        <f t="shared" si="57"/>
        <v>structure with developmental contribution from neural crest</v>
      </c>
      <c r="G4127" s="9" t="s">
        <v>5090</v>
      </c>
      <c r="H4127" s="9" t="s">
        <v>24579</v>
      </c>
      <c r="I4127" s="9" t="s">
        <v>7665</v>
      </c>
      <c r="J4127" s="9" t="s">
        <v>7666</v>
      </c>
      <c r="K4127" s="4" t="s">
        <v>15175</v>
      </c>
      <c r="L4127" s="13">
        <v>12686</v>
      </c>
      <c r="M4127" t="str">
        <f>VLOOKUP(L4127,[1]Human_BrainSpan!$B$2:$C$4000,2,FALSE)</f>
        <v>GSA</v>
      </c>
    </row>
    <row r="4128" spans="2:13" x14ac:dyDescent="0.25">
      <c r="B4128" s="31" t="s">
        <v>26303</v>
      </c>
      <c r="C4128" s="25" t="s">
        <v>2247</v>
      </c>
      <c r="D4128" s="25" t="s">
        <v>26232</v>
      </c>
      <c r="E4128" s="25"/>
      <c r="F4128" s="9" t="str">
        <f t="shared" si="57"/>
        <v>structure with developmental contribution from neural crest</v>
      </c>
      <c r="G4128" s="9" t="s">
        <v>5090</v>
      </c>
      <c r="H4128" s="9" t="s">
        <v>24580</v>
      </c>
      <c r="I4128" s="9" t="s">
        <v>7667</v>
      </c>
      <c r="J4128" s="9" t="s">
        <v>7668</v>
      </c>
      <c r="K4128" s="4" t="s">
        <v>15175</v>
      </c>
      <c r="L4128" s="13">
        <v>12687</v>
      </c>
      <c r="M4128" t="str">
        <f>VLOOKUP(L4128,[1]Human_BrainSpan!$B$2:$C$4000,2,FALSE)</f>
        <v>GVA</v>
      </c>
    </row>
    <row r="4129" spans="2:13" x14ac:dyDescent="0.25">
      <c r="B4129" s="31" t="s">
        <v>26303</v>
      </c>
      <c r="C4129" s="25" t="s">
        <v>2247</v>
      </c>
      <c r="D4129" s="25" t="s">
        <v>26232</v>
      </c>
      <c r="E4129" s="25"/>
      <c r="F4129" s="9" t="str">
        <f t="shared" si="57"/>
        <v>structure with developmental contribution from neural crest</v>
      </c>
      <c r="G4129" s="9" t="s">
        <v>5090</v>
      </c>
      <c r="H4129" s="9" t="s">
        <v>24581</v>
      </c>
      <c r="I4129" s="9" t="s">
        <v>7669</v>
      </c>
      <c r="J4129" s="9" t="s">
        <v>7670</v>
      </c>
      <c r="K4129" s="4" t="s">
        <v>15175</v>
      </c>
      <c r="L4129" s="13">
        <v>12688</v>
      </c>
      <c r="M4129" t="str">
        <f>VLOOKUP(L4129,[1]Human_BrainSpan!$B$2:$C$4000,2,FALSE)</f>
        <v>SVA</v>
      </c>
    </row>
    <row r="4130" spans="2:13" x14ac:dyDescent="0.25">
      <c r="B4130" s="31" t="s">
        <v>26303</v>
      </c>
      <c r="C4130" s="25" t="s">
        <v>2247</v>
      </c>
      <c r="D4130" s="25" t="s">
        <v>26232</v>
      </c>
      <c r="E4130" s="25"/>
      <c r="F4130" s="9" t="str">
        <f t="shared" si="57"/>
        <v>structure with developmental contribution from neural crest</v>
      </c>
      <c r="G4130" s="9" t="s">
        <v>5090</v>
      </c>
      <c r="H4130" s="9" t="s">
        <v>24582</v>
      </c>
      <c r="I4130" s="9" t="s">
        <v>7671</v>
      </c>
      <c r="J4130" s="9" t="s">
        <v>7672</v>
      </c>
      <c r="K4130" s="4" t="s">
        <v>15175</v>
      </c>
      <c r="L4130" s="13">
        <v>12689</v>
      </c>
      <c r="M4130" t="str">
        <f>VLOOKUP(L4130,[1]Human_BrainSpan!$B$2:$C$4000,2,FALSE)</f>
        <v>IZHba</v>
      </c>
    </row>
    <row r="4131" spans="2:13" x14ac:dyDescent="0.25">
      <c r="B4131" s="31" t="s">
        <v>26303</v>
      </c>
      <c r="C4131" s="25" t="s">
        <v>2247</v>
      </c>
      <c r="D4131" s="25" t="s">
        <v>26232</v>
      </c>
      <c r="E4131" s="25"/>
      <c r="F4131" s="9" t="str">
        <f t="shared" si="57"/>
        <v>structure with developmental contribution from neural crest</v>
      </c>
      <c r="G4131" s="9" t="s">
        <v>5090</v>
      </c>
      <c r="H4131" s="9" t="s">
        <v>24583</v>
      </c>
      <c r="I4131" s="9" t="s">
        <v>7673</v>
      </c>
      <c r="J4131" s="9" t="s">
        <v>7674</v>
      </c>
      <c r="K4131" s="4" t="s">
        <v>15175</v>
      </c>
      <c r="L4131" s="13">
        <v>12690</v>
      </c>
      <c r="M4131" t="str">
        <f>VLOOKUP(L4131,[1]Human_BrainSpan!$B$2:$C$4000,2,FALSE)</f>
        <v>GVE</v>
      </c>
    </row>
    <row r="4132" spans="2:13" x14ac:dyDescent="0.25">
      <c r="B4132" s="31" t="s">
        <v>26303</v>
      </c>
      <c r="C4132" s="25" t="s">
        <v>2247</v>
      </c>
      <c r="D4132" s="25" t="s">
        <v>26232</v>
      </c>
      <c r="E4132" s="25"/>
      <c r="F4132" s="9" t="str">
        <f t="shared" si="57"/>
        <v>structure with developmental contribution from neural crest</v>
      </c>
      <c r="G4132" s="9" t="s">
        <v>5090</v>
      </c>
      <c r="H4132" s="9" t="s">
        <v>24584</v>
      </c>
      <c r="I4132" s="9" t="s">
        <v>7675</v>
      </c>
      <c r="J4132" s="9" t="s">
        <v>7676</v>
      </c>
      <c r="K4132" s="4" t="s">
        <v>15175</v>
      </c>
      <c r="L4132" s="13">
        <v>12691</v>
      </c>
      <c r="M4132" t="str">
        <f>VLOOKUP(L4132,[1]Human_BrainSpan!$B$2:$C$4000,2,FALSE)</f>
        <v>SVE</v>
      </c>
    </row>
    <row r="4133" spans="2:13" x14ac:dyDescent="0.25">
      <c r="B4133" s="31" t="s">
        <v>26303</v>
      </c>
      <c r="C4133" s="25" t="s">
        <v>2247</v>
      </c>
      <c r="D4133" s="25" t="s">
        <v>26232</v>
      </c>
      <c r="E4133" s="25"/>
      <c r="F4133" s="9" t="str">
        <f t="shared" si="57"/>
        <v>structure with developmental contribution from neural crest</v>
      </c>
      <c r="G4133" s="9" t="s">
        <v>5090</v>
      </c>
      <c r="H4133" s="9" t="s">
        <v>24585</v>
      </c>
      <c r="I4133" s="9" t="s">
        <v>7677</v>
      </c>
      <c r="J4133" s="9" t="s">
        <v>7678</v>
      </c>
      <c r="K4133" s="4" t="s">
        <v>15175</v>
      </c>
      <c r="L4133" s="13">
        <v>12692</v>
      </c>
      <c r="M4133" t="str">
        <f>VLOOKUP(L4133,[1]Human_BrainSpan!$B$2:$C$4000,2,FALSE)</f>
        <v>GSE</v>
      </c>
    </row>
    <row r="4134" spans="2:13" x14ac:dyDescent="0.25">
      <c r="B4134" s="31" t="s">
        <v>26303</v>
      </c>
      <c r="C4134" s="25" t="s">
        <v>2247</v>
      </c>
      <c r="D4134" s="25" t="s">
        <v>26232</v>
      </c>
      <c r="E4134" s="25" t="s">
        <v>26306</v>
      </c>
      <c r="F4134" s="9" t="str">
        <f t="shared" si="57"/>
        <v>structure with developmental contribution from neural crest</v>
      </c>
      <c r="G4134" s="9" t="s">
        <v>5090</v>
      </c>
      <c r="H4134" s="9" t="s">
        <v>24586</v>
      </c>
      <c r="I4134" s="9" t="s">
        <v>7679</v>
      </c>
      <c r="J4134" s="9" t="s">
        <v>7680</v>
      </c>
      <c r="K4134" s="4" t="s">
        <v>15175</v>
      </c>
      <c r="L4134" s="13">
        <v>12693</v>
      </c>
      <c r="M4134" t="str">
        <f>VLOOKUP(L4134,[1]Human_BrainSpan!$B$2:$C$4000,2,FALSE)</f>
        <v>IZHfl</v>
      </c>
    </row>
    <row r="4135" spans="2:13" x14ac:dyDescent="0.25">
      <c r="B4135" s="31" t="s">
        <v>26303</v>
      </c>
      <c r="C4135" s="25" t="s">
        <v>25961</v>
      </c>
      <c r="D4135" s="25" t="s">
        <v>26232</v>
      </c>
      <c r="E4135" s="25"/>
      <c r="F4135" s="9" t="str">
        <f t="shared" si="57"/>
        <v>structure with developmental contribution from neural crest</v>
      </c>
      <c r="G4135" s="9" t="s">
        <v>5090</v>
      </c>
      <c r="H4135" s="9" t="s">
        <v>24572</v>
      </c>
      <c r="I4135" s="9" t="s">
        <v>2252</v>
      </c>
      <c r="J4135" s="9" t="s">
        <v>2253</v>
      </c>
      <c r="K4135" s="4" t="s">
        <v>15175</v>
      </c>
      <c r="L4135" s="13">
        <v>12694</v>
      </c>
      <c r="M4135" t="str">
        <f>VLOOKUP(L4135,[1]Human_BrainSpan!$B$2:$C$4000,2,FALSE)</f>
        <v>MZH</v>
      </c>
    </row>
    <row r="4136" spans="2:13" x14ac:dyDescent="0.25">
      <c r="B4136" s="31" t="s">
        <v>26303</v>
      </c>
      <c r="C4136" s="25" t="s">
        <v>25961</v>
      </c>
      <c r="D4136" s="25" t="s">
        <v>26185</v>
      </c>
      <c r="E4136" s="25" t="s">
        <v>26300</v>
      </c>
      <c r="F4136" s="9" t="str">
        <f t="shared" si="57"/>
        <v>structure with developmental contribution from neural crest</v>
      </c>
      <c r="G4136" s="9" t="s">
        <v>5090</v>
      </c>
      <c r="H4136" s="9" t="s">
        <v>24574</v>
      </c>
      <c r="I4136" s="9" t="s">
        <v>7681</v>
      </c>
      <c r="J4136" s="9" t="s">
        <v>7682</v>
      </c>
      <c r="K4136" s="4" t="s">
        <v>15175</v>
      </c>
      <c r="L4136" s="13">
        <v>12696</v>
      </c>
      <c r="M4136" t="str">
        <f>VLOOKUP(L4136,[1]Human_BrainSpan!$B$2:$C$4000,2,FALSE)</f>
        <v>MZPN</v>
      </c>
    </row>
    <row r="4137" spans="2:13" x14ac:dyDescent="0.25">
      <c r="B4137" s="31" t="s">
        <v>26303</v>
      </c>
      <c r="C4137" s="25" t="s">
        <v>25961</v>
      </c>
      <c r="D4137" s="25" t="s">
        <v>26185</v>
      </c>
      <c r="E4137" s="25" t="s">
        <v>26300</v>
      </c>
      <c r="F4137" s="9" t="str">
        <f t="shared" si="57"/>
        <v>structure with developmental contribution from neural crest</v>
      </c>
      <c r="G4137" s="9" t="s">
        <v>5090</v>
      </c>
      <c r="H4137" s="9" t="s">
        <v>24575</v>
      </c>
      <c r="I4137" s="9" t="s">
        <v>7683</v>
      </c>
      <c r="J4137" s="9" t="s">
        <v>7684</v>
      </c>
      <c r="K4137" s="4" t="s">
        <v>15175</v>
      </c>
      <c r="L4137" s="13">
        <v>12697</v>
      </c>
      <c r="M4137" t="str">
        <f>VLOOKUP(L4137,[1]Human_BrainSpan!$B$2:$C$4000,2,FALSE)</f>
        <v>MZMO</v>
      </c>
    </row>
    <row r="4138" spans="2:13" x14ac:dyDescent="0.25">
      <c r="B4138" s="37" t="s">
        <v>26299</v>
      </c>
      <c r="C4138" s="25" t="s">
        <v>1042</v>
      </c>
      <c r="D4138" s="25" t="s">
        <v>26232</v>
      </c>
      <c r="E4138" s="25" t="s">
        <v>26306</v>
      </c>
      <c r="F4138" s="9" t="str">
        <f t="shared" si="57"/>
        <v>structure with developmental contribution from neural crest</v>
      </c>
      <c r="G4138" s="9" t="s">
        <v>5090</v>
      </c>
      <c r="H4138" s="9" t="s">
        <v>24533</v>
      </c>
      <c r="I4138" s="9" t="s">
        <v>7685</v>
      </c>
      <c r="J4138" s="9" t="s">
        <v>7686</v>
      </c>
      <c r="K4138" s="4" t="s">
        <v>15175</v>
      </c>
      <c r="L4138" s="13">
        <v>12699</v>
      </c>
      <c r="M4138" t="str">
        <f>VLOOKUP(L4138,[1]Human_BrainSpan!$B$2:$C$4000,2,FALSE)</f>
        <v>VZCbP</v>
      </c>
    </row>
    <row r="4139" spans="2:13" x14ac:dyDescent="0.25">
      <c r="B4139" s="37" t="s">
        <v>26302</v>
      </c>
      <c r="C4139" s="20"/>
      <c r="D4139" s="25" t="s">
        <v>26185</v>
      </c>
      <c r="E4139" s="25" t="s">
        <v>26300</v>
      </c>
      <c r="F4139" s="9" t="str">
        <f t="shared" si="57"/>
        <v>structure with developmental contribution from neural crest</v>
      </c>
      <c r="G4139" s="9" t="s">
        <v>5090</v>
      </c>
      <c r="H4139" s="9" t="s">
        <v>24530</v>
      </c>
      <c r="I4139" s="9" t="s">
        <v>7687</v>
      </c>
      <c r="J4139" s="9" t="s">
        <v>7688</v>
      </c>
      <c r="K4139" s="4" t="s">
        <v>15175</v>
      </c>
      <c r="L4139" s="13">
        <v>12700</v>
      </c>
      <c r="M4139" t="str">
        <f>VLOOKUP(L4139,[1]Human_BrainSpan!$B$2:$C$4000,2,FALSE)</f>
        <v>IZCbP</v>
      </c>
    </row>
    <row r="4140" spans="2:13" x14ac:dyDescent="0.25">
      <c r="B4140" s="37" t="s">
        <v>26299</v>
      </c>
      <c r="C4140" s="25" t="s">
        <v>1042</v>
      </c>
      <c r="D4140" s="25" t="s">
        <v>26232</v>
      </c>
      <c r="E4140" s="25" t="s">
        <v>26306</v>
      </c>
      <c r="F4140" s="9" t="str">
        <f t="shared" si="57"/>
        <v>structure with developmental contribution from neural crest</v>
      </c>
      <c r="G4140" s="9" t="s">
        <v>5090</v>
      </c>
      <c r="H4140" s="9" t="s">
        <v>24529</v>
      </c>
      <c r="I4140" s="9" t="s">
        <v>7689</v>
      </c>
      <c r="J4140" s="9" t="s">
        <v>7690</v>
      </c>
      <c r="K4140" s="4" t="s">
        <v>15175</v>
      </c>
      <c r="L4140" s="13">
        <v>12701</v>
      </c>
      <c r="M4140" t="str">
        <f>VLOOKUP(L4140,[1]Human_BrainSpan!$B$2:$C$4000,2,FALSE)</f>
        <v>MZCbP</v>
      </c>
    </row>
    <row r="4141" spans="2:13" x14ac:dyDescent="0.25">
      <c r="B4141" s="31" t="s">
        <v>26303</v>
      </c>
      <c r="C4141" s="25" t="s">
        <v>4756</v>
      </c>
      <c r="D4141" s="25" t="s">
        <v>26232</v>
      </c>
      <c r="E4141" s="25"/>
      <c r="F4141" s="9" t="str">
        <f t="shared" si="57"/>
        <v>structure with developmental contribution from neural crest</v>
      </c>
      <c r="G4141" s="9" t="s">
        <v>5090</v>
      </c>
      <c r="H4141" s="9" t="s">
        <v>24553</v>
      </c>
      <c r="I4141" s="9" t="s">
        <v>7691</v>
      </c>
      <c r="J4141" s="9" t="s">
        <v>7692</v>
      </c>
      <c r="K4141" s="4" t="s">
        <v>15175</v>
      </c>
      <c r="L4141" s="13">
        <v>12702</v>
      </c>
      <c r="M4141" t="str">
        <f>VLOOKUP(L4141,[1]Human_BrainSpan!$B$2:$C$4000,2,FALSE)</f>
        <v>EGLU</v>
      </c>
    </row>
    <row r="4142" spans="2:13" x14ac:dyDescent="0.25">
      <c r="B4142" s="31" t="s">
        <v>26303</v>
      </c>
      <c r="C4142" s="25" t="s">
        <v>4756</v>
      </c>
      <c r="D4142" s="25" t="s">
        <v>26232</v>
      </c>
      <c r="E4142" s="25"/>
      <c r="F4142" s="9" t="str">
        <f t="shared" si="57"/>
        <v>structure with developmental contribution from neural crest</v>
      </c>
      <c r="G4142" s="9" t="s">
        <v>5090</v>
      </c>
      <c r="H4142" s="9" t="s">
        <v>24555</v>
      </c>
      <c r="I4142" s="9" t="s">
        <v>7693</v>
      </c>
      <c r="J4142" s="9" t="s">
        <v>7694</v>
      </c>
      <c r="K4142" s="4" t="s">
        <v>15175</v>
      </c>
      <c r="L4142" s="13">
        <v>12703</v>
      </c>
      <c r="M4142" t="str">
        <f>VLOOKUP(L4142,[1]Human_BrainSpan!$B$2:$C$4000,2,FALSE)</f>
        <v>EGLL</v>
      </c>
    </row>
    <row r="4143" spans="2:13" x14ac:dyDescent="0.25">
      <c r="B4143" s="31" t="s">
        <v>26303</v>
      </c>
      <c r="C4143" s="25"/>
      <c r="D4143" s="25" t="s">
        <v>26232</v>
      </c>
      <c r="E4143" s="25" t="s">
        <v>26300</v>
      </c>
      <c r="F4143" s="9" t="str">
        <f t="shared" si="57"/>
        <v>structure with developmental contribution from neural crest</v>
      </c>
      <c r="G4143" s="9" t="s">
        <v>5090</v>
      </c>
      <c r="H4143" s="9" t="s">
        <v>24557</v>
      </c>
      <c r="I4143" s="9" t="s">
        <v>7695</v>
      </c>
      <c r="J4143" s="9" t="s">
        <v>7696</v>
      </c>
      <c r="K4143" s="4" t="s">
        <v>15175</v>
      </c>
      <c r="L4143" s="13">
        <v>12704</v>
      </c>
      <c r="M4143" t="str">
        <f>VLOOKUP(L4143,[1]Human_BrainSpan!$B$2:$C$4000,2,FALSE)</f>
        <v>MCCP</v>
      </c>
    </row>
    <row r="4144" spans="2:13" x14ac:dyDescent="0.25">
      <c r="B4144" s="31" t="s">
        <v>26303</v>
      </c>
      <c r="C4144" s="25"/>
      <c r="D4144" s="25" t="s">
        <v>26232</v>
      </c>
      <c r="E4144" s="25" t="s">
        <v>26300</v>
      </c>
      <c r="F4144" s="9" t="str">
        <f t="shared" si="57"/>
        <v>structure with developmental contribution from neural crest</v>
      </c>
      <c r="G4144" s="9" t="s">
        <v>5090</v>
      </c>
      <c r="H4144" s="9" t="s">
        <v>24558</v>
      </c>
      <c r="I4144" s="9" t="s">
        <v>7697</v>
      </c>
      <c r="J4144" s="9" t="s">
        <v>7698</v>
      </c>
      <c r="K4144" s="4" t="s">
        <v>15175</v>
      </c>
      <c r="L4144" s="13">
        <v>12705</v>
      </c>
      <c r="M4144" t="str">
        <f>VLOOKUP(L4144,[1]Human_BrainSpan!$B$2:$C$4000,2,FALSE)</f>
        <v>ICCP</v>
      </c>
    </row>
    <row r="4145" spans="2:13" x14ac:dyDescent="0.25">
      <c r="B4145" s="31" t="s">
        <v>26303</v>
      </c>
      <c r="C4145" s="25"/>
      <c r="D4145" s="25" t="s">
        <v>26232</v>
      </c>
      <c r="E4145" s="25" t="s">
        <v>26300</v>
      </c>
      <c r="F4145" s="9" t="str">
        <f t="shared" si="57"/>
        <v>structure with developmental contribution from neural crest</v>
      </c>
      <c r="G4145" s="9" t="s">
        <v>5090</v>
      </c>
      <c r="H4145" s="9" t="s">
        <v>24559</v>
      </c>
      <c r="I4145" s="9" t="s">
        <v>7699</v>
      </c>
      <c r="J4145" s="9" t="s">
        <v>7700</v>
      </c>
      <c r="K4145" s="4" t="s">
        <v>15175</v>
      </c>
      <c r="L4145" s="13">
        <v>12706</v>
      </c>
      <c r="M4145" t="str">
        <f>VLOOKUP(L4145,[1]Human_BrainSpan!$B$2:$C$4000,2,FALSE)</f>
        <v>LCCP</v>
      </c>
    </row>
    <row r="4146" spans="2:13" x14ac:dyDescent="0.25">
      <c r="B4146" s="37"/>
      <c r="C4146" s="25" t="s">
        <v>25763</v>
      </c>
      <c r="D4146" s="25" t="s">
        <v>26232</v>
      </c>
      <c r="E4146" s="25" t="s">
        <v>26306</v>
      </c>
      <c r="F4146" s="9" t="str">
        <f t="shared" si="57"/>
        <v>structure with developmental contribution from neural crest</v>
      </c>
      <c r="G4146" s="9" t="s">
        <v>5090</v>
      </c>
      <c r="H4146" s="9" t="s">
        <v>24560</v>
      </c>
      <c r="I4146" s="9" t="s">
        <v>7701</v>
      </c>
      <c r="J4146" s="9" t="s">
        <v>7702</v>
      </c>
      <c r="K4146" s="4" t="s">
        <v>15175</v>
      </c>
      <c r="L4146" s="13">
        <v>12707</v>
      </c>
      <c r="M4146" t="str">
        <f>VLOOKUP(L4146,[1]Human_BrainSpan!$B$2:$C$4000,2,FALSE)</f>
        <v>TPk</v>
      </c>
    </row>
    <row r="4147" spans="2:13" x14ac:dyDescent="0.25">
      <c r="B4147" s="37"/>
      <c r="C4147" s="25" t="s">
        <v>25763</v>
      </c>
      <c r="D4147" s="25" t="s">
        <v>26232</v>
      </c>
      <c r="E4147" s="25" t="s">
        <v>26306</v>
      </c>
      <c r="F4147" s="9" t="str">
        <f t="shared" si="57"/>
        <v>structure with developmental contribution from neural crest</v>
      </c>
      <c r="G4147" s="9" t="s">
        <v>5090</v>
      </c>
      <c r="H4147" s="9" t="s">
        <v>24561</v>
      </c>
      <c r="I4147" s="9" t="s">
        <v>7703</v>
      </c>
      <c r="J4147" s="9" t="s">
        <v>7704</v>
      </c>
      <c r="K4147" s="4" t="s">
        <v>15175</v>
      </c>
      <c r="L4147" s="13">
        <v>12708</v>
      </c>
      <c r="M4147" t="str">
        <f>VLOOKUP(L4147,[1]Human_BrainSpan!$B$2:$C$4000,2,FALSE)</f>
        <v>PkA</v>
      </c>
    </row>
    <row r="4148" spans="2:13" x14ac:dyDescent="0.25">
      <c r="B4148" s="37"/>
      <c r="C4148" s="25" t="s">
        <v>25763</v>
      </c>
      <c r="D4148" s="25" t="s">
        <v>26232</v>
      </c>
      <c r="E4148" s="25" t="s">
        <v>26306</v>
      </c>
      <c r="F4148" s="9" t="str">
        <f t="shared" si="57"/>
        <v>structure with developmental contribution from neural crest</v>
      </c>
      <c r="G4148" s="9" t="s">
        <v>5090</v>
      </c>
      <c r="H4148" s="9" t="s">
        <v>24562</v>
      </c>
      <c r="I4148" s="9" t="s">
        <v>7705</v>
      </c>
      <c r="J4148" s="9" t="s">
        <v>7706</v>
      </c>
      <c r="K4148" s="4" t="s">
        <v>15175</v>
      </c>
      <c r="L4148" s="13">
        <v>12709</v>
      </c>
      <c r="M4148" t="str">
        <f>VLOOKUP(L4148,[1]Human_BrainSpan!$B$2:$C$4000,2,FALSE)</f>
        <v>PkB</v>
      </c>
    </row>
    <row r="4149" spans="2:13" x14ac:dyDescent="0.25">
      <c r="B4149" s="37"/>
      <c r="C4149" s="25" t="s">
        <v>25763</v>
      </c>
      <c r="D4149" s="25" t="s">
        <v>26232</v>
      </c>
      <c r="E4149" s="25" t="s">
        <v>26306</v>
      </c>
      <c r="F4149" s="9" t="str">
        <f t="shared" si="57"/>
        <v>structure with developmental contribution from neural crest</v>
      </c>
      <c r="G4149" s="9" t="s">
        <v>5090</v>
      </c>
      <c r="H4149" s="9" t="s">
        <v>24563</v>
      </c>
      <c r="I4149" s="9" t="s">
        <v>7707</v>
      </c>
      <c r="J4149" s="9" t="s">
        <v>7708</v>
      </c>
      <c r="K4149" s="4" t="s">
        <v>15175</v>
      </c>
      <c r="L4149" s="13">
        <v>12710</v>
      </c>
      <c r="M4149" t="str">
        <f>VLOOKUP(L4149,[1]Human_BrainSpan!$B$2:$C$4000,2,FALSE)</f>
        <v>PkC</v>
      </c>
    </row>
    <row r="4150" spans="2:13" x14ac:dyDescent="0.25">
      <c r="B4150" s="37"/>
      <c r="C4150" s="25" t="s">
        <v>25763</v>
      </c>
      <c r="D4150" s="25" t="s">
        <v>26232</v>
      </c>
      <c r="E4150" s="25" t="s">
        <v>26306</v>
      </c>
      <c r="F4150" s="9" t="str">
        <f t="shared" si="57"/>
        <v>structure with developmental contribution from neural crest</v>
      </c>
      <c r="G4150" s="9" t="s">
        <v>5090</v>
      </c>
      <c r="H4150" s="9" t="s">
        <v>24564</v>
      </c>
      <c r="I4150" s="9" t="s">
        <v>7709</v>
      </c>
      <c r="J4150" s="9" t="s">
        <v>7710</v>
      </c>
      <c r="K4150" s="4" t="s">
        <v>15175</v>
      </c>
      <c r="L4150" s="13">
        <v>12711</v>
      </c>
      <c r="M4150" t="str">
        <f>VLOOKUP(L4150,[1]Human_BrainSpan!$B$2:$C$4000,2,FALSE)</f>
        <v>PkD</v>
      </c>
    </row>
    <row r="4151" spans="2:13" x14ac:dyDescent="0.25">
      <c r="B4151" s="37"/>
      <c r="C4151" s="25" t="s">
        <v>25763</v>
      </c>
      <c r="D4151" s="25" t="s">
        <v>26232</v>
      </c>
      <c r="E4151" s="25" t="s">
        <v>26306</v>
      </c>
      <c r="F4151" s="9" t="str">
        <f t="shared" ref="F4151:F4214" si="58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4151" s="9" t="s">
        <v>5090</v>
      </c>
      <c r="H4151" s="9" t="s">
        <v>24565</v>
      </c>
      <c r="I4151" s="9" t="s">
        <v>7711</v>
      </c>
      <c r="J4151" s="9" t="s">
        <v>7712</v>
      </c>
      <c r="K4151" s="4" t="s">
        <v>15175</v>
      </c>
      <c r="L4151" s="13">
        <v>12712</v>
      </c>
      <c r="M4151" t="str">
        <f>VLOOKUP(L4151,[1]Human_BrainSpan!$B$2:$C$4000,2,FALSE)</f>
        <v>PkE</v>
      </c>
    </row>
    <row r="4152" spans="2:13" x14ac:dyDescent="0.25">
      <c r="B4152" s="37"/>
      <c r="C4152" s="25" t="s">
        <v>25763</v>
      </c>
      <c r="D4152" s="25" t="s">
        <v>26232</v>
      </c>
      <c r="E4152" s="25" t="s">
        <v>26306</v>
      </c>
      <c r="F4152" s="9" t="str">
        <f t="shared" si="58"/>
        <v>structure with developmental contribution from neural crest</v>
      </c>
      <c r="G4152" s="9" t="s">
        <v>5090</v>
      </c>
      <c r="H4152" s="9" t="s">
        <v>24566</v>
      </c>
      <c r="I4152" s="9" t="s">
        <v>7713</v>
      </c>
      <c r="J4152" s="9" t="s">
        <v>7714</v>
      </c>
      <c r="K4152" s="4" t="s">
        <v>15175</v>
      </c>
      <c r="L4152" s="13">
        <v>12713</v>
      </c>
      <c r="M4152" t="str">
        <f>VLOOKUP(L4152,[1]Human_BrainSpan!$B$2:$C$4000,2,FALSE)</f>
        <v>PkF</v>
      </c>
    </row>
    <row r="4153" spans="2:13" x14ac:dyDescent="0.25">
      <c r="B4153" s="37"/>
      <c r="C4153" s="25" t="s">
        <v>25763</v>
      </c>
      <c r="D4153" s="25" t="s">
        <v>26232</v>
      </c>
      <c r="E4153" s="25" t="s">
        <v>26306</v>
      </c>
      <c r="F4153" s="9" t="str">
        <f t="shared" si="58"/>
        <v>structure with developmental contribution from neural crest</v>
      </c>
      <c r="G4153" s="9" t="s">
        <v>5090</v>
      </c>
      <c r="H4153" s="9" t="s">
        <v>24567</v>
      </c>
      <c r="I4153" s="9" t="s">
        <v>7715</v>
      </c>
      <c r="J4153" s="9" t="s">
        <v>7716</v>
      </c>
      <c r="K4153" s="4" t="s">
        <v>15175</v>
      </c>
      <c r="L4153" s="13">
        <v>12714</v>
      </c>
      <c r="M4153" t="str">
        <f>VLOOKUP(L4153,[1]Human_BrainSpan!$B$2:$C$4000,2,FALSE)</f>
        <v>PkG</v>
      </c>
    </row>
    <row r="4154" spans="2:13" x14ac:dyDescent="0.25">
      <c r="B4154" s="37"/>
      <c r="C4154" s="25" t="s">
        <v>25763</v>
      </c>
      <c r="D4154" s="25" t="s">
        <v>26232</v>
      </c>
      <c r="E4154" s="25" t="s">
        <v>26306</v>
      </c>
      <c r="F4154" s="9" t="str">
        <f t="shared" si="58"/>
        <v>structure with developmental contribution from neural crest</v>
      </c>
      <c r="G4154" s="9" t="s">
        <v>5090</v>
      </c>
      <c r="H4154" s="9" t="s">
        <v>17388</v>
      </c>
      <c r="I4154" s="9" t="s">
        <v>7717</v>
      </c>
      <c r="J4154" s="9" t="s">
        <v>7718</v>
      </c>
      <c r="K4154" s="4" t="s">
        <v>15175</v>
      </c>
      <c r="L4154" s="13">
        <v>12715</v>
      </c>
      <c r="M4154" t="str">
        <f>VLOOKUP(L4154,[1]Human_BrainSpan!$B$2:$C$4000,2,FALSE)</f>
        <v>PkH</v>
      </c>
    </row>
    <row r="4155" spans="2:13" x14ac:dyDescent="0.25">
      <c r="B4155" s="37" t="s">
        <v>26303</v>
      </c>
      <c r="C4155" s="20"/>
      <c r="D4155" s="25" t="s">
        <v>26232</v>
      </c>
      <c r="E4155" s="25" t="s">
        <v>26300</v>
      </c>
      <c r="F4155" s="9" t="str">
        <f t="shared" si="58"/>
        <v>structure with developmental contribution from neural crest</v>
      </c>
      <c r="G4155" s="9" t="s">
        <v>5090</v>
      </c>
      <c r="H4155" s="9" t="s">
        <v>24534</v>
      </c>
      <c r="I4155" s="9" t="s">
        <v>7719</v>
      </c>
      <c r="J4155" s="9" t="s">
        <v>7720</v>
      </c>
      <c r="K4155" s="4" t="s">
        <v>15175</v>
      </c>
      <c r="L4155" s="13">
        <v>12716</v>
      </c>
      <c r="M4155" t="str">
        <f>VLOOKUP(L4155,[1]Human_BrainSpan!$B$2:$C$4000,2,FALSE)</f>
        <v>CbS</v>
      </c>
    </row>
    <row r="4156" spans="2:13" x14ac:dyDescent="0.25">
      <c r="B4156" s="37" t="s">
        <v>26303</v>
      </c>
      <c r="C4156" s="20"/>
      <c r="D4156" s="25" t="s">
        <v>26232</v>
      </c>
      <c r="E4156" s="25" t="s">
        <v>26300</v>
      </c>
      <c r="F4156" s="9" t="str">
        <f t="shared" si="58"/>
        <v>structure with developmental contribution from neural crest</v>
      </c>
      <c r="G4156" s="9" t="s">
        <v>5090</v>
      </c>
      <c r="H4156" s="9" t="s">
        <v>24535</v>
      </c>
      <c r="I4156" s="9" t="s">
        <v>7721</v>
      </c>
      <c r="J4156" s="9" t="s">
        <v>7722</v>
      </c>
      <c r="K4156" s="4" t="s">
        <v>15175</v>
      </c>
      <c r="L4156" s="13">
        <v>12717</v>
      </c>
      <c r="M4156" t="str">
        <f>VLOOKUP(L4156,[1]Human_BrainSpan!$B$2:$C$4000,2,FALSE)</f>
        <v>CbSi</v>
      </c>
    </row>
    <row r="4157" spans="2:13" x14ac:dyDescent="0.25">
      <c r="B4157" s="37" t="s">
        <v>26303</v>
      </c>
      <c r="C4157" s="20"/>
      <c r="D4157" s="25" t="s">
        <v>26232</v>
      </c>
      <c r="E4157" s="25" t="s">
        <v>26300</v>
      </c>
      <c r="F4157" s="9" t="str">
        <f t="shared" si="58"/>
        <v>structure with developmental contribution from neural crest</v>
      </c>
      <c r="G4157" s="9" t="s">
        <v>5090</v>
      </c>
      <c r="H4157" s="9" t="s">
        <v>24536</v>
      </c>
      <c r="I4157" s="9" t="s">
        <v>7723</v>
      </c>
      <c r="J4157" s="9" t="s">
        <v>7724</v>
      </c>
      <c r="K4157" s="4" t="s">
        <v>15175</v>
      </c>
      <c r="L4157" s="13">
        <v>12718</v>
      </c>
      <c r="M4157" t="str">
        <f>VLOOKUP(L4157,[1]Human_BrainSpan!$B$2:$C$4000,2,FALSE)</f>
        <v>CbSe</v>
      </c>
    </row>
    <row r="4158" spans="2:13" x14ac:dyDescent="0.25">
      <c r="B4158" s="31" t="s">
        <v>26303</v>
      </c>
      <c r="C4158" s="20"/>
      <c r="D4158" s="25" t="s">
        <v>26232</v>
      </c>
      <c r="E4158" s="25" t="s">
        <v>26300</v>
      </c>
      <c r="F4158" s="9" t="str">
        <f t="shared" si="58"/>
        <v>structure with developmental contribution from neural crest</v>
      </c>
      <c r="G4158" s="9" t="s">
        <v>5090</v>
      </c>
      <c r="H4158" s="9" t="s">
        <v>24592</v>
      </c>
      <c r="I4158" s="9" t="s">
        <v>7725</v>
      </c>
      <c r="J4158" s="9" t="s">
        <v>7726</v>
      </c>
      <c r="K4158" s="4" t="s">
        <v>15175</v>
      </c>
      <c r="L4158" s="13">
        <v>12719</v>
      </c>
      <c r="M4158" t="str">
        <f>VLOOKUP(L4158,[1]Human_BrainSpan!$B$2:$C$4000,2,FALSE)</f>
        <v>PnFlx</v>
      </c>
    </row>
    <row r="4159" spans="2:13" x14ac:dyDescent="0.25">
      <c r="B4159" s="31" t="s">
        <v>26303</v>
      </c>
      <c r="C4159" s="20"/>
      <c r="D4159" s="25" t="s">
        <v>26232</v>
      </c>
      <c r="E4159" s="25" t="s">
        <v>26300</v>
      </c>
      <c r="F4159" s="9" t="str">
        <f t="shared" si="58"/>
        <v>structure with developmental contribution from neural crest</v>
      </c>
      <c r="G4159" s="9" t="s">
        <v>5090</v>
      </c>
      <c r="H4159" s="9" t="s">
        <v>24593</v>
      </c>
      <c r="I4159" s="9" t="s">
        <v>7727</v>
      </c>
      <c r="J4159" s="9" t="s">
        <v>7728</v>
      </c>
      <c r="K4159" s="4" t="s">
        <v>15175</v>
      </c>
      <c r="L4159" s="13">
        <v>12720</v>
      </c>
      <c r="M4159" t="str">
        <f>VLOOKUP(L4159,[1]Human_BrainSpan!$B$2:$C$4000,2,FALSE)</f>
        <v>CrSlp</v>
      </c>
    </row>
    <row r="4160" spans="2:13" x14ac:dyDescent="0.25">
      <c r="B4160" s="31" t="s">
        <v>26303</v>
      </c>
      <c r="C4160" s="20"/>
      <c r="D4160" s="25" t="s">
        <v>26232</v>
      </c>
      <c r="E4160" s="25" t="s">
        <v>26300</v>
      </c>
      <c r="F4160" s="9" t="str">
        <f t="shared" si="58"/>
        <v>structure with developmental contribution from neural crest</v>
      </c>
      <c r="G4160" s="9" t="s">
        <v>5090</v>
      </c>
      <c r="H4160" s="9" t="s">
        <v>24594</v>
      </c>
      <c r="I4160" s="9" t="s">
        <v>7729</v>
      </c>
      <c r="J4160" s="9" t="s">
        <v>7730</v>
      </c>
      <c r="K4160" s="4" t="s">
        <v>15175</v>
      </c>
      <c r="L4160" s="13">
        <v>12721</v>
      </c>
      <c r="M4160" t="str">
        <f>VLOOKUP(L4160,[1]Human_BrainSpan!$B$2:$C$4000,2,FALSE)</f>
        <v>CaSlp</v>
      </c>
    </row>
    <row r="4161" spans="2:13" x14ac:dyDescent="0.25">
      <c r="B4161" s="31" t="s">
        <v>26303</v>
      </c>
      <c r="C4161" s="25"/>
      <c r="D4161" s="25" t="s">
        <v>26232</v>
      </c>
      <c r="E4161" s="25" t="s">
        <v>26300</v>
      </c>
      <c r="F4161" s="9" t="str">
        <f t="shared" si="58"/>
        <v>structure with developmental contribution from neural crest</v>
      </c>
      <c r="G4161" s="9" t="s">
        <v>5090</v>
      </c>
      <c r="H4161" s="9" t="s">
        <v>24568</v>
      </c>
      <c r="I4161" s="9" t="s">
        <v>7731</v>
      </c>
      <c r="J4161" s="9" t="s">
        <v>7732</v>
      </c>
      <c r="K4161" s="4" t="s">
        <v>15175</v>
      </c>
      <c r="L4161" s="13">
        <v>12722</v>
      </c>
      <c r="M4161" t="str">
        <f>VLOOKUP(L4161,[1]Human_BrainSpan!$B$2:$C$4000,2,FALSE)</f>
        <v>MSH</v>
      </c>
    </row>
    <row r="4162" spans="2:13" x14ac:dyDescent="0.25">
      <c r="B4162" s="31" t="s">
        <v>26303</v>
      </c>
      <c r="C4162" s="20"/>
      <c r="D4162" s="25" t="s">
        <v>26232</v>
      </c>
      <c r="E4162" s="25" t="s">
        <v>26300</v>
      </c>
      <c r="F4162" s="9" t="str">
        <f t="shared" si="58"/>
        <v>structure with developmental contribution from neural crest</v>
      </c>
      <c r="G4162" s="9" t="s">
        <v>5090</v>
      </c>
      <c r="H4162" s="9" t="s">
        <v>24569</v>
      </c>
      <c r="I4162" s="9" t="s">
        <v>7733</v>
      </c>
      <c r="J4162" s="9" t="s">
        <v>7734</v>
      </c>
      <c r="K4162" s="4" t="s">
        <v>15175</v>
      </c>
      <c r="L4162" s="13">
        <v>12723</v>
      </c>
      <c r="M4162" t="str">
        <f>VLOOKUP(L4162,[1]Human_BrainSpan!$B$2:$C$4000,2,FALSE)</f>
        <v>REMS</v>
      </c>
    </row>
    <row r="4163" spans="2:13" x14ac:dyDescent="0.25">
      <c r="B4163" s="31" t="s">
        <v>26303</v>
      </c>
      <c r="C4163" s="20"/>
      <c r="D4163" s="25" t="s">
        <v>26232</v>
      </c>
      <c r="E4163" s="25" t="s">
        <v>26300</v>
      </c>
      <c r="F4163" s="9" t="str">
        <f t="shared" si="58"/>
        <v>structure with developmental contribution from neural crest</v>
      </c>
      <c r="G4163" s="9" t="s">
        <v>5090</v>
      </c>
      <c r="H4163" s="9" t="s">
        <v>24570</v>
      </c>
      <c r="I4163" s="9" t="s">
        <v>7735</v>
      </c>
      <c r="J4163" s="9" t="s">
        <v>7736</v>
      </c>
      <c r="K4163" s="4" t="s">
        <v>15175</v>
      </c>
      <c r="L4163" s="13">
        <v>12724</v>
      </c>
      <c r="M4163" t="str">
        <f>VLOOKUP(L4163,[1]Human_BrainSpan!$B$2:$C$4000,2,FALSE)</f>
        <v>CEMS</v>
      </c>
    </row>
    <row r="4164" spans="2:13" x14ac:dyDescent="0.25">
      <c r="B4164" s="31" t="s">
        <v>26303</v>
      </c>
      <c r="C4164" s="20"/>
      <c r="D4164" s="25" t="s">
        <v>26232</v>
      </c>
      <c r="E4164" s="25" t="s">
        <v>26300</v>
      </c>
      <c r="F4164" s="9" t="str">
        <f t="shared" si="58"/>
        <v>structure with developmental contribution from neural crest</v>
      </c>
      <c r="G4164" s="9" t="s">
        <v>5090</v>
      </c>
      <c r="H4164" s="9" t="s">
        <v>24571</v>
      </c>
      <c r="I4164" s="9" t="s">
        <v>7737</v>
      </c>
      <c r="J4164" s="9" t="s">
        <v>7738</v>
      </c>
      <c r="K4164" s="4" t="s">
        <v>15175</v>
      </c>
      <c r="L4164" s="13">
        <v>12725</v>
      </c>
      <c r="M4164" t="str">
        <f>VLOOKUP(L4164,[1]Human_BrainSpan!$B$2:$C$4000,2,FALSE)</f>
        <v>ImMS</v>
      </c>
    </row>
    <row r="4165" spans="2:13" x14ac:dyDescent="0.25">
      <c r="B4165" s="31" t="s">
        <v>26303</v>
      </c>
      <c r="C4165" s="25" t="s">
        <v>3891</v>
      </c>
      <c r="D4165" s="25" t="s">
        <v>26232</v>
      </c>
      <c r="E4165" s="25"/>
      <c r="F4165" s="9" t="str">
        <f t="shared" si="58"/>
        <v>structure with developmental contribution from neural crest</v>
      </c>
      <c r="G4165" s="9" t="s">
        <v>5090</v>
      </c>
      <c r="H4165" s="9" t="s">
        <v>24595</v>
      </c>
      <c r="I4165" s="9" t="s">
        <v>7739</v>
      </c>
      <c r="J4165" s="9" t="s">
        <v>7740</v>
      </c>
      <c r="K4165" s="4" t="s">
        <v>15175</v>
      </c>
      <c r="L4165" s="13">
        <v>12726</v>
      </c>
      <c r="M4165" t="str">
        <f>VLOOKUP(L4165,[1]Human_BrainSpan!$B$2:$C$4000,2,FALSE)</f>
        <v>PnbB</v>
      </c>
    </row>
    <row r="4166" spans="2:13" x14ac:dyDescent="0.25">
      <c r="B4166" s="31" t="s">
        <v>26303</v>
      </c>
      <c r="C4166" s="20"/>
      <c r="D4166" s="25" t="s">
        <v>26232</v>
      </c>
      <c r="E4166" s="25" t="s">
        <v>26300</v>
      </c>
      <c r="F4166" s="9" t="str">
        <f t="shared" si="58"/>
        <v>structure with developmental contribution from neural crest</v>
      </c>
      <c r="G4166" s="9" t="s">
        <v>5090</v>
      </c>
      <c r="H4166" s="9" t="s">
        <v>24596</v>
      </c>
      <c r="I4166" s="9" t="s">
        <v>7741</v>
      </c>
      <c r="J4166" s="9" t="s">
        <v>7742</v>
      </c>
      <c r="K4166" s="4" t="s">
        <v>15175</v>
      </c>
      <c r="L4166" s="13">
        <v>12727</v>
      </c>
      <c r="M4166" t="str">
        <f>VLOOKUP(L4166,[1]Human_BrainSpan!$B$2:$C$4000,2,FALSE)</f>
        <v>RhGv</v>
      </c>
    </row>
    <row r="4167" spans="2:13" x14ac:dyDescent="0.25">
      <c r="B4167" s="31" t="s">
        <v>26303</v>
      </c>
      <c r="C4167" s="20"/>
      <c r="D4167" s="25" t="s">
        <v>26185</v>
      </c>
      <c r="E4167" s="25" t="s">
        <v>26300</v>
      </c>
      <c r="F4167" s="9" t="str">
        <f t="shared" si="58"/>
        <v>structure with developmental contribution from neural crest</v>
      </c>
      <c r="G4167" s="9" t="s">
        <v>5090</v>
      </c>
      <c r="H4167" s="9" t="s">
        <v>24599</v>
      </c>
      <c r="I4167" s="9" t="s">
        <v>7743</v>
      </c>
      <c r="J4167" s="9" t="s">
        <v>7744</v>
      </c>
      <c r="K4167" s="4" t="s">
        <v>15175</v>
      </c>
      <c r="L4167" s="13">
        <v>12729</v>
      </c>
      <c r="M4167" t="str">
        <f>VLOOKUP(L4167,[1]Human_BrainSpan!$B$2:$C$4000,2,FALSE)</f>
        <v>af7</v>
      </c>
    </row>
    <row r="4168" spans="2:13" x14ac:dyDescent="0.25">
      <c r="B4168" s="31" t="s">
        <v>26303</v>
      </c>
      <c r="C4168" s="25" t="s">
        <v>1008</v>
      </c>
      <c r="D4168" s="25" t="s">
        <v>26232</v>
      </c>
      <c r="E4168" s="25"/>
      <c r="F4168" s="9" t="str">
        <f t="shared" si="58"/>
        <v>structure with developmental contribution from neural crest</v>
      </c>
      <c r="G4168" s="9" t="s">
        <v>5090</v>
      </c>
      <c r="H4168" s="9" t="s">
        <v>24600</v>
      </c>
      <c r="I4168" s="9" t="s">
        <v>1008</v>
      </c>
      <c r="J4168" s="9" t="s">
        <v>1009</v>
      </c>
      <c r="K4168" s="4" t="s">
        <v>15175</v>
      </c>
      <c r="L4168" s="13">
        <v>12730</v>
      </c>
      <c r="M4168" t="str">
        <f>VLOOKUP(L4168,[1]Human_BrainSpan!$B$2:$C$4000,2,FALSE)</f>
        <v>ctg</v>
      </c>
    </row>
    <row r="4169" spans="2:13" x14ac:dyDescent="0.25">
      <c r="B4169" s="31" t="s">
        <v>26303</v>
      </c>
      <c r="C4169" s="25" t="s">
        <v>1389</v>
      </c>
      <c r="D4169" s="25" t="s">
        <v>26232</v>
      </c>
      <c r="E4169" s="25"/>
      <c r="F4169" s="9" t="str">
        <f t="shared" si="58"/>
        <v>structure with developmental contribution from neural crest</v>
      </c>
      <c r="G4169" s="9" t="s">
        <v>5090</v>
      </c>
      <c r="H4169" s="9" t="s">
        <v>20778</v>
      </c>
      <c r="I4169" s="9" t="s">
        <v>1389</v>
      </c>
      <c r="J4169" s="9" t="s">
        <v>1390</v>
      </c>
      <c r="K4169" s="4" t="s">
        <v>15175</v>
      </c>
      <c r="L4169" s="13">
        <v>12731</v>
      </c>
      <c r="M4169" t="str">
        <f>VLOOKUP(L4169,[1]Human_BrainSpan!$B$2:$C$4000,2,FALSE)</f>
        <v>cuf</v>
      </c>
    </row>
    <row r="4170" spans="2:13" x14ac:dyDescent="0.25">
      <c r="B4170" s="31" t="s">
        <v>26303</v>
      </c>
      <c r="C4170" s="25" t="s">
        <v>1416</v>
      </c>
      <c r="D4170" s="25" t="s">
        <v>26232</v>
      </c>
      <c r="E4170" s="25"/>
      <c r="F4170" s="9" t="str">
        <f t="shared" si="58"/>
        <v>structure with developmental contribution from neural crest</v>
      </c>
      <c r="G4170" s="9" t="s">
        <v>5090</v>
      </c>
      <c r="H4170" s="9" t="s">
        <v>24602</v>
      </c>
      <c r="I4170" s="9" t="s">
        <v>1416</v>
      </c>
      <c r="J4170" s="9" t="s">
        <v>1417</v>
      </c>
      <c r="K4170" s="4" t="s">
        <v>15175</v>
      </c>
      <c r="L4170" s="13">
        <v>12732</v>
      </c>
      <c r="M4170" t="str">
        <f>VLOOKUP(L4170,[1]Human_BrainSpan!$B$2:$C$4000,2,FALSE)</f>
        <v>xml</v>
      </c>
    </row>
    <row r="4171" spans="2:13" x14ac:dyDescent="0.25">
      <c r="B4171" s="31" t="s">
        <v>26303</v>
      </c>
      <c r="C4171" s="20"/>
      <c r="D4171" s="25" t="s">
        <v>26232</v>
      </c>
      <c r="E4171" s="25" t="s">
        <v>26300</v>
      </c>
      <c r="F4171" s="9" t="str">
        <f t="shared" si="58"/>
        <v>structure with developmental contribution from neural crest</v>
      </c>
      <c r="G4171" s="9" t="s">
        <v>5090</v>
      </c>
      <c r="H4171" s="9" t="s">
        <v>24603</v>
      </c>
      <c r="I4171" s="9" t="s">
        <v>7745</v>
      </c>
      <c r="J4171" s="9" t="s">
        <v>7746</v>
      </c>
      <c r="K4171" s="4" t="s">
        <v>15175</v>
      </c>
      <c r="L4171" s="13">
        <v>12734</v>
      </c>
      <c r="M4171" t="str">
        <f>VLOOKUP(L4171,[1]Human_BrainSpan!$B$2:$C$4000,2,FALSE)</f>
        <v>def</v>
      </c>
    </row>
    <row r="4172" spans="2:13" x14ac:dyDescent="0.25">
      <c r="B4172" s="31" t="s">
        <v>26303</v>
      </c>
      <c r="C4172" s="25" t="s">
        <v>1539</v>
      </c>
      <c r="D4172" s="25" t="s">
        <v>26232</v>
      </c>
      <c r="E4172" s="25"/>
      <c r="F4172" s="9" t="str">
        <f t="shared" si="58"/>
        <v>structure with developmental contribution from neural crest</v>
      </c>
      <c r="G4172" s="9" t="s">
        <v>5090</v>
      </c>
      <c r="H4172" s="9" t="s">
        <v>24604</v>
      </c>
      <c r="I4172" s="9" t="s">
        <v>1539</v>
      </c>
      <c r="J4172" s="9" t="s">
        <v>7747</v>
      </c>
      <c r="K4172" s="4" t="s">
        <v>15175</v>
      </c>
      <c r="L4172" s="13">
        <v>12735</v>
      </c>
      <c r="M4172" t="str">
        <f>VLOOKUP(L4172,[1]Human_BrainSpan!$B$2:$C$4000,2,FALSE)</f>
        <v>dlf-h</v>
      </c>
    </row>
    <row r="4173" spans="2:13" x14ac:dyDescent="0.25">
      <c r="B4173" s="31" t="s">
        <v>26303</v>
      </c>
      <c r="C4173" s="25" t="s">
        <v>25911</v>
      </c>
      <c r="D4173" s="25" t="s">
        <v>26232</v>
      </c>
      <c r="E4173" s="25"/>
      <c r="F4173" s="9" t="str">
        <f t="shared" si="58"/>
        <v>structure with developmental contribution from neural crest</v>
      </c>
      <c r="G4173" s="9" t="s">
        <v>5090</v>
      </c>
      <c r="H4173" s="9" t="s">
        <v>24606</v>
      </c>
      <c r="I4173" s="9" t="s">
        <v>1528</v>
      </c>
      <c r="J4173" s="9" t="s">
        <v>1529</v>
      </c>
      <c r="K4173" s="4" t="s">
        <v>15175</v>
      </c>
      <c r="L4173" s="13">
        <v>12737</v>
      </c>
      <c r="M4173" t="str">
        <f>VLOOKUP(L4173,[1]Human_BrainSpan!$B$2:$C$4000,2,FALSE)</f>
        <v>eaf</v>
      </c>
    </row>
    <row r="4174" spans="2:13" x14ac:dyDescent="0.25">
      <c r="B4174" s="31" t="s">
        <v>26303</v>
      </c>
      <c r="C4174" s="25" t="s">
        <v>25946</v>
      </c>
      <c r="D4174" s="25" t="s">
        <v>26232</v>
      </c>
      <c r="E4174" s="25"/>
      <c r="F4174" s="9" t="str">
        <f t="shared" si="58"/>
        <v>structure with developmental contribution from neural crest</v>
      </c>
      <c r="G4174" s="9" t="s">
        <v>5090</v>
      </c>
      <c r="H4174" s="9" t="s">
        <v>24607</v>
      </c>
      <c r="I4174" s="9" t="s">
        <v>2066</v>
      </c>
      <c r="J4174" s="9" t="s">
        <v>2067</v>
      </c>
      <c r="K4174" s="4" t="s">
        <v>15175</v>
      </c>
      <c r="L4174" s="13">
        <v>12738</v>
      </c>
      <c r="M4174" t="str">
        <f>VLOOKUP(L4174,[1]Human_BrainSpan!$B$2:$C$4000,2,FALSE)</f>
        <v>g7</v>
      </c>
    </row>
    <row r="4175" spans="2:13" x14ac:dyDescent="0.25">
      <c r="B4175" s="31" t="s">
        <v>26303</v>
      </c>
      <c r="C4175" s="25" t="s">
        <v>1826</v>
      </c>
      <c r="D4175" s="25" t="s">
        <v>26232</v>
      </c>
      <c r="E4175" s="25"/>
      <c r="F4175" s="9" t="str">
        <f t="shared" si="58"/>
        <v>structure with developmental contribution from neural crest</v>
      </c>
      <c r="G4175" s="9" t="s">
        <v>5090</v>
      </c>
      <c r="H4175" s="9" t="s">
        <v>24608</v>
      </c>
      <c r="I4175" s="9" t="s">
        <v>1826</v>
      </c>
      <c r="J4175" s="9" t="s">
        <v>1827</v>
      </c>
      <c r="K4175" s="4" t="s">
        <v>15175</v>
      </c>
      <c r="L4175" s="13">
        <v>12739</v>
      </c>
      <c r="M4175" t="str">
        <f>VLOOKUP(L4175,[1]Human_BrainSpan!$B$2:$C$4000,2,FALSE)</f>
        <v>gr</v>
      </c>
    </row>
    <row r="4176" spans="2:13" x14ac:dyDescent="0.25">
      <c r="B4176" s="31" t="s">
        <v>26303</v>
      </c>
      <c r="C4176" s="20"/>
      <c r="D4176" s="25" t="s">
        <v>26232</v>
      </c>
      <c r="E4176" s="25" t="s">
        <v>26300</v>
      </c>
      <c r="F4176" s="9" t="str">
        <f t="shared" si="58"/>
        <v>structure with developmental contribution from neural crest</v>
      </c>
      <c r="G4176" s="9" t="s">
        <v>5090</v>
      </c>
      <c r="H4176" s="9" t="s">
        <v>24610</v>
      </c>
      <c r="I4176" s="9" t="s">
        <v>7748</v>
      </c>
      <c r="J4176" s="9" t="s">
        <v>7749</v>
      </c>
      <c r="K4176" s="4" t="s">
        <v>15175</v>
      </c>
      <c r="L4176" s="13">
        <v>12740</v>
      </c>
      <c r="M4176" t="str">
        <f>VLOOKUP(L4176,[1]Human_BrainSpan!$B$2:$C$4000,2,FALSE)</f>
        <v>hysp</v>
      </c>
    </row>
    <row r="4177" spans="2:13" x14ac:dyDescent="0.25">
      <c r="B4177" s="31" t="s">
        <v>26303</v>
      </c>
      <c r="C4177" s="20"/>
      <c r="D4177" s="25" t="s">
        <v>26232</v>
      </c>
      <c r="E4177" s="25" t="s">
        <v>26300</v>
      </c>
      <c r="F4177" s="9" t="str">
        <f t="shared" si="58"/>
        <v>structure with developmental contribution from neural crest</v>
      </c>
      <c r="G4177" s="9" t="s">
        <v>5090</v>
      </c>
      <c r="H4177" s="9" t="s">
        <v>24611</v>
      </c>
      <c r="I4177" s="9" t="s">
        <v>7750</v>
      </c>
      <c r="J4177" s="9" t="s">
        <v>7751</v>
      </c>
      <c r="K4177" s="4" t="s">
        <v>15175</v>
      </c>
      <c r="L4177" s="13">
        <v>12742</v>
      </c>
      <c r="M4177" t="str">
        <f>VLOOKUP(L4177,[1]Human_BrainSpan!$B$2:$C$4000,2,FALSE)</f>
        <v>rsf</v>
      </c>
    </row>
    <row r="4178" spans="2:13" x14ac:dyDescent="0.25">
      <c r="B4178" s="37" t="s">
        <v>26303</v>
      </c>
      <c r="C4178" s="20"/>
      <c r="D4178" s="25" t="s">
        <v>26185</v>
      </c>
      <c r="E4178" s="25" t="s">
        <v>26300</v>
      </c>
      <c r="F4178" s="9" t="str">
        <f t="shared" si="58"/>
        <v>structure with developmental contribution from neural crest</v>
      </c>
      <c r="G4178" s="9" t="s">
        <v>5090</v>
      </c>
      <c r="H4178" s="9" t="s">
        <v>24612</v>
      </c>
      <c r="I4178" s="9" t="s">
        <v>7752</v>
      </c>
      <c r="J4178" s="9" t="s">
        <v>7753</v>
      </c>
      <c r="K4178" s="4" t="s">
        <v>15175</v>
      </c>
      <c r="L4178" s="13">
        <v>12743</v>
      </c>
      <c r="M4178" t="str">
        <f>VLOOKUP(L4178,[1]Human_BrainSpan!$B$2:$C$4000,2,FALSE)</f>
        <v>cbrf</v>
      </c>
    </row>
    <row r="4179" spans="2:13" x14ac:dyDescent="0.25">
      <c r="B4179" s="37" t="s">
        <v>26303</v>
      </c>
      <c r="C4179" s="20"/>
      <c r="D4179" s="25" t="s">
        <v>26232</v>
      </c>
      <c r="E4179" s="25" t="s">
        <v>26300</v>
      </c>
      <c r="F4179" s="9" t="str">
        <f t="shared" si="58"/>
        <v>structure with developmental contribution from neural crest</v>
      </c>
      <c r="G4179" s="9" t="s">
        <v>5090</v>
      </c>
      <c r="H4179" s="9" t="s">
        <v>24613</v>
      </c>
      <c r="I4179" s="9" t="s">
        <v>7754</v>
      </c>
      <c r="J4179" s="9" t="s">
        <v>7755</v>
      </c>
      <c r="K4179" s="4" t="s">
        <v>15175</v>
      </c>
      <c r="L4179" s="13">
        <v>12744</v>
      </c>
      <c r="M4179" t="str">
        <f>VLOOKUP(L4179,[1]Human_BrainSpan!$B$2:$C$4000,2,FALSE)</f>
        <v>cbvf</v>
      </c>
    </row>
    <row r="4180" spans="2:13" x14ac:dyDescent="0.25">
      <c r="B4180" s="37" t="s">
        <v>26303</v>
      </c>
      <c r="C4180" s="25" t="s">
        <v>1408</v>
      </c>
      <c r="D4180" s="25" t="s">
        <v>26232</v>
      </c>
      <c r="E4180" s="25"/>
      <c r="F4180" s="9" t="str">
        <f t="shared" si="58"/>
        <v>structure with developmental contribution from neural crest</v>
      </c>
      <c r="G4180" s="9" t="s">
        <v>5090</v>
      </c>
      <c r="H4180" s="9" t="s">
        <v>24614</v>
      </c>
      <c r="I4180" s="9" t="s">
        <v>1408</v>
      </c>
      <c r="J4180" s="9" t="s">
        <v>1409</v>
      </c>
      <c r="K4180" s="4" t="s">
        <v>15175</v>
      </c>
      <c r="L4180" s="13">
        <v>12745</v>
      </c>
      <c r="M4180" t="str">
        <f>VLOOKUP(L4180,[1]Human_BrainSpan!$B$2:$C$4000,2,FALSE)</f>
        <v>cucb</v>
      </c>
    </row>
    <row r="4181" spans="2:13" x14ac:dyDescent="0.25">
      <c r="B4181" s="37" t="s">
        <v>26303</v>
      </c>
      <c r="C4181" s="25" t="s">
        <v>26144</v>
      </c>
      <c r="D4181" s="25" t="s">
        <v>26232</v>
      </c>
      <c r="E4181" s="25"/>
      <c r="F4181" s="9" t="str">
        <f t="shared" si="58"/>
        <v>structure with developmental contribution from neural crest</v>
      </c>
      <c r="G4181" s="9" t="s">
        <v>5090</v>
      </c>
      <c r="H4181" s="9" t="s">
        <v>18452</v>
      </c>
      <c r="I4181" s="9" t="s">
        <v>3992</v>
      </c>
      <c r="J4181" s="9" t="s">
        <v>3993</v>
      </c>
      <c r="K4181" s="4" t="s">
        <v>15175</v>
      </c>
      <c r="L4181" s="13">
        <v>12746</v>
      </c>
      <c r="M4181" t="str">
        <f>VLOOKUP(L4181,[1]Human_BrainSpan!$B$2:$C$4000,2,FALSE)</f>
        <v>dsc</v>
      </c>
    </row>
    <row r="4182" spans="2:13" x14ac:dyDescent="0.25">
      <c r="B4182" s="37" t="s">
        <v>26303</v>
      </c>
      <c r="C4182" s="25" t="s">
        <v>3481</v>
      </c>
      <c r="D4182" s="25" t="s">
        <v>26232</v>
      </c>
      <c r="E4182" s="25"/>
      <c r="F4182" s="9" t="str">
        <f t="shared" si="58"/>
        <v>structure with developmental contribution from neural crest</v>
      </c>
      <c r="G4182" s="9" t="s">
        <v>5090</v>
      </c>
      <c r="H4182" s="9" t="s">
        <v>24615</v>
      </c>
      <c r="I4182" s="9" t="s">
        <v>3481</v>
      </c>
      <c r="J4182" s="9" t="s">
        <v>3482</v>
      </c>
      <c r="K4182" s="4" t="s">
        <v>15175</v>
      </c>
      <c r="L4182" s="13">
        <v>12747</v>
      </c>
      <c r="M4182" t="str">
        <f>VLOOKUP(L4182,[1]Human_BrainSpan!$B$2:$C$4000,2,FALSE)</f>
        <v>ocb</v>
      </c>
    </row>
    <row r="4183" spans="2:13" x14ac:dyDescent="0.25">
      <c r="B4183" s="37" t="s">
        <v>26303</v>
      </c>
      <c r="C4183" s="20"/>
      <c r="D4183" s="25" t="s">
        <v>26232</v>
      </c>
      <c r="E4183" s="25" t="s">
        <v>26309</v>
      </c>
      <c r="F4183" s="9" t="str">
        <f t="shared" si="58"/>
        <v>structure with developmental contribution from neural crest</v>
      </c>
      <c r="G4183" s="9" t="s">
        <v>5090</v>
      </c>
      <c r="H4183" s="9" t="s">
        <v>24616</v>
      </c>
      <c r="I4183" s="9" t="s">
        <v>7756</v>
      </c>
      <c r="J4183" s="9" t="s">
        <v>7757</v>
      </c>
      <c r="K4183" s="4" t="s">
        <v>15175</v>
      </c>
      <c r="L4183" s="13">
        <v>12748</v>
      </c>
      <c r="M4183" t="str">
        <f>VLOOKUP(L4183,[1]Human_BrainSpan!$B$2:$C$4000,2,FALSE)</f>
        <v>rcbtm</v>
      </c>
    </row>
    <row r="4184" spans="2:13" x14ac:dyDescent="0.25">
      <c r="B4184" s="37" t="s">
        <v>26303</v>
      </c>
      <c r="C4184" s="25" t="s">
        <v>5010</v>
      </c>
      <c r="D4184" s="25" t="s">
        <v>26232</v>
      </c>
      <c r="E4184" s="25"/>
      <c r="F4184" s="9" t="str">
        <f t="shared" si="58"/>
        <v>structure with developmental contribution from neural crest</v>
      </c>
      <c r="G4184" s="9" t="s">
        <v>5090</v>
      </c>
      <c r="H4184" s="9" t="s">
        <v>20803</v>
      </c>
      <c r="I4184" s="9" t="s">
        <v>5010</v>
      </c>
      <c r="J4184" s="9" t="s">
        <v>5011</v>
      </c>
      <c r="K4184" s="4" t="s">
        <v>15175</v>
      </c>
      <c r="L4184" s="13">
        <v>12749</v>
      </c>
      <c r="M4184" t="str">
        <f>VLOOKUP(L4184,[1]Human_BrainSpan!$B$2:$C$4000,2,FALSE)</f>
        <v>sct</v>
      </c>
    </row>
    <row r="4185" spans="2:13" x14ac:dyDescent="0.25">
      <c r="B4185" s="31" t="s">
        <v>26303</v>
      </c>
      <c r="C4185" s="25" t="s">
        <v>843</v>
      </c>
      <c r="D4185" s="25" t="s">
        <v>26232</v>
      </c>
      <c r="E4185" s="25"/>
      <c r="F4185" s="9" t="str">
        <f t="shared" si="58"/>
        <v>structure with developmental contribution from neural crest</v>
      </c>
      <c r="G4185" s="9" t="s">
        <v>5090</v>
      </c>
      <c r="H4185" s="9" t="s">
        <v>24618</v>
      </c>
      <c r="I4185" s="9" t="s">
        <v>7758</v>
      </c>
      <c r="J4185" s="9" t="s">
        <v>7759</v>
      </c>
      <c r="K4185" s="4" t="s">
        <v>15175</v>
      </c>
      <c r="L4185" s="13">
        <v>12751</v>
      </c>
      <c r="M4185" t="str">
        <f>VLOOKUP(L4185,[1]Human_BrainSpan!$B$2:$C$4000,2,FALSE)</f>
        <v>fasr</v>
      </c>
    </row>
    <row r="4186" spans="2:13" x14ac:dyDescent="0.25">
      <c r="B4186" s="31" t="s">
        <v>26303</v>
      </c>
      <c r="C4186" s="25" t="s">
        <v>843</v>
      </c>
      <c r="D4186" s="25" t="s">
        <v>26232</v>
      </c>
      <c r="E4186" s="25"/>
      <c r="F4186" s="9" t="str">
        <f t="shared" si="58"/>
        <v>structure with developmental contribution from neural crest</v>
      </c>
      <c r="G4186" s="9" t="s">
        <v>5090</v>
      </c>
      <c r="H4186" s="9" t="s">
        <v>24619</v>
      </c>
      <c r="I4186" s="9" t="s">
        <v>7760</v>
      </c>
      <c r="J4186" s="9" t="s">
        <v>7761</v>
      </c>
      <c r="K4186" s="4" t="s">
        <v>15175</v>
      </c>
      <c r="L4186" s="13">
        <v>12752</v>
      </c>
      <c r="M4186" t="str">
        <f>VLOOKUP(L4186,[1]Human_BrainSpan!$B$2:$C$4000,2,FALSE)</f>
        <v>fasv</v>
      </c>
    </row>
    <row r="4187" spans="2:13" x14ac:dyDescent="0.25">
      <c r="B4187" s="37" t="s">
        <v>26303</v>
      </c>
      <c r="C4187" s="20"/>
      <c r="D4187" s="25" t="s">
        <v>26232</v>
      </c>
      <c r="E4187" s="25" t="s">
        <v>26300</v>
      </c>
      <c r="F4187" s="9" t="str">
        <f t="shared" si="58"/>
        <v>structure with developmental contribution from neural crest</v>
      </c>
      <c r="G4187" s="9" t="s">
        <v>5090</v>
      </c>
      <c r="H4187" s="9" t="s">
        <v>24620</v>
      </c>
      <c r="I4187" s="9" t="s">
        <v>7762</v>
      </c>
      <c r="J4187" s="9" t="s">
        <v>7763</v>
      </c>
      <c r="K4187" s="4" t="s">
        <v>15175</v>
      </c>
      <c r="L4187" s="13">
        <v>12753</v>
      </c>
      <c r="M4187" t="str">
        <f>VLOOKUP(L4187,[1]Human_BrainSpan!$B$2:$C$4000,2,FALSE)</f>
        <v>tgcb</v>
      </c>
    </row>
    <row r="4188" spans="2:13" x14ac:dyDescent="0.25">
      <c r="B4188" s="37" t="s">
        <v>26303</v>
      </c>
      <c r="C4188" s="25" t="s">
        <v>7764</v>
      </c>
      <c r="D4188" s="25" t="s">
        <v>26232</v>
      </c>
      <c r="E4188" s="25"/>
      <c r="F4188" s="9" t="str">
        <f t="shared" si="58"/>
        <v>structure with developmental contribution from neural crest</v>
      </c>
      <c r="G4188" s="9" t="s">
        <v>5090</v>
      </c>
      <c r="H4188" s="9" t="s">
        <v>24621</v>
      </c>
      <c r="I4188" s="9" t="s">
        <v>7764</v>
      </c>
      <c r="J4188" s="9" t="s">
        <v>7765</v>
      </c>
      <c r="K4188" s="4" t="s">
        <v>15175</v>
      </c>
      <c r="L4188" s="13">
        <v>12754</v>
      </c>
      <c r="M4188" t="str">
        <f>VLOOKUP(L4188,[1]Human_BrainSpan!$B$2:$C$4000,2,FALSE)</f>
        <v>vecb</v>
      </c>
    </row>
    <row r="4189" spans="2:13" x14ac:dyDescent="0.25">
      <c r="B4189" s="31" t="s">
        <v>26303</v>
      </c>
      <c r="C4189" s="25" t="s">
        <v>25975</v>
      </c>
      <c r="D4189" s="25" t="s">
        <v>26232</v>
      </c>
      <c r="E4189" s="25"/>
      <c r="F4189" s="9" t="str">
        <f t="shared" si="58"/>
        <v>structure with developmental contribution from neural crest</v>
      </c>
      <c r="G4189" s="9" t="s">
        <v>5090</v>
      </c>
      <c r="H4189" s="9" t="s">
        <v>20780</v>
      </c>
      <c r="I4189" s="9" t="s">
        <v>2485</v>
      </c>
      <c r="J4189" s="9" t="s">
        <v>2486</v>
      </c>
      <c r="K4189" s="4" t="s">
        <v>15175</v>
      </c>
      <c r="L4189" s="13">
        <v>12756</v>
      </c>
      <c r="M4189" t="str">
        <f>VLOOKUP(L4189,[1]Human_BrainSpan!$B$2:$C$4000,2,FALSE)</f>
        <v>iaf</v>
      </c>
    </row>
    <row r="4190" spans="2:13" x14ac:dyDescent="0.25">
      <c r="B4190" s="31" t="s">
        <v>26303</v>
      </c>
      <c r="C4190" s="20"/>
      <c r="D4190" s="25" t="s">
        <v>26232</v>
      </c>
      <c r="E4190" s="25" t="s">
        <v>26300</v>
      </c>
      <c r="F4190" s="9" t="str">
        <f t="shared" si="58"/>
        <v>structure with developmental contribution from neural crest</v>
      </c>
      <c r="G4190" s="9" t="s">
        <v>5090</v>
      </c>
      <c r="H4190" s="9" t="s">
        <v>24622</v>
      </c>
      <c r="I4190" s="9" t="s">
        <v>7766</v>
      </c>
      <c r="J4190" s="9" t="s">
        <v>7767</v>
      </c>
      <c r="K4190" s="4" t="s">
        <v>15175</v>
      </c>
      <c r="L4190" s="13">
        <v>12757</v>
      </c>
      <c r="M4190" t="str">
        <f>VLOOKUP(L4190,[1]Human_BrainSpan!$B$2:$C$4000,2,FALSE)</f>
        <v>issp</v>
      </c>
    </row>
    <row r="4191" spans="2:13" x14ac:dyDescent="0.25">
      <c r="B4191" s="31" t="s">
        <v>26303</v>
      </c>
      <c r="C4191" s="20"/>
      <c r="D4191" s="25" t="s">
        <v>26232</v>
      </c>
      <c r="E4191" s="25" t="s">
        <v>26300</v>
      </c>
      <c r="F4191" s="9" t="str">
        <f t="shared" si="58"/>
        <v>structure with developmental contribution from neural crest</v>
      </c>
      <c r="G4191" s="9" t="s">
        <v>5090</v>
      </c>
      <c r="H4191" s="9" t="s">
        <v>24623</v>
      </c>
      <c r="I4191" s="9" t="s">
        <v>7768</v>
      </c>
      <c r="J4191" s="9" t="s">
        <v>7769</v>
      </c>
      <c r="K4191" s="4" t="s">
        <v>15175</v>
      </c>
      <c r="L4191" s="13">
        <v>12758</v>
      </c>
      <c r="M4191" t="str">
        <f>VLOOKUP(L4191,[1]Human_BrainSpan!$B$2:$C$4000,2,FALSE)</f>
        <v>lbrs</v>
      </c>
    </row>
    <row r="4192" spans="2:13" x14ac:dyDescent="0.25">
      <c r="B4192" s="31" t="s">
        <v>26303</v>
      </c>
      <c r="C4192" s="25" t="s">
        <v>2569</v>
      </c>
      <c r="D4192" s="25" t="s">
        <v>26232</v>
      </c>
      <c r="E4192" s="25"/>
      <c r="F4192" s="9" t="str">
        <f t="shared" si="58"/>
        <v>structure with developmental contribution from neural crest</v>
      </c>
      <c r="G4192" s="9" t="s">
        <v>5090</v>
      </c>
      <c r="H4192" s="9" t="s">
        <v>24624</v>
      </c>
      <c r="I4192" s="9" t="s">
        <v>2569</v>
      </c>
      <c r="J4192" s="9" t="s">
        <v>2570</v>
      </c>
      <c r="K4192" s="4" t="s">
        <v>15175</v>
      </c>
      <c r="L4192" s="13">
        <v>12759</v>
      </c>
      <c r="M4192" t="str">
        <f>VLOOKUP(L4192,[1]Human_BrainSpan!$B$2:$C$4000,2,FALSE)</f>
        <v>lcs</v>
      </c>
    </row>
    <row r="4193" spans="2:13" x14ac:dyDescent="0.25">
      <c r="B4193" s="31" t="s">
        <v>26303</v>
      </c>
      <c r="C4193" s="25" t="s">
        <v>2607</v>
      </c>
      <c r="D4193" s="25" t="s">
        <v>26232</v>
      </c>
      <c r="E4193" s="25"/>
      <c r="F4193" s="9" t="str">
        <f t="shared" si="58"/>
        <v>structure with developmental contribution from neural crest</v>
      </c>
      <c r="G4193" s="9" t="s">
        <v>5090</v>
      </c>
      <c r="H4193" s="9" t="s">
        <v>18469</v>
      </c>
      <c r="I4193" s="9" t="s">
        <v>2607</v>
      </c>
      <c r="J4193" s="9" t="s">
        <v>2608</v>
      </c>
      <c r="K4193" s="4" t="s">
        <v>15175</v>
      </c>
      <c r="L4193" s="13">
        <v>12760</v>
      </c>
      <c r="M4193" t="str">
        <f>VLOOKUP(L4193,[1]Human_BrainSpan!$B$2:$C$4000,2,FALSE)</f>
        <v>ll</v>
      </c>
    </row>
    <row r="4194" spans="2:13" x14ac:dyDescent="0.25">
      <c r="B4194" s="31" t="s">
        <v>26303</v>
      </c>
      <c r="C4194" s="25" t="s">
        <v>2745</v>
      </c>
      <c r="D4194" s="25" t="s">
        <v>26232</v>
      </c>
      <c r="E4194" s="25"/>
      <c r="F4194" s="9" t="str">
        <f t="shared" si="58"/>
        <v>structure with developmental contribution from neural crest</v>
      </c>
      <c r="G4194" s="9" t="s">
        <v>5090</v>
      </c>
      <c r="H4194" s="9" t="s">
        <v>24625</v>
      </c>
      <c r="I4194" s="9" t="s">
        <v>7770</v>
      </c>
      <c r="J4194" s="9" t="s">
        <v>7771</v>
      </c>
      <c r="K4194" s="4" t="s">
        <v>15175</v>
      </c>
      <c r="L4194" s="13">
        <v>12761</v>
      </c>
      <c r="M4194" t="str">
        <f>VLOOKUP(L4194,[1]Human_BrainSpan!$B$2:$C$4000,2,FALSE)</f>
        <v>lvs</v>
      </c>
    </row>
    <row r="4195" spans="2:13" x14ac:dyDescent="0.25">
      <c r="B4195" s="31" t="s">
        <v>26303</v>
      </c>
      <c r="C4195" s="25" t="s">
        <v>26005</v>
      </c>
      <c r="D4195" s="25" t="s">
        <v>26232</v>
      </c>
      <c r="E4195" s="25"/>
      <c r="F4195" s="9" t="str">
        <f t="shared" si="58"/>
        <v>structure with developmental contribution from neural crest</v>
      </c>
      <c r="G4195" s="9" t="s">
        <v>5090</v>
      </c>
      <c r="H4195" s="9" t="s">
        <v>24626</v>
      </c>
      <c r="I4195" s="9" t="s">
        <v>2809</v>
      </c>
      <c r="J4195" s="9" t="s">
        <v>2810</v>
      </c>
      <c r="K4195" s="4" t="s">
        <v>15175</v>
      </c>
      <c r="L4195" s="13">
        <v>12762</v>
      </c>
      <c r="M4195" t="str">
        <f>VLOOKUP(L4195,[1]Human_BrainSpan!$B$2:$C$4000,2,FALSE)</f>
        <v>lfpn</v>
      </c>
    </row>
    <row r="4196" spans="2:13" x14ac:dyDescent="0.25">
      <c r="B4196" s="31" t="s">
        <v>26303</v>
      </c>
      <c r="C4196" s="25" t="s">
        <v>2924</v>
      </c>
      <c r="D4196" s="25" t="s">
        <v>26232</v>
      </c>
      <c r="E4196" s="25"/>
      <c r="F4196" s="9" t="str">
        <f t="shared" si="58"/>
        <v>structure with developmental contribution from neural crest</v>
      </c>
      <c r="G4196" s="9" t="s">
        <v>5090</v>
      </c>
      <c r="H4196" s="9" t="s">
        <v>18472</v>
      </c>
      <c r="I4196" s="9" t="s">
        <v>2924</v>
      </c>
      <c r="J4196" s="9" t="s">
        <v>2925</v>
      </c>
      <c r="K4196" s="4" t="s">
        <v>15175</v>
      </c>
      <c r="L4196" s="13">
        <v>12763</v>
      </c>
      <c r="M4196" t="str">
        <f>VLOOKUP(L4196,[1]Human_BrainSpan!$B$2:$C$4000,2,FALSE)</f>
        <v>ml</v>
      </c>
    </row>
    <row r="4197" spans="2:13" x14ac:dyDescent="0.25">
      <c r="B4197" s="31" t="s">
        <v>26303</v>
      </c>
      <c r="C4197" s="25" t="s">
        <v>2931</v>
      </c>
      <c r="D4197" s="25" t="s">
        <v>26232</v>
      </c>
      <c r="E4197" s="25"/>
      <c r="F4197" s="9" t="str">
        <f t="shared" si="58"/>
        <v>structure with developmental contribution from neural crest</v>
      </c>
      <c r="G4197" s="9" t="s">
        <v>5090</v>
      </c>
      <c r="H4197" s="9" t="s">
        <v>18474</v>
      </c>
      <c r="I4197" s="9" t="s">
        <v>2931</v>
      </c>
      <c r="J4197" s="9" t="s">
        <v>2932</v>
      </c>
      <c r="K4197" s="4" t="s">
        <v>15175</v>
      </c>
      <c r="L4197" s="13">
        <v>12764</v>
      </c>
      <c r="M4197" t="str">
        <f>VLOOKUP(L4197,[1]Human_BrainSpan!$B$2:$C$4000,2,FALSE)</f>
        <v>mlf</v>
      </c>
    </row>
    <row r="4198" spans="2:13" x14ac:dyDescent="0.25">
      <c r="B4198" s="31" t="s">
        <v>26303</v>
      </c>
      <c r="C4198" s="20"/>
      <c r="D4198" s="25" t="s">
        <v>26232</v>
      </c>
      <c r="E4198" s="25" t="s">
        <v>26300</v>
      </c>
      <c r="F4198" s="9" t="str">
        <f t="shared" si="58"/>
        <v>structure with developmental contribution from neural crest</v>
      </c>
      <c r="G4198" s="9" t="s">
        <v>5090</v>
      </c>
      <c r="H4198" s="9" t="s">
        <v>24627</v>
      </c>
      <c r="I4198" s="9" t="s">
        <v>7772</v>
      </c>
      <c r="J4198" s="9" t="s">
        <v>7773</v>
      </c>
      <c r="K4198" s="4" t="s">
        <v>15175</v>
      </c>
      <c r="L4198" s="13">
        <v>12765</v>
      </c>
      <c r="M4198" t="str">
        <f>VLOOKUP(L4198,[1]Human_BrainSpan!$B$2:$C$4000,2,FALSE)</f>
        <v>metg</v>
      </c>
    </row>
    <row r="4199" spans="2:13" x14ac:dyDescent="0.25">
      <c r="B4199" s="31" t="s">
        <v>26303</v>
      </c>
      <c r="C4199" s="25" t="s">
        <v>3042</v>
      </c>
      <c r="D4199" s="25" t="s">
        <v>26232</v>
      </c>
      <c r="E4199" s="25"/>
      <c r="F4199" s="9" t="str">
        <f t="shared" si="58"/>
        <v>structure with developmental contribution from neural crest</v>
      </c>
      <c r="G4199" s="9" t="s">
        <v>5090</v>
      </c>
      <c r="H4199" s="9" t="s">
        <v>24628</v>
      </c>
      <c r="I4199" s="9" t="s">
        <v>7774</v>
      </c>
      <c r="J4199" s="9" t="s">
        <v>7775</v>
      </c>
      <c r="K4199" s="4" t="s">
        <v>15175</v>
      </c>
      <c r="L4199" s="13">
        <v>12766</v>
      </c>
      <c r="M4199" t="str">
        <f>VLOOKUP(L4199,[1]Human_BrainSpan!$B$2:$C$4000,2,FALSE)</f>
        <v>mvet</v>
      </c>
    </row>
    <row r="4200" spans="2:13" x14ac:dyDescent="0.25">
      <c r="B4200" s="31" t="s">
        <v>26303</v>
      </c>
      <c r="C4200" s="25" t="s">
        <v>26037</v>
      </c>
      <c r="D4200" s="25" t="s">
        <v>26232</v>
      </c>
      <c r="E4200" s="25"/>
      <c r="F4200" s="9" t="str">
        <f t="shared" si="58"/>
        <v>structure with developmental contribution from neural crest</v>
      </c>
      <c r="G4200" s="9" t="s">
        <v>5090</v>
      </c>
      <c r="H4200" s="9" t="s">
        <v>24629</v>
      </c>
      <c r="I4200" s="9" t="s">
        <v>3080</v>
      </c>
      <c r="J4200" s="9" t="s">
        <v>3081</v>
      </c>
      <c r="K4200" s="4" t="s">
        <v>15175</v>
      </c>
      <c r="L4200" s="13">
        <v>12767</v>
      </c>
      <c r="M4200" t="str">
        <f>VLOOKUP(L4200,[1]Human_BrainSpan!$B$2:$C$4000,2,FALSE)</f>
        <v>me5</v>
      </c>
    </row>
    <row r="4201" spans="2:13" x14ac:dyDescent="0.25">
      <c r="B4201" s="37" t="s">
        <v>26303</v>
      </c>
      <c r="C4201" s="25" t="s">
        <v>3895</v>
      </c>
      <c r="D4201" s="25" t="s">
        <v>26232</v>
      </c>
      <c r="E4201" s="25"/>
      <c r="F4201" s="9" t="str">
        <f t="shared" si="58"/>
        <v>structure with developmental contribution from neural crest</v>
      </c>
      <c r="G4201" s="9" t="s">
        <v>5090</v>
      </c>
      <c r="H4201" s="9" t="s">
        <v>24630</v>
      </c>
      <c r="I4201" s="9" t="s">
        <v>3895</v>
      </c>
      <c r="J4201" s="9" t="s">
        <v>3896</v>
      </c>
      <c r="K4201" s="4" t="s">
        <v>15175</v>
      </c>
      <c r="L4201" s="13">
        <v>12769</v>
      </c>
      <c r="M4201" t="str">
        <f>VLOOKUP(L4201,[1]Human_BrainSpan!$B$2:$C$4000,2,FALSE)</f>
        <v>pncb</v>
      </c>
    </row>
    <row r="4202" spans="2:13" x14ac:dyDescent="0.25">
      <c r="B4202" s="37" t="s">
        <v>26303</v>
      </c>
      <c r="C4202" s="20"/>
      <c r="D4202" s="25" t="s">
        <v>26232</v>
      </c>
      <c r="E4202" s="25" t="s">
        <v>26309</v>
      </c>
      <c r="F4202" s="9" t="str">
        <f t="shared" si="58"/>
        <v>structure with developmental contribution from neural crest</v>
      </c>
      <c r="G4202" s="9" t="s">
        <v>5090</v>
      </c>
      <c r="H4202" s="9" t="s">
        <v>24631</v>
      </c>
      <c r="I4202" s="9" t="s">
        <v>7776</v>
      </c>
      <c r="J4202" s="9" t="s">
        <v>7777</v>
      </c>
      <c r="K4202" s="4" t="s">
        <v>15175</v>
      </c>
      <c r="L4202" s="13">
        <v>12770</v>
      </c>
      <c r="M4202" t="str">
        <f>VLOOKUP(L4202,[1]Human_BrainSpan!$B$2:$C$4000,2,FALSE)</f>
        <v>rctp</v>
      </c>
    </row>
    <row r="4203" spans="2:13" x14ac:dyDescent="0.25">
      <c r="B4203" s="31" t="s">
        <v>26303</v>
      </c>
      <c r="C4203" s="20"/>
      <c r="D4203" s="25" t="s">
        <v>26232</v>
      </c>
      <c r="E4203" s="25" t="s">
        <v>26300</v>
      </c>
      <c r="F4203" s="9" t="str">
        <f t="shared" si="58"/>
        <v>structure with developmental contribution from neural crest</v>
      </c>
      <c r="G4203" s="9" t="s">
        <v>5090</v>
      </c>
      <c r="H4203" s="9" t="s">
        <v>24632</v>
      </c>
      <c r="I4203" s="9" t="s">
        <v>3485</v>
      </c>
      <c r="J4203" s="9" t="s">
        <v>3486</v>
      </c>
      <c r="K4203" s="4" t="s">
        <v>15175</v>
      </c>
      <c r="L4203" s="13">
        <v>12771</v>
      </c>
      <c r="M4203" t="str">
        <f>VLOOKUP(L4203,[1]Human_BrainSpan!$B$2:$C$4000,2,FALSE)</f>
        <v>olcob</v>
      </c>
    </row>
    <row r="4204" spans="2:13" x14ac:dyDescent="0.25">
      <c r="B4204" s="31" t="s">
        <v>26303</v>
      </c>
      <c r="C4204" s="35" t="s">
        <v>4213</v>
      </c>
      <c r="D4204" s="35" t="s">
        <v>26232</v>
      </c>
      <c r="E4204" s="35"/>
      <c r="F4204" s="9" t="str">
        <f t="shared" si="58"/>
        <v>structure with developmental contribution from neural crest</v>
      </c>
      <c r="G4204" s="9" t="s">
        <v>5090</v>
      </c>
      <c r="H4204" s="9" t="s">
        <v>24633</v>
      </c>
      <c r="I4204" s="9" t="s">
        <v>4213</v>
      </c>
      <c r="J4204" s="9" t="s">
        <v>4214</v>
      </c>
      <c r="K4204" s="4" t="s">
        <v>15175</v>
      </c>
      <c r="L4204" s="13">
        <v>12772</v>
      </c>
      <c r="M4204" t="str">
        <f>VLOOKUP(L4204,[1]Human_BrainSpan!$B$2:$C$4000,2,FALSE)</f>
        <v>xpy</v>
      </c>
    </row>
    <row r="4205" spans="2:13" x14ac:dyDescent="0.25">
      <c r="B4205" s="31" t="s">
        <v>26303</v>
      </c>
      <c r="C4205" s="34"/>
      <c r="D4205" s="25" t="s">
        <v>26185</v>
      </c>
      <c r="E4205" s="35" t="s">
        <v>26300</v>
      </c>
      <c r="F4205" s="9" t="str">
        <f t="shared" si="58"/>
        <v>structure with developmental contribution from neural crest</v>
      </c>
      <c r="G4205" s="9" t="s">
        <v>5090</v>
      </c>
      <c r="H4205" s="9" t="s">
        <v>18489</v>
      </c>
      <c r="I4205" s="9" t="s">
        <v>7778</v>
      </c>
      <c r="J4205" s="9" t="s">
        <v>7779</v>
      </c>
      <c r="K4205" s="4" t="s">
        <v>15175</v>
      </c>
      <c r="L4205" s="13">
        <v>12773</v>
      </c>
      <c r="M4205" t="str">
        <f>VLOOKUP(L4205,[1]Human_BrainSpan!$B$2:$C$4000,2,FALSE)</f>
        <v>py</v>
      </c>
    </row>
    <row r="4206" spans="2:13" x14ac:dyDescent="0.25">
      <c r="B4206" s="31" t="s">
        <v>26303</v>
      </c>
      <c r="C4206" s="25" t="s">
        <v>1357</v>
      </c>
      <c r="D4206" s="25" t="s">
        <v>26232</v>
      </c>
      <c r="E4206" s="25"/>
      <c r="F4206" s="9" t="str">
        <f t="shared" si="58"/>
        <v>structure with developmental contribution from neural crest</v>
      </c>
      <c r="G4206" s="9" t="s">
        <v>5090</v>
      </c>
      <c r="H4206" s="9" t="s">
        <v>24634</v>
      </c>
      <c r="I4206" s="9" t="s">
        <v>1357</v>
      </c>
      <c r="J4206" s="9" t="s">
        <v>1358</v>
      </c>
      <c r="K4206" s="4" t="s">
        <v>15175</v>
      </c>
      <c r="L4206" s="13">
        <v>12774</v>
      </c>
      <c r="M4206" t="str">
        <f>VLOOKUP(L4206,[1]Human_BrainSpan!$B$2:$C$4000,2,FALSE)</f>
        <v>cbu-h</v>
      </c>
    </row>
    <row r="4207" spans="2:13" x14ac:dyDescent="0.25">
      <c r="B4207" s="31" t="s">
        <v>26303</v>
      </c>
      <c r="C4207" s="20"/>
      <c r="D4207" s="25" t="s">
        <v>26185</v>
      </c>
      <c r="E4207" s="25" t="s">
        <v>26300</v>
      </c>
      <c r="F4207" s="9" t="str">
        <f t="shared" si="58"/>
        <v>structure with developmental contribution from neural crest</v>
      </c>
      <c r="G4207" s="9" t="s">
        <v>5090</v>
      </c>
      <c r="H4207" s="9" t="s">
        <v>24635</v>
      </c>
      <c r="I4207" s="9" t="s">
        <v>7780</v>
      </c>
      <c r="J4207" s="9" t="s">
        <v>7781</v>
      </c>
      <c r="K4207" s="4" t="s">
        <v>15175</v>
      </c>
      <c r="L4207" s="13">
        <v>12775</v>
      </c>
      <c r="M4207" t="str">
        <f>VLOOKUP(L4207,[1]Human_BrainSpan!$B$2:$C$4000,2,FALSE)</f>
        <v>cre-h</v>
      </c>
    </row>
    <row r="4208" spans="2:13" x14ac:dyDescent="0.25">
      <c r="B4208" s="31" t="s">
        <v>26303</v>
      </c>
      <c r="C4208" s="25" t="s">
        <v>1370</v>
      </c>
      <c r="D4208" s="25" t="s">
        <v>26232</v>
      </c>
      <c r="E4208" s="25"/>
      <c r="F4208" s="9" t="str">
        <f t="shared" si="58"/>
        <v>structure with developmental contribution from neural crest</v>
      </c>
      <c r="G4208" s="9" t="s">
        <v>5090</v>
      </c>
      <c r="H4208" s="9" t="s">
        <v>24636</v>
      </c>
      <c r="I4208" s="9" t="s">
        <v>1370</v>
      </c>
      <c r="J4208" s="9" t="s">
        <v>1371</v>
      </c>
      <c r="K4208" s="4" t="s">
        <v>15175</v>
      </c>
      <c r="L4208" s="13">
        <v>12776</v>
      </c>
      <c r="M4208" t="str">
        <f>VLOOKUP(L4208,[1]Human_BrainSpan!$B$2:$C$4000,2,FALSE)</f>
        <v>csp-h</v>
      </c>
    </row>
    <row r="4209" spans="2:13" x14ac:dyDescent="0.25">
      <c r="B4209" s="31" t="s">
        <v>26303</v>
      </c>
      <c r="C4209" s="20"/>
      <c r="D4209" s="25" t="s">
        <v>26232</v>
      </c>
      <c r="E4209" s="25"/>
      <c r="F4209" s="9" t="str">
        <f t="shared" si="58"/>
        <v>structure with developmental contribution from neural crest</v>
      </c>
      <c r="G4209" s="9" t="s">
        <v>5090</v>
      </c>
      <c r="H4209" s="9" t="s">
        <v>24637</v>
      </c>
      <c r="I4209" s="9" t="s">
        <v>7782</v>
      </c>
      <c r="J4209" s="9" t="s">
        <v>7783</v>
      </c>
      <c r="K4209" s="4" t="s">
        <v>15175</v>
      </c>
      <c r="L4209" s="13">
        <v>12777</v>
      </c>
      <c r="M4209" t="str">
        <f>VLOOKUP(L4209,[1]Human_BrainSpan!$B$2:$C$4000,2,FALSE)</f>
        <v>rsp</v>
      </c>
    </row>
    <row r="4210" spans="2:13" x14ac:dyDescent="0.25">
      <c r="B4210" s="31" t="s">
        <v>26303</v>
      </c>
      <c r="C4210" s="20"/>
      <c r="D4210" s="25" t="s">
        <v>26232</v>
      </c>
      <c r="E4210" s="25"/>
      <c r="F4210" s="9" t="str">
        <f t="shared" si="58"/>
        <v>structure with developmental contribution from neural crest</v>
      </c>
      <c r="G4210" s="9" t="s">
        <v>5090</v>
      </c>
      <c r="H4210" s="9" t="s">
        <v>24638</v>
      </c>
      <c r="I4210" s="9" t="s">
        <v>7784</v>
      </c>
      <c r="J4210" s="9" t="s">
        <v>7785</v>
      </c>
      <c r="K4210" s="4" t="s">
        <v>15175</v>
      </c>
      <c r="L4210" s="13">
        <v>12778</v>
      </c>
      <c r="M4210" t="str">
        <f>VLOOKUP(L4210,[1]Human_BrainSpan!$B$2:$C$4000,2,FALSE)</f>
        <v>lrsp</v>
      </c>
    </row>
    <row r="4211" spans="2:13" x14ac:dyDescent="0.25">
      <c r="B4211" s="31" t="s">
        <v>26303</v>
      </c>
      <c r="C4211" s="20"/>
      <c r="D4211" s="25" t="s">
        <v>26232</v>
      </c>
      <c r="E4211" s="25"/>
      <c r="F4211" s="9" t="str">
        <f t="shared" si="58"/>
        <v>structure with developmental contribution from neural crest</v>
      </c>
      <c r="G4211" s="9" t="s">
        <v>5090</v>
      </c>
      <c r="H4211" s="9" t="s">
        <v>24639</v>
      </c>
      <c r="I4211" s="9" t="s">
        <v>7786</v>
      </c>
      <c r="J4211" s="9" t="s">
        <v>7787</v>
      </c>
      <c r="K4211" s="4" t="s">
        <v>15175</v>
      </c>
      <c r="L4211" s="13">
        <v>12779</v>
      </c>
      <c r="M4211" t="str">
        <f>VLOOKUP(L4211,[1]Human_BrainSpan!$B$2:$C$4000,2,FALSE)</f>
        <v>vrsp</v>
      </c>
    </row>
    <row r="4212" spans="2:13" x14ac:dyDescent="0.25">
      <c r="B4212" s="31" t="s">
        <v>26303</v>
      </c>
      <c r="C4212" s="20"/>
      <c r="D4212" s="25" t="s">
        <v>26232</v>
      </c>
      <c r="E4212" s="25" t="s">
        <v>26300</v>
      </c>
      <c r="F4212" s="9" t="str">
        <f t="shared" si="58"/>
        <v>structure with developmental contribution from neural crest</v>
      </c>
      <c r="G4212" s="9" t="s">
        <v>5090</v>
      </c>
      <c r="H4212" s="9" t="s">
        <v>24640</v>
      </c>
      <c r="I4212" s="9" t="s">
        <v>7788</v>
      </c>
      <c r="J4212" s="9" t="s">
        <v>7789</v>
      </c>
      <c r="K4212" s="4" t="s">
        <v>15175</v>
      </c>
      <c r="L4212" s="13">
        <v>12780</v>
      </c>
      <c r="M4212" t="str">
        <f>VLOOKUP(L4212,[1]Human_BrainSpan!$B$2:$C$4000,2,FALSE)</f>
        <v>rbb</v>
      </c>
    </row>
    <row r="4213" spans="2:13" x14ac:dyDescent="0.25">
      <c r="B4213" s="31" t="s">
        <v>26303</v>
      </c>
      <c r="C4213" s="20"/>
      <c r="D4213" s="25" t="s">
        <v>26232</v>
      </c>
      <c r="E4213" s="25" t="s">
        <v>26300</v>
      </c>
      <c r="F4213" s="9" t="str">
        <f t="shared" si="58"/>
        <v>structure with developmental contribution from neural crest</v>
      </c>
      <c r="G4213" s="9" t="s">
        <v>5090</v>
      </c>
      <c r="H4213" s="9" t="s">
        <v>24641</v>
      </c>
      <c r="I4213" s="9" t="s">
        <v>7790</v>
      </c>
      <c r="J4213" s="9" t="s">
        <v>7791</v>
      </c>
      <c r="K4213" s="4" t="s">
        <v>15175</v>
      </c>
      <c r="L4213" s="13">
        <v>12781</v>
      </c>
      <c r="M4213" t="str">
        <f>VLOOKUP(L4213,[1]Human_BrainSpan!$B$2:$C$4000,2,FALSE)</f>
        <v>rol</v>
      </c>
    </row>
    <row r="4214" spans="2:13" x14ac:dyDescent="0.25">
      <c r="B4214" s="31" t="s">
        <v>26303</v>
      </c>
      <c r="C4214" s="25" t="s">
        <v>4929</v>
      </c>
      <c r="D4214" s="25" t="s">
        <v>26232</v>
      </c>
      <c r="E4214" s="25"/>
      <c r="F4214" s="9" t="str">
        <f t="shared" si="58"/>
        <v>structure with developmental contribution from neural crest</v>
      </c>
      <c r="G4214" s="9" t="s">
        <v>5090</v>
      </c>
      <c r="H4214" s="9" t="s">
        <v>24642</v>
      </c>
      <c r="I4214" s="9" t="s">
        <v>4929</v>
      </c>
      <c r="J4214" s="9" t="s">
        <v>4930</v>
      </c>
      <c r="K4214" s="4" t="s">
        <v>15175</v>
      </c>
      <c r="L4214" s="13">
        <v>12782</v>
      </c>
      <c r="M4214" t="str">
        <f>VLOOKUP(L4214,[1]Human_BrainSpan!$B$2:$C$4000,2,FALSE)</f>
        <v>rusp</v>
      </c>
    </row>
    <row r="4215" spans="2:13" x14ac:dyDescent="0.25">
      <c r="B4215" s="31" t="s">
        <v>26303</v>
      </c>
      <c r="C4215" s="25" t="s">
        <v>4980</v>
      </c>
      <c r="D4215" s="25" t="s">
        <v>26232</v>
      </c>
      <c r="E4215" s="25"/>
      <c r="F4215" s="9" t="str">
        <f t="shared" ref="F4215:F4278" si="59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4215" s="9" t="s">
        <v>5090</v>
      </c>
      <c r="H4215" s="9" t="s">
        <v>18499</v>
      </c>
      <c r="I4215" s="9" t="s">
        <v>4980</v>
      </c>
      <c r="J4215" s="9" t="s">
        <v>4981</v>
      </c>
      <c r="K4215" s="4" t="s">
        <v>15175</v>
      </c>
      <c r="L4215" s="13">
        <v>12783</v>
      </c>
      <c r="M4215" t="str">
        <f>VLOOKUP(L4215,[1]Human_BrainSpan!$B$2:$C$4000,2,FALSE)</f>
        <v>sol</v>
      </c>
    </row>
    <row r="4216" spans="2:13" x14ac:dyDescent="0.25">
      <c r="B4216" s="31" t="s">
        <v>26303</v>
      </c>
      <c r="C4216" s="25" t="s">
        <v>2247</v>
      </c>
      <c r="D4216" s="25" t="s">
        <v>26232</v>
      </c>
      <c r="E4216" s="25"/>
      <c r="F4216" s="9" t="str">
        <f t="shared" si="59"/>
        <v>structure with developmental contribution from neural crest</v>
      </c>
      <c r="G4216" s="9" t="s">
        <v>5090</v>
      </c>
      <c r="H4216" s="9" t="s">
        <v>24643</v>
      </c>
      <c r="I4216" s="9" t="s">
        <v>7792</v>
      </c>
      <c r="J4216" s="9" t="s">
        <v>7793</v>
      </c>
      <c r="K4216" s="4" t="s">
        <v>15175</v>
      </c>
      <c r="L4216" s="13">
        <v>12784</v>
      </c>
      <c r="M4216" t="str">
        <f>VLOOKUP(L4216,[1]Human_BrainSpan!$B$2:$C$4000,2,FALSE)</f>
        <v>slh</v>
      </c>
    </row>
    <row r="4217" spans="2:13" x14ac:dyDescent="0.25">
      <c r="B4217" s="31" t="s">
        <v>26303</v>
      </c>
      <c r="C4217" s="20"/>
      <c r="D4217" s="25" t="s">
        <v>26232</v>
      </c>
      <c r="E4217" s="25" t="s">
        <v>26300</v>
      </c>
      <c r="F4217" s="9" t="str">
        <f t="shared" si="59"/>
        <v>structure with developmental contribution from neural crest</v>
      </c>
      <c r="G4217" s="9" t="s">
        <v>5090</v>
      </c>
      <c r="H4217" s="9" t="s">
        <v>24644</v>
      </c>
      <c r="I4217" s="9" t="s">
        <v>7794</v>
      </c>
      <c r="J4217" s="9" t="s">
        <v>7795</v>
      </c>
      <c r="K4217" s="4" t="s">
        <v>15175</v>
      </c>
      <c r="L4217" s="13">
        <v>12785</v>
      </c>
      <c r="M4217" t="str">
        <f>VLOOKUP(L4217,[1]Human_BrainSpan!$B$2:$C$4000,2,FALSE)</f>
        <v>spb</v>
      </c>
    </row>
    <row r="4218" spans="2:13" x14ac:dyDescent="0.25">
      <c r="B4218" s="31" t="s">
        <v>26303</v>
      </c>
      <c r="C4218" s="25"/>
      <c r="D4218" s="25" t="s">
        <v>26232</v>
      </c>
      <c r="E4218" s="25" t="s">
        <v>26300</v>
      </c>
      <c r="F4218" s="9" t="str">
        <f t="shared" si="59"/>
        <v>structure with developmental contribution from neural crest</v>
      </c>
      <c r="G4218" s="9" t="s">
        <v>5090</v>
      </c>
      <c r="H4218" s="9" t="s">
        <v>24645</v>
      </c>
      <c r="I4218" s="9" t="s">
        <v>7796</v>
      </c>
      <c r="J4218" s="9" t="s">
        <v>7797</v>
      </c>
      <c r="K4218" s="4" t="s">
        <v>15175</v>
      </c>
      <c r="L4218" s="13">
        <v>12786</v>
      </c>
      <c r="M4218" t="str">
        <f>VLOOKUP(L4218,[1]Human_BrainSpan!$B$2:$C$4000,2,FALSE)</f>
        <v>sphy</v>
      </c>
    </row>
    <row r="4219" spans="2:13" x14ac:dyDescent="0.25">
      <c r="B4219" s="31" t="s">
        <v>26303</v>
      </c>
      <c r="C4219" s="20"/>
      <c r="D4219" s="25" t="s">
        <v>26232</v>
      </c>
      <c r="E4219" s="25" t="s">
        <v>26300</v>
      </c>
      <c r="F4219" s="9" t="str">
        <f t="shared" si="59"/>
        <v>structure with developmental contribution from neural crest</v>
      </c>
      <c r="G4219" s="9" t="s">
        <v>5090</v>
      </c>
      <c r="H4219" s="9" t="s">
        <v>24646</v>
      </c>
      <c r="I4219" s="9" t="s">
        <v>7798</v>
      </c>
      <c r="J4219" s="9" t="s">
        <v>7799</v>
      </c>
      <c r="K4219" s="4" t="s">
        <v>15175</v>
      </c>
      <c r="L4219" s="13">
        <v>12787</v>
      </c>
      <c r="M4219" t="str">
        <f>VLOOKUP(L4219,[1]Human_BrainSpan!$B$2:$C$4000,2,FALSE)</f>
        <v>spme</v>
      </c>
    </row>
    <row r="4220" spans="2:13" x14ac:dyDescent="0.25">
      <c r="B4220" s="31" t="s">
        <v>26303</v>
      </c>
      <c r="C4220" s="20"/>
      <c r="D4220" s="25" t="s">
        <v>26185</v>
      </c>
      <c r="E4220" s="25" t="s">
        <v>26300</v>
      </c>
      <c r="F4220" s="9" t="str">
        <f t="shared" si="59"/>
        <v>structure with developmental contribution from neural crest</v>
      </c>
      <c r="G4220" s="9" t="s">
        <v>5090</v>
      </c>
      <c r="H4220" s="9" t="s">
        <v>24647</v>
      </c>
      <c r="I4220" s="9" t="s">
        <v>7800</v>
      </c>
      <c r="J4220" s="9" t="s">
        <v>7801</v>
      </c>
      <c r="K4220" s="4" t="s">
        <v>15175</v>
      </c>
      <c r="L4220" s="13">
        <v>12788</v>
      </c>
      <c r="M4220" t="str">
        <f>VLOOKUP(L4220,[1]Human_BrainSpan!$B$2:$C$4000,2,FALSE)</f>
        <v>spre</v>
      </c>
    </row>
    <row r="4221" spans="2:13" x14ac:dyDescent="0.25">
      <c r="B4221" s="31" t="s">
        <v>26303</v>
      </c>
      <c r="C4221" s="25" t="s">
        <v>5014</v>
      </c>
      <c r="D4221" s="25" t="s">
        <v>26232</v>
      </c>
      <c r="E4221" s="25"/>
      <c r="F4221" s="9" t="str">
        <f t="shared" si="59"/>
        <v>structure with developmental contribution from neural crest</v>
      </c>
      <c r="G4221" s="9" t="s">
        <v>5090</v>
      </c>
      <c r="H4221" s="9" t="s">
        <v>24648</v>
      </c>
      <c r="I4221" s="9" t="s">
        <v>5014</v>
      </c>
      <c r="J4221" s="9" t="s">
        <v>5015</v>
      </c>
      <c r="K4221" s="4" t="s">
        <v>15175</v>
      </c>
      <c r="L4221" s="13">
        <v>12789</v>
      </c>
      <c r="M4221" t="str">
        <f>VLOOKUP(L4221,[1]Human_BrainSpan!$B$2:$C$4000,2,FALSE)</f>
        <v>spth</v>
      </c>
    </row>
    <row r="4222" spans="2:13" x14ac:dyDescent="0.25">
      <c r="B4222" s="31" t="s">
        <v>26303</v>
      </c>
      <c r="C4222" s="25" t="s">
        <v>26287</v>
      </c>
      <c r="D4222" s="25" t="s">
        <v>26232</v>
      </c>
      <c r="E4222" s="25"/>
      <c r="F4222" s="9" t="str">
        <f t="shared" si="59"/>
        <v>structure with developmental contribution from neural crest</v>
      </c>
      <c r="G4222" s="9" t="s">
        <v>5090</v>
      </c>
      <c r="H4222" s="9" t="s">
        <v>24649</v>
      </c>
      <c r="I4222" s="9" t="s">
        <v>7802</v>
      </c>
      <c r="J4222" s="9" t="s">
        <v>7803</v>
      </c>
      <c r="K4222" s="4" t="s">
        <v>15175</v>
      </c>
      <c r="L4222" s="13">
        <v>12790</v>
      </c>
      <c r="M4222" t="str">
        <f>VLOOKUP(L4222,[1]Human_BrainSpan!$B$2:$C$4000,2,FALSE)</f>
        <v>spve</v>
      </c>
    </row>
    <row r="4223" spans="2:13" x14ac:dyDescent="0.25">
      <c r="B4223" s="31" t="s">
        <v>26303</v>
      </c>
      <c r="C4223" s="25" t="s">
        <v>7804</v>
      </c>
      <c r="D4223" s="25" t="s">
        <v>26232</v>
      </c>
      <c r="E4223" s="25"/>
      <c r="F4223" s="9" t="str">
        <f t="shared" si="59"/>
        <v>structure with developmental contribution from neural crest</v>
      </c>
      <c r="G4223" s="9" t="s">
        <v>5090</v>
      </c>
      <c r="H4223" s="9" t="s">
        <v>24650</v>
      </c>
      <c r="I4223" s="9" t="s">
        <v>7804</v>
      </c>
      <c r="J4223" s="9" t="s">
        <v>7805</v>
      </c>
      <c r="K4223" s="4" t="s">
        <v>15175</v>
      </c>
      <c r="L4223" s="13">
        <v>12791</v>
      </c>
      <c r="M4223" t="str">
        <f>VLOOKUP(L4223,[1]Human_BrainSpan!$B$2:$C$4000,2,FALSE)</f>
        <v>tbu</v>
      </c>
    </row>
    <row r="4224" spans="2:13" x14ac:dyDescent="0.25">
      <c r="B4224" s="31" t="s">
        <v>26303</v>
      </c>
      <c r="C4224" s="25" t="s">
        <v>5001</v>
      </c>
      <c r="D4224" s="25" t="s">
        <v>26232</v>
      </c>
      <c r="E4224" s="25"/>
      <c r="F4224" s="9" t="str">
        <f t="shared" si="59"/>
        <v>structure with developmental contribution from neural crest</v>
      </c>
      <c r="G4224" s="9" t="s">
        <v>5090</v>
      </c>
      <c r="H4224" s="9" t="s">
        <v>18500</v>
      </c>
      <c r="I4224" s="9" t="s">
        <v>5001</v>
      </c>
      <c r="J4224" s="9" t="s">
        <v>5002</v>
      </c>
      <c r="K4224" s="4" t="s">
        <v>15175</v>
      </c>
      <c r="L4224" s="13">
        <v>12792</v>
      </c>
      <c r="M4224" t="str">
        <f>VLOOKUP(L4224,[1]Human_BrainSpan!$B$2:$C$4000,2,FALSE)</f>
        <v>sp5</v>
      </c>
    </row>
    <row r="4225" spans="2:13" x14ac:dyDescent="0.25">
      <c r="B4225" s="31" t="s">
        <v>26303</v>
      </c>
      <c r="C4225" s="25" t="s">
        <v>5005</v>
      </c>
      <c r="D4225" s="25" t="s">
        <v>26232</v>
      </c>
      <c r="E4225" s="25"/>
      <c r="F4225" s="9" t="str">
        <f t="shared" si="59"/>
        <v>structure with developmental contribution from neural crest</v>
      </c>
      <c r="G4225" s="9" t="s">
        <v>5090</v>
      </c>
      <c r="H4225" s="9" t="s">
        <v>24651</v>
      </c>
      <c r="I4225" s="9" t="s">
        <v>5005</v>
      </c>
      <c r="J4225" s="9" t="s">
        <v>5006</v>
      </c>
      <c r="K4225" s="4" t="s">
        <v>15175</v>
      </c>
      <c r="L4225" s="13">
        <v>12793</v>
      </c>
      <c r="M4225" t="str">
        <f>VLOOKUP(L4225,[1]Human_BrainSpan!$B$2:$C$4000,2,FALSE)</f>
        <v>spol</v>
      </c>
    </row>
    <row r="4226" spans="2:13" x14ac:dyDescent="0.25">
      <c r="B4226" s="31" t="s">
        <v>26303</v>
      </c>
      <c r="C4226" s="25" t="s">
        <v>7806</v>
      </c>
      <c r="D4226" s="25" t="s">
        <v>26232</v>
      </c>
      <c r="E4226" s="25"/>
      <c r="F4226" s="9" t="str">
        <f t="shared" si="59"/>
        <v>structure with developmental contribution from neural crest</v>
      </c>
      <c r="G4226" s="9" t="s">
        <v>5090</v>
      </c>
      <c r="H4226" s="9" t="s">
        <v>18509</v>
      </c>
      <c r="I4226" s="9" t="s">
        <v>7806</v>
      </c>
      <c r="J4226" s="9" t="s">
        <v>7807</v>
      </c>
      <c r="K4226" s="4" t="s">
        <v>15175</v>
      </c>
      <c r="L4226" s="13">
        <v>12794</v>
      </c>
      <c r="M4226" t="str">
        <f>VLOOKUP(L4226,[1]Human_BrainSpan!$B$2:$C$4000,2,FALSE)</f>
        <v>tsp</v>
      </c>
    </row>
    <row r="4227" spans="2:13" x14ac:dyDescent="0.25">
      <c r="B4227" s="31" t="s">
        <v>26303</v>
      </c>
      <c r="C4227" s="25" t="s">
        <v>26264</v>
      </c>
      <c r="D4227" s="25" t="s">
        <v>26232</v>
      </c>
      <c r="E4227" s="25"/>
      <c r="F4227" s="9" t="str">
        <f t="shared" si="59"/>
        <v>structure with developmental contribution from neural crest</v>
      </c>
      <c r="G4227" s="9" t="s">
        <v>5090</v>
      </c>
      <c r="H4227" s="9" t="s">
        <v>24653</v>
      </c>
      <c r="I4227" s="9" t="s">
        <v>7808</v>
      </c>
      <c r="J4227" s="9" t="s">
        <v>7809</v>
      </c>
      <c r="K4227" s="4" t="s">
        <v>15175</v>
      </c>
      <c r="L4227" s="13">
        <v>12795</v>
      </c>
      <c r="M4227" t="str">
        <f>VLOOKUP(L4227,[1]Human_BrainSpan!$B$2:$C$4000,2,FALSE)</f>
        <v>tfp</v>
      </c>
    </row>
    <row r="4228" spans="2:13" x14ac:dyDescent="0.25">
      <c r="B4228" s="31" t="s">
        <v>26303</v>
      </c>
      <c r="C4228" s="25" t="s">
        <v>7810</v>
      </c>
      <c r="D4228" s="25" t="s">
        <v>26232</v>
      </c>
      <c r="E4228" s="25"/>
      <c r="F4228" s="9" t="str">
        <f t="shared" si="59"/>
        <v>structure with developmental contribution from neural crest</v>
      </c>
      <c r="G4228" s="9" t="s">
        <v>5090</v>
      </c>
      <c r="H4228" s="9" t="s">
        <v>24654</v>
      </c>
      <c r="I4228" s="9" t="s">
        <v>7810</v>
      </c>
      <c r="J4228" s="9" t="s">
        <v>7811</v>
      </c>
      <c r="K4228" s="4" t="s">
        <v>15175</v>
      </c>
      <c r="L4228" s="13">
        <v>12797</v>
      </c>
      <c r="M4228" t="str">
        <f>VLOOKUP(L4228,[1]Human_BrainSpan!$B$2:$C$4000,2,FALSE)</f>
        <v>tri5</v>
      </c>
    </row>
    <row r="4229" spans="2:13" x14ac:dyDescent="0.25">
      <c r="B4229" s="31" t="s">
        <v>26303</v>
      </c>
      <c r="C4229" s="25" t="s">
        <v>7812</v>
      </c>
      <c r="D4229" s="25" t="s">
        <v>26232</v>
      </c>
      <c r="E4229" s="25"/>
      <c r="F4229" s="9" t="str">
        <f t="shared" si="59"/>
        <v>structure with developmental contribution from neural crest</v>
      </c>
      <c r="G4229" s="9" t="s">
        <v>5090</v>
      </c>
      <c r="H4229" s="9" t="s">
        <v>24656</v>
      </c>
      <c r="I4229" s="9" t="s">
        <v>7812</v>
      </c>
      <c r="J4229" s="9" t="s">
        <v>7813</v>
      </c>
      <c r="K4229" s="4" t="s">
        <v>15175</v>
      </c>
      <c r="L4229" s="13">
        <v>12798</v>
      </c>
      <c r="M4229" t="str">
        <f>VLOOKUP(L4229,[1]Human_BrainSpan!$B$2:$C$4000,2,FALSE)</f>
        <v>vcsp</v>
      </c>
    </row>
    <row r="4230" spans="2:13" x14ac:dyDescent="0.25">
      <c r="B4230" s="31" t="s">
        <v>26303</v>
      </c>
      <c r="C4230" s="20"/>
      <c r="D4230" s="25" t="s">
        <v>26232</v>
      </c>
      <c r="E4230" s="25" t="s">
        <v>26300</v>
      </c>
      <c r="F4230" s="9" t="str">
        <f t="shared" si="59"/>
        <v>structure with developmental contribution from neural crest</v>
      </c>
      <c r="G4230" s="9" t="s">
        <v>5090</v>
      </c>
      <c r="H4230" s="9" t="s">
        <v>24657</v>
      </c>
      <c r="I4230" s="9" t="s">
        <v>7814</v>
      </c>
      <c r="J4230" s="9" t="s">
        <v>7815</v>
      </c>
      <c r="K4230" s="4" t="s">
        <v>15175</v>
      </c>
      <c r="L4230" s="13">
        <v>12799</v>
      </c>
      <c r="M4230" t="str">
        <f>VLOOKUP(L4230,[1]Human_BrainSpan!$B$2:$C$4000,2,FALSE)</f>
        <v>vexf</v>
      </c>
    </row>
    <row r="4231" spans="2:13" x14ac:dyDescent="0.25">
      <c r="B4231" s="31" t="s">
        <v>26303</v>
      </c>
      <c r="C4231" s="20"/>
      <c r="D4231" s="25" t="s">
        <v>26232</v>
      </c>
      <c r="E4231" s="25" t="s">
        <v>26300</v>
      </c>
      <c r="F4231" s="9" t="str">
        <f t="shared" si="59"/>
        <v>structure with developmental contribution from neural crest</v>
      </c>
      <c r="G4231" s="9" t="s">
        <v>5090</v>
      </c>
      <c r="H4231" s="9" t="s">
        <v>24658</v>
      </c>
      <c r="I4231" s="9" t="s">
        <v>7816</v>
      </c>
      <c r="J4231" s="9" t="s">
        <v>7817</v>
      </c>
      <c r="K4231" s="4" t="s">
        <v>15175</v>
      </c>
      <c r="L4231" s="13">
        <v>12800</v>
      </c>
      <c r="M4231" t="str">
        <f>VLOOKUP(L4231,[1]Human_BrainSpan!$B$2:$C$4000,2,FALSE)</f>
        <v>vresp</v>
      </c>
    </row>
    <row r="4232" spans="2:13" x14ac:dyDescent="0.25">
      <c r="B4232" s="37" t="s">
        <v>26303</v>
      </c>
      <c r="C4232" s="25" t="s">
        <v>25796</v>
      </c>
      <c r="D4232" s="25" t="s">
        <v>26232</v>
      </c>
      <c r="E4232" s="25"/>
      <c r="F4232" s="9" t="str">
        <f t="shared" si="59"/>
        <v>structure with developmental contribution from neural crest</v>
      </c>
      <c r="G4232" s="9" t="s">
        <v>5090</v>
      </c>
      <c r="H4232" s="9" t="s">
        <v>24659</v>
      </c>
      <c r="I4232" s="9" t="s">
        <v>417</v>
      </c>
      <c r="J4232" s="9" t="s">
        <v>418</v>
      </c>
      <c r="K4232" s="4" t="s">
        <v>15175</v>
      </c>
      <c r="L4232" s="13">
        <v>12801</v>
      </c>
      <c r="M4232" t="str">
        <f>VLOOKUP(L4232,[1]Human_BrainSpan!$B$2:$C$4000,2,FALSE)</f>
        <v>vscb</v>
      </c>
    </row>
    <row r="4233" spans="2:13" x14ac:dyDescent="0.25">
      <c r="B4233" s="31" t="s">
        <v>26303</v>
      </c>
      <c r="C4233" s="20"/>
      <c r="D4233" s="25" t="s">
        <v>26185</v>
      </c>
      <c r="E4233" s="25" t="s">
        <v>26300</v>
      </c>
      <c r="F4233" s="9" t="str">
        <f t="shared" si="59"/>
        <v>structure with developmental contribution from neural crest</v>
      </c>
      <c r="G4233" s="9" t="s">
        <v>5090</v>
      </c>
      <c r="H4233" s="9" t="s">
        <v>18517</v>
      </c>
      <c r="I4233" s="9" t="s">
        <v>7818</v>
      </c>
      <c r="J4233" s="9" t="s">
        <v>7819</v>
      </c>
      <c r="K4233" s="4" t="s">
        <v>15175</v>
      </c>
      <c r="L4233" s="13">
        <v>12802</v>
      </c>
      <c r="M4233" t="str">
        <f>VLOOKUP(L4233,[1]Human_BrainSpan!$B$2:$C$4000,2,FALSE)</f>
        <v>vtg</v>
      </c>
    </row>
    <row r="4234" spans="2:13" x14ac:dyDescent="0.25">
      <c r="B4234" s="31" t="s">
        <v>26303</v>
      </c>
      <c r="C4234" s="20"/>
      <c r="D4234" s="25" t="s">
        <v>26232</v>
      </c>
      <c r="E4234" s="25" t="s">
        <v>26309</v>
      </c>
      <c r="F4234" s="9" t="str">
        <f t="shared" si="59"/>
        <v>structure with developmental contribution from neural crest</v>
      </c>
      <c r="G4234" s="9" t="s">
        <v>5090</v>
      </c>
      <c r="H4234" s="9" t="s">
        <v>24661</v>
      </c>
      <c r="I4234" s="9" t="s">
        <v>7820</v>
      </c>
      <c r="J4234" s="9" t="s">
        <v>7821</v>
      </c>
      <c r="K4234" s="4" t="s">
        <v>15175</v>
      </c>
      <c r="L4234" s="13">
        <v>12804</v>
      </c>
      <c r="M4234" t="str">
        <f>VLOOKUP(L4234,[1]Human_BrainSpan!$B$2:$C$4000,2,FALSE)</f>
        <v>veme</v>
      </c>
    </row>
    <row r="4235" spans="2:13" x14ac:dyDescent="0.25">
      <c r="B4235" s="31" t="s">
        <v>26299</v>
      </c>
      <c r="C4235" s="25" t="s">
        <v>2007</v>
      </c>
      <c r="D4235" s="25" t="s">
        <v>26232</v>
      </c>
      <c r="E4235" s="25" t="s">
        <v>26306</v>
      </c>
      <c r="F4235" s="9" t="str">
        <f t="shared" si="59"/>
        <v>structure with developmental contribution from neural crest</v>
      </c>
      <c r="G4235" s="9" t="s">
        <v>5090</v>
      </c>
      <c r="H4235" s="9" t="s">
        <v>24664</v>
      </c>
      <c r="I4235" s="9" t="s">
        <v>7822</v>
      </c>
      <c r="J4235" s="9" t="s">
        <v>7823</v>
      </c>
      <c r="K4235" s="4" t="s">
        <v>15175</v>
      </c>
      <c r="L4235" s="13">
        <v>12806</v>
      </c>
      <c r="M4235" t="str">
        <f>VLOOKUP(L4235,[1]Human_BrainSpan!$B$2:$C$4000,2,FALSE)</f>
        <v>4Vro</v>
      </c>
    </row>
    <row r="4236" spans="2:13" x14ac:dyDescent="0.25">
      <c r="B4236" s="31" t="s">
        <v>26303</v>
      </c>
      <c r="C4236" s="20"/>
      <c r="D4236" s="25" t="s">
        <v>26185</v>
      </c>
      <c r="E4236" s="25" t="s">
        <v>26300</v>
      </c>
      <c r="F4236" s="9" t="str">
        <f t="shared" si="59"/>
        <v>structure with developmental contribution from neural crest</v>
      </c>
      <c r="G4236" s="9" t="s">
        <v>5090</v>
      </c>
      <c r="H4236" s="9" t="s">
        <v>24714</v>
      </c>
      <c r="I4236" s="9" t="s">
        <v>7824</v>
      </c>
      <c r="J4236" s="9" t="s">
        <v>7825</v>
      </c>
      <c r="K4236" s="4" t="s">
        <v>15175</v>
      </c>
      <c r="L4236" s="13">
        <v>12809</v>
      </c>
      <c r="M4236" t="str">
        <f>VLOOKUP(L4236,[1]Human_BrainSpan!$B$2:$C$4000,2,FALSE)</f>
        <v>la4V</v>
      </c>
    </row>
    <row r="4237" spans="2:13" x14ac:dyDescent="0.25">
      <c r="B4237" s="31" t="s">
        <v>26303</v>
      </c>
      <c r="C4237" s="25" t="s">
        <v>2702</v>
      </c>
      <c r="D4237" s="25" t="s">
        <v>26232</v>
      </c>
      <c r="E4237" s="25"/>
      <c r="F4237" s="9" t="str">
        <f t="shared" si="59"/>
        <v>structure with developmental contribution from neural crest</v>
      </c>
      <c r="G4237" s="9" t="s">
        <v>5090</v>
      </c>
      <c r="H4237" s="9" t="s">
        <v>24665</v>
      </c>
      <c r="I4237" s="9" t="s">
        <v>2702</v>
      </c>
      <c r="J4237" s="9" t="s">
        <v>2703</v>
      </c>
      <c r="K4237" s="4" t="s">
        <v>15175</v>
      </c>
      <c r="L4237" s="13">
        <v>12810</v>
      </c>
      <c r="M4237" t="str">
        <f>VLOOKUP(L4237,[1]Human_BrainSpan!$B$2:$C$4000,2,FALSE)</f>
        <v>lr4V</v>
      </c>
    </row>
    <row r="4238" spans="2:13" x14ac:dyDescent="0.25">
      <c r="B4238" s="31" t="s">
        <v>26303</v>
      </c>
      <c r="C4238" s="20"/>
      <c r="D4238" s="25" t="s">
        <v>26185</v>
      </c>
      <c r="E4238" s="25" t="s">
        <v>26300</v>
      </c>
      <c r="F4238" s="9" t="str">
        <f t="shared" si="59"/>
        <v>structure with developmental contribution from neural crest</v>
      </c>
      <c r="G4238" s="9" t="s">
        <v>5090</v>
      </c>
      <c r="H4238" s="9" t="s">
        <v>24716</v>
      </c>
      <c r="I4238" s="9" t="s">
        <v>7826</v>
      </c>
      <c r="J4238" s="9" t="s">
        <v>7827</v>
      </c>
      <c r="K4238" s="4" t="s">
        <v>15175</v>
      </c>
      <c r="L4238" s="13">
        <v>12811</v>
      </c>
      <c r="M4238" t="str">
        <f>VLOOKUP(L4238,[1]Human_BrainSpan!$B$2:$C$4000,2,FALSE)</f>
        <v>ma4V</v>
      </c>
    </row>
    <row r="4239" spans="2:13" x14ac:dyDescent="0.25">
      <c r="B4239" s="31" t="s">
        <v>26303</v>
      </c>
      <c r="C4239" s="20"/>
      <c r="D4239" s="25" t="s">
        <v>26232</v>
      </c>
      <c r="E4239" s="25" t="s">
        <v>26300</v>
      </c>
      <c r="F4239" s="9" t="str">
        <f t="shared" si="59"/>
        <v>structure with developmental contribution from neural crest</v>
      </c>
      <c r="G4239" s="9" t="s">
        <v>5090</v>
      </c>
      <c r="H4239" s="9" t="s">
        <v>24718</v>
      </c>
      <c r="I4239" s="9" t="s">
        <v>7828</v>
      </c>
      <c r="J4239" s="9" t="s">
        <v>7829</v>
      </c>
      <c r="K4239" s="4" t="s">
        <v>15175</v>
      </c>
      <c r="L4239" s="13">
        <v>12812</v>
      </c>
      <c r="M4239" t="str">
        <f>VLOOKUP(L4239,[1]Human_BrainSpan!$B$2:$C$4000,2,FALSE)</f>
        <v>Obx</v>
      </c>
    </row>
    <row r="4240" spans="2:13" x14ac:dyDescent="0.25">
      <c r="B4240" s="31" t="s">
        <v>26299</v>
      </c>
      <c r="C4240" s="25" t="s">
        <v>2007</v>
      </c>
      <c r="D4240" s="25" t="s">
        <v>26232</v>
      </c>
      <c r="E4240" s="25" t="s">
        <v>26306</v>
      </c>
      <c r="F4240" s="9" t="str">
        <f t="shared" si="59"/>
        <v>structure with developmental contribution from neural crest</v>
      </c>
      <c r="G4240" s="9" t="s">
        <v>5090</v>
      </c>
      <c r="H4240" s="9" t="s">
        <v>24666</v>
      </c>
      <c r="I4240" s="9" t="s">
        <v>7830</v>
      </c>
      <c r="J4240" s="9" t="s">
        <v>7831</v>
      </c>
      <c r="K4240" s="4" t="s">
        <v>15175</v>
      </c>
      <c r="L4240" s="13">
        <v>12813</v>
      </c>
      <c r="M4240" t="str">
        <f>VLOOKUP(L4240,[1]Human_BrainSpan!$B$2:$C$4000,2,FALSE)</f>
        <v>4Vfl</v>
      </c>
    </row>
    <row r="4241" spans="2:13" x14ac:dyDescent="0.25">
      <c r="B4241" s="31" t="s">
        <v>26303</v>
      </c>
      <c r="C4241" s="20"/>
      <c r="D4241" s="25" t="s">
        <v>26185</v>
      </c>
      <c r="E4241" s="25" t="s">
        <v>26300</v>
      </c>
      <c r="F4241" s="9" t="str">
        <f t="shared" si="59"/>
        <v>structure with developmental contribution from neural crest</v>
      </c>
      <c r="G4241" s="9" t="s">
        <v>5090</v>
      </c>
      <c r="H4241" s="9" t="s">
        <v>24709</v>
      </c>
      <c r="I4241" s="9" t="s">
        <v>7832</v>
      </c>
      <c r="J4241" s="9" t="s">
        <v>7833</v>
      </c>
      <c r="K4241" s="4" t="s">
        <v>15175</v>
      </c>
      <c r="L4241" s="13">
        <v>12814</v>
      </c>
      <c r="M4241" t="str">
        <f>VLOOKUP(L4241,[1]Human_BrainSpan!$B$2:$C$4000,2,FALSE)</f>
        <v>FaC</v>
      </c>
    </row>
    <row r="4242" spans="2:13" x14ac:dyDescent="0.25">
      <c r="B4242" s="31" t="s">
        <v>26303</v>
      </c>
      <c r="C4242" s="20"/>
      <c r="D4242" s="25" t="s">
        <v>26232</v>
      </c>
      <c r="E4242" s="25" t="s">
        <v>26300</v>
      </c>
      <c r="F4242" s="9" t="str">
        <f t="shared" si="59"/>
        <v>structure with developmental contribution from neural crest</v>
      </c>
      <c r="G4242" s="9" t="s">
        <v>5090</v>
      </c>
      <c r="H4242" s="9" t="s">
        <v>24710</v>
      </c>
      <c r="I4242" s="9" t="s">
        <v>7834</v>
      </c>
      <c r="J4242" s="9" t="s">
        <v>7835</v>
      </c>
      <c r="K4242" s="4" t="s">
        <v>15175</v>
      </c>
      <c r="L4242" s="13">
        <v>12815</v>
      </c>
      <c r="M4242" t="str">
        <f>VLOOKUP(L4242,[1]Human_BrainSpan!$B$2:$C$4000,2,FALSE)</f>
        <v>FovI</v>
      </c>
    </row>
    <row r="4243" spans="2:13" x14ac:dyDescent="0.25">
      <c r="B4243" s="31" t="s">
        <v>26303</v>
      </c>
      <c r="C4243" s="20"/>
      <c r="D4243" s="25" t="s">
        <v>26232</v>
      </c>
      <c r="E4243" s="25" t="s">
        <v>26300</v>
      </c>
      <c r="F4243" s="9" t="str">
        <f t="shared" si="59"/>
        <v>structure with developmental contribution from neural crest</v>
      </c>
      <c r="G4243" s="9" t="s">
        <v>5090</v>
      </c>
      <c r="H4243" s="9" t="s">
        <v>24711</v>
      </c>
      <c r="I4243" s="9" t="s">
        <v>7836</v>
      </c>
      <c r="J4243" s="9" t="s">
        <v>7837</v>
      </c>
      <c r="K4243" s="4" t="s">
        <v>15175</v>
      </c>
      <c r="L4243" s="13">
        <v>12816</v>
      </c>
      <c r="M4243" t="str">
        <f>VLOOKUP(L4243,[1]Human_BrainSpan!$B$2:$C$4000,2,FALSE)</f>
        <v>FovS</v>
      </c>
    </row>
    <row r="4244" spans="2:13" x14ac:dyDescent="0.25">
      <c r="B4244" s="31" t="s">
        <v>26303</v>
      </c>
      <c r="C4244" s="20"/>
      <c r="D4244" s="25" t="s">
        <v>26232</v>
      </c>
      <c r="E4244" s="25" t="s">
        <v>26300</v>
      </c>
      <c r="F4244" s="9" t="str">
        <f t="shared" si="59"/>
        <v>structure with developmental contribution from neural crest</v>
      </c>
      <c r="G4244" s="9" t="s">
        <v>5090</v>
      </c>
      <c r="H4244" s="9" t="s">
        <v>24712</v>
      </c>
      <c r="I4244" s="9" t="s">
        <v>7838</v>
      </c>
      <c r="J4244" s="9" t="s">
        <v>7839</v>
      </c>
      <c r="K4244" s="4" t="s">
        <v>15175</v>
      </c>
      <c r="L4244" s="13">
        <v>12817</v>
      </c>
      <c r="M4244" t="str">
        <f>VLOOKUP(L4244,[1]Human_BrainSpan!$B$2:$C$4000,2,FALSE)</f>
        <v>FnS</v>
      </c>
    </row>
    <row r="4245" spans="2:13" x14ac:dyDescent="0.25">
      <c r="B4245" s="31" t="s">
        <v>26303</v>
      </c>
      <c r="C4245" s="20"/>
      <c r="D4245" s="25" t="s">
        <v>26185</v>
      </c>
      <c r="E4245" s="25" t="s">
        <v>26300</v>
      </c>
      <c r="F4245" s="9" t="str">
        <f t="shared" si="59"/>
        <v>structure with developmental contribution from neural crest</v>
      </c>
      <c r="G4245" s="9" t="s">
        <v>5090</v>
      </c>
      <c r="H4245" s="9" t="s">
        <v>24713</v>
      </c>
      <c r="I4245" s="9" t="s">
        <v>7840</v>
      </c>
      <c r="J4245" s="9" t="s">
        <v>7841</v>
      </c>
      <c r="K4245" s="4" t="s">
        <v>15175</v>
      </c>
      <c r="L4245" s="13">
        <v>12818</v>
      </c>
      <c r="M4245" t="str">
        <f>VLOOKUP(L4245,[1]Human_BrainSpan!$B$2:$C$4000,2,FALSE)</f>
        <v>12Tr</v>
      </c>
    </row>
    <row r="4246" spans="2:13" x14ac:dyDescent="0.25">
      <c r="B4246" s="31" t="s">
        <v>26303</v>
      </c>
      <c r="C4246" s="25" t="s">
        <v>2801</v>
      </c>
      <c r="D4246" s="25" t="s">
        <v>26232</v>
      </c>
      <c r="E4246" s="25"/>
      <c r="F4246" s="9" t="str">
        <f t="shared" si="59"/>
        <v>structure with developmental contribution from neural crest</v>
      </c>
      <c r="G4246" s="9" t="s">
        <v>5090</v>
      </c>
      <c r="H4246" s="9" t="s">
        <v>17425</v>
      </c>
      <c r="I4246" s="9" t="s">
        <v>2798</v>
      </c>
      <c r="J4246" s="9" t="s">
        <v>2799</v>
      </c>
      <c r="K4246" s="4" t="s">
        <v>15175</v>
      </c>
      <c r="L4246" s="13">
        <v>12819</v>
      </c>
      <c r="M4246" t="str">
        <f>VLOOKUP(L4246,[1]Human_BrainSpan!$B$2:$C$4000,2,FALSE)</f>
        <v>LC</v>
      </c>
    </row>
    <row r="4247" spans="2:13" x14ac:dyDescent="0.25">
      <c r="B4247" s="31" t="s">
        <v>26299</v>
      </c>
      <c r="C4247" s="25" t="s">
        <v>26033</v>
      </c>
      <c r="D4247" s="25" t="s">
        <v>26232</v>
      </c>
      <c r="E4247" s="25"/>
      <c r="F4247" s="9" t="str">
        <f t="shared" si="59"/>
        <v>structure with developmental contribution from neural crest</v>
      </c>
      <c r="G4247" s="9" t="s">
        <v>5090</v>
      </c>
      <c r="H4247" s="9" t="s">
        <v>24715</v>
      </c>
      <c r="I4247" s="9" t="s">
        <v>7842</v>
      </c>
      <c r="J4247" s="9" t="s">
        <v>7843</v>
      </c>
      <c r="K4247" s="4" t="s">
        <v>15175</v>
      </c>
      <c r="L4247" s="13">
        <v>12820</v>
      </c>
      <c r="M4247" t="str">
        <f>VLOOKUP(L4247,[1]Human_BrainSpan!$B$2:$C$4000,2,FALSE)</f>
        <v>MEm</v>
      </c>
    </row>
    <row r="4248" spans="2:13" x14ac:dyDescent="0.25">
      <c r="B4248" s="31" t="s">
        <v>26303</v>
      </c>
      <c r="C4248" s="20"/>
      <c r="D4248" s="25" t="s">
        <v>26232</v>
      </c>
      <c r="E4248" s="25" t="s">
        <v>26300</v>
      </c>
      <c r="F4248" s="9" t="str">
        <f t="shared" si="59"/>
        <v>structure with developmental contribution from neural crest</v>
      </c>
      <c r="G4248" s="9" t="s">
        <v>5090</v>
      </c>
      <c r="H4248" s="9" t="s">
        <v>24717</v>
      </c>
      <c r="I4248" s="9" t="s">
        <v>7844</v>
      </c>
      <c r="J4248" s="9" t="s">
        <v>7845</v>
      </c>
      <c r="K4248" s="4" t="s">
        <v>15175</v>
      </c>
      <c r="L4248" s="13">
        <v>12821</v>
      </c>
      <c r="M4248" t="str">
        <f>VLOOKUP(L4248,[1]Human_BrainSpan!$B$2:$C$4000,2,FALSE)</f>
        <v>MSul</v>
      </c>
    </row>
    <row r="4249" spans="2:13" x14ac:dyDescent="0.25">
      <c r="B4249" s="31" t="s">
        <v>26299</v>
      </c>
      <c r="C4249" s="25" t="s">
        <v>2007</v>
      </c>
      <c r="D4249" s="25" t="s">
        <v>26232</v>
      </c>
      <c r="E4249" s="25" t="s">
        <v>26306</v>
      </c>
      <c r="F4249" s="9" t="str">
        <f t="shared" si="59"/>
        <v>structure with developmental contribution from neural crest</v>
      </c>
      <c r="G4249" s="9" t="s">
        <v>5090</v>
      </c>
      <c r="H4249" s="9" t="s">
        <v>24652</v>
      </c>
      <c r="I4249" s="9" t="s">
        <v>7846</v>
      </c>
      <c r="J4249" s="9" t="s">
        <v>7847</v>
      </c>
      <c r="K4249" s="4" t="s">
        <v>15175</v>
      </c>
      <c r="L4249" s="13">
        <v>12822</v>
      </c>
      <c r="M4249" t="str">
        <f>VLOOKUP(L4249,[1]Human_BrainSpan!$B$2:$C$4000,2,FALSE)</f>
        <v>sm4V</v>
      </c>
    </row>
    <row r="4250" spans="2:13" x14ac:dyDescent="0.25">
      <c r="B4250" s="31" t="s">
        <v>26303</v>
      </c>
      <c r="C4250" s="25" t="s">
        <v>26238</v>
      </c>
      <c r="D4250" s="25" t="s">
        <v>26232</v>
      </c>
      <c r="E4250" s="25"/>
      <c r="F4250" s="9" t="str">
        <f t="shared" si="59"/>
        <v>structure with developmental contribution from neural crest</v>
      </c>
      <c r="G4250" s="9" t="s">
        <v>5090</v>
      </c>
      <c r="H4250" s="9" t="s">
        <v>24719</v>
      </c>
      <c r="I4250" s="9" t="s">
        <v>7848</v>
      </c>
      <c r="J4250" s="9" t="s">
        <v>7849</v>
      </c>
      <c r="K4250" s="4" t="s">
        <v>15175</v>
      </c>
      <c r="L4250" s="13">
        <v>12823</v>
      </c>
      <c r="M4250" t="str">
        <f>VLOOKUP(L4250,[1]Human_BrainSpan!$B$2:$C$4000,2,FALSE)</f>
        <v>SulL</v>
      </c>
    </row>
    <row r="4251" spans="2:13" x14ac:dyDescent="0.25">
      <c r="B4251" s="31" t="s">
        <v>26303</v>
      </c>
      <c r="C4251" s="20"/>
      <c r="D4251" s="25" t="s">
        <v>26232</v>
      </c>
      <c r="E4251" s="25" t="s">
        <v>26300</v>
      </c>
      <c r="F4251" s="9" t="str">
        <f t="shared" si="59"/>
        <v>structure with developmental contribution from neural crest</v>
      </c>
      <c r="G4251" s="9" t="s">
        <v>5090</v>
      </c>
      <c r="H4251" s="9" t="s">
        <v>24720</v>
      </c>
      <c r="I4251" s="9" t="s">
        <v>7850</v>
      </c>
      <c r="J4251" s="9" t="s">
        <v>7851</v>
      </c>
      <c r="K4251" s="4" t="s">
        <v>15175</v>
      </c>
      <c r="L4251" s="13">
        <v>12824</v>
      </c>
      <c r="M4251" t="str">
        <f>VLOOKUP(L4251,[1]Human_BrainSpan!$B$2:$C$4000,2,FALSE)</f>
        <v>Tae</v>
      </c>
    </row>
    <row r="4252" spans="2:13" x14ac:dyDescent="0.25">
      <c r="B4252" s="31" t="s">
        <v>26303</v>
      </c>
      <c r="C4252" s="20"/>
      <c r="D4252" s="25" t="s">
        <v>26232</v>
      </c>
      <c r="E4252" s="25" t="s">
        <v>26300</v>
      </c>
      <c r="F4252" s="9" t="str">
        <f t="shared" si="59"/>
        <v>structure with developmental contribution from neural crest</v>
      </c>
      <c r="G4252" s="9" t="s">
        <v>5090</v>
      </c>
      <c r="H4252" s="9" t="s">
        <v>24721</v>
      </c>
      <c r="I4252" s="9" t="s">
        <v>7852</v>
      </c>
      <c r="J4252" s="9" t="s">
        <v>7853</v>
      </c>
      <c r="K4252" s="4" t="s">
        <v>15175</v>
      </c>
      <c r="L4252" s="13">
        <v>12825</v>
      </c>
      <c r="M4252" t="str">
        <f>VLOOKUP(L4252,[1]Human_BrainSpan!$B$2:$C$4000,2,FALSE)</f>
        <v>10Tr</v>
      </c>
    </row>
    <row r="4253" spans="2:13" x14ac:dyDescent="0.25">
      <c r="B4253" s="31" t="s">
        <v>26303</v>
      </c>
      <c r="C4253" s="25" t="s">
        <v>25828</v>
      </c>
      <c r="D4253" s="25" t="s">
        <v>26232</v>
      </c>
      <c r="E4253" s="25"/>
      <c r="F4253" s="9" t="str">
        <f t="shared" si="59"/>
        <v>structure with developmental contribution from neural crest</v>
      </c>
      <c r="G4253" s="9" t="s">
        <v>5090</v>
      </c>
      <c r="H4253" s="9" t="s">
        <v>24667</v>
      </c>
      <c r="I4253" s="9" t="s">
        <v>7854</v>
      </c>
      <c r="J4253" s="9" t="s">
        <v>7855</v>
      </c>
      <c r="K4253" s="4" t="s">
        <v>15175</v>
      </c>
      <c r="L4253" s="13">
        <v>12826</v>
      </c>
      <c r="M4253" t="str">
        <f>VLOOKUP(L4253,[1]Human_BrainSpan!$B$2:$C$4000,2,FALSE)</f>
        <v>cec</v>
      </c>
    </row>
    <row r="4254" spans="2:13" x14ac:dyDescent="0.25">
      <c r="B4254" s="37" t="s">
        <v>26299</v>
      </c>
      <c r="C4254" s="25" t="s">
        <v>1053</v>
      </c>
      <c r="D4254" s="25" t="s">
        <v>26232</v>
      </c>
      <c r="E4254" s="25"/>
      <c r="F4254" s="9" t="str">
        <f t="shared" si="59"/>
        <v>structure with developmental contribution from neural crest</v>
      </c>
      <c r="G4254" s="9" t="s">
        <v>5090</v>
      </c>
      <c r="H4254" s="9" t="s">
        <v>24669</v>
      </c>
      <c r="I4254" s="9" t="s">
        <v>7856</v>
      </c>
      <c r="J4254" s="9" t="s">
        <v>7857</v>
      </c>
      <c r="K4254" s="4" t="s">
        <v>15175</v>
      </c>
      <c r="L4254" s="13">
        <v>12827</v>
      </c>
      <c r="M4254" t="str">
        <f>VLOOKUP(L4254,[1]Human_BrainSpan!$B$2:$C$4000,2,FALSE)</f>
        <v>CbSS</v>
      </c>
    </row>
    <row r="4255" spans="2:13" x14ac:dyDescent="0.25">
      <c r="B4255" s="37" t="s">
        <v>26303</v>
      </c>
      <c r="C4255" s="25" t="s">
        <v>25839</v>
      </c>
      <c r="D4255" s="25" t="s">
        <v>26232</v>
      </c>
      <c r="E4255" s="25"/>
      <c r="F4255" s="9" t="str">
        <f t="shared" si="59"/>
        <v>structure with developmental contribution from neural crest</v>
      </c>
      <c r="G4255" s="9" t="s">
        <v>5090</v>
      </c>
      <c r="H4255" s="9" t="s">
        <v>20800</v>
      </c>
      <c r="I4255" s="9" t="s">
        <v>1061</v>
      </c>
      <c r="J4255" s="9" t="s">
        <v>1062</v>
      </c>
      <c r="K4255" s="4" t="s">
        <v>15175</v>
      </c>
      <c r="L4255" s="13">
        <v>12828</v>
      </c>
      <c r="M4255" t="str">
        <f>VLOOKUP(L4255,[1]Human_BrainSpan!$B$2:$C$4000,2,FALSE)</f>
        <v>cbf</v>
      </c>
    </row>
    <row r="4256" spans="2:13" x14ac:dyDescent="0.25">
      <c r="B4256" s="31" t="s">
        <v>26303</v>
      </c>
      <c r="C4256" s="25" t="s">
        <v>4061</v>
      </c>
      <c r="D4256" s="25" t="s">
        <v>26232</v>
      </c>
      <c r="E4256" s="25"/>
      <c r="F4256" s="9" t="str">
        <f t="shared" si="59"/>
        <v>structure with developmental contribution from neural crest</v>
      </c>
      <c r="G4256" s="9" t="s">
        <v>5090</v>
      </c>
      <c r="H4256" s="9" t="s">
        <v>24670</v>
      </c>
      <c r="I4256" s="9" t="s">
        <v>7858</v>
      </c>
      <c r="J4256" s="9" t="s">
        <v>7859</v>
      </c>
      <c r="K4256" s="4" t="s">
        <v>15175</v>
      </c>
      <c r="L4256" s="13">
        <v>12829</v>
      </c>
      <c r="M4256" t="str">
        <f>VLOOKUP(L4256,[1]Human_BrainSpan!$B$2:$C$4000,2,FALSE)</f>
        <v>prcf</v>
      </c>
    </row>
    <row r="4257" spans="2:13" x14ac:dyDescent="0.25">
      <c r="B4257" s="31" t="s">
        <v>26303</v>
      </c>
      <c r="C4257" s="25" t="s">
        <v>26154</v>
      </c>
      <c r="D4257" s="25" t="s">
        <v>26232</v>
      </c>
      <c r="E4257" s="25"/>
      <c r="F4257" s="9" t="str">
        <f t="shared" si="59"/>
        <v>structure with developmental contribution from neural crest</v>
      </c>
      <c r="G4257" s="9" t="s">
        <v>5090</v>
      </c>
      <c r="H4257" s="9" t="s">
        <v>24671</v>
      </c>
      <c r="I4257" s="9" t="s">
        <v>7860</v>
      </c>
      <c r="J4257" s="9" t="s">
        <v>7861</v>
      </c>
      <c r="K4257" s="4" t="s">
        <v>15175</v>
      </c>
      <c r="L4257" s="13">
        <v>12830</v>
      </c>
      <c r="M4257" t="str">
        <f>VLOOKUP(L4257,[1]Human_BrainSpan!$B$2:$C$4000,2,FALSE)</f>
        <v>pocf</v>
      </c>
    </row>
    <row r="4258" spans="2:13" x14ac:dyDescent="0.25">
      <c r="B4258" s="31" t="s">
        <v>26303</v>
      </c>
      <c r="C4258" s="25" t="s">
        <v>26165</v>
      </c>
      <c r="D4258" s="25" t="s">
        <v>26232</v>
      </c>
      <c r="E4258" s="25"/>
      <c r="F4258" s="9" t="str">
        <f t="shared" si="59"/>
        <v>structure with developmental contribution from neural crest</v>
      </c>
      <c r="G4258" s="9" t="s">
        <v>5090</v>
      </c>
      <c r="H4258" s="9" t="s">
        <v>24672</v>
      </c>
      <c r="I4258" s="9" t="s">
        <v>7862</v>
      </c>
      <c r="J4258" s="9" t="s">
        <v>7863</v>
      </c>
      <c r="K4258" s="4" t="s">
        <v>15175</v>
      </c>
      <c r="L4258" s="13">
        <v>12831</v>
      </c>
      <c r="M4258" t="str">
        <f>VLOOKUP(L4258,[1]Human_BrainSpan!$B$2:$C$4000,2,FALSE)</f>
        <v>prif</v>
      </c>
    </row>
    <row r="4259" spans="2:13" x14ac:dyDescent="0.25">
      <c r="B4259" s="31" t="s">
        <v>26303</v>
      </c>
      <c r="C4259" s="25" t="s">
        <v>26145</v>
      </c>
      <c r="D4259" s="25" t="s">
        <v>26232</v>
      </c>
      <c r="E4259" s="25"/>
      <c r="F4259" s="9" t="str">
        <f t="shared" si="59"/>
        <v>structure with developmental contribution from neural crest</v>
      </c>
      <c r="G4259" s="9" t="s">
        <v>5090</v>
      </c>
      <c r="H4259" s="9" t="s">
        <v>20976</v>
      </c>
      <c r="I4259" s="9" t="s">
        <v>7864</v>
      </c>
      <c r="J4259" s="9" t="s">
        <v>7865</v>
      </c>
      <c r="K4259" s="4" t="s">
        <v>15175</v>
      </c>
      <c r="L4259" s="13">
        <v>12832</v>
      </c>
      <c r="M4259" t="str">
        <f>VLOOKUP(L4259,[1]Human_BrainSpan!$B$2:$C$4000,2,FALSE)</f>
        <v>psf</v>
      </c>
    </row>
    <row r="4260" spans="2:13" x14ac:dyDescent="0.25">
      <c r="B4260" s="31" t="s">
        <v>26303</v>
      </c>
      <c r="C4260" s="25" t="s">
        <v>25965</v>
      </c>
      <c r="D4260" s="25" t="s">
        <v>26232</v>
      </c>
      <c r="E4260" s="25"/>
      <c r="F4260" s="9" t="str">
        <f t="shared" si="59"/>
        <v>structure with developmental contribution from neural crest</v>
      </c>
      <c r="G4260" s="9" t="s">
        <v>5090</v>
      </c>
      <c r="H4260" s="9" t="s">
        <v>24673</v>
      </c>
      <c r="I4260" s="9" t="s">
        <v>7866</v>
      </c>
      <c r="J4260" s="9" t="s">
        <v>7867</v>
      </c>
      <c r="K4260" s="4" t="s">
        <v>15175</v>
      </c>
      <c r="L4260" s="13">
        <v>12833</v>
      </c>
      <c r="M4260" t="str">
        <f>VLOOKUP(L4260,[1]Human_BrainSpan!$B$2:$C$4000,2,FALSE)</f>
        <v>hof</v>
      </c>
    </row>
    <row r="4261" spans="2:13" x14ac:dyDescent="0.25">
      <c r="B4261" s="31" t="s">
        <v>26303</v>
      </c>
      <c r="C4261" s="35" t="s">
        <v>26160</v>
      </c>
      <c r="D4261" s="35" t="s">
        <v>26232</v>
      </c>
      <c r="E4261" s="35"/>
      <c r="F4261" s="9" t="str">
        <f t="shared" si="59"/>
        <v>structure with developmental contribution from neural crest</v>
      </c>
      <c r="G4261" s="9" t="s">
        <v>5090</v>
      </c>
      <c r="H4261" s="9" t="s">
        <v>24674</v>
      </c>
      <c r="I4261" s="9" t="s">
        <v>7868</v>
      </c>
      <c r="J4261" s="9" t="s">
        <v>7869</v>
      </c>
      <c r="K4261" s="4" t="s">
        <v>15175</v>
      </c>
      <c r="L4261" s="13">
        <v>12834</v>
      </c>
      <c r="M4261" t="str">
        <f>VLOOKUP(L4261,[1]Human_BrainSpan!$B$2:$C$4000,2,FALSE)</f>
        <v>prpy</v>
      </c>
    </row>
    <row r="4262" spans="2:13" x14ac:dyDescent="0.25">
      <c r="B4262" s="31" t="s">
        <v>26303</v>
      </c>
      <c r="C4262" s="25" t="s">
        <v>26215</v>
      </c>
      <c r="D4262" s="25" t="s">
        <v>26185</v>
      </c>
      <c r="E4262" s="35"/>
      <c r="F4262" s="9" t="str">
        <f t="shared" si="59"/>
        <v>structure with developmental contribution from neural crest</v>
      </c>
      <c r="G4262" s="9" t="s">
        <v>5090</v>
      </c>
      <c r="H4262" s="9" t="s">
        <v>24676</v>
      </c>
      <c r="I4262" s="9" t="s">
        <v>7870</v>
      </c>
      <c r="J4262" s="9" t="s">
        <v>7871</v>
      </c>
      <c r="K4262" s="4" t="s">
        <v>15175</v>
      </c>
      <c r="L4262" s="13">
        <v>12835</v>
      </c>
      <c r="M4262" t="str">
        <f>VLOOKUP(L4262,[1]Human_BrainSpan!$B$2:$C$4000,2,FALSE)</f>
        <v>popy</v>
      </c>
    </row>
    <row r="4263" spans="2:13" x14ac:dyDescent="0.25">
      <c r="B4263" s="31" t="s">
        <v>26303</v>
      </c>
      <c r="C4263" s="25" t="s">
        <v>26148</v>
      </c>
      <c r="D4263" s="25" t="s">
        <v>26232</v>
      </c>
      <c r="E4263" s="25"/>
      <c r="F4263" s="9" t="str">
        <f t="shared" si="59"/>
        <v>structure with developmental contribution from neural crest</v>
      </c>
      <c r="G4263" s="9" t="s">
        <v>5090</v>
      </c>
      <c r="H4263" s="9" t="s">
        <v>24677</v>
      </c>
      <c r="I4263" s="9" t="s">
        <v>7872</v>
      </c>
      <c r="J4263" s="9" t="s">
        <v>7873</v>
      </c>
      <c r="K4263" s="4" t="s">
        <v>15175</v>
      </c>
      <c r="L4263" s="13">
        <v>12836</v>
      </c>
      <c r="M4263" t="str">
        <f>VLOOKUP(L4263,[1]Human_BrainSpan!$B$2:$C$4000,2,FALSE)</f>
        <v>polf</v>
      </c>
    </row>
    <row r="4264" spans="2:13" x14ac:dyDescent="0.25">
      <c r="B4264" s="37" t="s">
        <v>26303</v>
      </c>
      <c r="C4264" s="25" t="s">
        <v>26184</v>
      </c>
      <c r="D4264" s="25" t="s">
        <v>26232</v>
      </c>
      <c r="E4264" s="25"/>
      <c r="F4264" s="9" t="str">
        <f t="shared" si="59"/>
        <v>structure with developmental contribution from neural crest</v>
      </c>
      <c r="G4264" s="9" t="s">
        <v>5090</v>
      </c>
      <c r="H4264" s="9" t="s">
        <v>24678</v>
      </c>
      <c r="I4264" s="9" t="s">
        <v>7874</v>
      </c>
      <c r="J4264" s="9" t="s">
        <v>7875</v>
      </c>
      <c r="K4264" s="4" t="s">
        <v>15175</v>
      </c>
      <c r="L4264" s="13">
        <v>12837</v>
      </c>
      <c r="M4264" t="str">
        <f>VLOOKUP(L4264,[1]Human_BrainSpan!$B$2:$C$4000,2,FALSE)</f>
        <v>CBLL</v>
      </c>
    </row>
    <row r="4265" spans="2:13" x14ac:dyDescent="0.25">
      <c r="B4265" s="31" t="s">
        <v>26299</v>
      </c>
      <c r="C4265" s="25" t="s">
        <v>3862</v>
      </c>
      <c r="D4265" s="25" t="s">
        <v>26232</v>
      </c>
      <c r="E4265" s="25"/>
      <c r="F4265" s="9" t="str">
        <f t="shared" si="59"/>
        <v>structure with developmental contribution from neural crest</v>
      </c>
      <c r="G4265" s="9" t="s">
        <v>5090</v>
      </c>
      <c r="H4265" s="9" t="s">
        <v>24694</v>
      </c>
      <c r="I4265" s="9" t="s">
        <v>7876</v>
      </c>
      <c r="J4265" s="9" t="s">
        <v>7877</v>
      </c>
      <c r="K4265" s="4" t="s">
        <v>15175</v>
      </c>
      <c r="L4265" s="13">
        <v>12856</v>
      </c>
      <c r="M4265" t="str">
        <f>VLOOKUP(L4265,[1]Human_BrainSpan!$B$2:$C$4000,2,FALSE)</f>
        <v>PnSS</v>
      </c>
    </row>
    <row r="4266" spans="2:13" x14ac:dyDescent="0.25">
      <c r="B4266" s="31" t="s">
        <v>26303</v>
      </c>
      <c r="C4266" s="20"/>
      <c r="D4266" s="25" t="s">
        <v>26232</v>
      </c>
      <c r="E4266" s="25" t="s">
        <v>26300</v>
      </c>
      <c r="F4266" s="9" t="str">
        <f t="shared" si="59"/>
        <v>structure with developmental contribution from neural crest</v>
      </c>
      <c r="G4266" s="9" t="s">
        <v>5090</v>
      </c>
      <c r="H4266" s="9" t="s">
        <v>24695</v>
      </c>
      <c r="I4266" s="9" t="s">
        <v>7878</v>
      </c>
      <c r="J4266" s="9" t="s">
        <v>7879</v>
      </c>
      <c r="K4266" s="4" t="s">
        <v>15175</v>
      </c>
      <c r="L4266" s="13">
        <v>12857</v>
      </c>
      <c r="M4266" t="str">
        <f>VLOOKUP(L4266,[1]Human_BrainSpan!$B$2:$C$4000,2,FALSE)</f>
        <v>bas</v>
      </c>
    </row>
    <row r="4267" spans="2:13" x14ac:dyDescent="0.25">
      <c r="B4267" s="31" t="s">
        <v>26303</v>
      </c>
      <c r="C4267" s="20"/>
      <c r="D4267" s="25" t="s">
        <v>26185</v>
      </c>
      <c r="E4267" s="25" t="s">
        <v>26300</v>
      </c>
      <c r="F4267" s="9" t="str">
        <f t="shared" si="59"/>
        <v>structure with developmental contribution from neural crest</v>
      </c>
      <c r="G4267" s="9" t="s">
        <v>5090</v>
      </c>
      <c r="H4267" s="9" t="s">
        <v>24697</v>
      </c>
      <c r="I4267" s="9" t="s">
        <v>7880</v>
      </c>
      <c r="J4267" s="9" t="s">
        <v>7881</v>
      </c>
      <c r="K4267" s="4" t="s">
        <v>15175</v>
      </c>
      <c r="L4267" s="13">
        <v>12858</v>
      </c>
      <c r="M4267" t="str">
        <f>VLOOKUP(L4267,[1]Human_BrainSpan!$B$2:$C$4000,2,FALSE)</f>
        <v>pbr</v>
      </c>
    </row>
    <row r="4268" spans="2:13" x14ac:dyDescent="0.25">
      <c r="B4268" s="31" t="s">
        <v>26303</v>
      </c>
      <c r="C4268" s="20"/>
      <c r="D4268" s="25" t="s">
        <v>26232</v>
      </c>
      <c r="E4268" s="25" t="s">
        <v>26300</v>
      </c>
      <c r="F4268" s="9" t="str">
        <f t="shared" si="59"/>
        <v>structure with developmental contribution from neural crest</v>
      </c>
      <c r="G4268" s="9" t="s">
        <v>5090</v>
      </c>
      <c r="H4268" s="9" t="s">
        <v>24698</v>
      </c>
      <c r="I4268" s="9" t="s">
        <v>7882</v>
      </c>
      <c r="J4268" s="9" t="s">
        <v>7883</v>
      </c>
      <c r="K4268" s="4" t="s">
        <v>15175</v>
      </c>
      <c r="L4268" s="13">
        <v>12859</v>
      </c>
      <c r="M4268" t="str">
        <f>VLOOKUP(L4268,[1]Human_BrainSpan!$B$2:$C$4000,2,FALSE)</f>
        <v>pmed</v>
      </c>
    </row>
    <row r="4269" spans="2:13" x14ac:dyDescent="0.25">
      <c r="B4269" s="31" t="s">
        <v>26303</v>
      </c>
      <c r="C4269" s="20"/>
      <c r="D4269" s="25" t="s">
        <v>26232</v>
      </c>
      <c r="E4269" s="25" t="s">
        <v>26300</v>
      </c>
      <c r="F4269" s="9" t="str">
        <f t="shared" si="59"/>
        <v>structure with developmental contribution from neural crest</v>
      </c>
      <c r="G4269" s="9" t="s">
        <v>5090</v>
      </c>
      <c r="H4269" s="9" t="s">
        <v>24699</v>
      </c>
      <c r="I4269" s="9" t="s">
        <v>3947</v>
      </c>
      <c r="J4269" s="9" t="s">
        <v>3948</v>
      </c>
      <c r="K4269" s="4" t="s">
        <v>15175</v>
      </c>
      <c r="L4269" s="13">
        <v>12860</v>
      </c>
      <c r="M4269" t="str">
        <f>VLOOKUP(L4269,[1]Human_BrainSpan!$B$2:$C$4000,2,FALSE)</f>
        <v>pmes</v>
      </c>
    </row>
    <row r="4270" spans="2:13" x14ac:dyDescent="0.25">
      <c r="B4270" s="31" t="s">
        <v>26303</v>
      </c>
      <c r="C4270" s="25" t="s">
        <v>4864</v>
      </c>
      <c r="D4270" s="25" t="s">
        <v>26232</v>
      </c>
      <c r="E4270" s="25"/>
      <c r="F4270" s="9" t="str">
        <f t="shared" si="59"/>
        <v>structure with developmental contribution from neural crest</v>
      </c>
      <c r="G4270" s="9" t="s">
        <v>5090</v>
      </c>
      <c r="H4270" s="9" t="s">
        <v>17839</v>
      </c>
      <c r="I4270" s="9" t="s">
        <v>4864</v>
      </c>
      <c r="J4270" s="9" t="s">
        <v>4865</v>
      </c>
      <c r="K4270" s="4" t="s">
        <v>15175</v>
      </c>
      <c r="L4270" s="13">
        <v>12861</v>
      </c>
      <c r="M4270" t="str">
        <f>VLOOKUP(L4270,[1]Human_BrainSpan!$B$2:$C$4000,2,FALSE)</f>
        <v>r6</v>
      </c>
    </row>
    <row r="4271" spans="2:13" x14ac:dyDescent="0.25">
      <c r="B4271" s="31" t="s">
        <v>26303</v>
      </c>
      <c r="C4271" s="25" t="s">
        <v>1820</v>
      </c>
      <c r="D4271" s="25" t="s">
        <v>26232</v>
      </c>
      <c r="E4271" s="25"/>
      <c r="F4271" s="9" t="str">
        <f t="shared" si="59"/>
        <v>structure with developmental contribution from neural crest</v>
      </c>
      <c r="G4271" s="9" t="s">
        <v>5090</v>
      </c>
      <c r="H4271" s="9" t="s">
        <v>17923</v>
      </c>
      <c r="I4271" s="9" t="s">
        <v>1818</v>
      </c>
      <c r="J4271" s="9" t="s">
        <v>1819</v>
      </c>
      <c r="K4271" s="4" t="s">
        <v>15175</v>
      </c>
      <c r="L4271" s="13">
        <v>12862</v>
      </c>
      <c r="M4271" t="str">
        <f>VLOOKUP(L4271,[1]Human_BrainSpan!$B$2:$C$4000,2,FALSE)</f>
        <v>r7</v>
      </c>
    </row>
    <row r="4272" spans="2:13" x14ac:dyDescent="0.25">
      <c r="B4272" s="31" t="s">
        <v>26303</v>
      </c>
      <c r="C4272" s="25" t="s">
        <v>11626</v>
      </c>
      <c r="D4272" s="25" t="s">
        <v>26232</v>
      </c>
      <c r="E4272" s="25"/>
      <c r="F4272" s="9" t="str">
        <f t="shared" si="59"/>
        <v>structure with developmental contribution from neural crest</v>
      </c>
      <c r="G4272" s="9" t="s">
        <v>5090</v>
      </c>
      <c r="H4272" s="9" t="s">
        <v>17748</v>
      </c>
      <c r="I4272" s="9" t="s">
        <v>7884</v>
      </c>
      <c r="J4272" s="9" t="s">
        <v>7885</v>
      </c>
      <c r="K4272" s="4" t="s">
        <v>15175</v>
      </c>
      <c r="L4272" s="13">
        <v>12865</v>
      </c>
      <c r="M4272" t="str">
        <f>VLOOKUP(L4272,[1]Human_BrainSpan!$B$2:$C$4000,2,FALSE)</f>
        <v>r5</v>
      </c>
    </row>
    <row r="4273" spans="2:13" x14ac:dyDescent="0.25">
      <c r="B4273" s="31" t="s">
        <v>26299</v>
      </c>
      <c r="C4273" s="25" t="s">
        <v>15125</v>
      </c>
      <c r="D4273" s="25" t="s">
        <v>26232</v>
      </c>
      <c r="E4273" s="25"/>
      <c r="F4273" s="9" t="str">
        <f t="shared" si="59"/>
        <v>structure with developmental contribution from neural crest</v>
      </c>
      <c r="G4273" s="9" t="s">
        <v>5090</v>
      </c>
      <c r="H4273" s="9" t="s">
        <v>24705</v>
      </c>
      <c r="I4273" s="9" t="s">
        <v>971</v>
      </c>
      <c r="J4273" s="9" t="s">
        <v>972</v>
      </c>
      <c r="K4273" s="4" t="s">
        <v>15175</v>
      </c>
      <c r="L4273" s="13">
        <v>12869</v>
      </c>
      <c r="M4273" t="str">
        <f>VLOOKUP(L4273,[1]Human_BrainSpan!$B$2:$C$4000,2,FALSE)</f>
        <v>r8ve</v>
      </c>
    </row>
    <row r="4274" spans="2:13" x14ac:dyDescent="0.25">
      <c r="B4274" s="31" t="s">
        <v>26299</v>
      </c>
      <c r="C4274" s="25" t="s">
        <v>15125</v>
      </c>
      <c r="D4274" s="25" t="s">
        <v>26232</v>
      </c>
      <c r="E4274" s="25"/>
      <c r="F4274" s="9" t="str">
        <f t="shared" si="59"/>
        <v>structure with developmental contribution from neural crest</v>
      </c>
      <c r="G4274" s="9" t="s">
        <v>5090</v>
      </c>
      <c r="H4274" s="9" t="s">
        <v>24704</v>
      </c>
      <c r="I4274" s="9" t="s">
        <v>7886</v>
      </c>
      <c r="J4274" s="9" t="s">
        <v>7887</v>
      </c>
      <c r="K4274" s="4" t="s">
        <v>15175</v>
      </c>
      <c r="L4274" s="13">
        <v>12870</v>
      </c>
      <c r="M4274" t="str">
        <f>VLOOKUP(L4274,[1]Human_BrainSpan!$B$2:$C$4000,2,FALSE)</f>
        <v>r8co</v>
      </c>
    </row>
    <row r="4275" spans="2:13" x14ac:dyDescent="0.25">
      <c r="B4275" s="31" t="s">
        <v>26303</v>
      </c>
      <c r="C4275" s="20"/>
      <c r="D4275" s="25" t="s">
        <v>26232</v>
      </c>
      <c r="E4275" s="25" t="s">
        <v>26300</v>
      </c>
      <c r="F4275" s="9" t="str">
        <f t="shared" si="59"/>
        <v>structure with developmental contribution from neural crest</v>
      </c>
      <c r="G4275" s="9" t="s">
        <v>5090</v>
      </c>
      <c r="H4275" s="9" t="s">
        <v>24706</v>
      </c>
      <c r="I4275" s="9" t="s">
        <v>7888</v>
      </c>
      <c r="J4275" s="9" t="s">
        <v>7889</v>
      </c>
      <c r="K4275" s="4" t="s">
        <v>15175</v>
      </c>
      <c r="L4275" s="13">
        <v>12871</v>
      </c>
      <c r="M4275" t="str">
        <f>VLOOKUP(L4275,[1]Human_BrainSpan!$B$2:$C$4000,2,FALSE)</f>
        <v>rmv</v>
      </c>
    </row>
    <row r="4276" spans="2:13" x14ac:dyDescent="0.25">
      <c r="B4276" s="31" t="s">
        <v>26299</v>
      </c>
      <c r="C4276" s="25" t="s">
        <v>3198</v>
      </c>
      <c r="D4276" s="25" t="s">
        <v>26232</v>
      </c>
      <c r="E4276" s="25"/>
      <c r="F4276" s="9" t="str">
        <f t="shared" si="59"/>
        <v>structure with developmental contribution from neural crest</v>
      </c>
      <c r="G4276" s="9" t="s">
        <v>5090</v>
      </c>
      <c r="H4276" s="9" t="s">
        <v>24722</v>
      </c>
      <c r="I4276" s="9" t="s">
        <v>7890</v>
      </c>
      <c r="J4276" s="9" t="s">
        <v>7891</v>
      </c>
      <c r="K4276" s="4" t="s">
        <v>15175</v>
      </c>
      <c r="L4276" s="13">
        <v>12872</v>
      </c>
      <c r="M4276" t="str">
        <f>VLOOKUP(L4276,[1]Human_BrainSpan!$B$2:$C$4000,2,FALSE)</f>
        <v>MOSS</v>
      </c>
    </row>
    <row r="4277" spans="2:13" x14ac:dyDescent="0.25">
      <c r="B4277" s="31" t="s">
        <v>26303</v>
      </c>
      <c r="C4277" s="25" t="s">
        <v>26284</v>
      </c>
      <c r="D4277" s="25" t="s">
        <v>26232</v>
      </c>
      <c r="E4277" s="25" t="s">
        <v>26300</v>
      </c>
      <c r="F4277" s="9" t="str">
        <f t="shared" si="59"/>
        <v>structure with developmental contribution from neural crest</v>
      </c>
      <c r="G4277" s="9" t="s">
        <v>5090</v>
      </c>
      <c r="H4277" s="9" t="s">
        <v>24723</v>
      </c>
      <c r="I4277" s="9" t="s">
        <v>7892</v>
      </c>
      <c r="J4277" s="9" t="s">
        <v>7893</v>
      </c>
      <c r="K4277" s="4" t="s">
        <v>15175</v>
      </c>
      <c r="L4277" s="13">
        <v>12873</v>
      </c>
      <c r="M4277" t="str">
        <f>VLOOKUP(L4277,[1]Human_BrainSpan!$B$2:$C$4000,2,FALSE)</f>
        <v>alms</v>
      </c>
    </row>
    <row r="4278" spans="2:13" x14ac:dyDescent="0.25">
      <c r="B4278" s="31" t="s">
        <v>26303</v>
      </c>
      <c r="C4278" s="20"/>
      <c r="D4278" s="25" t="s">
        <v>26232</v>
      </c>
      <c r="E4278" s="25" t="s">
        <v>26300</v>
      </c>
      <c r="F4278" s="9" t="str">
        <f t="shared" si="59"/>
        <v>structure with developmental contribution from neural crest</v>
      </c>
      <c r="G4278" s="9" t="s">
        <v>5090</v>
      </c>
      <c r="H4278" s="9" t="s">
        <v>24724</v>
      </c>
      <c r="I4278" s="9" t="s">
        <v>7894</v>
      </c>
      <c r="J4278" s="9" t="s">
        <v>7895</v>
      </c>
      <c r="K4278" s="4" t="s">
        <v>15175</v>
      </c>
      <c r="L4278" s="13">
        <v>12874</v>
      </c>
      <c r="M4278" t="str">
        <f>VLOOKUP(L4278,[1]Human_BrainSpan!$B$2:$C$4000,2,FALSE)</f>
        <v>pros</v>
      </c>
    </row>
    <row r="4279" spans="2:13" x14ac:dyDescent="0.25">
      <c r="B4279" s="31" t="s">
        <v>26303</v>
      </c>
      <c r="C4279" s="20"/>
      <c r="D4279" s="25" t="s">
        <v>26232</v>
      </c>
      <c r="E4279" s="25" t="s">
        <v>26300</v>
      </c>
      <c r="F4279" s="9" t="str">
        <f t="shared" ref="F4279:F4342" si="60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4279" s="9" t="s">
        <v>5090</v>
      </c>
      <c r="H4279" s="9" t="s">
        <v>24725</v>
      </c>
      <c r="I4279" s="9" t="s">
        <v>7896</v>
      </c>
      <c r="J4279" s="9" t="s">
        <v>7897</v>
      </c>
      <c r="K4279" s="4" t="s">
        <v>15175</v>
      </c>
      <c r="L4279" s="13">
        <v>12875</v>
      </c>
      <c r="M4279" t="str">
        <f>VLOOKUP(L4279,[1]Human_BrainSpan!$B$2:$C$4000,2,FALSE)</f>
        <v>cutu</v>
      </c>
    </row>
    <row r="4280" spans="2:13" x14ac:dyDescent="0.25">
      <c r="B4280" s="31" t="s">
        <v>26303</v>
      </c>
      <c r="C4280" s="20"/>
      <c r="D4280" s="25" t="s">
        <v>26232</v>
      </c>
      <c r="E4280" s="25" t="s">
        <v>26300</v>
      </c>
      <c r="F4280" s="9" t="str">
        <f t="shared" si="60"/>
        <v>structure with developmental contribution from neural crest</v>
      </c>
      <c r="G4280" s="9" t="s">
        <v>5090</v>
      </c>
      <c r="H4280" s="9" t="s">
        <v>24726</v>
      </c>
      <c r="I4280" s="9" t="s">
        <v>7898</v>
      </c>
      <c r="J4280" s="9" t="s">
        <v>7899</v>
      </c>
      <c r="K4280" s="4" t="s">
        <v>15175</v>
      </c>
      <c r="L4280" s="13">
        <v>12876</v>
      </c>
      <c r="M4280" t="str">
        <f>VLOOKUP(L4280,[1]Human_BrainSpan!$B$2:$C$4000,2,FALSE)</f>
        <v>dmms</v>
      </c>
    </row>
    <row r="4281" spans="2:13" x14ac:dyDescent="0.25">
      <c r="B4281" s="31" t="s">
        <v>26303</v>
      </c>
      <c r="C4281" s="20"/>
      <c r="D4281" s="25" t="s">
        <v>26185</v>
      </c>
      <c r="E4281" s="25" t="s">
        <v>26300</v>
      </c>
      <c r="F4281" s="9" t="str">
        <f t="shared" si="60"/>
        <v>structure with developmental contribution from neural crest</v>
      </c>
      <c r="G4281" s="9" t="s">
        <v>5090</v>
      </c>
      <c r="H4281" s="9" t="s">
        <v>24727</v>
      </c>
      <c r="I4281" s="9" t="s">
        <v>7900</v>
      </c>
      <c r="J4281" s="9" t="s">
        <v>7901</v>
      </c>
      <c r="K4281" s="4" t="s">
        <v>15175</v>
      </c>
      <c r="L4281" s="13">
        <v>12877</v>
      </c>
      <c r="M4281" t="str">
        <f>VLOOKUP(L4281,[1]Human_BrainSpan!$B$2:$C$4000,2,FALSE)</f>
        <v>fce</v>
      </c>
    </row>
    <row r="4282" spans="2:13" x14ac:dyDescent="0.25">
      <c r="B4282" s="31" t="s">
        <v>26303</v>
      </c>
      <c r="C4282" s="20"/>
      <c r="D4282" s="25" t="s">
        <v>26232</v>
      </c>
      <c r="E4282" s="25"/>
      <c r="F4282" s="9" t="str">
        <f t="shared" si="60"/>
        <v>structure with developmental contribution from neural crest</v>
      </c>
      <c r="G4282" s="9" t="s">
        <v>5090</v>
      </c>
      <c r="H4282" s="9" t="s">
        <v>24728</v>
      </c>
      <c r="I4282" s="9" t="s">
        <v>7902</v>
      </c>
      <c r="J4282" s="9" t="s">
        <v>7903</v>
      </c>
      <c r="K4282" s="4" t="s">
        <v>15175</v>
      </c>
      <c r="L4282" s="13">
        <v>12878</v>
      </c>
      <c r="M4282" t="str">
        <f>VLOOKUP(L4282,[1]Human_BrainSpan!$B$2:$C$4000,2,FALSE)</f>
        <v>grtu</v>
      </c>
    </row>
    <row r="4283" spans="2:13" x14ac:dyDescent="0.25">
      <c r="B4283" s="31" t="s">
        <v>26303</v>
      </c>
      <c r="C4283" s="20"/>
      <c r="D4283" s="25" t="s">
        <v>26232</v>
      </c>
      <c r="E4283" s="25" t="s">
        <v>26300</v>
      </c>
      <c r="F4283" s="9" t="str">
        <f t="shared" si="60"/>
        <v>structure with developmental contribution from neural crest</v>
      </c>
      <c r="G4283" s="9" t="s">
        <v>5090</v>
      </c>
      <c r="H4283" s="9" t="s">
        <v>24729</v>
      </c>
      <c r="I4283" s="9" t="s">
        <v>7904</v>
      </c>
      <c r="J4283" s="9" t="s">
        <v>7905</v>
      </c>
      <c r="K4283" s="4" t="s">
        <v>15175</v>
      </c>
      <c r="L4283" s="13">
        <v>12879</v>
      </c>
      <c r="M4283" t="str">
        <f>VLOOKUP(L4283,[1]Human_BrainSpan!$B$2:$C$4000,2,FALSE)</f>
        <v>imv</v>
      </c>
    </row>
    <row r="4284" spans="2:13" x14ac:dyDescent="0.25">
      <c r="B4284" s="31" t="s">
        <v>26303</v>
      </c>
      <c r="C4284" s="20"/>
      <c r="D4284" s="25" t="s">
        <v>26232</v>
      </c>
      <c r="E4284" s="25" t="s">
        <v>26300</v>
      </c>
      <c r="F4284" s="9" t="str">
        <f t="shared" si="60"/>
        <v>structure with developmental contribution from neural crest</v>
      </c>
      <c r="G4284" s="9" t="s">
        <v>5090</v>
      </c>
      <c r="H4284" s="9" t="s">
        <v>24730</v>
      </c>
      <c r="I4284" s="9" t="s">
        <v>7906</v>
      </c>
      <c r="J4284" s="9" t="s">
        <v>7907</v>
      </c>
      <c r="K4284" s="4" t="s">
        <v>15175</v>
      </c>
      <c r="L4284" s="13">
        <v>12880</v>
      </c>
      <c r="M4284" t="str">
        <f>VLOOKUP(L4284,[1]Human_BrainSpan!$B$2:$C$4000,2,FALSE)</f>
        <v>dims</v>
      </c>
    </row>
    <row r="4285" spans="2:13" x14ac:dyDescent="0.25">
      <c r="B4285" s="31" t="s">
        <v>26303</v>
      </c>
      <c r="C4285" s="20"/>
      <c r="D4285" s="25" t="s">
        <v>26232</v>
      </c>
      <c r="E4285" s="25" t="s">
        <v>26300</v>
      </c>
      <c r="F4285" s="9" t="str">
        <f t="shared" si="60"/>
        <v>structure with developmental contribution from neural crest</v>
      </c>
      <c r="G4285" s="9" t="s">
        <v>5090</v>
      </c>
      <c r="H4285" s="9" t="s">
        <v>24731</v>
      </c>
      <c r="I4285" s="9" t="s">
        <v>7908</v>
      </c>
      <c r="J4285" s="9" t="s">
        <v>7909</v>
      </c>
      <c r="K4285" s="4" t="s">
        <v>15175</v>
      </c>
      <c r="L4285" s="13">
        <v>12881</v>
      </c>
      <c r="M4285" t="str">
        <f>VLOOKUP(L4285,[1]Human_BrainSpan!$B$2:$C$4000,2,FALSE)</f>
        <v>dlms</v>
      </c>
    </row>
    <row r="4286" spans="2:13" x14ac:dyDescent="0.25">
      <c r="B4286" s="31" t="s">
        <v>26303</v>
      </c>
      <c r="C4286" s="20"/>
      <c r="D4286" s="25" t="s">
        <v>26232</v>
      </c>
      <c r="E4286" s="25" t="s">
        <v>26300</v>
      </c>
      <c r="F4286" s="9" t="str">
        <f t="shared" si="60"/>
        <v>structure with developmental contribution from neural crest</v>
      </c>
      <c r="G4286" s="9" t="s">
        <v>5090</v>
      </c>
      <c r="H4286" s="9" t="s">
        <v>24732</v>
      </c>
      <c r="I4286" s="9" t="s">
        <v>7910</v>
      </c>
      <c r="J4286" s="9" t="s">
        <v>7911</v>
      </c>
      <c r="K4286" s="4" t="s">
        <v>15175</v>
      </c>
      <c r="L4286" s="13">
        <v>12882</v>
      </c>
      <c r="M4286" t="str">
        <f>VLOOKUP(L4286,[1]Human_BrainSpan!$B$2:$C$4000,2,FALSE)</f>
        <v>posos</v>
      </c>
    </row>
    <row r="4287" spans="2:13" x14ac:dyDescent="0.25">
      <c r="B4287" s="31" t="s">
        <v>26299</v>
      </c>
      <c r="C4287" s="25" t="s">
        <v>25764</v>
      </c>
      <c r="D4287" s="25" t="s">
        <v>26232</v>
      </c>
      <c r="E4287" s="25"/>
      <c r="F4287" s="9" t="str">
        <f t="shared" si="60"/>
        <v>structure with developmental contribution from neural crest</v>
      </c>
      <c r="G4287" s="9" t="s">
        <v>5090</v>
      </c>
      <c r="H4287" s="9" t="s">
        <v>18244</v>
      </c>
      <c r="I4287" s="9" t="s">
        <v>185</v>
      </c>
      <c r="J4287" s="9" t="s">
        <v>186</v>
      </c>
      <c r="K4287" s="4" t="s">
        <v>15175</v>
      </c>
      <c r="L4287" s="13">
        <v>12883</v>
      </c>
      <c r="M4287" t="str">
        <f>VLOOKUP(L4287,[1]Human_BrainSpan!$B$2:$C$4000,2,FALSE)</f>
        <v>r11</v>
      </c>
    </row>
    <row r="4288" spans="2:13" x14ac:dyDescent="0.25">
      <c r="B4288" s="31" t="s">
        <v>26299</v>
      </c>
      <c r="C4288" s="25" t="s">
        <v>25764</v>
      </c>
      <c r="D4288" s="25" t="s">
        <v>26232</v>
      </c>
      <c r="E4288" s="25"/>
      <c r="F4288" s="9" t="str">
        <f t="shared" si="60"/>
        <v>structure with developmental contribution from neural crest</v>
      </c>
      <c r="G4288" s="9" t="s">
        <v>5090</v>
      </c>
      <c r="H4288" s="9" t="s">
        <v>24733</v>
      </c>
      <c r="I4288" s="9" t="s">
        <v>7912</v>
      </c>
      <c r="J4288" s="9" t="s">
        <v>7913</v>
      </c>
      <c r="K4288" s="4" t="s">
        <v>15175</v>
      </c>
      <c r="L4288" s="13">
        <v>12884</v>
      </c>
      <c r="M4288" t="str">
        <f>VLOOKUP(L4288,[1]Human_BrainSpan!$B$2:$C$4000,2,FALSE)</f>
        <v>r11cr</v>
      </c>
    </row>
    <row r="4289" spans="2:13" x14ac:dyDescent="0.25">
      <c r="B4289" s="31" t="s">
        <v>26299</v>
      </c>
      <c r="C4289" s="25" t="s">
        <v>25764</v>
      </c>
      <c r="D4289" s="25" t="s">
        <v>26232</v>
      </c>
      <c r="E4289" s="25"/>
      <c r="F4289" s="9" t="str">
        <f t="shared" si="60"/>
        <v>structure with developmental contribution from neural crest</v>
      </c>
      <c r="G4289" s="9" t="s">
        <v>5090</v>
      </c>
      <c r="H4289" s="9" t="s">
        <v>24734</v>
      </c>
      <c r="I4289" s="9" t="s">
        <v>7914</v>
      </c>
      <c r="J4289" s="9" t="s">
        <v>7915</v>
      </c>
      <c r="K4289" s="4" t="s">
        <v>15175</v>
      </c>
      <c r="L4289" s="13">
        <v>12885</v>
      </c>
      <c r="M4289" t="str">
        <f>VLOOKUP(L4289,[1]Human_BrainSpan!$B$2:$C$4000,2,FALSE)</f>
        <v>r11sp</v>
      </c>
    </row>
    <row r="4290" spans="2:13" x14ac:dyDescent="0.25">
      <c r="B4290" s="31" t="s">
        <v>26303</v>
      </c>
      <c r="C4290" s="25" t="s">
        <v>2318</v>
      </c>
      <c r="D4290" s="25" t="s">
        <v>26232</v>
      </c>
      <c r="E4290" s="25"/>
      <c r="F4290" s="9" t="str">
        <f t="shared" si="60"/>
        <v>structure with developmental contribution from neural crest</v>
      </c>
      <c r="G4290" s="9" t="s">
        <v>5090</v>
      </c>
      <c r="H4290" s="9" t="s">
        <v>24735</v>
      </c>
      <c r="I4290" s="9" t="s">
        <v>2322</v>
      </c>
      <c r="J4290" s="9" t="s">
        <v>2323</v>
      </c>
      <c r="K4290" s="4" t="s">
        <v>15175</v>
      </c>
      <c r="L4290" s="13">
        <v>12886</v>
      </c>
      <c r="M4290" t="str">
        <f>VLOOKUP(L4290,[1]Human_BrainSpan!$B$2:$C$4000,2,FALSE)</f>
        <v>r12</v>
      </c>
    </row>
    <row r="4291" spans="2:13" x14ac:dyDescent="0.25">
      <c r="B4291" s="31" t="s">
        <v>26303</v>
      </c>
      <c r="C4291" s="25" t="s">
        <v>2093</v>
      </c>
      <c r="D4291" s="25" t="s">
        <v>26232</v>
      </c>
      <c r="E4291" s="25"/>
      <c r="F4291" s="9" t="str">
        <f t="shared" si="60"/>
        <v>structure with developmental contribution from neural crest</v>
      </c>
      <c r="G4291" s="9" t="s">
        <v>5090</v>
      </c>
      <c r="H4291" s="9" t="s">
        <v>18086</v>
      </c>
      <c r="I4291" s="9" t="s">
        <v>2091</v>
      </c>
      <c r="J4291" s="9" t="s">
        <v>2092</v>
      </c>
      <c r="K4291" s="4" t="s">
        <v>15175</v>
      </c>
      <c r="L4291" s="13">
        <v>12887</v>
      </c>
      <c r="M4291" t="str">
        <f>VLOOKUP(L4291,[1]Human_BrainSpan!$B$2:$C$4000,2,FALSE)</f>
        <v>r9</v>
      </c>
    </row>
    <row r="4292" spans="2:13" x14ac:dyDescent="0.25">
      <c r="B4292" s="31" t="s">
        <v>26303</v>
      </c>
      <c r="C4292" s="25" t="s">
        <v>4869</v>
      </c>
      <c r="D4292" s="25" t="s">
        <v>26232</v>
      </c>
      <c r="E4292" s="25"/>
      <c r="F4292" s="9" t="str">
        <f t="shared" si="60"/>
        <v>structure with developmental contribution from neural crest</v>
      </c>
      <c r="G4292" s="9" t="s">
        <v>5090</v>
      </c>
      <c r="H4292" s="9" t="s">
        <v>18167</v>
      </c>
      <c r="I4292" s="9" t="s">
        <v>4869</v>
      </c>
      <c r="J4292" s="9" t="s">
        <v>4870</v>
      </c>
      <c r="K4292" s="4" t="s">
        <v>15175</v>
      </c>
      <c r="L4292" s="13">
        <v>12888</v>
      </c>
      <c r="M4292" t="str">
        <f>VLOOKUP(L4292,[1]Human_BrainSpan!$B$2:$C$4000,2,FALSE)</f>
        <v>r10</v>
      </c>
    </row>
    <row r="4293" spans="2:13" x14ac:dyDescent="0.25">
      <c r="B4293" s="31" t="s">
        <v>26303</v>
      </c>
      <c r="C4293" s="20"/>
      <c r="D4293" s="25" t="s">
        <v>26232</v>
      </c>
      <c r="E4293" s="25" t="s">
        <v>26300</v>
      </c>
      <c r="F4293" s="9" t="str">
        <f t="shared" si="60"/>
        <v>structure with developmental contribution from neural crest</v>
      </c>
      <c r="G4293" s="9" t="s">
        <v>5090</v>
      </c>
      <c r="H4293" s="9" t="s">
        <v>24736</v>
      </c>
      <c r="I4293" s="9" t="s">
        <v>7916</v>
      </c>
      <c r="J4293" s="9" t="s">
        <v>7917</v>
      </c>
      <c r="K4293" s="4" t="s">
        <v>15175</v>
      </c>
      <c r="L4293" s="13">
        <v>12889</v>
      </c>
      <c r="M4293" t="str">
        <f>VLOOKUP(L4293,[1]Human_BrainSpan!$B$2:$C$4000,2,FALSE)</f>
        <v>vmms</v>
      </c>
    </row>
    <row r="4294" spans="2:13" x14ac:dyDescent="0.25">
      <c r="B4294" s="37" t="s">
        <v>26299</v>
      </c>
      <c r="C4294" s="25" t="s">
        <v>1042</v>
      </c>
      <c r="D4294" s="25" t="s">
        <v>26232</v>
      </c>
      <c r="E4294" s="25"/>
      <c r="F4294" s="9" t="str">
        <f t="shared" si="60"/>
        <v>structure with developmental contribution from neural crest</v>
      </c>
      <c r="G4294" s="9" t="s">
        <v>5090</v>
      </c>
      <c r="H4294" s="9" t="s">
        <v>24531</v>
      </c>
      <c r="I4294" s="9" t="s">
        <v>7918</v>
      </c>
      <c r="J4294" s="9" t="s">
        <v>7919</v>
      </c>
      <c r="K4294" s="4" t="s">
        <v>15175</v>
      </c>
      <c r="L4294" s="13">
        <v>12981</v>
      </c>
      <c r="M4294" t="str">
        <f>VLOOKUP(L4294,[1]Human_BrainSpan!$B$2:$C$4000,2,FALSE)</f>
        <v>NTZ</v>
      </c>
    </row>
    <row r="4295" spans="2:13" x14ac:dyDescent="0.25">
      <c r="B4295" s="37" t="s">
        <v>26299</v>
      </c>
      <c r="C4295" s="25" t="s">
        <v>1042</v>
      </c>
      <c r="D4295" s="25" t="s">
        <v>26232</v>
      </c>
      <c r="E4295" s="25"/>
      <c r="F4295" s="9" t="str">
        <f t="shared" si="60"/>
        <v>structure with developmental contribution from neural crest</v>
      </c>
      <c r="G4295" s="9" t="s">
        <v>5090</v>
      </c>
      <c r="H4295" s="9" t="s">
        <v>24532</v>
      </c>
      <c r="I4295" s="9" t="s">
        <v>7920</v>
      </c>
      <c r="J4295" s="9" t="s">
        <v>7921</v>
      </c>
      <c r="K4295" s="4" t="s">
        <v>15175</v>
      </c>
      <c r="L4295" s="13">
        <v>12982</v>
      </c>
      <c r="M4295" t="str">
        <f>VLOOKUP(L4295,[1]Human_BrainSpan!$B$2:$C$4000,2,FALSE)</f>
        <v>CTZ</v>
      </c>
    </row>
    <row r="4296" spans="2:13" x14ac:dyDescent="0.25">
      <c r="B4296" s="31" t="s">
        <v>26303</v>
      </c>
      <c r="C4296" s="20"/>
      <c r="D4296" s="25" t="s">
        <v>26232</v>
      </c>
      <c r="E4296" s="25" t="s">
        <v>26309</v>
      </c>
      <c r="F4296" s="9" t="str">
        <f t="shared" si="60"/>
        <v>structure with developmental contribution from neural crest</v>
      </c>
      <c r="G4296" s="9" t="s">
        <v>5090</v>
      </c>
      <c r="H4296" s="9" t="s">
        <v>22358</v>
      </c>
      <c r="I4296" s="9" t="s">
        <v>7922</v>
      </c>
      <c r="J4296" s="9" t="s">
        <v>7923</v>
      </c>
      <c r="K4296" s="4" t="s">
        <v>15175</v>
      </c>
      <c r="L4296" s="13">
        <v>13010</v>
      </c>
      <c r="M4296" t="str">
        <f>VLOOKUP(L4296,[1]Human_BrainSpan!$B$2:$C$4000,2,FALSE)</f>
        <v>ScC</v>
      </c>
    </row>
    <row r="4297" spans="2:13" x14ac:dyDescent="0.25">
      <c r="B4297" s="31" t="s">
        <v>26303</v>
      </c>
      <c r="C4297" s="20"/>
      <c r="D4297" s="25" t="s">
        <v>26232</v>
      </c>
      <c r="E4297" s="25" t="s">
        <v>26300</v>
      </c>
      <c r="F4297" s="9" t="str">
        <f t="shared" si="60"/>
        <v>structure with developmental contribution from neural crest</v>
      </c>
      <c r="G4297" s="9" t="s">
        <v>5090</v>
      </c>
      <c r="H4297" s="9" t="s">
        <v>22670</v>
      </c>
      <c r="I4297" s="9" t="s">
        <v>7924</v>
      </c>
      <c r="J4297" s="9" t="s">
        <v>7925</v>
      </c>
      <c r="K4297" s="4" t="s">
        <v>15175</v>
      </c>
      <c r="L4297" s="13">
        <v>13011</v>
      </c>
      <c r="M4297" t="str">
        <f>VLOOKUP(L4297,[1]Human_BrainSpan!$B$2:$C$4000,2,FALSE)</f>
        <v>Pro</v>
      </c>
    </row>
    <row r="4298" spans="2:13" x14ac:dyDescent="0.25">
      <c r="B4298" s="31" t="s">
        <v>26303</v>
      </c>
      <c r="C4298" s="20"/>
      <c r="D4298" s="25" t="s">
        <v>26232</v>
      </c>
      <c r="E4298" s="25" t="s">
        <v>26307</v>
      </c>
      <c r="F4298" s="9" t="str">
        <f t="shared" si="60"/>
        <v>structure with developmental contribution from neural crest</v>
      </c>
      <c r="G4298" s="9" t="s">
        <v>5090</v>
      </c>
      <c r="H4298" s="9" t="s">
        <v>22671</v>
      </c>
      <c r="I4298" s="9" t="s">
        <v>7926</v>
      </c>
      <c r="J4298" s="9" t="s">
        <v>7927</v>
      </c>
      <c r="K4298" s="4" t="s">
        <v>15175</v>
      </c>
      <c r="L4298" s="13">
        <v>13012</v>
      </c>
      <c r="M4298" t="str">
        <f>VLOOKUP(L4298,[1]Human_BrainSpan!$B$2:$C$4000,2,FALSE)</f>
        <v>Pro1</v>
      </c>
    </row>
    <row r="4299" spans="2:13" x14ac:dyDescent="0.25">
      <c r="B4299" s="31" t="s">
        <v>26303</v>
      </c>
      <c r="C4299" s="20"/>
      <c r="D4299" s="25" t="s">
        <v>26232</v>
      </c>
      <c r="E4299" s="25" t="s">
        <v>26307</v>
      </c>
      <c r="F4299" s="9" t="str">
        <f t="shared" si="60"/>
        <v>structure with developmental contribution from neural crest</v>
      </c>
      <c r="G4299" s="9" t="s">
        <v>5090</v>
      </c>
      <c r="H4299" s="9" t="s">
        <v>22672</v>
      </c>
      <c r="I4299" s="9" t="s">
        <v>7928</v>
      </c>
      <c r="J4299" s="9" t="s">
        <v>7929</v>
      </c>
      <c r="K4299" s="4" t="s">
        <v>15175</v>
      </c>
      <c r="L4299" s="13">
        <v>13013</v>
      </c>
      <c r="M4299" t="str">
        <f>VLOOKUP(L4299,[1]Human_BrainSpan!$B$2:$C$4000,2,FALSE)</f>
        <v>Pro2</v>
      </c>
    </row>
    <row r="4300" spans="2:13" x14ac:dyDescent="0.25">
      <c r="B4300" s="31" t="s">
        <v>26303</v>
      </c>
      <c r="C4300" s="20"/>
      <c r="D4300" s="25" t="s">
        <v>26232</v>
      </c>
      <c r="E4300" s="25" t="s">
        <v>26307</v>
      </c>
      <c r="F4300" s="9" t="str">
        <f t="shared" si="60"/>
        <v>structure with developmental contribution from neural crest</v>
      </c>
      <c r="G4300" s="9" t="s">
        <v>5090</v>
      </c>
      <c r="H4300" s="9" t="s">
        <v>22673</v>
      </c>
      <c r="I4300" s="9" t="s">
        <v>7930</v>
      </c>
      <c r="J4300" s="9" t="s">
        <v>7931</v>
      </c>
      <c r="K4300" s="4" t="s">
        <v>15175</v>
      </c>
      <c r="L4300" s="13">
        <v>13014</v>
      </c>
      <c r="M4300" t="str">
        <f>VLOOKUP(L4300,[1]Human_BrainSpan!$B$2:$C$4000,2,FALSE)</f>
        <v>Pro3</v>
      </c>
    </row>
    <row r="4301" spans="2:13" x14ac:dyDescent="0.25">
      <c r="B4301" s="31" t="s">
        <v>26303</v>
      </c>
      <c r="C4301" s="20"/>
      <c r="D4301" s="25" t="s">
        <v>26232</v>
      </c>
      <c r="E4301" s="25" t="s">
        <v>26307</v>
      </c>
      <c r="F4301" s="9" t="str">
        <f t="shared" si="60"/>
        <v>structure with developmental contribution from neural crest</v>
      </c>
      <c r="G4301" s="9" t="s">
        <v>5090</v>
      </c>
      <c r="H4301" s="9" t="s">
        <v>22674</v>
      </c>
      <c r="I4301" s="9" t="s">
        <v>7932</v>
      </c>
      <c r="J4301" s="9" t="s">
        <v>7933</v>
      </c>
      <c r="K4301" s="4" t="s">
        <v>15175</v>
      </c>
      <c r="L4301" s="13">
        <v>13015</v>
      </c>
      <c r="M4301" t="str">
        <f>VLOOKUP(L4301,[1]Human_BrainSpan!$B$2:$C$4000,2,FALSE)</f>
        <v>Pro4</v>
      </c>
    </row>
    <row r="4302" spans="2:13" x14ac:dyDescent="0.25">
      <c r="B4302" s="31" t="s">
        <v>26303</v>
      </c>
      <c r="C4302" s="20"/>
      <c r="D4302" s="25" t="s">
        <v>26232</v>
      </c>
      <c r="E4302" s="25" t="s">
        <v>26307</v>
      </c>
      <c r="F4302" s="9" t="str">
        <f t="shared" si="60"/>
        <v>structure with developmental contribution from neural crest</v>
      </c>
      <c r="G4302" s="9" t="s">
        <v>5090</v>
      </c>
      <c r="H4302" s="9" t="s">
        <v>22675</v>
      </c>
      <c r="I4302" s="9" t="s">
        <v>7934</v>
      </c>
      <c r="J4302" s="9" t="s">
        <v>7935</v>
      </c>
      <c r="K4302" s="4" t="s">
        <v>15175</v>
      </c>
      <c r="L4302" s="13">
        <v>13016</v>
      </c>
      <c r="M4302" t="str">
        <f>VLOOKUP(L4302,[1]Human_BrainSpan!$B$2:$C$4000,2,FALSE)</f>
        <v>Pro5</v>
      </c>
    </row>
    <row r="4303" spans="2:13" x14ac:dyDescent="0.25">
      <c r="B4303" s="31" t="s">
        <v>26303</v>
      </c>
      <c r="C4303" s="20"/>
      <c r="D4303" s="25" t="s">
        <v>26232</v>
      </c>
      <c r="E4303" s="25" t="s">
        <v>26307</v>
      </c>
      <c r="F4303" s="9" t="str">
        <f t="shared" si="60"/>
        <v>structure with developmental contribution from neural crest</v>
      </c>
      <c r="G4303" s="9" t="s">
        <v>5090</v>
      </c>
      <c r="H4303" s="9" t="s">
        <v>22676</v>
      </c>
      <c r="I4303" s="9" t="s">
        <v>7936</v>
      </c>
      <c r="J4303" s="9" t="s">
        <v>7937</v>
      </c>
      <c r="K4303" s="4" t="s">
        <v>15175</v>
      </c>
      <c r="L4303" s="13">
        <v>13017</v>
      </c>
      <c r="M4303" t="str">
        <f>VLOOKUP(L4303,[1]Human_BrainSpan!$B$2:$C$4000,2,FALSE)</f>
        <v>Pro6</v>
      </c>
    </row>
    <row r="4304" spans="2:13" x14ac:dyDescent="0.25">
      <c r="B4304" s="31" t="s">
        <v>26303</v>
      </c>
      <c r="C4304" s="25" t="s">
        <v>3614</v>
      </c>
      <c r="D4304" s="25" t="s">
        <v>26232</v>
      </c>
      <c r="E4304" s="25" t="s">
        <v>26306</v>
      </c>
      <c r="F4304" s="9" t="str">
        <f t="shared" si="60"/>
        <v>structure with developmental contribution from neural crest</v>
      </c>
      <c r="G4304" s="9" t="s">
        <v>5090</v>
      </c>
      <c r="H4304" s="9" t="s">
        <v>22952</v>
      </c>
      <c r="I4304" s="9" t="s">
        <v>7938</v>
      </c>
      <c r="J4304" s="9" t="s">
        <v>7939</v>
      </c>
      <c r="K4304" s="4" t="s">
        <v>15175</v>
      </c>
      <c r="L4304" s="13">
        <v>13018</v>
      </c>
      <c r="M4304" t="str">
        <f>VLOOKUP(L4304,[1]Human_BrainSpan!$B$2:$C$4000,2,FALSE)</f>
        <v>PaSb5-6</v>
      </c>
    </row>
    <row r="4305" spans="2:14" x14ac:dyDescent="0.25">
      <c r="B4305" s="31" t="s">
        <v>26303</v>
      </c>
      <c r="C4305" s="25" t="s">
        <v>3614</v>
      </c>
      <c r="D4305" s="25" t="s">
        <v>26232</v>
      </c>
      <c r="E4305" s="25" t="s">
        <v>26306</v>
      </c>
      <c r="F4305" s="9" t="str">
        <f t="shared" si="60"/>
        <v>structure with developmental contribution from neural crest</v>
      </c>
      <c r="G4305" s="9" t="s">
        <v>5090</v>
      </c>
      <c r="H4305" s="9" t="s">
        <v>22957</v>
      </c>
      <c r="I4305" s="9" t="s">
        <v>7940</v>
      </c>
      <c r="J4305" s="9" t="s">
        <v>7941</v>
      </c>
      <c r="K4305" s="4" t="s">
        <v>15175</v>
      </c>
      <c r="L4305" s="13">
        <v>13019</v>
      </c>
      <c r="M4305" t="str">
        <f>VLOOKUP(L4305,[1]Human_BrainSpan!$B$2:$C$4000,2,FALSE)</f>
        <v>PaSa5-6</v>
      </c>
    </row>
    <row r="4306" spans="2:14" x14ac:dyDescent="0.25">
      <c r="B4306" s="31" t="s">
        <v>26303</v>
      </c>
      <c r="C4306" s="20"/>
      <c r="D4306" s="25" t="s">
        <v>26185</v>
      </c>
      <c r="E4306" s="25" t="s">
        <v>26307</v>
      </c>
      <c r="F4306" s="9" t="str">
        <f t="shared" si="60"/>
        <v>structure with developmental contribution from neural crest</v>
      </c>
      <c r="G4306" s="9" t="s">
        <v>5090</v>
      </c>
      <c r="H4306" s="9" t="s">
        <v>22867</v>
      </c>
      <c r="I4306" s="9" t="s">
        <v>7942</v>
      </c>
      <c r="J4306" s="9" t="s">
        <v>7943</v>
      </c>
      <c r="K4306" s="4" t="s">
        <v>15175</v>
      </c>
      <c r="L4306" s="13">
        <v>13020</v>
      </c>
      <c r="M4306" t="str">
        <f>VLOOKUP(L4306,[1]Human_BrainSpan!$B$2:$C$4000,2,FALSE)</f>
        <v>EOld</v>
      </c>
    </row>
    <row r="4307" spans="2:14" x14ac:dyDescent="0.25">
      <c r="B4307" s="31" t="s">
        <v>26303</v>
      </c>
      <c r="C4307" s="20"/>
      <c r="D4307" s="25" t="s">
        <v>26185</v>
      </c>
      <c r="E4307" s="25" t="s">
        <v>26307</v>
      </c>
      <c r="F4307" s="9" t="str">
        <f t="shared" si="60"/>
        <v>structure with developmental contribution from neural crest</v>
      </c>
      <c r="G4307" s="9" t="s">
        <v>5090</v>
      </c>
      <c r="H4307" s="9" t="s">
        <v>22877</v>
      </c>
      <c r="I4307" s="9" t="s">
        <v>7944</v>
      </c>
      <c r="J4307" s="9" t="s">
        <v>7945</v>
      </c>
      <c r="K4307" s="4" t="s">
        <v>15175</v>
      </c>
      <c r="L4307" s="13">
        <v>13021</v>
      </c>
      <c r="M4307" t="str">
        <f>VLOOKUP(L4307,[1]Human_BrainSpan!$B$2:$C$4000,2,FALSE)</f>
        <v>ERld</v>
      </c>
    </row>
    <row r="4308" spans="2:14" x14ac:dyDescent="0.25">
      <c r="B4308" s="31" t="s">
        <v>26303</v>
      </c>
      <c r="C4308" s="20"/>
      <c r="D4308" s="25" t="s">
        <v>26185</v>
      </c>
      <c r="E4308" s="25" t="s">
        <v>26307</v>
      </c>
      <c r="F4308" s="9" t="str">
        <f t="shared" si="60"/>
        <v>structure with developmental contribution from neural crest</v>
      </c>
      <c r="G4308" s="9" t="s">
        <v>5090</v>
      </c>
      <c r="H4308" s="9" t="s">
        <v>22888</v>
      </c>
      <c r="I4308" s="9" t="s">
        <v>7946</v>
      </c>
      <c r="J4308" s="9" t="s">
        <v>7947</v>
      </c>
      <c r="K4308" s="4" t="s">
        <v>15175</v>
      </c>
      <c r="L4308" s="13">
        <v>13022</v>
      </c>
      <c r="M4308" t="str">
        <f>VLOOKUP(L4308,[1]Human_BrainSpan!$B$2:$C$4000,2,FALSE)</f>
        <v>ELRld</v>
      </c>
    </row>
    <row r="4309" spans="2:14" x14ac:dyDescent="0.25">
      <c r="B4309" s="31" t="s">
        <v>26303</v>
      </c>
      <c r="C4309" s="20"/>
      <c r="D4309" s="25" t="s">
        <v>26185</v>
      </c>
      <c r="E4309" s="25" t="s">
        <v>26307</v>
      </c>
      <c r="F4309" s="9" t="str">
        <f t="shared" si="60"/>
        <v>structure with developmental contribution from neural crest</v>
      </c>
      <c r="G4309" s="9" t="s">
        <v>5090</v>
      </c>
      <c r="H4309" s="9" t="s">
        <v>22944</v>
      </c>
      <c r="I4309" s="9" t="s">
        <v>7948</v>
      </c>
      <c r="J4309" s="9" t="s">
        <v>7949</v>
      </c>
      <c r="K4309" s="4" t="s">
        <v>15175</v>
      </c>
      <c r="L4309" s="13">
        <v>13023</v>
      </c>
      <c r="M4309" t="str">
        <f>VLOOKUP(L4309,[1]Human_BrainSpan!$B$2:$C$4000,2,FALSE)</f>
        <v>ELCld</v>
      </c>
    </row>
    <row r="4310" spans="2:14" x14ac:dyDescent="0.25">
      <c r="B4310" s="31" t="s">
        <v>26299</v>
      </c>
      <c r="C4310" s="25" t="s">
        <v>26190</v>
      </c>
      <c r="D4310" s="25" t="s">
        <v>26232</v>
      </c>
      <c r="E4310" s="25"/>
      <c r="F4310" s="9" t="str">
        <f t="shared" si="60"/>
        <v>structure with developmental contribution from neural crest</v>
      </c>
      <c r="G4310" s="9" t="s">
        <v>5090</v>
      </c>
      <c r="H4310" s="9" t="s">
        <v>22981</v>
      </c>
      <c r="I4310" s="9" t="s">
        <v>7950</v>
      </c>
      <c r="J4310" s="9" t="s">
        <v>7951</v>
      </c>
      <c r="K4310" s="4" t="s">
        <v>15175</v>
      </c>
      <c r="L4310" s="13">
        <v>13024</v>
      </c>
      <c r="M4310" t="str">
        <f>VLOOKUP(L4310,[1]Human_BrainSpan!$B$2:$C$4000,2,FALSE)</f>
        <v>A29-5-6</v>
      </c>
    </row>
    <row r="4311" spans="2:14" x14ac:dyDescent="0.25">
      <c r="B4311" s="31" t="s">
        <v>26303</v>
      </c>
      <c r="C4311" s="25" t="s">
        <v>25783</v>
      </c>
      <c r="D4311" s="25" t="s">
        <v>26232</v>
      </c>
      <c r="E4311" s="25"/>
      <c r="F4311" s="9" t="str">
        <f t="shared" si="60"/>
        <v>structure with developmental contribution from neural crest</v>
      </c>
      <c r="G4311" s="9" t="s">
        <v>5090</v>
      </c>
      <c r="H4311" s="9" t="s">
        <v>23166</v>
      </c>
      <c r="I4311" s="9" t="s">
        <v>7952</v>
      </c>
      <c r="J4311" s="9" t="s">
        <v>7953</v>
      </c>
      <c r="K4311" s="4" t="s">
        <v>15175</v>
      </c>
      <c r="L4311" s="13">
        <v>13025</v>
      </c>
      <c r="M4311" t="str">
        <f>VLOOKUP(L4311,[1]Human_BrainSpan!$B$2:$C$4000,2,FALSE)</f>
        <v>CoA-m</v>
      </c>
    </row>
    <row r="4312" spans="2:14" x14ac:dyDescent="0.25">
      <c r="B4312" s="31" t="s">
        <v>26303</v>
      </c>
      <c r="C4312" s="20"/>
      <c r="D4312" s="25" t="s">
        <v>26232</v>
      </c>
      <c r="E4312" s="25" t="s">
        <v>26300</v>
      </c>
      <c r="F4312" s="9" t="str">
        <f t="shared" si="60"/>
        <v>structure with developmental contribution from neural crest</v>
      </c>
      <c r="G4312" s="9" t="s">
        <v>5090</v>
      </c>
      <c r="H4312" s="9" t="s">
        <v>23168</v>
      </c>
      <c r="I4312" s="9" t="s">
        <v>7954</v>
      </c>
      <c r="J4312" s="9" t="s">
        <v>7955</v>
      </c>
      <c r="K4312" s="4" t="s">
        <v>15175</v>
      </c>
      <c r="L4312" s="13">
        <v>13026</v>
      </c>
      <c r="M4312" t="str">
        <f>VLOOKUP(L4312,[1]Human_BrainSpan!$B$2:$C$4000,2,FALSE)</f>
        <v>CoP-m</v>
      </c>
    </row>
    <row r="4313" spans="2:14" x14ac:dyDescent="0.25">
      <c r="B4313" s="31" t="s">
        <v>26303</v>
      </c>
      <c r="C4313" s="25" t="s">
        <v>26018</v>
      </c>
      <c r="D4313" s="25" t="s">
        <v>26232</v>
      </c>
      <c r="E4313" s="25" t="s">
        <v>26306</v>
      </c>
      <c r="F4313" s="9" t="str">
        <f t="shared" si="60"/>
        <v>structure with developmental contribution from neural crest</v>
      </c>
      <c r="G4313" s="9" t="s">
        <v>5090</v>
      </c>
      <c r="H4313" s="9" t="s">
        <v>23174</v>
      </c>
      <c r="I4313" s="9" t="s">
        <v>7956</v>
      </c>
      <c r="J4313" s="9" t="s">
        <v>7957</v>
      </c>
      <c r="K4313" s="4" t="s">
        <v>15175</v>
      </c>
      <c r="L4313" s="13">
        <v>13027</v>
      </c>
      <c r="M4313" t="str">
        <f>VLOOKUP(L4313,[1]Human_BrainSpan!$B$2:$C$4000,2,FALSE)</f>
        <v>Me-m</v>
      </c>
    </row>
    <row r="4314" spans="2:14" x14ac:dyDescent="0.25">
      <c r="B4314" s="31" t="s">
        <v>26303</v>
      </c>
      <c r="C4314" s="25" t="s">
        <v>237</v>
      </c>
      <c r="D4314" s="25" t="s">
        <v>26232</v>
      </c>
      <c r="E4314" s="20" t="s">
        <v>26306</v>
      </c>
      <c r="F4314" s="9" t="str">
        <f t="shared" si="60"/>
        <v>structure with developmental contribution from neural crest</v>
      </c>
      <c r="G4314" s="9" t="s">
        <v>5090</v>
      </c>
      <c r="H4314" s="9" t="s">
        <v>23177</v>
      </c>
      <c r="I4314" s="9" t="s">
        <v>7958</v>
      </c>
      <c r="J4314" s="9" t="s">
        <v>7959</v>
      </c>
      <c r="K4314" s="4" t="s">
        <v>15175</v>
      </c>
      <c r="L4314" s="13">
        <v>13028</v>
      </c>
      <c r="M4314" t="str">
        <f>VLOOKUP(L4314,[1]Human_BrainSpan!$B$2:$C$4000,2,FALSE)</f>
        <v>AHA-m</v>
      </c>
    </row>
    <row r="4315" spans="2:14" x14ac:dyDescent="0.25">
      <c r="B4315" s="31" t="s">
        <v>26303</v>
      </c>
      <c r="C4315" s="25" t="s">
        <v>4967</v>
      </c>
      <c r="D4315" s="25" t="s">
        <v>26232</v>
      </c>
      <c r="E4315" s="25"/>
      <c r="F4315" s="9" t="str">
        <f t="shared" si="60"/>
        <v>structure with developmental contribution from neural crest</v>
      </c>
      <c r="G4315" s="9" t="s">
        <v>5090</v>
      </c>
      <c r="H4315" s="9" t="s">
        <v>16012</v>
      </c>
      <c r="I4315" s="38" t="s">
        <v>7960</v>
      </c>
      <c r="J4315" s="9" t="s">
        <v>7961</v>
      </c>
      <c r="K4315" s="4" t="s">
        <v>15175</v>
      </c>
      <c r="L4315" s="13">
        <v>13029</v>
      </c>
      <c r="M4315" t="str">
        <f>VLOOKUP(L4315,[1]Human_BrainSpan!$B$2:$C$4000,2,FALSE)</f>
        <v>SHi</v>
      </c>
      <c r="N4315" t="s">
        <v>26315</v>
      </c>
    </row>
    <row r="4316" spans="2:14" x14ac:dyDescent="0.25">
      <c r="B4316" s="31" t="s">
        <v>26303</v>
      </c>
      <c r="C4316" s="20"/>
      <c r="D4316" s="25" t="s">
        <v>26232</v>
      </c>
      <c r="E4316" s="25" t="s">
        <v>26309</v>
      </c>
      <c r="F4316" s="9" t="str">
        <f t="shared" si="60"/>
        <v>structure with developmental contribution from neural crest</v>
      </c>
      <c r="G4316" s="9" t="s">
        <v>5090</v>
      </c>
      <c r="H4316" s="9" t="s">
        <v>15555</v>
      </c>
      <c r="I4316" s="9" t="s">
        <v>7962</v>
      </c>
      <c r="J4316" s="9" t="s">
        <v>7963</v>
      </c>
      <c r="K4316" s="4" t="s">
        <v>15175</v>
      </c>
      <c r="L4316" s="13">
        <v>13030</v>
      </c>
      <c r="M4316" t="str">
        <f>VLOOKUP(L4316,[1]Human_BrainSpan!$B$2:$C$4000,2,FALSE)</f>
        <v>Ld</v>
      </c>
    </row>
    <row r="4317" spans="2:14" x14ac:dyDescent="0.25">
      <c r="B4317" s="31" t="s">
        <v>26303</v>
      </c>
      <c r="C4317" s="20"/>
      <c r="D4317" s="25" t="s">
        <v>26232</v>
      </c>
      <c r="E4317" s="25" t="s">
        <v>26300</v>
      </c>
      <c r="F4317" s="9" t="str">
        <f t="shared" si="60"/>
        <v>structure with developmental contribution from neural crest</v>
      </c>
      <c r="G4317" s="9" t="s">
        <v>5090</v>
      </c>
      <c r="H4317" s="9" t="s">
        <v>23285</v>
      </c>
      <c r="I4317" s="9" t="s">
        <v>7964</v>
      </c>
      <c r="J4317" s="9" t="s">
        <v>7965</v>
      </c>
      <c r="K4317" s="4" t="s">
        <v>15175</v>
      </c>
      <c r="L4317" s="13">
        <v>13031</v>
      </c>
      <c r="M4317" t="str">
        <f>VLOOKUP(L4317,[1]Human_BrainSpan!$B$2:$C$4000,2,FALSE)</f>
        <v>PLd</v>
      </c>
    </row>
    <row r="4318" spans="2:14" x14ac:dyDescent="0.25">
      <c r="B4318" s="31" t="s">
        <v>26303</v>
      </c>
      <c r="C4318" s="25" t="s">
        <v>4962</v>
      </c>
      <c r="D4318" s="25" t="s">
        <v>26232</v>
      </c>
      <c r="E4318" s="25"/>
      <c r="F4318" s="9" t="str">
        <f t="shared" si="60"/>
        <v>structure with developmental contribution from neural crest</v>
      </c>
      <c r="G4318" s="9" t="s">
        <v>5090</v>
      </c>
      <c r="H4318" s="9" t="s">
        <v>15563</v>
      </c>
      <c r="I4318" s="9" t="s">
        <v>4962</v>
      </c>
      <c r="J4318" s="9" t="s">
        <v>4963</v>
      </c>
      <c r="K4318" s="4" t="s">
        <v>15175</v>
      </c>
      <c r="L4318" s="13">
        <v>13032</v>
      </c>
      <c r="M4318" t="str">
        <f>VLOOKUP(L4318,[1]Human_BrainSpan!$B$2:$C$4000,2,FALSE)</f>
        <v>SFi</v>
      </c>
    </row>
    <row r="4319" spans="2:14" x14ac:dyDescent="0.25">
      <c r="B4319" s="31" t="s">
        <v>26303</v>
      </c>
      <c r="C4319" s="25" t="s">
        <v>4971</v>
      </c>
      <c r="D4319" s="25" t="s">
        <v>26232</v>
      </c>
      <c r="E4319" s="25"/>
      <c r="F4319" s="9" t="str">
        <f t="shared" si="60"/>
        <v>structure with developmental contribution from neural crest</v>
      </c>
      <c r="G4319" s="9" t="s">
        <v>5090</v>
      </c>
      <c r="H4319" s="9" t="s">
        <v>15544</v>
      </c>
      <c r="I4319" s="9" t="s">
        <v>4971</v>
      </c>
      <c r="J4319" s="9" t="s">
        <v>4972</v>
      </c>
      <c r="K4319" s="4" t="s">
        <v>15175</v>
      </c>
      <c r="L4319" s="13">
        <v>13033</v>
      </c>
      <c r="M4319" t="str">
        <f>VLOOKUP(L4319,[1]Human_BrainSpan!$B$2:$C$4000,2,FALSE)</f>
        <v>SHy</v>
      </c>
    </row>
    <row r="4320" spans="2:14" x14ac:dyDescent="0.25">
      <c r="B4320" s="31" t="s">
        <v>26303</v>
      </c>
      <c r="C4320" s="25" t="s">
        <v>7966</v>
      </c>
      <c r="D4320" s="25" t="s">
        <v>26232</v>
      </c>
      <c r="E4320" s="25"/>
      <c r="F4320" s="9" t="str">
        <f t="shared" si="60"/>
        <v>structure with developmental contribution from neural crest</v>
      </c>
      <c r="G4320" s="9" t="s">
        <v>5090</v>
      </c>
      <c r="H4320" s="9" t="s">
        <v>19822</v>
      </c>
      <c r="I4320" s="9" t="s">
        <v>7966</v>
      </c>
      <c r="J4320" s="9" t="s">
        <v>7967</v>
      </c>
      <c r="K4320" s="4" t="s">
        <v>15175</v>
      </c>
      <c r="L4320" s="13">
        <v>13034</v>
      </c>
      <c r="M4320" t="str">
        <f>VLOOKUP(L4320,[1]Human_BrainSpan!$B$2:$C$4000,2,FALSE)</f>
        <v>SI</v>
      </c>
    </row>
    <row r="4321" spans="2:13" x14ac:dyDescent="0.25">
      <c r="B4321" s="31" t="s">
        <v>26303</v>
      </c>
      <c r="C4321" s="25" t="s">
        <v>254</v>
      </c>
      <c r="D4321" s="25" t="s">
        <v>26232</v>
      </c>
      <c r="E4321" s="25" t="s">
        <v>26306</v>
      </c>
      <c r="F4321" s="9" t="str">
        <f t="shared" si="60"/>
        <v>structure with developmental contribution from neural crest</v>
      </c>
      <c r="G4321" s="9" t="s">
        <v>5090</v>
      </c>
      <c r="H4321" s="9" t="s">
        <v>23210</v>
      </c>
      <c r="I4321" s="9" t="s">
        <v>7968</v>
      </c>
      <c r="J4321" s="9" t="s">
        <v>7969</v>
      </c>
      <c r="K4321" s="4" t="s">
        <v>15175</v>
      </c>
      <c r="L4321" s="13">
        <v>13035</v>
      </c>
      <c r="M4321" t="str">
        <f>VLOOKUP(L4321,[1]Human_BrainSpan!$B$2:$C$4000,2,FALSE)</f>
        <v>AHTA-m</v>
      </c>
    </row>
    <row r="4322" spans="2:13" x14ac:dyDescent="0.25">
      <c r="B4322" s="31" t="s">
        <v>26299</v>
      </c>
      <c r="C4322" s="25" t="s">
        <v>26116</v>
      </c>
      <c r="D4322" s="25" t="s">
        <v>26232</v>
      </c>
      <c r="E4322" s="25" t="s">
        <v>26306</v>
      </c>
      <c r="F4322" s="9" t="str">
        <f t="shared" si="60"/>
        <v>structure with developmental contribution from neural crest</v>
      </c>
      <c r="G4322" s="9" t="s">
        <v>5090</v>
      </c>
      <c r="H4322" s="9" t="s">
        <v>23213</v>
      </c>
      <c r="I4322" s="9" t="s">
        <v>7970</v>
      </c>
      <c r="J4322" s="9" t="s">
        <v>7971</v>
      </c>
      <c r="K4322" s="4" t="s">
        <v>15175</v>
      </c>
      <c r="L4322" s="13">
        <v>13036</v>
      </c>
      <c r="M4322" t="str">
        <f>VLOOKUP(L4322,[1]Human_BrainSpan!$B$2:$C$4000,2,FALSE)</f>
        <v>ACTA-m</v>
      </c>
    </row>
    <row r="4323" spans="2:13" x14ac:dyDescent="0.25">
      <c r="B4323" s="31" t="s">
        <v>26303</v>
      </c>
      <c r="C4323" s="25" t="s">
        <v>25933</v>
      </c>
      <c r="D4323" s="25" t="s">
        <v>26232</v>
      </c>
      <c r="E4323" s="25" t="s">
        <v>26306</v>
      </c>
      <c r="F4323" s="9" t="str">
        <f t="shared" si="60"/>
        <v>structure with developmental contribution from neural crest</v>
      </c>
      <c r="G4323" s="9" t="s">
        <v>5090</v>
      </c>
      <c r="H4323" s="9" t="s">
        <v>21336</v>
      </c>
      <c r="I4323" s="9" t="s">
        <v>7972</v>
      </c>
      <c r="J4323" s="9" t="s">
        <v>7973</v>
      </c>
      <c r="K4323" s="4" t="s">
        <v>15175</v>
      </c>
      <c r="L4323" s="13">
        <v>13095</v>
      </c>
      <c r="M4323" t="str">
        <f>VLOOKUP(L4323,[1]Human_BrainSpan!$B$2:$C$4000,2,FALSE)</f>
        <v>oCPexs</v>
      </c>
    </row>
    <row r="4324" spans="2:13" x14ac:dyDescent="0.25">
      <c r="B4324" s="31" t="s">
        <v>26303</v>
      </c>
      <c r="C4324" s="20"/>
      <c r="D4324" s="25" t="s">
        <v>26232</v>
      </c>
      <c r="E4324" s="25" t="s">
        <v>26307</v>
      </c>
      <c r="F4324" s="9" t="str">
        <f t="shared" si="60"/>
        <v>structure with developmental contribution from neural crest</v>
      </c>
      <c r="G4324" s="9" t="s">
        <v>5090</v>
      </c>
      <c r="H4324" s="9" t="s">
        <v>21332</v>
      </c>
      <c r="I4324" s="9" t="s">
        <v>7974</v>
      </c>
      <c r="J4324" s="9" t="s">
        <v>7975</v>
      </c>
      <c r="K4324" s="4" t="s">
        <v>15175</v>
      </c>
      <c r="L4324" s="13">
        <v>13096</v>
      </c>
      <c r="M4324" t="str">
        <f>VLOOKUP(L4324,[1]Human_BrainSpan!$B$2:$C$4000,2,FALSE)</f>
        <v>oCPpro</v>
      </c>
    </row>
    <row r="4325" spans="2:13" x14ac:dyDescent="0.25">
      <c r="B4325" s="31" t="s">
        <v>26303</v>
      </c>
      <c r="C4325" s="20"/>
      <c r="D4325" s="25" t="s">
        <v>26232</v>
      </c>
      <c r="E4325" s="25" t="s">
        <v>26300</v>
      </c>
      <c r="F4325" s="9" t="str">
        <f t="shared" si="60"/>
        <v>structure with developmental contribution from neural crest</v>
      </c>
      <c r="G4325" s="9" t="s">
        <v>5090</v>
      </c>
      <c r="H4325" s="9" t="s">
        <v>21303</v>
      </c>
      <c r="I4325" s="9" t="s">
        <v>7976</v>
      </c>
      <c r="J4325" s="9" t="s">
        <v>7977</v>
      </c>
      <c r="K4325" s="4" t="s">
        <v>15175</v>
      </c>
      <c r="L4325" s="13">
        <v>13097</v>
      </c>
      <c r="M4325" t="str">
        <f>VLOOKUP(L4325,[1]Human_BrainSpan!$B$2:$C$4000,2,FALSE)</f>
        <v>tCPps</v>
      </c>
    </row>
    <row r="4326" spans="2:13" x14ac:dyDescent="0.25">
      <c r="B4326" s="31" t="s">
        <v>26303</v>
      </c>
      <c r="C4326" s="20"/>
      <c r="D4326" s="25" t="s">
        <v>26232</v>
      </c>
      <c r="E4326" s="25" t="s">
        <v>26300</v>
      </c>
      <c r="F4326" s="9" t="str">
        <f t="shared" si="60"/>
        <v>structure with developmental contribution from neural crest</v>
      </c>
      <c r="G4326" s="9" t="s">
        <v>5090</v>
      </c>
      <c r="H4326" s="9" t="s">
        <v>21306</v>
      </c>
      <c r="I4326" s="9" t="s">
        <v>7978</v>
      </c>
      <c r="J4326" s="9" t="s">
        <v>7979</v>
      </c>
      <c r="K4326" s="4" t="s">
        <v>15175</v>
      </c>
      <c r="L4326" s="13">
        <v>13098</v>
      </c>
      <c r="M4326" t="str">
        <f>VLOOKUP(L4326,[1]Human_BrainSpan!$B$2:$C$4000,2,FALSE)</f>
        <v>tCPml</v>
      </c>
    </row>
    <row r="4327" spans="2:13" x14ac:dyDescent="0.25">
      <c r="B4327" s="31" t="s">
        <v>26299</v>
      </c>
      <c r="C4327" s="20" t="s">
        <v>25748</v>
      </c>
      <c r="D4327" s="25" t="s">
        <v>26232</v>
      </c>
      <c r="E4327" s="25" t="s">
        <v>26306</v>
      </c>
      <c r="F4327" s="9" t="str">
        <f t="shared" si="60"/>
        <v>structure with developmental contribution from neural crest</v>
      </c>
      <c r="G4327" s="9" t="s">
        <v>5090</v>
      </c>
      <c r="H4327" s="9" t="s">
        <v>21313</v>
      </c>
      <c r="I4327" s="9" t="s">
        <v>7980</v>
      </c>
      <c r="J4327" s="9" t="s">
        <v>7981</v>
      </c>
      <c r="K4327" s="4" t="s">
        <v>15175</v>
      </c>
      <c r="L4327" s="13">
        <v>13099</v>
      </c>
      <c r="M4327" t="str">
        <f>VLOOKUP(L4327,[1]Human_BrainSpan!$B$2:$C$4000,2,FALSE)</f>
        <v>tCP36</v>
      </c>
    </row>
    <row r="4328" spans="2:13" x14ac:dyDescent="0.25">
      <c r="B4328" s="31" t="s">
        <v>26299</v>
      </c>
      <c r="C4328" s="20" t="s">
        <v>25748</v>
      </c>
      <c r="D4328" s="25" t="s">
        <v>26232</v>
      </c>
      <c r="E4328" s="25" t="s">
        <v>26306</v>
      </c>
      <c r="F4328" s="9" t="str">
        <f t="shared" si="60"/>
        <v>structure with developmental contribution from neural crest</v>
      </c>
      <c r="G4328" s="9" t="s">
        <v>5090</v>
      </c>
      <c r="H4328" s="9" t="s">
        <v>21314</v>
      </c>
      <c r="I4328" s="9" t="s">
        <v>7982</v>
      </c>
      <c r="J4328" s="9" t="s">
        <v>7983</v>
      </c>
      <c r="K4328" s="4" t="s">
        <v>15175</v>
      </c>
      <c r="L4328" s="13">
        <v>13100</v>
      </c>
      <c r="M4328" t="str">
        <f>VLOOKUP(L4328,[1]Human_BrainSpan!$B$2:$C$4000,2,FALSE)</f>
        <v>tCP36o</v>
      </c>
    </row>
    <row r="4329" spans="2:13" x14ac:dyDescent="0.25">
      <c r="B4329" s="31" t="s">
        <v>26299</v>
      </c>
      <c r="C4329" s="20" t="s">
        <v>25748</v>
      </c>
      <c r="D4329" s="25" t="s">
        <v>26232</v>
      </c>
      <c r="E4329" s="25" t="s">
        <v>26306</v>
      </c>
      <c r="F4329" s="9" t="str">
        <f t="shared" si="60"/>
        <v>structure with developmental contribution from neural crest</v>
      </c>
      <c r="G4329" s="9" t="s">
        <v>5090</v>
      </c>
      <c r="H4329" s="9" t="s">
        <v>21315</v>
      </c>
      <c r="I4329" s="9" t="s">
        <v>7984</v>
      </c>
      <c r="J4329" s="9" t="s">
        <v>7985</v>
      </c>
      <c r="K4329" s="4" t="s">
        <v>15175</v>
      </c>
      <c r="L4329" s="13">
        <v>13101</v>
      </c>
      <c r="M4329" t="str">
        <f>VLOOKUP(L4329,[1]Human_BrainSpan!$B$2:$C$4000,2,FALSE)</f>
        <v>tCP36i</v>
      </c>
    </row>
    <row r="4330" spans="2:13" x14ac:dyDescent="0.25">
      <c r="B4330" s="31" t="s">
        <v>26299</v>
      </c>
      <c r="C4330" s="25" t="s">
        <v>2046</v>
      </c>
      <c r="D4330" s="25" t="s">
        <v>26185</v>
      </c>
      <c r="E4330" s="25" t="s">
        <v>26307</v>
      </c>
      <c r="F4330" s="9" t="str">
        <f t="shared" si="60"/>
        <v>structure with developmental contribution from neural crest</v>
      </c>
      <c r="G4330" s="9" t="s">
        <v>5090</v>
      </c>
      <c r="H4330" s="9" t="s">
        <v>21316</v>
      </c>
      <c r="I4330" s="9" t="s">
        <v>7986</v>
      </c>
      <c r="J4330" s="9" t="s">
        <v>7987</v>
      </c>
      <c r="K4330" s="4" t="s">
        <v>15175</v>
      </c>
      <c r="L4330" s="13">
        <v>13102</v>
      </c>
      <c r="M4330" t="str">
        <f>VLOOKUP(L4330,[1]Human_BrainSpan!$B$2:$C$4000,2,FALSE)</f>
        <v>tCPtf</v>
      </c>
    </row>
    <row r="4331" spans="2:13" x14ac:dyDescent="0.25">
      <c r="B4331" s="31" t="s">
        <v>26299</v>
      </c>
      <c r="C4331" s="25" t="s">
        <v>2046</v>
      </c>
      <c r="D4331" s="25" t="s">
        <v>26185</v>
      </c>
      <c r="E4331" s="25" t="s">
        <v>26307</v>
      </c>
      <c r="F4331" s="9" t="str">
        <f t="shared" si="60"/>
        <v>structure with developmental contribution from neural crest</v>
      </c>
      <c r="G4331" s="9" t="s">
        <v>5090</v>
      </c>
      <c r="H4331" s="9" t="s">
        <v>21317</v>
      </c>
      <c r="I4331" s="9" t="s">
        <v>7988</v>
      </c>
      <c r="J4331" s="9" t="s">
        <v>7989</v>
      </c>
      <c r="K4331" s="4" t="s">
        <v>15175</v>
      </c>
      <c r="L4331" s="13">
        <v>13103</v>
      </c>
      <c r="M4331" t="str">
        <f>VLOOKUP(L4331,[1]Human_BrainSpan!$B$2:$C$4000,2,FALSE)</f>
        <v>tCPtfo</v>
      </c>
    </row>
    <row r="4332" spans="2:13" x14ac:dyDescent="0.25">
      <c r="B4332" s="31" t="s">
        <v>26299</v>
      </c>
      <c r="C4332" s="25" t="s">
        <v>2046</v>
      </c>
      <c r="D4332" s="25" t="s">
        <v>26185</v>
      </c>
      <c r="E4332" s="25" t="s">
        <v>26307</v>
      </c>
      <c r="F4332" s="9" t="str">
        <f t="shared" si="60"/>
        <v>structure with developmental contribution from neural crest</v>
      </c>
      <c r="G4332" s="9" t="s">
        <v>5090</v>
      </c>
      <c r="H4332" s="9" t="s">
        <v>21318</v>
      </c>
      <c r="I4332" s="9" t="s">
        <v>7990</v>
      </c>
      <c r="J4332" s="9" t="s">
        <v>7991</v>
      </c>
      <c r="K4332" s="4" t="s">
        <v>15175</v>
      </c>
      <c r="L4332" s="13">
        <v>13104</v>
      </c>
      <c r="M4332" t="str">
        <f>VLOOKUP(L4332,[1]Human_BrainSpan!$B$2:$C$4000,2,FALSE)</f>
        <v>tCPtfi</v>
      </c>
    </row>
    <row r="4333" spans="2:13" x14ac:dyDescent="0.25">
      <c r="B4333" s="31" t="s">
        <v>26303</v>
      </c>
      <c r="C4333" s="20"/>
      <c r="D4333" s="25" t="s">
        <v>26232</v>
      </c>
      <c r="E4333" s="25" t="s">
        <v>26300</v>
      </c>
      <c r="F4333" s="9" t="str">
        <f t="shared" si="60"/>
        <v>structure with developmental contribution from neural crest</v>
      </c>
      <c r="G4333" s="9" t="s">
        <v>5090</v>
      </c>
      <c r="H4333" s="9" t="s">
        <v>21304</v>
      </c>
      <c r="I4333" s="9" t="s">
        <v>7992</v>
      </c>
      <c r="J4333" s="9" t="s">
        <v>7993</v>
      </c>
      <c r="K4333" s="4" t="s">
        <v>15175</v>
      </c>
      <c r="L4333" s="13">
        <v>13105</v>
      </c>
      <c r="M4333" t="str">
        <f>VLOOKUP(L4333,[1]Human_BrainSpan!$B$2:$C$4000,2,FALSE)</f>
        <v>tCPpi</v>
      </c>
    </row>
    <row r="4334" spans="2:13" x14ac:dyDescent="0.25">
      <c r="B4334" s="31" t="s">
        <v>26303</v>
      </c>
      <c r="C4334" s="25" t="s">
        <v>4116</v>
      </c>
      <c r="D4334" s="25" t="s">
        <v>26232</v>
      </c>
      <c r="E4334" s="25" t="s">
        <v>26306</v>
      </c>
      <c r="F4334" s="9" t="str">
        <f t="shared" si="60"/>
        <v>structure with developmental contribution from neural crest</v>
      </c>
      <c r="G4334" s="9" t="s">
        <v>5090</v>
      </c>
      <c r="H4334" s="9" t="s">
        <v>21382</v>
      </c>
      <c r="I4334" s="9" t="s">
        <v>7994</v>
      </c>
      <c r="J4334" s="9" t="s">
        <v>7995</v>
      </c>
      <c r="K4334" s="4" t="s">
        <v>15175</v>
      </c>
      <c r="L4334" s="13">
        <v>13106</v>
      </c>
      <c r="M4334" t="str">
        <f>VLOOKUP(L4334,[1]Human_BrainSpan!$B$2:$C$4000,2,FALSE)</f>
        <v>CPprsr</v>
      </c>
    </row>
    <row r="4335" spans="2:13" x14ac:dyDescent="0.25">
      <c r="B4335" s="31" t="s">
        <v>26299</v>
      </c>
      <c r="C4335" s="25" t="s">
        <v>4051</v>
      </c>
      <c r="D4335" s="25" t="s">
        <v>26232</v>
      </c>
      <c r="E4335" s="25" t="s">
        <v>26306</v>
      </c>
      <c r="F4335" s="9" t="str">
        <f t="shared" si="60"/>
        <v>structure with developmental contribution from neural crest</v>
      </c>
      <c r="G4335" s="9" t="s">
        <v>5090</v>
      </c>
      <c r="H4335" s="9" t="s">
        <v>21383</v>
      </c>
      <c r="I4335" s="9" t="s">
        <v>7996</v>
      </c>
      <c r="J4335" s="9" t="s">
        <v>7997</v>
      </c>
      <c r="K4335" s="4" t="s">
        <v>15175</v>
      </c>
      <c r="L4335" s="13">
        <v>13107</v>
      </c>
      <c r="M4335" t="str">
        <f>VLOOKUP(L4335,[1]Human_BrainSpan!$B$2:$C$4000,2,FALSE)</f>
        <v>CPprsc</v>
      </c>
    </row>
    <row r="4336" spans="2:13" x14ac:dyDescent="0.25">
      <c r="B4336" s="31" t="s">
        <v>26303</v>
      </c>
      <c r="C4336" s="25" t="s">
        <v>26020</v>
      </c>
      <c r="D4336" s="25" t="s">
        <v>26232</v>
      </c>
      <c r="E4336" s="25" t="s">
        <v>26306</v>
      </c>
      <c r="F4336" s="9" t="str">
        <f t="shared" si="60"/>
        <v>structure with developmental contribution from neural crest</v>
      </c>
      <c r="G4336" s="9" t="s">
        <v>5090</v>
      </c>
      <c r="H4336" s="9" t="s">
        <v>21379</v>
      </c>
      <c r="I4336" s="9" t="s">
        <v>7998</v>
      </c>
      <c r="J4336" s="9" t="s">
        <v>7999</v>
      </c>
      <c r="K4336" s="4" t="s">
        <v>15175</v>
      </c>
      <c r="L4336" s="13">
        <v>13108</v>
      </c>
      <c r="M4336" t="str">
        <f>VLOOKUP(L4336,[1]Human_BrainSpan!$B$2:$C$4000,2,FALSE)</f>
        <v>CPmec</v>
      </c>
    </row>
    <row r="4337" spans="2:13" x14ac:dyDescent="0.25">
      <c r="B4337" s="31" t="s">
        <v>26303</v>
      </c>
      <c r="C4337" s="25" t="s">
        <v>25987</v>
      </c>
      <c r="D4337" s="25" t="s">
        <v>26232</v>
      </c>
      <c r="E4337" s="25" t="s">
        <v>26306</v>
      </c>
      <c r="F4337" s="9" t="str">
        <f t="shared" si="60"/>
        <v>structure with developmental contribution from neural crest</v>
      </c>
      <c r="G4337" s="9" t="s">
        <v>5090</v>
      </c>
      <c r="H4337" s="9" t="s">
        <v>21376</v>
      </c>
      <c r="I4337" s="9" t="s">
        <v>8000</v>
      </c>
      <c r="J4337" s="9" t="s">
        <v>8001</v>
      </c>
      <c r="K4337" s="4" t="s">
        <v>15175</v>
      </c>
      <c r="L4337" s="13">
        <v>13109</v>
      </c>
      <c r="M4337" t="str">
        <f>VLOOKUP(L4337,[1]Human_BrainSpan!$B$2:$C$4000,2,FALSE)</f>
        <v>CPlec</v>
      </c>
    </row>
    <row r="4338" spans="2:13" x14ac:dyDescent="0.25">
      <c r="B4338" s="31" t="s">
        <v>26303</v>
      </c>
      <c r="C4338" s="25" t="s">
        <v>25933</v>
      </c>
      <c r="D4338" s="25" t="s">
        <v>26232</v>
      </c>
      <c r="E4338" s="25" t="s">
        <v>26306</v>
      </c>
      <c r="F4338" s="9" t="str">
        <f t="shared" si="60"/>
        <v>structure with developmental contribution from neural crest</v>
      </c>
      <c r="G4338" s="9" t="s">
        <v>5090</v>
      </c>
      <c r="H4338" s="9" t="s">
        <v>21430</v>
      </c>
      <c r="I4338" s="9" t="s">
        <v>8002</v>
      </c>
      <c r="J4338" s="9" t="s">
        <v>8003</v>
      </c>
      <c r="K4338" s="4" t="s">
        <v>15175</v>
      </c>
      <c r="L4338" s="13">
        <v>13110</v>
      </c>
      <c r="M4338" t="str">
        <f>VLOOKUP(L4338,[1]Human_BrainSpan!$B$2:$C$4000,2,FALSE)</f>
        <v>oSPexs</v>
      </c>
    </row>
    <row r="4339" spans="2:13" x14ac:dyDescent="0.25">
      <c r="B4339" s="31" t="s">
        <v>26303</v>
      </c>
      <c r="C4339" s="20"/>
      <c r="D4339" s="25" t="s">
        <v>26232</v>
      </c>
      <c r="E4339" s="25" t="s">
        <v>26307</v>
      </c>
      <c r="F4339" s="9" t="str">
        <f t="shared" si="60"/>
        <v>structure with developmental contribution from neural crest</v>
      </c>
      <c r="G4339" s="9" t="s">
        <v>5090</v>
      </c>
      <c r="H4339" s="9" t="s">
        <v>21428</v>
      </c>
      <c r="I4339" s="9" t="s">
        <v>8004</v>
      </c>
      <c r="J4339" s="9" t="s">
        <v>8005</v>
      </c>
      <c r="K4339" s="4" t="s">
        <v>15175</v>
      </c>
      <c r="L4339" s="13">
        <v>13111</v>
      </c>
      <c r="M4339" t="str">
        <f>VLOOKUP(L4339,[1]Human_BrainSpan!$B$2:$C$4000,2,FALSE)</f>
        <v>oSPpro</v>
      </c>
    </row>
    <row r="4340" spans="2:13" x14ac:dyDescent="0.25">
      <c r="B4340" s="31" t="s">
        <v>26299</v>
      </c>
      <c r="C4340" s="20" t="s">
        <v>9891</v>
      </c>
      <c r="D4340" s="25" t="s">
        <v>26232</v>
      </c>
      <c r="E4340" s="25" t="s">
        <v>26306</v>
      </c>
      <c r="F4340" s="9" t="str">
        <f t="shared" si="60"/>
        <v>structure with developmental contribution from neural crest</v>
      </c>
      <c r="G4340" s="9" t="s">
        <v>5090</v>
      </c>
      <c r="H4340" s="9" t="s">
        <v>21415</v>
      </c>
      <c r="I4340" s="9" t="s">
        <v>8006</v>
      </c>
      <c r="J4340" s="9" t="s">
        <v>8007</v>
      </c>
      <c r="K4340" s="4" t="s">
        <v>15175</v>
      </c>
      <c r="L4340" s="13">
        <v>13112</v>
      </c>
      <c r="M4340" t="str">
        <f>VLOOKUP(L4340,[1]Human_BrainSpan!$B$2:$C$4000,2,FALSE)</f>
        <v>tSPps</v>
      </c>
    </row>
    <row r="4341" spans="2:13" x14ac:dyDescent="0.25">
      <c r="B4341" s="31" t="s">
        <v>26299</v>
      </c>
      <c r="C4341" s="20" t="s">
        <v>9891</v>
      </c>
      <c r="D4341" s="25" t="s">
        <v>26232</v>
      </c>
      <c r="E4341" s="25" t="s">
        <v>26306</v>
      </c>
      <c r="F4341" s="9" t="str">
        <f t="shared" si="60"/>
        <v>structure with developmental contribution from neural crest</v>
      </c>
      <c r="G4341" s="9" t="s">
        <v>5090</v>
      </c>
      <c r="H4341" s="9" t="s">
        <v>21418</v>
      </c>
      <c r="I4341" s="9" t="s">
        <v>8008</v>
      </c>
      <c r="J4341" s="9" t="s">
        <v>8009</v>
      </c>
      <c r="K4341" s="4" t="s">
        <v>15175</v>
      </c>
      <c r="L4341" s="13">
        <v>13113</v>
      </c>
      <c r="M4341" t="str">
        <f>VLOOKUP(L4341,[1]Human_BrainSpan!$B$2:$C$4000,2,FALSE)</f>
        <v>tSPml</v>
      </c>
    </row>
    <row r="4342" spans="2:13" x14ac:dyDescent="0.25">
      <c r="B4342" s="31" t="s">
        <v>26299</v>
      </c>
      <c r="C4342" s="20" t="s">
        <v>25748</v>
      </c>
      <c r="D4342" s="25" t="s">
        <v>26232</v>
      </c>
      <c r="E4342" s="25" t="s">
        <v>26306</v>
      </c>
      <c r="F4342" s="9" t="str">
        <f t="shared" si="60"/>
        <v>structure with developmental contribution from neural crest</v>
      </c>
      <c r="G4342" s="9" t="s">
        <v>5090</v>
      </c>
      <c r="H4342" s="9" t="s">
        <v>21421</v>
      </c>
      <c r="I4342" s="9" t="s">
        <v>8010</v>
      </c>
      <c r="J4342" s="9" t="s">
        <v>8011</v>
      </c>
      <c r="K4342" s="4" t="s">
        <v>15175</v>
      </c>
      <c r="L4342" s="13">
        <v>13114</v>
      </c>
      <c r="M4342" t="str">
        <f>VLOOKUP(L4342,[1]Human_BrainSpan!$B$2:$C$4000,2,FALSE)</f>
        <v>tSP36</v>
      </c>
    </row>
    <row r="4343" spans="2:13" x14ac:dyDescent="0.25">
      <c r="B4343" s="31" t="s">
        <v>26299</v>
      </c>
      <c r="C4343" s="25" t="s">
        <v>2046</v>
      </c>
      <c r="D4343" s="25" t="s">
        <v>26185</v>
      </c>
      <c r="E4343" s="25" t="s">
        <v>26307</v>
      </c>
      <c r="F4343" s="9" t="str">
        <f t="shared" ref="F4343:F4406" si="61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4343" s="9" t="s">
        <v>5090</v>
      </c>
      <c r="H4343" s="9" t="s">
        <v>21422</v>
      </c>
      <c r="I4343" s="9" t="s">
        <v>8012</v>
      </c>
      <c r="J4343" s="9" t="s">
        <v>8013</v>
      </c>
      <c r="K4343" s="4" t="s">
        <v>15175</v>
      </c>
      <c r="L4343" s="13">
        <v>13115</v>
      </c>
      <c r="M4343" t="str">
        <f>VLOOKUP(L4343,[1]Human_BrainSpan!$B$2:$C$4000,2,FALSE)</f>
        <v>tSPtf</v>
      </c>
    </row>
    <row r="4344" spans="2:13" x14ac:dyDescent="0.25">
      <c r="B4344" s="31" t="s">
        <v>26303</v>
      </c>
      <c r="C4344" s="20"/>
      <c r="D4344" s="25" t="s">
        <v>26185</v>
      </c>
      <c r="E4344" s="20" t="s">
        <v>26307</v>
      </c>
      <c r="F4344" s="9" t="str">
        <f t="shared" si="61"/>
        <v>structure with developmental contribution from neural crest</v>
      </c>
      <c r="G4344" s="9" t="s">
        <v>5090</v>
      </c>
      <c r="H4344" s="9" t="s">
        <v>21416</v>
      </c>
      <c r="I4344" s="9" t="s">
        <v>8014</v>
      </c>
      <c r="J4344" s="9" t="s">
        <v>8015</v>
      </c>
      <c r="K4344" s="4" t="s">
        <v>15175</v>
      </c>
      <c r="L4344" s="13">
        <v>13116</v>
      </c>
      <c r="M4344" t="str">
        <f>VLOOKUP(L4344,[1]Human_BrainSpan!$B$2:$C$4000,2,FALSE)</f>
        <v>tSPpi</v>
      </c>
    </row>
    <row r="4345" spans="2:13" x14ac:dyDescent="0.25">
      <c r="B4345" s="31" t="s">
        <v>26303</v>
      </c>
      <c r="C4345" s="25" t="s">
        <v>19545</v>
      </c>
      <c r="D4345" s="25" t="s">
        <v>26232</v>
      </c>
      <c r="E4345" s="25" t="s">
        <v>26306</v>
      </c>
      <c r="F4345" s="9" t="str">
        <f t="shared" si="61"/>
        <v>structure with developmental contribution from neural crest</v>
      </c>
      <c r="G4345" s="9" t="s">
        <v>5090</v>
      </c>
      <c r="H4345" s="9" t="s">
        <v>21457</v>
      </c>
      <c r="I4345" s="9" t="s">
        <v>8016</v>
      </c>
      <c r="J4345" s="9" t="s">
        <v>8017</v>
      </c>
      <c r="K4345" s="4" t="s">
        <v>15175</v>
      </c>
      <c r="L4345" s="13">
        <v>13117</v>
      </c>
      <c r="M4345" t="str">
        <f>VLOOKUP(L4345,[1]Human_BrainSpan!$B$2:$C$4000,2,FALSE)</f>
        <v>SPhipr</v>
      </c>
    </row>
    <row r="4346" spans="2:13" x14ac:dyDescent="0.25">
      <c r="B4346" s="31" t="s">
        <v>26303</v>
      </c>
      <c r="C4346" s="25" t="s">
        <v>19545</v>
      </c>
      <c r="D4346" s="25" t="s">
        <v>26232</v>
      </c>
      <c r="E4346" s="25" t="s">
        <v>26306</v>
      </c>
      <c r="F4346" s="9" t="str">
        <f t="shared" si="61"/>
        <v>structure with developmental contribution from neural crest</v>
      </c>
      <c r="G4346" s="9" t="s">
        <v>5090</v>
      </c>
      <c r="H4346" s="9" t="s">
        <v>21458</v>
      </c>
      <c r="I4346" s="9" t="s">
        <v>8018</v>
      </c>
      <c r="J4346" s="9" t="s">
        <v>8019</v>
      </c>
      <c r="K4346" s="4" t="s">
        <v>15175</v>
      </c>
      <c r="L4346" s="13">
        <v>13118</v>
      </c>
      <c r="M4346" t="str">
        <f>VLOOKUP(L4346,[1]Human_BrainSpan!$B$2:$C$4000,2,FALSE)</f>
        <v>SPhipc</v>
      </c>
    </row>
    <row r="4347" spans="2:13" x14ac:dyDescent="0.25">
      <c r="B4347" s="31" t="s">
        <v>26303</v>
      </c>
      <c r="C4347" s="25" t="s">
        <v>14722</v>
      </c>
      <c r="D4347" s="25" t="s">
        <v>26232</v>
      </c>
      <c r="E4347" s="35" t="s">
        <v>26306</v>
      </c>
      <c r="F4347" s="9" t="str">
        <f t="shared" si="61"/>
        <v>structure with developmental contribution from neural crest</v>
      </c>
      <c r="G4347" s="9" t="s">
        <v>5090</v>
      </c>
      <c r="H4347" s="9" t="s">
        <v>21460</v>
      </c>
      <c r="I4347" s="9" t="s">
        <v>8020</v>
      </c>
      <c r="J4347" s="9" t="s">
        <v>8021</v>
      </c>
      <c r="K4347" s="4" t="s">
        <v>15175</v>
      </c>
      <c r="L4347" s="13">
        <v>13119</v>
      </c>
      <c r="M4347" t="str">
        <f>VLOOKUP(L4347,[1]Human_BrainSpan!$B$2:$C$4000,2,FALSE)</f>
        <v>SPsubr</v>
      </c>
    </row>
    <row r="4348" spans="2:13" x14ac:dyDescent="0.25">
      <c r="B4348" s="31" t="s">
        <v>26303</v>
      </c>
      <c r="C4348" s="25" t="s">
        <v>14722</v>
      </c>
      <c r="D4348" s="25" t="s">
        <v>26232</v>
      </c>
      <c r="E4348" s="25" t="s">
        <v>26306</v>
      </c>
      <c r="F4348" s="9" t="str">
        <f t="shared" si="61"/>
        <v>structure with developmental contribution from neural crest</v>
      </c>
      <c r="G4348" s="9" t="s">
        <v>5090</v>
      </c>
      <c r="H4348" s="9" t="s">
        <v>21461</v>
      </c>
      <c r="I4348" s="9" t="s">
        <v>8022</v>
      </c>
      <c r="J4348" s="9" t="s">
        <v>8023</v>
      </c>
      <c r="K4348" s="4" t="s">
        <v>15175</v>
      </c>
      <c r="L4348" s="13">
        <v>13120</v>
      </c>
      <c r="M4348" t="str">
        <f>VLOOKUP(L4348,[1]Human_BrainSpan!$B$2:$C$4000,2,FALSE)</f>
        <v>SPsubc</v>
      </c>
    </row>
    <row r="4349" spans="2:13" x14ac:dyDescent="0.25">
      <c r="B4349" s="31" t="s">
        <v>26303</v>
      </c>
      <c r="C4349" s="25" t="s">
        <v>4116</v>
      </c>
      <c r="D4349" s="25" t="s">
        <v>26232</v>
      </c>
      <c r="E4349" s="25" t="s">
        <v>26306</v>
      </c>
      <c r="F4349" s="9" t="str">
        <f t="shared" si="61"/>
        <v>structure with developmental contribution from neural crest</v>
      </c>
      <c r="G4349" s="9" t="s">
        <v>5090</v>
      </c>
      <c r="H4349" s="9" t="s">
        <v>21451</v>
      </c>
      <c r="I4349" s="9" t="s">
        <v>8024</v>
      </c>
      <c r="J4349" s="9" t="s">
        <v>8025</v>
      </c>
      <c r="K4349" s="4" t="s">
        <v>15175</v>
      </c>
      <c r="L4349" s="13">
        <v>13121</v>
      </c>
      <c r="M4349" t="str">
        <f>VLOOKUP(L4349,[1]Human_BrainSpan!$B$2:$C$4000,2,FALSE)</f>
        <v>SPprsr</v>
      </c>
    </row>
    <row r="4350" spans="2:13" x14ac:dyDescent="0.25">
      <c r="B4350" s="31" t="s">
        <v>26299</v>
      </c>
      <c r="C4350" s="25" t="s">
        <v>4051</v>
      </c>
      <c r="D4350" s="25" t="s">
        <v>26232</v>
      </c>
      <c r="E4350" s="25" t="s">
        <v>26306</v>
      </c>
      <c r="F4350" s="9" t="str">
        <f t="shared" si="61"/>
        <v>structure with developmental contribution from neural crest</v>
      </c>
      <c r="G4350" s="9" t="s">
        <v>5090</v>
      </c>
      <c r="H4350" s="9" t="s">
        <v>21452</v>
      </c>
      <c r="I4350" s="9" t="s">
        <v>8026</v>
      </c>
      <c r="J4350" s="9" t="s">
        <v>8027</v>
      </c>
      <c r="K4350" s="4" t="s">
        <v>15175</v>
      </c>
      <c r="L4350" s="13">
        <v>13122</v>
      </c>
      <c r="M4350" t="str">
        <f>VLOOKUP(L4350,[1]Human_BrainSpan!$B$2:$C$4000,2,FALSE)</f>
        <v>SPprsc</v>
      </c>
    </row>
    <row r="4351" spans="2:13" x14ac:dyDescent="0.25">
      <c r="B4351" s="31" t="s">
        <v>26303</v>
      </c>
      <c r="C4351" s="25" t="s">
        <v>26020</v>
      </c>
      <c r="D4351" s="25" t="s">
        <v>26232</v>
      </c>
      <c r="E4351" s="25" t="s">
        <v>26306</v>
      </c>
      <c r="F4351" s="9" t="str">
        <f t="shared" si="61"/>
        <v>structure with developmental contribution from neural crest</v>
      </c>
      <c r="G4351" s="9" t="s">
        <v>5090</v>
      </c>
      <c r="H4351" s="9" t="s">
        <v>21449</v>
      </c>
      <c r="I4351" s="9" t="s">
        <v>8028</v>
      </c>
      <c r="J4351" s="9" t="s">
        <v>8029</v>
      </c>
      <c r="K4351" s="4" t="s">
        <v>15175</v>
      </c>
      <c r="L4351" s="13">
        <v>13123</v>
      </c>
      <c r="M4351" t="str">
        <f>VLOOKUP(L4351,[1]Human_BrainSpan!$B$2:$C$4000,2,FALSE)</f>
        <v>SPmec</v>
      </c>
    </row>
    <row r="4352" spans="2:13" x14ac:dyDescent="0.25">
      <c r="B4352" s="31" t="s">
        <v>26303</v>
      </c>
      <c r="C4352" s="25" t="s">
        <v>25987</v>
      </c>
      <c r="D4352" s="25" t="s">
        <v>26232</v>
      </c>
      <c r="E4352" s="25" t="s">
        <v>26306</v>
      </c>
      <c r="F4352" s="9" t="str">
        <f t="shared" si="61"/>
        <v>structure with developmental contribution from neural crest</v>
      </c>
      <c r="G4352" s="9" t="s">
        <v>5090</v>
      </c>
      <c r="H4352" s="9" t="s">
        <v>21448</v>
      </c>
      <c r="I4352" s="9" t="s">
        <v>8030</v>
      </c>
      <c r="J4352" s="9" t="s">
        <v>8031</v>
      </c>
      <c r="K4352" s="4" t="s">
        <v>15175</v>
      </c>
      <c r="L4352" s="13">
        <v>13124</v>
      </c>
      <c r="M4352" t="str">
        <f>VLOOKUP(L4352,[1]Human_BrainSpan!$B$2:$C$4000,2,FALSE)</f>
        <v>SPlec</v>
      </c>
    </row>
    <row r="4353" spans="2:13" x14ac:dyDescent="0.25">
      <c r="B4353" s="31" t="s">
        <v>26303</v>
      </c>
      <c r="C4353" s="25" t="s">
        <v>3815</v>
      </c>
      <c r="D4353" s="25" t="s">
        <v>26232</v>
      </c>
      <c r="E4353" s="25" t="s">
        <v>26306</v>
      </c>
      <c r="F4353" s="9" t="str">
        <f t="shared" si="61"/>
        <v>structure with developmental contribution from neural crest</v>
      </c>
      <c r="G4353" s="9" t="s">
        <v>5090</v>
      </c>
      <c r="H4353" s="9" t="s">
        <v>21444</v>
      </c>
      <c r="I4353" s="9" t="s">
        <v>8032</v>
      </c>
      <c r="J4353" s="9" t="s">
        <v>8033</v>
      </c>
      <c r="K4353" s="4" t="s">
        <v>15175</v>
      </c>
      <c r="L4353" s="13">
        <v>13125</v>
      </c>
      <c r="M4353" t="str">
        <f>VLOOKUP(L4353,[1]Human_BrainSpan!$B$2:$C$4000,2,FALSE)</f>
        <v>SPpcr</v>
      </c>
    </row>
    <row r="4354" spans="2:13" x14ac:dyDescent="0.25">
      <c r="B4354" s="31" t="s">
        <v>26303</v>
      </c>
      <c r="C4354" s="25" t="s">
        <v>3815</v>
      </c>
      <c r="D4354" s="25" t="s">
        <v>26232</v>
      </c>
      <c r="E4354" s="25" t="s">
        <v>26306</v>
      </c>
      <c r="F4354" s="9" t="str">
        <f t="shared" si="61"/>
        <v>structure with developmental contribution from neural crest</v>
      </c>
      <c r="G4354" s="9" t="s">
        <v>5090</v>
      </c>
      <c r="H4354" s="9" t="s">
        <v>21445</v>
      </c>
      <c r="I4354" s="9" t="s">
        <v>8034</v>
      </c>
      <c r="J4354" s="9" t="s">
        <v>8035</v>
      </c>
      <c r="K4354" s="4" t="s">
        <v>15175</v>
      </c>
      <c r="L4354" s="13">
        <v>13126</v>
      </c>
      <c r="M4354" t="str">
        <f>VLOOKUP(L4354,[1]Human_BrainSpan!$B$2:$C$4000,2,FALSE)</f>
        <v>SPpcc</v>
      </c>
    </row>
    <row r="4355" spans="2:13" x14ac:dyDescent="0.25">
      <c r="B4355" s="31" t="s">
        <v>26303</v>
      </c>
      <c r="C4355" s="25" t="s">
        <v>4911</v>
      </c>
      <c r="D4355" s="25" t="s">
        <v>26232</v>
      </c>
      <c r="E4355" s="25"/>
      <c r="F4355" s="9" t="str">
        <f t="shared" si="61"/>
        <v>structure with developmental contribution from neural crest</v>
      </c>
      <c r="G4355" s="9" t="s">
        <v>5090</v>
      </c>
      <c r="H4355" s="9" t="s">
        <v>22051</v>
      </c>
      <c r="I4355" s="9" t="s">
        <v>8036</v>
      </c>
      <c r="J4355" s="9" t="s">
        <v>8037</v>
      </c>
      <c r="K4355" s="4" t="s">
        <v>15175</v>
      </c>
      <c r="L4355" s="13">
        <v>13198</v>
      </c>
      <c r="M4355" t="str">
        <f>VLOOKUP(L4355,[1]Human_BrainSpan!$B$2:$C$4000,2,FALSE)</f>
        <v>RMSv</v>
      </c>
    </row>
    <row r="4356" spans="2:13" x14ac:dyDescent="0.25">
      <c r="B4356" s="31" t="s">
        <v>26303</v>
      </c>
      <c r="C4356" s="25" t="s">
        <v>4911</v>
      </c>
      <c r="D4356" s="25" t="s">
        <v>26185</v>
      </c>
      <c r="E4356" s="25" t="s">
        <v>26300</v>
      </c>
      <c r="F4356" s="9" t="str">
        <f t="shared" si="61"/>
        <v>structure with developmental contribution from neural crest</v>
      </c>
      <c r="G4356" s="9" t="s">
        <v>5090</v>
      </c>
      <c r="H4356" s="9" t="s">
        <v>22055</v>
      </c>
      <c r="I4356" s="9" t="s">
        <v>8038</v>
      </c>
      <c r="J4356" s="9" t="s">
        <v>8039</v>
      </c>
      <c r="K4356" s="4" t="s">
        <v>15175</v>
      </c>
      <c r="L4356" s="13">
        <v>13199</v>
      </c>
      <c r="M4356" t="str">
        <f>VLOOKUP(L4356,[1]Human_BrainSpan!$B$2:$C$4000,2,FALSE)</f>
        <v>RMSh</v>
      </c>
    </row>
    <row r="4357" spans="2:13" x14ac:dyDescent="0.25">
      <c r="B4357" s="31" t="s">
        <v>26303</v>
      </c>
      <c r="C4357" s="25" t="s">
        <v>854</v>
      </c>
      <c r="D4357" s="25" t="s">
        <v>26185</v>
      </c>
      <c r="E4357" s="25" t="s">
        <v>26300</v>
      </c>
      <c r="F4357" s="9" t="str">
        <f t="shared" si="61"/>
        <v>structure with developmental contribution from neural crest</v>
      </c>
      <c r="G4357" s="9" t="s">
        <v>5090</v>
      </c>
      <c r="H4357" s="9" t="s">
        <v>23694</v>
      </c>
      <c r="I4357" s="9" t="s">
        <v>8040</v>
      </c>
      <c r="J4357" s="9" t="s">
        <v>8041</v>
      </c>
      <c r="K4357" s="4" t="s">
        <v>15175</v>
      </c>
      <c r="L4357" s="13">
        <v>13217</v>
      </c>
      <c r="M4357" t="str">
        <f>VLOOKUP(L4357,[1]Human_BrainSpan!$B$2:$C$4000,2,FALSE)</f>
        <v>cas-r</v>
      </c>
    </row>
    <row r="4358" spans="2:13" x14ac:dyDescent="0.25">
      <c r="B4358" s="31" t="s">
        <v>26303</v>
      </c>
      <c r="C4358" s="25" t="s">
        <v>854</v>
      </c>
      <c r="D4358" s="25" t="s">
        <v>26185</v>
      </c>
      <c r="E4358" s="25" t="s">
        <v>26300</v>
      </c>
      <c r="F4358" s="9" t="str">
        <f t="shared" si="61"/>
        <v>structure with developmental contribution from neural crest</v>
      </c>
      <c r="G4358" s="9" t="s">
        <v>5090</v>
      </c>
      <c r="H4358" s="9" t="s">
        <v>23695</v>
      </c>
      <c r="I4358" s="9" t="s">
        <v>8042</v>
      </c>
      <c r="J4358" s="9" t="s">
        <v>8043</v>
      </c>
      <c r="K4358" s="4" t="s">
        <v>15175</v>
      </c>
      <c r="L4358" s="13">
        <v>13218</v>
      </c>
      <c r="M4358" t="str">
        <f>VLOOKUP(L4358,[1]Human_BrainSpan!$B$2:$C$4000,2,FALSE)</f>
        <v>cas-c</v>
      </c>
    </row>
    <row r="4359" spans="2:13" x14ac:dyDescent="0.25">
      <c r="B4359" s="31" t="s">
        <v>26303</v>
      </c>
      <c r="C4359" s="25" t="s">
        <v>854</v>
      </c>
      <c r="D4359" s="25" t="s">
        <v>26185</v>
      </c>
      <c r="E4359" s="25" t="s">
        <v>26300</v>
      </c>
      <c r="F4359" s="9" t="str">
        <f t="shared" si="61"/>
        <v>structure with developmental contribution from neural crest</v>
      </c>
      <c r="G4359" s="9" t="s">
        <v>5090</v>
      </c>
      <c r="H4359" s="9" t="s">
        <v>23696</v>
      </c>
      <c r="I4359" s="9" t="s">
        <v>8044</v>
      </c>
      <c r="J4359" s="9" t="s">
        <v>8045</v>
      </c>
      <c r="K4359" s="4" t="s">
        <v>15175</v>
      </c>
      <c r="L4359" s="13">
        <v>13219</v>
      </c>
      <c r="M4359" t="str">
        <f>VLOOKUP(L4359,[1]Human_BrainSpan!$B$2:$C$4000,2,FALSE)</f>
        <v>cas-cs</v>
      </c>
    </row>
    <row r="4360" spans="2:13" x14ac:dyDescent="0.25">
      <c r="B4360" s="31" t="s">
        <v>26303</v>
      </c>
      <c r="C4360" s="25" t="s">
        <v>854</v>
      </c>
      <c r="D4360" s="25" t="s">
        <v>26185</v>
      </c>
      <c r="E4360" s="25" t="s">
        <v>26300</v>
      </c>
      <c r="F4360" s="9" t="str">
        <f t="shared" si="61"/>
        <v>structure with developmental contribution from neural crest</v>
      </c>
      <c r="G4360" s="9" t="s">
        <v>5090</v>
      </c>
      <c r="H4360" s="9" t="s">
        <v>23697</v>
      </c>
      <c r="I4360" s="9" t="s">
        <v>8046</v>
      </c>
      <c r="J4360" s="9" t="s">
        <v>8047</v>
      </c>
      <c r="K4360" s="4" t="s">
        <v>15175</v>
      </c>
      <c r="L4360" s="13">
        <v>13220</v>
      </c>
      <c r="M4360" t="str">
        <f>VLOOKUP(L4360,[1]Human_BrainSpan!$B$2:$C$4000,2,FALSE)</f>
        <v>cas-ci</v>
      </c>
    </row>
    <row r="4361" spans="2:13" x14ac:dyDescent="0.25">
      <c r="B4361" s="31" t="s">
        <v>26303</v>
      </c>
      <c r="C4361" s="25" t="s">
        <v>3535</v>
      </c>
      <c r="D4361" s="25" t="s">
        <v>26232</v>
      </c>
      <c r="E4361" s="25"/>
      <c r="F4361" s="9" t="str">
        <f t="shared" si="61"/>
        <v>structure with developmental contribution from neural crest</v>
      </c>
      <c r="G4361" s="9" t="s">
        <v>5090</v>
      </c>
      <c r="H4361" s="9" t="s">
        <v>23720</v>
      </c>
      <c r="I4361" s="9" t="s">
        <v>8048</v>
      </c>
      <c r="J4361" s="9" t="s">
        <v>8049</v>
      </c>
      <c r="K4361" s="4" t="s">
        <v>15175</v>
      </c>
      <c r="L4361" s="13">
        <v>13221</v>
      </c>
      <c r="M4361" t="str">
        <f>VLOOKUP(L4361,[1]Human_BrainSpan!$B$2:$C$4000,2,FALSE)</f>
        <v>ors-m</v>
      </c>
    </row>
    <row r="4362" spans="2:13" x14ac:dyDescent="0.25">
      <c r="B4362" s="31" t="s">
        <v>26303</v>
      </c>
      <c r="C4362" s="25" t="s">
        <v>3535</v>
      </c>
      <c r="D4362" s="25" t="s">
        <v>26232</v>
      </c>
      <c r="E4362" s="25"/>
      <c r="F4362" s="9" t="str">
        <f t="shared" si="61"/>
        <v>structure with developmental contribution from neural crest</v>
      </c>
      <c r="G4362" s="9" t="s">
        <v>5090</v>
      </c>
      <c r="H4362" s="9" t="s">
        <v>23721</v>
      </c>
      <c r="I4362" s="9" t="s">
        <v>8050</v>
      </c>
      <c r="J4362" s="9" t="s">
        <v>8051</v>
      </c>
      <c r="K4362" s="4" t="s">
        <v>15175</v>
      </c>
      <c r="L4362" s="13">
        <v>13222</v>
      </c>
      <c r="M4362" t="str">
        <f>VLOOKUP(L4362,[1]Human_BrainSpan!$B$2:$C$4000,2,FALSE)</f>
        <v>ors-l</v>
      </c>
    </row>
    <row r="4363" spans="2:13" x14ac:dyDescent="0.25">
      <c r="B4363" s="31" t="s">
        <v>26303</v>
      </c>
      <c r="C4363" s="25" t="s">
        <v>25798</v>
      </c>
      <c r="D4363" s="25" t="s">
        <v>26232</v>
      </c>
      <c r="E4363" s="25"/>
      <c r="F4363" s="9" t="str">
        <f t="shared" si="61"/>
        <v>structure with developmental contribution from neural crest</v>
      </c>
      <c r="G4363" s="9" t="s">
        <v>5090</v>
      </c>
      <c r="H4363" s="9" t="s">
        <v>23829</v>
      </c>
      <c r="I4363" s="9" t="s">
        <v>8052</v>
      </c>
      <c r="J4363" s="9" t="s">
        <v>8053</v>
      </c>
      <c r="K4363" s="4" t="s">
        <v>15175</v>
      </c>
      <c r="L4363" s="13">
        <v>13231</v>
      </c>
      <c r="M4363" t="str">
        <f>VLOOKUP(L4363,[1]Human_BrainSpan!$B$2:$C$4000,2,FALSE)</f>
        <v>TTGr</v>
      </c>
    </row>
    <row r="4364" spans="2:13" x14ac:dyDescent="0.25">
      <c r="B4364" s="31" t="s">
        <v>26303</v>
      </c>
      <c r="C4364" s="25" t="s">
        <v>25798</v>
      </c>
      <c r="D4364" s="25" t="s">
        <v>26232</v>
      </c>
      <c r="E4364" s="25"/>
      <c r="F4364" s="9" t="str">
        <f t="shared" si="61"/>
        <v>structure with developmental contribution from neural crest</v>
      </c>
      <c r="G4364" s="9" t="s">
        <v>5090</v>
      </c>
      <c r="H4364" s="9" t="s">
        <v>23830</v>
      </c>
      <c r="I4364" s="9" t="s">
        <v>8054</v>
      </c>
      <c r="J4364" s="9" t="s">
        <v>8055</v>
      </c>
      <c r="K4364" s="4" t="s">
        <v>15175</v>
      </c>
      <c r="L4364" s="13">
        <v>13232</v>
      </c>
      <c r="M4364" t="str">
        <f>VLOOKUP(L4364,[1]Human_BrainSpan!$B$2:$C$4000,2,FALSE)</f>
        <v>TTGc</v>
      </c>
    </row>
    <row r="4365" spans="2:13" x14ac:dyDescent="0.25">
      <c r="B4365" s="31" t="s">
        <v>26303</v>
      </c>
      <c r="C4365" s="20"/>
      <c r="D4365" s="25" t="s">
        <v>26232</v>
      </c>
      <c r="E4365" s="25" t="s">
        <v>26300</v>
      </c>
      <c r="F4365" s="9" t="str">
        <f t="shared" si="61"/>
        <v>structure with developmental contribution from neural crest</v>
      </c>
      <c r="G4365" s="9" t="s">
        <v>5090</v>
      </c>
      <c r="H4365" s="9" t="s">
        <v>23867</v>
      </c>
      <c r="I4365" s="9" t="s">
        <v>8056</v>
      </c>
      <c r="J4365" s="9" t="s">
        <v>8057</v>
      </c>
      <c r="K4365" s="4" t="s">
        <v>15175</v>
      </c>
      <c r="L4365" s="13">
        <v>13233</v>
      </c>
      <c r="M4365" t="str">
        <f>VLOOKUP(L4365,[1]Human_BrainSpan!$B$2:$C$4000,2,FALSE)</f>
        <v>Retz</v>
      </c>
    </row>
    <row r="4366" spans="2:13" x14ac:dyDescent="0.25">
      <c r="B4366" s="31" t="s">
        <v>26303</v>
      </c>
      <c r="C4366" s="25" t="s">
        <v>3614</v>
      </c>
      <c r="D4366" s="25" t="s">
        <v>26232</v>
      </c>
      <c r="E4366" s="25" t="s">
        <v>26306</v>
      </c>
      <c r="F4366" s="9" t="str">
        <f t="shared" si="61"/>
        <v>structure with developmental contribution from neural crest</v>
      </c>
      <c r="G4366" s="9" t="s">
        <v>5090</v>
      </c>
      <c r="H4366" s="9" t="s">
        <v>21374</v>
      </c>
      <c r="I4366" s="9" t="s">
        <v>8058</v>
      </c>
      <c r="J4366" s="9" t="s">
        <v>8059</v>
      </c>
      <c r="K4366" s="4" t="s">
        <v>15175</v>
      </c>
      <c r="L4366" s="13">
        <v>13280</v>
      </c>
      <c r="M4366" t="str">
        <f>VLOOKUP(L4366,[1]Human_BrainSpan!$B$2:$C$4000,2,FALSE)</f>
        <v>CPpas</v>
      </c>
    </row>
    <row r="4367" spans="2:13" x14ac:dyDescent="0.25">
      <c r="B4367" s="31" t="s">
        <v>26303</v>
      </c>
      <c r="C4367" s="25" t="s">
        <v>25771</v>
      </c>
      <c r="D4367" s="25" t="s">
        <v>26232</v>
      </c>
      <c r="E4367" s="25" t="s">
        <v>26306</v>
      </c>
      <c r="F4367" s="9" t="str">
        <f t="shared" si="61"/>
        <v>structure with developmental contribution from neural crest</v>
      </c>
      <c r="G4367" s="9" t="s">
        <v>5090</v>
      </c>
      <c r="H4367" s="9" t="s">
        <v>21387</v>
      </c>
      <c r="I4367" s="9" t="s">
        <v>8060</v>
      </c>
      <c r="J4367" s="9" t="s">
        <v>8061</v>
      </c>
      <c r="K4367" s="4" t="s">
        <v>15175</v>
      </c>
      <c r="L4367" s="13">
        <v>13281</v>
      </c>
      <c r="M4367" t="str">
        <f>VLOOKUP(L4367,[1]Human_BrainSpan!$B$2:$C$4000,2,FALSE)</f>
        <v>CPIag</v>
      </c>
    </row>
    <row r="4368" spans="2:13" x14ac:dyDescent="0.25">
      <c r="B4368" s="31" t="s">
        <v>26303</v>
      </c>
      <c r="C4368" s="25" t="s">
        <v>25771</v>
      </c>
      <c r="D4368" s="25" t="s">
        <v>26232</v>
      </c>
      <c r="E4368" s="25" t="s">
        <v>26306</v>
      </c>
      <c r="F4368" s="9" t="str">
        <f t="shared" si="61"/>
        <v>structure with developmental contribution from neural crest</v>
      </c>
      <c r="G4368" s="9" t="s">
        <v>5090</v>
      </c>
      <c r="H4368" s="9" t="s">
        <v>21388</v>
      </c>
      <c r="I4368" s="9" t="s">
        <v>8062</v>
      </c>
      <c r="J4368" s="9" t="s">
        <v>8063</v>
      </c>
      <c r="K4368" s="4" t="s">
        <v>15175</v>
      </c>
      <c r="L4368" s="13">
        <v>13282</v>
      </c>
      <c r="M4368" t="str">
        <f>VLOOKUP(L4368,[1]Human_BrainSpan!$B$2:$C$4000,2,FALSE)</f>
        <v>CPIago</v>
      </c>
    </row>
    <row r="4369" spans="2:13" x14ac:dyDescent="0.25">
      <c r="B4369" s="31" t="s">
        <v>26303</v>
      </c>
      <c r="C4369" s="25" t="s">
        <v>25771</v>
      </c>
      <c r="D4369" s="25" t="s">
        <v>26232</v>
      </c>
      <c r="E4369" s="25" t="s">
        <v>26306</v>
      </c>
      <c r="F4369" s="9" t="str">
        <f t="shared" si="61"/>
        <v>structure with developmental contribution from neural crest</v>
      </c>
      <c r="G4369" s="9" t="s">
        <v>5090</v>
      </c>
      <c r="H4369" s="9" t="s">
        <v>21389</v>
      </c>
      <c r="I4369" s="9" t="s">
        <v>8064</v>
      </c>
      <c r="J4369" s="9" t="s">
        <v>8065</v>
      </c>
      <c r="K4369" s="4" t="s">
        <v>15175</v>
      </c>
      <c r="L4369" s="13">
        <v>13283</v>
      </c>
      <c r="M4369" t="str">
        <f>VLOOKUP(L4369,[1]Human_BrainSpan!$B$2:$C$4000,2,FALSE)</f>
        <v>CPIagi</v>
      </c>
    </row>
    <row r="4370" spans="2:13" x14ac:dyDescent="0.25">
      <c r="B4370" s="31" t="s">
        <v>26303</v>
      </c>
      <c r="C4370" s="25" t="s">
        <v>3837</v>
      </c>
      <c r="D4370" s="25" t="s">
        <v>26232</v>
      </c>
      <c r="E4370" s="25" t="s">
        <v>26306</v>
      </c>
      <c r="F4370" s="9" t="str">
        <f t="shared" si="61"/>
        <v>structure with developmental contribution from neural crest</v>
      </c>
      <c r="G4370" s="9" t="s">
        <v>5090</v>
      </c>
      <c r="H4370" s="9" t="s">
        <v>21397</v>
      </c>
      <c r="I4370" s="9" t="s">
        <v>8066</v>
      </c>
      <c r="J4370" s="9" t="s">
        <v>8067</v>
      </c>
      <c r="K4370" s="4" t="s">
        <v>15175</v>
      </c>
      <c r="L4370" s="13">
        <v>13284</v>
      </c>
      <c r="M4370" t="str">
        <f>VLOOKUP(L4370,[1]Human_BrainSpan!$B$2:$C$4000,2,FALSE)</f>
        <v>CPpir</v>
      </c>
    </row>
    <row r="4371" spans="2:13" x14ac:dyDescent="0.25">
      <c r="B4371" s="31" t="s">
        <v>26303</v>
      </c>
      <c r="C4371" s="25" t="s">
        <v>3614</v>
      </c>
      <c r="D4371" s="25" t="s">
        <v>26232</v>
      </c>
      <c r="E4371" s="25" t="s">
        <v>26306</v>
      </c>
      <c r="F4371" s="9" t="str">
        <f t="shared" si="61"/>
        <v>structure with developmental contribution from neural crest</v>
      </c>
      <c r="G4371" s="9" t="s">
        <v>5090</v>
      </c>
      <c r="H4371" s="9" t="s">
        <v>21446</v>
      </c>
      <c r="I4371" s="9" t="s">
        <v>8068</v>
      </c>
      <c r="J4371" s="9" t="s">
        <v>8069</v>
      </c>
      <c r="K4371" s="4" t="s">
        <v>15175</v>
      </c>
      <c r="L4371" s="13">
        <v>13285</v>
      </c>
      <c r="M4371" t="str">
        <f>VLOOKUP(L4371,[1]Human_BrainSpan!$B$2:$C$4000,2,FALSE)</f>
        <v>SPpas</v>
      </c>
    </row>
    <row r="4372" spans="2:13" x14ac:dyDescent="0.25">
      <c r="B4372" s="31" t="s">
        <v>26303</v>
      </c>
      <c r="C4372" s="25" t="s">
        <v>25771</v>
      </c>
      <c r="D4372" s="25" t="s">
        <v>26232</v>
      </c>
      <c r="E4372" s="25" t="s">
        <v>26306</v>
      </c>
      <c r="F4372" s="9" t="str">
        <f t="shared" si="61"/>
        <v>structure with developmental contribution from neural crest</v>
      </c>
      <c r="G4372" s="9" t="s">
        <v>5090</v>
      </c>
      <c r="H4372" s="9" t="s">
        <v>21454</v>
      </c>
      <c r="I4372" s="9" t="s">
        <v>8070</v>
      </c>
      <c r="J4372" s="9" t="s">
        <v>8071</v>
      </c>
      <c r="K4372" s="4" t="s">
        <v>15175</v>
      </c>
      <c r="L4372" s="13">
        <v>13286</v>
      </c>
      <c r="M4372" t="str">
        <f>VLOOKUP(L4372,[1]Human_BrainSpan!$B$2:$C$4000,2,FALSE)</f>
        <v>SPIag</v>
      </c>
    </row>
    <row r="4373" spans="2:13" x14ac:dyDescent="0.25">
      <c r="B4373" s="31" t="s">
        <v>26303</v>
      </c>
      <c r="C4373" s="25" t="s">
        <v>3837</v>
      </c>
      <c r="D4373" s="25" t="s">
        <v>26232</v>
      </c>
      <c r="E4373" s="25" t="s">
        <v>26306</v>
      </c>
      <c r="F4373" s="9" t="str">
        <f t="shared" si="61"/>
        <v>structure with developmental contribution from neural crest</v>
      </c>
      <c r="G4373" s="9" t="s">
        <v>5090</v>
      </c>
      <c r="H4373" s="9" t="s">
        <v>21462</v>
      </c>
      <c r="I4373" s="9" t="s">
        <v>8072</v>
      </c>
      <c r="J4373" s="9" t="s">
        <v>8073</v>
      </c>
      <c r="K4373" s="4" t="s">
        <v>15175</v>
      </c>
      <c r="L4373" s="13">
        <v>13287</v>
      </c>
      <c r="M4373" t="str">
        <f>VLOOKUP(L4373,[1]Human_BrainSpan!$B$2:$C$4000,2,FALSE)</f>
        <v>SPpir</v>
      </c>
    </row>
    <row r="4374" spans="2:13" x14ac:dyDescent="0.25">
      <c r="B4374" s="31" t="s">
        <v>26303</v>
      </c>
      <c r="C4374" s="25" t="s">
        <v>4911</v>
      </c>
      <c r="D4374" s="25" t="s">
        <v>26232</v>
      </c>
      <c r="E4374" s="25"/>
      <c r="F4374" s="9" t="str">
        <f t="shared" si="61"/>
        <v>structure with developmental contribution from neural crest</v>
      </c>
      <c r="G4374" s="9" t="s">
        <v>5090</v>
      </c>
      <c r="H4374" s="9" t="s">
        <v>22052</v>
      </c>
      <c r="I4374" s="9" t="s">
        <v>8074</v>
      </c>
      <c r="J4374" s="9" t="s">
        <v>8075</v>
      </c>
      <c r="K4374" s="4" t="s">
        <v>15175</v>
      </c>
      <c r="L4374" s="13">
        <v>13315</v>
      </c>
      <c r="M4374" t="str">
        <f>VLOOKUP(L4374,[1]Human_BrainSpan!$B$2:$C$4000,2,FALSE)</f>
        <v>RMSvv</v>
      </c>
    </row>
    <row r="4375" spans="2:13" x14ac:dyDescent="0.25">
      <c r="B4375" s="31" t="s">
        <v>26303</v>
      </c>
      <c r="C4375" s="25" t="s">
        <v>4911</v>
      </c>
      <c r="D4375" s="25" t="s">
        <v>26232</v>
      </c>
      <c r="E4375" s="25"/>
      <c r="F4375" s="9" t="str">
        <f t="shared" si="61"/>
        <v>structure with developmental contribution from neural crest</v>
      </c>
      <c r="G4375" s="9" t="s">
        <v>5090</v>
      </c>
      <c r="H4375" s="9" t="s">
        <v>22053</v>
      </c>
      <c r="I4375" s="9" t="s">
        <v>8076</v>
      </c>
      <c r="J4375" s="9" t="s">
        <v>8077</v>
      </c>
      <c r="K4375" s="4" t="s">
        <v>15175</v>
      </c>
      <c r="L4375" s="13">
        <v>13316</v>
      </c>
      <c r="M4375" t="str">
        <f>VLOOKUP(L4375,[1]Human_BrainSpan!$B$2:$C$4000,2,FALSE)</f>
        <v>RMSvg</v>
      </c>
    </row>
    <row r="4376" spans="2:13" x14ac:dyDescent="0.25">
      <c r="B4376" s="31" t="s">
        <v>26303</v>
      </c>
      <c r="C4376" s="25" t="s">
        <v>4911</v>
      </c>
      <c r="D4376" s="25" t="s">
        <v>26232</v>
      </c>
      <c r="E4376" s="25"/>
      <c r="F4376" s="9" t="str">
        <f t="shared" si="61"/>
        <v>structure with developmental contribution from neural crest</v>
      </c>
      <c r="G4376" s="9" t="s">
        <v>5090</v>
      </c>
      <c r="H4376" s="9" t="s">
        <v>22054</v>
      </c>
      <c r="I4376" s="9" t="s">
        <v>8078</v>
      </c>
      <c r="J4376" s="9" t="s">
        <v>8079</v>
      </c>
      <c r="K4376" s="4" t="s">
        <v>15175</v>
      </c>
      <c r="L4376" s="13">
        <v>13317</v>
      </c>
      <c r="M4376" t="str">
        <f>VLOOKUP(L4376,[1]Human_BrainSpan!$B$2:$C$4000,2,FALSE)</f>
        <v>RMSvs</v>
      </c>
    </row>
    <row r="4377" spans="2:13" x14ac:dyDescent="0.25">
      <c r="B4377" s="31" t="s">
        <v>26303</v>
      </c>
      <c r="C4377" s="25" t="s">
        <v>4911</v>
      </c>
      <c r="D4377" s="25" t="s">
        <v>26232</v>
      </c>
      <c r="E4377" s="25"/>
      <c r="F4377" s="9" t="str">
        <f t="shared" si="61"/>
        <v>structure with developmental contribution from neural crest</v>
      </c>
      <c r="G4377" s="9" t="s">
        <v>5090</v>
      </c>
      <c r="H4377" s="9" t="s">
        <v>22056</v>
      </c>
      <c r="I4377" s="9" t="s">
        <v>8080</v>
      </c>
      <c r="J4377" s="9" t="s">
        <v>8081</v>
      </c>
      <c r="K4377" s="4" t="s">
        <v>15175</v>
      </c>
      <c r="L4377" s="13">
        <v>13318</v>
      </c>
      <c r="M4377" t="str">
        <f>VLOOKUP(L4377,[1]Human_BrainSpan!$B$2:$C$4000,2,FALSE)</f>
        <v>RMShv</v>
      </c>
    </row>
    <row r="4378" spans="2:13" x14ac:dyDescent="0.25">
      <c r="B4378" s="31" t="s">
        <v>26303</v>
      </c>
      <c r="C4378" s="25" t="s">
        <v>4911</v>
      </c>
      <c r="D4378" s="25" t="s">
        <v>26232</v>
      </c>
      <c r="E4378" s="25"/>
      <c r="F4378" s="9" t="str">
        <f t="shared" si="61"/>
        <v>structure with developmental contribution from neural crest</v>
      </c>
      <c r="G4378" s="9" t="s">
        <v>5090</v>
      </c>
      <c r="H4378" s="9" t="s">
        <v>22057</v>
      </c>
      <c r="I4378" s="9" t="s">
        <v>8082</v>
      </c>
      <c r="J4378" s="9" t="s">
        <v>8083</v>
      </c>
      <c r="K4378" s="4" t="s">
        <v>15175</v>
      </c>
      <c r="L4378" s="13">
        <v>13319</v>
      </c>
      <c r="M4378" t="str">
        <f>VLOOKUP(L4378,[1]Human_BrainSpan!$B$2:$C$4000,2,FALSE)</f>
        <v>RMShg</v>
      </c>
    </row>
    <row r="4379" spans="2:13" x14ac:dyDescent="0.25">
      <c r="B4379" s="31" t="s">
        <v>26303</v>
      </c>
      <c r="C4379" s="25" t="s">
        <v>4911</v>
      </c>
      <c r="D4379" s="25" t="s">
        <v>26232</v>
      </c>
      <c r="E4379" s="25"/>
      <c r="F4379" s="9" t="str">
        <f t="shared" si="61"/>
        <v>structure with developmental contribution from neural crest</v>
      </c>
      <c r="G4379" s="9" t="s">
        <v>5090</v>
      </c>
      <c r="H4379" s="9" t="s">
        <v>22058</v>
      </c>
      <c r="I4379" s="9" t="s">
        <v>8084</v>
      </c>
      <c r="J4379" s="9" t="s">
        <v>8085</v>
      </c>
      <c r="K4379" s="4" t="s">
        <v>15175</v>
      </c>
      <c r="L4379" s="13">
        <v>13320</v>
      </c>
      <c r="M4379" t="str">
        <f>VLOOKUP(L4379,[1]Human_BrainSpan!$B$2:$C$4000,2,FALSE)</f>
        <v>RMShs</v>
      </c>
    </row>
    <row r="4380" spans="2:13" x14ac:dyDescent="0.25">
      <c r="B4380" s="31" t="s">
        <v>26299</v>
      </c>
      <c r="C4380" s="25" t="s">
        <v>9891</v>
      </c>
      <c r="D4380" s="25" t="s">
        <v>26232</v>
      </c>
      <c r="E4380" s="25"/>
      <c r="F4380" s="9" t="str">
        <f t="shared" si="61"/>
        <v>structure with developmental contribution from neural crest</v>
      </c>
      <c r="G4380" s="9" t="s">
        <v>5090</v>
      </c>
      <c r="H4380" s="9" t="s">
        <v>22478</v>
      </c>
      <c r="I4380" s="9" t="s">
        <v>8086</v>
      </c>
      <c r="J4380" s="9" t="s">
        <v>8087</v>
      </c>
      <c r="K4380" s="4" t="s">
        <v>15175</v>
      </c>
      <c r="L4380" s="13">
        <v>13322</v>
      </c>
      <c r="M4380" t="str">
        <f>VLOOKUP(L4380,[1]Human_BrainSpan!$B$2:$C$4000,2,FALSE)</f>
        <v>DLTC</v>
      </c>
    </row>
    <row r="4381" spans="2:13" x14ac:dyDescent="0.25">
      <c r="B4381" s="31" t="s">
        <v>26303</v>
      </c>
      <c r="C4381" s="20"/>
      <c r="D4381" s="25" t="s">
        <v>26232</v>
      </c>
      <c r="E4381" s="25"/>
      <c r="F4381" s="9" t="str">
        <f t="shared" si="61"/>
        <v>structure with developmental contribution from neural crest</v>
      </c>
      <c r="G4381" s="9" t="s">
        <v>5090</v>
      </c>
      <c r="H4381" s="9" t="s">
        <v>16572</v>
      </c>
      <c r="I4381" s="9" t="s">
        <v>8088</v>
      </c>
      <c r="J4381" s="9" t="s">
        <v>8089</v>
      </c>
      <c r="K4381" s="4" t="s">
        <v>15175</v>
      </c>
      <c r="L4381" s="13">
        <v>13323</v>
      </c>
      <c r="M4381" t="str">
        <f>VLOOKUP(L4381,[1]Human_BrainSpan!$B$2:$C$4000,2,FALSE)</f>
        <v>RI</v>
      </c>
    </row>
    <row r="4382" spans="2:13" x14ac:dyDescent="0.25">
      <c r="B4382" s="31" t="s">
        <v>26299</v>
      </c>
      <c r="C4382" s="25" t="s">
        <v>9891</v>
      </c>
      <c r="D4382" s="25" t="s">
        <v>26232</v>
      </c>
      <c r="E4382" s="25"/>
      <c r="F4382" s="9" t="str">
        <f t="shared" si="61"/>
        <v>structure with developmental contribution from neural crest</v>
      </c>
      <c r="G4382" s="9" t="s">
        <v>5090</v>
      </c>
      <c r="H4382" s="9" t="s">
        <v>22552</v>
      </c>
      <c r="I4382" s="9" t="s">
        <v>8090</v>
      </c>
      <c r="J4382" s="9" t="s">
        <v>8091</v>
      </c>
      <c r="K4382" s="4" t="s">
        <v>15175</v>
      </c>
      <c r="L4382" s="13">
        <v>13324</v>
      </c>
      <c r="M4382" t="str">
        <f>VLOOKUP(L4382,[1]Human_BrainSpan!$B$2:$C$4000,2,FALSE)</f>
        <v>VLTC</v>
      </c>
    </row>
    <row r="4383" spans="2:13" x14ac:dyDescent="0.25">
      <c r="B4383" s="31" t="s">
        <v>26303</v>
      </c>
      <c r="C4383" s="20"/>
      <c r="D4383" s="25" t="s">
        <v>26232</v>
      </c>
      <c r="E4383" s="25" t="s">
        <v>26300</v>
      </c>
      <c r="F4383" s="9" t="str">
        <f t="shared" si="61"/>
        <v>structure with developmental contribution from neural crest</v>
      </c>
      <c r="G4383" s="9" t="s">
        <v>5090</v>
      </c>
      <c r="H4383" s="9" t="s">
        <v>23121</v>
      </c>
      <c r="I4383" s="9" t="s">
        <v>8092</v>
      </c>
      <c r="J4383" s="9" t="s">
        <v>8093</v>
      </c>
      <c r="K4383" s="4" t="s">
        <v>15175</v>
      </c>
      <c r="L4383" s="13">
        <v>13326</v>
      </c>
      <c r="M4383" t="str">
        <f>VLOOKUP(L4383,[1]Human_BrainSpan!$B$2:$C$4000,2,FALSE)</f>
        <v>SuSm</v>
      </c>
    </row>
    <row r="4384" spans="2:13" x14ac:dyDescent="0.25">
      <c r="B4384" s="31" t="s">
        <v>26303</v>
      </c>
      <c r="C4384" s="20"/>
      <c r="D4384" s="25" t="s">
        <v>26232</v>
      </c>
      <c r="E4384" s="25" t="s">
        <v>26300</v>
      </c>
      <c r="F4384" s="9" t="str">
        <f t="shared" si="61"/>
        <v>structure with developmental contribution from neural crest</v>
      </c>
      <c r="G4384" s="9" t="s">
        <v>5090</v>
      </c>
      <c r="H4384" s="9" t="s">
        <v>23122</v>
      </c>
      <c r="I4384" s="9" t="s">
        <v>8094</v>
      </c>
      <c r="J4384" s="9" t="s">
        <v>8095</v>
      </c>
      <c r="K4384" s="4" t="s">
        <v>15175</v>
      </c>
      <c r="L4384" s="13">
        <v>13327</v>
      </c>
      <c r="M4384" t="str">
        <f>VLOOKUP(L4384,[1]Human_BrainSpan!$B$2:$C$4000,2,FALSE)</f>
        <v>SuSp</v>
      </c>
    </row>
    <row r="4385" spans="2:13" x14ac:dyDescent="0.25">
      <c r="B4385" s="31" t="s">
        <v>26303</v>
      </c>
      <c r="C4385" s="25" t="s">
        <v>2345</v>
      </c>
      <c r="D4385" s="25" t="s">
        <v>26232</v>
      </c>
      <c r="E4385" s="25" t="s">
        <v>26306</v>
      </c>
      <c r="F4385" s="9" t="str">
        <f t="shared" si="61"/>
        <v>structure with developmental contribution from neural crest</v>
      </c>
      <c r="G4385" s="9" t="s">
        <v>5090</v>
      </c>
      <c r="H4385" s="9" t="s">
        <v>15948</v>
      </c>
      <c r="I4385" s="9" t="s">
        <v>8096</v>
      </c>
      <c r="J4385" s="9" t="s">
        <v>8097</v>
      </c>
      <c r="K4385" s="4" t="s">
        <v>15175</v>
      </c>
      <c r="L4385" s="13">
        <v>13328</v>
      </c>
      <c r="M4385" t="str">
        <f>VLOOKUP(L4385,[1]Human_BrainSpan!$B$2:$C$4000,2,FALSE)</f>
        <v>IGm</v>
      </c>
    </row>
    <row r="4386" spans="2:13" x14ac:dyDescent="0.25">
      <c r="B4386" s="31" t="s">
        <v>26303</v>
      </c>
      <c r="C4386" s="25" t="s">
        <v>2345</v>
      </c>
      <c r="D4386" s="25" t="s">
        <v>26232</v>
      </c>
      <c r="E4386" s="25" t="s">
        <v>26306</v>
      </c>
      <c r="F4386" s="9" t="str">
        <f t="shared" si="61"/>
        <v>structure with developmental contribution from neural crest</v>
      </c>
      <c r="G4386" s="9" t="s">
        <v>5090</v>
      </c>
      <c r="H4386" s="9" t="s">
        <v>15949</v>
      </c>
      <c r="I4386" s="9" t="s">
        <v>8098</v>
      </c>
      <c r="J4386" s="9" t="s">
        <v>8099</v>
      </c>
      <c r="K4386" s="4" t="s">
        <v>15175</v>
      </c>
      <c r="L4386" s="13">
        <v>13329</v>
      </c>
      <c r="M4386" t="str">
        <f>VLOOKUP(L4386,[1]Human_BrainSpan!$B$2:$C$4000,2,FALSE)</f>
        <v>IGp</v>
      </c>
    </row>
    <row r="4387" spans="2:13" x14ac:dyDescent="0.25">
      <c r="B4387" s="31" t="s">
        <v>26303</v>
      </c>
      <c r="C4387" s="20"/>
      <c r="D4387" s="25" t="s">
        <v>26232</v>
      </c>
      <c r="E4387" s="25" t="s">
        <v>26300</v>
      </c>
      <c r="F4387" s="9" t="str">
        <f t="shared" si="61"/>
        <v>structure with developmental contribution from neural crest</v>
      </c>
      <c r="G4387" s="9" t="s">
        <v>5090</v>
      </c>
      <c r="H4387" s="9" t="s">
        <v>23214</v>
      </c>
      <c r="I4387" s="9" t="s">
        <v>8100</v>
      </c>
      <c r="J4387" s="9" t="s">
        <v>8101</v>
      </c>
      <c r="K4387" s="4" t="s">
        <v>15175</v>
      </c>
      <c r="L4387" s="13">
        <v>13330</v>
      </c>
      <c r="M4387" t="str">
        <f>VLOOKUP(L4387,[1]Human_BrainSpan!$B$2:$C$4000,2,FALSE)</f>
        <v>SA</v>
      </c>
    </row>
    <row r="4388" spans="2:13" x14ac:dyDescent="0.25">
      <c r="B4388" s="37"/>
      <c r="C4388" s="20"/>
      <c r="D4388" s="25" t="s">
        <v>26232</v>
      </c>
      <c r="E4388" s="25"/>
      <c r="F4388" s="9" t="str">
        <f t="shared" si="61"/>
        <v>structure with developmental contribution from neural crest</v>
      </c>
      <c r="G4388" s="9" t="s">
        <v>5090</v>
      </c>
      <c r="H4388" s="9" t="s">
        <v>24494</v>
      </c>
      <c r="I4388" s="9" t="s">
        <v>8102</v>
      </c>
      <c r="J4388" s="9" t="s">
        <v>8103</v>
      </c>
      <c r="K4388" s="4" t="s">
        <v>15175</v>
      </c>
      <c r="L4388" s="13">
        <v>13345</v>
      </c>
      <c r="M4388" t="str">
        <f>VLOOKUP(L4388,[1]Human_BrainSpan!$B$2:$C$4000,2,FALSE)</f>
        <v>CBT</v>
      </c>
    </row>
    <row r="4389" spans="2:13" x14ac:dyDescent="0.25">
      <c r="B4389" s="37"/>
      <c r="C4389" s="25" t="s">
        <v>1045</v>
      </c>
      <c r="D4389" s="25" t="s">
        <v>26232</v>
      </c>
      <c r="E4389" s="25"/>
      <c r="F4389" s="9" t="str">
        <f t="shared" si="61"/>
        <v>structure with developmental contribution from neural crest</v>
      </c>
      <c r="G4389" s="9" t="s">
        <v>5090</v>
      </c>
      <c r="H4389" s="9" t="s">
        <v>24495</v>
      </c>
      <c r="I4389" s="9" t="s">
        <v>8104</v>
      </c>
      <c r="J4389" s="9" t="s">
        <v>8105</v>
      </c>
      <c r="K4389" s="4" t="s">
        <v>15175</v>
      </c>
      <c r="L4389" s="13">
        <v>13346</v>
      </c>
      <c r="M4389" t="str">
        <f>VLOOKUP(L4389,[1]Human_BrainSpan!$B$2:$C$4000,2,FALSE)</f>
        <v>VeT</v>
      </c>
    </row>
    <row r="4390" spans="2:13" x14ac:dyDescent="0.25">
      <c r="B4390" s="37"/>
      <c r="C4390" s="25" t="s">
        <v>1045</v>
      </c>
      <c r="D4390" s="25" t="s">
        <v>26232</v>
      </c>
      <c r="E4390" s="25"/>
      <c r="F4390" s="9" t="str">
        <f t="shared" si="61"/>
        <v>structure with developmental contribution from neural crest</v>
      </c>
      <c r="G4390" s="9" t="s">
        <v>5090</v>
      </c>
      <c r="H4390" s="9" t="s">
        <v>24496</v>
      </c>
      <c r="I4390" s="9" t="s">
        <v>8106</v>
      </c>
      <c r="J4390" s="9" t="s">
        <v>8107</v>
      </c>
      <c r="K4390" s="4" t="s">
        <v>15175</v>
      </c>
      <c r="L4390" s="13">
        <v>13347</v>
      </c>
      <c r="M4390" t="str">
        <f>VLOOKUP(L4390,[1]Human_BrainSpan!$B$2:$C$4000,2,FALSE)</f>
        <v>VeTe</v>
      </c>
    </row>
    <row r="4391" spans="2:13" x14ac:dyDescent="0.25">
      <c r="B4391" s="37"/>
      <c r="C4391" s="25" t="s">
        <v>1045</v>
      </c>
      <c r="D4391" s="25" t="s">
        <v>26232</v>
      </c>
      <c r="E4391" s="25"/>
      <c r="F4391" s="9" t="str">
        <f t="shared" si="61"/>
        <v>structure with developmental contribution from neural crest</v>
      </c>
      <c r="G4391" s="9" t="s">
        <v>5090</v>
      </c>
      <c r="H4391" s="9" t="s">
        <v>24497</v>
      </c>
      <c r="I4391" s="9" t="s">
        <v>8108</v>
      </c>
      <c r="J4391" s="9" t="s">
        <v>8109</v>
      </c>
      <c r="K4391" s="4" t="s">
        <v>15175</v>
      </c>
      <c r="L4391" s="13">
        <v>13348</v>
      </c>
      <c r="M4391" t="str">
        <f>VLOOKUP(L4391,[1]Human_BrainSpan!$B$2:$C$4000,2,FALSE)</f>
        <v>VeTm</v>
      </c>
    </row>
    <row r="4392" spans="2:13" x14ac:dyDescent="0.25">
      <c r="B4392" s="37"/>
      <c r="C4392" s="25" t="s">
        <v>1045</v>
      </c>
      <c r="D4392" s="25" t="s">
        <v>26232</v>
      </c>
      <c r="E4392" s="25"/>
      <c r="F4392" s="9" t="str">
        <f t="shared" si="61"/>
        <v>structure with developmental contribution from neural crest</v>
      </c>
      <c r="G4392" s="9" t="s">
        <v>5090</v>
      </c>
      <c r="H4392" s="9" t="s">
        <v>24498</v>
      </c>
      <c r="I4392" s="9" t="s">
        <v>8110</v>
      </c>
      <c r="J4392" s="9" t="s">
        <v>8111</v>
      </c>
      <c r="K4392" s="4" t="s">
        <v>15175</v>
      </c>
      <c r="L4392" s="13">
        <v>13349</v>
      </c>
      <c r="M4392" t="str">
        <f>VLOOKUP(L4392,[1]Human_BrainSpan!$B$2:$C$4000,2,FALSE)</f>
        <v>VeTp</v>
      </c>
    </row>
    <row r="4393" spans="2:13" x14ac:dyDescent="0.25">
      <c r="B4393" s="37"/>
      <c r="C4393" s="25" t="s">
        <v>1045</v>
      </c>
      <c r="D4393" s="25" t="s">
        <v>26232</v>
      </c>
      <c r="E4393" s="25"/>
      <c r="F4393" s="9" t="str">
        <f t="shared" si="61"/>
        <v>structure with developmental contribution from neural crest</v>
      </c>
      <c r="G4393" s="9" t="s">
        <v>5090</v>
      </c>
      <c r="H4393" s="9" t="s">
        <v>24499</v>
      </c>
      <c r="I4393" s="9" t="s">
        <v>8112</v>
      </c>
      <c r="J4393" s="9" t="s">
        <v>8113</v>
      </c>
      <c r="K4393" s="4" t="s">
        <v>15175</v>
      </c>
      <c r="L4393" s="13">
        <v>13350</v>
      </c>
      <c r="M4393" t="str">
        <f>VLOOKUP(L4393,[1]Human_BrainSpan!$B$2:$C$4000,2,FALSE)</f>
        <v>VeTi</v>
      </c>
    </row>
    <row r="4394" spans="2:13" x14ac:dyDescent="0.25">
      <c r="B4394" s="37"/>
      <c r="C4394" s="20"/>
      <c r="D4394" s="25" t="s">
        <v>26232</v>
      </c>
      <c r="E4394" s="25"/>
      <c r="F4394" s="9" t="str">
        <f t="shared" si="61"/>
        <v>structure with developmental contribution from neural crest</v>
      </c>
      <c r="G4394" s="9" t="s">
        <v>5090</v>
      </c>
      <c r="H4394" s="9" t="s">
        <v>24500</v>
      </c>
      <c r="I4394" s="9" t="s">
        <v>8114</v>
      </c>
      <c r="J4394" s="9" t="s">
        <v>8115</v>
      </c>
      <c r="K4394" s="4" t="s">
        <v>15175</v>
      </c>
      <c r="L4394" s="13">
        <v>13351</v>
      </c>
      <c r="M4394" t="str">
        <f>VLOOKUP(L4394,[1]Human_BrainSpan!$B$2:$C$4000,2,FALSE)</f>
        <v>VeTis</v>
      </c>
    </row>
    <row r="4395" spans="2:13" x14ac:dyDescent="0.25">
      <c r="B4395" s="37"/>
      <c r="C4395" s="20"/>
      <c r="D4395" s="25" t="s">
        <v>26232</v>
      </c>
      <c r="E4395" s="25"/>
      <c r="F4395" s="9" t="str">
        <f t="shared" si="61"/>
        <v>structure with developmental contribution from neural crest</v>
      </c>
      <c r="G4395" s="9" t="s">
        <v>5090</v>
      </c>
      <c r="H4395" s="9" t="s">
        <v>24501</v>
      </c>
      <c r="I4395" s="9" t="s">
        <v>8116</v>
      </c>
      <c r="J4395" s="9" t="s">
        <v>8117</v>
      </c>
      <c r="K4395" s="4" t="s">
        <v>15175</v>
      </c>
      <c r="L4395" s="13">
        <v>13352</v>
      </c>
      <c r="M4395" t="str">
        <f>VLOOKUP(L4395,[1]Human_BrainSpan!$B$2:$C$4000,2,FALSE)</f>
        <v>VeTid</v>
      </c>
    </row>
    <row r="4396" spans="2:13" x14ac:dyDescent="0.25">
      <c r="B4396" s="37"/>
      <c r="C4396" s="25" t="s">
        <v>1045</v>
      </c>
      <c r="D4396" s="25" t="s">
        <v>26232</v>
      </c>
      <c r="E4396" s="25"/>
      <c r="F4396" s="9" t="str">
        <f t="shared" si="61"/>
        <v>structure with developmental contribution from neural crest</v>
      </c>
      <c r="G4396" s="9" t="s">
        <v>5090</v>
      </c>
      <c r="H4396" s="9" t="s">
        <v>24502</v>
      </c>
      <c r="I4396" s="9" t="s">
        <v>8118</v>
      </c>
      <c r="J4396" s="9" t="s">
        <v>8119</v>
      </c>
      <c r="K4396" s="4" t="s">
        <v>15175</v>
      </c>
      <c r="L4396" s="13">
        <v>13353</v>
      </c>
      <c r="M4396" t="str">
        <f>VLOOKUP(L4396,[1]Human_BrainSpan!$B$2:$C$4000,2,FALSE)</f>
        <v>VeTv</v>
      </c>
    </row>
    <row r="4397" spans="2:13" x14ac:dyDescent="0.25">
      <c r="B4397" s="37"/>
      <c r="C4397" s="25" t="s">
        <v>26105</v>
      </c>
      <c r="D4397" s="25" t="s">
        <v>26232</v>
      </c>
      <c r="E4397" s="25" t="s">
        <v>26306</v>
      </c>
      <c r="F4397" s="9" t="str">
        <f t="shared" si="61"/>
        <v>structure with developmental contribution from neural crest</v>
      </c>
      <c r="G4397" s="9" t="s">
        <v>5090</v>
      </c>
      <c r="H4397" s="9" t="s">
        <v>24503</v>
      </c>
      <c r="I4397" s="9" t="s">
        <v>8120</v>
      </c>
      <c r="J4397" s="9" t="s">
        <v>8121</v>
      </c>
      <c r="K4397" s="4" t="s">
        <v>15175</v>
      </c>
      <c r="L4397" s="13">
        <v>13354</v>
      </c>
      <c r="M4397" t="str">
        <f>VLOOKUP(L4397,[1]Human_BrainSpan!$B$2:$C$4000,2,FALSE)</f>
        <v>PRVT</v>
      </c>
    </row>
    <row r="4398" spans="2:13" x14ac:dyDescent="0.25">
      <c r="B4398" s="37"/>
      <c r="C4398" s="25" t="s">
        <v>26105</v>
      </c>
      <c r="D4398" s="25" t="s">
        <v>26232</v>
      </c>
      <c r="E4398" s="25" t="s">
        <v>26306</v>
      </c>
      <c r="F4398" s="9" t="str">
        <f t="shared" si="61"/>
        <v>structure with developmental contribution from neural crest</v>
      </c>
      <c r="G4398" s="9" t="s">
        <v>5090</v>
      </c>
      <c r="H4398" s="9" t="s">
        <v>24504</v>
      </c>
      <c r="I4398" s="9" t="s">
        <v>8122</v>
      </c>
      <c r="J4398" s="9" t="s">
        <v>8123</v>
      </c>
      <c r="K4398" s="4" t="s">
        <v>15175</v>
      </c>
      <c r="L4398" s="13">
        <v>13355</v>
      </c>
      <c r="M4398" t="str">
        <f>VLOOKUP(L4398,[1]Human_BrainSpan!$B$2:$C$4000,2,FALSE)</f>
        <v>PRVTe</v>
      </c>
    </row>
    <row r="4399" spans="2:13" x14ac:dyDescent="0.25">
      <c r="B4399" s="37"/>
      <c r="C4399" s="25" t="s">
        <v>26105</v>
      </c>
      <c r="D4399" s="25" t="s">
        <v>26232</v>
      </c>
      <c r="E4399" s="25" t="s">
        <v>26306</v>
      </c>
      <c r="F4399" s="9" t="str">
        <f t="shared" si="61"/>
        <v>structure with developmental contribution from neural crest</v>
      </c>
      <c r="G4399" s="9" t="s">
        <v>5090</v>
      </c>
      <c r="H4399" s="9" t="s">
        <v>24505</v>
      </c>
      <c r="I4399" s="9" t="s">
        <v>8124</v>
      </c>
      <c r="J4399" s="9" t="s">
        <v>8125</v>
      </c>
      <c r="K4399" s="4" t="s">
        <v>15175</v>
      </c>
      <c r="L4399" s="13">
        <v>13356</v>
      </c>
      <c r="M4399" t="str">
        <f>VLOOKUP(L4399,[1]Human_BrainSpan!$B$2:$C$4000,2,FALSE)</f>
        <v>PRVTm</v>
      </c>
    </row>
    <row r="4400" spans="2:13" x14ac:dyDescent="0.25">
      <c r="B4400" s="37"/>
      <c r="C4400" s="25" t="s">
        <v>26105</v>
      </c>
      <c r="D4400" s="25" t="s">
        <v>26232</v>
      </c>
      <c r="E4400" s="25" t="s">
        <v>26306</v>
      </c>
      <c r="F4400" s="9" t="str">
        <f t="shared" si="61"/>
        <v>structure with developmental contribution from neural crest</v>
      </c>
      <c r="G4400" s="9" t="s">
        <v>5090</v>
      </c>
      <c r="H4400" s="9" t="s">
        <v>24506</v>
      </c>
      <c r="I4400" s="9" t="s">
        <v>8126</v>
      </c>
      <c r="J4400" s="9" t="s">
        <v>8127</v>
      </c>
      <c r="K4400" s="4" t="s">
        <v>15175</v>
      </c>
      <c r="L4400" s="13">
        <v>13357</v>
      </c>
      <c r="M4400" t="str">
        <f>VLOOKUP(L4400,[1]Human_BrainSpan!$B$2:$C$4000,2,FALSE)</f>
        <v>PRVTp</v>
      </c>
    </row>
    <row r="4401" spans="2:13" x14ac:dyDescent="0.25">
      <c r="B4401" s="37"/>
      <c r="C4401" s="25" t="s">
        <v>26105</v>
      </c>
      <c r="D4401" s="25" t="s">
        <v>26232</v>
      </c>
      <c r="E4401" s="25" t="s">
        <v>26306</v>
      </c>
      <c r="F4401" s="9" t="str">
        <f t="shared" si="61"/>
        <v>structure with developmental contribution from neural crest</v>
      </c>
      <c r="G4401" s="9" t="s">
        <v>5090</v>
      </c>
      <c r="H4401" s="9" t="s">
        <v>24507</v>
      </c>
      <c r="I4401" s="9" t="s">
        <v>8128</v>
      </c>
      <c r="J4401" s="9" t="s">
        <v>8129</v>
      </c>
      <c r="K4401" s="4" t="s">
        <v>15175</v>
      </c>
      <c r="L4401" s="13">
        <v>13358</v>
      </c>
      <c r="M4401" t="str">
        <f>VLOOKUP(L4401,[1]Human_BrainSpan!$B$2:$C$4000,2,FALSE)</f>
        <v>PRVTi</v>
      </c>
    </row>
    <row r="4402" spans="2:13" x14ac:dyDescent="0.25">
      <c r="B4402" s="37"/>
      <c r="C4402" s="20"/>
      <c r="D4402" s="25" t="s">
        <v>26232</v>
      </c>
      <c r="E4402" s="25"/>
      <c r="F4402" s="9" t="str">
        <f t="shared" si="61"/>
        <v>structure with developmental contribution from neural crest</v>
      </c>
      <c r="G4402" s="9" t="s">
        <v>5090</v>
      </c>
      <c r="H4402" s="9" t="s">
        <v>24508</v>
      </c>
      <c r="I4402" s="9" t="s">
        <v>8130</v>
      </c>
      <c r="J4402" s="9" t="s">
        <v>8131</v>
      </c>
      <c r="K4402" s="4" t="s">
        <v>15175</v>
      </c>
      <c r="L4402" s="13">
        <v>13359</v>
      </c>
      <c r="M4402" t="str">
        <f>VLOOKUP(L4402,[1]Human_BrainSpan!$B$2:$C$4000,2,FALSE)</f>
        <v>PRVTis</v>
      </c>
    </row>
    <row r="4403" spans="2:13" x14ac:dyDescent="0.25">
      <c r="B4403" s="37"/>
      <c r="C4403" s="20"/>
      <c r="D4403" s="25" t="s">
        <v>26232</v>
      </c>
      <c r="E4403" s="25"/>
      <c r="F4403" s="9" t="str">
        <f t="shared" si="61"/>
        <v>structure with developmental contribution from neural crest</v>
      </c>
      <c r="G4403" s="9" t="s">
        <v>5090</v>
      </c>
      <c r="H4403" s="9" t="s">
        <v>24509</v>
      </c>
      <c r="I4403" s="9" t="s">
        <v>8132</v>
      </c>
      <c r="J4403" s="9" t="s">
        <v>8133</v>
      </c>
      <c r="K4403" s="4" t="s">
        <v>15175</v>
      </c>
      <c r="L4403" s="13">
        <v>13360</v>
      </c>
      <c r="M4403" t="str">
        <f>VLOOKUP(L4403,[1]Human_BrainSpan!$B$2:$C$4000,2,FALSE)</f>
        <v>PRVTid</v>
      </c>
    </row>
    <row r="4404" spans="2:13" x14ac:dyDescent="0.25">
      <c r="B4404" s="37"/>
      <c r="C4404" s="25" t="s">
        <v>26105</v>
      </c>
      <c r="D4404" s="25" t="s">
        <v>26232</v>
      </c>
      <c r="E4404" s="25" t="s">
        <v>26306</v>
      </c>
      <c r="F4404" s="9" t="str">
        <f t="shared" si="61"/>
        <v>structure with developmental contribution from neural crest</v>
      </c>
      <c r="G4404" s="9" t="s">
        <v>5090</v>
      </c>
      <c r="H4404" s="9" t="s">
        <v>24510</v>
      </c>
      <c r="I4404" s="9" t="s">
        <v>8134</v>
      </c>
      <c r="J4404" s="9" t="s">
        <v>8135</v>
      </c>
      <c r="K4404" s="4" t="s">
        <v>15175</v>
      </c>
      <c r="L4404" s="13">
        <v>13361</v>
      </c>
      <c r="M4404" t="str">
        <f>VLOOKUP(L4404,[1]Human_BrainSpan!$B$2:$C$4000,2,FALSE)</f>
        <v>PRVTv</v>
      </c>
    </row>
    <row r="4405" spans="2:13" x14ac:dyDescent="0.25">
      <c r="B4405" s="37"/>
      <c r="C4405" s="25" t="s">
        <v>25868</v>
      </c>
      <c r="D4405" s="25" t="s">
        <v>26232</v>
      </c>
      <c r="E4405" s="25" t="s">
        <v>26306</v>
      </c>
      <c r="F4405" s="9" t="str">
        <f t="shared" si="61"/>
        <v>structure with developmental contribution from neural crest</v>
      </c>
      <c r="G4405" s="9" t="s">
        <v>5090</v>
      </c>
      <c r="H4405" s="9" t="s">
        <v>24511</v>
      </c>
      <c r="I4405" s="9" t="s">
        <v>8136</v>
      </c>
      <c r="J4405" s="9" t="s">
        <v>8137</v>
      </c>
      <c r="K4405" s="4" t="s">
        <v>15175</v>
      </c>
      <c r="L4405" s="13">
        <v>13362</v>
      </c>
      <c r="M4405" t="str">
        <f>VLOOKUP(L4405,[1]Human_BrainSpan!$B$2:$C$4000,2,FALSE)</f>
        <v>CbLT</v>
      </c>
    </row>
    <row r="4406" spans="2:13" x14ac:dyDescent="0.25">
      <c r="B4406" s="37"/>
      <c r="C4406" s="25" t="s">
        <v>25868</v>
      </c>
      <c r="D4406" s="25" t="s">
        <v>26232</v>
      </c>
      <c r="E4406" s="25" t="s">
        <v>26306</v>
      </c>
      <c r="F4406" s="9" t="str">
        <f t="shared" si="61"/>
        <v>structure with developmental contribution from neural crest</v>
      </c>
      <c r="G4406" s="9" t="s">
        <v>5090</v>
      </c>
      <c r="H4406" s="9" t="s">
        <v>24512</v>
      </c>
      <c r="I4406" s="9" t="s">
        <v>8138</v>
      </c>
      <c r="J4406" s="9" t="s">
        <v>8139</v>
      </c>
      <c r="K4406" s="4" t="s">
        <v>15175</v>
      </c>
      <c r="L4406" s="13">
        <v>13363</v>
      </c>
      <c r="M4406" t="str">
        <f>VLOOKUP(L4406,[1]Human_BrainSpan!$B$2:$C$4000,2,FALSE)</f>
        <v>CbLTe</v>
      </c>
    </row>
    <row r="4407" spans="2:13" x14ac:dyDescent="0.25">
      <c r="B4407" s="37"/>
      <c r="C4407" s="25" t="s">
        <v>25868</v>
      </c>
      <c r="D4407" s="25" t="s">
        <v>26232</v>
      </c>
      <c r="E4407" s="25" t="s">
        <v>26306</v>
      </c>
      <c r="F4407" s="9" t="str">
        <f t="shared" ref="F4407:F4470" si="62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4407" s="9" t="s">
        <v>5090</v>
      </c>
      <c r="H4407" s="9" t="s">
        <v>24513</v>
      </c>
      <c r="I4407" s="9" t="s">
        <v>8140</v>
      </c>
      <c r="J4407" s="9" t="s">
        <v>8141</v>
      </c>
      <c r="K4407" s="4" t="s">
        <v>15175</v>
      </c>
      <c r="L4407" s="13">
        <v>13364</v>
      </c>
      <c r="M4407" t="str">
        <f>VLOOKUP(L4407,[1]Human_BrainSpan!$B$2:$C$4000,2,FALSE)</f>
        <v>CbLTm</v>
      </c>
    </row>
    <row r="4408" spans="2:13" x14ac:dyDescent="0.25">
      <c r="B4408" s="37"/>
      <c r="C4408" s="25" t="s">
        <v>25868</v>
      </c>
      <c r="D4408" s="25" t="s">
        <v>26232</v>
      </c>
      <c r="E4408" s="25" t="s">
        <v>26306</v>
      </c>
      <c r="F4408" s="9" t="str">
        <f t="shared" si="62"/>
        <v>structure with developmental contribution from neural crest</v>
      </c>
      <c r="G4408" s="9" t="s">
        <v>5090</v>
      </c>
      <c r="H4408" s="9" t="s">
        <v>24514</v>
      </c>
      <c r="I4408" s="9" t="s">
        <v>8142</v>
      </c>
      <c r="J4408" s="9" t="s">
        <v>8143</v>
      </c>
      <c r="K4408" s="4" t="s">
        <v>15175</v>
      </c>
      <c r="L4408" s="13">
        <v>13365</v>
      </c>
      <c r="M4408" t="str">
        <f>VLOOKUP(L4408,[1]Human_BrainSpan!$B$2:$C$4000,2,FALSE)</f>
        <v>CbLTp</v>
      </c>
    </row>
    <row r="4409" spans="2:13" x14ac:dyDescent="0.25">
      <c r="B4409" s="37"/>
      <c r="C4409" s="20"/>
      <c r="D4409" s="25" t="s">
        <v>26232</v>
      </c>
      <c r="E4409" s="25" t="s">
        <v>26306</v>
      </c>
      <c r="F4409" s="9" t="str">
        <f t="shared" si="62"/>
        <v>structure with developmental contribution from neural crest</v>
      </c>
      <c r="G4409" s="9" t="s">
        <v>5090</v>
      </c>
      <c r="H4409" s="9" t="s">
        <v>24515</v>
      </c>
      <c r="I4409" s="9" t="s">
        <v>8144</v>
      </c>
      <c r="J4409" s="9" t="s">
        <v>8145</v>
      </c>
      <c r="K4409" s="4" t="s">
        <v>15175</v>
      </c>
      <c r="L4409" s="13">
        <v>13366</v>
      </c>
      <c r="M4409" t="str">
        <f>VLOOKUP(L4409,[1]Human_BrainSpan!$B$2:$C$4000,2,FALSE)</f>
        <v>CbLTi</v>
      </c>
    </row>
    <row r="4410" spans="2:13" x14ac:dyDescent="0.25">
      <c r="B4410" s="37"/>
      <c r="C4410" s="20"/>
      <c r="D4410" s="25" t="s">
        <v>26232</v>
      </c>
      <c r="E4410" s="25"/>
      <c r="F4410" s="9" t="str">
        <f t="shared" si="62"/>
        <v>structure with developmental contribution from neural crest</v>
      </c>
      <c r="G4410" s="9" t="s">
        <v>5090</v>
      </c>
      <c r="H4410" s="9" t="s">
        <v>24516</v>
      </c>
      <c r="I4410" s="9" t="s">
        <v>8146</v>
      </c>
      <c r="J4410" s="9" t="s">
        <v>8147</v>
      </c>
      <c r="K4410" s="4" t="s">
        <v>15175</v>
      </c>
      <c r="L4410" s="13">
        <v>13367</v>
      </c>
      <c r="M4410" t="str">
        <f>VLOOKUP(L4410,[1]Human_BrainSpan!$B$2:$C$4000,2,FALSE)</f>
        <v>CbLTis</v>
      </c>
    </row>
    <row r="4411" spans="2:13" x14ac:dyDescent="0.25">
      <c r="B4411" s="37"/>
      <c r="C4411" s="20"/>
      <c r="D4411" s="25" t="s">
        <v>26232</v>
      </c>
      <c r="E4411" s="25"/>
      <c r="F4411" s="9" t="str">
        <f t="shared" si="62"/>
        <v>structure with developmental contribution from neural crest</v>
      </c>
      <c r="G4411" s="9" t="s">
        <v>5090</v>
      </c>
      <c r="H4411" s="9" t="s">
        <v>24517</v>
      </c>
      <c r="I4411" s="9" t="s">
        <v>8148</v>
      </c>
      <c r="J4411" s="9" t="s">
        <v>8149</v>
      </c>
      <c r="K4411" s="4" t="s">
        <v>15175</v>
      </c>
      <c r="L4411" s="13">
        <v>13368</v>
      </c>
      <c r="M4411" t="str">
        <f>VLOOKUP(L4411,[1]Human_BrainSpan!$B$2:$C$4000,2,FALSE)</f>
        <v>CbLTid</v>
      </c>
    </row>
    <row r="4412" spans="2:13" x14ac:dyDescent="0.25">
      <c r="B4412" s="37"/>
      <c r="C4412" s="20"/>
      <c r="D4412" s="25" t="s">
        <v>26232</v>
      </c>
      <c r="E4412" s="25" t="s">
        <v>26306</v>
      </c>
      <c r="F4412" s="9" t="str">
        <f t="shared" si="62"/>
        <v>structure with developmental contribution from neural crest</v>
      </c>
      <c r="G4412" s="9" t="s">
        <v>5090</v>
      </c>
      <c r="H4412" s="9" t="s">
        <v>24518</v>
      </c>
      <c r="I4412" s="9" t="s">
        <v>8150</v>
      </c>
      <c r="J4412" s="9" t="s">
        <v>8151</v>
      </c>
      <c r="K4412" s="4" t="s">
        <v>15175</v>
      </c>
      <c r="L4412" s="13">
        <v>13369</v>
      </c>
      <c r="M4412" t="str">
        <f>VLOOKUP(L4412,[1]Human_BrainSpan!$B$2:$C$4000,2,FALSE)</f>
        <v>CbLTv</v>
      </c>
    </row>
    <row r="4413" spans="2:13" x14ac:dyDescent="0.25">
      <c r="B4413" s="37"/>
      <c r="C4413" s="25" t="s">
        <v>1891</v>
      </c>
      <c r="D4413" s="25" t="s">
        <v>26232</v>
      </c>
      <c r="E4413" s="25"/>
      <c r="F4413" s="9" t="str">
        <f t="shared" si="62"/>
        <v>structure with developmental contribution from neural crest</v>
      </c>
      <c r="G4413" s="9" t="s">
        <v>5090</v>
      </c>
      <c r="H4413" s="9" t="s">
        <v>24519</v>
      </c>
      <c r="I4413" s="9" t="s">
        <v>8152</v>
      </c>
      <c r="J4413" s="9" t="s">
        <v>8153</v>
      </c>
      <c r="K4413" s="4" t="s">
        <v>15175</v>
      </c>
      <c r="L4413" s="13">
        <v>13370</v>
      </c>
      <c r="M4413" t="str">
        <f>VLOOKUP(L4413,[1]Human_BrainSpan!$B$2:$C$4000,2,FALSE)</f>
        <v>CbFT</v>
      </c>
    </row>
    <row r="4414" spans="2:13" x14ac:dyDescent="0.25">
      <c r="B4414" s="37"/>
      <c r="C4414" s="25" t="s">
        <v>1891</v>
      </c>
      <c r="D4414" s="25" t="s">
        <v>26232</v>
      </c>
      <c r="E4414" s="25"/>
      <c r="F4414" s="9" t="str">
        <f t="shared" si="62"/>
        <v>structure with developmental contribution from neural crest</v>
      </c>
      <c r="G4414" s="9" t="s">
        <v>5090</v>
      </c>
      <c r="H4414" s="9" t="s">
        <v>24520</v>
      </c>
      <c r="I4414" s="9" t="s">
        <v>8154</v>
      </c>
      <c r="J4414" s="9" t="s">
        <v>8155</v>
      </c>
      <c r="K4414" s="4" t="s">
        <v>15175</v>
      </c>
      <c r="L4414" s="13">
        <v>13371</v>
      </c>
      <c r="M4414" t="str">
        <f>VLOOKUP(L4414,[1]Human_BrainSpan!$B$2:$C$4000,2,FALSE)</f>
        <v>CbFTe</v>
      </c>
    </row>
    <row r="4415" spans="2:13" x14ac:dyDescent="0.25">
      <c r="B4415" s="37"/>
      <c r="C4415" s="25" t="s">
        <v>1891</v>
      </c>
      <c r="D4415" s="25" t="s">
        <v>26232</v>
      </c>
      <c r="E4415" s="25"/>
      <c r="F4415" s="9" t="str">
        <f t="shared" si="62"/>
        <v>structure with developmental contribution from neural crest</v>
      </c>
      <c r="G4415" s="9" t="s">
        <v>5090</v>
      </c>
      <c r="H4415" s="9" t="s">
        <v>24521</v>
      </c>
      <c r="I4415" s="9" t="s">
        <v>8156</v>
      </c>
      <c r="J4415" s="9" t="s">
        <v>8157</v>
      </c>
      <c r="K4415" s="4" t="s">
        <v>15175</v>
      </c>
      <c r="L4415" s="13">
        <v>13372</v>
      </c>
      <c r="M4415" t="str">
        <f>VLOOKUP(L4415,[1]Human_BrainSpan!$B$2:$C$4000,2,FALSE)</f>
        <v>CbFTm</v>
      </c>
    </row>
    <row r="4416" spans="2:13" x14ac:dyDescent="0.25">
      <c r="B4416" s="37"/>
      <c r="C4416" s="25" t="s">
        <v>1891</v>
      </c>
      <c r="D4416" s="25" t="s">
        <v>26232</v>
      </c>
      <c r="E4416" s="25" t="s">
        <v>26306</v>
      </c>
      <c r="F4416" s="9" t="str">
        <f t="shared" si="62"/>
        <v>structure with developmental contribution from neural crest</v>
      </c>
      <c r="G4416" s="9" t="s">
        <v>5090</v>
      </c>
      <c r="H4416" s="9" t="s">
        <v>24522</v>
      </c>
      <c r="I4416" s="9" t="s">
        <v>8158</v>
      </c>
      <c r="J4416" s="9" t="s">
        <v>8159</v>
      </c>
      <c r="K4416" s="4" t="s">
        <v>15175</v>
      </c>
      <c r="L4416" s="13">
        <v>13373</v>
      </c>
      <c r="M4416" t="str">
        <f>VLOOKUP(L4416,[1]Human_BrainSpan!$B$2:$C$4000,2,FALSE)</f>
        <v>CbFTp</v>
      </c>
    </row>
    <row r="4417" spans="2:13" x14ac:dyDescent="0.25">
      <c r="B4417" s="37"/>
      <c r="C4417" s="25" t="s">
        <v>1891</v>
      </c>
      <c r="D4417" s="25" t="s">
        <v>26232</v>
      </c>
      <c r="E4417" s="25"/>
      <c r="F4417" s="9" t="str">
        <f t="shared" si="62"/>
        <v>structure with developmental contribution from neural crest</v>
      </c>
      <c r="G4417" s="9" t="s">
        <v>5090</v>
      </c>
      <c r="H4417" s="9" t="s">
        <v>24523</v>
      </c>
      <c r="I4417" s="9" t="s">
        <v>8160</v>
      </c>
      <c r="J4417" s="9" t="s">
        <v>8161</v>
      </c>
      <c r="K4417" s="4" t="s">
        <v>15175</v>
      </c>
      <c r="L4417" s="13">
        <v>13374</v>
      </c>
      <c r="M4417" t="str">
        <f>VLOOKUP(L4417,[1]Human_BrainSpan!$B$2:$C$4000,2,FALSE)</f>
        <v>CbFTi</v>
      </c>
    </row>
    <row r="4418" spans="2:13" x14ac:dyDescent="0.25">
      <c r="B4418" s="37"/>
      <c r="C4418" s="20"/>
      <c r="D4418" s="25" t="s">
        <v>26232</v>
      </c>
      <c r="E4418" s="25"/>
      <c r="F4418" s="9" t="str">
        <f t="shared" si="62"/>
        <v>structure with developmental contribution from neural crest</v>
      </c>
      <c r="G4418" s="9" t="s">
        <v>5090</v>
      </c>
      <c r="H4418" s="9" t="s">
        <v>24524</v>
      </c>
      <c r="I4418" s="9" t="s">
        <v>8162</v>
      </c>
      <c r="J4418" s="9" t="s">
        <v>8163</v>
      </c>
      <c r="K4418" s="4" t="s">
        <v>15175</v>
      </c>
      <c r="L4418" s="13">
        <v>13375</v>
      </c>
      <c r="M4418" t="str">
        <f>VLOOKUP(L4418,[1]Human_BrainSpan!$B$2:$C$4000,2,FALSE)</f>
        <v>CbFTis</v>
      </c>
    </row>
    <row r="4419" spans="2:13" x14ac:dyDescent="0.25">
      <c r="B4419" s="37"/>
      <c r="C4419" s="20"/>
      <c r="D4419" s="25" t="s">
        <v>26232</v>
      </c>
      <c r="E4419" s="25"/>
      <c r="F4419" s="9" t="str">
        <f t="shared" si="62"/>
        <v>structure with developmental contribution from neural crest</v>
      </c>
      <c r="G4419" s="9" t="s">
        <v>5090</v>
      </c>
      <c r="H4419" s="9" t="s">
        <v>24525</v>
      </c>
      <c r="I4419" s="9" t="s">
        <v>8164</v>
      </c>
      <c r="J4419" s="9" t="s">
        <v>8165</v>
      </c>
      <c r="K4419" s="4" t="s">
        <v>15175</v>
      </c>
      <c r="L4419" s="13">
        <v>13376</v>
      </c>
      <c r="M4419" t="str">
        <f>VLOOKUP(L4419,[1]Human_BrainSpan!$B$2:$C$4000,2,FALSE)</f>
        <v>CbFTid</v>
      </c>
    </row>
    <row r="4420" spans="2:13" x14ac:dyDescent="0.25">
      <c r="B4420" s="37"/>
      <c r="C4420" s="25" t="s">
        <v>1891</v>
      </c>
      <c r="D4420" s="25" t="s">
        <v>26232</v>
      </c>
      <c r="E4420" s="25"/>
      <c r="F4420" s="9" t="str">
        <f t="shared" si="62"/>
        <v>structure with developmental contribution from neural crest</v>
      </c>
      <c r="G4420" s="9" t="s">
        <v>5090</v>
      </c>
      <c r="H4420" s="9" t="s">
        <v>24526</v>
      </c>
      <c r="I4420" s="9" t="s">
        <v>8166</v>
      </c>
      <c r="J4420" s="9" t="s">
        <v>8167</v>
      </c>
      <c r="K4420" s="4" t="s">
        <v>15175</v>
      </c>
      <c r="L4420" s="13">
        <v>13377</v>
      </c>
      <c r="M4420" t="str">
        <f>VLOOKUP(L4420,[1]Human_BrainSpan!$B$2:$C$4000,2,FALSE)</f>
        <v>CbFTv</v>
      </c>
    </row>
    <row r="4421" spans="2:13" x14ac:dyDescent="0.25">
      <c r="B4421" s="37"/>
      <c r="C4421" s="20"/>
      <c r="D4421" s="25" t="s">
        <v>26232</v>
      </c>
      <c r="E4421" s="25"/>
      <c r="F4421" s="9" t="str">
        <f t="shared" si="62"/>
        <v>structure with developmental contribution from neural crest</v>
      </c>
      <c r="G4421" s="9" t="s">
        <v>5090</v>
      </c>
      <c r="H4421" s="9" t="s">
        <v>24527</v>
      </c>
      <c r="I4421" s="9" t="s">
        <v>8168</v>
      </c>
      <c r="J4421" s="9" t="s">
        <v>8169</v>
      </c>
      <c r="K4421" s="4" t="s">
        <v>15175</v>
      </c>
      <c r="L4421" s="13">
        <v>13378</v>
      </c>
      <c r="M4421" t="str">
        <f>VLOOKUP(L4421,[1]Human_BrainSpan!$B$2:$C$4000,2,FALSE)</f>
        <v>TGCbN</v>
      </c>
    </row>
    <row r="4422" spans="2:13" x14ac:dyDescent="0.25">
      <c r="B4422" s="31" t="s">
        <v>26303</v>
      </c>
      <c r="C4422" s="25" t="s">
        <v>25771</v>
      </c>
      <c r="D4422" s="25" t="s">
        <v>26232</v>
      </c>
      <c r="E4422" s="25" t="s">
        <v>26306</v>
      </c>
      <c r="F4422" s="9" t="str">
        <f t="shared" si="62"/>
        <v>structure with developmental contribution from neural crest</v>
      </c>
      <c r="G4422" s="9" t="s">
        <v>5090</v>
      </c>
      <c r="H4422" s="9" t="s">
        <v>21398</v>
      </c>
      <c r="I4422" s="9" t="s">
        <v>8060</v>
      </c>
      <c r="J4422" s="9" t="s">
        <v>8170</v>
      </c>
      <c r="K4422" s="4" t="s">
        <v>15175</v>
      </c>
      <c r="L4422" s="13">
        <v>146034622</v>
      </c>
      <c r="M4422" t="str">
        <f>VLOOKUP(L4422,[1]Human_BrainSpan!$B$2:$C$4000,2,FALSE)</f>
        <v>CPiag</v>
      </c>
    </row>
    <row r="4423" spans="2:13" x14ac:dyDescent="0.25">
      <c r="B4423" s="31" t="s">
        <v>26299</v>
      </c>
      <c r="C4423" s="25" t="s">
        <v>25968</v>
      </c>
      <c r="D4423" s="25" t="s">
        <v>26232</v>
      </c>
      <c r="E4423" s="25"/>
      <c r="F4423" s="9" t="str">
        <f t="shared" si="62"/>
        <v>structure with developmental contribution from neural crest</v>
      </c>
      <c r="G4423" s="9" t="s">
        <v>5090</v>
      </c>
      <c r="H4423" s="9" t="s">
        <v>22448</v>
      </c>
      <c r="I4423" s="9" t="s">
        <v>8171</v>
      </c>
      <c r="J4423" s="9" t="s">
        <v>8172</v>
      </c>
      <c r="K4423" s="4" t="s">
        <v>15175</v>
      </c>
      <c r="L4423" s="13">
        <v>146034630</v>
      </c>
      <c r="M4423" t="str">
        <f>VLOOKUP(L4423,[1]Human_BrainSpan!$B$2:$C$4000,2,FALSE)</f>
        <v>A40/39</v>
      </c>
    </row>
    <row r="4424" spans="2:13" x14ac:dyDescent="0.25">
      <c r="B4424" s="31" t="s">
        <v>26299</v>
      </c>
      <c r="C4424" s="25" t="s">
        <v>25968</v>
      </c>
      <c r="D4424" s="25" t="s">
        <v>26232</v>
      </c>
      <c r="E4424" s="25"/>
      <c r="F4424" s="9" t="str">
        <f t="shared" si="62"/>
        <v>structure with developmental contribution from neural crest</v>
      </c>
      <c r="G4424" s="9" t="s">
        <v>5090</v>
      </c>
      <c r="H4424" s="9" t="s">
        <v>22449</v>
      </c>
      <c r="I4424" s="9" t="s">
        <v>8173</v>
      </c>
      <c r="J4424" s="9" t="s">
        <v>8174</v>
      </c>
      <c r="K4424" s="4" t="s">
        <v>15175</v>
      </c>
      <c r="L4424" s="13">
        <v>146034634</v>
      </c>
      <c r="M4424" t="str">
        <f>VLOOKUP(L4424,[1]Human_BrainSpan!$B$2:$C$4000,2,FALSE)</f>
        <v>A40/39r</v>
      </c>
    </row>
    <row r="4425" spans="2:13" x14ac:dyDescent="0.25">
      <c r="B4425" s="31" t="s">
        <v>26299</v>
      </c>
      <c r="C4425" s="25" t="s">
        <v>25968</v>
      </c>
      <c r="D4425" s="25" t="s">
        <v>26232</v>
      </c>
      <c r="E4425" s="25" t="s">
        <v>26306</v>
      </c>
      <c r="F4425" s="9" t="str">
        <f t="shared" si="62"/>
        <v>structure with developmental contribution from neural crest</v>
      </c>
      <c r="G4425" s="9" t="s">
        <v>5090</v>
      </c>
      <c r="H4425" s="9" t="s">
        <v>22450</v>
      </c>
      <c r="I4425" s="9" t="s">
        <v>8175</v>
      </c>
      <c r="J4425" s="9" t="s">
        <v>8176</v>
      </c>
      <c r="K4425" s="4" t="s">
        <v>15175</v>
      </c>
      <c r="L4425" s="13">
        <v>146034638</v>
      </c>
      <c r="M4425" t="str">
        <f>VLOOKUP(L4425,[1]Human_BrainSpan!$B$2:$C$4000,2,FALSE)</f>
        <v>A40/39r1</v>
      </c>
    </row>
    <row r="4426" spans="2:13" x14ac:dyDescent="0.25">
      <c r="B4426" s="31" t="s">
        <v>26299</v>
      </c>
      <c r="C4426" s="25" t="s">
        <v>25968</v>
      </c>
      <c r="D4426" s="25" t="s">
        <v>26232</v>
      </c>
      <c r="E4426" s="25" t="s">
        <v>26306</v>
      </c>
      <c r="F4426" s="9" t="str">
        <f t="shared" si="62"/>
        <v>structure with developmental contribution from neural crest</v>
      </c>
      <c r="G4426" s="9" t="s">
        <v>5090</v>
      </c>
      <c r="H4426" s="9" t="s">
        <v>22451</v>
      </c>
      <c r="I4426" s="9" t="s">
        <v>8177</v>
      </c>
      <c r="J4426" s="9" t="s">
        <v>8178</v>
      </c>
      <c r="K4426" s="4" t="s">
        <v>15175</v>
      </c>
      <c r="L4426" s="13">
        <v>146034642</v>
      </c>
      <c r="M4426" t="str">
        <f>VLOOKUP(L4426,[1]Human_BrainSpan!$B$2:$C$4000,2,FALSE)</f>
        <v>A40/39r2</v>
      </c>
    </row>
    <row r="4427" spans="2:13" x14ac:dyDescent="0.25">
      <c r="B4427" s="31" t="s">
        <v>26299</v>
      </c>
      <c r="C4427" s="25" t="s">
        <v>25968</v>
      </c>
      <c r="D4427" s="25" t="s">
        <v>26232</v>
      </c>
      <c r="E4427" s="25" t="s">
        <v>26306</v>
      </c>
      <c r="F4427" s="9" t="str">
        <f t="shared" si="62"/>
        <v>structure with developmental contribution from neural crest</v>
      </c>
      <c r="G4427" s="9" t="s">
        <v>5090</v>
      </c>
      <c r="H4427" s="9" t="s">
        <v>22452</v>
      </c>
      <c r="I4427" s="9" t="s">
        <v>8179</v>
      </c>
      <c r="J4427" s="9" t="s">
        <v>8180</v>
      </c>
      <c r="K4427" s="4" t="s">
        <v>15175</v>
      </c>
      <c r="L4427" s="13">
        <v>146034646</v>
      </c>
      <c r="M4427" t="str">
        <f>VLOOKUP(L4427,[1]Human_BrainSpan!$B$2:$C$4000,2,FALSE)</f>
        <v>A40/39r3</v>
      </c>
    </row>
    <row r="4428" spans="2:13" x14ac:dyDescent="0.25">
      <c r="B4428" s="31" t="s">
        <v>26299</v>
      </c>
      <c r="C4428" s="25" t="s">
        <v>25968</v>
      </c>
      <c r="D4428" s="25" t="s">
        <v>26232</v>
      </c>
      <c r="E4428" s="25" t="s">
        <v>26306</v>
      </c>
      <c r="F4428" s="9" t="str">
        <f t="shared" si="62"/>
        <v>structure with developmental contribution from neural crest</v>
      </c>
      <c r="G4428" s="9" t="s">
        <v>5090</v>
      </c>
      <c r="H4428" s="9" t="s">
        <v>22453</v>
      </c>
      <c r="I4428" s="9" t="s">
        <v>8181</v>
      </c>
      <c r="J4428" s="9" t="s">
        <v>8182</v>
      </c>
      <c r="K4428" s="4" t="s">
        <v>15175</v>
      </c>
      <c r="L4428" s="13">
        <v>146034650</v>
      </c>
      <c r="M4428" t="str">
        <f>VLOOKUP(L4428,[1]Human_BrainSpan!$B$2:$C$4000,2,FALSE)</f>
        <v>A40/39r4</v>
      </c>
    </row>
    <row r="4429" spans="2:13" x14ac:dyDescent="0.25">
      <c r="B4429" s="31" t="s">
        <v>26299</v>
      </c>
      <c r="C4429" s="25" t="s">
        <v>25968</v>
      </c>
      <c r="D4429" s="25" t="s">
        <v>26232</v>
      </c>
      <c r="E4429" s="25" t="s">
        <v>26306</v>
      </c>
      <c r="F4429" s="9" t="str">
        <f t="shared" si="62"/>
        <v>structure with developmental contribution from neural crest</v>
      </c>
      <c r="G4429" s="9" t="s">
        <v>5090</v>
      </c>
      <c r="H4429" s="9" t="s">
        <v>22454</v>
      </c>
      <c r="I4429" s="9" t="s">
        <v>8183</v>
      </c>
      <c r="J4429" s="9" t="s">
        <v>8184</v>
      </c>
      <c r="K4429" s="4" t="s">
        <v>15175</v>
      </c>
      <c r="L4429" s="13">
        <v>146034654</v>
      </c>
      <c r="M4429" t="str">
        <f>VLOOKUP(L4429,[1]Human_BrainSpan!$B$2:$C$4000,2,FALSE)</f>
        <v>A40/39r5</v>
      </c>
    </row>
    <row r="4430" spans="2:13" x14ac:dyDescent="0.25">
      <c r="B4430" s="31" t="s">
        <v>26299</v>
      </c>
      <c r="C4430" s="25" t="s">
        <v>25968</v>
      </c>
      <c r="D4430" s="25" t="s">
        <v>26232</v>
      </c>
      <c r="E4430" s="25" t="s">
        <v>26306</v>
      </c>
      <c r="F4430" s="9" t="str">
        <f t="shared" si="62"/>
        <v>structure with developmental contribution from neural crest</v>
      </c>
      <c r="G4430" s="9" t="s">
        <v>5090</v>
      </c>
      <c r="H4430" s="9" t="s">
        <v>22455</v>
      </c>
      <c r="I4430" s="9" t="s">
        <v>8185</v>
      </c>
      <c r="J4430" s="9" t="s">
        <v>8186</v>
      </c>
      <c r="K4430" s="4" t="s">
        <v>15175</v>
      </c>
      <c r="L4430" s="13">
        <v>146034658</v>
      </c>
      <c r="M4430" t="str">
        <f>VLOOKUP(L4430,[1]Human_BrainSpan!$B$2:$C$4000,2,FALSE)</f>
        <v>A40/39r6</v>
      </c>
    </row>
    <row r="4431" spans="2:13" x14ac:dyDescent="0.25">
      <c r="B4431" s="31" t="s">
        <v>26299</v>
      </c>
      <c r="C4431" s="25" t="s">
        <v>25968</v>
      </c>
      <c r="D4431" s="25" t="s">
        <v>26232</v>
      </c>
      <c r="E4431" s="25"/>
      <c r="F4431" s="9" t="str">
        <f t="shared" si="62"/>
        <v>structure with developmental contribution from neural crest</v>
      </c>
      <c r="G4431" s="9" t="s">
        <v>5090</v>
      </c>
      <c r="H4431" s="9" t="s">
        <v>22456</v>
      </c>
      <c r="I4431" s="9" t="s">
        <v>8187</v>
      </c>
      <c r="J4431" s="9" t="s">
        <v>8188</v>
      </c>
      <c r="K4431" s="4" t="s">
        <v>15175</v>
      </c>
      <c r="L4431" s="13">
        <v>146034662</v>
      </c>
      <c r="M4431" t="str">
        <f>VLOOKUP(L4431,[1]Human_BrainSpan!$B$2:$C$4000,2,FALSE)</f>
        <v>A40/39c</v>
      </c>
    </row>
    <row r="4432" spans="2:13" x14ac:dyDescent="0.25">
      <c r="B4432" s="31" t="s">
        <v>26299</v>
      </c>
      <c r="C4432" s="25" t="s">
        <v>25968</v>
      </c>
      <c r="D4432" s="25" t="s">
        <v>26232</v>
      </c>
      <c r="E4432" s="25" t="s">
        <v>26306</v>
      </c>
      <c r="F4432" s="9" t="str">
        <f t="shared" si="62"/>
        <v>structure with developmental contribution from neural crest</v>
      </c>
      <c r="G4432" s="9" t="s">
        <v>5090</v>
      </c>
      <c r="H4432" s="9" t="s">
        <v>22457</v>
      </c>
      <c r="I4432" s="9" t="s">
        <v>8189</v>
      </c>
      <c r="J4432" s="9" t="s">
        <v>8190</v>
      </c>
      <c r="K4432" s="4" t="s">
        <v>15175</v>
      </c>
      <c r="L4432" s="13">
        <v>146034666</v>
      </c>
      <c r="M4432" t="str">
        <f>VLOOKUP(L4432,[1]Human_BrainSpan!$B$2:$C$4000,2,FALSE)</f>
        <v>A40/39c1</v>
      </c>
    </row>
    <row r="4433" spans="2:13" x14ac:dyDescent="0.25">
      <c r="B4433" s="31" t="s">
        <v>26299</v>
      </c>
      <c r="C4433" s="25" t="s">
        <v>25968</v>
      </c>
      <c r="D4433" s="25" t="s">
        <v>26232</v>
      </c>
      <c r="E4433" s="25" t="s">
        <v>26306</v>
      </c>
      <c r="F4433" s="9" t="str">
        <f t="shared" si="62"/>
        <v>structure with developmental contribution from neural crest</v>
      </c>
      <c r="G4433" s="9" t="s">
        <v>5090</v>
      </c>
      <c r="H4433" s="9" t="s">
        <v>22458</v>
      </c>
      <c r="I4433" s="9" t="s">
        <v>8191</v>
      </c>
      <c r="J4433" s="9" t="s">
        <v>8192</v>
      </c>
      <c r="K4433" s="4" t="s">
        <v>15175</v>
      </c>
      <c r="L4433" s="13">
        <v>146034670</v>
      </c>
      <c r="M4433" t="str">
        <f>VLOOKUP(L4433,[1]Human_BrainSpan!$B$2:$C$4000,2,FALSE)</f>
        <v>A40/39c2</v>
      </c>
    </row>
    <row r="4434" spans="2:13" x14ac:dyDescent="0.25">
      <c r="B4434" s="31" t="s">
        <v>26299</v>
      </c>
      <c r="C4434" s="25" t="s">
        <v>25968</v>
      </c>
      <c r="D4434" s="25" t="s">
        <v>26232</v>
      </c>
      <c r="E4434" s="25" t="s">
        <v>26306</v>
      </c>
      <c r="F4434" s="9" t="str">
        <f t="shared" si="62"/>
        <v>structure with developmental contribution from neural crest</v>
      </c>
      <c r="G4434" s="9" t="s">
        <v>5090</v>
      </c>
      <c r="H4434" s="9" t="s">
        <v>22459</v>
      </c>
      <c r="I4434" s="9" t="s">
        <v>8193</v>
      </c>
      <c r="J4434" s="9" t="s">
        <v>8194</v>
      </c>
      <c r="K4434" s="4" t="s">
        <v>15175</v>
      </c>
      <c r="L4434" s="13">
        <v>146034674</v>
      </c>
      <c r="M4434" t="str">
        <f>VLOOKUP(L4434,[1]Human_BrainSpan!$B$2:$C$4000,2,FALSE)</f>
        <v>A40/39c3</v>
      </c>
    </row>
    <row r="4435" spans="2:13" x14ac:dyDescent="0.25">
      <c r="B4435" s="31" t="s">
        <v>26299</v>
      </c>
      <c r="C4435" s="25" t="s">
        <v>25968</v>
      </c>
      <c r="D4435" s="25" t="s">
        <v>26232</v>
      </c>
      <c r="E4435" s="25" t="s">
        <v>26306</v>
      </c>
      <c r="F4435" s="9" t="str">
        <f t="shared" si="62"/>
        <v>structure with developmental contribution from neural crest</v>
      </c>
      <c r="G4435" s="9" t="s">
        <v>5090</v>
      </c>
      <c r="H4435" s="9" t="s">
        <v>22460</v>
      </c>
      <c r="I4435" s="9" t="s">
        <v>8195</v>
      </c>
      <c r="J4435" s="9" t="s">
        <v>8196</v>
      </c>
      <c r="K4435" s="4" t="s">
        <v>15175</v>
      </c>
      <c r="L4435" s="13">
        <v>146034678</v>
      </c>
      <c r="M4435" t="str">
        <f>VLOOKUP(L4435,[1]Human_BrainSpan!$B$2:$C$4000,2,FALSE)</f>
        <v>A40/39c4</v>
      </c>
    </row>
    <row r="4436" spans="2:13" x14ac:dyDescent="0.25">
      <c r="B4436" s="31" t="s">
        <v>26299</v>
      </c>
      <c r="C4436" s="25" t="s">
        <v>25968</v>
      </c>
      <c r="D4436" s="25" t="s">
        <v>26232</v>
      </c>
      <c r="E4436" s="25" t="s">
        <v>26306</v>
      </c>
      <c r="F4436" s="9" t="str">
        <f t="shared" si="62"/>
        <v>structure with developmental contribution from neural crest</v>
      </c>
      <c r="G4436" s="9" t="s">
        <v>5090</v>
      </c>
      <c r="H4436" s="9" t="s">
        <v>22461</v>
      </c>
      <c r="I4436" s="9" t="s">
        <v>8197</v>
      </c>
      <c r="J4436" s="9" t="s">
        <v>8198</v>
      </c>
      <c r="K4436" s="4" t="s">
        <v>15175</v>
      </c>
      <c r="L4436" s="13">
        <v>146034682</v>
      </c>
      <c r="M4436" t="str">
        <f>VLOOKUP(L4436,[1]Human_BrainSpan!$B$2:$C$4000,2,FALSE)</f>
        <v>A40/39c5</v>
      </c>
    </row>
    <row r="4437" spans="2:13" x14ac:dyDescent="0.25">
      <c r="B4437" s="31" t="s">
        <v>26299</v>
      </c>
      <c r="C4437" s="25" t="s">
        <v>25968</v>
      </c>
      <c r="D4437" s="25" t="s">
        <v>26232</v>
      </c>
      <c r="E4437" s="25" t="s">
        <v>26306</v>
      </c>
      <c r="F4437" s="9" t="str">
        <f t="shared" si="62"/>
        <v>structure with developmental contribution from neural crest</v>
      </c>
      <c r="G4437" s="9" t="s">
        <v>5090</v>
      </c>
      <c r="H4437" s="9" t="s">
        <v>22462</v>
      </c>
      <c r="I4437" s="9" t="s">
        <v>8199</v>
      </c>
      <c r="J4437" s="9" t="s">
        <v>8200</v>
      </c>
      <c r="K4437" s="4" t="s">
        <v>15175</v>
      </c>
      <c r="L4437" s="13">
        <v>146034686</v>
      </c>
      <c r="M4437" t="str">
        <f>VLOOKUP(L4437,[1]Human_BrainSpan!$B$2:$C$4000,2,FALSE)</f>
        <v>A40/39c6</v>
      </c>
    </row>
    <row r="4438" spans="2:13" x14ac:dyDescent="0.25">
      <c r="B4438" s="31" t="s">
        <v>26303</v>
      </c>
      <c r="C4438" s="20"/>
      <c r="D4438" s="25" t="s">
        <v>26185</v>
      </c>
      <c r="E4438" s="25" t="s">
        <v>26300</v>
      </c>
      <c r="F4438" s="9" t="str">
        <f t="shared" si="62"/>
        <v>structure with developmental contribution from neural crest</v>
      </c>
      <c r="G4438" s="9" t="s">
        <v>5090</v>
      </c>
      <c r="H4438" s="9" t="s">
        <v>22690</v>
      </c>
      <c r="I4438" s="9" t="s">
        <v>8201</v>
      </c>
      <c r="J4438" s="9" t="s">
        <v>8202</v>
      </c>
      <c r="K4438" s="4" t="s">
        <v>15175</v>
      </c>
      <c r="L4438" s="13">
        <v>146034690</v>
      </c>
      <c r="M4438" t="str">
        <f>VLOOKUP(L4438,[1]Human_BrainSpan!$B$2:$C$4000,2,FALSE)</f>
        <v>Vx</v>
      </c>
    </row>
    <row r="4439" spans="2:13" x14ac:dyDescent="0.25">
      <c r="B4439" s="31" t="s">
        <v>26303</v>
      </c>
      <c r="C4439" s="25" t="s">
        <v>26073</v>
      </c>
      <c r="D4439" s="25" t="s">
        <v>26232</v>
      </c>
      <c r="E4439" s="25"/>
      <c r="F4439" s="9" t="str">
        <f t="shared" si="62"/>
        <v>structure with developmental contribution from neural crest</v>
      </c>
      <c r="G4439" s="9" t="s">
        <v>5090</v>
      </c>
      <c r="H4439" s="9" t="s">
        <v>23134</v>
      </c>
      <c r="I4439" s="9" t="s">
        <v>8203</v>
      </c>
      <c r="J4439" s="9" t="s">
        <v>8204</v>
      </c>
      <c r="K4439" s="4" t="s">
        <v>15175</v>
      </c>
      <c r="L4439" s="13">
        <v>146034694</v>
      </c>
      <c r="M4439" t="str">
        <f>VLOOKUP(L4439,[1]Human_BrainSpan!$B$2:$C$4000,2,FALSE)</f>
        <v>LOA</v>
      </c>
    </row>
    <row r="4440" spans="2:13" x14ac:dyDescent="0.25">
      <c r="B4440" s="31" t="s">
        <v>26303</v>
      </c>
      <c r="C4440" s="25" t="s">
        <v>26073</v>
      </c>
      <c r="D4440" s="25" t="s">
        <v>26232</v>
      </c>
      <c r="E4440" s="25" t="s">
        <v>26306</v>
      </c>
      <c r="F4440" s="9" t="str">
        <f t="shared" si="62"/>
        <v>structure with developmental contribution from neural crest</v>
      </c>
      <c r="G4440" s="9" t="s">
        <v>5090</v>
      </c>
      <c r="H4440" s="9" t="s">
        <v>23135</v>
      </c>
      <c r="I4440" s="9" t="s">
        <v>8205</v>
      </c>
      <c r="J4440" s="9" t="s">
        <v>8206</v>
      </c>
      <c r="K4440" s="4" t="s">
        <v>15175</v>
      </c>
      <c r="L4440" s="13">
        <v>146034698</v>
      </c>
      <c r="M4440" t="str">
        <f>VLOOKUP(L4440,[1]Human_BrainSpan!$B$2:$C$4000,2,FALSE)</f>
        <v>LOA1</v>
      </c>
    </row>
    <row r="4441" spans="2:13" x14ac:dyDescent="0.25">
      <c r="B4441" s="31" t="s">
        <v>26303</v>
      </c>
      <c r="C4441" s="25" t="s">
        <v>26073</v>
      </c>
      <c r="D4441" s="25" t="s">
        <v>26232</v>
      </c>
      <c r="E4441" s="25" t="s">
        <v>26306</v>
      </c>
      <c r="F4441" s="9" t="str">
        <f t="shared" si="62"/>
        <v>structure with developmental contribution from neural crest</v>
      </c>
      <c r="G4441" s="9" t="s">
        <v>5090</v>
      </c>
      <c r="H4441" s="9" t="s">
        <v>23136</v>
      </c>
      <c r="I4441" s="9" t="s">
        <v>8207</v>
      </c>
      <c r="J4441" s="9" t="s">
        <v>8208</v>
      </c>
      <c r="K4441" s="4" t="s">
        <v>15175</v>
      </c>
      <c r="L4441" s="13">
        <v>146034702</v>
      </c>
      <c r="M4441" t="str">
        <f>VLOOKUP(L4441,[1]Human_BrainSpan!$B$2:$C$4000,2,FALSE)</f>
        <v>LOA2</v>
      </c>
    </row>
    <row r="4442" spans="2:13" x14ac:dyDescent="0.25">
      <c r="B4442" s="31" t="s">
        <v>26303</v>
      </c>
      <c r="C4442" s="25" t="s">
        <v>26073</v>
      </c>
      <c r="D4442" s="25" t="s">
        <v>26232</v>
      </c>
      <c r="E4442" s="25" t="s">
        <v>26306</v>
      </c>
      <c r="F4442" s="9" t="str">
        <f t="shared" si="62"/>
        <v>structure with developmental contribution from neural crest</v>
      </c>
      <c r="G4442" s="9" t="s">
        <v>5090</v>
      </c>
      <c r="H4442" s="9" t="s">
        <v>23137</v>
      </c>
      <c r="I4442" s="9" t="s">
        <v>8209</v>
      </c>
      <c r="J4442" s="9" t="s">
        <v>8210</v>
      </c>
      <c r="K4442" s="4" t="s">
        <v>15175</v>
      </c>
      <c r="L4442" s="13">
        <v>146034706</v>
      </c>
      <c r="M4442" t="str">
        <f>VLOOKUP(L4442,[1]Human_BrainSpan!$B$2:$C$4000,2,FALSE)</f>
        <v>LOA3</v>
      </c>
    </row>
    <row r="4443" spans="2:13" x14ac:dyDescent="0.25">
      <c r="B4443" s="31" t="s">
        <v>26303</v>
      </c>
      <c r="C4443" s="25" t="s">
        <v>306</v>
      </c>
      <c r="D4443" s="25" t="s">
        <v>26232</v>
      </c>
      <c r="E4443" s="25"/>
      <c r="F4443" s="9" t="str">
        <f t="shared" si="62"/>
        <v>structure with developmental contribution from neural crest</v>
      </c>
      <c r="G4443" s="9" t="s">
        <v>5090</v>
      </c>
      <c r="H4443" s="9" t="s">
        <v>23150</v>
      </c>
      <c r="I4443" s="9" t="s">
        <v>8211</v>
      </c>
      <c r="J4443" s="9" t="s">
        <v>8212</v>
      </c>
      <c r="K4443" s="4" t="s">
        <v>15175</v>
      </c>
      <c r="L4443" s="13">
        <v>146034710</v>
      </c>
      <c r="M4443" t="str">
        <f>VLOOKUP(L4443,[1]Human_BrainSpan!$B$2:$C$4000,2,FALSE)</f>
        <v>AAAd</v>
      </c>
    </row>
    <row r="4444" spans="2:13" x14ac:dyDescent="0.25">
      <c r="B4444" s="31" t="s">
        <v>26303</v>
      </c>
      <c r="C4444" s="25" t="s">
        <v>306</v>
      </c>
      <c r="D4444" s="25" t="s">
        <v>26232</v>
      </c>
      <c r="E4444" s="25"/>
      <c r="F4444" s="9" t="str">
        <f t="shared" si="62"/>
        <v>structure with developmental contribution from neural crest</v>
      </c>
      <c r="G4444" s="9" t="s">
        <v>5090</v>
      </c>
      <c r="H4444" s="9" t="s">
        <v>23151</v>
      </c>
      <c r="I4444" s="9" t="s">
        <v>8213</v>
      </c>
      <c r="J4444" s="9" t="s">
        <v>8214</v>
      </c>
      <c r="K4444" s="4" t="s">
        <v>15175</v>
      </c>
      <c r="L4444" s="13">
        <v>146034714</v>
      </c>
      <c r="M4444" t="str">
        <f>VLOOKUP(L4444,[1]Human_BrainSpan!$B$2:$C$4000,2,FALSE)</f>
        <v>AAAv</v>
      </c>
    </row>
    <row r="4445" spans="2:13" x14ac:dyDescent="0.25">
      <c r="B4445" s="31" t="s">
        <v>26303</v>
      </c>
      <c r="C4445" s="20"/>
      <c r="D4445" s="25" t="s">
        <v>26232</v>
      </c>
      <c r="E4445" s="25" t="s">
        <v>26300</v>
      </c>
      <c r="F4445" s="9" t="str">
        <f t="shared" si="62"/>
        <v>structure with developmental contribution from neural crest</v>
      </c>
      <c r="G4445" s="9" t="s">
        <v>5090</v>
      </c>
      <c r="H4445" s="9" t="s">
        <v>23167</v>
      </c>
      <c r="I4445" s="9" t="s">
        <v>8215</v>
      </c>
      <c r="J4445" s="9" t="s">
        <v>8216</v>
      </c>
      <c r="K4445" s="4" t="s">
        <v>15175</v>
      </c>
      <c r="L4445" s="13">
        <v>146034718</v>
      </c>
      <c r="M4445" t="str">
        <f>VLOOKUP(L4445,[1]Human_BrainSpan!$B$2:$C$4000,2,FALSE)</f>
        <v>CoPd</v>
      </c>
    </row>
    <row r="4446" spans="2:13" x14ac:dyDescent="0.25">
      <c r="B4446" s="31" t="s">
        <v>26303</v>
      </c>
      <c r="C4446" s="20"/>
      <c r="D4446" s="25" t="s">
        <v>26232</v>
      </c>
      <c r="E4446" s="25" t="s">
        <v>26300</v>
      </c>
      <c r="F4446" s="9" t="str">
        <f t="shared" si="62"/>
        <v>structure with developmental contribution from neural crest</v>
      </c>
      <c r="G4446" s="9" t="s">
        <v>5090</v>
      </c>
      <c r="H4446" s="9" t="s">
        <v>16748</v>
      </c>
      <c r="I4446" s="9" t="s">
        <v>8217</v>
      </c>
      <c r="J4446" s="9" t="s">
        <v>8218</v>
      </c>
      <c r="K4446" s="4" t="s">
        <v>15175</v>
      </c>
      <c r="L4446" s="13">
        <v>146034722</v>
      </c>
      <c r="M4446" t="str">
        <f>VLOOKUP(L4446,[1]Human_BrainSpan!$B$2:$C$4000,2,FALSE)</f>
        <v>CoPv</v>
      </c>
    </row>
    <row r="4447" spans="2:13" x14ac:dyDescent="0.25">
      <c r="B4447" s="31" t="s">
        <v>26303</v>
      </c>
      <c r="C4447" s="25" t="s">
        <v>25774</v>
      </c>
      <c r="D4447" s="25" t="s">
        <v>26232</v>
      </c>
      <c r="E4447" s="25"/>
      <c r="F4447" s="9" t="str">
        <f t="shared" si="62"/>
        <v>structure with developmental contribution from neural crest</v>
      </c>
      <c r="G4447" s="9" t="s">
        <v>5090</v>
      </c>
      <c r="H4447" s="9" t="s">
        <v>23175</v>
      </c>
      <c r="I4447" s="9" t="s">
        <v>8219</v>
      </c>
      <c r="J4447" s="9" t="s">
        <v>8220</v>
      </c>
      <c r="K4447" s="4" t="s">
        <v>15175</v>
      </c>
      <c r="L4447" s="13">
        <v>146034726</v>
      </c>
      <c r="M4447" t="str">
        <f>VLOOKUP(L4447,[1]Human_BrainSpan!$B$2:$C$4000,2,FALSE)</f>
        <v>AHAmc</v>
      </c>
    </row>
    <row r="4448" spans="2:13" x14ac:dyDescent="0.25">
      <c r="B4448" s="31" t="s">
        <v>26303</v>
      </c>
      <c r="C4448" s="25" t="s">
        <v>25775</v>
      </c>
      <c r="D4448" s="25" t="s">
        <v>26232</v>
      </c>
      <c r="E4448" s="25"/>
      <c r="F4448" s="9" t="str">
        <f t="shared" si="62"/>
        <v>structure with developmental contribution from neural crest</v>
      </c>
      <c r="G4448" s="9" t="s">
        <v>5090</v>
      </c>
      <c r="H4448" s="9" t="s">
        <v>23176</v>
      </c>
      <c r="I4448" s="9" t="s">
        <v>8221</v>
      </c>
      <c r="J4448" s="9" t="s">
        <v>8222</v>
      </c>
      <c r="K4448" s="4" t="s">
        <v>15175</v>
      </c>
      <c r="L4448" s="13">
        <v>146034730</v>
      </c>
      <c r="M4448" t="str">
        <f>VLOOKUP(L4448,[1]Human_BrainSpan!$B$2:$C$4000,2,FALSE)</f>
        <v>AHApc</v>
      </c>
    </row>
    <row r="4449" spans="2:13" x14ac:dyDescent="0.25">
      <c r="B4449" s="31" t="s">
        <v>26303</v>
      </c>
      <c r="C4449" s="20"/>
      <c r="D4449" s="25" t="s">
        <v>26232</v>
      </c>
      <c r="E4449" s="25"/>
      <c r="F4449" s="9" t="str">
        <f t="shared" si="62"/>
        <v>structure with developmental contribution from neural crest</v>
      </c>
      <c r="G4449" s="9" t="s">
        <v>5090</v>
      </c>
      <c r="H4449" s="9" t="s">
        <v>23188</v>
      </c>
      <c r="I4449" s="9" t="s">
        <v>8223</v>
      </c>
      <c r="J4449" s="9" t="s">
        <v>8224</v>
      </c>
      <c r="K4449" s="4" t="s">
        <v>15175</v>
      </c>
      <c r="L4449" s="13">
        <v>146034734</v>
      </c>
      <c r="M4449" t="str">
        <f>VLOOKUP(L4449,[1]Human_BrainSpan!$B$2:$C$4000,2,FALSE)</f>
        <v>LaVglo</v>
      </c>
    </row>
    <row r="4450" spans="2:13" x14ac:dyDescent="0.25">
      <c r="B4450" s="31" t="s">
        <v>26303</v>
      </c>
      <c r="C4450" s="20"/>
      <c r="D4450" s="25" t="s">
        <v>26232</v>
      </c>
      <c r="E4450" s="25" t="s">
        <v>26300</v>
      </c>
      <c r="F4450" s="9" t="str">
        <f t="shared" si="62"/>
        <v>structure with developmental contribution from neural crest</v>
      </c>
      <c r="G4450" s="9" t="s">
        <v>5090</v>
      </c>
      <c r="H4450" s="9" t="s">
        <v>23204</v>
      </c>
      <c r="I4450" s="9" t="s">
        <v>8225</v>
      </c>
      <c r="J4450" s="9" t="s">
        <v>8226</v>
      </c>
      <c r="K4450" s="4" t="s">
        <v>15175</v>
      </c>
      <c r="L4450" s="13">
        <v>146034738</v>
      </c>
      <c r="M4450" t="str">
        <f>VLOOKUP(L4450,[1]Human_BrainSpan!$B$2:$C$4000,2,FALSE)</f>
        <v>PLglo</v>
      </c>
    </row>
    <row r="4451" spans="2:13" x14ac:dyDescent="0.25">
      <c r="B4451" s="31" t="s">
        <v>26303</v>
      </c>
      <c r="C4451" s="25" t="s">
        <v>26151</v>
      </c>
      <c r="D4451" s="25" t="s">
        <v>26185</v>
      </c>
      <c r="E4451" s="25"/>
      <c r="F4451" s="9" t="str">
        <f t="shared" si="62"/>
        <v>structure with developmental contribution from neural crest</v>
      </c>
      <c r="G4451" s="9" t="s">
        <v>5090</v>
      </c>
      <c r="H4451" s="9" t="s">
        <v>23248</v>
      </c>
      <c r="I4451" s="9" t="s">
        <v>8227</v>
      </c>
      <c r="J4451" s="9" t="s">
        <v>8228</v>
      </c>
      <c r="K4451" s="4" t="s">
        <v>15175</v>
      </c>
      <c r="L4451" s="13">
        <v>146034742</v>
      </c>
      <c r="M4451" t="str">
        <f>VLOOKUP(L4451,[1]Human_BrainSpan!$B$2:$C$4000,2,FALSE)</f>
        <v>Eca</v>
      </c>
    </row>
    <row r="4452" spans="2:13" x14ac:dyDescent="0.25">
      <c r="B4452" s="31" t="s">
        <v>26303</v>
      </c>
      <c r="C4452" s="25"/>
      <c r="D4452" s="25" t="s">
        <v>26185</v>
      </c>
      <c r="E4452" s="25" t="s">
        <v>26300</v>
      </c>
      <c r="F4452" s="9" t="str">
        <f t="shared" si="62"/>
        <v>structure with developmental contribution from neural crest</v>
      </c>
      <c r="G4452" s="9" t="s">
        <v>5090</v>
      </c>
      <c r="H4452" s="9" t="s">
        <v>23249</v>
      </c>
      <c r="I4452" s="9" t="s">
        <v>8229</v>
      </c>
      <c r="J4452" s="9" t="s">
        <v>8230</v>
      </c>
      <c r="K4452" s="4" t="s">
        <v>15175</v>
      </c>
      <c r="L4452" s="13">
        <v>146034746</v>
      </c>
      <c r="M4452" t="str">
        <f>VLOOKUP(L4452,[1]Human_BrainSpan!$B$2:$C$4000,2,FALSE)</f>
        <v>CaPu</v>
      </c>
    </row>
    <row r="4453" spans="2:13" x14ac:dyDescent="0.25">
      <c r="B4453" s="31" t="s">
        <v>26303</v>
      </c>
      <c r="C4453" s="25" t="s">
        <v>4204</v>
      </c>
      <c r="D4453" s="25" t="s">
        <v>26232</v>
      </c>
      <c r="E4453" s="25"/>
      <c r="F4453" s="9" t="str">
        <f t="shared" si="62"/>
        <v>structure with developmental contribution from neural crest</v>
      </c>
      <c r="G4453" s="9" t="s">
        <v>5090</v>
      </c>
      <c r="H4453" s="9" t="s">
        <v>23252</v>
      </c>
      <c r="I4453" s="9" t="s">
        <v>8231</v>
      </c>
      <c r="J4453" s="9" t="s">
        <v>8232</v>
      </c>
      <c r="K4453" s="4" t="s">
        <v>15175</v>
      </c>
      <c r="L4453" s="13">
        <v>146034750</v>
      </c>
      <c r="M4453" t="str">
        <f>VLOOKUP(L4453,[1]Human_BrainSpan!$B$2:$C$4000,2,FALSE)</f>
        <v>PuRv</v>
      </c>
    </row>
    <row r="4454" spans="2:13" x14ac:dyDescent="0.25">
      <c r="B4454" s="31" t="s">
        <v>26303</v>
      </c>
      <c r="C4454" s="25" t="s">
        <v>4204</v>
      </c>
      <c r="D4454" s="25" t="s">
        <v>26232</v>
      </c>
      <c r="E4454" s="25"/>
      <c r="F4454" s="9" t="str">
        <f t="shared" si="62"/>
        <v>structure with developmental contribution from neural crest</v>
      </c>
      <c r="G4454" s="9" t="s">
        <v>5090</v>
      </c>
      <c r="H4454" s="9" t="s">
        <v>23257</v>
      </c>
      <c r="I4454" s="9" t="s">
        <v>8233</v>
      </c>
      <c r="J4454" s="9" t="s">
        <v>8234</v>
      </c>
      <c r="K4454" s="4" t="s">
        <v>15175</v>
      </c>
      <c r="L4454" s="13">
        <v>146034754</v>
      </c>
      <c r="M4454" t="str">
        <f>VLOOKUP(L4454,[1]Human_BrainSpan!$B$2:$C$4000,2,FALSE)</f>
        <v>PuPV</v>
      </c>
    </row>
    <row r="4455" spans="2:13" x14ac:dyDescent="0.25">
      <c r="B4455" s="31" t="s">
        <v>26303</v>
      </c>
      <c r="C4455" s="20"/>
      <c r="D4455" s="25" t="s">
        <v>26185</v>
      </c>
      <c r="E4455" s="25" t="s">
        <v>26300</v>
      </c>
      <c r="F4455" s="9" t="str">
        <f t="shared" si="62"/>
        <v>structure with developmental contribution from neural crest</v>
      </c>
      <c r="G4455" s="9" t="s">
        <v>5090</v>
      </c>
      <c r="H4455" s="9" t="s">
        <v>23270</v>
      </c>
      <c r="I4455" s="9" t="s">
        <v>8235</v>
      </c>
      <c r="J4455" s="9" t="s">
        <v>8236</v>
      </c>
      <c r="K4455" s="4" t="s">
        <v>15175</v>
      </c>
      <c r="L4455" s="13">
        <v>146034758</v>
      </c>
      <c r="M4455" t="str">
        <f>VLOOKUP(L4455,[1]Human_BrainSpan!$B$2:$C$4000,2,FALSE)</f>
        <v>EnPN</v>
      </c>
    </row>
    <row r="4456" spans="2:13" x14ac:dyDescent="0.25">
      <c r="B4456" s="31" t="s">
        <v>26303</v>
      </c>
      <c r="C4456" s="25" t="s">
        <v>25876</v>
      </c>
      <c r="D4456" s="25" t="s">
        <v>26232</v>
      </c>
      <c r="E4456" s="25"/>
      <c r="F4456" s="9" t="str">
        <f t="shared" si="62"/>
        <v>structure with developmental contribution from neural crest</v>
      </c>
      <c r="G4456" s="9" t="s">
        <v>5090</v>
      </c>
      <c r="H4456" s="9" t="s">
        <v>23275</v>
      </c>
      <c r="I4456" s="9" t="s">
        <v>8237</v>
      </c>
      <c r="J4456" s="9" t="s">
        <v>8238</v>
      </c>
      <c r="K4456" s="4" t="s">
        <v>15175</v>
      </c>
      <c r="L4456" s="13">
        <v>146034762</v>
      </c>
      <c r="M4456" t="str">
        <f>VLOOKUP(L4456,[1]Human_BrainSpan!$B$2:$C$4000,2,FALSE)</f>
        <v>CLt</v>
      </c>
    </row>
    <row r="4457" spans="2:13" x14ac:dyDescent="0.25">
      <c r="B4457" s="31" t="s">
        <v>26303</v>
      </c>
      <c r="C4457" s="25" t="s">
        <v>1281</v>
      </c>
      <c r="D4457" s="25" t="s">
        <v>26232</v>
      </c>
      <c r="E4457" s="25"/>
      <c r="F4457" s="9" t="str">
        <f t="shared" si="62"/>
        <v>structure with developmental contribution from neural crest</v>
      </c>
      <c r="G4457" s="9" t="s">
        <v>5090</v>
      </c>
      <c r="H4457" s="9" t="s">
        <v>23709</v>
      </c>
      <c r="I4457" s="9" t="s">
        <v>8239</v>
      </c>
      <c r="J4457" s="9" t="s">
        <v>8240</v>
      </c>
      <c r="K4457" s="4" t="s">
        <v>15175</v>
      </c>
      <c r="L4457" s="13">
        <v>146034772</v>
      </c>
      <c r="M4457" t="str">
        <f>VLOOKUP(L4457,[1]Human_BrainSpan!$B$2:$C$4000,2,FALSE)</f>
        <v>cols-r</v>
      </c>
    </row>
    <row r="4458" spans="2:13" x14ac:dyDescent="0.25">
      <c r="B4458" s="31" t="s">
        <v>26303</v>
      </c>
      <c r="C4458" s="25" t="s">
        <v>1281</v>
      </c>
      <c r="D4458" s="25" t="s">
        <v>26232</v>
      </c>
      <c r="E4458" s="25"/>
      <c r="F4458" s="9" t="str">
        <f t="shared" si="62"/>
        <v>structure with developmental contribution from neural crest</v>
      </c>
      <c r="G4458" s="9" t="s">
        <v>5090</v>
      </c>
      <c r="H4458" s="9" t="s">
        <v>23710</v>
      </c>
      <c r="I4458" s="9" t="s">
        <v>8241</v>
      </c>
      <c r="J4458" s="9" t="s">
        <v>8242</v>
      </c>
      <c r="K4458" s="4" t="s">
        <v>15175</v>
      </c>
      <c r="L4458" s="13">
        <v>146034776</v>
      </c>
      <c r="M4458" t="str">
        <f>VLOOKUP(L4458,[1]Human_BrainSpan!$B$2:$C$4000,2,FALSE)</f>
        <v>cols-c</v>
      </c>
    </row>
    <row r="4459" spans="2:13" x14ac:dyDescent="0.25">
      <c r="B4459" s="31" t="s">
        <v>26303</v>
      </c>
      <c r="C4459" s="25" t="s">
        <v>3741</v>
      </c>
      <c r="D4459" s="25" t="s">
        <v>26232</v>
      </c>
      <c r="E4459" s="25"/>
      <c r="F4459" s="9" t="str">
        <f t="shared" si="62"/>
        <v>structure with developmental contribution from neural crest</v>
      </c>
      <c r="G4459" s="9" t="s">
        <v>5090</v>
      </c>
      <c r="H4459" s="9" t="s">
        <v>23724</v>
      </c>
      <c r="I4459" s="9" t="s">
        <v>8243</v>
      </c>
      <c r="J4459" s="9" t="s">
        <v>8244</v>
      </c>
      <c r="K4459" s="4" t="s">
        <v>15175</v>
      </c>
      <c r="L4459" s="13">
        <v>146034780</v>
      </c>
      <c r="M4459" t="str">
        <f>VLOOKUP(L4459,[1]Human_BrainSpan!$B$2:$C$4000,2,FALSE)</f>
        <v>pos-le</v>
      </c>
    </row>
    <row r="4460" spans="2:13" x14ac:dyDescent="0.25">
      <c r="B4460" s="31" t="s">
        <v>26303</v>
      </c>
      <c r="C4460" s="25" t="s">
        <v>14960</v>
      </c>
      <c r="D4460" s="25" t="s">
        <v>26232</v>
      </c>
      <c r="E4460" s="25"/>
      <c r="F4460" s="9" t="str">
        <f t="shared" si="62"/>
        <v>structure with developmental contribution from neural crest</v>
      </c>
      <c r="G4460" s="9" t="s">
        <v>5090</v>
      </c>
      <c r="H4460" s="9" t="s">
        <v>23783</v>
      </c>
      <c r="I4460" s="9" t="s">
        <v>8245</v>
      </c>
      <c r="J4460" s="9" t="s">
        <v>8246</v>
      </c>
      <c r="K4460" s="4" t="s">
        <v>15175</v>
      </c>
      <c r="L4460" s="13">
        <v>146034856</v>
      </c>
      <c r="M4460" t="str">
        <f>VLOOKUP(L4460,[1]Human_BrainSpan!$B$2:$C$4000,2,FALSE)</f>
        <v>atts</v>
      </c>
    </row>
    <row r="4461" spans="2:13" x14ac:dyDescent="0.25">
      <c r="B4461" s="31" t="s">
        <v>26303</v>
      </c>
      <c r="C4461" s="25" t="s">
        <v>14960</v>
      </c>
      <c r="D4461" s="25" t="s">
        <v>26232</v>
      </c>
      <c r="E4461" s="25"/>
      <c r="F4461" s="9" t="str">
        <f t="shared" si="62"/>
        <v>structure with developmental contribution from neural crest</v>
      </c>
      <c r="G4461" s="9" t="s">
        <v>5090</v>
      </c>
      <c r="H4461" s="9" t="s">
        <v>23784</v>
      </c>
      <c r="I4461" s="9" t="s">
        <v>8247</v>
      </c>
      <c r="J4461" s="9" t="s">
        <v>8248</v>
      </c>
      <c r="K4461" s="4" t="s">
        <v>15175</v>
      </c>
      <c r="L4461" s="13">
        <v>146034860</v>
      </c>
      <c r="M4461" t="str">
        <f>VLOOKUP(L4461,[1]Human_BrainSpan!$B$2:$C$4000,2,FALSE)</f>
        <v>ptts</v>
      </c>
    </row>
    <row r="4462" spans="2:13" x14ac:dyDescent="0.25">
      <c r="B4462" s="31" t="s">
        <v>26303</v>
      </c>
      <c r="C4462" s="25" t="s">
        <v>14960</v>
      </c>
      <c r="D4462" s="25" t="s">
        <v>26232</v>
      </c>
      <c r="E4462" s="25"/>
      <c r="F4462" s="9" t="str">
        <f t="shared" si="62"/>
        <v>structure with developmental contribution from neural crest</v>
      </c>
      <c r="G4462" s="9" t="s">
        <v>5090</v>
      </c>
      <c r="H4462" s="9" t="s">
        <v>23785</v>
      </c>
      <c r="I4462" s="9" t="s">
        <v>8249</v>
      </c>
      <c r="J4462" s="9" t="s">
        <v>8250</v>
      </c>
      <c r="K4462" s="4" t="s">
        <v>15175</v>
      </c>
      <c r="L4462" s="13">
        <v>146034864</v>
      </c>
      <c r="M4462" t="str">
        <f>VLOOKUP(L4462,[1]Human_BrainSpan!$B$2:$C$4000,2,FALSE)</f>
        <v>ims</v>
      </c>
    </row>
    <row r="4463" spans="2:13" x14ac:dyDescent="0.25">
      <c r="B4463" s="31" t="s">
        <v>26303</v>
      </c>
      <c r="C4463" s="25" t="s">
        <v>14960</v>
      </c>
      <c r="D4463" s="25" t="s">
        <v>26232</v>
      </c>
      <c r="E4463" s="25"/>
      <c r="F4463" s="9" t="str">
        <f t="shared" si="62"/>
        <v>structure with developmental contribution from neural crest</v>
      </c>
      <c r="G4463" s="9" t="s">
        <v>5090</v>
      </c>
      <c r="H4463" s="9" t="s">
        <v>23786</v>
      </c>
      <c r="I4463" s="9" t="s">
        <v>8251</v>
      </c>
      <c r="J4463" s="9" t="s">
        <v>8252</v>
      </c>
      <c r="K4463" s="4" t="s">
        <v>15175</v>
      </c>
      <c r="L4463" s="13">
        <v>146034868</v>
      </c>
      <c r="M4463" t="str">
        <f>VLOOKUP(L4463,[1]Human_BrainSpan!$B$2:$C$4000,2,FALSE)</f>
        <v>tts-le</v>
      </c>
    </row>
    <row r="4464" spans="2:13" x14ac:dyDescent="0.25">
      <c r="B4464" s="31" t="s">
        <v>26303</v>
      </c>
      <c r="C4464" s="20"/>
      <c r="D4464" s="25" t="s">
        <v>26185</v>
      </c>
      <c r="E4464" s="25" t="s">
        <v>26300</v>
      </c>
      <c r="F4464" s="9" t="str">
        <f t="shared" si="62"/>
        <v>structure with developmental contribution from neural crest</v>
      </c>
      <c r="G4464" s="9" t="s">
        <v>5090</v>
      </c>
      <c r="H4464" s="9" t="s">
        <v>23812</v>
      </c>
      <c r="I4464" s="9" t="s">
        <v>8253</v>
      </c>
      <c r="J4464" s="9" t="s">
        <v>8254</v>
      </c>
      <c r="K4464" s="4" t="s">
        <v>15175</v>
      </c>
      <c r="L4464" s="13">
        <v>146034884</v>
      </c>
      <c r="M4464" t="str">
        <f>VLOOKUP(L4464,[1]Human_BrainSpan!$B$2:$C$4000,2,FALSE)</f>
        <v>FMG</v>
      </c>
    </row>
    <row r="4465" spans="2:13" x14ac:dyDescent="0.25">
      <c r="B4465" s="31" t="s">
        <v>26303</v>
      </c>
      <c r="C4465" s="20"/>
      <c r="D4465" s="25" t="s">
        <v>26232</v>
      </c>
      <c r="E4465" s="25" t="s">
        <v>26300</v>
      </c>
      <c r="F4465" s="9" t="str">
        <f t="shared" si="62"/>
        <v>structure with developmental contribution from neural crest</v>
      </c>
      <c r="G4465" s="9" t="s">
        <v>5090</v>
      </c>
      <c r="H4465" s="9" t="s">
        <v>23827</v>
      </c>
      <c r="I4465" s="9" t="s">
        <v>8255</v>
      </c>
      <c r="J4465" s="9" t="s">
        <v>8256</v>
      </c>
      <c r="K4465" s="4" t="s">
        <v>15175</v>
      </c>
      <c r="L4465" s="13">
        <v>146034892</v>
      </c>
      <c r="M4465" t="str">
        <f>VLOOKUP(L4465,[1]Human_BrainSpan!$B$2:$C$4000,2,FALSE)</f>
        <v>PRG</v>
      </c>
    </row>
    <row r="4466" spans="2:13" x14ac:dyDescent="0.25">
      <c r="B4466" s="31" t="s">
        <v>26303</v>
      </c>
      <c r="C4466" s="25" t="s">
        <v>26184</v>
      </c>
      <c r="D4466" s="25" t="s">
        <v>26232</v>
      </c>
      <c r="E4466" s="25"/>
      <c r="F4466" s="9" t="str">
        <f t="shared" si="62"/>
        <v>structure with developmental contribution from neural crest</v>
      </c>
      <c r="G4466" s="9" t="s">
        <v>5090</v>
      </c>
      <c r="H4466" s="9" t="s">
        <v>23833</v>
      </c>
      <c r="I4466" s="9" t="s">
        <v>8257</v>
      </c>
      <c r="J4466" s="9" t="s">
        <v>8258</v>
      </c>
      <c r="K4466" s="4" t="s">
        <v>15175</v>
      </c>
      <c r="L4466" s="13">
        <v>146034896</v>
      </c>
      <c r="M4466" t="str">
        <f>VLOOKUP(L4466,[1]Human_BrainSpan!$B$2:$C$4000,2,FALSE)</f>
        <v>PRL</v>
      </c>
    </row>
    <row r="4467" spans="2:13" x14ac:dyDescent="0.25">
      <c r="B4467" s="31" t="s">
        <v>26303</v>
      </c>
      <c r="C4467" s="20"/>
      <c r="D4467" s="25" t="s">
        <v>26232</v>
      </c>
      <c r="E4467" s="25" t="s">
        <v>26300</v>
      </c>
      <c r="F4467" s="9" t="str">
        <f t="shared" si="62"/>
        <v>structure with developmental contribution from neural crest</v>
      </c>
      <c r="G4467" s="9" t="s">
        <v>5090</v>
      </c>
      <c r="H4467" s="9" t="s">
        <v>23836</v>
      </c>
      <c r="I4467" s="9" t="s">
        <v>8259</v>
      </c>
      <c r="J4467" s="9" t="s">
        <v>8260</v>
      </c>
      <c r="K4467" s="4" t="s">
        <v>15175</v>
      </c>
      <c r="L4467" s="13">
        <v>146034900</v>
      </c>
      <c r="M4467" t="str">
        <f>VLOOKUP(L4467,[1]Human_BrainSpan!$B$2:$C$4000,2,FALSE)</f>
        <v>OPR</v>
      </c>
    </row>
    <row r="4468" spans="2:13" x14ac:dyDescent="0.25">
      <c r="B4468" s="31" t="s">
        <v>26303</v>
      </c>
      <c r="C4468" s="20"/>
      <c r="D4468" s="25" t="s">
        <v>26232</v>
      </c>
      <c r="E4468" s="25"/>
      <c r="F4468" s="9" t="str">
        <f t="shared" si="62"/>
        <v>structure with developmental contribution from neural crest</v>
      </c>
      <c r="G4468" s="9" t="s">
        <v>5090</v>
      </c>
      <c r="H4468" s="9" t="s">
        <v>23837</v>
      </c>
      <c r="I4468" s="9" t="s">
        <v>8261</v>
      </c>
      <c r="J4468" s="9" t="s">
        <v>8262</v>
      </c>
      <c r="K4468" s="4" t="s">
        <v>15175</v>
      </c>
      <c r="L4468" s="13">
        <v>146034904</v>
      </c>
      <c r="M4468" t="str">
        <f>VLOOKUP(L4468,[1]Human_BrainSpan!$B$2:$C$4000,2,FALSE)</f>
        <v>OTR</v>
      </c>
    </row>
    <row r="4469" spans="2:13" x14ac:dyDescent="0.25">
      <c r="B4469" s="31" t="s">
        <v>26303</v>
      </c>
      <c r="C4469" s="25" t="s">
        <v>2257</v>
      </c>
      <c r="D4469" s="25" t="s">
        <v>26232</v>
      </c>
      <c r="E4469" s="25"/>
      <c r="F4469" s="9" t="str">
        <f t="shared" si="62"/>
        <v>structure with developmental contribution from neural crest</v>
      </c>
      <c r="G4469" s="9" t="s">
        <v>5090</v>
      </c>
      <c r="H4469" s="9" t="s">
        <v>24299</v>
      </c>
      <c r="I4469" s="9" t="s">
        <v>8263</v>
      </c>
      <c r="J4469" s="9" t="s">
        <v>8264</v>
      </c>
      <c r="K4469" s="4" t="s">
        <v>15175</v>
      </c>
      <c r="L4469" s="13">
        <v>146034960</v>
      </c>
      <c r="M4469" t="str">
        <f>VLOOKUP(L4469,[1]Human_BrainSpan!$B$2:$C$4000,2,FALSE)</f>
        <v>VTgR</v>
      </c>
    </row>
    <row r="4470" spans="2:13" x14ac:dyDescent="0.25">
      <c r="B4470" s="31" t="s">
        <v>26303</v>
      </c>
      <c r="C4470" s="25" t="s">
        <v>26151</v>
      </c>
      <c r="D4470" s="25" t="s">
        <v>26232</v>
      </c>
      <c r="E4470" s="25"/>
      <c r="F4470" s="9" t="str">
        <f t="shared" si="62"/>
        <v>structure with developmental contribution from neural crest</v>
      </c>
      <c r="G4470" s="9" t="s">
        <v>5090</v>
      </c>
      <c r="H4470" s="9" t="s">
        <v>24346</v>
      </c>
      <c r="I4470" s="9" t="s">
        <v>8265</v>
      </c>
      <c r="J4470" s="9" t="s">
        <v>8266</v>
      </c>
      <c r="K4470" s="4" t="s">
        <v>15175</v>
      </c>
      <c r="L4470" s="13">
        <v>146034968</v>
      </c>
      <c r="M4470" t="str">
        <f>VLOOKUP(L4470,[1]Human_BrainSpan!$B$2:$C$4000,2,FALSE)</f>
        <v>PnE</v>
      </c>
    </row>
    <row r="4471" spans="2:13" x14ac:dyDescent="0.25">
      <c r="B4471" s="31" t="s">
        <v>26303</v>
      </c>
      <c r="C4471" s="25" t="s">
        <v>3251</v>
      </c>
      <c r="D4471" s="25" t="s">
        <v>26232</v>
      </c>
      <c r="E4471" s="25"/>
      <c r="F4471" s="9" t="str">
        <f t="shared" ref="F4471:F4534" si="63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4471" s="9" t="s">
        <v>5090</v>
      </c>
      <c r="H4471" s="9" t="s">
        <v>20381</v>
      </c>
      <c r="I4471" s="9" t="s">
        <v>3251</v>
      </c>
      <c r="J4471" s="9" t="s">
        <v>3252</v>
      </c>
      <c r="K4471" s="4" t="s">
        <v>15175</v>
      </c>
      <c r="L4471" s="13">
        <v>146034972</v>
      </c>
      <c r="M4471" t="str">
        <f>VLOOKUP(L4471,[1]Human_BrainSpan!$B$2:$C$4000,2,FALSE)</f>
        <v>NI</v>
      </c>
    </row>
    <row r="4472" spans="2:13" x14ac:dyDescent="0.25">
      <c r="B4472" s="31" t="s">
        <v>26303</v>
      </c>
      <c r="C4472" s="20"/>
      <c r="D4472" s="25" t="s">
        <v>26232</v>
      </c>
      <c r="E4472" s="25" t="s">
        <v>26309</v>
      </c>
      <c r="F4472" s="9" t="str">
        <f t="shared" si="63"/>
        <v>structure with developmental contribution from neural crest</v>
      </c>
      <c r="G4472" s="9" t="s">
        <v>5090</v>
      </c>
      <c r="H4472" s="9" t="s">
        <v>24472</v>
      </c>
      <c r="I4472" s="9" t="s">
        <v>8267</v>
      </c>
      <c r="J4472" s="9" t="s">
        <v>8268</v>
      </c>
      <c r="K4472" s="4" t="s">
        <v>15175</v>
      </c>
      <c r="L4472" s="13">
        <v>146034978</v>
      </c>
      <c r="M4472" t="str">
        <f>VLOOKUP(L4472,[1]Human_BrainSpan!$B$2:$C$4000,2,FALSE)</f>
        <v>NPRa</v>
      </c>
    </row>
    <row r="4473" spans="2:13" x14ac:dyDescent="0.25">
      <c r="B4473" s="31" t="s">
        <v>26303</v>
      </c>
      <c r="C4473" s="20"/>
      <c r="D4473" s="25" t="s">
        <v>26232</v>
      </c>
      <c r="E4473" s="25" t="s">
        <v>26300</v>
      </c>
      <c r="F4473" s="9" t="str">
        <f t="shared" si="63"/>
        <v>structure with developmental contribution from neural crest</v>
      </c>
      <c r="G4473" s="9" t="s">
        <v>5090</v>
      </c>
      <c r="H4473" s="9" t="s">
        <v>24475</v>
      </c>
      <c r="I4473" s="9" t="s">
        <v>8269</v>
      </c>
      <c r="J4473" s="9" t="s">
        <v>8270</v>
      </c>
      <c r="K4473" s="4" t="s">
        <v>15175</v>
      </c>
      <c r="L4473" s="13">
        <v>146034982</v>
      </c>
      <c r="M4473" t="str">
        <f>VLOOKUP(L4473,[1]Human_BrainSpan!$B$2:$C$4000,2,FALSE)</f>
        <v>BI</v>
      </c>
    </row>
    <row r="4474" spans="2:13" x14ac:dyDescent="0.25">
      <c r="B4474" s="31" t="s">
        <v>26303</v>
      </c>
      <c r="C4474" s="25" t="s">
        <v>26151</v>
      </c>
      <c r="D4474" s="25" t="s">
        <v>26232</v>
      </c>
      <c r="E4474" s="25"/>
      <c r="F4474" s="9" t="str">
        <f t="shared" si="63"/>
        <v>structure with developmental contribution from neural crest</v>
      </c>
      <c r="G4474" s="9" t="s">
        <v>5090</v>
      </c>
      <c r="H4474" s="9" t="s">
        <v>24480</v>
      </c>
      <c r="I4474" s="9" t="s">
        <v>8271</v>
      </c>
      <c r="J4474" s="9" t="s">
        <v>8272</v>
      </c>
      <c r="K4474" s="4" t="s">
        <v>15175</v>
      </c>
      <c r="L4474" s="13">
        <v>146034990</v>
      </c>
      <c r="M4474" t="str">
        <f>VLOOKUP(L4474,[1]Human_BrainSpan!$B$2:$C$4000,2,FALSE)</f>
        <v>MoE</v>
      </c>
    </row>
    <row r="4475" spans="2:13" x14ac:dyDescent="0.25">
      <c r="B4475" s="31" t="s">
        <v>26303</v>
      </c>
      <c r="C4475" s="20"/>
      <c r="D4475" s="25" t="s">
        <v>26232</v>
      </c>
      <c r="E4475" s="25"/>
      <c r="F4475" s="9" t="str">
        <f t="shared" si="63"/>
        <v>structure with developmental contribution from neural crest</v>
      </c>
      <c r="G4475" s="9" t="s">
        <v>5090</v>
      </c>
      <c r="H4475" s="9" t="s">
        <v>18331</v>
      </c>
      <c r="I4475" s="9" t="s">
        <v>8273</v>
      </c>
      <c r="J4475" s="9" t="s">
        <v>8274</v>
      </c>
      <c r="K4475" s="4" t="s">
        <v>15175</v>
      </c>
      <c r="L4475" s="13">
        <v>146034994</v>
      </c>
      <c r="M4475" t="str">
        <f>VLOOKUP(L4475,[1]Human_BrainSpan!$B$2:$C$4000,2,FALSE)</f>
        <v>IB</v>
      </c>
    </row>
    <row r="4476" spans="2:13" x14ac:dyDescent="0.25">
      <c r="B4476" s="31" t="s">
        <v>26303</v>
      </c>
      <c r="C4476" s="20"/>
      <c r="D4476" s="25" t="s">
        <v>26185</v>
      </c>
      <c r="E4476" s="25" t="s">
        <v>26300</v>
      </c>
      <c r="F4476" s="9" t="str">
        <f t="shared" si="63"/>
        <v>structure with developmental contribution from neural crest</v>
      </c>
      <c r="G4476" s="9" t="s">
        <v>5090</v>
      </c>
      <c r="H4476" s="9" t="s">
        <v>24484</v>
      </c>
      <c r="I4476" s="9" t="s">
        <v>8275</v>
      </c>
      <c r="J4476" s="9" t="s">
        <v>8276</v>
      </c>
      <c r="K4476" s="4" t="s">
        <v>15175</v>
      </c>
      <c r="L4476" s="13">
        <v>146034998</v>
      </c>
      <c r="M4476" t="str">
        <f>VLOOKUP(L4476,[1]Human_BrainSpan!$B$2:$C$4000,2,FALSE)</f>
        <v>Nt</v>
      </c>
    </row>
    <row r="4477" spans="2:13" x14ac:dyDescent="0.25">
      <c r="B4477" s="31" t="s">
        <v>26303</v>
      </c>
      <c r="C4477" s="20"/>
      <c r="D4477" s="25" t="s">
        <v>26232</v>
      </c>
      <c r="E4477" s="25" t="s">
        <v>26300</v>
      </c>
      <c r="F4477" s="9" t="str">
        <f t="shared" si="63"/>
        <v>structure with developmental contribution from neural crest</v>
      </c>
      <c r="G4477" s="9" t="s">
        <v>5090</v>
      </c>
      <c r="H4477" s="9" t="s">
        <v>24675</v>
      </c>
      <c r="I4477" s="9" t="s">
        <v>8277</v>
      </c>
      <c r="J4477" s="9" t="s">
        <v>8278</v>
      </c>
      <c r="K4477" s="4" t="s">
        <v>15175</v>
      </c>
      <c r="L4477" s="13">
        <v>146035004</v>
      </c>
      <c r="M4477" t="str">
        <f>VLOOKUP(L4477,[1]Human_BrainSpan!$B$2:$C$4000,2,FALSE)</f>
        <v>ibif</v>
      </c>
    </row>
    <row r="4478" spans="2:13" x14ac:dyDescent="0.25">
      <c r="B4478" s="31" t="s">
        <v>26303</v>
      </c>
      <c r="C4478" s="20"/>
      <c r="D4478" s="25" t="s">
        <v>26232</v>
      </c>
      <c r="E4478" s="25" t="s">
        <v>26300</v>
      </c>
      <c r="F4478" s="9" t="str">
        <f t="shared" si="63"/>
        <v>structure with developmental contribution from neural crest</v>
      </c>
      <c r="G4478" s="9" t="s">
        <v>5090</v>
      </c>
      <c r="H4478" s="9" t="s">
        <v>24696</v>
      </c>
      <c r="I4478" s="9" t="s">
        <v>8279</v>
      </c>
      <c r="J4478" s="9" t="s">
        <v>8280</v>
      </c>
      <c r="K4478" s="4" t="s">
        <v>15175</v>
      </c>
      <c r="L4478" s="13">
        <v>146035008</v>
      </c>
      <c r="M4478" t="str">
        <f>VLOOKUP(L4478,[1]Human_BrainSpan!$B$2:$C$4000,2,FALSE)</f>
        <v>IsRh</v>
      </c>
    </row>
    <row r="4479" spans="2:13" x14ac:dyDescent="0.25">
      <c r="B4479" s="31" t="s">
        <v>26299</v>
      </c>
      <c r="C4479" s="25" t="s">
        <v>2007</v>
      </c>
      <c r="D4479" s="25" t="s">
        <v>26232</v>
      </c>
      <c r="E4479" s="25"/>
      <c r="F4479" s="9" t="str">
        <f t="shared" si="63"/>
        <v>structure with developmental contribution from neural crest</v>
      </c>
      <c r="G4479" s="9" t="s">
        <v>5090</v>
      </c>
      <c r="H4479" s="9" t="s">
        <v>24707</v>
      </c>
      <c r="I4479" s="9" t="s">
        <v>8281</v>
      </c>
      <c r="J4479" s="9" t="s">
        <v>8282</v>
      </c>
      <c r="K4479" s="4" t="s">
        <v>15175</v>
      </c>
      <c r="L4479" s="13">
        <v>146035012</v>
      </c>
      <c r="M4479" t="str">
        <f>VLOOKUP(L4479,[1]Human_BrainSpan!$B$2:$C$4000,2,FALSE)</f>
        <v>AS4V</v>
      </c>
    </row>
    <row r="4480" spans="2:13" x14ac:dyDescent="0.25">
      <c r="B4480" s="31" t="s">
        <v>26299</v>
      </c>
      <c r="C4480" s="25" t="s">
        <v>9891</v>
      </c>
      <c r="D4480" s="25" t="s">
        <v>26232</v>
      </c>
      <c r="E4480" s="25" t="s">
        <v>26306</v>
      </c>
      <c r="F4480" s="9" t="str">
        <f t="shared" si="63"/>
        <v>structure with developmental contribution from neural crest</v>
      </c>
      <c r="G4480" s="9" t="s">
        <v>5090</v>
      </c>
      <c r="H4480" s="9" t="s">
        <v>21296</v>
      </c>
      <c r="I4480" s="9" t="s">
        <v>8283</v>
      </c>
      <c r="J4480" s="9" t="s">
        <v>8284</v>
      </c>
      <c r="K4480" s="4" t="s">
        <v>15175</v>
      </c>
      <c r="L4480" s="13">
        <v>15502</v>
      </c>
      <c r="M4480" t="str">
        <f>VLOOKUP(L4480,[1]Human_BrainSpan!$B$2:$C$4000,2,FALSE)</f>
        <v>tCPdl</v>
      </c>
    </row>
    <row r="4481" spans="2:13" x14ac:dyDescent="0.25">
      <c r="B4481" s="31" t="s">
        <v>26299</v>
      </c>
      <c r="C4481" s="25" t="s">
        <v>9891</v>
      </c>
      <c r="D4481" s="25" t="s">
        <v>26232</v>
      </c>
      <c r="E4481" s="25" t="s">
        <v>26306</v>
      </c>
      <c r="F4481" s="9" t="str">
        <f t="shared" si="63"/>
        <v>structure with developmental contribution from neural crest</v>
      </c>
      <c r="G4481" s="9" t="s">
        <v>5090</v>
      </c>
      <c r="H4481" s="9" t="s">
        <v>21305</v>
      </c>
      <c r="I4481" s="9" t="s">
        <v>8285</v>
      </c>
      <c r="J4481" s="9" t="s">
        <v>8286</v>
      </c>
      <c r="K4481" s="4" t="s">
        <v>15175</v>
      </c>
      <c r="L4481" s="13">
        <v>15503</v>
      </c>
      <c r="M4481" t="str">
        <f>VLOOKUP(L4481,[1]Human_BrainSpan!$B$2:$C$4000,2,FALSE)</f>
        <v>tCPvl</v>
      </c>
    </row>
    <row r="4482" spans="2:13" x14ac:dyDescent="0.25">
      <c r="B4482" s="31" t="s">
        <v>26299</v>
      </c>
      <c r="C4482" s="25" t="s">
        <v>9891</v>
      </c>
      <c r="D4482" s="25" t="s">
        <v>26232</v>
      </c>
      <c r="E4482" s="25" t="s">
        <v>26306</v>
      </c>
      <c r="F4482" s="9" t="str">
        <f t="shared" si="63"/>
        <v>structure with developmental contribution from neural crest</v>
      </c>
      <c r="G4482" s="9" t="s">
        <v>5090</v>
      </c>
      <c r="H4482" s="9" t="s">
        <v>21412</v>
      </c>
      <c r="I4482" s="9" t="s">
        <v>8287</v>
      </c>
      <c r="J4482" s="9" t="s">
        <v>8288</v>
      </c>
      <c r="K4482" s="4" t="s">
        <v>15175</v>
      </c>
      <c r="L4482" s="13">
        <v>15504</v>
      </c>
      <c r="M4482" t="str">
        <f>VLOOKUP(L4482,[1]Human_BrainSpan!$B$2:$C$4000,2,FALSE)</f>
        <v>tSPdl</v>
      </c>
    </row>
    <row r="4483" spans="2:13" x14ac:dyDescent="0.25">
      <c r="B4483" s="31" t="s">
        <v>26299</v>
      </c>
      <c r="C4483" s="25" t="s">
        <v>9891</v>
      </c>
      <c r="D4483" s="25" t="s">
        <v>26232</v>
      </c>
      <c r="E4483" s="25" t="s">
        <v>26306</v>
      </c>
      <c r="F4483" s="9" t="str">
        <f t="shared" si="63"/>
        <v>structure with developmental contribution from neural crest</v>
      </c>
      <c r="G4483" s="9" t="s">
        <v>5090</v>
      </c>
      <c r="H4483" s="9" t="s">
        <v>21417</v>
      </c>
      <c r="I4483" s="9" t="s">
        <v>8289</v>
      </c>
      <c r="J4483" s="9" t="s">
        <v>8290</v>
      </c>
      <c r="K4483" s="4" t="s">
        <v>15175</v>
      </c>
      <c r="L4483" s="13">
        <v>15505</v>
      </c>
      <c r="M4483" t="str">
        <f>VLOOKUP(L4483,[1]Human_BrainSpan!$B$2:$C$4000,2,FALSE)</f>
        <v>tSPvl</v>
      </c>
    </row>
    <row r="4484" spans="2:13" x14ac:dyDescent="0.25">
      <c r="B4484" s="31" t="s">
        <v>26303</v>
      </c>
      <c r="C4484" s="20"/>
      <c r="D4484" s="25" t="s">
        <v>26185</v>
      </c>
      <c r="E4484" s="20" t="s">
        <v>26300</v>
      </c>
      <c r="F4484" s="9" t="str">
        <f t="shared" si="63"/>
        <v>structure with developmental contribution from neural crest</v>
      </c>
      <c r="G4484" s="9" t="s">
        <v>5090</v>
      </c>
      <c r="H4484" s="9" t="s">
        <v>22757</v>
      </c>
      <c r="I4484" s="9" t="s">
        <v>8291</v>
      </c>
      <c r="J4484" s="9" t="s">
        <v>8292</v>
      </c>
      <c r="K4484" s="4" t="s">
        <v>15175</v>
      </c>
      <c r="L4484" s="13">
        <v>15513</v>
      </c>
      <c r="M4484" t="str">
        <f>VLOOKUP(L4484,[1]Human_BrainSpan!$B$2:$C$4000,2,FALSE)</f>
        <v>RIdg</v>
      </c>
    </row>
    <row r="4485" spans="2:13" x14ac:dyDescent="0.25">
      <c r="B4485" s="31" t="s">
        <v>26303</v>
      </c>
      <c r="C4485" s="20"/>
      <c r="D4485" s="25" t="s">
        <v>26185</v>
      </c>
      <c r="E4485" s="20" t="s">
        <v>26300</v>
      </c>
      <c r="F4485" s="9" t="str">
        <f t="shared" si="63"/>
        <v>structure with developmental contribution from neural crest</v>
      </c>
      <c r="G4485" s="9" t="s">
        <v>5090</v>
      </c>
      <c r="H4485" s="9" t="s">
        <v>22764</v>
      </c>
      <c r="I4485" s="9" t="s">
        <v>8293</v>
      </c>
      <c r="J4485" s="9" t="s">
        <v>8294</v>
      </c>
      <c r="K4485" s="4" t="s">
        <v>15175</v>
      </c>
      <c r="L4485" s="13">
        <v>15514</v>
      </c>
      <c r="M4485" t="str">
        <f>VLOOKUP(L4485,[1]Human_BrainSpan!$B$2:$C$4000,2,FALSE)</f>
        <v>CIdg</v>
      </c>
    </row>
    <row r="4486" spans="2:13" x14ac:dyDescent="0.25">
      <c r="B4486" s="31" t="s">
        <v>26303</v>
      </c>
      <c r="C4486" s="20"/>
      <c r="D4486" s="25" t="s">
        <v>26185</v>
      </c>
      <c r="E4486" s="20" t="s">
        <v>26307</v>
      </c>
      <c r="F4486" s="9" t="str">
        <f t="shared" si="63"/>
        <v>structure with developmental contribution from neural crest</v>
      </c>
      <c r="G4486" s="9" t="s">
        <v>5090</v>
      </c>
      <c r="H4486" s="9" t="s">
        <v>22765</v>
      </c>
      <c r="I4486" s="9" t="s">
        <v>8295</v>
      </c>
      <c r="J4486" s="9" t="s">
        <v>8296</v>
      </c>
      <c r="K4486" s="4" t="s">
        <v>15175</v>
      </c>
      <c r="L4486" s="13">
        <v>15515</v>
      </c>
      <c r="M4486" t="str">
        <f>VLOOKUP(L4486,[1]Human_BrainSpan!$B$2:$C$4000,2,FALSE)</f>
        <v>CIdg1</v>
      </c>
    </row>
    <row r="4487" spans="2:13" x14ac:dyDescent="0.25">
      <c r="B4487" s="31" t="s">
        <v>26303</v>
      </c>
      <c r="C4487" s="20"/>
      <c r="D4487" s="25" t="s">
        <v>26185</v>
      </c>
      <c r="E4487" s="20" t="s">
        <v>26307</v>
      </c>
      <c r="F4487" s="9" t="str">
        <f t="shared" si="63"/>
        <v>structure with developmental contribution from neural crest</v>
      </c>
      <c r="G4487" s="9" t="s">
        <v>5090</v>
      </c>
      <c r="H4487" s="9" t="s">
        <v>22766</v>
      </c>
      <c r="I4487" s="9" t="s">
        <v>8297</v>
      </c>
      <c r="J4487" s="9" t="s">
        <v>8298</v>
      </c>
      <c r="K4487" s="4" t="s">
        <v>15175</v>
      </c>
      <c r="L4487" s="13">
        <v>15516</v>
      </c>
      <c r="M4487" t="str">
        <f>VLOOKUP(L4487,[1]Human_BrainSpan!$B$2:$C$4000,2,FALSE)</f>
        <v>CIdg2</v>
      </c>
    </row>
    <row r="4488" spans="2:13" x14ac:dyDescent="0.25">
      <c r="B4488" s="31" t="s">
        <v>26303</v>
      </c>
      <c r="C4488" s="20"/>
      <c r="D4488" s="25" t="s">
        <v>26185</v>
      </c>
      <c r="E4488" s="20" t="s">
        <v>26307</v>
      </c>
      <c r="F4488" s="9" t="str">
        <f t="shared" si="63"/>
        <v>structure with developmental contribution from neural crest</v>
      </c>
      <c r="G4488" s="9" t="s">
        <v>5090</v>
      </c>
      <c r="H4488" s="9" t="s">
        <v>22767</v>
      </c>
      <c r="I4488" s="9" t="s">
        <v>8299</v>
      </c>
      <c r="J4488" s="9" t="s">
        <v>8300</v>
      </c>
      <c r="K4488" s="4" t="s">
        <v>15175</v>
      </c>
      <c r="L4488" s="13">
        <v>15517</v>
      </c>
      <c r="M4488" t="str">
        <f>VLOOKUP(L4488,[1]Human_BrainSpan!$B$2:$C$4000,2,FALSE)</f>
        <v>CIdg3</v>
      </c>
    </row>
    <row r="4489" spans="2:13" x14ac:dyDescent="0.25">
      <c r="B4489" s="31" t="s">
        <v>26303</v>
      </c>
      <c r="C4489" s="20"/>
      <c r="D4489" s="25" t="s">
        <v>26185</v>
      </c>
      <c r="E4489" s="20" t="s">
        <v>26307</v>
      </c>
      <c r="F4489" s="9" t="str">
        <f t="shared" si="63"/>
        <v>structure with developmental contribution from neural crest</v>
      </c>
      <c r="G4489" s="9" t="s">
        <v>5090</v>
      </c>
      <c r="H4489" s="9" t="s">
        <v>22768</v>
      </c>
      <c r="I4489" s="9" t="s">
        <v>8301</v>
      </c>
      <c r="J4489" s="9" t="s">
        <v>8302</v>
      </c>
      <c r="K4489" s="4" t="s">
        <v>15175</v>
      </c>
      <c r="L4489" s="13">
        <v>15518</v>
      </c>
      <c r="M4489" t="str">
        <f>VLOOKUP(L4489,[1]Human_BrainSpan!$B$2:$C$4000,2,FALSE)</f>
        <v>CIdg4</v>
      </c>
    </row>
    <row r="4490" spans="2:13" x14ac:dyDescent="0.25">
      <c r="B4490" s="31" t="s">
        <v>26303</v>
      </c>
      <c r="C4490" s="20"/>
      <c r="D4490" s="25" t="s">
        <v>26185</v>
      </c>
      <c r="E4490" s="20" t="s">
        <v>26307</v>
      </c>
      <c r="F4490" s="9" t="str">
        <f t="shared" si="63"/>
        <v>structure with developmental contribution from neural crest</v>
      </c>
      <c r="G4490" s="9" t="s">
        <v>5090</v>
      </c>
      <c r="H4490" s="9" t="s">
        <v>22769</v>
      </c>
      <c r="I4490" s="9" t="s">
        <v>8303</v>
      </c>
      <c r="J4490" s="9" t="s">
        <v>8304</v>
      </c>
      <c r="K4490" s="4" t="s">
        <v>15175</v>
      </c>
      <c r="L4490" s="13">
        <v>15519</v>
      </c>
      <c r="M4490" t="str">
        <f>VLOOKUP(L4490,[1]Human_BrainSpan!$B$2:$C$4000,2,FALSE)</f>
        <v>CIdg5</v>
      </c>
    </row>
    <row r="4491" spans="2:13" x14ac:dyDescent="0.25">
      <c r="B4491" s="31" t="s">
        <v>26303</v>
      </c>
      <c r="C4491" s="20"/>
      <c r="D4491" s="25" t="s">
        <v>26185</v>
      </c>
      <c r="E4491" s="20" t="s">
        <v>26307</v>
      </c>
      <c r="F4491" s="9" t="str">
        <f t="shared" si="63"/>
        <v>structure with developmental contribution from neural crest</v>
      </c>
      <c r="G4491" s="9" t="s">
        <v>5090</v>
      </c>
      <c r="H4491" s="9" t="s">
        <v>22770</v>
      </c>
      <c r="I4491" s="9" t="s">
        <v>8305</v>
      </c>
      <c r="J4491" s="9" t="s">
        <v>8306</v>
      </c>
      <c r="K4491" s="4" t="s">
        <v>15175</v>
      </c>
      <c r="L4491" s="13">
        <v>15520</v>
      </c>
      <c r="M4491" t="str">
        <f>VLOOKUP(L4491,[1]Human_BrainSpan!$B$2:$C$4000,2,FALSE)</f>
        <v>CIdg6</v>
      </c>
    </row>
    <row r="4492" spans="2:13" x14ac:dyDescent="0.25">
      <c r="B4492" s="31" t="s">
        <v>26303</v>
      </c>
      <c r="C4492" s="9" t="s">
        <v>2103</v>
      </c>
      <c r="D4492" s="25" t="s">
        <v>26232</v>
      </c>
      <c r="E4492" s="25"/>
      <c r="F4492" s="9" t="str">
        <f t="shared" si="63"/>
        <v>structure with developmental contribution from neural crest</v>
      </c>
      <c r="G4492" s="9" t="s">
        <v>5090</v>
      </c>
      <c r="H4492" s="9" t="s">
        <v>22772</v>
      </c>
      <c r="I4492" s="9" t="s">
        <v>8307</v>
      </c>
      <c r="J4492" s="9" t="s">
        <v>8308</v>
      </c>
      <c r="K4492" s="4" t="s">
        <v>15175</v>
      </c>
      <c r="L4492" s="13">
        <v>15521</v>
      </c>
      <c r="M4492" t="str">
        <f>VLOOKUP(L4492,[1]Human_BrainSpan!$B$2:$C$4000,2,FALSE)</f>
        <v>RIg</v>
      </c>
    </row>
    <row r="4493" spans="2:13" x14ac:dyDescent="0.25">
      <c r="B4493" s="31" t="s">
        <v>26303</v>
      </c>
      <c r="C4493" s="9" t="s">
        <v>2103</v>
      </c>
      <c r="D4493" s="25" t="s">
        <v>26232</v>
      </c>
      <c r="E4493" s="25"/>
      <c r="F4493" s="9" t="str">
        <f t="shared" si="63"/>
        <v>structure with developmental contribution from neural crest</v>
      </c>
      <c r="G4493" s="9" t="s">
        <v>5090</v>
      </c>
      <c r="H4493" s="9" t="s">
        <v>22779</v>
      </c>
      <c r="I4493" s="9" t="s">
        <v>8309</v>
      </c>
      <c r="J4493" s="9" t="s">
        <v>8310</v>
      </c>
      <c r="K4493" s="4" t="s">
        <v>15175</v>
      </c>
      <c r="L4493" s="13">
        <v>15522</v>
      </c>
      <c r="M4493" t="str">
        <f>VLOOKUP(L4493,[1]Human_BrainSpan!$B$2:$C$4000,2,FALSE)</f>
        <v>CIg</v>
      </c>
    </row>
    <row r="4494" spans="2:13" x14ac:dyDescent="0.25">
      <c r="B4494" s="31" t="s">
        <v>26303</v>
      </c>
      <c r="C4494" s="20"/>
      <c r="D4494" s="25" t="s">
        <v>26232</v>
      </c>
      <c r="E4494" s="25" t="s">
        <v>26306</v>
      </c>
      <c r="F4494" s="9" t="str">
        <f t="shared" si="63"/>
        <v>structure with developmental contribution from neural crest</v>
      </c>
      <c r="G4494" s="9" t="s">
        <v>5090</v>
      </c>
      <c r="H4494" s="9" t="s">
        <v>22780</v>
      </c>
      <c r="I4494" s="9" t="s">
        <v>8311</v>
      </c>
      <c r="J4494" s="9" t="s">
        <v>8312</v>
      </c>
      <c r="K4494" s="4" t="s">
        <v>15175</v>
      </c>
      <c r="L4494" s="13">
        <v>15523</v>
      </c>
      <c r="M4494" t="str">
        <f>VLOOKUP(L4494,[1]Human_BrainSpan!$B$2:$C$4000,2,FALSE)</f>
        <v>CIg1</v>
      </c>
    </row>
    <row r="4495" spans="2:13" x14ac:dyDescent="0.25">
      <c r="B4495" s="31" t="s">
        <v>26303</v>
      </c>
      <c r="C4495" s="20"/>
      <c r="D4495" s="25" t="s">
        <v>26232</v>
      </c>
      <c r="E4495" s="25" t="s">
        <v>26306</v>
      </c>
      <c r="F4495" s="9" t="str">
        <f t="shared" si="63"/>
        <v>structure with developmental contribution from neural crest</v>
      </c>
      <c r="G4495" s="9" t="s">
        <v>5090</v>
      </c>
      <c r="H4495" s="9" t="s">
        <v>22781</v>
      </c>
      <c r="I4495" s="9" t="s">
        <v>8313</v>
      </c>
      <c r="J4495" s="9" t="s">
        <v>8314</v>
      </c>
      <c r="K4495" s="4" t="s">
        <v>15175</v>
      </c>
      <c r="L4495" s="13">
        <v>15524</v>
      </c>
      <c r="M4495" t="str">
        <f>VLOOKUP(L4495,[1]Human_BrainSpan!$B$2:$C$4000,2,FALSE)</f>
        <v>CIg2</v>
      </c>
    </row>
    <row r="4496" spans="2:13" x14ac:dyDescent="0.25">
      <c r="B4496" s="31" t="s">
        <v>26303</v>
      </c>
      <c r="C4496" s="20"/>
      <c r="D4496" s="25" t="s">
        <v>26232</v>
      </c>
      <c r="E4496" s="25" t="s">
        <v>26306</v>
      </c>
      <c r="F4496" s="9" t="str">
        <f t="shared" si="63"/>
        <v>structure with developmental contribution from neural crest</v>
      </c>
      <c r="G4496" s="9" t="s">
        <v>5090</v>
      </c>
      <c r="H4496" s="9" t="s">
        <v>22782</v>
      </c>
      <c r="I4496" s="9" t="s">
        <v>8315</v>
      </c>
      <c r="J4496" s="9" t="s">
        <v>8316</v>
      </c>
      <c r="K4496" s="4" t="s">
        <v>15175</v>
      </c>
      <c r="L4496" s="13">
        <v>15525</v>
      </c>
      <c r="M4496" t="str">
        <f>VLOOKUP(L4496,[1]Human_BrainSpan!$B$2:$C$4000,2,FALSE)</f>
        <v>CIg3</v>
      </c>
    </row>
    <row r="4497" spans="2:13" x14ac:dyDescent="0.25">
      <c r="B4497" s="31" t="s">
        <v>26303</v>
      </c>
      <c r="C4497" s="20"/>
      <c r="D4497" s="25" t="s">
        <v>26232</v>
      </c>
      <c r="E4497" s="25" t="s">
        <v>26306</v>
      </c>
      <c r="F4497" s="9" t="str">
        <f t="shared" si="63"/>
        <v>structure with developmental contribution from neural crest</v>
      </c>
      <c r="G4497" s="9" t="s">
        <v>5090</v>
      </c>
      <c r="H4497" s="9" t="s">
        <v>22783</v>
      </c>
      <c r="I4497" s="9" t="s">
        <v>8317</v>
      </c>
      <c r="J4497" s="9" t="s">
        <v>8318</v>
      </c>
      <c r="K4497" s="4" t="s">
        <v>15175</v>
      </c>
      <c r="L4497" s="13">
        <v>15526</v>
      </c>
      <c r="M4497" t="str">
        <f>VLOOKUP(L4497,[1]Human_BrainSpan!$B$2:$C$4000,2,FALSE)</f>
        <v>CIg4</v>
      </c>
    </row>
    <row r="4498" spans="2:13" x14ac:dyDescent="0.25">
      <c r="B4498" s="31" t="s">
        <v>26303</v>
      </c>
      <c r="C4498" s="20"/>
      <c r="D4498" s="25" t="s">
        <v>26232</v>
      </c>
      <c r="E4498" s="25" t="s">
        <v>26306</v>
      </c>
      <c r="F4498" s="9" t="str">
        <f t="shared" si="63"/>
        <v>structure with developmental contribution from neural crest</v>
      </c>
      <c r="G4498" s="9" t="s">
        <v>5090</v>
      </c>
      <c r="H4498" s="9" t="s">
        <v>22784</v>
      </c>
      <c r="I4498" s="9" t="s">
        <v>8319</v>
      </c>
      <c r="J4498" s="9" t="s">
        <v>8320</v>
      </c>
      <c r="K4498" s="4" t="s">
        <v>15175</v>
      </c>
      <c r="L4498" s="13">
        <v>15527</v>
      </c>
      <c r="M4498" t="str">
        <f>VLOOKUP(L4498,[1]Human_BrainSpan!$B$2:$C$4000,2,FALSE)</f>
        <v>CIg5</v>
      </c>
    </row>
    <row r="4499" spans="2:13" x14ac:dyDescent="0.25">
      <c r="B4499" s="31" t="s">
        <v>26303</v>
      </c>
      <c r="C4499" s="20"/>
      <c r="D4499" s="25" t="s">
        <v>26232</v>
      </c>
      <c r="E4499" s="25" t="s">
        <v>26306</v>
      </c>
      <c r="F4499" s="9" t="str">
        <f t="shared" si="63"/>
        <v>structure with developmental contribution from neural crest</v>
      </c>
      <c r="G4499" s="9" t="s">
        <v>5090</v>
      </c>
      <c r="H4499" s="9" t="s">
        <v>22785</v>
      </c>
      <c r="I4499" s="9" t="s">
        <v>8321</v>
      </c>
      <c r="J4499" s="9" t="s">
        <v>8322</v>
      </c>
      <c r="K4499" s="4" t="s">
        <v>15175</v>
      </c>
      <c r="L4499" s="13">
        <v>15528</v>
      </c>
      <c r="M4499" t="str">
        <f>VLOOKUP(L4499,[1]Human_BrainSpan!$B$2:$C$4000,2,FALSE)</f>
        <v>CIg6</v>
      </c>
    </row>
    <row r="4500" spans="2:13" x14ac:dyDescent="0.25">
      <c r="B4500" s="31" t="s">
        <v>26303</v>
      </c>
      <c r="C4500" s="20"/>
      <c r="D4500" s="25" t="s">
        <v>26232</v>
      </c>
      <c r="E4500" s="25" t="s">
        <v>26306</v>
      </c>
      <c r="F4500" s="9" t="str">
        <f t="shared" si="63"/>
        <v>structure with developmental contribution from neural crest</v>
      </c>
      <c r="G4500" s="9" t="s">
        <v>5090</v>
      </c>
      <c r="H4500" s="9" t="s">
        <v>23123</v>
      </c>
      <c r="I4500" s="9" t="s">
        <v>8323</v>
      </c>
      <c r="J4500" s="9" t="s">
        <v>8324</v>
      </c>
      <c r="K4500" s="4" t="s">
        <v>15175</v>
      </c>
      <c r="L4500" s="13">
        <v>15529</v>
      </c>
      <c r="M4500" t="str">
        <f>VLOOKUP(L4500,[1]Human_BrainSpan!$B$2:$C$4000,2,FALSE)</f>
        <v>SuSd</v>
      </c>
    </row>
    <row r="4501" spans="2:13" x14ac:dyDescent="0.25">
      <c r="B4501" s="31" t="s">
        <v>26303</v>
      </c>
      <c r="C4501" s="25" t="s">
        <v>2345</v>
      </c>
      <c r="D4501" s="25" t="s">
        <v>26232</v>
      </c>
      <c r="E4501" s="25" t="s">
        <v>26306</v>
      </c>
      <c r="F4501" s="9" t="str">
        <f t="shared" si="63"/>
        <v>structure with developmental contribution from neural crest</v>
      </c>
      <c r="G4501" s="9" t="s">
        <v>5090</v>
      </c>
      <c r="H4501" s="9" t="s">
        <v>23124</v>
      </c>
      <c r="I4501" s="9" t="s">
        <v>8325</v>
      </c>
      <c r="J4501" s="9" t="s">
        <v>8326</v>
      </c>
      <c r="K4501" s="4" t="s">
        <v>15175</v>
      </c>
      <c r="L4501" s="13">
        <v>15530</v>
      </c>
      <c r="M4501" t="str">
        <f>VLOOKUP(L4501,[1]Human_BrainSpan!$B$2:$C$4000,2,FALSE)</f>
        <v>IGd</v>
      </c>
    </row>
    <row r="4502" spans="2:13" x14ac:dyDescent="0.25">
      <c r="B4502" s="31" t="s">
        <v>26303</v>
      </c>
      <c r="C4502" s="25" t="s">
        <v>26252</v>
      </c>
      <c r="D4502" s="25" t="s">
        <v>26232</v>
      </c>
      <c r="E4502" s="25" t="s">
        <v>26306</v>
      </c>
      <c r="F4502" s="9" t="str">
        <f t="shared" si="63"/>
        <v>structure with developmental contribution from neural crest</v>
      </c>
      <c r="G4502" s="9" t="s">
        <v>5090</v>
      </c>
      <c r="H4502" s="9" t="s">
        <v>23125</v>
      </c>
      <c r="I4502" s="9" t="s">
        <v>8327</v>
      </c>
      <c r="J4502" s="9" t="s">
        <v>8328</v>
      </c>
      <c r="K4502" s="4" t="s">
        <v>15175</v>
      </c>
      <c r="L4502" s="13">
        <v>15531</v>
      </c>
      <c r="M4502" t="str">
        <f>VLOOKUP(L4502,[1]Human_BrainSpan!$B$2:$C$4000,2,FALSE)</f>
        <v>TTm</v>
      </c>
    </row>
    <row r="4503" spans="2:13" x14ac:dyDescent="0.25">
      <c r="B4503" s="31" t="s">
        <v>26303</v>
      </c>
      <c r="C4503" s="25" t="s">
        <v>26252</v>
      </c>
      <c r="D4503" s="25" t="s">
        <v>26232</v>
      </c>
      <c r="E4503" s="25" t="s">
        <v>26306</v>
      </c>
      <c r="F4503" s="9" t="str">
        <f t="shared" si="63"/>
        <v>structure with developmental contribution from neural crest</v>
      </c>
      <c r="G4503" s="9" t="s">
        <v>5090</v>
      </c>
      <c r="H4503" s="9" t="s">
        <v>23126</v>
      </c>
      <c r="I4503" s="9" t="s">
        <v>8329</v>
      </c>
      <c r="J4503" s="9" t="s">
        <v>8330</v>
      </c>
      <c r="K4503" s="4" t="s">
        <v>15175</v>
      </c>
      <c r="L4503" s="13">
        <v>15532</v>
      </c>
      <c r="M4503" t="str">
        <f>VLOOKUP(L4503,[1]Human_BrainSpan!$B$2:$C$4000,2,FALSE)</f>
        <v>TTp</v>
      </c>
    </row>
    <row r="4504" spans="2:13" x14ac:dyDescent="0.25">
      <c r="B4504" s="31" t="s">
        <v>26303</v>
      </c>
      <c r="C4504" s="25" t="s">
        <v>26252</v>
      </c>
      <c r="D4504" s="25" t="s">
        <v>26232</v>
      </c>
      <c r="E4504" s="25" t="s">
        <v>26306</v>
      </c>
      <c r="F4504" s="9" t="str">
        <f t="shared" si="63"/>
        <v>structure with developmental contribution from neural crest</v>
      </c>
      <c r="G4504" s="9" t="s">
        <v>5090</v>
      </c>
      <c r="H4504" s="9" t="s">
        <v>19431</v>
      </c>
      <c r="I4504" s="9" t="s">
        <v>8331</v>
      </c>
      <c r="J4504" s="9" t="s">
        <v>8332</v>
      </c>
      <c r="K4504" s="4" t="s">
        <v>15175</v>
      </c>
      <c r="L4504" s="13">
        <v>15533</v>
      </c>
      <c r="M4504" t="str">
        <f>VLOOKUP(L4504,[1]Human_BrainSpan!$B$2:$C$4000,2,FALSE)</f>
        <v>TTd</v>
      </c>
    </row>
    <row r="4505" spans="2:13" x14ac:dyDescent="0.25">
      <c r="B4505" s="31" t="s">
        <v>26303</v>
      </c>
      <c r="C4505" s="25" t="s">
        <v>25893</v>
      </c>
      <c r="D4505" s="25" t="s">
        <v>26232</v>
      </c>
      <c r="E4505" s="25"/>
      <c r="F4505" s="9" t="str">
        <f t="shared" si="63"/>
        <v>structure with developmental contribution from neural crest</v>
      </c>
      <c r="G4505" s="9" t="s">
        <v>5090</v>
      </c>
      <c r="H4505" s="9" t="s">
        <v>18481</v>
      </c>
      <c r="I4505" s="9" t="s">
        <v>1384</v>
      </c>
      <c r="J4505" s="9" t="s">
        <v>1385</v>
      </c>
      <c r="K4505" s="4" t="s">
        <v>15175</v>
      </c>
      <c r="L4505" s="13">
        <v>15544</v>
      </c>
      <c r="M4505" t="str">
        <f>VLOOKUP(L4505,[1]Human_BrainSpan!$B$2:$C$4000,2,FALSE)</f>
        <v>on</v>
      </c>
    </row>
    <row r="4506" spans="2:13" x14ac:dyDescent="0.25">
      <c r="B4506" s="31" t="s">
        <v>26303</v>
      </c>
      <c r="C4506" s="25" t="s">
        <v>1823</v>
      </c>
      <c r="D4506" s="25" t="s">
        <v>26232</v>
      </c>
      <c r="E4506" s="25"/>
      <c r="F4506" s="9" t="str">
        <f t="shared" si="63"/>
        <v>structure with developmental contribution from neural crest</v>
      </c>
      <c r="G4506" s="9" t="s">
        <v>5090</v>
      </c>
      <c r="H4506" s="9" t="s">
        <v>24272</v>
      </c>
      <c r="I4506" s="9" t="s">
        <v>8333</v>
      </c>
      <c r="J4506" s="9" t="s">
        <v>8334</v>
      </c>
      <c r="K4506" s="4" t="s">
        <v>15175</v>
      </c>
      <c r="L4506" s="13">
        <v>15554</v>
      </c>
      <c r="M4506" t="str">
        <f>VLOOKUP(L4506,[1]Human_BrainSpan!$B$2:$C$4000,2,FALSE)</f>
        <v>7SH</v>
      </c>
    </row>
    <row r="4507" spans="2:13" x14ac:dyDescent="0.25">
      <c r="B4507" s="31" t="s">
        <v>26303</v>
      </c>
      <c r="C4507" s="25" t="s">
        <v>3298</v>
      </c>
      <c r="D4507" s="25" t="s">
        <v>26232</v>
      </c>
      <c r="E4507" s="25"/>
      <c r="F4507" s="9" t="str">
        <f t="shared" si="63"/>
        <v>structure with developmental contribution from neural crest</v>
      </c>
      <c r="G4507" s="9" t="s">
        <v>5090</v>
      </c>
      <c r="H4507" s="9" t="s">
        <v>24337</v>
      </c>
      <c r="I4507" s="9" t="s">
        <v>8335</v>
      </c>
      <c r="J4507" s="9" t="s">
        <v>8336</v>
      </c>
      <c r="K4507" s="4" t="s">
        <v>15175</v>
      </c>
      <c r="L4507" s="13">
        <v>15555</v>
      </c>
      <c r="M4507" t="str">
        <f>VLOOKUP(L4507,[1]Human_BrainSpan!$B$2:$C$4000,2,FALSE)</f>
        <v>RtTgD</v>
      </c>
    </row>
    <row r="4508" spans="2:13" x14ac:dyDescent="0.25">
      <c r="B4508" s="31" t="s">
        <v>26303</v>
      </c>
      <c r="C4508" s="20"/>
      <c r="D4508" s="25" t="s">
        <v>26232</v>
      </c>
      <c r="E4508" s="25" t="s">
        <v>26309</v>
      </c>
      <c r="F4508" s="9" t="str">
        <f t="shared" si="63"/>
        <v>structure with developmental contribution from neural crest</v>
      </c>
      <c r="G4508" s="9" t="s">
        <v>5090</v>
      </c>
      <c r="H4508" s="9" t="s">
        <v>17544</v>
      </c>
      <c r="I4508" s="9" t="s">
        <v>8337</v>
      </c>
      <c r="J4508" s="9" t="s">
        <v>8338</v>
      </c>
      <c r="K4508" s="4" t="s">
        <v>15175</v>
      </c>
      <c r="L4508" s="13">
        <v>15556</v>
      </c>
      <c r="M4508" t="str">
        <f>VLOOKUP(L4508,[1]Human_BrainSpan!$B$2:$C$4000,2,FALSE)</f>
        <v>B9</v>
      </c>
    </row>
    <row r="4509" spans="2:13" x14ac:dyDescent="0.25">
      <c r="B4509" s="40" t="s">
        <v>26303</v>
      </c>
      <c r="C4509" s="20"/>
      <c r="D4509" s="25" t="s">
        <v>26232</v>
      </c>
      <c r="E4509" s="25" t="s">
        <v>26309</v>
      </c>
      <c r="F4509" s="9" t="str">
        <f t="shared" si="63"/>
        <v>structure with developmental contribution from neural crest</v>
      </c>
      <c r="G4509" s="9" t="s">
        <v>5090</v>
      </c>
      <c r="H4509" s="9" t="s">
        <v>17554</v>
      </c>
      <c r="I4509" s="9" t="s">
        <v>8339</v>
      </c>
      <c r="J4509" s="9" t="s">
        <v>8340</v>
      </c>
      <c r="K4509" s="4" t="s">
        <v>15175</v>
      </c>
      <c r="L4509" s="13">
        <v>15557</v>
      </c>
      <c r="M4509" t="str">
        <f>VLOOKUP(L4509,[1]Human_BrainSpan!$B$2:$C$4000,2,FALSE)</f>
        <v>DMTg</v>
      </c>
    </row>
    <row r="4510" spans="2:13" x14ac:dyDescent="0.25">
      <c r="B4510" s="31" t="s">
        <v>26303</v>
      </c>
      <c r="C4510" s="25" t="s">
        <v>25912</v>
      </c>
      <c r="D4510" s="25" t="s">
        <v>26232</v>
      </c>
      <c r="E4510" s="25"/>
      <c r="F4510" s="9" t="str">
        <f t="shared" si="63"/>
        <v>structure with developmental contribution from neural crest</v>
      </c>
      <c r="G4510" s="9" t="s">
        <v>5090</v>
      </c>
      <c r="H4510" s="9" t="s">
        <v>24387</v>
      </c>
      <c r="I4510" s="9" t="s">
        <v>8341</v>
      </c>
      <c r="J4510" s="9" t="s">
        <v>8342</v>
      </c>
      <c r="K4510" s="4" t="s">
        <v>15175</v>
      </c>
      <c r="L4510" s="13">
        <v>15558</v>
      </c>
      <c r="M4510" t="str">
        <f>VLOOKUP(L4510,[1]Human_BrainSpan!$B$2:$C$4000,2,FALSE)</f>
        <v>10VI</v>
      </c>
    </row>
    <row r="4511" spans="2:13" x14ac:dyDescent="0.25">
      <c r="B4511" s="31" t="s">
        <v>26303</v>
      </c>
      <c r="C4511" s="25" t="s">
        <v>25912</v>
      </c>
      <c r="D4511" s="25" t="s">
        <v>26232</v>
      </c>
      <c r="E4511" s="25"/>
      <c r="F4511" s="9" t="str">
        <f t="shared" si="63"/>
        <v>structure with developmental contribution from neural crest</v>
      </c>
      <c r="G4511" s="9" t="s">
        <v>5090</v>
      </c>
      <c r="H4511" s="9" t="s">
        <v>24388</v>
      </c>
      <c r="I4511" s="9" t="s">
        <v>8343</v>
      </c>
      <c r="J4511" s="9" t="s">
        <v>8344</v>
      </c>
      <c r="K4511" s="4" t="s">
        <v>15175</v>
      </c>
      <c r="L4511" s="13">
        <v>15559</v>
      </c>
      <c r="M4511" t="str">
        <f>VLOOKUP(L4511,[1]Human_BrainSpan!$B$2:$C$4000,2,FALSE)</f>
        <v>10VR</v>
      </c>
    </row>
    <row r="4512" spans="2:13" x14ac:dyDescent="0.25">
      <c r="B4512" s="31" t="s">
        <v>26303</v>
      </c>
      <c r="C4512" s="20"/>
      <c r="D4512" s="25" t="s">
        <v>26232</v>
      </c>
      <c r="E4512" s="25" t="s">
        <v>26300</v>
      </c>
      <c r="F4512" s="9" t="str">
        <f t="shared" si="63"/>
        <v>structure with developmental contribution from neural crest</v>
      </c>
      <c r="G4512" s="9" t="s">
        <v>5090</v>
      </c>
      <c r="H4512" s="9" t="s">
        <v>24474</v>
      </c>
      <c r="I4512" s="9" t="s">
        <v>8345</v>
      </c>
      <c r="J4512" s="9" t="s">
        <v>8346</v>
      </c>
      <c r="K4512" s="4" t="s">
        <v>15175</v>
      </c>
      <c r="L4512" s="13">
        <v>15560</v>
      </c>
      <c r="M4512" t="str">
        <f>VLOOKUP(L4512,[1]Human_BrainSpan!$B$2:$C$4000,2,FALSE)</f>
        <v>Au</v>
      </c>
    </row>
    <row r="4513" spans="2:13" x14ac:dyDescent="0.25">
      <c r="B4513" s="31" t="s">
        <v>26303</v>
      </c>
      <c r="C4513" s="25" t="s">
        <v>1584</v>
      </c>
      <c r="D4513" s="25" t="s">
        <v>26232</v>
      </c>
      <c r="E4513" s="25"/>
      <c r="F4513" s="9" t="str">
        <f t="shared" si="63"/>
        <v>structure with developmental contribution from neural crest</v>
      </c>
      <c r="G4513" s="9" t="s">
        <v>5090</v>
      </c>
      <c r="H4513" s="9" t="s">
        <v>24479</v>
      </c>
      <c r="I4513" s="9" t="s">
        <v>1584</v>
      </c>
      <c r="J4513" s="9" t="s">
        <v>1585</v>
      </c>
      <c r="K4513" s="4" t="s">
        <v>15175</v>
      </c>
      <c r="L4513" s="13">
        <v>15561</v>
      </c>
      <c r="M4513" t="str">
        <f>VLOOKUP(L4513,[1]Human_BrainSpan!$B$2:$C$4000,2,FALSE)</f>
        <v>DPO</v>
      </c>
    </row>
    <row r="4514" spans="2:13" x14ac:dyDescent="0.25">
      <c r="B4514" s="31" t="s">
        <v>26303</v>
      </c>
      <c r="C4514" s="20"/>
      <c r="D4514" s="25" t="s">
        <v>26185</v>
      </c>
      <c r="E4514" s="25" t="s">
        <v>26300</v>
      </c>
      <c r="F4514" s="9" t="str">
        <f t="shared" si="63"/>
        <v>structure with developmental contribution from neural crest</v>
      </c>
      <c r="G4514" s="9" t="s">
        <v>5090</v>
      </c>
      <c r="H4514" s="9" t="s">
        <v>24609</v>
      </c>
      <c r="I4514" s="9" t="s">
        <v>8347</v>
      </c>
      <c r="J4514" s="9" t="s">
        <v>8348</v>
      </c>
      <c r="K4514" s="4" t="s">
        <v>15175</v>
      </c>
      <c r="L4514" s="13">
        <v>15562</v>
      </c>
      <c r="M4514" t="str">
        <f>VLOOKUP(L4514,[1]Human_BrainSpan!$B$2:$C$4000,2,FALSE)</f>
        <v>hio</v>
      </c>
    </row>
    <row r="4515" spans="2:13" x14ac:dyDescent="0.25">
      <c r="B4515" s="31" t="s">
        <v>26303</v>
      </c>
      <c r="C4515" s="20"/>
      <c r="D4515" s="25" t="s">
        <v>26232</v>
      </c>
      <c r="E4515" s="25" t="s">
        <v>26300</v>
      </c>
      <c r="F4515" s="9" t="str">
        <f t="shared" si="63"/>
        <v>structure with developmental contribution from neural crest</v>
      </c>
      <c r="G4515" s="9" t="s">
        <v>5090</v>
      </c>
      <c r="H4515" s="9" t="s">
        <v>22172</v>
      </c>
      <c r="I4515" s="9" t="s">
        <v>8349</v>
      </c>
      <c r="J4515" s="9" t="s">
        <v>8350</v>
      </c>
      <c r="K4515" s="4" t="s">
        <v>15175</v>
      </c>
      <c r="L4515" s="13">
        <v>266441105</v>
      </c>
      <c r="M4515" t="str">
        <f>VLOOKUP(L4515,[1]Human_BrainSpan!$B$2:$C$4000,2,FALSE)</f>
        <v>A44d</v>
      </c>
    </row>
    <row r="4516" spans="2:13" x14ac:dyDescent="0.25">
      <c r="B4516" s="31" t="s">
        <v>26303</v>
      </c>
      <c r="C4516" s="20"/>
      <c r="D4516" s="25" t="s">
        <v>26232</v>
      </c>
      <c r="E4516" s="25" t="s">
        <v>26307</v>
      </c>
      <c r="F4516" s="9" t="str">
        <f t="shared" si="63"/>
        <v>structure with developmental contribution from neural crest</v>
      </c>
      <c r="G4516" s="9" t="s">
        <v>5090</v>
      </c>
      <c r="H4516" s="9" t="s">
        <v>22173</v>
      </c>
      <c r="I4516" s="9" t="s">
        <v>8351</v>
      </c>
      <c r="J4516" s="9" t="s">
        <v>8352</v>
      </c>
      <c r="K4516" s="4" t="s">
        <v>15175</v>
      </c>
      <c r="L4516" s="13">
        <v>266441109</v>
      </c>
      <c r="M4516" t="str">
        <f>VLOOKUP(L4516,[1]Human_BrainSpan!$B$2:$C$4000,2,FALSE)</f>
        <v>A44d1</v>
      </c>
    </row>
    <row r="4517" spans="2:13" x14ac:dyDescent="0.25">
      <c r="B4517" s="31" t="s">
        <v>26303</v>
      </c>
      <c r="C4517" s="20"/>
      <c r="D4517" s="25" t="s">
        <v>26232</v>
      </c>
      <c r="E4517" s="25" t="s">
        <v>26307</v>
      </c>
      <c r="F4517" s="9" t="str">
        <f t="shared" si="63"/>
        <v>structure with developmental contribution from neural crest</v>
      </c>
      <c r="G4517" s="9" t="s">
        <v>5090</v>
      </c>
      <c r="H4517" s="9" t="s">
        <v>22174</v>
      </c>
      <c r="I4517" s="9" t="s">
        <v>8353</v>
      </c>
      <c r="J4517" s="9" t="s">
        <v>8354</v>
      </c>
      <c r="K4517" s="4" t="s">
        <v>15175</v>
      </c>
      <c r="L4517" s="13">
        <v>266441113</v>
      </c>
      <c r="M4517" t="str">
        <f>VLOOKUP(L4517,[1]Human_BrainSpan!$B$2:$C$4000,2,FALSE)</f>
        <v>A44d2</v>
      </c>
    </row>
    <row r="4518" spans="2:13" x14ac:dyDescent="0.25">
      <c r="B4518" s="31" t="s">
        <v>26303</v>
      </c>
      <c r="C4518" s="20"/>
      <c r="D4518" s="25" t="s">
        <v>26232</v>
      </c>
      <c r="E4518" s="25" t="s">
        <v>26307</v>
      </c>
      <c r="F4518" s="9" t="str">
        <f t="shared" si="63"/>
        <v>structure with developmental contribution from neural crest</v>
      </c>
      <c r="G4518" s="9" t="s">
        <v>5090</v>
      </c>
      <c r="H4518" s="9" t="s">
        <v>22175</v>
      </c>
      <c r="I4518" s="9" t="s">
        <v>8355</v>
      </c>
      <c r="J4518" s="9" t="s">
        <v>8356</v>
      </c>
      <c r="K4518" s="4" t="s">
        <v>15175</v>
      </c>
      <c r="L4518" s="13">
        <v>266441117</v>
      </c>
      <c r="M4518" t="str">
        <f>VLOOKUP(L4518,[1]Human_BrainSpan!$B$2:$C$4000,2,FALSE)</f>
        <v>A44d3</v>
      </c>
    </row>
    <row r="4519" spans="2:13" x14ac:dyDescent="0.25">
      <c r="B4519" s="31" t="s">
        <v>26303</v>
      </c>
      <c r="C4519" s="20"/>
      <c r="D4519" s="25" t="s">
        <v>26232</v>
      </c>
      <c r="E4519" s="25" t="s">
        <v>26307</v>
      </c>
      <c r="F4519" s="9" t="str">
        <f t="shared" si="63"/>
        <v>structure with developmental contribution from neural crest</v>
      </c>
      <c r="G4519" s="9" t="s">
        <v>5090</v>
      </c>
      <c r="H4519" s="9" t="s">
        <v>22176</v>
      </c>
      <c r="I4519" s="9" t="s">
        <v>8357</v>
      </c>
      <c r="J4519" s="9" t="s">
        <v>8358</v>
      </c>
      <c r="K4519" s="4" t="s">
        <v>15175</v>
      </c>
      <c r="L4519" s="13">
        <v>266441121</v>
      </c>
      <c r="M4519" t="str">
        <f>VLOOKUP(L4519,[1]Human_BrainSpan!$B$2:$C$4000,2,FALSE)</f>
        <v>A44d4</v>
      </c>
    </row>
    <row r="4520" spans="2:13" x14ac:dyDescent="0.25">
      <c r="B4520" s="31" t="s">
        <v>26303</v>
      </c>
      <c r="C4520" s="20"/>
      <c r="D4520" s="25" t="s">
        <v>26232</v>
      </c>
      <c r="E4520" s="25" t="s">
        <v>26307</v>
      </c>
      <c r="F4520" s="9" t="str">
        <f t="shared" si="63"/>
        <v>structure with developmental contribution from neural crest</v>
      </c>
      <c r="G4520" s="9" t="s">
        <v>5090</v>
      </c>
      <c r="H4520" s="9" t="s">
        <v>22177</v>
      </c>
      <c r="I4520" s="9" t="s">
        <v>8359</v>
      </c>
      <c r="J4520" s="9" t="s">
        <v>8360</v>
      </c>
      <c r="K4520" s="4" t="s">
        <v>15175</v>
      </c>
      <c r="L4520" s="13">
        <v>266441125</v>
      </c>
      <c r="M4520" t="str">
        <f>VLOOKUP(L4520,[1]Human_BrainSpan!$B$2:$C$4000,2,FALSE)</f>
        <v>A44d5</v>
      </c>
    </row>
    <row r="4521" spans="2:13" x14ac:dyDescent="0.25">
      <c r="B4521" s="31" t="s">
        <v>26303</v>
      </c>
      <c r="C4521" s="20"/>
      <c r="D4521" s="25" t="s">
        <v>26232</v>
      </c>
      <c r="E4521" s="25" t="s">
        <v>26307</v>
      </c>
      <c r="F4521" s="9" t="str">
        <f t="shared" si="63"/>
        <v>structure with developmental contribution from neural crest</v>
      </c>
      <c r="G4521" s="9" t="s">
        <v>5090</v>
      </c>
      <c r="H4521" s="9" t="s">
        <v>22178</v>
      </c>
      <c r="I4521" s="9" t="s">
        <v>8361</v>
      </c>
      <c r="J4521" s="9" t="s">
        <v>8362</v>
      </c>
      <c r="K4521" s="4" t="s">
        <v>15175</v>
      </c>
      <c r="L4521" s="13">
        <v>266441129</v>
      </c>
      <c r="M4521" t="str">
        <f>VLOOKUP(L4521,[1]Human_BrainSpan!$B$2:$C$4000,2,FALSE)</f>
        <v>A44d6</v>
      </c>
    </row>
    <row r="4522" spans="2:13" x14ac:dyDescent="0.25">
      <c r="B4522" s="31" t="s">
        <v>26303</v>
      </c>
      <c r="C4522" s="20"/>
      <c r="D4522" s="25" t="s">
        <v>26232</v>
      </c>
      <c r="E4522" s="25" t="s">
        <v>26300</v>
      </c>
      <c r="F4522" s="9" t="str">
        <f t="shared" si="63"/>
        <v>structure with developmental contribution from neural crest</v>
      </c>
      <c r="G4522" s="9" t="s">
        <v>5090</v>
      </c>
      <c r="H4522" s="9" t="s">
        <v>22179</v>
      </c>
      <c r="I4522" s="9" t="s">
        <v>8363</v>
      </c>
      <c r="J4522" s="9" t="s">
        <v>8364</v>
      </c>
      <c r="K4522" s="4" t="s">
        <v>15175</v>
      </c>
      <c r="L4522" s="13">
        <v>266441133</v>
      </c>
      <c r="M4522" t="str">
        <f>VLOOKUP(L4522,[1]Human_BrainSpan!$B$2:$C$4000,2,FALSE)</f>
        <v>A44v</v>
      </c>
    </row>
    <row r="4523" spans="2:13" x14ac:dyDescent="0.25">
      <c r="B4523" s="31" t="s">
        <v>26303</v>
      </c>
      <c r="C4523" s="20"/>
      <c r="D4523" s="25" t="s">
        <v>26232</v>
      </c>
      <c r="E4523" s="25" t="s">
        <v>26307</v>
      </c>
      <c r="F4523" s="9" t="str">
        <f t="shared" si="63"/>
        <v>structure with developmental contribution from neural crest</v>
      </c>
      <c r="G4523" s="9" t="s">
        <v>5090</v>
      </c>
      <c r="H4523" s="9" t="s">
        <v>22180</v>
      </c>
      <c r="I4523" s="9" t="s">
        <v>8365</v>
      </c>
      <c r="J4523" s="9" t="s">
        <v>8366</v>
      </c>
      <c r="K4523" s="4" t="s">
        <v>15175</v>
      </c>
      <c r="L4523" s="13">
        <v>266441137</v>
      </c>
      <c r="M4523" t="str">
        <f>VLOOKUP(L4523,[1]Human_BrainSpan!$B$2:$C$4000,2,FALSE)</f>
        <v>A44v1</v>
      </c>
    </row>
    <row r="4524" spans="2:13" x14ac:dyDescent="0.25">
      <c r="B4524" s="31" t="s">
        <v>26303</v>
      </c>
      <c r="C4524" s="20"/>
      <c r="D4524" s="25" t="s">
        <v>26232</v>
      </c>
      <c r="E4524" s="25" t="s">
        <v>26307</v>
      </c>
      <c r="F4524" s="9" t="str">
        <f t="shared" si="63"/>
        <v>structure with developmental contribution from neural crest</v>
      </c>
      <c r="G4524" s="9" t="s">
        <v>5090</v>
      </c>
      <c r="H4524" s="9" t="s">
        <v>22181</v>
      </c>
      <c r="I4524" s="9" t="s">
        <v>8367</v>
      </c>
      <c r="J4524" s="9" t="s">
        <v>8368</v>
      </c>
      <c r="K4524" s="4" t="s">
        <v>15175</v>
      </c>
      <c r="L4524" s="13">
        <v>266441141</v>
      </c>
      <c r="M4524" t="str">
        <f>VLOOKUP(L4524,[1]Human_BrainSpan!$B$2:$C$4000,2,FALSE)</f>
        <v>A44v2</v>
      </c>
    </row>
    <row r="4525" spans="2:13" x14ac:dyDescent="0.25">
      <c r="B4525" s="31" t="s">
        <v>26303</v>
      </c>
      <c r="C4525" s="20"/>
      <c r="D4525" s="25" t="s">
        <v>26232</v>
      </c>
      <c r="E4525" s="25" t="s">
        <v>26307</v>
      </c>
      <c r="F4525" s="9" t="str">
        <f t="shared" si="63"/>
        <v>structure with developmental contribution from neural crest</v>
      </c>
      <c r="G4525" s="9" t="s">
        <v>5090</v>
      </c>
      <c r="H4525" s="9" t="s">
        <v>22182</v>
      </c>
      <c r="I4525" s="9" t="s">
        <v>8369</v>
      </c>
      <c r="J4525" s="9" t="s">
        <v>8370</v>
      </c>
      <c r="K4525" s="4" t="s">
        <v>15175</v>
      </c>
      <c r="L4525" s="13">
        <v>266441145</v>
      </c>
      <c r="M4525" t="str">
        <f>VLOOKUP(L4525,[1]Human_BrainSpan!$B$2:$C$4000,2,FALSE)</f>
        <v>A44v3</v>
      </c>
    </row>
    <row r="4526" spans="2:13" x14ac:dyDescent="0.25">
      <c r="B4526" s="31" t="s">
        <v>26303</v>
      </c>
      <c r="C4526" s="20"/>
      <c r="D4526" s="25" t="s">
        <v>26232</v>
      </c>
      <c r="E4526" s="25" t="s">
        <v>26307</v>
      </c>
      <c r="F4526" s="9" t="str">
        <f t="shared" si="63"/>
        <v>structure with developmental contribution from neural crest</v>
      </c>
      <c r="G4526" s="9" t="s">
        <v>5090</v>
      </c>
      <c r="H4526" s="9" t="s">
        <v>22183</v>
      </c>
      <c r="I4526" s="9" t="s">
        <v>8371</v>
      </c>
      <c r="J4526" s="9" t="s">
        <v>8372</v>
      </c>
      <c r="K4526" s="4" t="s">
        <v>15175</v>
      </c>
      <c r="L4526" s="13">
        <v>266441149</v>
      </c>
      <c r="M4526" t="str">
        <f>VLOOKUP(L4526,[1]Human_BrainSpan!$B$2:$C$4000,2,FALSE)</f>
        <v>A44v4</v>
      </c>
    </row>
    <row r="4527" spans="2:13" x14ac:dyDescent="0.25">
      <c r="B4527" s="31" t="s">
        <v>26303</v>
      </c>
      <c r="C4527" s="20"/>
      <c r="D4527" s="25" t="s">
        <v>26232</v>
      </c>
      <c r="E4527" s="25" t="s">
        <v>26307</v>
      </c>
      <c r="F4527" s="9" t="str">
        <f t="shared" si="63"/>
        <v>structure with developmental contribution from neural crest</v>
      </c>
      <c r="G4527" s="9" t="s">
        <v>5090</v>
      </c>
      <c r="H4527" s="9" t="s">
        <v>22184</v>
      </c>
      <c r="I4527" s="9" t="s">
        <v>8373</v>
      </c>
      <c r="J4527" s="9" t="s">
        <v>8374</v>
      </c>
      <c r="K4527" s="4" t="s">
        <v>15175</v>
      </c>
      <c r="L4527" s="13">
        <v>266441153</v>
      </c>
      <c r="M4527" t="str">
        <f>VLOOKUP(L4527,[1]Human_BrainSpan!$B$2:$C$4000,2,FALSE)</f>
        <v>A44v5</v>
      </c>
    </row>
    <row r="4528" spans="2:13" x14ac:dyDescent="0.25">
      <c r="B4528" s="31" t="s">
        <v>26303</v>
      </c>
      <c r="C4528" s="20"/>
      <c r="D4528" s="25" t="s">
        <v>26232</v>
      </c>
      <c r="E4528" s="25" t="s">
        <v>26307</v>
      </c>
      <c r="F4528" s="9" t="str">
        <f t="shared" si="63"/>
        <v>structure with developmental contribution from neural crest</v>
      </c>
      <c r="G4528" s="9" t="s">
        <v>5090</v>
      </c>
      <c r="H4528" s="9" t="s">
        <v>22185</v>
      </c>
      <c r="I4528" s="9" t="s">
        <v>8375</v>
      </c>
      <c r="J4528" s="9" t="s">
        <v>8376</v>
      </c>
      <c r="K4528" s="4" t="s">
        <v>15175</v>
      </c>
      <c r="L4528" s="13">
        <v>266441157</v>
      </c>
      <c r="M4528" t="str">
        <f>VLOOKUP(L4528,[1]Human_BrainSpan!$B$2:$C$4000,2,FALSE)</f>
        <v>A44v6</v>
      </c>
    </row>
    <row r="4529" spans="2:13" x14ac:dyDescent="0.25">
      <c r="B4529" s="31" t="s">
        <v>26303</v>
      </c>
      <c r="C4529" s="20"/>
      <c r="D4529" s="25" t="s">
        <v>26232</v>
      </c>
      <c r="E4529" s="25" t="s">
        <v>26300</v>
      </c>
      <c r="F4529" s="9" t="str">
        <f t="shared" si="63"/>
        <v>structure with developmental contribution from neural crest</v>
      </c>
      <c r="G4529" s="9" t="s">
        <v>5090</v>
      </c>
      <c r="H4529" s="9" t="s">
        <v>22186</v>
      </c>
      <c r="I4529" s="9" t="s">
        <v>8377</v>
      </c>
      <c r="J4529" s="9" t="s">
        <v>8378</v>
      </c>
      <c r="K4529" s="4" t="s">
        <v>15175</v>
      </c>
      <c r="L4529" s="13">
        <v>266441161</v>
      </c>
      <c r="M4529" t="str">
        <f>VLOOKUP(L4529,[1]Human_BrainSpan!$B$2:$C$4000,2,FALSE)</f>
        <v>A44op</v>
      </c>
    </row>
    <row r="4530" spans="2:13" x14ac:dyDescent="0.25">
      <c r="B4530" s="31" t="s">
        <v>26303</v>
      </c>
      <c r="C4530" s="20"/>
      <c r="D4530" s="25" t="s">
        <v>26232</v>
      </c>
      <c r="E4530" s="25" t="s">
        <v>26307</v>
      </c>
      <c r="F4530" s="9" t="str">
        <f t="shared" si="63"/>
        <v>structure with developmental contribution from neural crest</v>
      </c>
      <c r="G4530" s="9" t="s">
        <v>5090</v>
      </c>
      <c r="H4530" s="9" t="s">
        <v>22187</v>
      </c>
      <c r="I4530" s="9" t="s">
        <v>8379</v>
      </c>
      <c r="J4530" s="9" t="s">
        <v>8380</v>
      </c>
      <c r="K4530" s="4" t="s">
        <v>15175</v>
      </c>
      <c r="L4530" s="13">
        <v>266441165</v>
      </c>
      <c r="M4530" t="str">
        <f>VLOOKUP(L4530,[1]Human_BrainSpan!$B$2:$C$4000,2,FALSE)</f>
        <v>A44op1</v>
      </c>
    </row>
    <row r="4531" spans="2:13" x14ac:dyDescent="0.25">
      <c r="B4531" s="31" t="s">
        <v>26303</v>
      </c>
      <c r="C4531" s="20"/>
      <c r="D4531" s="25" t="s">
        <v>26232</v>
      </c>
      <c r="E4531" s="25" t="s">
        <v>26307</v>
      </c>
      <c r="F4531" s="9" t="str">
        <f t="shared" si="63"/>
        <v>structure with developmental contribution from neural crest</v>
      </c>
      <c r="G4531" s="9" t="s">
        <v>5090</v>
      </c>
      <c r="H4531" s="9" t="s">
        <v>22188</v>
      </c>
      <c r="I4531" s="9" t="s">
        <v>8381</v>
      </c>
      <c r="J4531" s="9" t="s">
        <v>8382</v>
      </c>
      <c r="K4531" s="4" t="s">
        <v>15175</v>
      </c>
      <c r="L4531" s="13">
        <v>266441169</v>
      </c>
      <c r="M4531" t="str">
        <f>VLOOKUP(L4531,[1]Human_BrainSpan!$B$2:$C$4000,2,FALSE)</f>
        <v>A44op2</v>
      </c>
    </row>
    <row r="4532" spans="2:13" x14ac:dyDescent="0.25">
      <c r="B4532" s="31" t="s">
        <v>26303</v>
      </c>
      <c r="C4532" s="20"/>
      <c r="D4532" s="25" t="s">
        <v>26232</v>
      </c>
      <c r="E4532" s="25" t="s">
        <v>26307</v>
      </c>
      <c r="F4532" s="9" t="str">
        <f t="shared" si="63"/>
        <v>structure with developmental contribution from neural crest</v>
      </c>
      <c r="G4532" s="9" t="s">
        <v>5090</v>
      </c>
      <c r="H4532" s="9" t="s">
        <v>22189</v>
      </c>
      <c r="I4532" s="9" t="s">
        <v>8383</v>
      </c>
      <c r="J4532" s="9" t="s">
        <v>8384</v>
      </c>
      <c r="K4532" s="4" t="s">
        <v>15175</v>
      </c>
      <c r="L4532" s="13">
        <v>266441173</v>
      </c>
      <c r="M4532" t="str">
        <f>VLOOKUP(L4532,[1]Human_BrainSpan!$B$2:$C$4000,2,FALSE)</f>
        <v>A44op3</v>
      </c>
    </row>
    <row r="4533" spans="2:13" x14ac:dyDescent="0.25">
      <c r="B4533" s="31" t="s">
        <v>26303</v>
      </c>
      <c r="C4533" s="20"/>
      <c r="D4533" s="25" t="s">
        <v>26232</v>
      </c>
      <c r="E4533" s="25" t="s">
        <v>26307</v>
      </c>
      <c r="F4533" s="9" t="str">
        <f t="shared" si="63"/>
        <v>structure with developmental contribution from neural crest</v>
      </c>
      <c r="G4533" s="9" t="s">
        <v>5090</v>
      </c>
      <c r="H4533" s="9" t="s">
        <v>22190</v>
      </c>
      <c r="I4533" s="9" t="s">
        <v>8385</v>
      </c>
      <c r="J4533" s="9" t="s">
        <v>8386</v>
      </c>
      <c r="K4533" s="4" t="s">
        <v>15175</v>
      </c>
      <c r="L4533" s="13">
        <v>266441177</v>
      </c>
      <c r="M4533" t="str">
        <f>VLOOKUP(L4533,[1]Human_BrainSpan!$B$2:$C$4000,2,FALSE)</f>
        <v>A44op4</v>
      </c>
    </row>
    <row r="4534" spans="2:13" x14ac:dyDescent="0.25">
      <c r="B4534" s="31" t="s">
        <v>26303</v>
      </c>
      <c r="C4534" s="20"/>
      <c r="D4534" s="25" t="s">
        <v>26232</v>
      </c>
      <c r="E4534" s="25" t="s">
        <v>26307</v>
      </c>
      <c r="F4534" s="9" t="str">
        <f t="shared" si="63"/>
        <v>structure with developmental contribution from neural crest</v>
      </c>
      <c r="G4534" s="9" t="s">
        <v>5090</v>
      </c>
      <c r="H4534" s="9" t="s">
        <v>22191</v>
      </c>
      <c r="I4534" s="9" t="s">
        <v>8387</v>
      </c>
      <c r="J4534" s="9" t="s">
        <v>8388</v>
      </c>
      <c r="K4534" s="4" t="s">
        <v>15175</v>
      </c>
      <c r="L4534" s="13">
        <v>266441181</v>
      </c>
      <c r="M4534" t="str">
        <f>VLOOKUP(L4534,[1]Human_BrainSpan!$B$2:$C$4000,2,FALSE)</f>
        <v>A44op5</v>
      </c>
    </row>
    <row r="4535" spans="2:13" x14ac:dyDescent="0.25">
      <c r="B4535" s="31" t="s">
        <v>26303</v>
      </c>
      <c r="C4535" s="20"/>
      <c r="D4535" s="25" t="s">
        <v>26232</v>
      </c>
      <c r="E4535" s="25" t="s">
        <v>26307</v>
      </c>
      <c r="F4535" s="9" t="str">
        <f t="shared" ref="F4535:F4598" si="64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4535" s="9" t="s">
        <v>5090</v>
      </c>
      <c r="H4535" s="9" t="s">
        <v>22192</v>
      </c>
      <c r="I4535" s="9" t="s">
        <v>8389</v>
      </c>
      <c r="J4535" s="9" t="s">
        <v>8390</v>
      </c>
      <c r="K4535" s="4" t="s">
        <v>15175</v>
      </c>
      <c r="L4535" s="13">
        <v>266441185</v>
      </c>
      <c r="M4535" t="str">
        <f>VLOOKUP(L4535,[1]Human_BrainSpan!$B$2:$C$4000,2,FALSE)</f>
        <v>A44op6</v>
      </c>
    </row>
    <row r="4536" spans="2:13" x14ac:dyDescent="0.25">
      <c r="B4536" s="31" t="s">
        <v>26303</v>
      </c>
      <c r="C4536" s="20"/>
      <c r="D4536" s="25" t="s">
        <v>26232</v>
      </c>
      <c r="E4536" s="25" t="s">
        <v>26300</v>
      </c>
      <c r="F4536" s="9" t="str">
        <f t="shared" si="64"/>
        <v>structure with developmental contribution from neural crest</v>
      </c>
      <c r="G4536" s="9" t="s">
        <v>5090</v>
      </c>
      <c r="H4536" s="9" t="s">
        <v>22208</v>
      </c>
      <c r="I4536" s="9" t="s">
        <v>8391</v>
      </c>
      <c r="J4536" s="9" t="s">
        <v>8392</v>
      </c>
      <c r="K4536" s="4" t="s">
        <v>15175</v>
      </c>
      <c r="L4536" s="13">
        <v>266441189</v>
      </c>
      <c r="M4536" t="str">
        <f>VLOOKUP(L4536,[1]Human_BrainSpan!$B$2:$C$4000,2,FALSE)</f>
        <v>A45op</v>
      </c>
    </row>
    <row r="4537" spans="2:13" x14ac:dyDescent="0.25">
      <c r="B4537" s="31" t="s">
        <v>26303</v>
      </c>
      <c r="C4537" s="20"/>
      <c r="D4537" s="25" t="s">
        <v>26232</v>
      </c>
      <c r="E4537" s="25" t="s">
        <v>26307</v>
      </c>
      <c r="F4537" s="9" t="str">
        <f t="shared" si="64"/>
        <v>structure with developmental contribution from neural crest</v>
      </c>
      <c r="G4537" s="9" t="s">
        <v>5090</v>
      </c>
      <c r="H4537" s="9" t="s">
        <v>22209</v>
      </c>
      <c r="I4537" s="9" t="s">
        <v>8393</v>
      </c>
      <c r="J4537" s="9" t="s">
        <v>8394</v>
      </c>
      <c r="K4537" s="4" t="s">
        <v>15175</v>
      </c>
      <c r="L4537" s="13">
        <v>266441193</v>
      </c>
      <c r="M4537" t="str">
        <f>VLOOKUP(L4537,[1]Human_BrainSpan!$B$2:$C$4000,2,FALSE)</f>
        <v>A45op1</v>
      </c>
    </row>
    <row r="4538" spans="2:13" x14ac:dyDescent="0.25">
      <c r="B4538" s="31" t="s">
        <v>26303</v>
      </c>
      <c r="C4538" s="20"/>
      <c r="D4538" s="25" t="s">
        <v>26232</v>
      </c>
      <c r="E4538" s="25" t="s">
        <v>26307</v>
      </c>
      <c r="F4538" s="9" t="str">
        <f t="shared" si="64"/>
        <v>structure with developmental contribution from neural crest</v>
      </c>
      <c r="G4538" s="9" t="s">
        <v>5090</v>
      </c>
      <c r="H4538" s="9" t="s">
        <v>22210</v>
      </c>
      <c r="I4538" s="9" t="s">
        <v>8395</v>
      </c>
      <c r="J4538" s="9" t="s">
        <v>8396</v>
      </c>
      <c r="K4538" s="4" t="s">
        <v>15175</v>
      </c>
      <c r="L4538" s="13">
        <v>266441197</v>
      </c>
      <c r="M4538" t="str">
        <f>VLOOKUP(L4538,[1]Human_BrainSpan!$B$2:$C$4000,2,FALSE)</f>
        <v>A45op2</v>
      </c>
    </row>
    <row r="4539" spans="2:13" x14ac:dyDescent="0.25">
      <c r="B4539" s="31" t="s">
        <v>26303</v>
      </c>
      <c r="C4539" s="20"/>
      <c r="D4539" s="25" t="s">
        <v>26232</v>
      </c>
      <c r="E4539" s="25" t="s">
        <v>26307</v>
      </c>
      <c r="F4539" s="9" t="str">
        <f t="shared" si="64"/>
        <v>structure with developmental contribution from neural crest</v>
      </c>
      <c r="G4539" s="9" t="s">
        <v>5090</v>
      </c>
      <c r="H4539" s="9" t="s">
        <v>22211</v>
      </c>
      <c r="I4539" s="9" t="s">
        <v>8397</v>
      </c>
      <c r="J4539" s="9" t="s">
        <v>8398</v>
      </c>
      <c r="K4539" s="4" t="s">
        <v>15175</v>
      </c>
      <c r="L4539" s="13">
        <v>266441201</v>
      </c>
      <c r="M4539" t="str">
        <f>VLOOKUP(L4539,[1]Human_BrainSpan!$B$2:$C$4000,2,FALSE)</f>
        <v>A45op3</v>
      </c>
    </row>
    <row r="4540" spans="2:13" x14ac:dyDescent="0.25">
      <c r="B4540" s="31" t="s">
        <v>26303</v>
      </c>
      <c r="C4540" s="20"/>
      <c r="D4540" s="25" t="s">
        <v>26232</v>
      </c>
      <c r="E4540" s="25" t="s">
        <v>26307</v>
      </c>
      <c r="F4540" s="9" t="str">
        <f t="shared" si="64"/>
        <v>structure with developmental contribution from neural crest</v>
      </c>
      <c r="G4540" s="9" t="s">
        <v>5090</v>
      </c>
      <c r="H4540" s="9" t="s">
        <v>22212</v>
      </c>
      <c r="I4540" s="9" t="s">
        <v>8399</v>
      </c>
      <c r="J4540" s="9" t="s">
        <v>8400</v>
      </c>
      <c r="K4540" s="4" t="s">
        <v>15175</v>
      </c>
      <c r="L4540" s="13">
        <v>266441205</v>
      </c>
      <c r="M4540" t="str">
        <f>VLOOKUP(L4540,[1]Human_BrainSpan!$B$2:$C$4000,2,FALSE)</f>
        <v>A45op4</v>
      </c>
    </row>
    <row r="4541" spans="2:13" x14ac:dyDescent="0.25">
      <c r="B4541" s="31" t="s">
        <v>26303</v>
      </c>
      <c r="C4541" s="20"/>
      <c r="D4541" s="25" t="s">
        <v>26232</v>
      </c>
      <c r="E4541" s="25" t="s">
        <v>26307</v>
      </c>
      <c r="F4541" s="9" t="str">
        <f t="shared" si="64"/>
        <v>structure with developmental contribution from neural crest</v>
      </c>
      <c r="G4541" s="9" t="s">
        <v>5090</v>
      </c>
      <c r="H4541" s="9" t="s">
        <v>22213</v>
      </c>
      <c r="I4541" s="9" t="s">
        <v>8401</v>
      </c>
      <c r="J4541" s="9" t="s">
        <v>8402</v>
      </c>
      <c r="K4541" s="4" t="s">
        <v>15175</v>
      </c>
      <c r="L4541" s="13">
        <v>266441209</v>
      </c>
      <c r="M4541" t="str">
        <f>VLOOKUP(L4541,[1]Human_BrainSpan!$B$2:$C$4000,2,FALSE)</f>
        <v>A45op5</v>
      </c>
    </row>
    <row r="4542" spans="2:13" x14ac:dyDescent="0.25">
      <c r="B4542" s="31" t="s">
        <v>26303</v>
      </c>
      <c r="C4542" s="20"/>
      <c r="D4542" s="25" t="s">
        <v>26232</v>
      </c>
      <c r="E4542" s="25" t="s">
        <v>26307</v>
      </c>
      <c r="F4542" s="9" t="str">
        <f t="shared" si="64"/>
        <v>structure with developmental contribution from neural crest</v>
      </c>
      <c r="G4542" s="9" t="s">
        <v>5090</v>
      </c>
      <c r="H4542" s="9" t="s">
        <v>22214</v>
      </c>
      <c r="I4542" s="9" t="s">
        <v>8403</v>
      </c>
      <c r="J4542" s="9" t="s">
        <v>8404</v>
      </c>
      <c r="K4542" s="4" t="s">
        <v>15175</v>
      </c>
      <c r="L4542" s="13">
        <v>266441213</v>
      </c>
      <c r="M4542" t="str">
        <f>VLOOKUP(L4542,[1]Human_BrainSpan!$B$2:$C$4000,2,FALSE)</f>
        <v>A45op6</v>
      </c>
    </row>
    <row r="4543" spans="2:13" x14ac:dyDescent="0.25">
      <c r="B4543" s="31" t="s">
        <v>26299</v>
      </c>
      <c r="C4543" s="25" t="s">
        <v>26166</v>
      </c>
      <c r="D4543" s="25" t="s">
        <v>26232</v>
      </c>
      <c r="E4543" s="25" t="s">
        <v>26307</v>
      </c>
      <c r="F4543" s="9" t="str">
        <f t="shared" si="64"/>
        <v>structure with developmental contribution from neural crest</v>
      </c>
      <c r="G4543" s="9" t="s">
        <v>5090</v>
      </c>
      <c r="H4543" s="9" t="s">
        <v>22321</v>
      </c>
      <c r="I4543" s="9" t="s">
        <v>8405</v>
      </c>
      <c r="J4543" s="9" t="s">
        <v>8406</v>
      </c>
      <c r="K4543" s="4" t="s">
        <v>15175</v>
      </c>
      <c r="L4543" s="13">
        <v>266441217</v>
      </c>
      <c r="M4543" t="str">
        <f>VLOOKUP(L4543,[1]Human_BrainSpan!$B$2:$C$4000,2,FALSE)</f>
        <v>A6/32</v>
      </c>
    </row>
    <row r="4544" spans="2:13" x14ac:dyDescent="0.25">
      <c r="B4544" s="31" t="s">
        <v>26299</v>
      </c>
      <c r="C4544" s="25" t="s">
        <v>26166</v>
      </c>
      <c r="D4544" s="25" t="s">
        <v>26232</v>
      </c>
      <c r="E4544" s="25" t="s">
        <v>26307</v>
      </c>
      <c r="F4544" s="9" t="str">
        <f t="shared" si="64"/>
        <v>structure with developmental contribution from neural crest</v>
      </c>
      <c r="G4544" s="9" t="s">
        <v>5090</v>
      </c>
      <c r="H4544" s="9" t="s">
        <v>22322</v>
      </c>
      <c r="I4544" s="9" t="s">
        <v>8407</v>
      </c>
      <c r="J4544" s="9" t="s">
        <v>8408</v>
      </c>
      <c r="K4544" s="4" t="s">
        <v>15175</v>
      </c>
      <c r="L4544" s="13">
        <v>266441221</v>
      </c>
      <c r="M4544" t="str">
        <f>VLOOKUP(L4544,[1]Human_BrainSpan!$B$2:$C$4000,2,FALSE)</f>
        <v>A6/32-1</v>
      </c>
    </row>
    <row r="4545" spans="2:13" x14ac:dyDescent="0.25">
      <c r="B4545" s="31" t="s">
        <v>26299</v>
      </c>
      <c r="C4545" s="25" t="s">
        <v>26166</v>
      </c>
      <c r="D4545" s="25" t="s">
        <v>26232</v>
      </c>
      <c r="E4545" s="25" t="s">
        <v>26307</v>
      </c>
      <c r="F4545" s="9" t="str">
        <f t="shared" si="64"/>
        <v>structure with developmental contribution from neural crest</v>
      </c>
      <c r="G4545" s="9" t="s">
        <v>5090</v>
      </c>
      <c r="H4545" s="9" t="s">
        <v>22323</v>
      </c>
      <c r="I4545" s="9" t="s">
        <v>8409</v>
      </c>
      <c r="J4545" s="9" t="s">
        <v>8410</v>
      </c>
      <c r="K4545" s="4" t="s">
        <v>15175</v>
      </c>
      <c r="L4545" s="13">
        <v>266441225</v>
      </c>
      <c r="M4545" t="str">
        <f>VLOOKUP(L4545,[1]Human_BrainSpan!$B$2:$C$4000,2,FALSE)</f>
        <v>A6/32-2</v>
      </c>
    </row>
    <row r="4546" spans="2:13" x14ac:dyDescent="0.25">
      <c r="B4546" s="31" t="s">
        <v>26299</v>
      </c>
      <c r="C4546" s="25" t="s">
        <v>26166</v>
      </c>
      <c r="D4546" s="25" t="s">
        <v>26232</v>
      </c>
      <c r="E4546" s="25" t="s">
        <v>26307</v>
      </c>
      <c r="F4546" s="9" t="str">
        <f t="shared" si="64"/>
        <v>structure with developmental contribution from neural crest</v>
      </c>
      <c r="G4546" s="9" t="s">
        <v>5090</v>
      </c>
      <c r="H4546" s="9" t="s">
        <v>22324</v>
      </c>
      <c r="I4546" s="9" t="s">
        <v>8411</v>
      </c>
      <c r="J4546" s="9" t="s">
        <v>8412</v>
      </c>
      <c r="K4546" s="4" t="s">
        <v>15175</v>
      </c>
      <c r="L4546" s="13">
        <v>266441229</v>
      </c>
      <c r="M4546" t="str">
        <f>VLOOKUP(L4546,[1]Human_BrainSpan!$B$2:$C$4000,2,FALSE)</f>
        <v>A6/32-3</v>
      </c>
    </row>
    <row r="4547" spans="2:13" x14ac:dyDescent="0.25">
      <c r="B4547" s="31" t="s">
        <v>26299</v>
      </c>
      <c r="C4547" s="25" t="s">
        <v>26166</v>
      </c>
      <c r="D4547" s="25" t="s">
        <v>26232</v>
      </c>
      <c r="E4547" s="25" t="s">
        <v>26307</v>
      </c>
      <c r="F4547" s="9" t="str">
        <f t="shared" si="64"/>
        <v>structure with developmental contribution from neural crest</v>
      </c>
      <c r="G4547" s="9" t="s">
        <v>5090</v>
      </c>
      <c r="H4547" s="9" t="s">
        <v>22325</v>
      </c>
      <c r="I4547" s="9" t="s">
        <v>8413</v>
      </c>
      <c r="J4547" s="9" t="s">
        <v>8414</v>
      </c>
      <c r="K4547" s="4" t="s">
        <v>15175</v>
      </c>
      <c r="L4547" s="13">
        <v>266441233</v>
      </c>
      <c r="M4547" t="str">
        <f>VLOOKUP(L4547,[1]Human_BrainSpan!$B$2:$C$4000,2,FALSE)</f>
        <v>A6/32-4</v>
      </c>
    </row>
    <row r="4548" spans="2:13" x14ac:dyDescent="0.25">
      <c r="B4548" s="31" t="s">
        <v>26299</v>
      </c>
      <c r="C4548" s="25" t="s">
        <v>26166</v>
      </c>
      <c r="D4548" s="25" t="s">
        <v>26232</v>
      </c>
      <c r="E4548" s="25" t="s">
        <v>26307</v>
      </c>
      <c r="F4548" s="9" t="str">
        <f t="shared" si="64"/>
        <v>structure with developmental contribution from neural crest</v>
      </c>
      <c r="G4548" s="9" t="s">
        <v>5090</v>
      </c>
      <c r="H4548" s="9" t="s">
        <v>22326</v>
      </c>
      <c r="I4548" s="9" t="s">
        <v>8415</v>
      </c>
      <c r="J4548" s="9" t="s">
        <v>8416</v>
      </c>
      <c r="K4548" s="4" t="s">
        <v>15175</v>
      </c>
      <c r="L4548" s="13">
        <v>266441237</v>
      </c>
      <c r="M4548" t="str">
        <f>VLOOKUP(L4548,[1]Human_BrainSpan!$B$2:$C$4000,2,FALSE)</f>
        <v>A6/32-5</v>
      </c>
    </row>
    <row r="4549" spans="2:13" x14ac:dyDescent="0.25">
      <c r="B4549" s="31" t="s">
        <v>26299</v>
      </c>
      <c r="C4549" s="25" t="s">
        <v>26166</v>
      </c>
      <c r="D4549" s="25" t="s">
        <v>26232</v>
      </c>
      <c r="E4549" s="25" t="s">
        <v>26307</v>
      </c>
      <c r="F4549" s="9" t="str">
        <f t="shared" si="64"/>
        <v>structure with developmental contribution from neural crest</v>
      </c>
      <c r="G4549" s="9" t="s">
        <v>5090</v>
      </c>
      <c r="H4549" s="9" t="s">
        <v>22327</v>
      </c>
      <c r="I4549" s="9" t="s">
        <v>8417</v>
      </c>
      <c r="J4549" s="9" t="s">
        <v>8418</v>
      </c>
      <c r="K4549" s="4" t="s">
        <v>15175</v>
      </c>
      <c r="L4549" s="13">
        <v>266441241</v>
      </c>
      <c r="M4549" t="str">
        <f>VLOOKUP(L4549,[1]Human_BrainSpan!$B$2:$C$4000,2,FALSE)</f>
        <v>A6/32-6</v>
      </c>
    </row>
    <row r="4550" spans="2:13" x14ac:dyDescent="0.25">
      <c r="B4550" s="31" t="s">
        <v>26303</v>
      </c>
      <c r="C4550" s="20" t="s">
        <v>25901</v>
      </c>
      <c r="D4550" s="25" t="s">
        <v>26232</v>
      </c>
      <c r="E4550" s="25"/>
      <c r="F4550" s="9" t="str">
        <f t="shared" si="64"/>
        <v>structure with developmental contribution from neural crest</v>
      </c>
      <c r="G4550" s="9" t="s">
        <v>5090</v>
      </c>
      <c r="H4550" s="9" t="s">
        <v>23009</v>
      </c>
      <c r="I4550" s="9" t="s">
        <v>8419</v>
      </c>
      <c r="J4550" s="9" t="s">
        <v>8420</v>
      </c>
      <c r="K4550" s="4" t="s">
        <v>15175</v>
      </c>
      <c r="L4550" s="13">
        <v>266441247</v>
      </c>
      <c r="M4550" t="str">
        <f>VLOOKUP(L4550,[1]Human_BrainSpan!$B$2:$C$4000,2,FALSE)</f>
        <v>DGU</v>
      </c>
    </row>
    <row r="4551" spans="2:13" x14ac:dyDescent="0.25">
      <c r="B4551" s="31" t="s">
        <v>26303</v>
      </c>
      <c r="C4551" s="25" t="s">
        <v>25900</v>
      </c>
      <c r="D4551" s="25" t="s">
        <v>26232</v>
      </c>
      <c r="E4551" s="35" t="s">
        <v>26306</v>
      </c>
      <c r="F4551" s="9" t="str">
        <f t="shared" si="64"/>
        <v>structure with developmental contribution from neural crest</v>
      </c>
      <c r="G4551" s="9" t="s">
        <v>5090</v>
      </c>
      <c r="H4551" s="9" t="s">
        <v>23010</v>
      </c>
      <c r="I4551" s="9" t="s">
        <v>8421</v>
      </c>
      <c r="J4551" s="9" t="s">
        <v>8422</v>
      </c>
      <c r="K4551" s="4" t="s">
        <v>15175</v>
      </c>
      <c r="L4551" s="13">
        <v>266441251</v>
      </c>
      <c r="M4551" t="str">
        <f>VLOOKUP(L4551,[1]Human_BrainSpan!$B$2:$C$4000,2,FALSE)</f>
        <v>DGUmo</v>
      </c>
    </row>
    <row r="4552" spans="2:13" x14ac:dyDescent="0.25">
      <c r="B4552" s="31" t="s">
        <v>26303</v>
      </c>
      <c r="C4552" s="25" t="s">
        <v>25899</v>
      </c>
      <c r="D4552" s="25" t="s">
        <v>26232</v>
      </c>
      <c r="E4552" s="25"/>
      <c r="F4552" s="9" t="str">
        <f t="shared" si="64"/>
        <v>structure with developmental contribution from neural crest</v>
      </c>
      <c r="G4552" s="9" t="s">
        <v>5090</v>
      </c>
      <c r="H4552" s="9" t="s">
        <v>23011</v>
      </c>
      <c r="I4552" s="9" t="s">
        <v>8423</v>
      </c>
      <c r="J4552" s="9" t="s">
        <v>8424</v>
      </c>
      <c r="K4552" s="4" t="s">
        <v>15175</v>
      </c>
      <c r="L4552" s="13">
        <v>266441255</v>
      </c>
      <c r="M4552" t="str">
        <f>VLOOKUP(L4552,[1]Human_BrainSpan!$B$2:$C$4000,2,FALSE)</f>
        <v>DGUgr</v>
      </c>
    </row>
    <row r="4553" spans="2:13" x14ac:dyDescent="0.25">
      <c r="B4553" s="31" t="s">
        <v>26303</v>
      </c>
      <c r="C4553" s="25" t="s">
        <v>25903</v>
      </c>
      <c r="D4553" s="25" t="s">
        <v>26232</v>
      </c>
      <c r="E4553" s="25"/>
      <c r="F4553" s="9" t="str">
        <f t="shared" si="64"/>
        <v>structure with developmental contribution from neural crest</v>
      </c>
      <c r="G4553" s="9" t="s">
        <v>5090</v>
      </c>
      <c r="H4553" s="9" t="s">
        <v>23012</v>
      </c>
      <c r="I4553" s="9" t="s">
        <v>8425</v>
      </c>
      <c r="J4553" s="9" t="s">
        <v>8426</v>
      </c>
      <c r="K4553" s="4" t="s">
        <v>15175</v>
      </c>
      <c r="L4553" s="13">
        <v>266441259</v>
      </c>
      <c r="M4553" t="str">
        <f>VLOOKUP(L4553,[1]Human_BrainSpan!$B$2:$C$4000,2,FALSE)</f>
        <v>DGUsg</v>
      </c>
    </row>
    <row r="4554" spans="2:13" x14ac:dyDescent="0.25">
      <c r="B4554" s="31" t="s">
        <v>26303</v>
      </c>
      <c r="C4554" s="25" t="s">
        <v>25902</v>
      </c>
      <c r="D4554" s="25" t="s">
        <v>26232</v>
      </c>
      <c r="E4554" s="25"/>
      <c r="F4554" s="9" t="str">
        <f t="shared" si="64"/>
        <v>structure with developmental contribution from neural crest</v>
      </c>
      <c r="G4554" s="9" t="s">
        <v>5090</v>
      </c>
      <c r="H4554" s="9" t="s">
        <v>23013</v>
      </c>
      <c r="I4554" s="9" t="s">
        <v>8427</v>
      </c>
      <c r="J4554" s="9" t="s">
        <v>8428</v>
      </c>
      <c r="K4554" s="4" t="s">
        <v>15175</v>
      </c>
      <c r="L4554" s="13">
        <v>266441263</v>
      </c>
      <c r="M4554" t="str">
        <f>VLOOKUP(L4554,[1]Human_BrainSpan!$B$2:$C$4000,2,FALSE)</f>
        <v>DGUpf</v>
      </c>
    </row>
    <row r="4555" spans="2:13" x14ac:dyDescent="0.25">
      <c r="B4555" s="31" t="s">
        <v>26299</v>
      </c>
      <c r="C4555" s="25" t="s">
        <v>1725</v>
      </c>
      <c r="D4555" s="25" t="s">
        <v>26232</v>
      </c>
      <c r="E4555" s="35" t="s">
        <v>26306</v>
      </c>
      <c r="F4555" s="9" t="str">
        <f t="shared" si="64"/>
        <v>structure with developmental contribution from neural crest</v>
      </c>
      <c r="G4555" s="9" t="s">
        <v>5090</v>
      </c>
      <c r="H4555" s="9" t="s">
        <v>23027</v>
      </c>
      <c r="I4555" s="9" t="s">
        <v>8429</v>
      </c>
      <c r="J4555" s="9" t="s">
        <v>8430</v>
      </c>
      <c r="K4555" s="4" t="s">
        <v>15175</v>
      </c>
      <c r="L4555" s="13">
        <v>266441275</v>
      </c>
      <c r="M4555" t="str">
        <f>VLOOKUP(L4555,[1]Human_BrainSpan!$B$2:$C$4000,2,FALSE)</f>
        <v>CA1Usmo</v>
      </c>
    </row>
    <row r="4556" spans="2:13" x14ac:dyDescent="0.25">
      <c r="B4556" s="31" t="s">
        <v>26299</v>
      </c>
      <c r="C4556" s="25" t="s">
        <v>1725</v>
      </c>
      <c r="D4556" s="25" t="s">
        <v>26232</v>
      </c>
      <c r="E4556" s="25"/>
      <c r="F4556" s="9" t="str">
        <f t="shared" si="64"/>
        <v>structure with developmental contribution from neural crest</v>
      </c>
      <c r="G4556" s="9" t="s">
        <v>5090</v>
      </c>
      <c r="H4556" s="9" t="s">
        <v>23028</v>
      </c>
      <c r="I4556" s="9" t="s">
        <v>8431</v>
      </c>
      <c r="J4556" s="9" t="s">
        <v>8432</v>
      </c>
      <c r="K4556" s="4" t="s">
        <v>15175</v>
      </c>
      <c r="L4556" s="13">
        <v>266441279</v>
      </c>
      <c r="M4556" t="str">
        <f>VLOOKUP(L4556,[1]Human_BrainSpan!$B$2:$C$4000,2,FALSE)</f>
        <v>CA1Usla</v>
      </c>
    </row>
    <row r="4557" spans="2:13" x14ac:dyDescent="0.25">
      <c r="B4557" s="31" t="s">
        <v>26299</v>
      </c>
      <c r="C4557" s="25" t="s">
        <v>1671</v>
      </c>
      <c r="D4557" s="25" t="s">
        <v>26232</v>
      </c>
      <c r="E4557" s="35" t="s">
        <v>26306</v>
      </c>
      <c r="F4557" s="9" t="str">
        <f t="shared" si="64"/>
        <v>structure with developmental contribution from neural crest</v>
      </c>
      <c r="G4557" s="9" t="s">
        <v>5090</v>
      </c>
      <c r="H4557" s="9" t="s">
        <v>23034</v>
      </c>
      <c r="I4557" s="9" t="s">
        <v>8433</v>
      </c>
      <c r="J4557" s="9" t="s">
        <v>8434</v>
      </c>
      <c r="K4557" s="4" t="s">
        <v>15175</v>
      </c>
      <c r="L4557" s="13">
        <v>266441295</v>
      </c>
      <c r="M4557" t="str">
        <f>VLOOKUP(L4557,[1]Human_BrainSpan!$B$2:$C$4000,2,FALSE)</f>
        <v>CA1Rsmo</v>
      </c>
    </row>
    <row r="4558" spans="2:13" x14ac:dyDescent="0.25">
      <c r="B4558" s="31" t="s">
        <v>26299</v>
      </c>
      <c r="C4558" s="25" t="s">
        <v>1671</v>
      </c>
      <c r="D4558" s="25" t="s">
        <v>26232</v>
      </c>
      <c r="E4558" s="25"/>
      <c r="F4558" s="9" t="str">
        <f t="shared" si="64"/>
        <v>structure with developmental contribution from neural crest</v>
      </c>
      <c r="G4558" s="9" t="s">
        <v>5090</v>
      </c>
      <c r="H4558" s="9" t="s">
        <v>23035</v>
      </c>
      <c r="I4558" s="9" t="s">
        <v>8435</v>
      </c>
      <c r="J4558" s="9" t="s">
        <v>8436</v>
      </c>
      <c r="K4558" s="4" t="s">
        <v>15175</v>
      </c>
      <c r="L4558" s="13">
        <v>266441299</v>
      </c>
      <c r="M4558" t="str">
        <f>VLOOKUP(L4558,[1]Human_BrainSpan!$B$2:$C$4000,2,FALSE)</f>
        <v>CA1Rsla</v>
      </c>
    </row>
    <row r="4559" spans="2:13" x14ac:dyDescent="0.25">
      <c r="B4559" s="31" t="s">
        <v>26299</v>
      </c>
      <c r="C4559" s="25" t="s">
        <v>1679</v>
      </c>
      <c r="D4559" s="25" t="s">
        <v>26232</v>
      </c>
      <c r="E4559" s="35" t="s">
        <v>26306</v>
      </c>
      <c r="F4559" s="9" t="str">
        <f t="shared" si="64"/>
        <v>structure with developmental contribution from neural crest</v>
      </c>
      <c r="G4559" s="9" t="s">
        <v>5090</v>
      </c>
      <c r="H4559" s="9" t="s">
        <v>23041</v>
      </c>
      <c r="I4559" s="9" t="s">
        <v>8437</v>
      </c>
      <c r="J4559" s="9" t="s">
        <v>8438</v>
      </c>
      <c r="K4559" s="4" t="s">
        <v>15175</v>
      </c>
      <c r="L4559" s="13">
        <v>266441303</v>
      </c>
      <c r="M4559" t="str">
        <f>VLOOKUP(L4559,[1]Human_BrainSpan!$B$2:$C$4000,2,FALSE)</f>
        <v>CA1Csmo</v>
      </c>
    </row>
    <row r="4560" spans="2:13" x14ac:dyDescent="0.25">
      <c r="B4560" s="31" t="s">
        <v>26299</v>
      </c>
      <c r="C4560" s="25" t="s">
        <v>1679</v>
      </c>
      <c r="D4560" s="25" t="s">
        <v>26232</v>
      </c>
      <c r="E4560" s="25"/>
      <c r="F4560" s="9" t="str">
        <f t="shared" si="64"/>
        <v>structure with developmental contribution from neural crest</v>
      </c>
      <c r="G4560" s="9" t="s">
        <v>5090</v>
      </c>
      <c r="H4560" s="9" t="s">
        <v>23042</v>
      </c>
      <c r="I4560" s="9" t="s">
        <v>8439</v>
      </c>
      <c r="J4560" s="9" t="s">
        <v>8440</v>
      </c>
      <c r="K4560" s="4" t="s">
        <v>15175</v>
      </c>
      <c r="L4560" s="13">
        <v>266441307</v>
      </c>
      <c r="M4560" t="str">
        <f>VLOOKUP(L4560,[1]Human_BrainSpan!$B$2:$C$4000,2,FALSE)</f>
        <v>CA1Csla</v>
      </c>
    </row>
    <row r="4561" spans="2:13" x14ac:dyDescent="0.25">
      <c r="B4561" s="31" t="s">
        <v>26299</v>
      </c>
      <c r="C4561" s="25" t="s">
        <v>1733</v>
      </c>
      <c r="D4561" s="25" t="s">
        <v>26232</v>
      </c>
      <c r="E4561" s="35" t="s">
        <v>26306</v>
      </c>
      <c r="F4561" s="9" t="str">
        <f t="shared" si="64"/>
        <v>structure with developmental contribution from neural crest</v>
      </c>
      <c r="G4561" s="9" t="s">
        <v>5090</v>
      </c>
      <c r="H4561" s="9" t="s">
        <v>23048</v>
      </c>
      <c r="I4561" s="9" t="s">
        <v>8441</v>
      </c>
      <c r="J4561" s="9" t="s">
        <v>8442</v>
      </c>
      <c r="K4561" s="4" t="s">
        <v>15175</v>
      </c>
      <c r="L4561" s="13">
        <v>266441319</v>
      </c>
      <c r="M4561" t="str">
        <f>VLOOKUP(L4561,[1]Human_BrainSpan!$B$2:$C$4000,2,FALSE)</f>
        <v>CA2Usmo</v>
      </c>
    </row>
    <row r="4562" spans="2:13" x14ac:dyDescent="0.25">
      <c r="B4562" s="31" t="s">
        <v>26299</v>
      </c>
      <c r="C4562" s="25" t="s">
        <v>1733</v>
      </c>
      <c r="D4562" s="25" t="s">
        <v>26232</v>
      </c>
      <c r="E4562" s="25"/>
      <c r="F4562" s="9" t="str">
        <f t="shared" si="64"/>
        <v>structure with developmental contribution from neural crest</v>
      </c>
      <c r="G4562" s="9" t="s">
        <v>5090</v>
      </c>
      <c r="H4562" s="9" t="s">
        <v>23049</v>
      </c>
      <c r="I4562" s="9" t="s">
        <v>8443</v>
      </c>
      <c r="J4562" s="9" t="s">
        <v>8444</v>
      </c>
      <c r="K4562" s="4" t="s">
        <v>15175</v>
      </c>
      <c r="L4562" s="13">
        <v>266441323</v>
      </c>
      <c r="M4562" t="str">
        <f>VLOOKUP(L4562,[1]Human_BrainSpan!$B$2:$C$4000,2,FALSE)</f>
        <v>CA2Usla</v>
      </c>
    </row>
    <row r="4563" spans="2:13" x14ac:dyDescent="0.25">
      <c r="B4563" s="31" t="s">
        <v>26299</v>
      </c>
      <c r="C4563" s="25" t="s">
        <v>1671</v>
      </c>
      <c r="D4563" s="25" t="s">
        <v>26232</v>
      </c>
      <c r="E4563" s="35" t="s">
        <v>26306</v>
      </c>
      <c r="F4563" s="9" t="str">
        <f t="shared" si="64"/>
        <v>structure with developmental contribution from neural crest</v>
      </c>
      <c r="G4563" s="9" t="s">
        <v>5090</v>
      </c>
      <c r="H4563" s="9" t="s">
        <v>23055</v>
      </c>
      <c r="I4563" s="9" t="s">
        <v>8445</v>
      </c>
      <c r="J4563" s="9" t="s">
        <v>8446</v>
      </c>
      <c r="K4563" s="4" t="s">
        <v>15175</v>
      </c>
      <c r="L4563" s="13">
        <v>266441339</v>
      </c>
      <c r="M4563" t="str">
        <f>VLOOKUP(L4563,[1]Human_BrainSpan!$B$2:$C$4000,2,FALSE)</f>
        <v>CA2Rsmo</v>
      </c>
    </row>
    <row r="4564" spans="2:13" x14ac:dyDescent="0.25">
      <c r="B4564" s="31" t="s">
        <v>26299</v>
      </c>
      <c r="C4564" s="25" t="s">
        <v>1671</v>
      </c>
      <c r="D4564" s="25" t="s">
        <v>26232</v>
      </c>
      <c r="E4564" s="25"/>
      <c r="F4564" s="9" t="str">
        <f t="shared" si="64"/>
        <v>structure with developmental contribution from neural crest</v>
      </c>
      <c r="G4564" s="9" t="s">
        <v>5090</v>
      </c>
      <c r="H4564" s="9" t="s">
        <v>23056</v>
      </c>
      <c r="I4564" s="9" t="s">
        <v>8447</v>
      </c>
      <c r="J4564" s="9" t="s">
        <v>8448</v>
      </c>
      <c r="K4564" s="4" t="s">
        <v>15175</v>
      </c>
      <c r="L4564" s="13">
        <v>266441343</v>
      </c>
      <c r="M4564" t="str">
        <f>VLOOKUP(L4564,[1]Human_BrainSpan!$B$2:$C$4000,2,FALSE)</f>
        <v>CA2Rsla</v>
      </c>
    </row>
    <row r="4565" spans="2:13" x14ac:dyDescent="0.25">
      <c r="B4565" s="31" t="s">
        <v>26299</v>
      </c>
      <c r="C4565" s="25" t="s">
        <v>1695</v>
      </c>
      <c r="D4565" s="25" t="s">
        <v>26232</v>
      </c>
      <c r="E4565" s="35" t="s">
        <v>26306</v>
      </c>
      <c r="F4565" s="9" t="str">
        <f t="shared" si="64"/>
        <v>structure with developmental contribution from neural crest</v>
      </c>
      <c r="G4565" s="9" t="s">
        <v>5090</v>
      </c>
      <c r="H4565" s="9" t="s">
        <v>23062</v>
      </c>
      <c r="I4565" s="9" t="s">
        <v>8449</v>
      </c>
      <c r="J4565" s="9" t="s">
        <v>8450</v>
      </c>
      <c r="K4565" s="4" t="s">
        <v>15175</v>
      </c>
      <c r="L4565" s="13">
        <v>266441347</v>
      </c>
      <c r="M4565" t="str">
        <f>VLOOKUP(L4565,[1]Human_BrainSpan!$B$2:$C$4000,2,FALSE)</f>
        <v>CA2Csmo</v>
      </c>
    </row>
    <row r="4566" spans="2:13" x14ac:dyDescent="0.25">
      <c r="B4566" s="31" t="s">
        <v>26299</v>
      </c>
      <c r="C4566" s="25" t="s">
        <v>1695</v>
      </c>
      <c r="D4566" s="25" t="s">
        <v>26232</v>
      </c>
      <c r="E4566" s="25"/>
      <c r="F4566" s="9" t="str">
        <f t="shared" si="64"/>
        <v>structure with developmental contribution from neural crest</v>
      </c>
      <c r="G4566" s="9" t="s">
        <v>5090</v>
      </c>
      <c r="H4566" s="9" t="s">
        <v>23063</v>
      </c>
      <c r="I4566" s="9" t="s">
        <v>8451</v>
      </c>
      <c r="J4566" s="9" t="s">
        <v>8452</v>
      </c>
      <c r="K4566" s="4" t="s">
        <v>15175</v>
      </c>
      <c r="L4566" s="13">
        <v>266441351</v>
      </c>
      <c r="M4566" t="str">
        <f>VLOOKUP(L4566,[1]Human_BrainSpan!$B$2:$C$4000,2,FALSE)</f>
        <v>CA2Csla</v>
      </c>
    </row>
    <row r="4567" spans="2:13" x14ac:dyDescent="0.25">
      <c r="B4567" s="31" t="s">
        <v>26299</v>
      </c>
      <c r="C4567" s="25" t="s">
        <v>1741</v>
      </c>
      <c r="D4567" s="25" t="s">
        <v>26232</v>
      </c>
      <c r="E4567" s="35" t="s">
        <v>26306</v>
      </c>
      <c r="F4567" s="9" t="str">
        <f t="shared" si="64"/>
        <v>structure with developmental contribution from neural crest</v>
      </c>
      <c r="G4567" s="9" t="s">
        <v>5090</v>
      </c>
      <c r="H4567" s="9" t="s">
        <v>23069</v>
      </c>
      <c r="I4567" s="9" t="s">
        <v>8453</v>
      </c>
      <c r="J4567" s="9" t="s">
        <v>8454</v>
      </c>
      <c r="K4567" s="4" t="s">
        <v>15175</v>
      </c>
      <c r="L4567" s="13">
        <v>266441363</v>
      </c>
      <c r="M4567" t="str">
        <f>VLOOKUP(L4567,[1]Human_BrainSpan!$B$2:$C$4000,2,FALSE)</f>
        <v>CA3Usmo</v>
      </c>
    </row>
    <row r="4568" spans="2:13" x14ac:dyDescent="0.25">
      <c r="B4568" s="31" t="s">
        <v>26299</v>
      </c>
      <c r="C4568" s="25" t="s">
        <v>1741</v>
      </c>
      <c r="D4568" s="25" t="s">
        <v>26232</v>
      </c>
      <c r="E4568" s="25"/>
      <c r="F4568" s="9" t="str">
        <f t="shared" si="64"/>
        <v>structure with developmental contribution from neural crest</v>
      </c>
      <c r="G4568" s="9" t="s">
        <v>5090</v>
      </c>
      <c r="H4568" s="9" t="s">
        <v>23070</v>
      </c>
      <c r="I4568" s="9" t="s">
        <v>8455</v>
      </c>
      <c r="J4568" s="9" t="s">
        <v>8456</v>
      </c>
      <c r="K4568" s="4" t="s">
        <v>15175</v>
      </c>
      <c r="L4568" s="13">
        <v>266441367</v>
      </c>
      <c r="M4568" t="str">
        <f>VLOOKUP(L4568,[1]Human_BrainSpan!$B$2:$C$4000,2,FALSE)</f>
        <v>CA3Usla</v>
      </c>
    </row>
    <row r="4569" spans="2:13" x14ac:dyDescent="0.25">
      <c r="B4569" s="31" t="s">
        <v>26299</v>
      </c>
      <c r="C4569" s="25" t="s">
        <v>1671</v>
      </c>
      <c r="D4569" s="25" t="s">
        <v>26232</v>
      </c>
      <c r="E4569" s="35" t="s">
        <v>26306</v>
      </c>
      <c r="F4569" s="9" t="str">
        <f t="shared" si="64"/>
        <v>structure with developmental contribution from neural crest</v>
      </c>
      <c r="G4569" s="9" t="s">
        <v>5090</v>
      </c>
      <c r="H4569" s="9" t="s">
        <v>23077</v>
      </c>
      <c r="I4569" s="9" t="s">
        <v>8457</v>
      </c>
      <c r="J4569" s="9" t="s">
        <v>8458</v>
      </c>
      <c r="K4569" s="4" t="s">
        <v>15175</v>
      </c>
      <c r="L4569" s="13">
        <v>266441387</v>
      </c>
      <c r="M4569" t="str">
        <f>VLOOKUP(L4569,[1]Human_BrainSpan!$B$2:$C$4000,2,FALSE)</f>
        <v>CA3Rsmo</v>
      </c>
    </row>
    <row r="4570" spans="2:13" x14ac:dyDescent="0.25">
      <c r="B4570" s="31" t="s">
        <v>26299</v>
      </c>
      <c r="C4570" s="25" t="s">
        <v>1671</v>
      </c>
      <c r="D4570" s="25" t="s">
        <v>26232</v>
      </c>
      <c r="E4570" s="25"/>
      <c r="F4570" s="9" t="str">
        <f t="shared" si="64"/>
        <v>structure with developmental contribution from neural crest</v>
      </c>
      <c r="G4570" s="9" t="s">
        <v>5090</v>
      </c>
      <c r="H4570" s="9" t="s">
        <v>23078</v>
      </c>
      <c r="I4570" s="9" t="s">
        <v>8459</v>
      </c>
      <c r="J4570" s="9" t="s">
        <v>8460</v>
      </c>
      <c r="K4570" s="4" t="s">
        <v>15175</v>
      </c>
      <c r="L4570" s="13">
        <v>266441391</v>
      </c>
      <c r="M4570" t="str">
        <f>VLOOKUP(L4570,[1]Human_BrainSpan!$B$2:$C$4000,2,FALSE)</f>
        <v>CA3Rsla</v>
      </c>
    </row>
    <row r="4571" spans="2:13" x14ac:dyDescent="0.25">
      <c r="B4571" s="31" t="s">
        <v>26299</v>
      </c>
      <c r="C4571" s="25" t="s">
        <v>1713</v>
      </c>
      <c r="D4571" s="25" t="s">
        <v>26232</v>
      </c>
      <c r="E4571" s="35" t="s">
        <v>26306</v>
      </c>
      <c r="F4571" s="9" t="str">
        <f t="shared" si="64"/>
        <v>structure with developmental contribution from neural crest</v>
      </c>
      <c r="G4571" s="9" t="s">
        <v>5090</v>
      </c>
      <c r="H4571" s="9" t="s">
        <v>23085</v>
      </c>
      <c r="I4571" s="9" t="s">
        <v>8461</v>
      </c>
      <c r="J4571" s="9" t="s">
        <v>8462</v>
      </c>
      <c r="K4571" s="4" t="s">
        <v>15175</v>
      </c>
      <c r="L4571" s="13">
        <v>266441395</v>
      </c>
      <c r="M4571" t="str">
        <f>VLOOKUP(L4571,[1]Human_BrainSpan!$B$2:$C$4000,2,FALSE)</f>
        <v>CA3Csmo</v>
      </c>
    </row>
    <row r="4572" spans="2:13" x14ac:dyDescent="0.25">
      <c r="B4572" s="31" t="s">
        <v>26299</v>
      </c>
      <c r="C4572" s="25" t="s">
        <v>1713</v>
      </c>
      <c r="D4572" s="25" t="s">
        <v>26232</v>
      </c>
      <c r="E4572" s="25"/>
      <c r="F4572" s="9" t="str">
        <f t="shared" si="64"/>
        <v>structure with developmental contribution from neural crest</v>
      </c>
      <c r="G4572" s="9" t="s">
        <v>5090</v>
      </c>
      <c r="H4572" s="9" t="s">
        <v>23086</v>
      </c>
      <c r="I4572" s="9" t="s">
        <v>8463</v>
      </c>
      <c r="J4572" s="9" t="s">
        <v>8464</v>
      </c>
      <c r="K4572" s="4" t="s">
        <v>15175</v>
      </c>
      <c r="L4572" s="13">
        <v>266441399</v>
      </c>
      <c r="M4572" t="str">
        <f>VLOOKUP(L4572,[1]Human_BrainSpan!$B$2:$C$4000,2,FALSE)</f>
        <v>CA3Csla</v>
      </c>
    </row>
    <row r="4573" spans="2:13" x14ac:dyDescent="0.25">
      <c r="B4573" s="31" t="s">
        <v>26303</v>
      </c>
      <c r="C4573" s="35" t="s">
        <v>25762</v>
      </c>
      <c r="D4573" s="35" t="s">
        <v>26232</v>
      </c>
      <c r="E4573" s="35" t="s">
        <v>26306</v>
      </c>
      <c r="F4573" s="9" t="str">
        <f t="shared" si="64"/>
        <v>structure with developmental contribution from neural crest</v>
      </c>
      <c r="G4573" s="9" t="s">
        <v>5090</v>
      </c>
      <c r="H4573" s="9" t="s">
        <v>23092</v>
      </c>
      <c r="I4573" s="9" t="s">
        <v>8465</v>
      </c>
      <c r="J4573" s="9" t="s">
        <v>8466</v>
      </c>
      <c r="K4573" s="4" t="s">
        <v>15175</v>
      </c>
      <c r="L4573" s="13">
        <v>266441403</v>
      </c>
      <c r="M4573" t="str">
        <f>VLOOKUP(L4573,[1]Human_BrainSpan!$B$2:$C$4000,2,FALSE)</f>
        <v>CA4Upy</v>
      </c>
    </row>
    <row r="4574" spans="2:13" x14ac:dyDescent="0.25">
      <c r="B4574" s="31" t="s">
        <v>26303</v>
      </c>
      <c r="C4574" s="25" t="s">
        <v>14722</v>
      </c>
      <c r="D4574" s="25" t="s">
        <v>26232</v>
      </c>
      <c r="E4574" s="35" t="s">
        <v>26306</v>
      </c>
      <c r="F4574" s="9" t="str">
        <f t="shared" si="64"/>
        <v>structure with developmental contribution from neural crest</v>
      </c>
      <c r="G4574" s="9" t="s">
        <v>5090</v>
      </c>
      <c r="H4574" s="9" t="s">
        <v>23096</v>
      </c>
      <c r="I4574" s="9" t="s">
        <v>8467</v>
      </c>
      <c r="J4574" s="9" t="s">
        <v>8468</v>
      </c>
      <c r="K4574" s="4" t="s">
        <v>15175</v>
      </c>
      <c r="L4574" s="13">
        <v>266441407</v>
      </c>
      <c r="M4574" t="str">
        <f>VLOOKUP(L4574,[1]Human_BrainSpan!$B$2:$C$4000,2,FALSE)</f>
        <v>S-U</v>
      </c>
    </row>
    <row r="4575" spans="2:13" x14ac:dyDescent="0.25">
      <c r="B4575" s="31" t="s">
        <v>26303</v>
      </c>
      <c r="C4575" s="25" t="s">
        <v>14722</v>
      </c>
      <c r="D4575" s="25" t="s">
        <v>26232</v>
      </c>
      <c r="E4575" s="35" t="s">
        <v>26306</v>
      </c>
      <c r="F4575" s="9" t="str">
        <f t="shared" si="64"/>
        <v>structure with developmental contribution from neural crest</v>
      </c>
      <c r="G4575" s="9" t="s">
        <v>5090</v>
      </c>
      <c r="H4575" s="9" t="s">
        <v>23097</v>
      </c>
      <c r="I4575" s="9" t="s">
        <v>8469</v>
      </c>
      <c r="J4575" s="9" t="s">
        <v>8470</v>
      </c>
      <c r="K4575" s="4" t="s">
        <v>15175</v>
      </c>
      <c r="L4575" s="13">
        <v>266441411</v>
      </c>
      <c r="M4575" t="str">
        <f>VLOOKUP(L4575,[1]Human_BrainSpan!$B$2:$C$4000,2,FALSE)</f>
        <v>SUmo</v>
      </c>
    </row>
    <row r="4576" spans="2:13" x14ac:dyDescent="0.25">
      <c r="B4576" s="31" t="s">
        <v>26303</v>
      </c>
      <c r="C4576" s="25" t="s">
        <v>14722</v>
      </c>
      <c r="D4576" s="35" t="s">
        <v>26232</v>
      </c>
      <c r="E4576" s="35" t="s">
        <v>26306</v>
      </c>
      <c r="F4576" s="9" t="str">
        <f t="shared" si="64"/>
        <v>structure with developmental contribution from neural crest</v>
      </c>
      <c r="G4576" s="9" t="s">
        <v>5090</v>
      </c>
      <c r="H4576" s="9" t="s">
        <v>23098</v>
      </c>
      <c r="I4576" s="9" t="s">
        <v>8471</v>
      </c>
      <c r="J4576" s="9" t="s">
        <v>8472</v>
      </c>
      <c r="K4576" s="4" t="s">
        <v>15175</v>
      </c>
      <c r="L4576" s="13">
        <v>266441415</v>
      </c>
      <c r="M4576" t="str">
        <f>VLOOKUP(L4576,[1]Human_BrainSpan!$B$2:$C$4000,2,FALSE)</f>
        <v>SUpy</v>
      </c>
    </row>
    <row r="4577" spans="2:13" x14ac:dyDescent="0.25">
      <c r="B4577" s="31" t="s">
        <v>26303</v>
      </c>
      <c r="C4577" s="25" t="s">
        <v>14722</v>
      </c>
      <c r="D4577" s="25" t="s">
        <v>26232</v>
      </c>
      <c r="E4577" s="35" t="s">
        <v>26306</v>
      </c>
      <c r="F4577" s="9" t="str">
        <f t="shared" si="64"/>
        <v>structure with developmental contribution from neural crest</v>
      </c>
      <c r="G4577" s="9" t="s">
        <v>5090</v>
      </c>
      <c r="H4577" s="9" t="s">
        <v>23099</v>
      </c>
      <c r="I4577" s="9" t="s">
        <v>8473</v>
      </c>
      <c r="J4577" s="9" t="s">
        <v>8474</v>
      </c>
      <c r="K4577" s="4" t="s">
        <v>15175</v>
      </c>
      <c r="L4577" s="13">
        <v>266441419</v>
      </c>
      <c r="M4577" t="str">
        <f>VLOOKUP(L4577,[1]Human_BrainSpan!$B$2:$C$4000,2,FALSE)</f>
        <v>SUpm</v>
      </c>
    </row>
    <row r="4578" spans="2:13" x14ac:dyDescent="0.25">
      <c r="B4578" s="31" t="s">
        <v>26303</v>
      </c>
      <c r="C4578" s="20"/>
      <c r="D4578" s="25" t="s">
        <v>26232</v>
      </c>
      <c r="E4578" s="25" t="s">
        <v>26300</v>
      </c>
      <c r="F4578" s="9" t="str">
        <f t="shared" si="64"/>
        <v>structure with developmental contribution from neural crest</v>
      </c>
      <c r="G4578" s="9" t="s">
        <v>5090</v>
      </c>
      <c r="H4578" s="9" t="s">
        <v>23108</v>
      </c>
      <c r="I4578" s="9" t="s">
        <v>8475</v>
      </c>
      <c r="J4578" s="9" t="s">
        <v>8476</v>
      </c>
      <c r="K4578" s="4" t="s">
        <v>15175</v>
      </c>
      <c r="L4578" s="13">
        <v>266441423</v>
      </c>
      <c r="M4578" t="str">
        <f>VLOOKUP(L4578,[1]Human_BrainSpan!$B$2:$C$4000,2,FALSE)</f>
        <v>ProU</v>
      </c>
    </row>
    <row r="4579" spans="2:13" x14ac:dyDescent="0.25">
      <c r="B4579" s="31" t="s">
        <v>26303</v>
      </c>
      <c r="C4579" s="20"/>
      <c r="D4579" s="25" t="s">
        <v>26232</v>
      </c>
      <c r="E4579" s="25" t="s">
        <v>26307</v>
      </c>
      <c r="F4579" s="9" t="str">
        <f t="shared" si="64"/>
        <v>structure with developmental contribution from neural crest</v>
      </c>
      <c r="G4579" s="9" t="s">
        <v>5090</v>
      </c>
      <c r="H4579" s="9" t="s">
        <v>23109</v>
      </c>
      <c r="I4579" s="9" t="s">
        <v>8477</v>
      </c>
      <c r="J4579" s="9" t="s">
        <v>8478</v>
      </c>
      <c r="K4579" s="4" t="s">
        <v>15175</v>
      </c>
      <c r="L4579" s="13">
        <v>266441427</v>
      </c>
      <c r="M4579" t="str">
        <f>VLOOKUP(L4579,[1]Human_BrainSpan!$B$2:$C$4000,2,FALSE)</f>
        <v>ProUmo</v>
      </c>
    </row>
    <row r="4580" spans="2:13" x14ac:dyDescent="0.25">
      <c r="B4580" s="31" t="s">
        <v>26303</v>
      </c>
      <c r="C4580" s="34"/>
      <c r="D4580" s="35" t="s">
        <v>26232</v>
      </c>
      <c r="E4580" s="25" t="s">
        <v>26300</v>
      </c>
      <c r="F4580" s="9" t="str">
        <f t="shared" si="64"/>
        <v>structure with developmental contribution from neural crest</v>
      </c>
      <c r="G4580" s="9" t="s">
        <v>5090</v>
      </c>
      <c r="H4580" s="9" t="s">
        <v>23110</v>
      </c>
      <c r="I4580" s="9" t="s">
        <v>8479</v>
      </c>
      <c r="J4580" s="9" t="s">
        <v>8480</v>
      </c>
      <c r="K4580" s="4" t="s">
        <v>15175</v>
      </c>
      <c r="L4580" s="13">
        <v>266441431</v>
      </c>
      <c r="M4580" t="str">
        <f>VLOOKUP(L4580,[1]Human_BrainSpan!$B$2:$C$4000,2,FALSE)</f>
        <v>ProUsp</v>
      </c>
    </row>
    <row r="4581" spans="2:13" x14ac:dyDescent="0.25">
      <c r="B4581" s="31" t="s">
        <v>26303</v>
      </c>
      <c r="C4581" s="20"/>
      <c r="D4581" s="25" t="s">
        <v>26232</v>
      </c>
      <c r="E4581" s="25" t="s">
        <v>26300</v>
      </c>
      <c r="F4581" s="9" t="str">
        <f t="shared" si="64"/>
        <v>structure with developmental contribution from neural crest</v>
      </c>
      <c r="G4581" s="9" t="s">
        <v>5090</v>
      </c>
      <c r="H4581" s="9" t="s">
        <v>23111</v>
      </c>
      <c r="I4581" s="9" t="s">
        <v>8481</v>
      </c>
      <c r="J4581" s="9" t="s">
        <v>8482</v>
      </c>
      <c r="K4581" s="4" t="s">
        <v>15175</v>
      </c>
      <c r="L4581" s="13">
        <v>266441435</v>
      </c>
      <c r="M4581" t="str">
        <f>VLOOKUP(L4581,[1]Human_BrainSpan!$B$2:$C$4000,2,FALSE)</f>
        <v>ProUso</v>
      </c>
    </row>
    <row r="4582" spans="2:13" x14ac:dyDescent="0.25">
      <c r="B4582" s="31" t="s">
        <v>26303</v>
      </c>
      <c r="C4582" s="25" t="s">
        <v>26073</v>
      </c>
      <c r="D4582" s="25" t="s">
        <v>26232</v>
      </c>
      <c r="E4582" s="25" t="s">
        <v>26300</v>
      </c>
      <c r="F4582" s="9" t="str">
        <f t="shared" si="64"/>
        <v>structure with developmental contribution from neural crest</v>
      </c>
      <c r="G4582" s="9" t="s">
        <v>5090</v>
      </c>
      <c r="H4582" s="9" t="s">
        <v>23138</v>
      </c>
      <c r="I4582" s="9" t="s">
        <v>8483</v>
      </c>
      <c r="J4582" s="9" t="s">
        <v>8484</v>
      </c>
      <c r="K4582" s="4" t="s">
        <v>15175</v>
      </c>
      <c r="L4582" s="13">
        <v>266441439</v>
      </c>
      <c r="M4582" t="str">
        <f>VLOOKUP(L4582,[1]Human_BrainSpan!$B$2:$C$4000,2,FALSE)</f>
        <v>LOAlc</v>
      </c>
    </row>
    <row r="4583" spans="2:13" x14ac:dyDescent="0.25">
      <c r="B4583" s="31" t="s">
        <v>26303</v>
      </c>
      <c r="C4583" s="25" t="s">
        <v>26073</v>
      </c>
      <c r="D4583" s="25" t="s">
        <v>26232</v>
      </c>
      <c r="E4583" s="25" t="s">
        <v>26300</v>
      </c>
      <c r="F4583" s="9" t="str">
        <f t="shared" si="64"/>
        <v>structure with developmental contribution from neural crest</v>
      </c>
      <c r="G4583" s="9" t="s">
        <v>5090</v>
      </c>
      <c r="H4583" s="9" t="s">
        <v>23140</v>
      </c>
      <c r="I4583" s="9" t="s">
        <v>8485</v>
      </c>
      <c r="J4583" s="9" t="s">
        <v>8486</v>
      </c>
      <c r="K4583" s="4" t="s">
        <v>15175</v>
      </c>
      <c r="L4583" s="13">
        <v>266441443</v>
      </c>
      <c r="M4583" t="str">
        <f>VLOOKUP(L4583,[1]Human_BrainSpan!$B$2:$C$4000,2,FALSE)</f>
        <v>LOAdc</v>
      </c>
    </row>
    <row r="4584" spans="2:13" x14ac:dyDescent="0.25">
      <c r="B4584" s="31" t="s">
        <v>26303</v>
      </c>
      <c r="C4584" s="25" t="s">
        <v>25765</v>
      </c>
      <c r="D4584" s="25" t="s">
        <v>26232</v>
      </c>
      <c r="E4584" s="25"/>
      <c r="F4584" s="9" t="str">
        <f t="shared" si="64"/>
        <v>structure with developmental contribution from neural crest</v>
      </c>
      <c r="G4584" s="9" t="s">
        <v>5090</v>
      </c>
      <c r="H4584" s="9" t="s">
        <v>23202</v>
      </c>
      <c r="I4584" s="9" t="s">
        <v>8487</v>
      </c>
      <c r="J4584" s="9" t="s">
        <v>8488</v>
      </c>
      <c r="K4584" s="4" t="s">
        <v>15175</v>
      </c>
      <c r="L4584" s="13">
        <v>266441447</v>
      </c>
      <c r="M4584" t="str">
        <f>VLOOKUP(L4584,[1]Human_BrainSpan!$B$2:$C$4000,2,FALSE)</f>
        <v>BMm</v>
      </c>
    </row>
    <row r="4585" spans="2:13" x14ac:dyDescent="0.25">
      <c r="B4585" s="31" t="s">
        <v>26303</v>
      </c>
      <c r="C4585" s="20"/>
      <c r="D4585" s="25" t="s">
        <v>26232</v>
      </c>
      <c r="E4585" s="25" t="s">
        <v>26300</v>
      </c>
      <c r="F4585" s="9" t="str">
        <f t="shared" si="64"/>
        <v>structure with developmental contribution from neural crest</v>
      </c>
      <c r="G4585" s="9" t="s">
        <v>5090</v>
      </c>
      <c r="H4585" s="9" t="s">
        <v>23203</v>
      </c>
      <c r="I4585" s="9" t="s">
        <v>8489</v>
      </c>
      <c r="J4585" s="9" t="s">
        <v>8490</v>
      </c>
      <c r="K4585" s="4" t="s">
        <v>15175</v>
      </c>
      <c r="L4585" s="13">
        <v>266441451</v>
      </c>
      <c r="M4585" t="str">
        <f>VLOOKUP(L4585,[1]Human_BrainSpan!$B$2:$C$4000,2,FALSE)</f>
        <v>BV</v>
      </c>
    </row>
    <row r="4586" spans="2:13" x14ac:dyDescent="0.25">
      <c r="B4586" s="31" t="s">
        <v>26303</v>
      </c>
      <c r="C4586" s="20"/>
      <c r="D4586" s="25" t="s">
        <v>26232</v>
      </c>
      <c r="E4586" s="25" t="s">
        <v>26309</v>
      </c>
      <c r="F4586" s="9" t="str">
        <f t="shared" si="64"/>
        <v>structure with developmental contribution from neural crest</v>
      </c>
      <c r="G4586" s="9" t="s">
        <v>5090</v>
      </c>
      <c r="H4586" s="9" t="s">
        <v>23207</v>
      </c>
      <c r="I4586" s="9" t="s">
        <v>8491</v>
      </c>
      <c r="J4586" s="9" t="s">
        <v>8492</v>
      </c>
      <c r="K4586" s="4" t="s">
        <v>15175</v>
      </c>
      <c r="L4586" s="13">
        <v>266441457</v>
      </c>
      <c r="M4586" t="str">
        <f>VLOOKUP(L4586,[1]Human_BrainSpan!$B$2:$C$4000,2,FALSE)</f>
        <v>IMG</v>
      </c>
    </row>
    <row r="4587" spans="2:13" x14ac:dyDescent="0.25">
      <c r="B4587" s="31" t="s">
        <v>26303</v>
      </c>
      <c r="C4587" s="25" t="s">
        <v>26025</v>
      </c>
      <c r="D4587" s="25" t="s">
        <v>26232</v>
      </c>
      <c r="E4587" s="25"/>
      <c r="F4587" s="9" t="str">
        <f t="shared" si="64"/>
        <v>structure with developmental contribution from neural crest</v>
      </c>
      <c r="G4587" s="9" t="s">
        <v>5090</v>
      </c>
      <c r="H4587" s="9" t="s">
        <v>23222</v>
      </c>
      <c r="I4587" s="9" t="s">
        <v>8493</v>
      </c>
      <c r="J4587" s="9" t="s">
        <v>8494</v>
      </c>
      <c r="K4587" s="4" t="s">
        <v>15175</v>
      </c>
      <c r="L4587" s="13">
        <v>266441461</v>
      </c>
      <c r="M4587" t="str">
        <f>VLOOKUP(L4587,[1]Human_BrainSpan!$B$2:$C$4000,2,FALSE)</f>
        <v>BSTmv</v>
      </c>
    </row>
    <row r="4588" spans="2:13" x14ac:dyDescent="0.25">
      <c r="B4588" s="31" t="s">
        <v>26303</v>
      </c>
      <c r="C4588" s="25" t="s">
        <v>25993</v>
      </c>
      <c r="D4588" s="25" t="s">
        <v>26232</v>
      </c>
      <c r="E4588" s="25"/>
      <c r="F4588" s="9" t="str">
        <f t="shared" si="64"/>
        <v>structure with developmental contribution from neural crest</v>
      </c>
      <c r="G4588" s="9" t="s">
        <v>5090</v>
      </c>
      <c r="H4588" s="9" t="s">
        <v>23227</v>
      </c>
      <c r="I4588" s="9" t="s">
        <v>8495</v>
      </c>
      <c r="J4588" s="9" t="s">
        <v>8496</v>
      </c>
      <c r="K4588" s="4" t="s">
        <v>15175</v>
      </c>
      <c r="L4588" s="13">
        <v>266441465</v>
      </c>
      <c r="M4588" t="str">
        <f>VLOOKUP(L4588,[1]Human_BrainSpan!$B$2:$C$4000,2,FALSE)</f>
        <v>BSTlcn</v>
      </c>
    </row>
    <row r="4589" spans="2:13" x14ac:dyDescent="0.25">
      <c r="B4589" s="31" t="s">
        <v>26303</v>
      </c>
      <c r="C4589" s="25" t="s">
        <v>25993</v>
      </c>
      <c r="D4589" s="25" t="s">
        <v>26232</v>
      </c>
      <c r="E4589" s="25"/>
      <c r="F4589" s="9" t="str">
        <f t="shared" si="64"/>
        <v>structure with developmental contribution from neural crest</v>
      </c>
      <c r="G4589" s="9" t="s">
        <v>5090</v>
      </c>
      <c r="H4589" s="9" t="s">
        <v>23228</v>
      </c>
      <c r="I4589" s="9" t="s">
        <v>8497</v>
      </c>
      <c r="J4589" s="9" t="s">
        <v>8498</v>
      </c>
      <c r="K4589" s="4" t="s">
        <v>15175</v>
      </c>
      <c r="L4589" s="13">
        <v>266441469</v>
      </c>
      <c r="M4589" t="str">
        <f>VLOOKUP(L4589,[1]Human_BrainSpan!$B$2:$C$4000,2,FALSE)</f>
        <v>BSTlcn-s</v>
      </c>
    </row>
    <row r="4590" spans="2:13" x14ac:dyDescent="0.25">
      <c r="B4590" s="31" t="s">
        <v>26303</v>
      </c>
      <c r="C4590" s="25" t="s">
        <v>25993</v>
      </c>
      <c r="D4590" s="25" t="s">
        <v>26232</v>
      </c>
      <c r="E4590" s="25"/>
      <c r="F4590" s="9" t="str">
        <f t="shared" si="64"/>
        <v>structure with developmental contribution from neural crest</v>
      </c>
      <c r="G4590" s="9" t="s">
        <v>5090</v>
      </c>
      <c r="H4590" s="9" t="s">
        <v>23230</v>
      </c>
      <c r="I4590" s="9" t="s">
        <v>8499</v>
      </c>
      <c r="J4590" s="9" t="s">
        <v>8500</v>
      </c>
      <c r="K4590" s="4" t="s">
        <v>15175</v>
      </c>
      <c r="L4590" s="13">
        <v>266441473</v>
      </c>
      <c r="M4590" t="str">
        <f>VLOOKUP(L4590,[1]Human_BrainSpan!$B$2:$C$4000,2,FALSE)</f>
        <v>BSTlcm</v>
      </c>
    </row>
    <row r="4591" spans="2:13" x14ac:dyDescent="0.25">
      <c r="B4591" s="31" t="s">
        <v>26303</v>
      </c>
      <c r="C4591" s="25" t="s">
        <v>25993</v>
      </c>
      <c r="D4591" s="25" t="s">
        <v>26232</v>
      </c>
      <c r="E4591" s="25"/>
      <c r="F4591" s="9" t="str">
        <f t="shared" si="64"/>
        <v>structure with developmental contribution from neural crest</v>
      </c>
      <c r="G4591" s="9" t="s">
        <v>5090</v>
      </c>
      <c r="H4591" s="9" t="s">
        <v>23231</v>
      </c>
      <c r="I4591" s="9" t="s">
        <v>8501</v>
      </c>
      <c r="J4591" s="9" t="s">
        <v>8502</v>
      </c>
      <c r="K4591" s="4" t="s">
        <v>15175</v>
      </c>
      <c r="L4591" s="13">
        <v>266441477</v>
      </c>
      <c r="M4591" t="str">
        <f>VLOOKUP(L4591,[1]Human_BrainSpan!$B$2:$C$4000,2,FALSE)</f>
        <v>BSTlcd</v>
      </c>
    </row>
    <row r="4592" spans="2:13" x14ac:dyDescent="0.25">
      <c r="B4592" s="31" t="s">
        <v>26303</v>
      </c>
      <c r="C4592" s="25" t="s">
        <v>25993</v>
      </c>
      <c r="D4592" s="25" t="s">
        <v>26232</v>
      </c>
      <c r="E4592" s="25"/>
      <c r="F4592" s="9" t="str">
        <f t="shared" si="64"/>
        <v>structure with developmental contribution from neural crest</v>
      </c>
      <c r="G4592" s="9" t="s">
        <v>5090</v>
      </c>
      <c r="H4592" s="9" t="s">
        <v>23232</v>
      </c>
      <c r="I4592" s="9" t="s">
        <v>8503</v>
      </c>
      <c r="J4592" s="9" t="s">
        <v>8504</v>
      </c>
      <c r="K4592" s="4" t="s">
        <v>15175</v>
      </c>
      <c r="L4592" s="13">
        <v>266441481</v>
      </c>
      <c r="M4592" t="str">
        <f>VLOOKUP(L4592,[1]Human_BrainSpan!$B$2:$C$4000,2,FALSE)</f>
        <v>BSTlcv</v>
      </c>
    </row>
    <row r="4593" spans="2:13" x14ac:dyDescent="0.25">
      <c r="B4593" s="31" t="s">
        <v>26303</v>
      </c>
      <c r="C4593" s="20"/>
      <c r="D4593" s="25" t="s">
        <v>26232</v>
      </c>
      <c r="E4593" s="25" t="s">
        <v>26300</v>
      </c>
      <c r="F4593" s="9" t="str">
        <f t="shared" si="64"/>
        <v>structure with developmental contribution from neural crest</v>
      </c>
      <c r="G4593" s="9" t="s">
        <v>5090</v>
      </c>
      <c r="H4593" s="9" t="s">
        <v>23283</v>
      </c>
      <c r="I4593" s="9" t="s">
        <v>8505</v>
      </c>
      <c r="J4593" s="9" t="s">
        <v>8506</v>
      </c>
      <c r="K4593" s="4" t="s">
        <v>15175</v>
      </c>
      <c r="L4593" s="13">
        <v>266441485</v>
      </c>
      <c r="M4593" t="str">
        <f>VLOOKUP(L4593,[1]Human_BrainSpan!$B$2:$C$4000,2,FALSE)</f>
        <v>CSN</v>
      </c>
    </row>
    <row r="4594" spans="2:13" x14ac:dyDescent="0.25">
      <c r="B4594" s="31" t="s">
        <v>26303</v>
      </c>
      <c r="C4594" s="25" t="s">
        <v>8507</v>
      </c>
      <c r="D4594" s="25" t="s">
        <v>26232</v>
      </c>
      <c r="E4594" s="25"/>
      <c r="F4594" s="9" t="str">
        <f t="shared" si="64"/>
        <v>structure with developmental contribution from neural crest</v>
      </c>
      <c r="G4594" s="9" t="s">
        <v>5090</v>
      </c>
      <c r="H4594" s="9" t="s">
        <v>23284</v>
      </c>
      <c r="I4594" s="9" t="s">
        <v>8507</v>
      </c>
      <c r="J4594" s="9" t="s">
        <v>8508</v>
      </c>
      <c r="K4594" s="4" t="s">
        <v>15175</v>
      </c>
      <c r="L4594" s="13">
        <v>266441491</v>
      </c>
      <c r="M4594" t="str">
        <f>VLOOKUP(L4594,[1]Human_BrainSpan!$B$2:$C$4000,2,FALSE)</f>
        <v>TSN</v>
      </c>
    </row>
    <row r="4595" spans="2:13" x14ac:dyDescent="0.25">
      <c r="B4595" s="31" t="s">
        <v>26299</v>
      </c>
      <c r="C4595" s="25" t="s">
        <v>7966</v>
      </c>
      <c r="D4595" s="25" t="s">
        <v>26232</v>
      </c>
      <c r="E4595" s="25"/>
      <c r="F4595" s="9" t="str">
        <f t="shared" si="64"/>
        <v>structure with developmental contribution from neural crest</v>
      </c>
      <c r="G4595" s="9" t="s">
        <v>5090</v>
      </c>
      <c r="H4595" s="9" t="s">
        <v>23295</v>
      </c>
      <c r="I4595" s="9" t="s">
        <v>8509</v>
      </c>
      <c r="J4595" s="9" t="s">
        <v>8510</v>
      </c>
      <c r="K4595" s="4" t="s">
        <v>15175</v>
      </c>
      <c r="L4595" s="13">
        <v>266441495</v>
      </c>
      <c r="M4595" t="str">
        <f>VLOOKUP(L4595,[1]Human_BrainSpan!$B$2:$C$4000,2,FALSE)</f>
        <v>SI-pc</v>
      </c>
    </row>
    <row r="4596" spans="2:13" x14ac:dyDescent="0.25">
      <c r="B4596" s="31" t="s">
        <v>26299</v>
      </c>
      <c r="C4596" s="25" t="s">
        <v>7966</v>
      </c>
      <c r="D4596" s="25" t="s">
        <v>26232</v>
      </c>
      <c r="E4596" s="25"/>
      <c r="F4596" s="9" t="str">
        <f t="shared" si="64"/>
        <v>structure with developmental contribution from neural crest</v>
      </c>
      <c r="G4596" s="9" t="s">
        <v>5090</v>
      </c>
      <c r="H4596" s="9" t="s">
        <v>23296</v>
      </c>
      <c r="I4596" s="9" t="s">
        <v>8511</v>
      </c>
      <c r="J4596" s="9" t="s">
        <v>8512</v>
      </c>
      <c r="K4596" s="4" t="s">
        <v>15175</v>
      </c>
      <c r="L4596" s="13">
        <v>266441499</v>
      </c>
      <c r="M4596" t="str">
        <f>VLOOKUP(L4596,[1]Human_BrainSpan!$B$2:$C$4000,2,FALSE)</f>
        <v>SI-nc</v>
      </c>
    </row>
    <row r="4597" spans="2:13" x14ac:dyDescent="0.25">
      <c r="B4597" s="31" t="s">
        <v>26303</v>
      </c>
      <c r="C4597" s="25" t="s">
        <v>576</v>
      </c>
      <c r="D4597" s="25" t="s">
        <v>26232</v>
      </c>
      <c r="E4597" s="25"/>
      <c r="F4597" s="9" t="str">
        <f t="shared" si="64"/>
        <v>structure with developmental contribution from neural crest</v>
      </c>
      <c r="G4597" s="9" t="s">
        <v>5090</v>
      </c>
      <c r="H4597" s="9" t="s">
        <v>23536</v>
      </c>
      <c r="I4597" s="9" t="s">
        <v>8513</v>
      </c>
      <c r="J4597" s="9" t="s">
        <v>8514</v>
      </c>
      <c r="K4597" s="4" t="s">
        <v>15175</v>
      </c>
      <c r="L4597" s="13">
        <v>266441567</v>
      </c>
      <c r="M4597" t="str">
        <f>VLOOKUP(L4597,[1]Human_BrainSpan!$B$2:$C$4000,2,FALSE)</f>
        <v>ccbr</v>
      </c>
    </row>
    <row r="4598" spans="2:13" x14ac:dyDescent="0.25">
      <c r="B4598" s="31" t="s">
        <v>26303</v>
      </c>
      <c r="C4598" s="25" t="s">
        <v>576</v>
      </c>
      <c r="D4598" s="25" t="s">
        <v>26232</v>
      </c>
      <c r="E4598" s="25"/>
      <c r="F4598" s="9" t="str">
        <f t="shared" si="64"/>
        <v>structure with developmental contribution from neural crest</v>
      </c>
      <c r="G4598" s="9" t="s">
        <v>5090</v>
      </c>
      <c r="H4598" s="9" t="s">
        <v>23537</v>
      </c>
      <c r="I4598" s="9" t="s">
        <v>8515</v>
      </c>
      <c r="J4598" s="9" t="s">
        <v>8516</v>
      </c>
      <c r="K4598" s="4" t="s">
        <v>15175</v>
      </c>
      <c r="L4598" s="13">
        <v>266441571</v>
      </c>
      <c r="M4598" t="str">
        <f>VLOOKUP(L4598,[1]Human_BrainSpan!$B$2:$C$4000,2,FALSE)</f>
        <v>ccbi</v>
      </c>
    </row>
    <row r="4599" spans="2:13" x14ac:dyDescent="0.25">
      <c r="B4599" s="31" t="s">
        <v>26303</v>
      </c>
      <c r="C4599" s="25" t="s">
        <v>576</v>
      </c>
      <c r="D4599" s="25" t="s">
        <v>26232</v>
      </c>
      <c r="E4599" s="25"/>
      <c r="F4599" s="9" t="str">
        <f t="shared" ref="F4599:F4662" si="65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4599" s="9" t="s">
        <v>5090</v>
      </c>
      <c r="H4599" s="9" t="s">
        <v>23538</v>
      </c>
      <c r="I4599" s="9" t="s">
        <v>8517</v>
      </c>
      <c r="J4599" s="9" t="s">
        <v>8518</v>
      </c>
      <c r="K4599" s="4" t="s">
        <v>15175</v>
      </c>
      <c r="L4599" s="13">
        <v>266441575</v>
      </c>
      <c r="M4599" t="str">
        <f>VLOOKUP(L4599,[1]Human_BrainSpan!$B$2:$C$4000,2,FALSE)</f>
        <v>ccbc</v>
      </c>
    </row>
    <row r="4600" spans="2:13" x14ac:dyDescent="0.25">
      <c r="B4600" s="31" t="s">
        <v>26303</v>
      </c>
      <c r="C4600" s="25" t="s">
        <v>25939</v>
      </c>
      <c r="D4600" s="25" t="s">
        <v>26232</v>
      </c>
      <c r="E4600" s="25"/>
      <c r="F4600" s="9" t="str">
        <f t="shared" si="65"/>
        <v>structure with developmental contribution from neural crest</v>
      </c>
      <c r="G4600" s="9" t="s">
        <v>5090</v>
      </c>
      <c r="H4600" s="9" t="s">
        <v>23541</v>
      </c>
      <c r="I4600" s="9" t="s">
        <v>8519</v>
      </c>
      <c r="J4600" s="9" t="s">
        <v>8520</v>
      </c>
      <c r="K4600" s="4" t="s">
        <v>15175</v>
      </c>
      <c r="L4600" s="13">
        <v>266441579</v>
      </c>
      <c r="M4600" t="str">
        <f>VLOOKUP(L4600,[1]Human_BrainSpan!$B$2:$C$4000,2,FALSE)</f>
        <v>ccs-in</v>
      </c>
    </row>
    <row r="4601" spans="2:13" x14ac:dyDescent="0.25">
      <c r="B4601" s="31" t="s">
        <v>26299</v>
      </c>
      <c r="C4601" s="25" t="s">
        <v>25810</v>
      </c>
      <c r="D4601" s="25" t="s">
        <v>26232</v>
      </c>
      <c r="E4601" s="20" t="s">
        <v>26300</v>
      </c>
      <c r="F4601" s="9" t="str">
        <f t="shared" si="65"/>
        <v>structure with developmental contribution from neural crest</v>
      </c>
      <c r="G4601" s="9" t="s">
        <v>5090</v>
      </c>
      <c r="H4601" s="9" t="s">
        <v>23579</v>
      </c>
      <c r="I4601" s="9" t="s">
        <v>8521</v>
      </c>
      <c r="J4601" s="9" t="s">
        <v>8522</v>
      </c>
      <c r="K4601" s="4" t="s">
        <v>15175</v>
      </c>
      <c r="L4601" s="13">
        <v>266441599</v>
      </c>
      <c r="M4601" t="str">
        <f>VLOOKUP(L4601,[1]Human_BrainSpan!$B$2:$C$4000,2,FALSE)</f>
        <v>fxc-r</v>
      </c>
    </row>
    <row r="4602" spans="2:13" x14ac:dyDescent="0.25">
      <c r="B4602" s="31" t="s">
        <v>26299</v>
      </c>
      <c r="C4602" s="25" t="s">
        <v>25810</v>
      </c>
      <c r="D4602" s="25" t="s">
        <v>26232</v>
      </c>
      <c r="E4602" s="20" t="s">
        <v>26300</v>
      </c>
      <c r="F4602" s="9" t="str">
        <f t="shared" si="65"/>
        <v>structure with developmental contribution from neural crest</v>
      </c>
      <c r="G4602" s="9" t="s">
        <v>5090</v>
      </c>
      <c r="H4602" s="9" t="s">
        <v>23580</v>
      </c>
      <c r="I4602" s="9" t="s">
        <v>8523</v>
      </c>
      <c r="J4602" s="9" t="s">
        <v>8524</v>
      </c>
      <c r="K4602" s="4" t="s">
        <v>15175</v>
      </c>
      <c r="L4602" s="13">
        <v>266441603</v>
      </c>
      <c r="M4602" t="str">
        <f>VLOOKUP(L4602,[1]Human_BrainSpan!$B$2:$C$4000,2,FALSE)</f>
        <v>fxc-c</v>
      </c>
    </row>
    <row r="4603" spans="2:13" x14ac:dyDescent="0.25">
      <c r="B4603" s="31" t="s">
        <v>26303</v>
      </c>
      <c r="C4603" s="25" t="s">
        <v>5397</v>
      </c>
      <c r="D4603" s="25" t="s">
        <v>26232</v>
      </c>
      <c r="E4603" s="25"/>
      <c r="F4603" s="9" t="str">
        <f t="shared" si="65"/>
        <v>structure with developmental contribution from neural crest</v>
      </c>
      <c r="G4603" s="9" t="s">
        <v>5090</v>
      </c>
      <c r="H4603" s="9" t="s">
        <v>23652</v>
      </c>
      <c r="I4603" s="9" t="s">
        <v>8525</v>
      </c>
      <c r="J4603" s="9" t="s">
        <v>8526</v>
      </c>
      <c r="K4603" s="4" t="s">
        <v>15175</v>
      </c>
      <c r="L4603" s="13">
        <v>266441641</v>
      </c>
      <c r="M4603" t="str">
        <f>VLOOKUP(L4603,[1]Human_BrainSpan!$B$2:$C$4000,2,FALSE)</f>
        <v>slf-m</v>
      </c>
    </row>
    <row r="4604" spans="2:13" x14ac:dyDescent="0.25">
      <c r="B4604" s="31" t="s">
        <v>26303</v>
      </c>
      <c r="C4604" s="25" t="s">
        <v>5397</v>
      </c>
      <c r="D4604" s="25" t="s">
        <v>26232</v>
      </c>
      <c r="E4604" s="25"/>
      <c r="F4604" s="9" t="str">
        <f t="shared" si="65"/>
        <v>structure with developmental contribution from neural crest</v>
      </c>
      <c r="G4604" s="9" t="s">
        <v>5090</v>
      </c>
      <c r="H4604" s="9" t="s">
        <v>23653</v>
      </c>
      <c r="I4604" s="9" t="s">
        <v>8527</v>
      </c>
      <c r="J4604" s="9" t="s">
        <v>8528</v>
      </c>
      <c r="K4604" s="4" t="s">
        <v>15175</v>
      </c>
      <c r="L4604" s="13">
        <v>266441645</v>
      </c>
      <c r="M4604" t="str">
        <f>VLOOKUP(L4604,[1]Human_BrainSpan!$B$2:$C$4000,2,FALSE)</f>
        <v>slf-i</v>
      </c>
    </row>
    <row r="4605" spans="2:13" x14ac:dyDescent="0.25">
      <c r="B4605" s="31" t="s">
        <v>26303</v>
      </c>
      <c r="C4605" s="25" t="s">
        <v>5397</v>
      </c>
      <c r="D4605" s="25" t="s">
        <v>26232</v>
      </c>
      <c r="E4605" s="25"/>
      <c r="F4605" s="9" t="str">
        <f t="shared" si="65"/>
        <v>structure with developmental contribution from neural crest</v>
      </c>
      <c r="G4605" s="9" t="s">
        <v>5090</v>
      </c>
      <c r="H4605" s="9" t="s">
        <v>23654</v>
      </c>
      <c r="I4605" s="9" t="s">
        <v>8529</v>
      </c>
      <c r="J4605" s="9" t="s">
        <v>8530</v>
      </c>
      <c r="K4605" s="4" t="s">
        <v>15175</v>
      </c>
      <c r="L4605" s="13">
        <v>266441649</v>
      </c>
      <c r="M4605" t="str">
        <f>VLOOKUP(L4605,[1]Human_BrainSpan!$B$2:$C$4000,2,FALSE)</f>
        <v>slf-l</v>
      </c>
    </row>
    <row r="4606" spans="2:13" x14ac:dyDescent="0.25">
      <c r="B4606" s="31" t="s">
        <v>26303</v>
      </c>
      <c r="C4606" s="25" t="s">
        <v>26256</v>
      </c>
      <c r="D4606" s="25" t="s">
        <v>26232</v>
      </c>
      <c r="E4606" s="20" t="s">
        <v>26300</v>
      </c>
      <c r="F4606" s="9" t="str">
        <f t="shared" si="65"/>
        <v>structure with developmental contribution from neural crest</v>
      </c>
      <c r="G4606" s="9" t="s">
        <v>5090</v>
      </c>
      <c r="H4606" s="9" t="s">
        <v>23673</v>
      </c>
      <c r="I4606" s="9" t="s">
        <v>8531</v>
      </c>
      <c r="J4606" s="9" t="s">
        <v>8532</v>
      </c>
      <c r="K4606" s="4" t="s">
        <v>15175</v>
      </c>
      <c r="L4606" s="13">
        <v>266441657</v>
      </c>
      <c r="M4606" t="str">
        <f>VLOOKUP(L4606,[1]Human_BrainSpan!$B$2:$C$4000,2,FALSE)</f>
        <v>xLV</v>
      </c>
    </row>
    <row r="4607" spans="2:13" x14ac:dyDescent="0.25">
      <c r="B4607" s="31" t="s">
        <v>26303</v>
      </c>
      <c r="C4607" s="25" t="s">
        <v>14722</v>
      </c>
      <c r="D4607" s="25" t="s">
        <v>26232</v>
      </c>
      <c r="E4607" s="25"/>
      <c r="F4607" s="9" t="str">
        <f t="shared" si="65"/>
        <v>structure with developmental contribution from neural crest</v>
      </c>
      <c r="G4607" s="9" t="s">
        <v>5090</v>
      </c>
      <c r="H4607" s="9" t="s">
        <v>23868</v>
      </c>
      <c r="I4607" s="9" t="s">
        <v>8533</v>
      </c>
      <c r="J4607" s="9" t="s">
        <v>8534</v>
      </c>
      <c r="K4607" s="4" t="s">
        <v>15175</v>
      </c>
      <c r="L4607" s="13">
        <v>266441673</v>
      </c>
      <c r="M4607" t="str">
        <f>VLOOKUP(L4607,[1]Human_BrainSpan!$B$2:$C$4000,2,FALSE)</f>
        <v>Subx</v>
      </c>
    </row>
    <row r="4608" spans="2:13" x14ac:dyDescent="0.25">
      <c r="B4608" s="31" t="s">
        <v>26303</v>
      </c>
      <c r="C4608" s="25" t="s">
        <v>4092</v>
      </c>
      <c r="D4608" s="25" t="s">
        <v>26232</v>
      </c>
      <c r="E4608" s="25"/>
      <c r="F4608" s="9" t="str">
        <f t="shared" si="65"/>
        <v>structure with developmental contribution from neural crest</v>
      </c>
      <c r="G4608" s="9" t="s">
        <v>5090</v>
      </c>
      <c r="H4608" s="9" t="s">
        <v>24316</v>
      </c>
      <c r="I4608" s="9" t="s">
        <v>4092</v>
      </c>
      <c r="J4608" s="9" t="s">
        <v>4093</v>
      </c>
      <c r="K4608" s="4" t="s">
        <v>15175</v>
      </c>
      <c r="L4608" s="13">
        <v>266441709</v>
      </c>
      <c r="M4608" t="str">
        <f>VLOOKUP(L4608,[1]Human_BrainSpan!$B$2:$C$4000,2,FALSE)</f>
        <v>PrO</v>
      </c>
    </row>
    <row r="4609" spans="2:13" x14ac:dyDescent="0.25">
      <c r="B4609" s="31" t="s">
        <v>26303</v>
      </c>
      <c r="C4609" s="25" t="s">
        <v>2247</v>
      </c>
      <c r="D4609" s="25" t="s">
        <v>26232</v>
      </c>
      <c r="E4609" s="25"/>
      <c r="F4609" s="9" t="str">
        <f t="shared" si="65"/>
        <v>structure with developmental contribution from neural crest</v>
      </c>
      <c r="G4609" s="9" t="s">
        <v>5090</v>
      </c>
      <c r="H4609" s="9" t="s">
        <v>24464</v>
      </c>
      <c r="I4609" s="9" t="s">
        <v>8535</v>
      </c>
      <c r="J4609" s="9" t="s">
        <v>8536</v>
      </c>
      <c r="K4609" s="4" t="s">
        <v>15175</v>
      </c>
      <c r="L4609" s="13">
        <v>266441717</v>
      </c>
      <c r="M4609" t="str">
        <f>VLOOKUP(L4609,[1]Human_BrainSpan!$B$2:$C$4000,2,FALSE)</f>
        <v>Li</v>
      </c>
    </row>
    <row r="4610" spans="2:13" x14ac:dyDescent="0.25">
      <c r="B4610" s="31" t="s">
        <v>26303</v>
      </c>
      <c r="C4610" s="25" t="s">
        <v>25891</v>
      </c>
      <c r="D4610" s="25" t="s">
        <v>26232</v>
      </c>
      <c r="E4610" s="25"/>
      <c r="F4610" s="9" t="str">
        <f t="shared" si="65"/>
        <v>structure with developmental contribution from neural crest</v>
      </c>
      <c r="G4610" s="9" t="s">
        <v>5090</v>
      </c>
      <c r="H4610" s="9" t="s">
        <v>24601</v>
      </c>
      <c r="I4610" s="9" t="s">
        <v>1365</v>
      </c>
      <c r="J4610" s="9" t="s">
        <v>1366</v>
      </c>
      <c r="K4610" s="4" t="s">
        <v>15175</v>
      </c>
      <c r="L4610" s="13">
        <v>266441721</v>
      </c>
      <c r="M4610" t="str">
        <f>VLOOKUP(L4610,[1]Human_BrainSpan!$B$2:$C$4000,2,FALSE)</f>
        <v>cpn</v>
      </c>
    </row>
    <row r="4611" spans="2:13" x14ac:dyDescent="0.25">
      <c r="B4611" s="37" t="s">
        <v>26303</v>
      </c>
      <c r="C4611" s="20"/>
      <c r="D4611" s="25" t="s">
        <v>26232</v>
      </c>
      <c r="E4611" s="25" t="s">
        <v>26300</v>
      </c>
      <c r="F4611" s="9" t="str">
        <f t="shared" si="65"/>
        <v>structure with developmental contribution from neural crest</v>
      </c>
      <c r="G4611" s="9" t="s">
        <v>5090</v>
      </c>
      <c r="H4611" s="9" t="s">
        <v>24655</v>
      </c>
      <c r="I4611" s="9" t="s">
        <v>8537</v>
      </c>
      <c r="J4611" s="9" t="s">
        <v>8538</v>
      </c>
      <c r="K4611" s="4" t="s">
        <v>15175</v>
      </c>
      <c r="L4611" s="13">
        <v>266441725</v>
      </c>
      <c r="M4611" t="str">
        <f>VLOOKUP(L4611,[1]Human_BrainSpan!$B$2:$C$4000,2,FALSE)</f>
        <v>ubcb</v>
      </c>
    </row>
    <row r="4612" spans="2:13" x14ac:dyDescent="0.25">
      <c r="B4612" s="31" t="s">
        <v>26303</v>
      </c>
      <c r="C4612" s="25" t="s">
        <v>2247</v>
      </c>
      <c r="D4612" s="25" t="s">
        <v>26232</v>
      </c>
      <c r="E4612" s="25"/>
      <c r="F4612" s="9" t="str">
        <f t="shared" si="65"/>
        <v>structure with developmental contribution from neural crest</v>
      </c>
      <c r="G4612" s="9" t="s">
        <v>5090</v>
      </c>
      <c r="H4612" s="9" t="s">
        <v>24737</v>
      </c>
      <c r="I4612" s="9" t="s">
        <v>8539</v>
      </c>
      <c r="J4612" s="9" t="s">
        <v>8540</v>
      </c>
      <c r="K4612" s="4" t="s">
        <v>15175</v>
      </c>
      <c r="L4612" s="13">
        <v>266441737</v>
      </c>
      <c r="M4612" t="str">
        <f>VLOOKUP(L4612,[1]Human_BrainSpan!$B$2:$C$4000,2,FALSE)</f>
        <v>hbv</v>
      </c>
    </row>
    <row r="4613" spans="2:13" x14ac:dyDescent="0.25">
      <c r="B4613" s="31" t="s">
        <v>26303</v>
      </c>
      <c r="C4613" s="20"/>
      <c r="D4613" s="25" t="s">
        <v>26185</v>
      </c>
      <c r="E4613" s="25" t="s">
        <v>26300</v>
      </c>
      <c r="F4613" s="9" t="str">
        <f t="shared" si="65"/>
        <v>structure with developmental contribution from neural crest</v>
      </c>
      <c r="G4613" s="9" t="s">
        <v>5090</v>
      </c>
      <c r="H4613" s="9" t="s">
        <v>22411</v>
      </c>
      <c r="I4613" s="9" t="s">
        <v>8541</v>
      </c>
      <c r="J4613" s="9" t="s">
        <v>8542</v>
      </c>
      <c r="K4613" s="4" t="s">
        <v>15175</v>
      </c>
      <c r="L4613" s="13">
        <v>267498979</v>
      </c>
      <c r="M4613" t="str">
        <f>VLOOKUP(L4613,[1]Human_BrainSpan!$B$2:$C$4000,2,FALSE)</f>
        <v>A7ip</v>
      </c>
    </row>
    <row r="4614" spans="2:13" x14ac:dyDescent="0.25">
      <c r="B4614" s="31" t="s">
        <v>26303</v>
      </c>
      <c r="C4614" s="20"/>
      <c r="D4614" s="25" t="s">
        <v>26185</v>
      </c>
      <c r="E4614" s="25" t="s">
        <v>26307</v>
      </c>
      <c r="F4614" s="9" t="str">
        <f t="shared" si="65"/>
        <v>structure with developmental contribution from neural crest</v>
      </c>
      <c r="G4614" s="9" t="s">
        <v>5090</v>
      </c>
      <c r="H4614" s="9" t="s">
        <v>22412</v>
      </c>
      <c r="I4614" s="9" t="s">
        <v>8543</v>
      </c>
      <c r="J4614" s="9" t="s">
        <v>8544</v>
      </c>
      <c r="K4614" s="4" t="s">
        <v>15175</v>
      </c>
      <c r="L4614" s="13">
        <v>267498983</v>
      </c>
      <c r="M4614" t="str">
        <f>VLOOKUP(L4614,[1]Human_BrainSpan!$B$2:$C$4000,2,FALSE)</f>
        <v>A7ipr</v>
      </c>
    </row>
    <row r="4615" spans="2:13" x14ac:dyDescent="0.25">
      <c r="B4615" s="31" t="s">
        <v>26303</v>
      </c>
      <c r="C4615" s="20"/>
      <c r="D4615" s="25" t="s">
        <v>26185</v>
      </c>
      <c r="E4615" s="25" t="s">
        <v>26307</v>
      </c>
      <c r="F4615" s="9" t="str">
        <f t="shared" si="65"/>
        <v>structure with developmental contribution from neural crest</v>
      </c>
      <c r="G4615" s="9" t="s">
        <v>5090</v>
      </c>
      <c r="H4615" s="9" t="s">
        <v>22413</v>
      </c>
      <c r="I4615" s="9" t="s">
        <v>8545</v>
      </c>
      <c r="J4615" s="9" t="s">
        <v>8546</v>
      </c>
      <c r="K4615" s="4" t="s">
        <v>15175</v>
      </c>
      <c r="L4615" s="13">
        <v>267498987</v>
      </c>
      <c r="M4615" t="str">
        <f>VLOOKUP(L4615,[1]Human_BrainSpan!$B$2:$C$4000,2,FALSE)</f>
        <v>A7ipr1</v>
      </c>
    </row>
    <row r="4616" spans="2:13" x14ac:dyDescent="0.25">
      <c r="B4616" s="31" t="s">
        <v>26303</v>
      </c>
      <c r="C4616" s="20"/>
      <c r="D4616" s="25" t="s">
        <v>26185</v>
      </c>
      <c r="E4616" s="25" t="s">
        <v>26307</v>
      </c>
      <c r="F4616" s="9" t="str">
        <f t="shared" si="65"/>
        <v>structure with developmental contribution from neural crest</v>
      </c>
      <c r="G4616" s="9" t="s">
        <v>5090</v>
      </c>
      <c r="H4616" s="9" t="s">
        <v>22414</v>
      </c>
      <c r="I4616" s="9" t="s">
        <v>8547</v>
      </c>
      <c r="J4616" s="9" t="s">
        <v>8548</v>
      </c>
      <c r="K4616" s="4" t="s">
        <v>15175</v>
      </c>
      <c r="L4616" s="13">
        <v>267498991</v>
      </c>
      <c r="M4616" t="str">
        <f>VLOOKUP(L4616,[1]Human_BrainSpan!$B$2:$C$4000,2,FALSE)</f>
        <v>A7ipr2</v>
      </c>
    </row>
    <row r="4617" spans="2:13" x14ac:dyDescent="0.25">
      <c r="B4617" s="31" t="s">
        <v>26303</v>
      </c>
      <c r="C4617" s="20"/>
      <c r="D4617" s="25" t="s">
        <v>26185</v>
      </c>
      <c r="E4617" s="25" t="s">
        <v>26307</v>
      </c>
      <c r="F4617" s="9" t="str">
        <f t="shared" si="65"/>
        <v>structure with developmental contribution from neural crest</v>
      </c>
      <c r="G4617" s="9" t="s">
        <v>5090</v>
      </c>
      <c r="H4617" s="9" t="s">
        <v>22415</v>
      </c>
      <c r="I4617" s="9" t="s">
        <v>8549</v>
      </c>
      <c r="J4617" s="9" t="s">
        <v>8550</v>
      </c>
      <c r="K4617" s="4" t="s">
        <v>15175</v>
      </c>
      <c r="L4617" s="13">
        <v>267498995</v>
      </c>
      <c r="M4617" t="str">
        <f>VLOOKUP(L4617,[1]Human_BrainSpan!$B$2:$C$4000,2,FALSE)</f>
        <v>A7ipr3</v>
      </c>
    </row>
    <row r="4618" spans="2:13" x14ac:dyDescent="0.25">
      <c r="B4618" s="31" t="s">
        <v>26303</v>
      </c>
      <c r="C4618" s="20"/>
      <c r="D4618" s="25" t="s">
        <v>26185</v>
      </c>
      <c r="E4618" s="25" t="s">
        <v>26307</v>
      </c>
      <c r="F4618" s="9" t="str">
        <f t="shared" si="65"/>
        <v>structure with developmental contribution from neural crest</v>
      </c>
      <c r="G4618" s="9" t="s">
        <v>5090</v>
      </c>
      <c r="H4618" s="9" t="s">
        <v>22416</v>
      </c>
      <c r="I4618" s="9" t="s">
        <v>8551</v>
      </c>
      <c r="J4618" s="9" t="s">
        <v>8552</v>
      </c>
      <c r="K4618" s="4" t="s">
        <v>15175</v>
      </c>
      <c r="L4618" s="13">
        <v>267498999</v>
      </c>
      <c r="M4618" t="str">
        <f>VLOOKUP(L4618,[1]Human_BrainSpan!$B$2:$C$4000,2,FALSE)</f>
        <v>A7ipr4</v>
      </c>
    </row>
    <row r="4619" spans="2:13" x14ac:dyDescent="0.25">
      <c r="B4619" s="31" t="s">
        <v>26303</v>
      </c>
      <c r="C4619" s="20"/>
      <c r="D4619" s="25" t="s">
        <v>26185</v>
      </c>
      <c r="E4619" s="25" t="s">
        <v>26307</v>
      </c>
      <c r="F4619" s="9" t="str">
        <f t="shared" si="65"/>
        <v>structure with developmental contribution from neural crest</v>
      </c>
      <c r="G4619" s="9" t="s">
        <v>5090</v>
      </c>
      <c r="H4619" s="9" t="s">
        <v>22417</v>
      </c>
      <c r="I4619" s="9" t="s">
        <v>8553</v>
      </c>
      <c r="J4619" s="9" t="s">
        <v>8554</v>
      </c>
      <c r="K4619" s="4" t="s">
        <v>15175</v>
      </c>
      <c r="L4619" s="13">
        <v>267499003</v>
      </c>
      <c r="M4619" t="str">
        <f>VLOOKUP(L4619,[1]Human_BrainSpan!$B$2:$C$4000,2,FALSE)</f>
        <v>A7ipr5</v>
      </c>
    </row>
    <row r="4620" spans="2:13" x14ac:dyDescent="0.25">
      <c r="B4620" s="31" t="s">
        <v>26303</v>
      </c>
      <c r="C4620" s="20"/>
      <c r="D4620" s="25" t="s">
        <v>26185</v>
      </c>
      <c r="E4620" s="25" t="s">
        <v>26307</v>
      </c>
      <c r="F4620" s="9" t="str">
        <f t="shared" si="65"/>
        <v>structure with developmental contribution from neural crest</v>
      </c>
      <c r="G4620" s="9" t="s">
        <v>5090</v>
      </c>
      <c r="H4620" s="9" t="s">
        <v>22418</v>
      </c>
      <c r="I4620" s="9" t="s">
        <v>8555</v>
      </c>
      <c r="J4620" s="9" t="s">
        <v>8556</v>
      </c>
      <c r="K4620" s="4" t="s">
        <v>15175</v>
      </c>
      <c r="L4620" s="13">
        <v>267499007</v>
      </c>
      <c r="M4620" t="str">
        <f>VLOOKUP(L4620,[1]Human_BrainSpan!$B$2:$C$4000,2,FALSE)</f>
        <v>A7ipr6</v>
      </c>
    </row>
    <row r="4621" spans="2:13" x14ac:dyDescent="0.25">
      <c r="B4621" s="31" t="s">
        <v>26303</v>
      </c>
      <c r="C4621" s="20"/>
      <c r="D4621" s="25" t="s">
        <v>26185</v>
      </c>
      <c r="E4621" s="25" t="s">
        <v>26307</v>
      </c>
      <c r="F4621" s="9" t="str">
        <f t="shared" si="65"/>
        <v>structure with developmental contribution from neural crest</v>
      </c>
      <c r="G4621" s="9" t="s">
        <v>5090</v>
      </c>
      <c r="H4621" s="9" t="s">
        <v>22419</v>
      </c>
      <c r="I4621" s="9" t="s">
        <v>8557</v>
      </c>
      <c r="J4621" s="9" t="s">
        <v>8558</v>
      </c>
      <c r="K4621" s="4" t="s">
        <v>15175</v>
      </c>
      <c r="L4621" s="13">
        <v>267499011</v>
      </c>
      <c r="M4621" t="str">
        <f>VLOOKUP(L4621,[1]Human_BrainSpan!$B$2:$C$4000,2,FALSE)</f>
        <v>A7ipc</v>
      </c>
    </row>
    <row r="4622" spans="2:13" x14ac:dyDescent="0.25">
      <c r="B4622" s="31" t="s">
        <v>26303</v>
      </c>
      <c r="C4622" s="20"/>
      <c r="D4622" s="25" t="s">
        <v>26185</v>
      </c>
      <c r="E4622" s="25" t="s">
        <v>26307</v>
      </c>
      <c r="F4622" s="9" t="str">
        <f t="shared" si="65"/>
        <v>structure with developmental contribution from neural crest</v>
      </c>
      <c r="G4622" s="9" t="s">
        <v>5090</v>
      </c>
      <c r="H4622" s="9" t="s">
        <v>22420</v>
      </c>
      <c r="I4622" s="9" t="s">
        <v>8559</v>
      </c>
      <c r="J4622" s="9" t="s">
        <v>8560</v>
      </c>
      <c r="K4622" s="4" t="s">
        <v>15175</v>
      </c>
      <c r="L4622" s="13">
        <v>267499015</v>
      </c>
      <c r="M4622" t="str">
        <f>VLOOKUP(L4622,[1]Human_BrainSpan!$B$2:$C$4000,2,FALSE)</f>
        <v>A7ipc1</v>
      </c>
    </row>
    <row r="4623" spans="2:13" x14ac:dyDescent="0.25">
      <c r="B4623" s="31" t="s">
        <v>26303</v>
      </c>
      <c r="C4623" s="20"/>
      <c r="D4623" s="25" t="s">
        <v>26185</v>
      </c>
      <c r="E4623" s="25" t="s">
        <v>26307</v>
      </c>
      <c r="F4623" s="9" t="str">
        <f t="shared" si="65"/>
        <v>structure with developmental contribution from neural crest</v>
      </c>
      <c r="G4623" s="9" t="s">
        <v>5090</v>
      </c>
      <c r="H4623" s="9" t="s">
        <v>22421</v>
      </c>
      <c r="I4623" s="9" t="s">
        <v>8561</v>
      </c>
      <c r="J4623" s="9" t="s">
        <v>8562</v>
      </c>
      <c r="K4623" s="4" t="s">
        <v>15175</v>
      </c>
      <c r="L4623" s="13">
        <v>267499019</v>
      </c>
      <c r="M4623" t="str">
        <f>VLOOKUP(L4623,[1]Human_BrainSpan!$B$2:$C$4000,2,FALSE)</f>
        <v>A7ipc2</v>
      </c>
    </row>
    <row r="4624" spans="2:13" x14ac:dyDescent="0.25">
      <c r="B4624" s="31" t="s">
        <v>26303</v>
      </c>
      <c r="C4624" s="20"/>
      <c r="D4624" s="25" t="s">
        <v>26185</v>
      </c>
      <c r="E4624" s="25" t="s">
        <v>26307</v>
      </c>
      <c r="F4624" s="9" t="str">
        <f t="shared" si="65"/>
        <v>structure with developmental contribution from neural crest</v>
      </c>
      <c r="G4624" s="9" t="s">
        <v>5090</v>
      </c>
      <c r="H4624" s="9" t="s">
        <v>22422</v>
      </c>
      <c r="I4624" s="9" t="s">
        <v>8563</v>
      </c>
      <c r="J4624" s="9" t="s">
        <v>8564</v>
      </c>
      <c r="K4624" s="4" t="s">
        <v>15175</v>
      </c>
      <c r="L4624" s="13">
        <v>267499023</v>
      </c>
      <c r="M4624" t="str">
        <f>VLOOKUP(L4624,[1]Human_BrainSpan!$B$2:$C$4000,2,FALSE)</f>
        <v>A7ipc3</v>
      </c>
    </row>
    <row r="4625" spans="2:13" x14ac:dyDescent="0.25">
      <c r="B4625" s="31" t="s">
        <v>26303</v>
      </c>
      <c r="C4625" s="20"/>
      <c r="D4625" s="25" t="s">
        <v>26185</v>
      </c>
      <c r="E4625" s="25" t="s">
        <v>26307</v>
      </c>
      <c r="F4625" s="9" t="str">
        <f t="shared" si="65"/>
        <v>structure with developmental contribution from neural crest</v>
      </c>
      <c r="G4625" s="9" t="s">
        <v>5090</v>
      </c>
      <c r="H4625" s="9" t="s">
        <v>22423</v>
      </c>
      <c r="I4625" s="9" t="s">
        <v>8565</v>
      </c>
      <c r="J4625" s="9" t="s">
        <v>8566</v>
      </c>
      <c r="K4625" s="4" t="s">
        <v>15175</v>
      </c>
      <c r="L4625" s="13">
        <v>267499027</v>
      </c>
      <c r="M4625" t="str">
        <f>VLOOKUP(L4625,[1]Human_BrainSpan!$B$2:$C$4000,2,FALSE)</f>
        <v>A7ipc4</v>
      </c>
    </row>
    <row r="4626" spans="2:13" x14ac:dyDescent="0.25">
      <c r="B4626" s="31" t="s">
        <v>26303</v>
      </c>
      <c r="C4626" s="20"/>
      <c r="D4626" s="25" t="s">
        <v>26185</v>
      </c>
      <c r="E4626" s="25" t="s">
        <v>26307</v>
      </c>
      <c r="F4626" s="9" t="str">
        <f t="shared" si="65"/>
        <v>structure with developmental contribution from neural crest</v>
      </c>
      <c r="G4626" s="9" t="s">
        <v>5090</v>
      </c>
      <c r="H4626" s="9" t="s">
        <v>22424</v>
      </c>
      <c r="I4626" s="9" t="s">
        <v>8567</v>
      </c>
      <c r="J4626" s="9" t="s">
        <v>8568</v>
      </c>
      <c r="K4626" s="4" t="s">
        <v>15175</v>
      </c>
      <c r="L4626" s="13">
        <v>267499031</v>
      </c>
      <c r="M4626" t="str">
        <f>VLOOKUP(L4626,[1]Human_BrainSpan!$B$2:$C$4000,2,FALSE)</f>
        <v>A7ipc5</v>
      </c>
    </row>
    <row r="4627" spans="2:13" x14ac:dyDescent="0.25">
      <c r="B4627" s="31" t="s">
        <v>26303</v>
      </c>
      <c r="C4627" s="20"/>
      <c r="D4627" s="25" t="s">
        <v>26185</v>
      </c>
      <c r="E4627" s="25" t="s">
        <v>26307</v>
      </c>
      <c r="F4627" s="9" t="str">
        <f t="shared" si="65"/>
        <v>structure with developmental contribution from neural crest</v>
      </c>
      <c r="G4627" s="9" t="s">
        <v>5090</v>
      </c>
      <c r="H4627" s="9" t="s">
        <v>22425</v>
      </c>
      <c r="I4627" s="9" t="s">
        <v>8569</v>
      </c>
      <c r="J4627" s="9" t="s">
        <v>8570</v>
      </c>
      <c r="K4627" s="4" t="s">
        <v>15175</v>
      </c>
      <c r="L4627" s="13">
        <v>267499035</v>
      </c>
      <c r="M4627" t="str">
        <f>VLOOKUP(L4627,[1]Human_BrainSpan!$B$2:$C$4000,2,FALSE)</f>
        <v>A7ipc6</v>
      </c>
    </row>
    <row r="4628" spans="2:13" x14ac:dyDescent="0.25">
      <c r="B4628" s="31" t="s">
        <v>26299</v>
      </c>
      <c r="C4628" s="25" t="s">
        <v>25933</v>
      </c>
      <c r="D4628" s="25" t="s">
        <v>26232</v>
      </c>
      <c r="E4628" s="25"/>
      <c r="F4628" s="9" t="str">
        <f t="shared" si="65"/>
        <v>structure with developmental contribution from neural crest</v>
      </c>
      <c r="G4628" s="9" t="s">
        <v>5090</v>
      </c>
      <c r="H4628" s="9" t="s">
        <v>22654</v>
      </c>
      <c r="I4628" s="9" t="s">
        <v>8571</v>
      </c>
      <c r="J4628" s="9" t="s">
        <v>8572</v>
      </c>
      <c r="K4628" s="4" t="s">
        <v>15175</v>
      </c>
      <c r="L4628" s="13">
        <v>267499039</v>
      </c>
      <c r="M4628" t="str">
        <f>VLOOKUP(L4628,[1]Human_BrainSpan!$B$2:$C$4000,2,FALSE)</f>
        <v>V5/MT</v>
      </c>
    </row>
    <row r="4629" spans="2:13" x14ac:dyDescent="0.25">
      <c r="B4629" s="31" t="s">
        <v>26299</v>
      </c>
      <c r="C4629" s="25" t="s">
        <v>25933</v>
      </c>
      <c r="D4629" s="25" t="s">
        <v>26232</v>
      </c>
      <c r="E4629" s="25" t="s">
        <v>26307</v>
      </c>
      <c r="F4629" s="9" t="str">
        <f t="shared" si="65"/>
        <v>structure with developmental contribution from neural crest</v>
      </c>
      <c r="G4629" s="9" t="s">
        <v>5090</v>
      </c>
      <c r="H4629" s="9" t="s">
        <v>22655</v>
      </c>
      <c r="I4629" s="9" t="s">
        <v>8573</v>
      </c>
      <c r="J4629" s="9" t="s">
        <v>8574</v>
      </c>
      <c r="K4629" s="4" t="s">
        <v>15175</v>
      </c>
      <c r="L4629" s="13">
        <v>267499043</v>
      </c>
      <c r="M4629" t="str">
        <f>VLOOKUP(L4629,[1]Human_BrainSpan!$B$2:$C$4000,2,FALSE)</f>
        <v>V5/MT1</v>
      </c>
    </row>
    <row r="4630" spans="2:13" x14ac:dyDescent="0.25">
      <c r="B4630" s="31" t="s">
        <v>26299</v>
      </c>
      <c r="C4630" s="25" t="s">
        <v>25933</v>
      </c>
      <c r="D4630" s="25" t="s">
        <v>26232</v>
      </c>
      <c r="E4630" s="25" t="s">
        <v>26307</v>
      </c>
      <c r="F4630" s="9" t="str">
        <f t="shared" si="65"/>
        <v>structure with developmental contribution from neural crest</v>
      </c>
      <c r="G4630" s="9" t="s">
        <v>5090</v>
      </c>
      <c r="H4630" s="9" t="s">
        <v>22656</v>
      </c>
      <c r="I4630" s="9" t="s">
        <v>8575</v>
      </c>
      <c r="J4630" s="9" t="s">
        <v>8576</v>
      </c>
      <c r="K4630" s="4" t="s">
        <v>15175</v>
      </c>
      <c r="L4630" s="13">
        <v>267499047</v>
      </c>
      <c r="M4630" t="str">
        <f>VLOOKUP(L4630,[1]Human_BrainSpan!$B$2:$C$4000,2,FALSE)</f>
        <v>V5/MT2</v>
      </c>
    </row>
    <row r="4631" spans="2:13" x14ac:dyDescent="0.25">
      <c r="B4631" s="31" t="s">
        <v>26299</v>
      </c>
      <c r="C4631" s="25" t="s">
        <v>25933</v>
      </c>
      <c r="D4631" s="25" t="s">
        <v>26232</v>
      </c>
      <c r="E4631" s="25" t="s">
        <v>26307</v>
      </c>
      <c r="F4631" s="9" t="str">
        <f t="shared" si="65"/>
        <v>structure with developmental contribution from neural crest</v>
      </c>
      <c r="G4631" s="9" t="s">
        <v>5090</v>
      </c>
      <c r="H4631" s="9" t="s">
        <v>22657</v>
      </c>
      <c r="I4631" s="9" t="s">
        <v>8577</v>
      </c>
      <c r="J4631" s="9" t="s">
        <v>8578</v>
      </c>
      <c r="K4631" s="4" t="s">
        <v>15175</v>
      </c>
      <c r="L4631" s="13">
        <v>267499051</v>
      </c>
      <c r="M4631" t="str">
        <f>VLOOKUP(L4631,[1]Human_BrainSpan!$B$2:$C$4000,2,FALSE)</f>
        <v>V5/MT3</v>
      </c>
    </row>
    <row r="4632" spans="2:13" x14ac:dyDescent="0.25">
      <c r="B4632" s="31" t="s">
        <v>26299</v>
      </c>
      <c r="C4632" s="25" t="s">
        <v>25933</v>
      </c>
      <c r="D4632" s="25" t="s">
        <v>26232</v>
      </c>
      <c r="E4632" s="25" t="s">
        <v>26307</v>
      </c>
      <c r="F4632" s="9" t="str">
        <f t="shared" si="65"/>
        <v>structure with developmental contribution from neural crest</v>
      </c>
      <c r="G4632" s="9" t="s">
        <v>5090</v>
      </c>
      <c r="H4632" s="9" t="s">
        <v>22658</v>
      </c>
      <c r="I4632" s="9" t="s">
        <v>8579</v>
      </c>
      <c r="J4632" s="9" t="s">
        <v>8580</v>
      </c>
      <c r="K4632" s="4" t="s">
        <v>15175</v>
      </c>
      <c r="L4632" s="13">
        <v>267499055</v>
      </c>
      <c r="M4632" t="str">
        <f>VLOOKUP(L4632,[1]Human_BrainSpan!$B$2:$C$4000,2,FALSE)</f>
        <v>V5/MT4</v>
      </c>
    </row>
    <row r="4633" spans="2:13" x14ac:dyDescent="0.25">
      <c r="B4633" s="31" t="s">
        <v>26299</v>
      </c>
      <c r="C4633" s="25" t="s">
        <v>25933</v>
      </c>
      <c r="D4633" s="25" t="s">
        <v>26232</v>
      </c>
      <c r="E4633" s="25" t="s">
        <v>26307</v>
      </c>
      <c r="F4633" s="9" t="str">
        <f t="shared" si="65"/>
        <v>structure with developmental contribution from neural crest</v>
      </c>
      <c r="G4633" s="9" t="s">
        <v>5090</v>
      </c>
      <c r="H4633" s="9" t="s">
        <v>22659</v>
      </c>
      <c r="I4633" s="9" t="s">
        <v>8581</v>
      </c>
      <c r="J4633" s="9" t="s">
        <v>8582</v>
      </c>
      <c r="K4633" s="4" t="s">
        <v>15175</v>
      </c>
      <c r="L4633" s="13">
        <v>267499059</v>
      </c>
      <c r="M4633" t="str">
        <f>VLOOKUP(L4633,[1]Human_BrainSpan!$B$2:$C$4000,2,FALSE)</f>
        <v>V5/MT5</v>
      </c>
    </row>
    <row r="4634" spans="2:13" x14ac:dyDescent="0.25">
      <c r="B4634" s="31" t="s">
        <v>26299</v>
      </c>
      <c r="C4634" s="25" t="s">
        <v>25933</v>
      </c>
      <c r="D4634" s="25" t="s">
        <v>26232</v>
      </c>
      <c r="E4634" s="25" t="s">
        <v>26307</v>
      </c>
      <c r="F4634" s="9" t="str">
        <f t="shared" si="65"/>
        <v>structure with developmental contribution from neural crest</v>
      </c>
      <c r="G4634" s="9" t="s">
        <v>5090</v>
      </c>
      <c r="H4634" s="9" t="s">
        <v>22660</v>
      </c>
      <c r="I4634" s="9" t="s">
        <v>8583</v>
      </c>
      <c r="J4634" s="9" t="s">
        <v>8584</v>
      </c>
      <c r="K4634" s="4" t="s">
        <v>15175</v>
      </c>
      <c r="L4634" s="13">
        <v>267499063</v>
      </c>
      <c r="M4634" t="str">
        <f>VLOOKUP(L4634,[1]Human_BrainSpan!$B$2:$C$4000,2,FALSE)</f>
        <v>V5/MT6</v>
      </c>
    </row>
    <row r="4635" spans="2:13" x14ac:dyDescent="0.25">
      <c r="B4635" s="31" t="s">
        <v>26303</v>
      </c>
      <c r="C4635" s="20"/>
      <c r="D4635" s="25" t="s">
        <v>26232</v>
      </c>
      <c r="E4635" s="25"/>
      <c r="F4635" s="9" t="str">
        <f t="shared" si="65"/>
        <v>structure with developmental contribution from neural crest</v>
      </c>
      <c r="G4635" s="9" t="s">
        <v>5090</v>
      </c>
      <c r="H4635" s="9" t="s">
        <v>22661</v>
      </c>
      <c r="I4635" s="9" t="s">
        <v>8585</v>
      </c>
      <c r="J4635" s="9" t="s">
        <v>8586</v>
      </c>
      <c r="K4635" s="4" t="s">
        <v>15175</v>
      </c>
      <c r="L4635" s="13">
        <v>267499067</v>
      </c>
      <c r="M4635" t="str">
        <f>VLOOKUP(L4635,[1]Human_BrainSpan!$B$2:$C$4000,2,FALSE)</f>
        <v>LO</v>
      </c>
    </row>
    <row r="4636" spans="2:13" x14ac:dyDescent="0.25">
      <c r="B4636" s="31" t="s">
        <v>26299</v>
      </c>
      <c r="C4636" s="25" t="s">
        <v>26064</v>
      </c>
      <c r="D4636" s="25" t="s">
        <v>26232</v>
      </c>
      <c r="E4636" s="25" t="s">
        <v>26306</v>
      </c>
      <c r="F4636" s="9" t="str">
        <f t="shared" si="65"/>
        <v>structure with developmental contribution from neural crest</v>
      </c>
      <c r="G4636" s="9" t="s">
        <v>5090</v>
      </c>
      <c r="H4636" s="9" t="s">
        <v>22663</v>
      </c>
      <c r="I4636" s="9" t="s">
        <v>8587</v>
      </c>
      <c r="J4636" s="9" t="s">
        <v>8588</v>
      </c>
      <c r="K4636" s="4" t="s">
        <v>15175</v>
      </c>
      <c r="L4636" s="13">
        <v>267499071</v>
      </c>
      <c r="M4636" t="str">
        <f>VLOOKUP(L4636,[1]Human_BrainSpan!$B$2:$C$4000,2,FALSE)</f>
        <v>LO1</v>
      </c>
    </row>
    <row r="4637" spans="2:13" x14ac:dyDescent="0.25">
      <c r="B4637" s="31" t="s">
        <v>26299</v>
      </c>
      <c r="C4637" s="25" t="s">
        <v>26064</v>
      </c>
      <c r="D4637" s="25" t="s">
        <v>26232</v>
      </c>
      <c r="E4637" s="25" t="s">
        <v>26306</v>
      </c>
      <c r="F4637" s="9" t="str">
        <f t="shared" si="65"/>
        <v>structure with developmental contribution from neural crest</v>
      </c>
      <c r="G4637" s="9" t="s">
        <v>5090</v>
      </c>
      <c r="H4637" s="9" t="s">
        <v>22664</v>
      </c>
      <c r="I4637" s="9" t="s">
        <v>8589</v>
      </c>
      <c r="J4637" s="9" t="s">
        <v>8590</v>
      </c>
      <c r="K4637" s="4" t="s">
        <v>15175</v>
      </c>
      <c r="L4637" s="13">
        <v>267499075</v>
      </c>
      <c r="M4637" t="str">
        <f>VLOOKUP(L4637,[1]Human_BrainSpan!$B$2:$C$4000,2,FALSE)</f>
        <v>LO2</v>
      </c>
    </row>
    <row r="4638" spans="2:13" x14ac:dyDescent="0.25">
      <c r="B4638" s="31" t="s">
        <v>26299</v>
      </c>
      <c r="C4638" s="25" t="s">
        <v>26064</v>
      </c>
      <c r="D4638" s="25" t="s">
        <v>26232</v>
      </c>
      <c r="E4638" s="25" t="s">
        <v>26306</v>
      </c>
      <c r="F4638" s="9" t="str">
        <f t="shared" si="65"/>
        <v>structure with developmental contribution from neural crest</v>
      </c>
      <c r="G4638" s="9" t="s">
        <v>5090</v>
      </c>
      <c r="H4638" s="9" t="s">
        <v>22665</v>
      </c>
      <c r="I4638" s="9" t="s">
        <v>8591</v>
      </c>
      <c r="J4638" s="9" t="s">
        <v>8592</v>
      </c>
      <c r="K4638" s="4" t="s">
        <v>15175</v>
      </c>
      <c r="L4638" s="13">
        <v>267499079</v>
      </c>
      <c r="M4638" t="str">
        <f>VLOOKUP(L4638,[1]Human_BrainSpan!$B$2:$C$4000,2,FALSE)</f>
        <v>LO3</v>
      </c>
    </row>
    <row r="4639" spans="2:13" x14ac:dyDescent="0.25">
      <c r="B4639" s="31" t="s">
        <v>26299</v>
      </c>
      <c r="C4639" s="25" t="s">
        <v>26064</v>
      </c>
      <c r="D4639" s="25" t="s">
        <v>26232</v>
      </c>
      <c r="E4639" s="25" t="s">
        <v>26306</v>
      </c>
      <c r="F4639" s="9" t="str">
        <f t="shared" si="65"/>
        <v>structure with developmental contribution from neural crest</v>
      </c>
      <c r="G4639" s="9" t="s">
        <v>5090</v>
      </c>
      <c r="H4639" s="9" t="s">
        <v>22666</v>
      </c>
      <c r="I4639" s="9" t="s">
        <v>8593</v>
      </c>
      <c r="J4639" s="9" t="s">
        <v>8594</v>
      </c>
      <c r="K4639" s="4" t="s">
        <v>15175</v>
      </c>
      <c r="L4639" s="13">
        <v>267499083</v>
      </c>
      <c r="M4639" t="str">
        <f>VLOOKUP(L4639,[1]Human_BrainSpan!$B$2:$C$4000,2,FALSE)</f>
        <v>LO4</v>
      </c>
    </row>
    <row r="4640" spans="2:13" x14ac:dyDescent="0.25">
      <c r="B4640" s="31" t="s">
        <v>26299</v>
      </c>
      <c r="C4640" s="25" t="s">
        <v>26064</v>
      </c>
      <c r="D4640" s="25" t="s">
        <v>26232</v>
      </c>
      <c r="E4640" s="25" t="s">
        <v>26306</v>
      </c>
      <c r="F4640" s="9" t="str">
        <f t="shared" si="65"/>
        <v>structure with developmental contribution from neural crest</v>
      </c>
      <c r="G4640" s="9" t="s">
        <v>5090</v>
      </c>
      <c r="H4640" s="9" t="s">
        <v>22667</v>
      </c>
      <c r="I4640" s="9" t="s">
        <v>8595</v>
      </c>
      <c r="J4640" s="9" t="s">
        <v>8596</v>
      </c>
      <c r="K4640" s="4" t="s">
        <v>15175</v>
      </c>
      <c r="L4640" s="13">
        <v>267499087</v>
      </c>
      <c r="M4640" t="str">
        <f>VLOOKUP(L4640,[1]Human_BrainSpan!$B$2:$C$4000,2,FALSE)</f>
        <v>LO5</v>
      </c>
    </row>
    <row r="4641" spans="2:13" x14ac:dyDescent="0.25">
      <c r="B4641" s="31" t="s">
        <v>26299</v>
      </c>
      <c r="C4641" s="25" t="s">
        <v>26064</v>
      </c>
      <c r="D4641" s="25" t="s">
        <v>26232</v>
      </c>
      <c r="E4641" s="25" t="s">
        <v>26306</v>
      </c>
      <c r="F4641" s="9" t="str">
        <f t="shared" si="65"/>
        <v>structure with developmental contribution from neural crest</v>
      </c>
      <c r="G4641" s="9" t="s">
        <v>5090</v>
      </c>
      <c r="H4641" s="9" t="s">
        <v>22668</v>
      </c>
      <c r="I4641" s="9" t="s">
        <v>8597</v>
      </c>
      <c r="J4641" s="9" t="s">
        <v>8598</v>
      </c>
      <c r="K4641" s="4" t="s">
        <v>15175</v>
      </c>
      <c r="L4641" s="13">
        <v>267499091</v>
      </c>
      <c r="M4641" t="str">
        <f>VLOOKUP(L4641,[1]Human_BrainSpan!$B$2:$C$4000,2,FALSE)</f>
        <v>LO6</v>
      </c>
    </row>
    <row r="4642" spans="2:13" x14ac:dyDescent="0.25">
      <c r="B4642" s="31" t="s">
        <v>26299</v>
      </c>
      <c r="C4642" s="25" t="s">
        <v>25933</v>
      </c>
      <c r="D4642" s="25" t="s">
        <v>26232</v>
      </c>
      <c r="E4642" s="25"/>
      <c r="F4642" s="9" t="str">
        <f t="shared" si="65"/>
        <v>structure with developmental contribution from neural crest</v>
      </c>
      <c r="G4642" s="9" t="s">
        <v>5090</v>
      </c>
      <c r="H4642" s="9" t="s">
        <v>22724</v>
      </c>
      <c r="I4642" s="9" t="s">
        <v>8599</v>
      </c>
      <c r="J4642" s="9" t="s">
        <v>8600</v>
      </c>
      <c r="K4642" s="4" t="s">
        <v>15175</v>
      </c>
      <c r="L4642" s="13">
        <v>267499095</v>
      </c>
      <c r="M4642" t="str">
        <f>VLOOKUP(L4642,[1]Human_BrainSpan!$B$2:$C$4000,2,FALSE)</f>
        <v>V3B</v>
      </c>
    </row>
    <row r="4643" spans="2:13" x14ac:dyDescent="0.25">
      <c r="B4643" s="31" t="s">
        <v>26299</v>
      </c>
      <c r="C4643" s="25" t="s">
        <v>25933</v>
      </c>
      <c r="D4643" s="25" t="s">
        <v>26232</v>
      </c>
      <c r="E4643" s="25" t="s">
        <v>26306</v>
      </c>
      <c r="F4643" s="9" t="str">
        <f t="shared" si="65"/>
        <v>structure with developmental contribution from neural crest</v>
      </c>
      <c r="G4643" s="9" t="s">
        <v>5090</v>
      </c>
      <c r="H4643" s="9" t="s">
        <v>22726</v>
      </c>
      <c r="I4643" s="9" t="s">
        <v>8601</v>
      </c>
      <c r="J4643" s="9" t="s">
        <v>8602</v>
      </c>
      <c r="K4643" s="4" t="s">
        <v>15175</v>
      </c>
      <c r="L4643" s="13">
        <v>267499099</v>
      </c>
      <c r="M4643" t="str">
        <f>VLOOKUP(L4643,[1]Human_BrainSpan!$B$2:$C$4000,2,FALSE)</f>
        <v>V3B1</v>
      </c>
    </row>
    <row r="4644" spans="2:13" x14ac:dyDescent="0.25">
      <c r="B4644" s="31" t="s">
        <v>26299</v>
      </c>
      <c r="C4644" s="25" t="s">
        <v>25933</v>
      </c>
      <c r="D4644" s="25" t="s">
        <v>26232</v>
      </c>
      <c r="E4644" s="25" t="s">
        <v>26306</v>
      </c>
      <c r="F4644" s="9" t="str">
        <f t="shared" si="65"/>
        <v>structure with developmental contribution from neural crest</v>
      </c>
      <c r="G4644" s="9" t="s">
        <v>5090</v>
      </c>
      <c r="H4644" s="9" t="s">
        <v>22727</v>
      </c>
      <c r="I4644" s="9" t="s">
        <v>8603</v>
      </c>
      <c r="J4644" s="9" t="s">
        <v>8604</v>
      </c>
      <c r="K4644" s="4" t="s">
        <v>15175</v>
      </c>
      <c r="L4644" s="13">
        <v>267499103</v>
      </c>
      <c r="M4644" t="str">
        <f>VLOOKUP(L4644,[1]Human_BrainSpan!$B$2:$C$4000,2,FALSE)</f>
        <v>V3B2</v>
      </c>
    </row>
    <row r="4645" spans="2:13" x14ac:dyDescent="0.25">
      <c r="B4645" s="31" t="s">
        <v>26299</v>
      </c>
      <c r="C4645" s="25" t="s">
        <v>25933</v>
      </c>
      <c r="D4645" s="25" t="s">
        <v>26232</v>
      </c>
      <c r="E4645" s="25" t="s">
        <v>26306</v>
      </c>
      <c r="F4645" s="9" t="str">
        <f t="shared" si="65"/>
        <v>structure with developmental contribution from neural crest</v>
      </c>
      <c r="G4645" s="9" t="s">
        <v>5090</v>
      </c>
      <c r="H4645" s="9" t="s">
        <v>22728</v>
      </c>
      <c r="I4645" s="9" t="s">
        <v>8605</v>
      </c>
      <c r="J4645" s="9" t="s">
        <v>8606</v>
      </c>
      <c r="K4645" s="4" t="s">
        <v>15175</v>
      </c>
      <c r="L4645" s="13">
        <v>267499107</v>
      </c>
      <c r="M4645" t="str">
        <f>VLOOKUP(L4645,[1]Human_BrainSpan!$B$2:$C$4000,2,FALSE)</f>
        <v>V3B3</v>
      </c>
    </row>
    <row r="4646" spans="2:13" x14ac:dyDescent="0.25">
      <c r="B4646" s="31" t="s">
        <v>26299</v>
      </c>
      <c r="C4646" s="25" t="s">
        <v>25933</v>
      </c>
      <c r="D4646" s="25" t="s">
        <v>26232</v>
      </c>
      <c r="E4646" s="25" t="s">
        <v>26306</v>
      </c>
      <c r="F4646" s="9" t="str">
        <f t="shared" si="65"/>
        <v>structure with developmental contribution from neural crest</v>
      </c>
      <c r="G4646" s="9" t="s">
        <v>5090</v>
      </c>
      <c r="H4646" s="9" t="s">
        <v>22729</v>
      </c>
      <c r="I4646" s="9" t="s">
        <v>8607</v>
      </c>
      <c r="J4646" s="9" t="s">
        <v>8608</v>
      </c>
      <c r="K4646" s="4" t="s">
        <v>15175</v>
      </c>
      <c r="L4646" s="13">
        <v>267499111</v>
      </c>
      <c r="M4646" t="str">
        <f>VLOOKUP(L4646,[1]Human_BrainSpan!$B$2:$C$4000,2,FALSE)</f>
        <v>V3B4</v>
      </c>
    </row>
    <row r="4647" spans="2:13" x14ac:dyDescent="0.25">
      <c r="B4647" s="31" t="s">
        <v>26299</v>
      </c>
      <c r="C4647" s="25" t="s">
        <v>25933</v>
      </c>
      <c r="D4647" s="25" t="s">
        <v>26232</v>
      </c>
      <c r="E4647" s="25" t="s">
        <v>26306</v>
      </c>
      <c r="F4647" s="9" t="str">
        <f t="shared" si="65"/>
        <v>structure with developmental contribution from neural crest</v>
      </c>
      <c r="G4647" s="9" t="s">
        <v>5090</v>
      </c>
      <c r="H4647" s="9" t="s">
        <v>22730</v>
      </c>
      <c r="I4647" s="9" t="s">
        <v>8609</v>
      </c>
      <c r="J4647" s="9" t="s">
        <v>8610</v>
      </c>
      <c r="K4647" s="4" t="s">
        <v>15175</v>
      </c>
      <c r="L4647" s="13">
        <v>267499115</v>
      </c>
      <c r="M4647" t="str">
        <f>VLOOKUP(L4647,[1]Human_BrainSpan!$B$2:$C$4000,2,FALSE)</f>
        <v>V3B5</v>
      </c>
    </row>
    <row r="4648" spans="2:13" x14ac:dyDescent="0.25">
      <c r="B4648" s="31" t="s">
        <v>26299</v>
      </c>
      <c r="C4648" s="25" t="s">
        <v>25933</v>
      </c>
      <c r="D4648" s="25" t="s">
        <v>26232</v>
      </c>
      <c r="E4648" s="25" t="s">
        <v>26306</v>
      </c>
      <c r="F4648" s="9" t="str">
        <f t="shared" si="65"/>
        <v>structure with developmental contribution from neural crest</v>
      </c>
      <c r="G4648" s="9" t="s">
        <v>5090</v>
      </c>
      <c r="H4648" s="9" t="s">
        <v>22731</v>
      </c>
      <c r="I4648" s="9" t="s">
        <v>8611</v>
      </c>
      <c r="J4648" s="9" t="s">
        <v>8612</v>
      </c>
      <c r="K4648" s="4" t="s">
        <v>15175</v>
      </c>
      <c r="L4648" s="13">
        <v>267499119</v>
      </c>
      <c r="M4648" t="str">
        <f>VLOOKUP(L4648,[1]Human_BrainSpan!$B$2:$C$4000,2,FALSE)</f>
        <v>V3B6</v>
      </c>
    </row>
    <row r="4649" spans="2:13" x14ac:dyDescent="0.25">
      <c r="B4649" s="31" t="s">
        <v>26299</v>
      </c>
      <c r="C4649" s="25" t="s">
        <v>25933</v>
      </c>
      <c r="D4649" s="25" t="s">
        <v>26232</v>
      </c>
      <c r="E4649" s="25"/>
      <c r="F4649" s="9" t="str">
        <f t="shared" si="65"/>
        <v>structure with developmental contribution from neural crest</v>
      </c>
      <c r="G4649" s="9" t="s">
        <v>5090</v>
      </c>
      <c r="H4649" s="9" t="s">
        <v>22732</v>
      </c>
      <c r="I4649" s="9" t="s">
        <v>8613</v>
      </c>
      <c r="J4649" s="9" t="s">
        <v>8614</v>
      </c>
      <c r="K4649" s="4" t="s">
        <v>15175</v>
      </c>
      <c r="L4649" s="13">
        <v>267499123</v>
      </c>
      <c r="M4649" t="str">
        <f>VLOOKUP(L4649,[1]Human_BrainSpan!$B$2:$C$4000,2,FALSE)</f>
        <v>V6</v>
      </c>
    </row>
    <row r="4650" spans="2:13" x14ac:dyDescent="0.25">
      <c r="B4650" s="31" t="s">
        <v>26299</v>
      </c>
      <c r="C4650" s="25" t="s">
        <v>25933</v>
      </c>
      <c r="D4650" s="25" t="s">
        <v>26232</v>
      </c>
      <c r="E4650" s="25" t="s">
        <v>26306</v>
      </c>
      <c r="F4650" s="9" t="str">
        <f t="shared" si="65"/>
        <v>structure with developmental contribution from neural crest</v>
      </c>
      <c r="G4650" s="9" t="s">
        <v>5090</v>
      </c>
      <c r="H4650" s="9" t="s">
        <v>22734</v>
      </c>
      <c r="I4650" s="9" t="s">
        <v>8615</v>
      </c>
      <c r="J4650" s="9" t="s">
        <v>8616</v>
      </c>
      <c r="K4650" s="4" t="s">
        <v>15175</v>
      </c>
      <c r="L4650" s="13">
        <v>267499127</v>
      </c>
      <c r="M4650" t="str">
        <f>VLOOKUP(L4650,[1]Human_BrainSpan!$B$2:$C$4000,2,FALSE)</f>
        <v>V6-1</v>
      </c>
    </row>
    <row r="4651" spans="2:13" x14ac:dyDescent="0.25">
      <c r="B4651" s="31" t="s">
        <v>26299</v>
      </c>
      <c r="C4651" s="25" t="s">
        <v>25933</v>
      </c>
      <c r="D4651" s="25" t="s">
        <v>26232</v>
      </c>
      <c r="E4651" s="25" t="s">
        <v>26306</v>
      </c>
      <c r="F4651" s="9" t="str">
        <f t="shared" si="65"/>
        <v>structure with developmental contribution from neural crest</v>
      </c>
      <c r="G4651" s="9" t="s">
        <v>5090</v>
      </c>
      <c r="H4651" s="9" t="s">
        <v>22735</v>
      </c>
      <c r="I4651" s="9" t="s">
        <v>8617</v>
      </c>
      <c r="J4651" s="9" t="s">
        <v>8618</v>
      </c>
      <c r="K4651" s="4" t="s">
        <v>15175</v>
      </c>
      <c r="L4651" s="13">
        <v>267499131</v>
      </c>
      <c r="M4651" t="str">
        <f>VLOOKUP(L4651,[1]Human_BrainSpan!$B$2:$C$4000,2,FALSE)</f>
        <v>V6-2</v>
      </c>
    </row>
    <row r="4652" spans="2:13" x14ac:dyDescent="0.25">
      <c r="B4652" s="31" t="s">
        <v>26299</v>
      </c>
      <c r="C4652" s="25" t="s">
        <v>25933</v>
      </c>
      <c r="D4652" s="25" t="s">
        <v>26232</v>
      </c>
      <c r="E4652" s="25" t="s">
        <v>26306</v>
      </c>
      <c r="F4652" s="9" t="str">
        <f t="shared" si="65"/>
        <v>structure with developmental contribution from neural crest</v>
      </c>
      <c r="G4652" s="9" t="s">
        <v>5090</v>
      </c>
      <c r="H4652" s="9" t="s">
        <v>22736</v>
      </c>
      <c r="I4652" s="9" t="s">
        <v>8619</v>
      </c>
      <c r="J4652" s="9" t="s">
        <v>8620</v>
      </c>
      <c r="K4652" s="4" t="s">
        <v>15175</v>
      </c>
      <c r="L4652" s="13">
        <v>267499135</v>
      </c>
      <c r="M4652" t="str">
        <f>VLOOKUP(L4652,[1]Human_BrainSpan!$B$2:$C$4000,2,FALSE)</f>
        <v>V6-3</v>
      </c>
    </row>
    <row r="4653" spans="2:13" x14ac:dyDescent="0.25">
      <c r="B4653" s="31" t="s">
        <v>26299</v>
      </c>
      <c r="C4653" s="25" t="s">
        <v>25933</v>
      </c>
      <c r="D4653" s="25" t="s">
        <v>26232</v>
      </c>
      <c r="E4653" s="25" t="s">
        <v>26306</v>
      </c>
      <c r="F4653" s="9" t="str">
        <f t="shared" si="65"/>
        <v>structure with developmental contribution from neural crest</v>
      </c>
      <c r="G4653" s="9" t="s">
        <v>5090</v>
      </c>
      <c r="H4653" s="9" t="s">
        <v>22737</v>
      </c>
      <c r="I4653" s="9" t="s">
        <v>8621</v>
      </c>
      <c r="J4653" s="9" t="s">
        <v>8622</v>
      </c>
      <c r="K4653" s="4" t="s">
        <v>15175</v>
      </c>
      <c r="L4653" s="13">
        <v>267499139</v>
      </c>
      <c r="M4653" t="str">
        <f>VLOOKUP(L4653,[1]Human_BrainSpan!$B$2:$C$4000,2,FALSE)</f>
        <v>V6-4</v>
      </c>
    </row>
    <row r="4654" spans="2:13" x14ac:dyDescent="0.25">
      <c r="B4654" s="31" t="s">
        <v>26299</v>
      </c>
      <c r="C4654" s="25" t="s">
        <v>25933</v>
      </c>
      <c r="D4654" s="25" t="s">
        <v>26232</v>
      </c>
      <c r="E4654" s="25" t="s">
        <v>26306</v>
      </c>
      <c r="F4654" s="9" t="str">
        <f t="shared" si="65"/>
        <v>structure with developmental contribution from neural crest</v>
      </c>
      <c r="G4654" s="9" t="s">
        <v>5090</v>
      </c>
      <c r="H4654" s="9" t="s">
        <v>22738</v>
      </c>
      <c r="I4654" s="9" t="s">
        <v>8623</v>
      </c>
      <c r="J4654" s="9" t="s">
        <v>8624</v>
      </c>
      <c r="K4654" s="4" t="s">
        <v>15175</v>
      </c>
      <c r="L4654" s="13">
        <v>267499143</v>
      </c>
      <c r="M4654" t="str">
        <f>VLOOKUP(L4654,[1]Human_BrainSpan!$B$2:$C$4000,2,FALSE)</f>
        <v>V6-5</v>
      </c>
    </row>
    <row r="4655" spans="2:13" x14ac:dyDescent="0.25">
      <c r="B4655" s="31" t="s">
        <v>26299</v>
      </c>
      <c r="C4655" s="25" t="s">
        <v>25933</v>
      </c>
      <c r="D4655" s="25" t="s">
        <v>26232</v>
      </c>
      <c r="E4655" s="25" t="s">
        <v>26306</v>
      </c>
      <c r="F4655" s="9" t="str">
        <f t="shared" si="65"/>
        <v>structure with developmental contribution from neural crest</v>
      </c>
      <c r="G4655" s="9" t="s">
        <v>5090</v>
      </c>
      <c r="H4655" s="9" t="s">
        <v>22739</v>
      </c>
      <c r="I4655" s="9" t="s">
        <v>8625</v>
      </c>
      <c r="J4655" s="9" t="s">
        <v>8626</v>
      </c>
      <c r="K4655" s="4" t="s">
        <v>15175</v>
      </c>
      <c r="L4655" s="13">
        <v>267499147</v>
      </c>
      <c r="M4655" t="str">
        <f>VLOOKUP(L4655,[1]Human_BrainSpan!$B$2:$C$4000,2,FALSE)</f>
        <v>V6-6</v>
      </c>
    </row>
    <row r="4656" spans="2:13" x14ac:dyDescent="0.25">
      <c r="B4656" s="31" t="s">
        <v>26299</v>
      </c>
      <c r="C4656" s="25" t="s">
        <v>25933</v>
      </c>
      <c r="D4656" s="25" t="s">
        <v>26232</v>
      </c>
      <c r="E4656" s="25" t="s">
        <v>26300</v>
      </c>
      <c r="F4656" s="9" t="str">
        <f t="shared" si="65"/>
        <v>structure with developmental contribution from neural crest</v>
      </c>
      <c r="G4656" s="9" t="s">
        <v>5090</v>
      </c>
      <c r="H4656" s="9" t="s">
        <v>22740</v>
      </c>
      <c r="I4656" s="9" t="s">
        <v>8627</v>
      </c>
      <c r="J4656" s="9" t="s">
        <v>8628</v>
      </c>
      <c r="K4656" s="4" t="s">
        <v>15175</v>
      </c>
      <c r="L4656" s="13">
        <v>267499151</v>
      </c>
      <c r="M4656" t="str">
        <f>VLOOKUP(L4656,[1]Human_BrainSpan!$B$2:$C$4000,2,FALSE)</f>
        <v>V6A/PO</v>
      </c>
    </row>
    <row r="4657" spans="2:13" x14ac:dyDescent="0.25">
      <c r="B4657" s="31" t="s">
        <v>26299</v>
      </c>
      <c r="C4657" s="25" t="s">
        <v>25933</v>
      </c>
      <c r="D4657" s="25" t="s">
        <v>26232</v>
      </c>
      <c r="E4657" s="25" t="s">
        <v>26306</v>
      </c>
      <c r="F4657" s="9" t="str">
        <f t="shared" si="65"/>
        <v>structure with developmental contribution from neural crest</v>
      </c>
      <c r="G4657" s="9" t="s">
        <v>5090</v>
      </c>
      <c r="H4657" s="9" t="s">
        <v>22741</v>
      </c>
      <c r="I4657" s="9" t="s">
        <v>8629</v>
      </c>
      <c r="J4657" s="9" t="s">
        <v>8630</v>
      </c>
      <c r="K4657" s="4" t="s">
        <v>15175</v>
      </c>
      <c r="L4657" s="13">
        <v>267499155</v>
      </c>
      <c r="M4657" t="str">
        <f>VLOOKUP(L4657,[1]Human_BrainSpan!$B$2:$C$4000,2,FALSE)</f>
        <v>V6A-1</v>
      </c>
    </row>
    <row r="4658" spans="2:13" x14ac:dyDescent="0.25">
      <c r="B4658" s="31" t="s">
        <v>26299</v>
      </c>
      <c r="C4658" s="25" t="s">
        <v>25933</v>
      </c>
      <c r="D4658" s="25" t="s">
        <v>26232</v>
      </c>
      <c r="E4658" s="25" t="s">
        <v>26306</v>
      </c>
      <c r="F4658" s="9" t="str">
        <f t="shared" si="65"/>
        <v>structure with developmental contribution from neural crest</v>
      </c>
      <c r="G4658" s="9" t="s">
        <v>5090</v>
      </c>
      <c r="H4658" s="9" t="s">
        <v>22742</v>
      </c>
      <c r="I4658" s="9" t="s">
        <v>8631</v>
      </c>
      <c r="J4658" s="9" t="s">
        <v>8632</v>
      </c>
      <c r="K4658" s="4" t="s">
        <v>15175</v>
      </c>
      <c r="L4658" s="13">
        <v>267499159</v>
      </c>
      <c r="M4658" t="str">
        <f>VLOOKUP(L4658,[1]Human_BrainSpan!$B$2:$C$4000,2,FALSE)</f>
        <v>V6A-2</v>
      </c>
    </row>
    <row r="4659" spans="2:13" x14ac:dyDescent="0.25">
      <c r="B4659" s="31" t="s">
        <v>26299</v>
      </c>
      <c r="C4659" s="25" t="s">
        <v>25933</v>
      </c>
      <c r="D4659" s="25" t="s">
        <v>26232</v>
      </c>
      <c r="E4659" s="25" t="s">
        <v>26306</v>
      </c>
      <c r="F4659" s="9" t="str">
        <f t="shared" si="65"/>
        <v>structure with developmental contribution from neural crest</v>
      </c>
      <c r="G4659" s="9" t="s">
        <v>5090</v>
      </c>
      <c r="H4659" s="9" t="s">
        <v>22743</v>
      </c>
      <c r="I4659" s="9" t="s">
        <v>8633</v>
      </c>
      <c r="J4659" s="9" t="s">
        <v>8634</v>
      </c>
      <c r="K4659" s="4" t="s">
        <v>15175</v>
      </c>
      <c r="L4659" s="13">
        <v>267499163</v>
      </c>
      <c r="M4659" t="str">
        <f>VLOOKUP(L4659,[1]Human_BrainSpan!$B$2:$C$4000,2,FALSE)</f>
        <v>V6A-3</v>
      </c>
    </row>
    <row r="4660" spans="2:13" x14ac:dyDescent="0.25">
      <c r="B4660" s="31" t="s">
        <v>26299</v>
      </c>
      <c r="C4660" s="25" t="s">
        <v>25933</v>
      </c>
      <c r="D4660" s="25" t="s">
        <v>26232</v>
      </c>
      <c r="E4660" s="25" t="s">
        <v>26306</v>
      </c>
      <c r="F4660" s="9" t="str">
        <f t="shared" si="65"/>
        <v>structure with developmental contribution from neural crest</v>
      </c>
      <c r="G4660" s="9" t="s">
        <v>5090</v>
      </c>
      <c r="H4660" s="9" t="s">
        <v>22744</v>
      </c>
      <c r="I4660" s="9" t="s">
        <v>8635</v>
      </c>
      <c r="J4660" s="9" t="s">
        <v>8636</v>
      </c>
      <c r="K4660" s="4" t="s">
        <v>15175</v>
      </c>
      <c r="L4660" s="13">
        <v>267499167</v>
      </c>
      <c r="M4660" t="str">
        <f>VLOOKUP(L4660,[1]Human_BrainSpan!$B$2:$C$4000,2,FALSE)</f>
        <v>V6A-4</v>
      </c>
    </row>
    <row r="4661" spans="2:13" x14ac:dyDescent="0.25">
      <c r="B4661" s="31" t="s">
        <v>26299</v>
      </c>
      <c r="C4661" s="25" t="s">
        <v>25933</v>
      </c>
      <c r="D4661" s="25" t="s">
        <v>26232</v>
      </c>
      <c r="E4661" s="25" t="s">
        <v>26306</v>
      </c>
      <c r="F4661" s="9" t="str">
        <f t="shared" si="65"/>
        <v>structure with developmental contribution from neural crest</v>
      </c>
      <c r="G4661" s="9" t="s">
        <v>5090</v>
      </c>
      <c r="H4661" s="9" t="s">
        <v>22745</v>
      </c>
      <c r="I4661" s="9" t="s">
        <v>8637</v>
      </c>
      <c r="J4661" s="9" t="s">
        <v>8638</v>
      </c>
      <c r="K4661" s="4" t="s">
        <v>15175</v>
      </c>
      <c r="L4661" s="13">
        <v>267499171</v>
      </c>
      <c r="M4661" t="str">
        <f>VLOOKUP(L4661,[1]Human_BrainSpan!$B$2:$C$4000,2,FALSE)</f>
        <v>V6A-5</v>
      </c>
    </row>
    <row r="4662" spans="2:13" x14ac:dyDescent="0.25">
      <c r="B4662" s="31" t="s">
        <v>26299</v>
      </c>
      <c r="C4662" s="25" t="s">
        <v>25933</v>
      </c>
      <c r="D4662" s="25" t="s">
        <v>26232</v>
      </c>
      <c r="E4662" s="25" t="s">
        <v>26306</v>
      </c>
      <c r="F4662" s="9" t="str">
        <f t="shared" si="65"/>
        <v>structure with developmental contribution from neural crest</v>
      </c>
      <c r="G4662" s="9" t="s">
        <v>5090</v>
      </c>
      <c r="H4662" s="9" t="s">
        <v>22746</v>
      </c>
      <c r="I4662" s="9" t="s">
        <v>8639</v>
      </c>
      <c r="J4662" s="9" t="s">
        <v>8640</v>
      </c>
      <c r="K4662" s="4" t="s">
        <v>15175</v>
      </c>
      <c r="L4662" s="13">
        <v>267499175</v>
      </c>
      <c r="M4662" t="str">
        <f>VLOOKUP(L4662,[1]Human_BrainSpan!$B$2:$C$4000,2,FALSE)</f>
        <v>V6A-6</v>
      </c>
    </row>
    <row r="4663" spans="2:13" x14ac:dyDescent="0.25">
      <c r="B4663" s="31" t="s">
        <v>26299</v>
      </c>
      <c r="C4663" s="25" t="s">
        <v>25933</v>
      </c>
      <c r="D4663" s="25" t="s">
        <v>26232</v>
      </c>
      <c r="E4663" s="25"/>
      <c r="F4663" s="9" t="str">
        <f t="shared" ref="F4663:F4726" si="66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4663" s="9" t="s">
        <v>5090</v>
      </c>
      <c r="H4663" s="9" t="s">
        <v>22747</v>
      </c>
      <c r="I4663" s="9" t="s">
        <v>8641</v>
      </c>
      <c r="J4663" s="9" t="s">
        <v>8642</v>
      </c>
      <c r="K4663" s="4" t="s">
        <v>15175</v>
      </c>
      <c r="L4663" s="13">
        <v>267499179</v>
      </c>
      <c r="M4663" t="str">
        <f>VLOOKUP(L4663,[1]Human_BrainSpan!$B$2:$C$4000,2,FALSE)</f>
        <v>V7</v>
      </c>
    </row>
    <row r="4664" spans="2:13" x14ac:dyDescent="0.25">
      <c r="B4664" s="31" t="s">
        <v>26299</v>
      </c>
      <c r="C4664" s="25" t="s">
        <v>25933</v>
      </c>
      <c r="D4664" s="25" t="s">
        <v>26232</v>
      </c>
      <c r="E4664" s="25" t="s">
        <v>26306</v>
      </c>
      <c r="F4664" s="9" t="str">
        <f t="shared" si="66"/>
        <v>structure with developmental contribution from neural crest</v>
      </c>
      <c r="G4664" s="9" t="s">
        <v>5090</v>
      </c>
      <c r="H4664" s="9" t="s">
        <v>22749</v>
      </c>
      <c r="I4664" s="9" t="s">
        <v>8643</v>
      </c>
      <c r="J4664" s="9" t="s">
        <v>8644</v>
      </c>
      <c r="K4664" s="4" t="s">
        <v>15175</v>
      </c>
      <c r="L4664" s="13">
        <v>267499183</v>
      </c>
      <c r="M4664" t="str">
        <f>VLOOKUP(L4664,[1]Human_BrainSpan!$B$2:$C$4000,2,FALSE)</f>
        <v>V7-1</v>
      </c>
    </row>
    <row r="4665" spans="2:13" x14ac:dyDescent="0.25">
      <c r="B4665" s="31" t="s">
        <v>26299</v>
      </c>
      <c r="C4665" s="25" t="s">
        <v>25933</v>
      </c>
      <c r="D4665" s="25" t="s">
        <v>26232</v>
      </c>
      <c r="E4665" s="25" t="s">
        <v>26306</v>
      </c>
      <c r="F4665" s="9" t="str">
        <f t="shared" si="66"/>
        <v>structure with developmental contribution from neural crest</v>
      </c>
      <c r="G4665" s="9" t="s">
        <v>5090</v>
      </c>
      <c r="H4665" s="9" t="s">
        <v>22750</v>
      </c>
      <c r="I4665" s="9" t="s">
        <v>8645</v>
      </c>
      <c r="J4665" s="9" t="s">
        <v>8646</v>
      </c>
      <c r="K4665" s="4" t="s">
        <v>15175</v>
      </c>
      <c r="L4665" s="13">
        <v>267499187</v>
      </c>
      <c r="M4665" t="str">
        <f>VLOOKUP(L4665,[1]Human_BrainSpan!$B$2:$C$4000,2,FALSE)</f>
        <v>V7-2</v>
      </c>
    </row>
    <row r="4666" spans="2:13" x14ac:dyDescent="0.25">
      <c r="B4666" s="31" t="s">
        <v>26299</v>
      </c>
      <c r="C4666" s="25" t="s">
        <v>25933</v>
      </c>
      <c r="D4666" s="25" t="s">
        <v>26232</v>
      </c>
      <c r="E4666" s="25" t="s">
        <v>26306</v>
      </c>
      <c r="F4666" s="9" t="str">
        <f t="shared" si="66"/>
        <v>structure with developmental contribution from neural crest</v>
      </c>
      <c r="G4666" s="9" t="s">
        <v>5090</v>
      </c>
      <c r="H4666" s="9" t="s">
        <v>22751</v>
      </c>
      <c r="I4666" s="9" t="s">
        <v>8647</v>
      </c>
      <c r="J4666" s="9" t="s">
        <v>8648</v>
      </c>
      <c r="K4666" s="4" t="s">
        <v>15175</v>
      </c>
      <c r="L4666" s="13">
        <v>267499191</v>
      </c>
      <c r="M4666" t="str">
        <f>VLOOKUP(L4666,[1]Human_BrainSpan!$B$2:$C$4000,2,FALSE)</f>
        <v>V7-3</v>
      </c>
    </row>
    <row r="4667" spans="2:13" x14ac:dyDescent="0.25">
      <c r="B4667" s="31" t="s">
        <v>26299</v>
      </c>
      <c r="C4667" s="25" t="s">
        <v>25933</v>
      </c>
      <c r="D4667" s="25" t="s">
        <v>26232</v>
      </c>
      <c r="E4667" s="25" t="s">
        <v>26306</v>
      </c>
      <c r="F4667" s="9" t="str">
        <f t="shared" si="66"/>
        <v>structure with developmental contribution from neural crest</v>
      </c>
      <c r="G4667" s="9" t="s">
        <v>5090</v>
      </c>
      <c r="H4667" s="9" t="s">
        <v>22752</v>
      </c>
      <c r="I4667" s="9" t="s">
        <v>8649</v>
      </c>
      <c r="J4667" s="9" t="s">
        <v>8650</v>
      </c>
      <c r="K4667" s="4" t="s">
        <v>15175</v>
      </c>
      <c r="L4667" s="13">
        <v>267499195</v>
      </c>
      <c r="M4667" t="str">
        <f>VLOOKUP(L4667,[1]Human_BrainSpan!$B$2:$C$4000,2,FALSE)</f>
        <v>V7-4</v>
      </c>
    </row>
    <row r="4668" spans="2:13" x14ac:dyDescent="0.25">
      <c r="B4668" s="31" t="s">
        <v>26299</v>
      </c>
      <c r="C4668" s="25" t="s">
        <v>25933</v>
      </c>
      <c r="D4668" s="25" t="s">
        <v>26232</v>
      </c>
      <c r="E4668" s="25" t="s">
        <v>26306</v>
      </c>
      <c r="F4668" s="9" t="str">
        <f t="shared" si="66"/>
        <v>structure with developmental contribution from neural crest</v>
      </c>
      <c r="G4668" s="9" t="s">
        <v>5090</v>
      </c>
      <c r="H4668" s="9" t="s">
        <v>22753</v>
      </c>
      <c r="I4668" s="9" t="s">
        <v>8651</v>
      </c>
      <c r="J4668" s="9" t="s">
        <v>8652</v>
      </c>
      <c r="K4668" s="4" t="s">
        <v>15175</v>
      </c>
      <c r="L4668" s="13">
        <v>267499199</v>
      </c>
      <c r="M4668" t="str">
        <f>VLOOKUP(L4668,[1]Human_BrainSpan!$B$2:$C$4000,2,FALSE)</f>
        <v>V7-5</v>
      </c>
    </row>
    <row r="4669" spans="2:13" x14ac:dyDescent="0.25">
      <c r="B4669" s="31" t="s">
        <v>26299</v>
      </c>
      <c r="C4669" s="25" t="s">
        <v>25933</v>
      </c>
      <c r="D4669" s="25" t="s">
        <v>26232</v>
      </c>
      <c r="E4669" s="25" t="s">
        <v>26306</v>
      </c>
      <c r="F4669" s="9" t="str">
        <f t="shared" si="66"/>
        <v>structure with developmental contribution from neural crest</v>
      </c>
      <c r="G4669" s="9" t="s">
        <v>5090</v>
      </c>
      <c r="H4669" s="9" t="s">
        <v>22754</v>
      </c>
      <c r="I4669" s="9" t="s">
        <v>8653</v>
      </c>
      <c r="J4669" s="9" t="s">
        <v>8654</v>
      </c>
      <c r="K4669" s="4" t="s">
        <v>15175</v>
      </c>
      <c r="L4669" s="13">
        <v>267499203</v>
      </c>
      <c r="M4669" t="str">
        <f>VLOOKUP(L4669,[1]Human_BrainSpan!$B$2:$C$4000,2,FALSE)</f>
        <v>V7-6</v>
      </c>
    </row>
    <row r="4670" spans="2:13" x14ac:dyDescent="0.25">
      <c r="B4670" s="37" t="s">
        <v>26303</v>
      </c>
      <c r="C4670" s="20"/>
      <c r="D4670" s="25" t="s">
        <v>26232</v>
      </c>
      <c r="E4670" s="25" t="s">
        <v>26300</v>
      </c>
      <c r="F4670" s="9" t="str">
        <f t="shared" si="66"/>
        <v>structure with developmental contribution from neural crest</v>
      </c>
      <c r="G4670" s="9" t="s">
        <v>5090</v>
      </c>
      <c r="H4670" s="9" t="s">
        <v>24253</v>
      </c>
      <c r="I4670" s="9" t="s">
        <v>8655</v>
      </c>
      <c r="J4670" s="9" t="s">
        <v>8656</v>
      </c>
      <c r="K4670" s="4" t="s">
        <v>15175</v>
      </c>
      <c r="L4670" s="13">
        <v>267499207</v>
      </c>
      <c r="M4670" t="str">
        <f>VLOOKUP(L4670,[1]Human_BrainSpan!$B$2:$C$4000,2,FALSE)</f>
        <v>BIcb</v>
      </c>
    </row>
    <row r="4671" spans="2:13" x14ac:dyDescent="0.25">
      <c r="B4671" s="31" t="s">
        <v>26303</v>
      </c>
      <c r="C4671" s="20"/>
      <c r="D4671" s="25" t="s">
        <v>26232</v>
      </c>
      <c r="E4671" s="20" t="s">
        <v>26300</v>
      </c>
      <c r="F4671" s="9" t="str">
        <f t="shared" si="66"/>
        <v>structure with developmental contribution from neural crest</v>
      </c>
      <c r="G4671" s="9" t="s">
        <v>5090</v>
      </c>
      <c r="H4671" s="9" t="s">
        <v>15533</v>
      </c>
      <c r="I4671" s="9" t="s">
        <v>8657</v>
      </c>
      <c r="J4671" s="9" t="s">
        <v>8658</v>
      </c>
      <c r="K4671" s="5" t="s">
        <v>15173</v>
      </c>
      <c r="L4671" s="13">
        <v>111220534</v>
      </c>
      <c r="M4671" t="str">
        <f>VLOOKUP(L4671,[1]DevMouse!$B$2:$C$2693,2,FALSE)</f>
        <v>SPallv</v>
      </c>
    </row>
    <row r="4672" spans="2:13" x14ac:dyDescent="0.25">
      <c r="B4672" s="31" t="s">
        <v>26303</v>
      </c>
      <c r="C4672" s="20"/>
      <c r="D4672" s="25" t="s">
        <v>26232</v>
      </c>
      <c r="E4672" s="20" t="s">
        <v>26300</v>
      </c>
      <c r="F4672" s="9" t="str">
        <f t="shared" si="66"/>
        <v>structure with developmental contribution from neural crest</v>
      </c>
      <c r="G4672" s="9" t="s">
        <v>5090</v>
      </c>
      <c r="H4672" s="9" t="s">
        <v>15534</v>
      </c>
      <c r="I4672" s="9" t="s">
        <v>8659</v>
      </c>
      <c r="J4672" s="9" t="s">
        <v>8660</v>
      </c>
      <c r="K4672" s="5" t="s">
        <v>15173</v>
      </c>
      <c r="L4672" s="13">
        <v>111220536</v>
      </c>
      <c r="M4672" t="str">
        <f>VLOOKUP(L4672,[1]DevMouse!$B$2:$C$2693,2,FALSE)</f>
        <v>SPallm</v>
      </c>
    </row>
    <row r="4673" spans="2:13" x14ac:dyDescent="0.25">
      <c r="B4673" s="31" t="s">
        <v>26303</v>
      </c>
      <c r="C4673" s="20"/>
      <c r="D4673" s="25" t="s">
        <v>26232</v>
      </c>
      <c r="E4673" s="20" t="s">
        <v>26300</v>
      </c>
      <c r="F4673" s="9" t="str">
        <f t="shared" si="66"/>
        <v>structure with developmental contribution from neural crest</v>
      </c>
      <c r="G4673" s="9" t="s">
        <v>5090</v>
      </c>
      <c r="H4673" s="9" t="s">
        <v>15602</v>
      </c>
      <c r="I4673" s="9" t="s">
        <v>8661</v>
      </c>
      <c r="J4673" s="9" t="s">
        <v>8662</v>
      </c>
      <c r="K4673" s="5" t="s">
        <v>15173</v>
      </c>
      <c r="L4673" s="13">
        <v>111220538</v>
      </c>
      <c r="M4673" t="str">
        <f>VLOOKUP(L4673,[1]DevMouse!$B$2:$C$2693,2,FALSE)</f>
        <v>CSPallv</v>
      </c>
    </row>
    <row r="4674" spans="2:13" x14ac:dyDescent="0.25">
      <c r="B4674" s="31" t="s">
        <v>26303</v>
      </c>
      <c r="C4674" s="20"/>
      <c r="D4674" s="25" t="s">
        <v>26232</v>
      </c>
      <c r="E4674" s="20" t="s">
        <v>26300</v>
      </c>
      <c r="F4674" s="9" t="str">
        <f t="shared" si="66"/>
        <v>structure with developmental contribution from neural crest</v>
      </c>
      <c r="G4674" s="9" t="s">
        <v>5090</v>
      </c>
      <c r="H4674" s="9" t="s">
        <v>15603</v>
      </c>
      <c r="I4674" s="9" t="s">
        <v>8663</v>
      </c>
      <c r="J4674" s="9" t="s">
        <v>8664</v>
      </c>
      <c r="K4674" s="5" t="s">
        <v>15173</v>
      </c>
      <c r="L4674" s="13">
        <v>111220540</v>
      </c>
      <c r="M4674" t="str">
        <f>VLOOKUP(L4674,[1]DevMouse!$B$2:$C$2693,2,FALSE)</f>
        <v>CSPallm</v>
      </c>
    </row>
    <row r="4675" spans="2:13" x14ac:dyDescent="0.25">
      <c r="B4675" s="31" t="s">
        <v>26303</v>
      </c>
      <c r="C4675" s="20"/>
      <c r="D4675" s="25" t="s">
        <v>26232</v>
      </c>
      <c r="E4675" s="20" t="s">
        <v>26300</v>
      </c>
      <c r="F4675" s="9" t="str">
        <f t="shared" si="66"/>
        <v>structure with developmental contribution from neural crest</v>
      </c>
      <c r="G4675" s="9" t="s">
        <v>5090</v>
      </c>
      <c r="H4675" s="9" t="s">
        <v>15604</v>
      </c>
      <c r="I4675" s="9" t="s">
        <v>8665</v>
      </c>
      <c r="J4675" s="9" t="s">
        <v>8666</v>
      </c>
      <c r="K4675" s="5" t="s">
        <v>15173</v>
      </c>
      <c r="L4675" s="13">
        <v>111220542</v>
      </c>
      <c r="M4675" t="str">
        <f>VLOOKUP(L4675,[1]DevMouse!$B$2:$C$2693,2,FALSE)</f>
        <v>CSPallp</v>
      </c>
    </row>
    <row r="4676" spans="2:13" x14ac:dyDescent="0.25">
      <c r="B4676" s="31" t="s">
        <v>26303</v>
      </c>
      <c r="C4676" s="20"/>
      <c r="D4676" s="25" t="s">
        <v>26232</v>
      </c>
      <c r="E4676" s="20" t="s">
        <v>26300</v>
      </c>
      <c r="F4676" s="9" t="str">
        <f t="shared" si="66"/>
        <v>structure with developmental contribution from neural crest</v>
      </c>
      <c r="G4676" s="9" t="s">
        <v>5090</v>
      </c>
      <c r="H4676" s="9" t="s">
        <v>15605</v>
      </c>
      <c r="I4676" s="9" t="s">
        <v>8667</v>
      </c>
      <c r="J4676" s="9" t="s">
        <v>8668</v>
      </c>
      <c r="K4676" s="5" t="s">
        <v>15173</v>
      </c>
      <c r="L4676" s="13">
        <v>111220544</v>
      </c>
      <c r="M4676" t="str">
        <f>VLOOKUP(L4676,[1]DevMouse!$B$2:$C$2693,2,FALSE)</f>
        <v>CSPalli</v>
      </c>
    </row>
    <row r="4677" spans="2:13" x14ac:dyDescent="0.25">
      <c r="B4677" s="31" t="s">
        <v>26303</v>
      </c>
      <c r="C4677" s="20"/>
      <c r="D4677" s="25" t="s">
        <v>26232</v>
      </c>
      <c r="E4677" s="20" t="s">
        <v>26300</v>
      </c>
      <c r="F4677" s="9" t="str">
        <f t="shared" si="66"/>
        <v>structure with developmental contribution from neural crest</v>
      </c>
      <c r="G4677" s="9" t="s">
        <v>5090</v>
      </c>
      <c r="H4677" s="9" t="s">
        <v>15606</v>
      </c>
      <c r="I4677" s="9" t="s">
        <v>8669</v>
      </c>
      <c r="J4677" s="9" t="s">
        <v>8670</v>
      </c>
      <c r="K4677" s="5" t="s">
        <v>15173</v>
      </c>
      <c r="L4677" s="13">
        <v>111220546</v>
      </c>
      <c r="M4677" t="str">
        <f>VLOOKUP(L4677,[1]DevMouse!$B$2:$C$2693,2,FALSE)</f>
        <v>CSPalls</v>
      </c>
    </row>
    <row r="4678" spans="2:13" x14ac:dyDescent="0.25">
      <c r="B4678" s="36"/>
      <c r="C4678" s="20"/>
      <c r="D4678" s="25" t="s">
        <v>26232</v>
      </c>
      <c r="E4678" s="25"/>
      <c r="F4678" s="9" t="str">
        <f t="shared" si="66"/>
        <v>structure with developmental contribution from neural crest</v>
      </c>
      <c r="G4678" s="9" t="s">
        <v>5090</v>
      </c>
      <c r="H4678" s="9" t="s">
        <v>15692</v>
      </c>
      <c r="I4678" s="9" t="s">
        <v>8671</v>
      </c>
      <c r="J4678" s="9" t="s">
        <v>8672</v>
      </c>
      <c r="K4678" s="5" t="s">
        <v>15173</v>
      </c>
      <c r="L4678" s="13">
        <v>111220548</v>
      </c>
      <c r="M4678" t="str">
        <f>VLOOKUP(L4678,[1]DevMouse!$B$2:$C$2693,2,FALSE)</f>
        <v>Pallv</v>
      </c>
    </row>
    <row r="4679" spans="2:13" x14ac:dyDescent="0.25">
      <c r="B4679" s="31" t="s">
        <v>26303</v>
      </c>
      <c r="C4679" s="20"/>
      <c r="D4679" s="25" t="s">
        <v>26232</v>
      </c>
      <c r="E4679" s="20" t="s">
        <v>26300</v>
      </c>
      <c r="F4679" s="9" t="str">
        <f t="shared" si="66"/>
        <v>structure with developmental contribution from neural crest</v>
      </c>
      <c r="G4679" s="9" t="s">
        <v>5090</v>
      </c>
      <c r="H4679" s="9" t="s">
        <v>15693</v>
      </c>
      <c r="I4679" s="9" t="s">
        <v>8673</v>
      </c>
      <c r="J4679" s="9" t="s">
        <v>8674</v>
      </c>
      <c r="K4679" s="5" t="s">
        <v>15173</v>
      </c>
      <c r="L4679" s="13">
        <v>111220550</v>
      </c>
      <c r="M4679" t="str">
        <f>VLOOKUP(L4679,[1]DevMouse!$B$2:$C$2693,2,FALSE)</f>
        <v>Pallm</v>
      </c>
    </row>
    <row r="4680" spans="2:13" x14ac:dyDescent="0.25">
      <c r="B4680" s="36"/>
      <c r="C4680" s="20"/>
      <c r="D4680" s="25" t="s">
        <v>26232</v>
      </c>
      <c r="E4680" s="25"/>
      <c r="F4680" s="9" t="str">
        <f t="shared" si="66"/>
        <v>structure with developmental contribution from neural crest</v>
      </c>
      <c r="G4680" s="9" t="s">
        <v>5090</v>
      </c>
      <c r="H4680" s="9" t="s">
        <v>15792</v>
      </c>
      <c r="I4680" s="9" t="s">
        <v>8675</v>
      </c>
      <c r="J4680" s="9" t="s">
        <v>8676</v>
      </c>
      <c r="K4680" s="5" t="s">
        <v>15173</v>
      </c>
      <c r="L4680" s="13">
        <v>111220552</v>
      </c>
      <c r="M4680" t="str">
        <f>VLOOKUP(L4680,[1]DevMouse!$B$2:$C$2693,2,FALSE)</f>
        <v>DPallv</v>
      </c>
    </row>
    <row r="4681" spans="2:13" x14ac:dyDescent="0.25">
      <c r="B4681" s="31" t="s">
        <v>26303</v>
      </c>
      <c r="C4681" s="20"/>
      <c r="D4681" s="25" t="s">
        <v>26232</v>
      </c>
      <c r="E4681" s="20" t="s">
        <v>26300</v>
      </c>
      <c r="F4681" s="9" t="str">
        <f t="shared" si="66"/>
        <v>structure with developmental contribution from neural crest</v>
      </c>
      <c r="G4681" s="9" t="s">
        <v>5090</v>
      </c>
      <c r="H4681" s="9" t="s">
        <v>15793</v>
      </c>
      <c r="I4681" s="9" t="s">
        <v>8677</v>
      </c>
      <c r="J4681" s="9" t="s">
        <v>8678</v>
      </c>
      <c r="K4681" s="5" t="s">
        <v>15173</v>
      </c>
      <c r="L4681" s="13">
        <v>111220554</v>
      </c>
      <c r="M4681" t="str">
        <f>VLOOKUP(L4681,[1]DevMouse!$B$2:$C$2693,2,FALSE)</f>
        <v>DPallm</v>
      </c>
    </row>
    <row r="4682" spans="2:13" x14ac:dyDescent="0.25">
      <c r="B4682" s="36"/>
      <c r="C4682" s="20"/>
      <c r="D4682" s="25" t="s">
        <v>26232</v>
      </c>
      <c r="E4682" s="20" t="s">
        <v>26300</v>
      </c>
      <c r="F4682" s="9" t="str">
        <f t="shared" si="66"/>
        <v>structure with developmental contribution from neural crest</v>
      </c>
      <c r="G4682" s="9" t="s">
        <v>5090</v>
      </c>
      <c r="H4682" s="9" t="s">
        <v>15794</v>
      </c>
      <c r="I4682" s="9" t="s">
        <v>8679</v>
      </c>
      <c r="J4682" s="9" t="s">
        <v>8680</v>
      </c>
      <c r="K4682" s="5" t="s">
        <v>15173</v>
      </c>
      <c r="L4682" s="13">
        <v>111220556</v>
      </c>
      <c r="M4682" t="str">
        <f>VLOOKUP(L4682,[1]DevMouse!$B$2:$C$2693,2,FALSE)</f>
        <v>DPallp</v>
      </c>
    </row>
    <row r="4683" spans="2:13" x14ac:dyDescent="0.25">
      <c r="B4683" s="36"/>
      <c r="C4683" s="20"/>
      <c r="D4683" s="25" t="s">
        <v>26232</v>
      </c>
      <c r="E4683" s="25"/>
      <c r="F4683" s="9" t="str">
        <f t="shared" si="66"/>
        <v>structure with developmental contribution from neural crest</v>
      </c>
      <c r="G4683" s="9" t="s">
        <v>5090</v>
      </c>
      <c r="H4683" s="9" t="s">
        <v>15795</v>
      </c>
      <c r="I4683" s="9" t="s">
        <v>8681</v>
      </c>
      <c r="J4683" s="9" t="s">
        <v>8682</v>
      </c>
      <c r="K4683" s="5" t="s">
        <v>15173</v>
      </c>
      <c r="L4683" s="13">
        <v>111220558</v>
      </c>
      <c r="M4683" t="str">
        <f>VLOOKUP(L4683,[1]DevMouse!$B$2:$C$2693,2,FALSE)</f>
        <v>DPalli</v>
      </c>
    </row>
    <row r="4684" spans="2:13" x14ac:dyDescent="0.25">
      <c r="B4684" s="36"/>
      <c r="C4684" s="20"/>
      <c r="D4684" s="25" t="s">
        <v>26232</v>
      </c>
      <c r="E4684" s="25"/>
      <c r="F4684" s="9" t="str">
        <f t="shared" si="66"/>
        <v>structure with developmental contribution from neural crest</v>
      </c>
      <c r="G4684" s="9" t="s">
        <v>5090</v>
      </c>
      <c r="H4684" s="9" t="s">
        <v>15796</v>
      </c>
      <c r="I4684" s="9" t="s">
        <v>8683</v>
      </c>
      <c r="J4684" s="9" t="s">
        <v>8684</v>
      </c>
      <c r="K4684" s="5" t="s">
        <v>15173</v>
      </c>
      <c r="L4684" s="13">
        <v>111220560</v>
      </c>
      <c r="M4684" t="str">
        <f>VLOOKUP(L4684,[1]DevMouse!$B$2:$C$2693,2,FALSE)</f>
        <v>DPalls</v>
      </c>
    </row>
    <row r="4685" spans="2:13" x14ac:dyDescent="0.25">
      <c r="B4685" s="36"/>
      <c r="C4685" s="20"/>
      <c r="D4685" s="25" t="s">
        <v>26232</v>
      </c>
      <c r="E4685" s="25"/>
      <c r="F4685" s="9" t="str">
        <f t="shared" si="66"/>
        <v>structure with developmental contribution from neural crest</v>
      </c>
      <c r="G4685" s="9" t="s">
        <v>5090</v>
      </c>
      <c r="H4685" s="9" t="s">
        <v>15910</v>
      </c>
      <c r="I4685" s="9" t="s">
        <v>8685</v>
      </c>
      <c r="J4685" s="9" t="s">
        <v>8686</v>
      </c>
      <c r="K4685" s="5" t="s">
        <v>15173</v>
      </c>
      <c r="L4685" s="13">
        <v>111220562</v>
      </c>
      <c r="M4685" t="str">
        <f>VLOOKUP(L4685,[1]DevMouse!$B$2:$C$2693,2,FALSE)</f>
        <v>MPallv</v>
      </c>
    </row>
    <row r="4686" spans="2:13" x14ac:dyDescent="0.25">
      <c r="B4686" s="31" t="s">
        <v>26303</v>
      </c>
      <c r="C4686" s="20"/>
      <c r="D4686" s="25" t="s">
        <v>26232</v>
      </c>
      <c r="E4686" s="20" t="s">
        <v>26300</v>
      </c>
      <c r="F4686" s="9" t="str">
        <f t="shared" si="66"/>
        <v>structure with developmental contribution from neural crest</v>
      </c>
      <c r="G4686" s="9" t="s">
        <v>5090</v>
      </c>
      <c r="H4686" s="9" t="s">
        <v>15911</v>
      </c>
      <c r="I4686" s="9" t="s">
        <v>8687</v>
      </c>
      <c r="J4686" s="9" t="s">
        <v>8688</v>
      </c>
      <c r="K4686" s="5" t="s">
        <v>15173</v>
      </c>
      <c r="L4686" s="13">
        <v>111220564</v>
      </c>
      <c r="M4686" t="str">
        <f>VLOOKUP(L4686,[1]DevMouse!$B$2:$C$2693,2,FALSE)</f>
        <v>MPallm</v>
      </c>
    </row>
    <row r="4687" spans="2:13" x14ac:dyDescent="0.25">
      <c r="B4687" s="36"/>
      <c r="C4687" s="20"/>
      <c r="D4687" s="25" t="s">
        <v>26232</v>
      </c>
      <c r="E4687" s="20" t="s">
        <v>26300</v>
      </c>
      <c r="F4687" s="9" t="str">
        <f t="shared" si="66"/>
        <v>structure with developmental contribution from neural crest</v>
      </c>
      <c r="G4687" s="9" t="s">
        <v>5090</v>
      </c>
      <c r="H4687" s="9" t="s">
        <v>15912</v>
      </c>
      <c r="I4687" s="9" t="s">
        <v>8689</v>
      </c>
      <c r="J4687" s="9" t="s">
        <v>8690</v>
      </c>
      <c r="K4687" s="5" t="s">
        <v>15173</v>
      </c>
      <c r="L4687" s="13">
        <v>111220566</v>
      </c>
      <c r="M4687" t="str">
        <f>VLOOKUP(L4687,[1]DevMouse!$B$2:$C$2693,2,FALSE)</f>
        <v>MPallp</v>
      </c>
    </row>
    <row r="4688" spans="2:13" x14ac:dyDescent="0.25">
      <c r="B4688" s="36"/>
      <c r="C4688" s="20"/>
      <c r="D4688" s="25" t="s">
        <v>26232</v>
      </c>
      <c r="E4688" s="25"/>
      <c r="F4688" s="9" t="str">
        <f t="shared" si="66"/>
        <v>structure with developmental contribution from neural crest</v>
      </c>
      <c r="G4688" s="9" t="s">
        <v>5090</v>
      </c>
      <c r="H4688" s="9" t="s">
        <v>15913</v>
      </c>
      <c r="I4688" s="9" t="s">
        <v>8691</v>
      </c>
      <c r="J4688" s="9" t="s">
        <v>8692</v>
      </c>
      <c r="K4688" s="5" t="s">
        <v>15173</v>
      </c>
      <c r="L4688" s="13">
        <v>111220568</v>
      </c>
      <c r="M4688" t="str">
        <f>VLOOKUP(L4688,[1]DevMouse!$B$2:$C$2693,2,FALSE)</f>
        <v>MPalli</v>
      </c>
    </row>
    <row r="4689" spans="2:13" x14ac:dyDescent="0.25">
      <c r="B4689" s="36"/>
      <c r="C4689" s="20"/>
      <c r="D4689" s="25" t="s">
        <v>26232</v>
      </c>
      <c r="E4689" s="25"/>
      <c r="F4689" s="9" t="str">
        <f t="shared" si="66"/>
        <v>structure with developmental contribution from neural crest</v>
      </c>
      <c r="G4689" s="9" t="s">
        <v>5090</v>
      </c>
      <c r="H4689" s="9" t="s">
        <v>15914</v>
      </c>
      <c r="I4689" s="9" t="s">
        <v>8693</v>
      </c>
      <c r="J4689" s="9" t="s">
        <v>8694</v>
      </c>
      <c r="K4689" s="5" t="s">
        <v>15173</v>
      </c>
      <c r="L4689" s="13">
        <v>111220570</v>
      </c>
      <c r="M4689" t="str">
        <f>VLOOKUP(L4689,[1]DevMouse!$B$2:$C$2693,2,FALSE)</f>
        <v>MPalls</v>
      </c>
    </row>
    <row r="4690" spans="2:13" x14ac:dyDescent="0.25">
      <c r="B4690" s="36"/>
      <c r="C4690" s="20"/>
      <c r="D4690" s="25" t="s">
        <v>26232</v>
      </c>
      <c r="E4690" s="25" t="s">
        <v>26306</v>
      </c>
      <c r="F4690" s="9" t="str">
        <f t="shared" si="66"/>
        <v>structure with developmental contribution from neural crest</v>
      </c>
      <c r="G4690" s="9" t="s">
        <v>5090</v>
      </c>
      <c r="H4690" s="9" t="s">
        <v>15996</v>
      </c>
      <c r="I4690" s="9" t="s">
        <v>8695</v>
      </c>
      <c r="J4690" s="9" t="s">
        <v>8696</v>
      </c>
      <c r="K4690" s="5" t="s">
        <v>15173</v>
      </c>
      <c r="L4690" s="13">
        <v>111220572</v>
      </c>
      <c r="M4690" t="str">
        <f>VLOOKUP(L4690,[1]DevMouse!$B$2:$C$2693,2,FALSE)</f>
        <v>PaS-6a</v>
      </c>
    </row>
    <row r="4691" spans="2:13" x14ac:dyDescent="0.25">
      <c r="B4691" s="36"/>
      <c r="C4691" s="20"/>
      <c r="D4691" s="25" t="s">
        <v>26232</v>
      </c>
      <c r="E4691" s="25" t="s">
        <v>26306</v>
      </c>
      <c r="F4691" s="9" t="str">
        <f t="shared" si="66"/>
        <v>structure with developmental contribution from neural crest</v>
      </c>
      <c r="G4691" s="9" t="s">
        <v>5090</v>
      </c>
      <c r="H4691" s="9" t="s">
        <v>15997</v>
      </c>
      <c r="I4691" s="9" t="s">
        <v>8697</v>
      </c>
      <c r="J4691" s="9" t="s">
        <v>8698</v>
      </c>
      <c r="K4691" s="5" t="s">
        <v>15173</v>
      </c>
      <c r="L4691" s="13">
        <v>111220574</v>
      </c>
      <c r="M4691" t="str">
        <f>VLOOKUP(L4691,[1]DevMouse!$B$2:$C$2693,2,FALSE)</f>
        <v>PaS-6b</v>
      </c>
    </row>
    <row r="4692" spans="2:13" x14ac:dyDescent="0.25">
      <c r="B4692" s="36"/>
      <c r="C4692" s="20"/>
      <c r="D4692" s="25" t="s">
        <v>26232</v>
      </c>
      <c r="E4692" s="25"/>
      <c r="F4692" s="9" t="str">
        <f t="shared" si="66"/>
        <v>structure with developmental contribution from neural crest</v>
      </c>
      <c r="G4692" s="9" t="s">
        <v>5090</v>
      </c>
      <c r="H4692" s="9" t="s">
        <v>17270</v>
      </c>
      <c r="I4692" s="9" t="s">
        <v>8699</v>
      </c>
      <c r="J4692" s="9" t="s">
        <v>8700</v>
      </c>
      <c r="K4692" s="5" t="s">
        <v>15173</v>
      </c>
      <c r="L4692" s="13">
        <v>111220612</v>
      </c>
      <c r="M4692" t="str">
        <f>VLOOKUP(L4692,[1]DevMouse!$B$2:$C$2693,2,FALSE)</f>
        <v>isADLv</v>
      </c>
    </row>
    <row r="4693" spans="2:13" x14ac:dyDescent="0.25">
      <c r="B4693" s="31" t="s">
        <v>26303</v>
      </c>
      <c r="C4693" s="20"/>
      <c r="D4693" s="25" t="s">
        <v>26232</v>
      </c>
      <c r="E4693" s="20" t="s">
        <v>26300</v>
      </c>
      <c r="F4693" s="9" t="str">
        <f t="shared" si="66"/>
        <v>structure with developmental contribution from neural crest</v>
      </c>
      <c r="G4693" s="9" t="s">
        <v>5090</v>
      </c>
      <c r="H4693" s="9" t="s">
        <v>17271</v>
      </c>
      <c r="I4693" s="9" t="s">
        <v>8701</v>
      </c>
      <c r="J4693" s="9" t="s">
        <v>8702</v>
      </c>
      <c r="K4693" s="5" t="s">
        <v>15173</v>
      </c>
      <c r="L4693" s="13">
        <v>111220614</v>
      </c>
      <c r="M4693" t="str">
        <f>VLOOKUP(L4693,[1]DevMouse!$B$2:$C$2693,2,FALSE)</f>
        <v>isADLm</v>
      </c>
    </row>
    <row r="4694" spans="2:13" x14ac:dyDescent="0.25">
      <c r="B4694" s="36"/>
      <c r="C4694" s="20"/>
      <c r="D4694" s="25" t="s">
        <v>26232</v>
      </c>
      <c r="E4694" s="25"/>
      <c r="F4694" s="9" t="str">
        <f t="shared" si="66"/>
        <v>structure with developmental contribution from neural crest</v>
      </c>
      <c r="G4694" s="9" t="s">
        <v>5090</v>
      </c>
      <c r="H4694" s="9" t="s">
        <v>17309</v>
      </c>
      <c r="I4694" s="9" t="s">
        <v>8703</v>
      </c>
      <c r="J4694" s="9" t="s">
        <v>8704</v>
      </c>
      <c r="K4694" s="5" t="s">
        <v>15173</v>
      </c>
      <c r="L4694" s="13">
        <v>111220616</v>
      </c>
      <c r="M4694" t="str">
        <f>VLOOKUP(L4694,[1]DevMouse!$B$2:$C$2693,2,FALSE)</f>
        <v>isBv</v>
      </c>
    </row>
    <row r="4695" spans="2:13" x14ac:dyDescent="0.25">
      <c r="B4695" s="31" t="s">
        <v>26303</v>
      </c>
      <c r="C4695" s="20"/>
      <c r="D4695" s="25" t="s">
        <v>26232</v>
      </c>
      <c r="E4695" s="20" t="s">
        <v>26300</v>
      </c>
      <c r="F4695" s="9" t="str">
        <f t="shared" si="66"/>
        <v>structure with developmental contribution from neural crest</v>
      </c>
      <c r="G4695" s="9" t="s">
        <v>5090</v>
      </c>
      <c r="H4695" s="9" t="s">
        <v>17310</v>
      </c>
      <c r="I4695" s="9" t="s">
        <v>8705</v>
      </c>
      <c r="J4695" s="9" t="s">
        <v>8706</v>
      </c>
      <c r="K4695" s="5" t="s">
        <v>15173</v>
      </c>
      <c r="L4695" s="13">
        <v>111220618</v>
      </c>
      <c r="M4695" t="str">
        <f>VLOOKUP(L4695,[1]DevMouse!$B$2:$C$2693,2,FALSE)</f>
        <v>isBm</v>
      </c>
    </row>
    <row r="4696" spans="2:13" x14ac:dyDescent="0.25">
      <c r="B4696" s="36"/>
      <c r="C4696" s="20"/>
      <c r="D4696" s="25" t="s">
        <v>26232</v>
      </c>
      <c r="E4696" s="25"/>
      <c r="F4696" s="9" t="str">
        <f t="shared" si="66"/>
        <v>structure with developmental contribution from neural crest</v>
      </c>
      <c r="G4696" s="9" t="s">
        <v>5090</v>
      </c>
      <c r="H4696" s="9" t="s">
        <v>17358</v>
      </c>
      <c r="I4696" s="9" t="s">
        <v>8707</v>
      </c>
      <c r="J4696" s="9" t="s">
        <v>8708</v>
      </c>
      <c r="K4696" s="5" t="s">
        <v>15173</v>
      </c>
      <c r="L4696" s="13">
        <v>111220620</v>
      </c>
      <c r="M4696" t="str">
        <f>VLOOKUP(L4696,[1]DevMouse!$B$2:$C$2693,2,FALSE)</f>
        <v>r1Av</v>
      </c>
    </row>
    <row r="4697" spans="2:13" x14ac:dyDescent="0.25">
      <c r="B4697" s="31" t="s">
        <v>26303</v>
      </c>
      <c r="C4697" s="20"/>
      <c r="D4697" s="25" t="s">
        <v>26232</v>
      </c>
      <c r="E4697" s="20" t="s">
        <v>26300</v>
      </c>
      <c r="F4697" s="9" t="str">
        <f t="shared" si="66"/>
        <v>structure with developmental contribution from neural crest</v>
      </c>
      <c r="G4697" s="9" t="s">
        <v>5090</v>
      </c>
      <c r="H4697" s="9" t="s">
        <v>17359</v>
      </c>
      <c r="I4697" s="9" t="s">
        <v>8709</v>
      </c>
      <c r="J4697" s="9" t="s">
        <v>8710</v>
      </c>
      <c r="K4697" s="5" t="s">
        <v>15173</v>
      </c>
      <c r="L4697" s="13">
        <v>111220622</v>
      </c>
      <c r="M4697" t="str">
        <f>VLOOKUP(L4697,[1]DevMouse!$B$2:$C$2693,2,FALSE)</f>
        <v>r1Am</v>
      </c>
    </row>
    <row r="4698" spans="2:13" x14ac:dyDescent="0.25">
      <c r="B4698" s="36"/>
      <c r="C4698" s="20"/>
      <c r="D4698" s="25" t="s">
        <v>26232</v>
      </c>
      <c r="E4698" s="20" t="s">
        <v>26300</v>
      </c>
      <c r="F4698" s="9" t="str">
        <f t="shared" si="66"/>
        <v>structure with developmental contribution from neural crest</v>
      </c>
      <c r="G4698" s="9" t="s">
        <v>5090</v>
      </c>
      <c r="H4698" s="9" t="s">
        <v>17393</v>
      </c>
      <c r="I4698" s="9" t="s">
        <v>8711</v>
      </c>
      <c r="J4698" s="9" t="s">
        <v>8712</v>
      </c>
      <c r="K4698" s="5" t="s">
        <v>15173</v>
      </c>
      <c r="L4698" s="13">
        <v>111220624</v>
      </c>
      <c r="M4698" t="str">
        <f>VLOOKUP(L4698,[1]DevMouse!$B$2:$C$2693,2,FALSE)</f>
        <v>r1Vep</v>
      </c>
    </row>
    <row r="4699" spans="2:13" x14ac:dyDescent="0.25">
      <c r="B4699" s="36"/>
      <c r="C4699" s="20"/>
      <c r="D4699" s="25" t="s">
        <v>26232</v>
      </c>
      <c r="E4699" s="25"/>
      <c r="F4699" s="9" t="str">
        <f t="shared" si="66"/>
        <v>structure with developmental contribution from neural crest</v>
      </c>
      <c r="G4699" s="9" t="s">
        <v>5090</v>
      </c>
      <c r="H4699" s="9" t="s">
        <v>17395</v>
      </c>
      <c r="I4699" s="9" t="s">
        <v>8713</v>
      </c>
      <c r="J4699" s="9" t="s">
        <v>8714</v>
      </c>
      <c r="K4699" s="5" t="s">
        <v>15173</v>
      </c>
      <c r="L4699" s="13">
        <v>111220626</v>
      </c>
      <c r="M4699" t="str">
        <f>VLOOKUP(L4699,[1]DevMouse!$B$2:$C$2693,2,FALSE)</f>
        <v>r1Vei</v>
      </c>
    </row>
    <row r="4700" spans="2:13" x14ac:dyDescent="0.25">
      <c r="B4700" s="36"/>
      <c r="C4700" s="20"/>
      <c r="D4700" s="25" t="s">
        <v>26232</v>
      </c>
      <c r="E4700" s="25"/>
      <c r="F4700" s="9" t="str">
        <f t="shared" si="66"/>
        <v>structure with developmental contribution from neural crest</v>
      </c>
      <c r="G4700" s="9" t="s">
        <v>5090</v>
      </c>
      <c r="H4700" s="9" t="s">
        <v>17397</v>
      </c>
      <c r="I4700" s="9" t="s">
        <v>8715</v>
      </c>
      <c r="J4700" s="9" t="s">
        <v>8716</v>
      </c>
      <c r="K4700" s="5" t="s">
        <v>15173</v>
      </c>
      <c r="L4700" s="13">
        <v>111220628</v>
      </c>
      <c r="M4700" t="str">
        <f>VLOOKUP(L4700,[1]DevMouse!$B$2:$C$2693,2,FALSE)</f>
        <v>r1Ves</v>
      </c>
    </row>
    <row r="4701" spans="2:13" x14ac:dyDescent="0.25">
      <c r="B4701" s="36"/>
      <c r="C4701" s="20"/>
      <c r="D4701" s="25" t="s">
        <v>26232</v>
      </c>
      <c r="E4701" s="20" t="s">
        <v>26300</v>
      </c>
      <c r="F4701" s="9" t="str">
        <f t="shared" si="66"/>
        <v>structure with developmental contribution from neural crest</v>
      </c>
      <c r="G4701" s="9" t="s">
        <v>5090</v>
      </c>
      <c r="H4701" s="9" t="s">
        <v>17401</v>
      </c>
      <c r="I4701" s="9" t="s">
        <v>8717</v>
      </c>
      <c r="J4701" s="9" t="s">
        <v>8718</v>
      </c>
      <c r="K4701" s="5" t="s">
        <v>15173</v>
      </c>
      <c r="L4701" s="13">
        <v>111220630</v>
      </c>
      <c r="M4701" t="str">
        <f>VLOOKUP(L4701,[1]DevMouse!$B$2:$C$2693,2,FALSE)</f>
        <v>r1Trp</v>
      </c>
    </row>
    <row r="4702" spans="2:13" x14ac:dyDescent="0.25">
      <c r="B4702" s="36"/>
      <c r="C4702" s="20"/>
      <c r="D4702" s="25" t="s">
        <v>26232</v>
      </c>
      <c r="E4702" s="25"/>
      <c r="F4702" s="9" t="str">
        <f t="shared" si="66"/>
        <v>structure with developmental contribution from neural crest</v>
      </c>
      <c r="G4702" s="9" t="s">
        <v>5090</v>
      </c>
      <c r="H4702" s="9" t="s">
        <v>17402</v>
      </c>
      <c r="I4702" s="9" t="s">
        <v>8719</v>
      </c>
      <c r="J4702" s="9" t="s">
        <v>8720</v>
      </c>
      <c r="K4702" s="5" t="s">
        <v>15173</v>
      </c>
      <c r="L4702" s="13">
        <v>111220632</v>
      </c>
      <c r="M4702" t="str">
        <f>VLOOKUP(L4702,[1]DevMouse!$B$2:$C$2693,2,FALSE)</f>
        <v>r1Tri</v>
      </c>
    </row>
    <row r="4703" spans="2:13" x14ac:dyDescent="0.25">
      <c r="B4703" s="36"/>
      <c r="C4703" s="20"/>
      <c r="D4703" s="25" t="s">
        <v>26232</v>
      </c>
      <c r="E4703" s="25"/>
      <c r="F4703" s="9" t="str">
        <f t="shared" si="66"/>
        <v>structure with developmental contribution from neural crest</v>
      </c>
      <c r="G4703" s="9" t="s">
        <v>5090</v>
      </c>
      <c r="H4703" s="9" t="s">
        <v>17404</v>
      </c>
      <c r="I4703" s="9" t="s">
        <v>8721</v>
      </c>
      <c r="J4703" s="9" t="s">
        <v>8722</v>
      </c>
      <c r="K4703" s="5" t="s">
        <v>15173</v>
      </c>
      <c r="L4703" s="13">
        <v>111220634</v>
      </c>
      <c r="M4703" t="str">
        <f>VLOOKUP(L4703,[1]DevMouse!$B$2:$C$2693,2,FALSE)</f>
        <v>r1Trs</v>
      </c>
    </row>
    <row r="4704" spans="2:13" x14ac:dyDescent="0.25">
      <c r="B4704" s="36"/>
      <c r="C4704" s="20"/>
      <c r="D4704" s="25" t="s">
        <v>26232</v>
      </c>
      <c r="E4704" s="20" t="s">
        <v>26300</v>
      </c>
      <c r="F4704" s="9" t="str">
        <f t="shared" si="66"/>
        <v>structure with developmental contribution from neural crest</v>
      </c>
      <c r="G4704" s="9" t="s">
        <v>5090</v>
      </c>
      <c r="H4704" s="9" t="s">
        <v>17409</v>
      </c>
      <c r="I4704" s="9" t="s">
        <v>8723</v>
      </c>
      <c r="J4704" s="9" t="s">
        <v>8724</v>
      </c>
      <c r="K4704" s="5" t="s">
        <v>15173</v>
      </c>
      <c r="L4704" s="13">
        <v>111220636</v>
      </c>
      <c r="M4704" t="str">
        <f>VLOOKUP(L4704,[1]DevMouse!$B$2:$C$2693,2,FALSE)</f>
        <v>r1Limp</v>
      </c>
    </row>
    <row r="4705" spans="2:13" x14ac:dyDescent="0.25">
      <c r="B4705" s="36"/>
      <c r="C4705" s="20"/>
      <c r="D4705" s="25" t="s">
        <v>26232</v>
      </c>
      <c r="E4705" s="25"/>
      <c r="F4705" s="9" t="str">
        <f t="shared" si="66"/>
        <v>structure with developmental contribution from neural crest</v>
      </c>
      <c r="G4705" s="9" t="s">
        <v>5090</v>
      </c>
      <c r="H4705" s="9" t="s">
        <v>17413</v>
      </c>
      <c r="I4705" s="9" t="s">
        <v>8725</v>
      </c>
      <c r="J4705" s="9" t="s">
        <v>8726</v>
      </c>
      <c r="K4705" s="5" t="s">
        <v>15173</v>
      </c>
      <c r="L4705" s="13">
        <v>111220638</v>
      </c>
      <c r="M4705" t="str">
        <f>VLOOKUP(L4705,[1]DevMouse!$B$2:$C$2693,2,FALSE)</f>
        <v>r1Limi</v>
      </c>
    </row>
    <row r="4706" spans="2:13" x14ac:dyDescent="0.25">
      <c r="B4706" s="36"/>
      <c r="C4706" s="20"/>
      <c r="D4706" s="25" t="s">
        <v>26232</v>
      </c>
      <c r="E4706" s="25"/>
      <c r="F4706" s="9" t="str">
        <f t="shared" si="66"/>
        <v>structure with developmental contribution from neural crest</v>
      </c>
      <c r="G4706" s="9" t="s">
        <v>5090</v>
      </c>
      <c r="H4706" s="9" t="s">
        <v>17415</v>
      </c>
      <c r="I4706" s="9" t="s">
        <v>8727</v>
      </c>
      <c r="J4706" s="9" t="s">
        <v>8728</v>
      </c>
      <c r="K4706" s="5" t="s">
        <v>15173</v>
      </c>
      <c r="L4706" s="13">
        <v>111220640</v>
      </c>
      <c r="M4706" t="str">
        <f>VLOOKUP(L4706,[1]DevMouse!$B$2:$C$2693,2,FALSE)</f>
        <v>r1Lims</v>
      </c>
    </row>
    <row r="4707" spans="2:13" x14ac:dyDescent="0.25">
      <c r="B4707" s="36"/>
      <c r="C4707" s="20"/>
      <c r="D4707" s="25" t="s">
        <v>26232</v>
      </c>
      <c r="E4707" s="25"/>
      <c r="F4707" s="9" t="str">
        <f t="shared" si="66"/>
        <v>structure with developmental contribution from neural crest</v>
      </c>
      <c r="G4707" s="9" t="s">
        <v>5090</v>
      </c>
      <c r="H4707" s="9" t="s">
        <v>17418</v>
      </c>
      <c r="I4707" s="9" t="s">
        <v>8729</v>
      </c>
      <c r="J4707" s="9" t="s">
        <v>8730</v>
      </c>
      <c r="K4707" s="5" t="s">
        <v>15173</v>
      </c>
      <c r="L4707" s="13">
        <v>111220642</v>
      </c>
      <c r="M4707" t="str">
        <f>VLOOKUP(L4707,[1]DevMouse!$B$2:$C$2693,2,FALSE)</f>
        <v>r1Bv</v>
      </c>
    </row>
    <row r="4708" spans="2:13" x14ac:dyDescent="0.25">
      <c r="B4708" s="31" t="s">
        <v>26303</v>
      </c>
      <c r="C4708" s="20"/>
      <c r="D4708" s="25" t="s">
        <v>26232</v>
      </c>
      <c r="E4708" s="20" t="s">
        <v>26300</v>
      </c>
      <c r="F4708" s="9" t="str">
        <f t="shared" si="66"/>
        <v>structure with developmental contribution from neural crest</v>
      </c>
      <c r="G4708" s="9" t="s">
        <v>5090</v>
      </c>
      <c r="H4708" s="9" t="s">
        <v>17419</v>
      </c>
      <c r="I4708" s="9" t="s">
        <v>8731</v>
      </c>
      <c r="J4708" s="9" t="s">
        <v>8732</v>
      </c>
      <c r="K4708" s="5" t="s">
        <v>15173</v>
      </c>
      <c r="L4708" s="13">
        <v>111220644</v>
      </c>
      <c r="M4708" t="str">
        <f>VLOOKUP(L4708,[1]DevMouse!$B$2:$C$2693,2,FALSE)</f>
        <v>r1Bm</v>
      </c>
    </row>
    <row r="4709" spans="2:13" x14ac:dyDescent="0.25">
      <c r="B4709" s="36"/>
      <c r="C4709" s="20"/>
      <c r="D4709" s="25" t="s">
        <v>26232</v>
      </c>
      <c r="E4709" s="25"/>
      <c r="F4709" s="9" t="str">
        <f t="shared" si="66"/>
        <v>structure with developmental contribution from neural crest</v>
      </c>
      <c r="G4709" s="9" t="s">
        <v>5090</v>
      </c>
      <c r="H4709" s="9" t="s">
        <v>17488</v>
      </c>
      <c r="I4709" s="9" t="s">
        <v>8733</v>
      </c>
      <c r="J4709" s="9" t="s">
        <v>8734</v>
      </c>
      <c r="K4709" s="5" t="s">
        <v>15173</v>
      </c>
      <c r="L4709" s="13">
        <v>111220646</v>
      </c>
      <c r="M4709" t="str">
        <f>VLOOKUP(L4709,[1]DevMouse!$B$2:$C$2693,2,FALSE)</f>
        <v>r2Av</v>
      </c>
    </row>
    <row r="4710" spans="2:13" x14ac:dyDescent="0.25">
      <c r="B4710" s="31" t="s">
        <v>26303</v>
      </c>
      <c r="C4710" s="20"/>
      <c r="D4710" s="25" t="s">
        <v>26232</v>
      </c>
      <c r="E4710" s="20" t="s">
        <v>26300</v>
      </c>
      <c r="F4710" s="9" t="str">
        <f t="shared" si="66"/>
        <v>structure with developmental contribution from neural crest</v>
      </c>
      <c r="G4710" s="9" t="s">
        <v>5090</v>
      </c>
      <c r="H4710" s="9" t="s">
        <v>17489</v>
      </c>
      <c r="I4710" s="9" t="s">
        <v>8735</v>
      </c>
      <c r="J4710" s="9" t="s">
        <v>8736</v>
      </c>
      <c r="K4710" s="5" t="s">
        <v>15173</v>
      </c>
      <c r="L4710" s="13">
        <v>111220648</v>
      </c>
      <c r="M4710" t="str">
        <f>VLOOKUP(L4710,[1]DevMouse!$B$2:$C$2693,2,FALSE)</f>
        <v>r2Am</v>
      </c>
    </row>
    <row r="4711" spans="2:13" x14ac:dyDescent="0.25">
      <c r="B4711" s="36"/>
      <c r="C4711" s="20"/>
      <c r="D4711" s="25" t="s">
        <v>26232</v>
      </c>
      <c r="E4711" s="20" t="s">
        <v>26300</v>
      </c>
      <c r="F4711" s="9" t="str">
        <f t="shared" si="66"/>
        <v>structure with developmental contribution from neural crest</v>
      </c>
      <c r="G4711" s="9" t="s">
        <v>5090</v>
      </c>
      <c r="H4711" s="9" t="s">
        <v>17493</v>
      </c>
      <c r="I4711" s="9" t="s">
        <v>8737</v>
      </c>
      <c r="J4711" s="9" t="s">
        <v>8738</v>
      </c>
      <c r="K4711" s="5" t="s">
        <v>15173</v>
      </c>
      <c r="L4711" s="13">
        <v>111220650</v>
      </c>
      <c r="M4711" t="str">
        <f>VLOOKUP(L4711,[1]DevMouse!$B$2:$C$2693,2,FALSE)</f>
        <v>r2Cop</v>
      </c>
    </row>
    <row r="4712" spans="2:13" x14ac:dyDescent="0.25">
      <c r="B4712" s="36"/>
      <c r="C4712" s="20"/>
      <c r="D4712" s="25" t="s">
        <v>26232</v>
      </c>
      <c r="E4712" s="25"/>
      <c r="F4712" s="9" t="str">
        <f t="shared" si="66"/>
        <v>structure with developmental contribution from neural crest</v>
      </c>
      <c r="G4712" s="9" t="s">
        <v>5090</v>
      </c>
      <c r="H4712" s="9" t="s">
        <v>17495</v>
      </c>
      <c r="I4712" s="9" t="s">
        <v>8739</v>
      </c>
      <c r="J4712" s="9" t="s">
        <v>8740</v>
      </c>
      <c r="K4712" s="5" t="s">
        <v>15173</v>
      </c>
      <c r="L4712" s="13">
        <v>111220652</v>
      </c>
      <c r="M4712" t="str">
        <f>VLOOKUP(L4712,[1]DevMouse!$B$2:$C$2693,2,FALSE)</f>
        <v>r2Coi</v>
      </c>
    </row>
    <row r="4713" spans="2:13" x14ac:dyDescent="0.25">
      <c r="B4713" s="36"/>
      <c r="C4713" s="20"/>
      <c r="D4713" s="25" t="s">
        <v>26232</v>
      </c>
      <c r="E4713" s="25"/>
      <c r="F4713" s="9" t="str">
        <f t="shared" si="66"/>
        <v>structure with developmental contribution from neural crest</v>
      </c>
      <c r="G4713" s="9" t="s">
        <v>5090</v>
      </c>
      <c r="H4713" s="9" t="s">
        <v>17496</v>
      </c>
      <c r="I4713" s="9" t="s">
        <v>8741</v>
      </c>
      <c r="J4713" s="9" t="s">
        <v>8742</v>
      </c>
      <c r="K4713" s="5" t="s">
        <v>15173</v>
      </c>
      <c r="L4713" s="13">
        <v>111220654</v>
      </c>
      <c r="M4713" t="str">
        <f>VLOOKUP(L4713,[1]DevMouse!$B$2:$C$2693,2,FALSE)</f>
        <v>r2Cos</v>
      </c>
    </row>
    <row r="4714" spans="2:13" x14ac:dyDescent="0.25">
      <c r="B4714" s="36"/>
      <c r="C4714" s="20"/>
      <c r="D4714" s="25" t="s">
        <v>26232</v>
      </c>
      <c r="E4714" s="20" t="s">
        <v>26300</v>
      </c>
      <c r="F4714" s="9" t="str">
        <f t="shared" si="66"/>
        <v>structure with developmental contribution from neural crest</v>
      </c>
      <c r="G4714" s="9" t="s">
        <v>5090</v>
      </c>
      <c r="H4714" s="9" t="s">
        <v>17501</v>
      </c>
      <c r="I4714" s="9" t="s">
        <v>8743</v>
      </c>
      <c r="J4714" s="9" t="s">
        <v>8744</v>
      </c>
      <c r="K4714" s="5" t="s">
        <v>15173</v>
      </c>
      <c r="L4714" s="13">
        <v>111220656</v>
      </c>
      <c r="M4714" t="str">
        <f>VLOOKUP(L4714,[1]DevMouse!$B$2:$C$2693,2,FALSE)</f>
        <v>r2Vep</v>
      </c>
    </row>
    <row r="4715" spans="2:13" x14ac:dyDescent="0.25">
      <c r="B4715" s="36"/>
      <c r="C4715" s="20"/>
      <c r="D4715" s="25" t="s">
        <v>26232</v>
      </c>
      <c r="E4715" s="25"/>
      <c r="F4715" s="9" t="str">
        <f t="shared" si="66"/>
        <v>structure with developmental contribution from neural crest</v>
      </c>
      <c r="G4715" s="9" t="s">
        <v>5090</v>
      </c>
      <c r="H4715" s="9" t="s">
        <v>17503</v>
      </c>
      <c r="I4715" s="9" t="s">
        <v>8745</v>
      </c>
      <c r="J4715" s="9" t="s">
        <v>8746</v>
      </c>
      <c r="K4715" s="5" t="s">
        <v>15173</v>
      </c>
      <c r="L4715" s="13">
        <v>111220658</v>
      </c>
      <c r="M4715" t="str">
        <f>VLOOKUP(L4715,[1]DevMouse!$B$2:$C$2693,2,FALSE)</f>
        <v>r2Vei</v>
      </c>
    </row>
    <row r="4716" spans="2:13" x14ac:dyDescent="0.25">
      <c r="B4716" s="36"/>
      <c r="C4716" s="20"/>
      <c r="D4716" s="25" t="s">
        <v>26232</v>
      </c>
      <c r="E4716" s="25"/>
      <c r="F4716" s="9" t="str">
        <f t="shared" si="66"/>
        <v>structure with developmental contribution from neural crest</v>
      </c>
      <c r="G4716" s="9" t="s">
        <v>5090</v>
      </c>
      <c r="H4716" s="9" t="s">
        <v>17505</v>
      </c>
      <c r="I4716" s="9" t="s">
        <v>8747</v>
      </c>
      <c r="J4716" s="9" t="s">
        <v>8748</v>
      </c>
      <c r="K4716" s="5" t="s">
        <v>15173</v>
      </c>
      <c r="L4716" s="13">
        <v>111220660</v>
      </c>
      <c r="M4716" t="str">
        <f>VLOOKUP(L4716,[1]DevMouse!$B$2:$C$2693,2,FALSE)</f>
        <v>r2Ves</v>
      </c>
    </row>
    <row r="4717" spans="2:13" x14ac:dyDescent="0.25">
      <c r="B4717" s="36"/>
      <c r="C4717" s="20"/>
      <c r="D4717" s="25" t="s">
        <v>26232</v>
      </c>
      <c r="E4717" s="20" t="s">
        <v>26300</v>
      </c>
      <c r="F4717" s="9" t="str">
        <f t="shared" si="66"/>
        <v>structure with developmental contribution from neural crest</v>
      </c>
      <c r="G4717" s="9" t="s">
        <v>5090</v>
      </c>
      <c r="H4717" s="9" t="s">
        <v>17509</v>
      </c>
      <c r="I4717" s="9" t="s">
        <v>8749</v>
      </c>
      <c r="J4717" s="9" t="s">
        <v>8750</v>
      </c>
      <c r="K4717" s="5" t="s">
        <v>15173</v>
      </c>
      <c r="L4717" s="13">
        <v>111220662</v>
      </c>
      <c r="M4717" t="str">
        <f>VLOOKUP(L4717,[1]DevMouse!$B$2:$C$2693,2,FALSE)</f>
        <v>r2Trp</v>
      </c>
    </row>
    <row r="4718" spans="2:13" x14ac:dyDescent="0.25">
      <c r="B4718" s="36"/>
      <c r="C4718" s="20"/>
      <c r="D4718" s="25" t="s">
        <v>26232</v>
      </c>
      <c r="E4718" s="25"/>
      <c r="F4718" s="9" t="str">
        <f t="shared" si="66"/>
        <v>structure with developmental contribution from neural crest</v>
      </c>
      <c r="G4718" s="9" t="s">
        <v>5090</v>
      </c>
      <c r="H4718" s="9" t="s">
        <v>17510</v>
      </c>
      <c r="I4718" s="9" t="s">
        <v>8751</v>
      </c>
      <c r="J4718" s="9" t="s">
        <v>8752</v>
      </c>
      <c r="K4718" s="5" t="s">
        <v>15173</v>
      </c>
      <c r="L4718" s="13">
        <v>111220664</v>
      </c>
      <c r="M4718" t="str">
        <f>VLOOKUP(L4718,[1]DevMouse!$B$2:$C$2693,2,FALSE)</f>
        <v>r2Tri</v>
      </c>
    </row>
    <row r="4719" spans="2:13" x14ac:dyDescent="0.25">
      <c r="B4719" s="36"/>
      <c r="C4719" s="20"/>
      <c r="D4719" s="25" t="s">
        <v>26232</v>
      </c>
      <c r="E4719" s="25"/>
      <c r="F4719" s="9" t="str">
        <f t="shared" si="66"/>
        <v>structure with developmental contribution from neural crest</v>
      </c>
      <c r="G4719" s="9" t="s">
        <v>5090</v>
      </c>
      <c r="H4719" s="9" t="s">
        <v>17513</v>
      </c>
      <c r="I4719" s="9" t="s">
        <v>8753</v>
      </c>
      <c r="J4719" s="9" t="s">
        <v>8754</v>
      </c>
      <c r="K4719" s="5" t="s">
        <v>15173</v>
      </c>
      <c r="L4719" s="13">
        <v>111220666</v>
      </c>
      <c r="M4719" t="str">
        <f>VLOOKUP(L4719,[1]DevMouse!$B$2:$C$2693,2,FALSE)</f>
        <v>r2Trs</v>
      </c>
    </row>
    <row r="4720" spans="2:13" x14ac:dyDescent="0.25">
      <c r="B4720" s="36"/>
      <c r="C4720" s="20"/>
      <c r="D4720" s="25" t="s">
        <v>26232</v>
      </c>
      <c r="E4720" s="20" t="s">
        <v>26300</v>
      </c>
      <c r="F4720" s="9" t="str">
        <f t="shared" si="66"/>
        <v>structure with developmental contribution from neural crest</v>
      </c>
      <c r="G4720" s="9" t="s">
        <v>5090</v>
      </c>
      <c r="H4720" s="9" t="s">
        <v>17518</v>
      </c>
      <c r="I4720" s="9" t="s">
        <v>8755</v>
      </c>
      <c r="J4720" s="9" t="s">
        <v>8756</v>
      </c>
      <c r="K4720" s="5" t="s">
        <v>15173</v>
      </c>
      <c r="L4720" s="13">
        <v>111220668</v>
      </c>
      <c r="M4720" t="str">
        <f>VLOOKUP(L4720,[1]DevMouse!$B$2:$C$2693,2,FALSE)</f>
        <v>r2Limp</v>
      </c>
    </row>
    <row r="4721" spans="2:13" x14ac:dyDescent="0.25">
      <c r="B4721" s="36"/>
      <c r="C4721" s="20"/>
      <c r="D4721" s="25" t="s">
        <v>26232</v>
      </c>
      <c r="E4721" s="25"/>
      <c r="F4721" s="9" t="str">
        <f t="shared" si="66"/>
        <v>structure with developmental contribution from neural crest</v>
      </c>
      <c r="G4721" s="9" t="s">
        <v>5090</v>
      </c>
      <c r="H4721" s="9" t="s">
        <v>17520</v>
      </c>
      <c r="I4721" s="9" t="s">
        <v>8757</v>
      </c>
      <c r="J4721" s="9" t="s">
        <v>8758</v>
      </c>
      <c r="K4721" s="5" t="s">
        <v>15173</v>
      </c>
      <c r="L4721" s="13">
        <v>111220670</v>
      </c>
      <c r="M4721" t="str">
        <f>VLOOKUP(L4721,[1]DevMouse!$B$2:$C$2693,2,FALSE)</f>
        <v>r2Limi</v>
      </c>
    </row>
    <row r="4722" spans="2:13" x14ac:dyDescent="0.25">
      <c r="B4722" s="36"/>
      <c r="C4722" s="20"/>
      <c r="D4722" s="25" t="s">
        <v>26232</v>
      </c>
      <c r="E4722" s="25"/>
      <c r="F4722" s="9" t="str">
        <f t="shared" si="66"/>
        <v>structure with developmental contribution from neural crest</v>
      </c>
      <c r="G4722" s="9" t="s">
        <v>5090</v>
      </c>
      <c r="H4722" s="9" t="s">
        <v>17522</v>
      </c>
      <c r="I4722" s="9" t="s">
        <v>8759</v>
      </c>
      <c r="J4722" s="9" t="s">
        <v>8760</v>
      </c>
      <c r="K4722" s="5" t="s">
        <v>15173</v>
      </c>
      <c r="L4722" s="13">
        <v>111220672</v>
      </c>
      <c r="M4722" t="str">
        <f>VLOOKUP(L4722,[1]DevMouse!$B$2:$C$2693,2,FALSE)</f>
        <v>r2Lims</v>
      </c>
    </row>
    <row r="4723" spans="2:13" x14ac:dyDescent="0.25">
      <c r="B4723" s="36"/>
      <c r="C4723" s="20"/>
      <c r="D4723" s="25" t="s">
        <v>26232</v>
      </c>
      <c r="E4723" s="25"/>
      <c r="F4723" s="9" t="str">
        <f t="shared" si="66"/>
        <v>structure with developmental contribution from neural crest</v>
      </c>
      <c r="G4723" s="9" t="s">
        <v>5090</v>
      </c>
      <c r="H4723" s="9" t="s">
        <v>17530</v>
      </c>
      <c r="I4723" s="9" t="s">
        <v>8761</v>
      </c>
      <c r="J4723" s="9" t="s">
        <v>8762</v>
      </c>
      <c r="K4723" s="5" t="s">
        <v>15173</v>
      </c>
      <c r="L4723" s="13">
        <v>111220674</v>
      </c>
      <c r="M4723" t="str">
        <f>VLOOKUP(L4723,[1]DevMouse!$B$2:$C$2693,2,FALSE)</f>
        <v>r2Bv</v>
      </c>
    </row>
    <row r="4724" spans="2:13" x14ac:dyDescent="0.25">
      <c r="B4724" s="31" t="s">
        <v>26303</v>
      </c>
      <c r="C4724" s="20"/>
      <c r="D4724" s="25" t="s">
        <v>26232</v>
      </c>
      <c r="E4724" s="20" t="s">
        <v>26300</v>
      </c>
      <c r="F4724" s="9" t="str">
        <f t="shared" si="66"/>
        <v>structure with developmental contribution from neural crest</v>
      </c>
      <c r="G4724" s="9" t="s">
        <v>5090</v>
      </c>
      <c r="H4724" s="9" t="s">
        <v>17531</v>
      </c>
      <c r="I4724" s="9" t="s">
        <v>8763</v>
      </c>
      <c r="J4724" s="9" t="s">
        <v>8764</v>
      </c>
      <c r="K4724" s="5" t="s">
        <v>15173</v>
      </c>
      <c r="L4724" s="13">
        <v>111220676</v>
      </c>
      <c r="M4724" t="str">
        <f>VLOOKUP(L4724,[1]DevMouse!$B$2:$C$2693,2,FALSE)</f>
        <v>r2Bm</v>
      </c>
    </row>
    <row r="4725" spans="2:13" x14ac:dyDescent="0.25">
      <c r="B4725" s="36"/>
      <c r="C4725" s="20"/>
      <c r="D4725" s="25" t="s">
        <v>26232</v>
      </c>
      <c r="E4725" s="25"/>
      <c r="F4725" s="9" t="str">
        <f t="shared" si="66"/>
        <v>structure with developmental contribution from neural crest</v>
      </c>
      <c r="G4725" s="9" t="s">
        <v>5090</v>
      </c>
      <c r="H4725" s="9" t="s">
        <v>17581</v>
      </c>
      <c r="I4725" s="9" t="s">
        <v>8765</v>
      </c>
      <c r="J4725" s="9" t="s">
        <v>8766</v>
      </c>
      <c r="K4725" s="5" t="s">
        <v>15173</v>
      </c>
      <c r="L4725" s="13">
        <v>111220678</v>
      </c>
      <c r="M4725" t="str">
        <f>VLOOKUP(L4725,[1]DevMouse!$B$2:$C$2693,2,FALSE)</f>
        <v>r3Av</v>
      </c>
    </row>
    <row r="4726" spans="2:13" x14ac:dyDescent="0.25">
      <c r="B4726" s="31" t="s">
        <v>26303</v>
      </c>
      <c r="C4726" s="20"/>
      <c r="D4726" s="25" t="s">
        <v>26232</v>
      </c>
      <c r="E4726" s="20" t="s">
        <v>26300</v>
      </c>
      <c r="F4726" s="9" t="str">
        <f t="shared" si="66"/>
        <v>structure with developmental contribution from neural crest</v>
      </c>
      <c r="G4726" s="9" t="s">
        <v>5090</v>
      </c>
      <c r="H4726" s="9" t="s">
        <v>17582</v>
      </c>
      <c r="I4726" s="9" t="s">
        <v>8767</v>
      </c>
      <c r="J4726" s="9" t="s">
        <v>8768</v>
      </c>
      <c r="K4726" s="5" t="s">
        <v>15173</v>
      </c>
      <c r="L4726" s="13">
        <v>111220680</v>
      </c>
      <c r="M4726" t="str">
        <f>VLOOKUP(L4726,[1]DevMouse!$B$2:$C$2693,2,FALSE)</f>
        <v>r3Am</v>
      </c>
    </row>
    <row r="4727" spans="2:13" x14ac:dyDescent="0.25">
      <c r="B4727" s="36"/>
      <c r="C4727" s="20"/>
      <c r="D4727" s="25" t="s">
        <v>26232</v>
      </c>
      <c r="E4727" s="20" t="s">
        <v>26300</v>
      </c>
      <c r="F4727" s="9" t="str">
        <f t="shared" ref="F4727:F4790" si="67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4727" s="9" t="s">
        <v>5090</v>
      </c>
      <c r="H4727" s="9" t="s">
        <v>17586</v>
      </c>
      <c r="I4727" s="9" t="s">
        <v>8769</v>
      </c>
      <c r="J4727" s="9" t="s">
        <v>8770</v>
      </c>
      <c r="K4727" s="5" t="s">
        <v>15173</v>
      </c>
      <c r="L4727" s="13">
        <v>111220682</v>
      </c>
      <c r="M4727" t="str">
        <f>VLOOKUP(L4727,[1]DevMouse!$B$2:$C$2693,2,FALSE)</f>
        <v>r3Cop</v>
      </c>
    </row>
    <row r="4728" spans="2:13" x14ac:dyDescent="0.25">
      <c r="B4728" s="36"/>
      <c r="C4728" s="20"/>
      <c r="D4728" s="25" t="s">
        <v>26232</v>
      </c>
      <c r="E4728" s="25"/>
      <c r="F4728" s="9" t="str">
        <f t="shared" si="67"/>
        <v>structure with developmental contribution from neural crest</v>
      </c>
      <c r="G4728" s="9" t="s">
        <v>5090</v>
      </c>
      <c r="H4728" s="9" t="s">
        <v>17588</v>
      </c>
      <c r="I4728" s="9" t="s">
        <v>8771</v>
      </c>
      <c r="J4728" s="9" t="s">
        <v>8772</v>
      </c>
      <c r="K4728" s="5" t="s">
        <v>15173</v>
      </c>
      <c r="L4728" s="13">
        <v>111220684</v>
      </c>
      <c r="M4728" t="str">
        <f>VLOOKUP(L4728,[1]DevMouse!$B$2:$C$2693,2,FALSE)</f>
        <v>r3Coi</v>
      </c>
    </row>
    <row r="4729" spans="2:13" x14ac:dyDescent="0.25">
      <c r="B4729" s="36"/>
      <c r="C4729" s="20"/>
      <c r="D4729" s="25" t="s">
        <v>26232</v>
      </c>
      <c r="E4729" s="25"/>
      <c r="F4729" s="9" t="str">
        <f t="shared" si="67"/>
        <v>structure with developmental contribution from neural crest</v>
      </c>
      <c r="G4729" s="9" t="s">
        <v>5090</v>
      </c>
      <c r="H4729" s="9" t="s">
        <v>17589</v>
      </c>
      <c r="I4729" s="9" t="s">
        <v>8773</v>
      </c>
      <c r="J4729" s="9" t="s">
        <v>8774</v>
      </c>
      <c r="K4729" s="5" t="s">
        <v>15173</v>
      </c>
      <c r="L4729" s="13">
        <v>111220686</v>
      </c>
      <c r="M4729" t="str">
        <f>VLOOKUP(L4729,[1]DevMouse!$B$2:$C$2693,2,FALSE)</f>
        <v>r3Cos</v>
      </c>
    </row>
    <row r="4730" spans="2:13" x14ac:dyDescent="0.25">
      <c r="B4730" s="36"/>
      <c r="C4730" s="20"/>
      <c r="D4730" s="25" t="s">
        <v>26232</v>
      </c>
      <c r="E4730" s="20" t="s">
        <v>26300</v>
      </c>
      <c r="F4730" s="9" t="str">
        <f t="shared" si="67"/>
        <v>structure with developmental contribution from neural crest</v>
      </c>
      <c r="G4730" s="9" t="s">
        <v>5090</v>
      </c>
      <c r="H4730" s="9" t="s">
        <v>17594</v>
      </c>
      <c r="I4730" s="9" t="s">
        <v>8775</v>
      </c>
      <c r="J4730" s="9" t="s">
        <v>8776</v>
      </c>
      <c r="K4730" s="5" t="s">
        <v>15173</v>
      </c>
      <c r="L4730" s="13">
        <v>111220688</v>
      </c>
      <c r="M4730" t="str">
        <f>VLOOKUP(L4730,[1]DevMouse!$B$2:$C$2693,2,FALSE)</f>
        <v>r3Vep</v>
      </c>
    </row>
    <row r="4731" spans="2:13" x14ac:dyDescent="0.25">
      <c r="B4731" s="36"/>
      <c r="C4731" s="20"/>
      <c r="D4731" s="25" t="s">
        <v>26232</v>
      </c>
      <c r="E4731" s="25"/>
      <c r="F4731" s="9" t="str">
        <f t="shared" si="67"/>
        <v>structure with developmental contribution from neural crest</v>
      </c>
      <c r="G4731" s="9" t="s">
        <v>5090</v>
      </c>
      <c r="H4731" s="9" t="s">
        <v>17596</v>
      </c>
      <c r="I4731" s="9" t="s">
        <v>8777</v>
      </c>
      <c r="J4731" s="9" t="s">
        <v>8778</v>
      </c>
      <c r="K4731" s="5" t="s">
        <v>15173</v>
      </c>
      <c r="L4731" s="13">
        <v>111220690</v>
      </c>
      <c r="M4731" t="str">
        <f>VLOOKUP(L4731,[1]DevMouse!$B$2:$C$2693,2,FALSE)</f>
        <v>r3Vei</v>
      </c>
    </row>
    <row r="4732" spans="2:13" x14ac:dyDescent="0.25">
      <c r="B4732" s="36"/>
      <c r="C4732" s="20"/>
      <c r="D4732" s="25" t="s">
        <v>26232</v>
      </c>
      <c r="E4732" s="25"/>
      <c r="F4732" s="9" t="str">
        <f t="shared" si="67"/>
        <v>structure with developmental contribution from neural crest</v>
      </c>
      <c r="G4732" s="9" t="s">
        <v>5090</v>
      </c>
      <c r="H4732" s="9" t="s">
        <v>17598</v>
      </c>
      <c r="I4732" s="9" t="s">
        <v>8779</v>
      </c>
      <c r="J4732" s="9" t="s">
        <v>8780</v>
      </c>
      <c r="K4732" s="5" t="s">
        <v>15173</v>
      </c>
      <c r="L4732" s="13">
        <v>111220692</v>
      </c>
      <c r="M4732" t="str">
        <f>VLOOKUP(L4732,[1]DevMouse!$B$2:$C$2693,2,FALSE)</f>
        <v>r3Ves</v>
      </c>
    </row>
    <row r="4733" spans="2:13" x14ac:dyDescent="0.25">
      <c r="B4733" s="36"/>
      <c r="C4733" s="20"/>
      <c r="D4733" s="25" t="s">
        <v>26232</v>
      </c>
      <c r="E4733" s="20" t="s">
        <v>26300</v>
      </c>
      <c r="F4733" s="9" t="str">
        <f t="shared" si="67"/>
        <v>structure with developmental contribution from neural crest</v>
      </c>
      <c r="G4733" s="9" t="s">
        <v>5090</v>
      </c>
      <c r="H4733" s="9" t="s">
        <v>17603</v>
      </c>
      <c r="I4733" s="9" t="s">
        <v>8781</v>
      </c>
      <c r="J4733" s="9" t="s">
        <v>8782</v>
      </c>
      <c r="K4733" s="5" t="s">
        <v>15173</v>
      </c>
      <c r="L4733" s="13">
        <v>111220694</v>
      </c>
      <c r="M4733" t="str">
        <f>VLOOKUP(L4733,[1]DevMouse!$B$2:$C$2693,2,FALSE)</f>
        <v>r3Trp</v>
      </c>
    </row>
    <row r="4734" spans="2:13" x14ac:dyDescent="0.25">
      <c r="B4734" s="36"/>
      <c r="C4734" s="20"/>
      <c r="D4734" s="25" t="s">
        <v>26232</v>
      </c>
      <c r="E4734" s="25"/>
      <c r="F4734" s="9" t="str">
        <f t="shared" si="67"/>
        <v>structure with developmental contribution from neural crest</v>
      </c>
      <c r="G4734" s="9" t="s">
        <v>5090</v>
      </c>
      <c r="H4734" s="9" t="s">
        <v>17604</v>
      </c>
      <c r="I4734" s="9" t="s">
        <v>8783</v>
      </c>
      <c r="J4734" s="9" t="s">
        <v>8784</v>
      </c>
      <c r="K4734" s="5" t="s">
        <v>15173</v>
      </c>
      <c r="L4734" s="13">
        <v>111220696</v>
      </c>
      <c r="M4734" t="str">
        <f>VLOOKUP(L4734,[1]DevMouse!$B$2:$C$2693,2,FALSE)</f>
        <v>r3Tri</v>
      </c>
    </row>
    <row r="4735" spans="2:13" x14ac:dyDescent="0.25">
      <c r="B4735" s="36"/>
      <c r="C4735" s="20"/>
      <c r="D4735" s="25" t="s">
        <v>26232</v>
      </c>
      <c r="E4735" s="25"/>
      <c r="F4735" s="9" t="str">
        <f t="shared" si="67"/>
        <v>structure with developmental contribution from neural crest</v>
      </c>
      <c r="G4735" s="9" t="s">
        <v>5090</v>
      </c>
      <c r="H4735" s="9" t="s">
        <v>17607</v>
      </c>
      <c r="I4735" s="9" t="s">
        <v>8785</v>
      </c>
      <c r="J4735" s="9" t="s">
        <v>8786</v>
      </c>
      <c r="K4735" s="5" t="s">
        <v>15173</v>
      </c>
      <c r="L4735" s="13">
        <v>111220698</v>
      </c>
      <c r="M4735" t="str">
        <f>VLOOKUP(L4735,[1]DevMouse!$B$2:$C$2693,2,FALSE)</f>
        <v>r3Trs</v>
      </c>
    </row>
    <row r="4736" spans="2:13" x14ac:dyDescent="0.25">
      <c r="B4736" s="36"/>
      <c r="C4736" s="20"/>
      <c r="D4736" s="25" t="s">
        <v>26232</v>
      </c>
      <c r="E4736" s="20" t="s">
        <v>26300</v>
      </c>
      <c r="F4736" s="9" t="str">
        <f t="shared" si="67"/>
        <v>structure with developmental contribution from neural crest</v>
      </c>
      <c r="G4736" s="9" t="s">
        <v>5090</v>
      </c>
      <c r="H4736" s="9" t="s">
        <v>17612</v>
      </c>
      <c r="I4736" s="9" t="s">
        <v>8787</v>
      </c>
      <c r="J4736" s="9" t="s">
        <v>8788</v>
      </c>
      <c r="K4736" s="5" t="s">
        <v>15173</v>
      </c>
      <c r="L4736" s="13">
        <v>111220700</v>
      </c>
      <c r="M4736" t="str">
        <f>VLOOKUP(L4736,[1]DevMouse!$B$2:$C$2693,2,FALSE)</f>
        <v>r3Limp</v>
      </c>
    </row>
    <row r="4737" spans="2:13" x14ac:dyDescent="0.25">
      <c r="B4737" s="36"/>
      <c r="C4737" s="20"/>
      <c r="D4737" s="25" t="s">
        <v>26232</v>
      </c>
      <c r="E4737" s="25"/>
      <c r="F4737" s="9" t="str">
        <f t="shared" si="67"/>
        <v>structure with developmental contribution from neural crest</v>
      </c>
      <c r="G4737" s="9" t="s">
        <v>5090</v>
      </c>
      <c r="H4737" s="9" t="s">
        <v>17614</v>
      </c>
      <c r="I4737" s="9" t="s">
        <v>8789</v>
      </c>
      <c r="J4737" s="9" t="s">
        <v>8790</v>
      </c>
      <c r="K4737" s="5" t="s">
        <v>15173</v>
      </c>
      <c r="L4737" s="13">
        <v>111220702</v>
      </c>
      <c r="M4737" t="str">
        <f>VLOOKUP(L4737,[1]DevMouse!$B$2:$C$2693,2,FALSE)</f>
        <v>r3Limi</v>
      </c>
    </row>
    <row r="4738" spans="2:13" x14ac:dyDescent="0.25">
      <c r="B4738" s="36"/>
      <c r="C4738" s="20"/>
      <c r="D4738" s="25" t="s">
        <v>26232</v>
      </c>
      <c r="E4738" s="25"/>
      <c r="F4738" s="9" t="str">
        <f t="shared" si="67"/>
        <v>structure with developmental contribution from neural crest</v>
      </c>
      <c r="G4738" s="9" t="s">
        <v>5090</v>
      </c>
      <c r="H4738" s="9" t="s">
        <v>17616</v>
      </c>
      <c r="I4738" s="9" t="s">
        <v>8791</v>
      </c>
      <c r="J4738" s="9" t="s">
        <v>8792</v>
      </c>
      <c r="K4738" s="5" t="s">
        <v>15173</v>
      </c>
      <c r="L4738" s="13">
        <v>111220704</v>
      </c>
      <c r="M4738" t="str">
        <f>VLOOKUP(L4738,[1]DevMouse!$B$2:$C$2693,2,FALSE)</f>
        <v>r3Lims</v>
      </c>
    </row>
    <row r="4739" spans="2:13" x14ac:dyDescent="0.25">
      <c r="B4739" s="36"/>
      <c r="C4739" s="20"/>
      <c r="D4739" s="25" t="s">
        <v>26232</v>
      </c>
      <c r="E4739" s="25"/>
      <c r="F4739" s="9" t="str">
        <f t="shared" si="67"/>
        <v>structure with developmental contribution from neural crest</v>
      </c>
      <c r="G4739" s="9" t="s">
        <v>5090</v>
      </c>
      <c r="H4739" s="9" t="s">
        <v>17620</v>
      </c>
      <c r="I4739" s="9" t="s">
        <v>8793</v>
      </c>
      <c r="J4739" s="9" t="s">
        <v>8794</v>
      </c>
      <c r="K4739" s="5" t="s">
        <v>15173</v>
      </c>
      <c r="L4739" s="13">
        <v>111220706</v>
      </c>
      <c r="M4739" t="str">
        <f>VLOOKUP(L4739,[1]DevMouse!$B$2:$C$2693,2,FALSE)</f>
        <v>r3Bv</v>
      </c>
    </row>
    <row r="4740" spans="2:13" x14ac:dyDescent="0.25">
      <c r="B4740" s="31" t="s">
        <v>26303</v>
      </c>
      <c r="C4740" s="20"/>
      <c r="D4740" s="25" t="s">
        <v>26232</v>
      </c>
      <c r="E4740" s="20" t="s">
        <v>26300</v>
      </c>
      <c r="F4740" s="9" t="str">
        <f t="shared" si="67"/>
        <v>structure with developmental contribution from neural crest</v>
      </c>
      <c r="G4740" s="9" t="s">
        <v>5090</v>
      </c>
      <c r="H4740" s="9" t="s">
        <v>17621</v>
      </c>
      <c r="I4740" s="9" t="s">
        <v>8795</v>
      </c>
      <c r="J4740" s="9" t="s">
        <v>8796</v>
      </c>
      <c r="K4740" s="5" t="s">
        <v>15173</v>
      </c>
      <c r="L4740" s="13">
        <v>111220708</v>
      </c>
      <c r="M4740" t="str">
        <f>VLOOKUP(L4740,[1]DevMouse!$B$2:$C$2693,2,FALSE)</f>
        <v>r3Bm</v>
      </c>
    </row>
    <row r="4741" spans="2:13" x14ac:dyDescent="0.25">
      <c r="B4741" s="36"/>
      <c r="C4741" s="20"/>
      <c r="D4741" s="25" t="s">
        <v>26232</v>
      </c>
      <c r="E4741" s="25"/>
      <c r="F4741" s="9" t="str">
        <f t="shared" si="67"/>
        <v>structure with developmental contribution from neural crest</v>
      </c>
      <c r="G4741" s="9" t="s">
        <v>5090</v>
      </c>
      <c r="H4741" s="9" t="s">
        <v>17666</v>
      </c>
      <c r="I4741" s="9" t="s">
        <v>8797</v>
      </c>
      <c r="J4741" s="9" t="s">
        <v>8798</v>
      </c>
      <c r="K4741" s="5" t="s">
        <v>15173</v>
      </c>
      <c r="L4741" s="13">
        <v>111220710</v>
      </c>
      <c r="M4741" t="str">
        <f>VLOOKUP(L4741,[1]DevMouse!$B$2:$C$2693,2,FALSE)</f>
        <v>r4Av</v>
      </c>
    </row>
    <row r="4742" spans="2:13" x14ac:dyDescent="0.25">
      <c r="B4742" s="31" t="s">
        <v>26303</v>
      </c>
      <c r="C4742" s="20"/>
      <c r="D4742" s="25" t="s">
        <v>26232</v>
      </c>
      <c r="E4742" s="20" t="s">
        <v>26300</v>
      </c>
      <c r="F4742" s="9" t="str">
        <f t="shared" si="67"/>
        <v>structure with developmental contribution from neural crest</v>
      </c>
      <c r="G4742" s="9" t="s">
        <v>5090</v>
      </c>
      <c r="H4742" s="9" t="s">
        <v>17667</v>
      </c>
      <c r="I4742" s="9" t="s">
        <v>8799</v>
      </c>
      <c r="J4742" s="9" t="s">
        <v>8800</v>
      </c>
      <c r="K4742" s="5" t="s">
        <v>15173</v>
      </c>
      <c r="L4742" s="13">
        <v>111220712</v>
      </c>
      <c r="M4742" t="str">
        <f>VLOOKUP(L4742,[1]DevMouse!$B$2:$C$2693,2,FALSE)</f>
        <v>r4Am</v>
      </c>
    </row>
    <row r="4743" spans="2:13" x14ac:dyDescent="0.25">
      <c r="B4743" s="36"/>
      <c r="C4743" s="20"/>
      <c r="D4743" s="25" t="s">
        <v>26232</v>
      </c>
      <c r="E4743" s="20" t="s">
        <v>26300</v>
      </c>
      <c r="F4743" s="9" t="str">
        <f t="shared" si="67"/>
        <v>structure with developmental contribution from neural crest</v>
      </c>
      <c r="G4743" s="9" t="s">
        <v>5090</v>
      </c>
      <c r="H4743" s="9" t="s">
        <v>17671</v>
      </c>
      <c r="I4743" s="9" t="s">
        <v>8801</v>
      </c>
      <c r="J4743" s="9" t="s">
        <v>8802</v>
      </c>
      <c r="K4743" s="5" t="s">
        <v>15173</v>
      </c>
      <c r="L4743" s="13">
        <v>111220714</v>
      </c>
      <c r="M4743" t="str">
        <f>VLOOKUP(L4743,[1]DevMouse!$B$2:$C$2693,2,FALSE)</f>
        <v>r4Cop</v>
      </c>
    </row>
    <row r="4744" spans="2:13" x14ac:dyDescent="0.25">
      <c r="B4744" s="36"/>
      <c r="C4744" s="20"/>
      <c r="D4744" s="25" t="s">
        <v>26232</v>
      </c>
      <c r="E4744" s="25"/>
      <c r="F4744" s="9" t="str">
        <f t="shared" si="67"/>
        <v>structure with developmental contribution from neural crest</v>
      </c>
      <c r="G4744" s="9" t="s">
        <v>5090</v>
      </c>
      <c r="H4744" s="9" t="s">
        <v>17673</v>
      </c>
      <c r="I4744" s="9" t="s">
        <v>8803</v>
      </c>
      <c r="J4744" s="9" t="s">
        <v>8804</v>
      </c>
      <c r="K4744" s="5" t="s">
        <v>15173</v>
      </c>
      <c r="L4744" s="13">
        <v>111220716</v>
      </c>
      <c r="M4744" t="str">
        <f>VLOOKUP(L4744,[1]DevMouse!$B$2:$C$2693,2,FALSE)</f>
        <v>r4Coi</v>
      </c>
    </row>
    <row r="4745" spans="2:13" x14ac:dyDescent="0.25">
      <c r="B4745" s="36"/>
      <c r="C4745" s="20"/>
      <c r="D4745" s="25" t="s">
        <v>26232</v>
      </c>
      <c r="E4745" s="25"/>
      <c r="F4745" s="9" t="str">
        <f t="shared" si="67"/>
        <v>structure with developmental contribution from neural crest</v>
      </c>
      <c r="G4745" s="9" t="s">
        <v>5090</v>
      </c>
      <c r="H4745" s="9" t="s">
        <v>17674</v>
      </c>
      <c r="I4745" s="9" t="s">
        <v>8805</v>
      </c>
      <c r="J4745" s="9" t="s">
        <v>8806</v>
      </c>
      <c r="K4745" s="5" t="s">
        <v>15173</v>
      </c>
      <c r="L4745" s="13">
        <v>111220718</v>
      </c>
      <c r="M4745" t="str">
        <f>VLOOKUP(L4745,[1]DevMouse!$B$2:$C$2693,2,FALSE)</f>
        <v>r4Cos</v>
      </c>
    </row>
    <row r="4746" spans="2:13" x14ac:dyDescent="0.25">
      <c r="B4746" s="36"/>
      <c r="C4746" s="20"/>
      <c r="D4746" s="25" t="s">
        <v>26232</v>
      </c>
      <c r="E4746" s="20" t="s">
        <v>26300</v>
      </c>
      <c r="F4746" s="9" t="str">
        <f t="shared" si="67"/>
        <v>structure with developmental contribution from neural crest</v>
      </c>
      <c r="G4746" s="9" t="s">
        <v>5090</v>
      </c>
      <c r="H4746" s="9" t="s">
        <v>17679</v>
      </c>
      <c r="I4746" s="9" t="s">
        <v>8807</v>
      </c>
      <c r="J4746" s="9" t="s">
        <v>8808</v>
      </c>
      <c r="K4746" s="5" t="s">
        <v>15173</v>
      </c>
      <c r="L4746" s="13">
        <v>111220720</v>
      </c>
      <c r="M4746" t="str">
        <f>VLOOKUP(L4746,[1]DevMouse!$B$2:$C$2693,2,FALSE)</f>
        <v>r4Vep</v>
      </c>
    </row>
    <row r="4747" spans="2:13" x14ac:dyDescent="0.25">
      <c r="B4747" s="36"/>
      <c r="C4747" s="20"/>
      <c r="D4747" s="25" t="s">
        <v>26232</v>
      </c>
      <c r="E4747" s="25"/>
      <c r="F4747" s="9" t="str">
        <f t="shared" si="67"/>
        <v>structure with developmental contribution from neural crest</v>
      </c>
      <c r="G4747" s="9" t="s">
        <v>5090</v>
      </c>
      <c r="H4747" s="9" t="s">
        <v>17681</v>
      </c>
      <c r="I4747" s="9" t="s">
        <v>8809</v>
      </c>
      <c r="J4747" s="9" t="s">
        <v>8810</v>
      </c>
      <c r="K4747" s="5" t="s">
        <v>15173</v>
      </c>
      <c r="L4747" s="13">
        <v>111220722</v>
      </c>
      <c r="M4747" t="str">
        <f>VLOOKUP(L4747,[1]DevMouse!$B$2:$C$2693,2,FALSE)</f>
        <v>r4Vei</v>
      </c>
    </row>
    <row r="4748" spans="2:13" x14ac:dyDescent="0.25">
      <c r="B4748" s="36"/>
      <c r="C4748" s="20"/>
      <c r="D4748" s="25" t="s">
        <v>26232</v>
      </c>
      <c r="E4748" s="25"/>
      <c r="F4748" s="9" t="str">
        <f t="shared" si="67"/>
        <v>structure with developmental contribution from neural crest</v>
      </c>
      <c r="G4748" s="9" t="s">
        <v>5090</v>
      </c>
      <c r="H4748" s="9" t="s">
        <v>17683</v>
      </c>
      <c r="I4748" s="9" t="s">
        <v>8811</v>
      </c>
      <c r="J4748" s="9" t="s">
        <v>8812</v>
      </c>
      <c r="K4748" s="5" t="s">
        <v>15173</v>
      </c>
      <c r="L4748" s="13">
        <v>111220724</v>
      </c>
      <c r="M4748" t="str">
        <f>VLOOKUP(L4748,[1]DevMouse!$B$2:$C$2693,2,FALSE)</f>
        <v>r4Ves</v>
      </c>
    </row>
    <row r="4749" spans="2:13" x14ac:dyDescent="0.25">
      <c r="B4749" s="36"/>
      <c r="C4749" s="20"/>
      <c r="D4749" s="25" t="s">
        <v>26232</v>
      </c>
      <c r="E4749" s="20" t="s">
        <v>26300</v>
      </c>
      <c r="F4749" s="9" t="str">
        <f t="shared" si="67"/>
        <v>structure with developmental contribution from neural crest</v>
      </c>
      <c r="G4749" s="9" t="s">
        <v>5090</v>
      </c>
      <c r="H4749" s="9" t="s">
        <v>17688</v>
      </c>
      <c r="I4749" s="9" t="s">
        <v>8813</v>
      </c>
      <c r="J4749" s="9" t="s">
        <v>8814</v>
      </c>
      <c r="K4749" s="5" t="s">
        <v>15173</v>
      </c>
      <c r="L4749" s="13">
        <v>111220726</v>
      </c>
      <c r="M4749" t="str">
        <f>VLOOKUP(L4749,[1]DevMouse!$B$2:$C$2693,2,FALSE)</f>
        <v>r4Trp</v>
      </c>
    </row>
    <row r="4750" spans="2:13" x14ac:dyDescent="0.25">
      <c r="B4750" s="36"/>
      <c r="C4750" s="20"/>
      <c r="D4750" s="25" t="s">
        <v>26232</v>
      </c>
      <c r="E4750" s="25"/>
      <c r="F4750" s="9" t="str">
        <f t="shared" si="67"/>
        <v>structure with developmental contribution from neural crest</v>
      </c>
      <c r="G4750" s="9" t="s">
        <v>5090</v>
      </c>
      <c r="H4750" s="9" t="s">
        <v>17689</v>
      </c>
      <c r="I4750" s="9" t="s">
        <v>8815</v>
      </c>
      <c r="J4750" s="9" t="s">
        <v>8816</v>
      </c>
      <c r="K4750" s="5" t="s">
        <v>15173</v>
      </c>
      <c r="L4750" s="13">
        <v>111220728</v>
      </c>
      <c r="M4750" t="str">
        <f>VLOOKUP(L4750,[1]DevMouse!$B$2:$C$2693,2,FALSE)</f>
        <v>r4Tri</v>
      </c>
    </row>
    <row r="4751" spans="2:13" x14ac:dyDescent="0.25">
      <c r="B4751" s="36"/>
      <c r="C4751" s="20"/>
      <c r="D4751" s="25" t="s">
        <v>26232</v>
      </c>
      <c r="E4751" s="25"/>
      <c r="F4751" s="9" t="str">
        <f t="shared" si="67"/>
        <v>structure with developmental contribution from neural crest</v>
      </c>
      <c r="G4751" s="9" t="s">
        <v>5090</v>
      </c>
      <c r="H4751" s="9" t="s">
        <v>17692</v>
      </c>
      <c r="I4751" s="9" t="s">
        <v>8817</v>
      </c>
      <c r="J4751" s="9" t="s">
        <v>8818</v>
      </c>
      <c r="K4751" s="5" t="s">
        <v>15173</v>
      </c>
      <c r="L4751" s="13">
        <v>111220730</v>
      </c>
      <c r="M4751" t="str">
        <f>VLOOKUP(L4751,[1]DevMouse!$B$2:$C$2693,2,FALSE)</f>
        <v>r4Trs</v>
      </c>
    </row>
    <row r="4752" spans="2:13" x14ac:dyDescent="0.25">
      <c r="B4752" s="36"/>
      <c r="C4752" s="20"/>
      <c r="D4752" s="25" t="s">
        <v>26232</v>
      </c>
      <c r="E4752" s="20" t="s">
        <v>26300</v>
      </c>
      <c r="F4752" s="9" t="str">
        <f t="shared" si="67"/>
        <v>structure with developmental contribution from neural crest</v>
      </c>
      <c r="G4752" s="9" t="s">
        <v>5090</v>
      </c>
      <c r="H4752" s="9" t="s">
        <v>17697</v>
      </c>
      <c r="I4752" s="9" t="s">
        <v>8819</v>
      </c>
      <c r="J4752" s="9" t="s">
        <v>8820</v>
      </c>
      <c r="K4752" s="5" t="s">
        <v>15173</v>
      </c>
      <c r="L4752" s="13">
        <v>111220732</v>
      </c>
      <c r="M4752" t="str">
        <f>VLOOKUP(L4752,[1]DevMouse!$B$2:$C$2693,2,FALSE)</f>
        <v>r4Limp</v>
      </c>
    </row>
    <row r="4753" spans="2:13" x14ac:dyDescent="0.25">
      <c r="B4753" s="36"/>
      <c r="C4753" s="20"/>
      <c r="D4753" s="25" t="s">
        <v>26232</v>
      </c>
      <c r="E4753" s="25"/>
      <c r="F4753" s="9" t="str">
        <f t="shared" si="67"/>
        <v>structure with developmental contribution from neural crest</v>
      </c>
      <c r="G4753" s="9" t="s">
        <v>5090</v>
      </c>
      <c r="H4753" s="9" t="s">
        <v>17699</v>
      </c>
      <c r="I4753" s="9" t="s">
        <v>8821</v>
      </c>
      <c r="J4753" s="9" t="s">
        <v>8822</v>
      </c>
      <c r="K4753" s="5" t="s">
        <v>15173</v>
      </c>
      <c r="L4753" s="13">
        <v>111220734</v>
      </c>
      <c r="M4753" t="str">
        <f>VLOOKUP(L4753,[1]DevMouse!$B$2:$C$2693,2,FALSE)</f>
        <v>r4Limi</v>
      </c>
    </row>
    <row r="4754" spans="2:13" x14ac:dyDescent="0.25">
      <c r="B4754" s="36"/>
      <c r="C4754" s="20"/>
      <c r="D4754" s="25" t="s">
        <v>26232</v>
      </c>
      <c r="E4754" s="25"/>
      <c r="F4754" s="9" t="str">
        <f t="shared" si="67"/>
        <v>structure with developmental contribution from neural crest</v>
      </c>
      <c r="G4754" s="9" t="s">
        <v>5090</v>
      </c>
      <c r="H4754" s="9" t="s">
        <v>17701</v>
      </c>
      <c r="I4754" s="9" t="s">
        <v>8823</v>
      </c>
      <c r="J4754" s="9" t="s">
        <v>8824</v>
      </c>
      <c r="K4754" s="5" t="s">
        <v>15173</v>
      </c>
      <c r="L4754" s="13">
        <v>111220736</v>
      </c>
      <c r="M4754" t="str">
        <f>VLOOKUP(L4754,[1]DevMouse!$B$2:$C$2693,2,FALSE)</f>
        <v>r4Lims</v>
      </c>
    </row>
    <row r="4755" spans="2:13" x14ac:dyDescent="0.25">
      <c r="B4755" s="36"/>
      <c r="C4755" s="20"/>
      <c r="D4755" s="25" t="s">
        <v>26232</v>
      </c>
      <c r="E4755" s="25"/>
      <c r="F4755" s="9" t="str">
        <f t="shared" si="67"/>
        <v>structure with developmental contribution from neural crest</v>
      </c>
      <c r="G4755" s="9" t="s">
        <v>5090</v>
      </c>
      <c r="H4755" s="9" t="s">
        <v>17704</v>
      </c>
      <c r="I4755" s="9" t="s">
        <v>8825</v>
      </c>
      <c r="J4755" s="9" t="s">
        <v>8826</v>
      </c>
      <c r="K4755" s="5" t="s">
        <v>15173</v>
      </c>
      <c r="L4755" s="13">
        <v>111220738</v>
      </c>
      <c r="M4755" t="str">
        <f>VLOOKUP(L4755,[1]DevMouse!$B$2:$C$2693,2,FALSE)</f>
        <v>r4Bv</v>
      </c>
    </row>
    <row r="4756" spans="2:13" x14ac:dyDescent="0.25">
      <c r="B4756" s="31" t="s">
        <v>26303</v>
      </c>
      <c r="C4756" s="20"/>
      <c r="D4756" s="25" t="s">
        <v>26232</v>
      </c>
      <c r="E4756" s="20" t="s">
        <v>26300</v>
      </c>
      <c r="F4756" s="9" t="str">
        <f t="shared" si="67"/>
        <v>structure with developmental contribution from neural crest</v>
      </c>
      <c r="G4756" s="9" t="s">
        <v>5090</v>
      </c>
      <c r="H4756" s="9" t="s">
        <v>17705</v>
      </c>
      <c r="I4756" s="9" t="s">
        <v>8827</v>
      </c>
      <c r="J4756" s="9" t="s">
        <v>8828</v>
      </c>
      <c r="K4756" s="5" t="s">
        <v>15173</v>
      </c>
      <c r="L4756" s="13">
        <v>111220740</v>
      </c>
      <c r="M4756" t="str">
        <f>VLOOKUP(L4756,[1]DevMouse!$B$2:$C$2693,2,FALSE)</f>
        <v>r4Bm</v>
      </c>
    </row>
    <row r="4757" spans="2:13" x14ac:dyDescent="0.25">
      <c r="B4757" s="36"/>
      <c r="C4757" s="20"/>
      <c r="D4757" s="25" t="s">
        <v>26232</v>
      </c>
      <c r="E4757" s="25"/>
      <c r="F4757" s="9" t="str">
        <f t="shared" si="67"/>
        <v>structure with developmental contribution from neural crest</v>
      </c>
      <c r="G4757" s="9" t="s">
        <v>5090</v>
      </c>
      <c r="H4757" s="9" t="s">
        <v>17751</v>
      </c>
      <c r="I4757" s="9" t="s">
        <v>8829</v>
      </c>
      <c r="J4757" s="9" t="s">
        <v>8830</v>
      </c>
      <c r="K4757" s="5" t="s">
        <v>15173</v>
      </c>
      <c r="L4757" s="13">
        <v>111220742</v>
      </c>
      <c r="M4757" t="str">
        <f>VLOOKUP(L4757,[1]DevMouse!$B$2:$C$2693,2,FALSE)</f>
        <v>r5Av</v>
      </c>
    </row>
    <row r="4758" spans="2:13" x14ac:dyDescent="0.25">
      <c r="B4758" s="31" t="s">
        <v>26303</v>
      </c>
      <c r="C4758" s="20"/>
      <c r="D4758" s="25" t="s">
        <v>26232</v>
      </c>
      <c r="E4758" s="20" t="s">
        <v>26300</v>
      </c>
      <c r="F4758" s="9" t="str">
        <f t="shared" si="67"/>
        <v>structure with developmental contribution from neural crest</v>
      </c>
      <c r="G4758" s="9" t="s">
        <v>5090</v>
      </c>
      <c r="H4758" s="9" t="s">
        <v>17752</v>
      </c>
      <c r="I4758" s="9" t="s">
        <v>8831</v>
      </c>
      <c r="J4758" s="9" t="s">
        <v>8832</v>
      </c>
      <c r="K4758" s="5" t="s">
        <v>15173</v>
      </c>
      <c r="L4758" s="13">
        <v>111220744</v>
      </c>
      <c r="M4758" t="str">
        <f>VLOOKUP(L4758,[1]DevMouse!$B$2:$C$2693,2,FALSE)</f>
        <v>r5Am</v>
      </c>
    </row>
    <row r="4759" spans="2:13" x14ac:dyDescent="0.25">
      <c r="B4759" s="36"/>
      <c r="C4759" s="20"/>
      <c r="D4759" s="25" t="s">
        <v>26232</v>
      </c>
      <c r="E4759" s="20" t="s">
        <v>26300</v>
      </c>
      <c r="F4759" s="9" t="str">
        <f t="shared" si="67"/>
        <v>structure with developmental contribution from neural crest</v>
      </c>
      <c r="G4759" s="9" t="s">
        <v>5090</v>
      </c>
      <c r="H4759" s="9" t="s">
        <v>17756</v>
      </c>
      <c r="I4759" s="9" t="s">
        <v>8833</v>
      </c>
      <c r="J4759" s="9" t="s">
        <v>8834</v>
      </c>
      <c r="K4759" s="5" t="s">
        <v>15173</v>
      </c>
      <c r="L4759" s="13">
        <v>111220746</v>
      </c>
      <c r="M4759" t="str">
        <f>VLOOKUP(L4759,[1]DevMouse!$B$2:$C$2693,2,FALSE)</f>
        <v>r5Cop</v>
      </c>
    </row>
    <row r="4760" spans="2:13" x14ac:dyDescent="0.25">
      <c r="B4760" s="36"/>
      <c r="C4760" s="20"/>
      <c r="D4760" s="25" t="s">
        <v>26232</v>
      </c>
      <c r="E4760" s="25"/>
      <c r="F4760" s="9" t="str">
        <f t="shared" si="67"/>
        <v>structure with developmental contribution from neural crest</v>
      </c>
      <c r="G4760" s="9" t="s">
        <v>5090</v>
      </c>
      <c r="H4760" s="9" t="s">
        <v>17758</v>
      </c>
      <c r="I4760" s="9" t="s">
        <v>8835</v>
      </c>
      <c r="J4760" s="9" t="s">
        <v>8836</v>
      </c>
      <c r="K4760" s="5" t="s">
        <v>15173</v>
      </c>
      <c r="L4760" s="13">
        <v>111220748</v>
      </c>
      <c r="M4760" t="str">
        <f>VLOOKUP(L4760,[1]DevMouse!$B$2:$C$2693,2,FALSE)</f>
        <v>r5Coi</v>
      </c>
    </row>
    <row r="4761" spans="2:13" x14ac:dyDescent="0.25">
      <c r="B4761" s="36"/>
      <c r="C4761" s="20"/>
      <c r="D4761" s="25" t="s">
        <v>26232</v>
      </c>
      <c r="E4761" s="25"/>
      <c r="F4761" s="9" t="str">
        <f t="shared" si="67"/>
        <v>structure with developmental contribution from neural crest</v>
      </c>
      <c r="G4761" s="9" t="s">
        <v>5090</v>
      </c>
      <c r="H4761" s="9" t="s">
        <v>17759</v>
      </c>
      <c r="I4761" s="9" t="s">
        <v>8837</v>
      </c>
      <c r="J4761" s="9" t="s">
        <v>8838</v>
      </c>
      <c r="K4761" s="5" t="s">
        <v>15173</v>
      </c>
      <c r="L4761" s="13">
        <v>111220750</v>
      </c>
      <c r="M4761" t="str">
        <f>VLOOKUP(L4761,[1]DevMouse!$B$2:$C$2693,2,FALSE)</f>
        <v>r5Cos</v>
      </c>
    </row>
    <row r="4762" spans="2:13" x14ac:dyDescent="0.25">
      <c r="B4762" s="36"/>
      <c r="C4762" s="20"/>
      <c r="D4762" s="25" t="s">
        <v>26232</v>
      </c>
      <c r="E4762" s="20" t="s">
        <v>26300</v>
      </c>
      <c r="F4762" s="9" t="str">
        <f t="shared" si="67"/>
        <v>structure with developmental contribution from neural crest</v>
      </c>
      <c r="G4762" s="9" t="s">
        <v>5090</v>
      </c>
      <c r="H4762" s="9" t="s">
        <v>17764</v>
      </c>
      <c r="I4762" s="9" t="s">
        <v>8839</v>
      </c>
      <c r="J4762" s="9" t="s">
        <v>8840</v>
      </c>
      <c r="K4762" s="5" t="s">
        <v>15173</v>
      </c>
      <c r="L4762" s="13">
        <v>111220752</v>
      </c>
      <c r="M4762" t="str">
        <f>VLOOKUP(L4762,[1]DevMouse!$B$2:$C$2693,2,FALSE)</f>
        <v>r5Vep</v>
      </c>
    </row>
    <row r="4763" spans="2:13" x14ac:dyDescent="0.25">
      <c r="B4763" s="36"/>
      <c r="C4763" s="20"/>
      <c r="D4763" s="25" t="s">
        <v>26232</v>
      </c>
      <c r="E4763" s="25"/>
      <c r="F4763" s="9" t="str">
        <f t="shared" si="67"/>
        <v>structure with developmental contribution from neural crest</v>
      </c>
      <c r="G4763" s="9" t="s">
        <v>5090</v>
      </c>
      <c r="H4763" s="9" t="s">
        <v>17766</v>
      </c>
      <c r="I4763" s="9" t="s">
        <v>8841</v>
      </c>
      <c r="J4763" s="9" t="s">
        <v>8842</v>
      </c>
      <c r="K4763" s="5" t="s">
        <v>15173</v>
      </c>
      <c r="L4763" s="13">
        <v>111220754</v>
      </c>
      <c r="M4763" t="str">
        <f>VLOOKUP(L4763,[1]DevMouse!$B$2:$C$2693,2,FALSE)</f>
        <v>r5Vei</v>
      </c>
    </row>
    <row r="4764" spans="2:13" x14ac:dyDescent="0.25">
      <c r="B4764" s="36"/>
      <c r="C4764" s="20"/>
      <c r="D4764" s="25" t="s">
        <v>26232</v>
      </c>
      <c r="E4764" s="25"/>
      <c r="F4764" s="9" t="str">
        <f t="shared" si="67"/>
        <v>structure with developmental contribution from neural crest</v>
      </c>
      <c r="G4764" s="9" t="s">
        <v>5090</v>
      </c>
      <c r="H4764" s="9" t="s">
        <v>17768</v>
      </c>
      <c r="I4764" s="9" t="s">
        <v>8843</v>
      </c>
      <c r="J4764" s="9" t="s">
        <v>8844</v>
      </c>
      <c r="K4764" s="5" t="s">
        <v>15173</v>
      </c>
      <c r="L4764" s="13">
        <v>111220756</v>
      </c>
      <c r="M4764" t="str">
        <f>VLOOKUP(L4764,[1]DevMouse!$B$2:$C$2693,2,FALSE)</f>
        <v>r5Ves</v>
      </c>
    </row>
    <row r="4765" spans="2:13" x14ac:dyDescent="0.25">
      <c r="B4765" s="36"/>
      <c r="C4765" s="20"/>
      <c r="D4765" s="25" t="s">
        <v>26232</v>
      </c>
      <c r="E4765" s="20" t="s">
        <v>26300</v>
      </c>
      <c r="F4765" s="9" t="str">
        <f t="shared" si="67"/>
        <v>structure with developmental contribution from neural crest</v>
      </c>
      <c r="G4765" s="9" t="s">
        <v>5090</v>
      </c>
      <c r="H4765" s="9" t="s">
        <v>17773</v>
      </c>
      <c r="I4765" s="9" t="s">
        <v>8845</v>
      </c>
      <c r="J4765" s="9" t="s">
        <v>8846</v>
      </c>
      <c r="K4765" s="5" t="s">
        <v>15173</v>
      </c>
      <c r="L4765" s="13">
        <v>111220758</v>
      </c>
      <c r="M4765" t="str">
        <f>VLOOKUP(L4765,[1]DevMouse!$B$2:$C$2693,2,FALSE)</f>
        <v>r5Trp</v>
      </c>
    </row>
    <row r="4766" spans="2:13" x14ac:dyDescent="0.25">
      <c r="B4766" s="36"/>
      <c r="C4766" s="20"/>
      <c r="D4766" s="25" t="s">
        <v>26232</v>
      </c>
      <c r="E4766" s="25"/>
      <c r="F4766" s="9" t="str">
        <f t="shared" si="67"/>
        <v>structure with developmental contribution from neural crest</v>
      </c>
      <c r="G4766" s="9" t="s">
        <v>5090</v>
      </c>
      <c r="H4766" s="9" t="s">
        <v>17775</v>
      </c>
      <c r="I4766" s="9" t="s">
        <v>8847</v>
      </c>
      <c r="J4766" s="9" t="s">
        <v>8848</v>
      </c>
      <c r="K4766" s="5" t="s">
        <v>15173</v>
      </c>
      <c r="L4766" s="13">
        <v>111220760</v>
      </c>
      <c r="M4766" t="str">
        <f>VLOOKUP(L4766,[1]DevMouse!$B$2:$C$2693,2,FALSE)</f>
        <v>r5Tri</v>
      </c>
    </row>
    <row r="4767" spans="2:13" x14ac:dyDescent="0.25">
      <c r="B4767" s="36"/>
      <c r="C4767" s="20"/>
      <c r="D4767" s="25" t="s">
        <v>26232</v>
      </c>
      <c r="E4767" s="25"/>
      <c r="F4767" s="9" t="str">
        <f t="shared" si="67"/>
        <v>structure with developmental contribution from neural crest</v>
      </c>
      <c r="G4767" s="9" t="s">
        <v>5090</v>
      </c>
      <c r="H4767" s="9" t="s">
        <v>17778</v>
      </c>
      <c r="I4767" s="9" t="s">
        <v>8849</v>
      </c>
      <c r="J4767" s="9" t="s">
        <v>8850</v>
      </c>
      <c r="K4767" s="5" t="s">
        <v>15173</v>
      </c>
      <c r="L4767" s="13">
        <v>111220762</v>
      </c>
      <c r="M4767" t="str">
        <f>VLOOKUP(L4767,[1]DevMouse!$B$2:$C$2693,2,FALSE)</f>
        <v>r5Trs</v>
      </c>
    </row>
    <row r="4768" spans="2:13" x14ac:dyDescent="0.25">
      <c r="B4768" s="36"/>
      <c r="C4768" s="20"/>
      <c r="D4768" s="25" t="s">
        <v>26232</v>
      </c>
      <c r="E4768" s="20" t="s">
        <v>26300</v>
      </c>
      <c r="F4768" s="9" t="str">
        <f t="shared" si="67"/>
        <v>structure with developmental contribution from neural crest</v>
      </c>
      <c r="G4768" s="9" t="s">
        <v>5090</v>
      </c>
      <c r="H4768" s="9" t="s">
        <v>17783</v>
      </c>
      <c r="I4768" s="9" t="s">
        <v>8851</v>
      </c>
      <c r="J4768" s="9" t="s">
        <v>8852</v>
      </c>
      <c r="K4768" s="5" t="s">
        <v>15173</v>
      </c>
      <c r="L4768" s="13">
        <v>111220764</v>
      </c>
      <c r="M4768" t="str">
        <f>VLOOKUP(L4768,[1]DevMouse!$B$2:$C$2693,2,FALSE)</f>
        <v>r5Limp</v>
      </c>
    </row>
    <row r="4769" spans="2:13" x14ac:dyDescent="0.25">
      <c r="B4769" s="36"/>
      <c r="C4769" s="20"/>
      <c r="D4769" s="25" t="s">
        <v>26232</v>
      </c>
      <c r="E4769" s="25"/>
      <c r="F4769" s="9" t="str">
        <f t="shared" si="67"/>
        <v>structure with developmental contribution from neural crest</v>
      </c>
      <c r="G4769" s="9" t="s">
        <v>5090</v>
      </c>
      <c r="H4769" s="9" t="s">
        <v>17785</v>
      </c>
      <c r="I4769" s="9" t="s">
        <v>8853</v>
      </c>
      <c r="J4769" s="9" t="s">
        <v>8854</v>
      </c>
      <c r="K4769" s="5" t="s">
        <v>15173</v>
      </c>
      <c r="L4769" s="13">
        <v>111220766</v>
      </c>
      <c r="M4769" t="str">
        <f>VLOOKUP(L4769,[1]DevMouse!$B$2:$C$2693,2,FALSE)</f>
        <v>r5Limi</v>
      </c>
    </row>
    <row r="4770" spans="2:13" x14ac:dyDescent="0.25">
      <c r="B4770" s="36"/>
      <c r="C4770" s="20"/>
      <c r="D4770" s="25" t="s">
        <v>26232</v>
      </c>
      <c r="E4770" s="25"/>
      <c r="F4770" s="9" t="str">
        <f t="shared" si="67"/>
        <v>structure with developmental contribution from neural crest</v>
      </c>
      <c r="G4770" s="9" t="s">
        <v>5090</v>
      </c>
      <c r="H4770" s="9" t="s">
        <v>17788</v>
      </c>
      <c r="I4770" s="9" t="s">
        <v>8855</v>
      </c>
      <c r="J4770" s="9" t="s">
        <v>8856</v>
      </c>
      <c r="K4770" s="5" t="s">
        <v>15173</v>
      </c>
      <c r="L4770" s="13">
        <v>111220768</v>
      </c>
      <c r="M4770" t="str">
        <f>VLOOKUP(L4770,[1]DevMouse!$B$2:$C$2693,2,FALSE)</f>
        <v>r5Lims</v>
      </c>
    </row>
    <row r="4771" spans="2:13" x14ac:dyDescent="0.25">
      <c r="B4771" s="36"/>
      <c r="C4771" s="20"/>
      <c r="D4771" s="25" t="s">
        <v>26232</v>
      </c>
      <c r="E4771" s="25"/>
      <c r="F4771" s="9" t="str">
        <f t="shared" si="67"/>
        <v>structure with developmental contribution from neural crest</v>
      </c>
      <c r="G4771" s="9" t="s">
        <v>5090</v>
      </c>
      <c r="H4771" s="9" t="s">
        <v>17792</v>
      </c>
      <c r="I4771" s="9" t="s">
        <v>8857</v>
      </c>
      <c r="J4771" s="9" t="s">
        <v>8858</v>
      </c>
      <c r="K4771" s="5" t="s">
        <v>15173</v>
      </c>
      <c r="L4771" s="13">
        <v>111220770</v>
      </c>
      <c r="M4771" t="str">
        <f>VLOOKUP(L4771,[1]DevMouse!$B$2:$C$2693,2,FALSE)</f>
        <v>r5Bv</v>
      </c>
    </row>
    <row r="4772" spans="2:13" x14ac:dyDescent="0.25">
      <c r="B4772" s="31" t="s">
        <v>26303</v>
      </c>
      <c r="C4772" s="20"/>
      <c r="D4772" s="25" t="s">
        <v>26232</v>
      </c>
      <c r="E4772" s="20" t="s">
        <v>26300</v>
      </c>
      <c r="F4772" s="9" t="str">
        <f t="shared" si="67"/>
        <v>structure with developmental contribution from neural crest</v>
      </c>
      <c r="G4772" s="9" t="s">
        <v>5090</v>
      </c>
      <c r="H4772" s="9" t="s">
        <v>17793</v>
      </c>
      <c r="I4772" s="9" t="s">
        <v>8859</v>
      </c>
      <c r="J4772" s="9" t="s">
        <v>8860</v>
      </c>
      <c r="K4772" s="5" t="s">
        <v>15173</v>
      </c>
      <c r="L4772" s="13">
        <v>111220772</v>
      </c>
      <c r="M4772" t="str">
        <f>VLOOKUP(L4772,[1]DevMouse!$B$2:$C$2693,2,FALSE)</f>
        <v>r5Bm</v>
      </c>
    </row>
    <row r="4773" spans="2:13" x14ac:dyDescent="0.25">
      <c r="B4773" s="36"/>
      <c r="C4773" s="20"/>
      <c r="D4773" s="25" t="s">
        <v>26232</v>
      </c>
      <c r="E4773" s="25"/>
      <c r="F4773" s="9" t="str">
        <f t="shared" si="67"/>
        <v>structure with developmental contribution from neural crest</v>
      </c>
      <c r="G4773" s="9" t="s">
        <v>5090</v>
      </c>
      <c r="H4773" s="9" t="s">
        <v>17842</v>
      </c>
      <c r="I4773" s="9" t="s">
        <v>8861</v>
      </c>
      <c r="J4773" s="9" t="s">
        <v>8862</v>
      </c>
      <c r="K4773" s="5" t="s">
        <v>15173</v>
      </c>
      <c r="L4773" s="13">
        <v>111220774</v>
      </c>
      <c r="M4773" t="str">
        <f>VLOOKUP(L4773,[1]DevMouse!$B$2:$C$2693,2,FALSE)</f>
        <v>r6Av</v>
      </c>
    </row>
    <row r="4774" spans="2:13" x14ac:dyDescent="0.25">
      <c r="B4774" s="31" t="s">
        <v>26303</v>
      </c>
      <c r="C4774" s="20"/>
      <c r="D4774" s="25" t="s">
        <v>26232</v>
      </c>
      <c r="E4774" s="20" t="s">
        <v>26300</v>
      </c>
      <c r="F4774" s="9" t="str">
        <f t="shared" si="67"/>
        <v>structure with developmental contribution from neural crest</v>
      </c>
      <c r="G4774" s="9" t="s">
        <v>5090</v>
      </c>
      <c r="H4774" s="9" t="s">
        <v>17843</v>
      </c>
      <c r="I4774" s="9" t="s">
        <v>8863</v>
      </c>
      <c r="J4774" s="9" t="s">
        <v>8864</v>
      </c>
      <c r="K4774" s="5" t="s">
        <v>15173</v>
      </c>
      <c r="L4774" s="13">
        <v>111220776</v>
      </c>
      <c r="M4774" t="str">
        <f>VLOOKUP(L4774,[1]DevMouse!$B$2:$C$2693,2,FALSE)</f>
        <v>r6Am</v>
      </c>
    </row>
    <row r="4775" spans="2:13" x14ac:dyDescent="0.25">
      <c r="B4775" s="36"/>
      <c r="C4775" s="20"/>
      <c r="D4775" s="25" t="s">
        <v>26232</v>
      </c>
      <c r="E4775" s="20" t="s">
        <v>26300</v>
      </c>
      <c r="F4775" s="9" t="str">
        <f t="shared" si="67"/>
        <v>structure with developmental contribution from neural crest</v>
      </c>
      <c r="G4775" s="9" t="s">
        <v>5090</v>
      </c>
      <c r="H4775" s="9" t="s">
        <v>17847</v>
      </c>
      <c r="I4775" s="9" t="s">
        <v>8865</v>
      </c>
      <c r="J4775" s="9" t="s">
        <v>8866</v>
      </c>
      <c r="K4775" s="5" t="s">
        <v>15173</v>
      </c>
      <c r="L4775" s="13">
        <v>111220778</v>
      </c>
      <c r="M4775" t="str">
        <f>VLOOKUP(L4775,[1]DevMouse!$B$2:$C$2693,2,FALSE)</f>
        <v>r6Cop</v>
      </c>
    </row>
    <row r="4776" spans="2:13" x14ac:dyDescent="0.25">
      <c r="B4776" s="36"/>
      <c r="C4776" s="20"/>
      <c r="D4776" s="25" t="s">
        <v>26232</v>
      </c>
      <c r="E4776" s="25"/>
      <c r="F4776" s="9" t="str">
        <f t="shared" si="67"/>
        <v>structure with developmental contribution from neural crest</v>
      </c>
      <c r="G4776" s="9" t="s">
        <v>5090</v>
      </c>
      <c r="H4776" s="9" t="s">
        <v>17849</v>
      </c>
      <c r="I4776" s="9" t="s">
        <v>8867</v>
      </c>
      <c r="J4776" s="9" t="s">
        <v>8868</v>
      </c>
      <c r="K4776" s="5" t="s">
        <v>15173</v>
      </c>
      <c r="L4776" s="13">
        <v>111220780</v>
      </c>
      <c r="M4776" t="str">
        <f>VLOOKUP(L4776,[1]DevMouse!$B$2:$C$2693,2,FALSE)</f>
        <v>r6Coi</v>
      </c>
    </row>
    <row r="4777" spans="2:13" x14ac:dyDescent="0.25">
      <c r="B4777" s="36"/>
      <c r="C4777" s="20"/>
      <c r="D4777" s="25" t="s">
        <v>26232</v>
      </c>
      <c r="E4777" s="25"/>
      <c r="F4777" s="9" t="str">
        <f t="shared" si="67"/>
        <v>structure with developmental contribution from neural crest</v>
      </c>
      <c r="G4777" s="9" t="s">
        <v>5090</v>
      </c>
      <c r="H4777" s="9" t="s">
        <v>17850</v>
      </c>
      <c r="I4777" s="9" t="s">
        <v>8869</v>
      </c>
      <c r="J4777" s="9" t="s">
        <v>8870</v>
      </c>
      <c r="K4777" s="5" t="s">
        <v>15173</v>
      </c>
      <c r="L4777" s="13">
        <v>111220782</v>
      </c>
      <c r="M4777" t="str">
        <f>VLOOKUP(L4777,[1]DevMouse!$B$2:$C$2693,2,FALSE)</f>
        <v>r6Cos</v>
      </c>
    </row>
    <row r="4778" spans="2:13" x14ac:dyDescent="0.25">
      <c r="B4778" s="36"/>
      <c r="C4778" s="20"/>
      <c r="D4778" s="25" t="s">
        <v>26232</v>
      </c>
      <c r="E4778" s="20" t="s">
        <v>26300</v>
      </c>
      <c r="F4778" s="9" t="str">
        <f t="shared" si="67"/>
        <v>structure with developmental contribution from neural crest</v>
      </c>
      <c r="G4778" s="9" t="s">
        <v>5090</v>
      </c>
      <c r="H4778" s="9" t="s">
        <v>17855</v>
      </c>
      <c r="I4778" s="9" t="s">
        <v>8871</v>
      </c>
      <c r="J4778" s="9" t="s">
        <v>8872</v>
      </c>
      <c r="K4778" s="5" t="s">
        <v>15173</v>
      </c>
      <c r="L4778" s="13">
        <v>111220784</v>
      </c>
      <c r="M4778" t="str">
        <f>VLOOKUP(L4778,[1]DevMouse!$B$2:$C$2693,2,FALSE)</f>
        <v>r6Vep</v>
      </c>
    </row>
    <row r="4779" spans="2:13" x14ac:dyDescent="0.25">
      <c r="B4779" s="36"/>
      <c r="C4779" s="20"/>
      <c r="D4779" s="25" t="s">
        <v>26232</v>
      </c>
      <c r="E4779" s="25"/>
      <c r="F4779" s="9" t="str">
        <f t="shared" si="67"/>
        <v>structure with developmental contribution from neural crest</v>
      </c>
      <c r="G4779" s="9" t="s">
        <v>5090</v>
      </c>
      <c r="H4779" s="9" t="s">
        <v>17857</v>
      </c>
      <c r="I4779" s="9" t="s">
        <v>8873</v>
      </c>
      <c r="J4779" s="9" t="s">
        <v>8874</v>
      </c>
      <c r="K4779" s="5" t="s">
        <v>15173</v>
      </c>
      <c r="L4779" s="13">
        <v>111220786</v>
      </c>
      <c r="M4779" t="str">
        <f>VLOOKUP(L4779,[1]DevMouse!$B$2:$C$2693,2,FALSE)</f>
        <v>r6Vei</v>
      </c>
    </row>
    <row r="4780" spans="2:13" x14ac:dyDescent="0.25">
      <c r="B4780" s="36"/>
      <c r="C4780" s="20"/>
      <c r="D4780" s="25" t="s">
        <v>26232</v>
      </c>
      <c r="E4780" s="25"/>
      <c r="F4780" s="9" t="str">
        <f t="shared" si="67"/>
        <v>structure with developmental contribution from neural crest</v>
      </c>
      <c r="G4780" s="9" t="s">
        <v>5090</v>
      </c>
      <c r="H4780" s="9" t="s">
        <v>17859</v>
      </c>
      <c r="I4780" s="9" t="s">
        <v>8875</v>
      </c>
      <c r="J4780" s="9" t="s">
        <v>8876</v>
      </c>
      <c r="K4780" s="5" t="s">
        <v>15173</v>
      </c>
      <c r="L4780" s="13">
        <v>111220788</v>
      </c>
      <c r="M4780" t="str">
        <f>VLOOKUP(L4780,[1]DevMouse!$B$2:$C$2693,2,FALSE)</f>
        <v>r6Ves</v>
      </c>
    </row>
    <row r="4781" spans="2:13" x14ac:dyDescent="0.25">
      <c r="B4781" s="36"/>
      <c r="C4781" s="20"/>
      <c r="D4781" s="25" t="s">
        <v>26232</v>
      </c>
      <c r="E4781" s="20" t="s">
        <v>26300</v>
      </c>
      <c r="F4781" s="9" t="str">
        <f t="shared" si="67"/>
        <v>structure with developmental contribution from neural crest</v>
      </c>
      <c r="G4781" s="9" t="s">
        <v>5090</v>
      </c>
      <c r="H4781" s="9" t="s">
        <v>17864</v>
      </c>
      <c r="I4781" s="9" t="s">
        <v>8877</v>
      </c>
      <c r="J4781" s="9" t="s">
        <v>8878</v>
      </c>
      <c r="K4781" s="5" t="s">
        <v>15173</v>
      </c>
      <c r="L4781" s="13">
        <v>111220790</v>
      </c>
      <c r="M4781" t="str">
        <f>VLOOKUP(L4781,[1]DevMouse!$B$2:$C$2693,2,FALSE)</f>
        <v>r6Trp</v>
      </c>
    </row>
    <row r="4782" spans="2:13" x14ac:dyDescent="0.25">
      <c r="B4782" s="36"/>
      <c r="C4782" s="20"/>
      <c r="D4782" s="25" t="s">
        <v>26232</v>
      </c>
      <c r="E4782" s="25"/>
      <c r="F4782" s="9" t="str">
        <f t="shared" si="67"/>
        <v>structure with developmental contribution from neural crest</v>
      </c>
      <c r="G4782" s="9" t="s">
        <v>5090</v>
      </c>
      <c r="H4782" s="9" t="s">
        <v>17866</v>
      </c>
      <c r="I4782" s="9" t="s">
        <v>8879</v>
      </c>
      <c r="J4782" s="9" t="s">
        <v>8880</v>
      </c>
      <c r="K4782" s="5" t="s">
        <v>15173</v>
      </c>
      <c r="L4782" s="13">
        <v>111220792</v>
      </c>
      <c r="M4782" t="str">
        <f>VLOOKUP(L4782,[1]DevMouse!$B$2:$C$2693,2,FALSE)</f>
        <v>r6Tri</v>
      </c>
    </row>
    <row r="4783" spans="2:13" x14ac:dyDescent="0.25">
      <c r="B4783" s="36"/>
      <c r="C4783" s="20"/>
      <c r="D4783" s="25" t="s">
        <v>26232</v>
      </c>
      <c r="E4783" s="25"/>
      <c r="F4783" s="9" t="str">
        <f t="shared" si="67"/>
        <v>structure with developmental contribution from neural crest</v>
      </c>
      <c r="G4783" s="9" t="s">
        <v>5090</v>
      </c>
      <c r="H4783" s="9" t="s">
        <v>17869</v>
      </c>
      <c r="I4783" s="9" t="s">
        <v>8881</v>
      </c>
      <c r="J4783" s="9" t="s">
        <v>8882</v>
      </c>
      <c r="K4783" s="5" t="s">
        <v>15173</v>
      </c>
      <c r="L4783" s="13">
        <v>111220794</v>
      </c>
      <c r="M4783" t="str">
        <f>VLOOKUP(L4783,[1]DevMouse!$B$2:$C$2693,2,FALSE)</f>
        <v>r6Trs</v>
      </c>
    </row>
    <row r="4784" spans="2:13" x14ac:dyDescent="0.25">
      <c r="B4784" s="36"/>
      <c r="C4784" s="20"/>
      <c r="D4784" s="25" t="s">
        <v>26232</v>
      </c>
      <c r="E4784" s="20" t="s">
        <v>26300</v>
      </c>
      <c r="F4784" s="9" t="str">
        <f t="shared" si="67"/>
        <v>structure with developmental contribution from neural crest</v>
      </c>
      <c r="G4784" s="9" t="s">
        <v>5090</v>
      </c>
      <c r="H4784" s="9" t="s">
        <v>17874</v>
      </c>
      <c r="I4784" s="9" t="s">
        <v>8883</v>
      </c>
      <c r="J4784" s="9" t="s">
        <v>8884</v>
      </c>
      <c r="K4784" s="5" t="s">
        <v>15173</v>
      </c>
      <c r="L4784" s="13">
        <v>111220796</v>
      </c>
      <c r="M4784" t="str">
        <f>VLOOKUP(L4784,[1]DevMouse!$B$2:$C$2693,2,FALSE)</f>
        <v>r6Limp</v>
      </c>
    </row>
    <row r="4785" spans="2:13" x14ac:dyDescent="0.25">
      <c r="B4785" s="36"/>
      <c r="C4785" s="20"/>
      <c r="D4785" s="25" t="s">
        <v>26232</v>
      </c>
      <c r="E4785" s="25"/>
      <c r="F4785" s="9" t="str">
        <f t="shared" si="67"/>
        <v>structure with developmental contribution from neural crest</v>
      </c>
      <c r="G4785" s="9" t="s">
        <v>5090</v>
      </c>
      <c r="H4785" s="9" t="s">
        <v>17876</v>
      </c>
      <c r="I4785" s="9" t="s">
        <v>8885</v>
      </c>
      <c r="J4785" s="9" t="s">
        <v>8886</v>
      </c>
      <c r="K4785" s="5" t="s">
        <v>15173</v>
      </c>
      <c r="L4785" s="13">
        <v>111220798</v>
      </c>
      <c r="M4785" t="str">
        <f>VLOOKUP(L4785,[1]DevMouse!$B$2:$C$2693,2,FALSE)</f>
        <v>r6Limi</v>
      </c>
    </row>
    <row r="4786" spans="2:13" x14ac:dyDescent="0.25">
      <c r="B4786" s="36"/>
      <c r="C4786" s="20"/>
      <c r="D4786" s="25" t="s">
        <v>26232</v>
      </c>
      <c r="E4786" s="25"/>
      <c r="F4786" s="9" t="str">
        <f t="shared" si="67"/>
        <v>structure with developmental contribution from neural crest</v>
      </c>
      <c r="G4786" s="9" t="s">
        <v>5090</v>
      </c>
      <c r="H4786" s="9" t="s">
        <v>17879</v>
      </c>
      <c r="I4786" s="9" t="s">
        <v>8887</v>
      </c>
      <c r="J4786" s="9" t="s">
        <v>8888</v>
      </c>
      <c r="K4786" s="5" t="s">
        <v>15173</v>
      </c>
      <c r="L4786" s="13">
        <v>111220800</v>
      </c>
      <c r="M4786" t="str">
        <f>VLOOKUP(L4786,[1]DevMouse!$B$2:$C$2693,2,FALSE)</f>
        <v>r6Lims</v>
      </c>
    </row>
    <row r="4787" spans="2:13" x14ac:dyDescent="0.25">
      <c r="B4787" s="36"/>
      <c r="C4787" s="20"/>
      <c r="D4787" s="25" t="s">
        <v>26232</v>
      </c>
      <c r="E4787" s="25"/>
      <c r="F4787" s="9" t="str">
        <f t="shared" si="67"/>
        <v>structure with developmental contribution from neural crest</v>
      </c>
      <c r="G4787" s="9" t="s">
        <v>5090</v>
      </c>
      <c r="H4787" s="9" t="s">
        <v>17882</v>
      </c>
      <c r="I4787" s="9" t="s">
        <v>8889</v>
      </c>
      <c r="J4787" s="9" t="s">
        <v>8890</v>
      </c>
      <c r="K4787" s="5" t="s">
        <v>15173</v>
      </c>
      <c r="L4787" s="13">
        <v>111220802</v>
      </c>
      <c r="M4787" t="str">
        <f>VLOOKUP(L4787,[1]DevMouse!$B$2:$C$2693,2,FALSE)</f>
        <v>r6Bv</v>
      </c>
    </row>
    <row r="4788" spans="2:13" x14ac:dyDescent="0.25">
      <c r="B4788" s="31" t="s">
        <v>26303</v>
      </c>
      <c r="C4788" s="20"/>
      <c r="D4788" s="25" t="s">
        <v>26232</v>
      </c>
      <c r="E4788" s="20" t="s">
        <v>26300</v>
      </c>
      <c r="F4788" s="9" t="str">
        <f t="shared" si="67"/>
        <v>structure with developmental contribution from neural crest</v>
      </c>
      <c r="G4788" s="9" t="s">
        <v>5090</v>
      </c>
      <c r="H4788" s="9" t="s">
        <v>17883</v>
      </c>
      <c r="I4788" s="9" t="s">
        <v>8891</v>
      </c>
      <c r="J4788" s="9" t="s">
        <v>8892</v>
      </c>
      <c r="K4788" s="5" t="s">
        <v>15173</v>
      </c>
      <c r="L4788" s="13">
        <v>111220804</v>
      </c>
      <c r="M4788" t="str">
        <f>VLOOKUP(L4788,[1]DevMouse!$B$2:$C$2693,2,FALSE)</f>
        <v>r6Bm</v>
      </c>
    </row>
    <row r="4789" spans="2:13" x14ac:dyDescent="0.25">
      <c r="B4789" s="36"/>
      <c r="C4789" s="20"/>
      <c r="D4789" s="25" t="s">
        <v>26232</v>
      </c>
      <c r="E4789" s="25"/>
      <c r="F4789" s="9" t="str">
        <f t="shared" si="67"/>
        <v>structure with developmental contribution from neural crest</v>
      </c>
      <c r="G4789" s="9" t="s">
        <v>5090</v>
      </c>
      <c r="H4789" s="9" t="s">
        <v>17926</v>
      </c>
      <c r="I4789" s="9" t="s">
        <v>8893</v>
      </c>
      <c r="J4789" s="9" t="s">
        <v>8894</v>
      </c>
      <c r="K4789" s="5" t="s">
        <v>15173</v>
      </c>
      <c r="L4789" s="13">
        <v>111220806</v>
      </c>
      <c r="M4789" t="str">
        <f>VLOOKUP(L4789,[1]DevMouse!$B$2:$C$2693,2,FALSE)</f>
        <v>r7Av</v>
      </c>
    </row>
    <row r="4790" spans="2:13" x14ac:dyDescent="0.25">
      <c r="B4790" s="31" t="s">
        <v>26303</v>
      </c>
      <c r="C4790" s="20"/>
      <c r="D4790" s="25" t="s">
        <v>26232</v>
      </c>
      <c r="E4790" s="20" t="s">
        <v>26300</v>
      </c>
      <c r="F4790" s="9" t="str">
        <f t="shared" si="67"/>
        <v>structure with developmental contribution from neural crest</v>
      </c>
      <c r="G4790" s="9" t="s">
        <v>5090</v>
      </c>
      <c r="H4790" s="9" t="s">
        <v>17927</v>
      </c>
      <c r="I4790" s="9" t="s">
        <v>8895</v>
      </c>
      <c r="J4790" s="9" t="s">
        <v>8896</v>
      </c>
      <c r="K4790" s="5" t="s">
        <v>15173</v>
      </c>
      <c r="L4790" s="13">
        <v>111220808</v>
      </c>
      <c r="M4790" t="str">
        <f>VLOOKUP(L4790,[1]DevMouse!$B$2:$C$2693,2,FALSE)</f>
        <v>r7Am</v>
      </c>
    </row>
    <row r="4791" spans="2:13" x14ac:dyDescent="0.25">
      <c r="B4791" s="36"/>
      <c r="C4791" s="20"/>
      <c r="D4791" s="25" t="s">
        <v>26232</v>
      </c>
      <c r="E4791" s="20" t="s">
        <v>26300</v>
      </c>
      <c r="F4791" s="9" t="str">
        <f t="shared" ref="F4791:F4854" si="68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4791" s="9" t="s">
        <v>5090</v>
      </c>
      <c r="H4791" s="9" t="s">
        <v>17931</v>
      </c>
      <c r="I4791" s="9" t="s">
        <v>8897</v>
      </c>
      <c r="J4791" s="9" t="s">
        <v>8898</v>
      </c>
      <c r="K4791" s="5" t="s">
        <v>15173</v>
      </c>
      <c r="L4791" s="13">
        <v>111220810</v>
      </c>
      <c r="M4791" t="str">
        <f>VLOOKUP(L4791,[1]DevMouse!$B$2:$C$2693,2,FALSE)</f>
        <v>r7Cop</v>
      </c>
    </row>
    <row r="4792" spans="2:13" x14ac:dyDescent="0.25">
      <c r="B4792" s="36"/>
      <c r="C4792" s="20"/>
      <c r="D4792" s="25" t="s">
        <v>26232</v>
      </c>
      <c r="E4792" s="25"/>
      <c r="F4792" s="9" t="str">
        <f t="shared" si="68"/>
        <v>structure with developmental contribution from neural crest</v>
      </c>
      <c r="G4792" s="9" t="s">
        <v>5090</v>
      </c>
      <c r="H4792" s="9" t="s">
        <v>17933</v>
      </c>
      <c r="I4792" s="9" t="s">
        <v>8899</v>
      </c>
      <c r="J4792" s="9" t="s">
        <v>8900</v>
      </c>
      <c r="K4792" s="5" t="s">
        <v>15173</v>
      </c>
      <c r="L4792" s="13">
        <v>111220812</v>
      </c>
      <c r="M4792" t="str">
        <f>VLOOKUP(L4792,[1]DevMouse!$B$2:$C$2693,2,FALSE)</f>
        <v>r7Coi</v>
      </c>
    </row>
    <row r="4793" spans="2:13" x14ac:dyDescent="0.25">
      <c r="B4793" s="36"/>
      <c r="C4793" s="20"/>
      <c r="D4793" s="25" t="s">
        <v>26232</v>
      </c>
      <c r="E4793" s="25"/>
      <c r="F4793" s="9" t="str">
        <f t="shared" si="68"/>
        <v>structure with developmental contribution from neural crest</v>
      </c>
      <c r="G4793" s="9" t="s">
        <v>5090</v>
      </c>
      <c r="H4793" s="9" t="s">
        <v>17934</v>
      </c>
      <c r="I4793" s="9" t="s">
        <v>8901</v>
      </c>
      <c r="J4793" s="9" t="s">
        <v>8902</v>
      </c>
      <c r="K4793" s="5" t="s">
        <v>15173</v>
      </c>
      <c r="L4793" s="13">
        <v>111220814</v>
      </c>
      <c r="M4793" t="str">
        <f>VLOOKUP(L4793,[1]DevMouse!$B$2:$C$2693,2,FALSE)</f>
        <v>r7Cos</v>
      </c>
    </row>
    <row r="4794" spans="2:13" x14ac:dyDescent="0.25">
      <c r="B4794" s="36"/>
      <c r="C4794" s="20"/>
      <c r="D4794" s="25" t="s">
        <v>26232</v>
      </c>
      <c r="E4794" s="20" t="s">
        <v>26300</v>
      </c>
      <c r="F4794" s="9" t="str">
        <f t="shared" si="68"/>
        <v>structure with developmental contribution from neural crest</v>
      </c>
      <c r="G4794" s="9" t="s">
        <v>5090</v>
      </c>
      <c r="H4794" s="9" t="s">
        <v>17939</v>
      </c>
      <c r="I4794" s="9" t="s">
        <v>8903</v>
      </c>
      <c r="J4794" s="9" t="s">
        <v>8904</v>
      </c>
      <c r="K4794" s="5" t="s">
        <v>15173</v>
      </c>
      <c r="L4794" s="13">
        <v>111220816</v>
      </c>
      <c r="M4794" t="str">
        <f>VLOOKUP(L4794,[1]DevMouse!$B$2:$C$2693,2,FALSE)</f>
        <v>r7Vep</v>
      </c>
    </row>
    <row r="4795" spans="2:13" x14ac:dyDescent="0.25">
      <c r="B4795" s="36"/>
      <c r="C4795" s="20"/>
      <c r="D4795" s="25" t="s">
        <v>26232</v>
      </c>
      <c r="E4795" s="25"/>
      <c r="F4795" s="9" t="str">
        <f t="shared" si="68"/>
        <v>structure with developmental contribution from neural crest</v>
      </c>
      <c r="G4795" s="9" t="s">
        <v>5090</v>
      </c>
      <c r="H4795" s="9" t="s">
        <v>17941</v>
      </c>
      <c r="I4795" s="9" t="s">
        <v>8905</v>
      </c>
      <c r="J4795" s="9" t="s">
        <v>8906</v>
      </c>
      <c r="K4795" s="5" t="s">
        <v>15173</v>
      </c>
      <c r="L4795" s="13">
        <v>111220818</v>
      </c>
      <c r="M4795" t="str">
        <f>VLOOKUP(L4795,[1]DevMouse!$B$2:$C$2693,2,FALSE)</f>
        <v>r7Vei</v>
      </c>
    </row>
    <row r="4796" spans="2:13" x14ac:dyDescent="0.25">
      <c r="B4796" s="36"/>
      <c r="C4796" s="20"/>
      <c r="D4796" s="25" t="s">
        <v>26232</v>
      </c>
      <c r="E4796" s="25"/>
      <c r="F4796" s="9" t="str">
        <f t="shared" si="68"/>
        <v>structure with developmental contribution from neural crest</v>
      </c>
      <c r="G4796" s="9" t="s">
        <v>5090</v>
      </c>
      <c r="H4796" s="9" t="s">
        <v>17942</v>
      </c>
      <c r="I4796" s="9" t="s">
        <v>8907</v>
      </c>
      <c r="J4796" s="9" t="s">
        <v>8908</v>
      </c>
      <c r="K4796" s="5" t="s">
        <v>15173</v>
      </c>
      <c r="L4796" s="13">
        <v>111220820</v>
      </c>
      <c r="M4796" t="str">
        <f>VLOOKUP(L4796,[1]DevMouse!$B$2:$C$2693,2,FALSE)</f>
        <v>r7Ves</v>
      </c>
    </row>
    <row r="4797" spans="2:13" x14ac:dyDescent="0.25">
      <c r="B4797" s="36"/>
      <c r="C4797" s="20"/>
      <c r="D4797" s="25" t="s">
        <v>26232</v>
      </c>
      <c r="E4797" s="20" t="s">
        <v>26300</v>
      </c>
      <c r="F4797" s="9" t="str">
        <f t="shared" si="68"/>
        <v>structure with developmental contribution from neural crest</v>
      </c>
      <c r="G4797" s="9" t="s">
        <v>5090</v>
      </c>
      <c r="H4797" s="9" t="s">
        <v>17947</v>
      </c>
      <c r="I4797" s="9" t="s">
        <v>8909</v>
      </c>
      <c r="J4797" s="9" t="s">
        <v>8910</v>
      </c>
      <c r="K4797" s="5" t="s">
        <v>15173</v>
      </c>
      <c r="L4797" s="13">
        <v>111220822</v>
      </c>
      <c r="M4797" t="str">
        <f>VLOOKUP(L4797,[1]DevMouse!$B$2:$C$2693,2,FALSE)</f>
        <v>r7Trp</v>
      </c>
    </row>
    <row r="4798" spans="2:13" x14ac:dyDescent="0.25">
      <c r="B4798" s="36"/>
      <c r="C4798" s="20"/>
      <c r="D4798" s="25" t="s">
        <v>26232</v>
      </c>
      <c r="E4798" s="25"/>
      <c r="F4798" s="9" t="str">
        <f t="shared" si="68"/>
        <v>structure with developmental contribution from neural crest</v>
      </c>
      <c r="G4798" s="9" t="s">
        <v>5090</v>
      </c>
      <c r="H4798" s="9" t="s">
        <v>17949</v>
      </c>
      <c r="I4798" s="9" t="s">
        <v>8911</v>
      </c>
      <c r="J4798" s="9" t="s">
        <v>8912</v>
      </c>
      <c r="K4798" s="5" t="s">
        <v>15173</v>
      </c>
      <c r="L4798" s="13">
        <v>111220824</v>
      </c>
      <c r="M4798" t="str">
        <f>VLOOKUP(L4798,[1]DevMouse!$B$2:$C$2693,2,FALSE)</f>
        <v>r7Tri</v>
      </c>
    </row>
    <row r="4799" spans="2:13" x14ac:dyDescent="0.25">
      <c r="B4799" s="36"/>
      <c r="C4799" s="20"/>
      <c r="D4799" s="25" t="s">
        <v>26232</v>
      </c>
      <c r="E4799" s="25"/>
      <c r="F4799" s="9" t="str">
        <f t="shared" si="68"/>
        <v>structure with developmental contribution from neural crest</v>
      </c>
      <c r="G4799" s="9" t="s">
        <v>5090</v>
      </c>
      <c r="H4799" s="9" t="s">
        <v>17952</v>
      </c>
      <c r="I4799" s="9" t="s">
        <v>8913</v>
      </c>
      <c r="J4799" s="9" t="s">
        <v>8914</v>
      </c>
      <c r="K4799" s="5" t="s">
        <v>15173</v>
      </c>
      <c r="L4799" s="13">
        <v>111220826</v>
      </c>
      <c r="M4799" t="str">
        <f>VLOOKUP(L4799,[1]DevMouse!$B$2:$C$2693,2,FALSE)</f>
        <v>r7Trs</v>
      </c>
    </row>
    <row r="4800" spans="2:13" x14ac:dyDescent="0.25">
      <c r="B4800" s="36"/>
      <c r="C4800" s="20"/>
      <c r="D4800" s="25" t="s">
        <v>26232</v>
      </c>
      <c r="E4800" s="20" t="s">
        <v>26300</v>
      </c>
      <c r="F4800" s="9" t="str">
        <f t="shared" si="68"/>
        <v>structure with developmental contribution from neural crest</v>
      </c>
      <c r="G4800" s="9" t="s">
        <v>5090</v>
      </c>
      <c r="H4800" s="9" t="s">
        <v>17957</v>
      </c>
      <c r="I4800" s="9" t="s">
        <v>8915</v>
      </c>
      <c r="J4800" s="9" t="s">
        <v>8916</v>
      </c>
      <c r="K4800" s="5" t="s">
        <v>15173</v>
      </c>
      <c r="L4800" s="13">
        <v>111220828</v>
      </c>
      <c r="M4800" t="str">
        <f>VLOOKUP(L4800,[1]DevMouse!$B$2:$C$2693,2,FALSE)</f>
        <v>r7Limp</v>
      </c>
    </row>
    <row r="4801" spans="2:13" x14ac:dyDescent="0.25">
      <c r="B4801" s="36"/>
      <c r="C4801" s="20"/>
      <c r="D4801" s="25" t="s">
        <v>26232</v>
      </c>
      <c r="E4801" s="25"/>
      <c r="F4801" s="9" t="str">
        <f t="shared" si="68"/>
        <v>structure with developmental contribution from neural crest</v>
      </c>
      <c r="G4801" s="9" t="s">
        <v>5090</v>
      </c>
      <c r="H4801" s="9" t="s">
        <v>17960</v>
      </c>
      <c r="I4801" s="9" t="s">
        <v>8917</v>
      </c>
      <c r="J4801" s="9" t="s">
        <v>8918</v>
      </c>
      <c r="K4801" s="5" t="s">
        <v>15173</v>
      </c>
      <c r="L4801" s="13">
        <v>111220830</v>
      </c>
      <c r="M4801" t="str">
        <f>VLOOKUP(L4801,[1]DevMouse!$B$2:$C$2693,2,FALSE)</f>
        <v>r7Limi</v>
      </c>
    </row>
    <row r="4802" spans="2:13" x14ac:dyDescent="0.25">
      <c r="B4802" s="36"/>
      <c r="C4802" s="20"/>
      <c r="D4802" s="25" t="s">
        <v>26232</v>
      </c>
      <c r="E4802" s="25"/>
      <c r="F4802" s="9" t="str">
        <f t="shared" si="68"/>
        <v>structure with developmental contribution from neural crest</v>
      </c>
      <c r="G4802" s="9" t="s">
        <v>5090</v>
      </c>
      <c r="H4802" s="9" t="s">
        <v>17962</v>
      </c>
      <c r="I4802" s="9" t="s">
        <v>8919</v>
      </c>
      <c r="J4802" s="9" t="s">
        <v>8920</v>
      </c>
      <c r="K4802" s="5" t="s">
        <v>15173</v>
      </c>
      <c r="L4802" s="13">
        <v>111220832</v>
      </c>
      <c r="M4802" t="str">
        <f>VLOOKUP(L4802,[1]DevMouse!$B$2:$C$2693,2,FALSE)</f>
        <v>r7Lims</v>
      </c>
    </row>
    <row r="4803" spans="2:13" x14ac:dyDescent="0.25">
      <c r="B4803" s="36"/>
      <c r="C4803" s="20"/>
      <c r="D4803" s="25" t="s">
        <v>26232</v>
      </c>
      <c r="E4803" s="25"/>
      <c r="F4803" s="9" t="str">
        <f t="shared" si="68"/>
        <v>structure with developmental contribution from neural crest</v>
      </c>
      <c r="G4803" s="9" t="s">
        <v>5090</v>
      </c>
      <c r="H4803" s="9" t="s">
        <v>17965</v>
      </c>
      <c r="I4803" s="9" t="s">
        <v>8921</v>
      </c>
      <c r="J4803" s="9" t="s">
        <v>8922</v>
      </c>
      <c r="K4803" s="5" t="s">
        <v>15173</v>
      </c>
      <c r="L4803" s="13">
        <v>111220834</v>
      </c>
      <c r="M4803" t="str">
        <f>VLOOKUP(L4803,[1]DevMouse!$B$2:$C$2693,2,FALSE)</f>
        <v>r7Bv</v>
      </c>
    </row>
    <row r="4804" spans="2:13" x14ac:dyDescent="0.25">
      <c r="B4804" s="31" t="s">
        <v>26303</v>
      </c>
      <c r="C4804" s="20"/>
      <c r="D4804" s="25" t="s">
        <v>26232</v>
      </c>
      <c r="E4804" s="20" t="s">
        <v>26300</v>
      </c>
      <c r="F4804" s="9" t="str">
        <f t="shared" si="68"/>
        <v>structure with developmental contribution from neural crest</v>
      </c>
      <c r="G4804" s="9" t="s">
        <v>5090</v>
      </c>
      <c r="H4804" s="9" t="s">
        <v>17966</v>
      </c>
      <c r="I4804" s="9" t="s">
        <v>8923</v>
      </c>
      <c r="J4804" s="9" t="s">
        <v>8924</v>
      </c>
      <c r="K4804" s="5" t="s">
        <v>15173</v>
      </c>
      <c r="L4804" s="13">
        <v>111220836</v>
      </c>
      <c r="M4804" t="str">
        <f>VLOOKUP(L4804,[1]DevMouse!$B$2:$C$2693,2,FALSE)</f>
        <v>r7Bm</v>
      </c>
    </row>
    <row r="4805" spans="2:13" x14ac:dyDescent="0.25">
      <c r="B4805" s="36"/>
      <c r="C4805" s="20"/>
      <c r="D4805" s="25" t="s">
        <v>26232</v>
      </c>
      <c r="E4805" s="25"/>
      <c r="F4805" s="9" t="str">
        <f t="shared" si="68"/>
        <v>structure with developmental contribution from neural crest</v>
      </c>
      <c r="G4805" s="9" t="s">
        <v>5090</v>
      </c>
      <c r="H4805" s="9" t="s">
        <v>18010</v>
      </c>
      <c r="I4805" s="9" t="s">
        <v>8925</v>
      </c>
      <c r="J4805" s="9" t="s">
        <v>8926</v>
      </c>
      <c r="K4805" s="5" t="s">
        <v>15173</v>
      </c>
      <c r="L4805" s="13">
        <v>111220838</v>
      </c>
      <c r="M4805" t="str">
        <f>VLOOKUP(L4805,[1]DevMouse!$B$2:$C$2693,2,FALSE)</f>
        <v>r8Av</v>
      </c>
    </row>
    <row r="4806" spans="2:13" x14ac:dyDescent="0.25">
      <c r="B4806" s="31" t="s">
        <v>26303</v>
      </c>
      <c r="C4806" s="20"/>
      <c r="D4806" s="25" t="s">
        <v>26232</v>
      </c>
      <c r="E4806" s="20" t="s">
        <v>26300</v>
      </c>
      <c r="F4806" s="9" t="str">
        <f t="shared" si="68"/>
        <v>structure with developmental contribution from neural crest</v>
      </c>
      <c r="G4806" s="9" t="s">
        <v>5090</v>
      </c>
      <c r="H4806" s="9" t="s">
        <v>18011</v>
      </c>
      <c r="I4806" s="9" t="s">
        <v>8927</v>
      </c>
      <c r="J4806" s="9" t="s">
        <v>8928</v>
      </c>
      <c r="K4806" s="5" t="s">
        <v>15173</v>
      </c>
      <c r="L4806" s="13">
        <v>111220840</v>
      </c>
      <c r="M4806" t="str">
        <f>VLOOKUP(L4806,[1]DevMouse!$B$2:$C$2693,2,FALSE)</f>
        <v>r8Am</v>
      </c>
    </row>
    <row r="4807" spans="2:13" x14ac:dyDescent="0.25">
      <c r="B4807" s="36"/>
      <c r="C4807" s="20"/>
      <c r="D4807" s="25" t="s">
        <v>26232</v>
      </c>
      <c r="E4807" s="20" t="s">
        <v>26300</v>
      </c>
      <c r="F4807" s="9" t="str">
        <f t="shared" si="68"/>
        <v>structure with developmental contribution from neural crest</v>
      </c>
      <c r="G4807" s="9" t="s">
        <v>5090</v>
      </c>
      <c r="H4807" s="9" t="s">
        <v>18015</v>
      </c>
      <c r="I4807" s="9" t="s">
        <v>8929</v>
      </c>
      <c r="J4807" s="9" t="s">
        <v>8930</v>
      </c>
      <c r="K4807" s="5" t="s">
        <v>15173</v>
      </c>
      <c r="L4807" s="13">
        <v>111220842</v>
      </c>
      <c r="M4807" t="str">
        <f>VLOOKUP(L4807,[1]DevMouse!$B$2:$C$2693,2,FALSE)</f>
        <v>r8Vep</v>
      </c>
    </row>
    <row r="4808" spans="2:13" x14ac:dyDescent="0.25">
      <c r="B4808" s="36"/>
      <c r="C4808" s="20"/>
      <c r="D4808" s="25" t="s">
        <v>26232</v>
      </c>
      <c r="E4808" s="25"/>
      <c r="F4808" s="9" t="str">
        <f t="shared" si="68"/>
        <v>structure with developmental contribution from neural crest</v>
      </c>
      <c r="G4808" s="9" t="s">
        <v>5090</v>
      </c>
      <c r="H4808" s="9" t="s">
        <v>18017</v>
      </c>
      <c r="I4808" s="9" t="s">
        <v>8931</v>
      </c>
      <c r="J4808" s="9" t="s">
        <v>8932</v>
      </c>
      <c r="K4808" s="5" t="s">
        <v>15173</v>
      </c>
      <c r="L4808" s="13">
        <v>111220844</v>
      </c>
      <c r="M4808" t="str">
        <f>VLOOKUP(L4808,[1]DevMouse!$B$2:$C$2693,2,FALSE)</f>
        <v>r8Vei</v>
      </c>
    </row>
    <row r="4809" spans="2:13" x14ac:dyDescent="0.25">
      <c r="B4809" s="36"/>
      <c r="C4809" s="20"/>
      <c r="D4809" s="25" t="s">
        <v>26232</v>
      </c>
      <c r="E4809" s="25"/>
      <c r="F4809" s="9" t="str">
        <f t="shared" si="68"/>
        <v>structure with developmental contribution from neural crest</v>
      </c>
      <c r="G4809" s="9" t="s">
        <v>5090</v>
      </c>
      <c r="H4809" s="9" t="s">
        <v>18019</v>
      </c>
      <c r="I4809" s="9" t="s">
        <v>8933</v>
      </c>
      <c r="J4809" s="9" t="s">
        <v>8934</v>
      </c>
      <c r="K4809" s="5" t="s">
        <v>15173</v>
      </c>
      <c r="L4809" s="13">
        <v>111220846</v>
      </c>
      <c r="M4809" t="str">
        <f>VLOOKUP(L4809,[1]DevMouse!$B$2:$C$2693,2,FALSE)</f>
        <v>r8Ves</v>
      </c>
    </row>
    <row r="4810" spans="2:13" x14ac:dyDescent="0.25">
      <c r="B4810" s="36"/>
      <c r="C4810" s="20"/>
      <c r="D4810" s="25" t="s">
        <v>26232</v>
      </c>
      <c r="E4810" s="20" t="s">
        <v>26300</v>
      </c>
      <c r="F4810" s="9" t="str">
        <f t="shared" si="68"/>
        <v>structure with developmental contribution from neural crest</v>
      </c>
      <c r="G4810" s="9" t="s">
        <v>5090</v>
      </c>
      <c r="H4810" s="9" t="s">
        <v>18023</v>
      </c>
      <c r="I4810" s="9" t="s">
        <v>8935</v>
      </c>
      <c r="J4810" s="9" t="s">
        <v>8936</v>
      </c>
      <c r="K4810" s="5" t="s">
        <v>15173</v>
      </c>
      <c r="L4810" s="13">
        <v>111220848</v>
      </c>
      <c r="M4810" t="str">
        <f>VLOOKUP(L4810,[1]DevMouse!$B$2:$C$2693,2,FALSE)</f>
        <v>r8Trp</v>
      </c>
    </row>
    <row r="4811" spans="2:13" x14ac:dyDescent="0.25">
      <c r="B4811" s="36"/>
      <c r="C4811" s="20"/>
      <c r="D4811" s="25" t="s">
        <v>26232</v>
      </c>
      <c r="E4811" s="25"/>
      <c r="F4811" s="9" t="str">
        <f t="shared" si="68"/>
        <v>structure with developmental contribution from neural crest</v>
      </c>
      <c r="G4811" s="9" t="s">
        <v>5090</v>
      </c>
      <c r="H4811" s="9" t="s">
        <v>18025</v>
      </c>
      <c r="I4811" s="9" t="s">
        <v>8937</v>
      </c>
      <c r="J4811" s="9" t="s">
        <v>8938</v>
      </c>
      <c r="K4811" s="5" t="s">
        <v>15173</v>
      </c>
      <c r="L4811" s="13">
        <v>111220850</v>
      </c>
      <c r="M4811" t="str">
        <f>VLOOKUP(L4811,[1]DevMouse!$B$2:$C$2693,2,FALSE)</f>
        <v>r8Tri</v>
      </c>
    </row>
    <row r="4812" spans="2:13" x14ac:dyDescent="0.25">
      <c r="B4812" s="36"/>
      <c r="C4812" s="20"/>
      <c r="D4812" s="25" t="s">
        <v>26232</v>
      </c>
      <c r="E4812" s="25"/>
      <c r="F4812" s="9" t="str">
        <f t="shared" si="68"/>
        <v>structure with developmental contribution from neural crest</v>
      </c>
      <c r="G4812" s="9" t="s">
        <v>5090</v>
      </c>
      <c r="H4812" s="9" t="s">
        <v>18028</v>
      </c>
      <c r="I4812" s="9" t="s">
        <v>8939</v>
      </c>
      <c r="J4812" s="9" t="s">
        <v>8940</v>
      </c>
      <c r="K4812" s="5" t="s">
        <v>15173</v>
      </c>
      <c r="L4812" s="13">
        <v>111220852</v>
      </c>
      <c r="M4812" t="str">
        <f>VLOOKUP(L4812,[1]DevMouse!$B$2:$C$2693,2,FALSE)</f>
        <v>r8Trs</v>
      </c>
    </row>
    <row r="4813" spans="2:13" x14ac:dyDescent="0.25">
      <c r="B4813" s="36"/>
      <c r="C4813" s="20"/>
      <c r="D4813" s="25" t="s">
        <v>26232</v>
      </c>
      <c r="E4813" s="20" t="s">
        <v>26300</v>
      </c>
      <c r="F4813" s="9" t="str">
        <f t="shared" si="68"/>
        <v>structure with developmental contribution from neural crest</v>
      </c>
      <c r="G4813" s="9" t="s">
        <v>5090</v>
      </c>
      <c r="H4813" s="9" t="s">
        <v>18033</v>
      </c>
      <c r="I4813" s="9" t="s">
        <v>8941</v>
      </c>
      <c r="J4813" s="9" t="s">
        <v>8942</v>
      </c>
      <c r="K4813" s="5" t="s">
        <v>15173</v>
      </c>
      <c r="L4813" s="13">
        <v>111220854</v>
      </c>
      <c r="M4813" t="str">
        <f>VLOOKUP(L4813,[1]DevMouse!$B$2:$C$2693,2,FALSE)</f>
        <v>r8Limp</v>
      </c>
    </row>
    <row r="4814" spans="2:13" x14ac:dyDescent="0.25">
      <c r="B4814" s="36"/>
      <c r="C4814" s="20"/>
      <c r="D4814" s="25" t="s">
        <v>26232</v>
      </c>
      <c r="E4814" s="25"/>
      <c r="F4814" s="9" t="str">
        <f t="shared" si="68"/>
        <v>structure with developmental contribution from neural crest</v>
      </c>
      <c r="G4814" s="9" t="s">
        <v>5090</v>
      </c>
      <c r="H4814" s="9" t="s">
        <v>18036</v>
      </c>
      <c r="I4814" s="9" t="s">
        <v>8943</v>
      </c>
      <c r="J4814" s="9" t="s">
        <v>8944</v>
      </c>
      <c r="K4814" s="5" t="s">
        <v>15173</v>
      </c>
      <c r="L4814" s="13">
        <v>111220856</v>
      </c>
      <c r="M4814" t="str">
        <f>VLOOKUP(L4814,[1]DevMouse!$B$2:$C$2693,2,FALSE)</f>
        <v>r8Limi</v>
      </c>
    </row>
    <row r="4815" spans="2:13" x14ac:dyDescent="0.25">
      <c r="B4815" s="36"/>
      <c r="C4815" s="20"/>
      <c r="D4815" s="25" t="s">
        <v>26232</v>
      </c>
      <c r="E4815" s="25"/>
      <c r="F4815" s="9" t="str">
        <f t="shared" si="68"/>
        <v>structure with developmental contribution from neural crest</v>
      </c>
      <c r="G4815" s="9" t="s">
        <v>5090</v>
      </c>
      <c r="H4815" s="9" t="s">
        <v>18038</v>
      </c>
      <c r="I4815" s="9" t="s">
        <v>8945</v>
      </c>
      <c r="J4815" s="9" t="s">
        <v>8946</v>
      </c>
      <c r="K4815" s="5" t="s">
        <v>15173</v>
      </c>
      <c r="L4815" s="13">
        <v>111220858</v>
      </c>
      <c r="M4815" t="str">
        <f>VLOOKUP(L4815,[1]DevMouse!$B$2:$C$2693,2,FALSE)</f>
        <v>r8Lims</v>
      </c>
    </row>
    <row r="4816" spans="2:13" x14ac:dyDescent="0.25">
      <c r="B4816" s="36"/>
      <c r="C4816" s="20"/>
      <c r="D4816" s="25" t="s">
        <v>26232</v>
      </c>
      <c r="E4816" s="25"/>
      <c r="F4816" s="9" t="str">
        <f t="shared" si="68"/>
        <v>structure with developmental contribution from neural crest</v>
      </c>
      <c r="G4816" s="9" t="s">
        <v>5090</v>
      </c>
      <c r="H4816" s="9" t="s">
        <v>18041</v>
      </c>
      <c r="I4816" s="9" t="s">
        <v>8947</v>
      </c>
      <c r="J4816" s="9" t="s">
        <v>8948</v>
      </c>
      <c r="K4816" s="5" t="s">
        <v>15173</v>
      </c>
      <c r="L4816" s="13">
        <v>111220860</v>
      </c>
      <c r="M4816" t="str">
        <f>VLOOKUP(L4816,[1]DevMouse!$B$2:$C$2693,2,FALSE)</f>
        <v>r8Bv</v>
      </c>
    </row>
    <row r="4817" spans="2:13" x14ac:dyDescent="0.25">
      <c r="B4817" s="31" t="s">
        <v>26303</v>
      </c>
      <c r="C4817" s="20"/>
      <c r="D4817" s="25" t="s">
        <v>26232</v>
      </c>
      <c r="E4817" s="20" t="s">
        <v>26300</v>
      </c>
      <c r="F4817" s="9" t="str">
        <f t="shared" si="68"/>
        <v>structure with developmental contribution from neural crest</v>
      </c>
      <c r="G4817" s="9" t="s">
        <v>5090</v>
      </c>
      <c r="H4817" s="9" t="s">
        <v>18042</v>
      </c>
      <c r="I4817" s="9" t="s">
        <v>8949</v>
      </c>
      <c r="J4817" s="9" t="s">
        <v>8950</v>
      </c>
      <c r="K4817" s="5" t="s">
        <v>15173</v>
      </c>
      <c r="L4817" s="13">
        <v>111220862</v>
      </c>
      <c r="M4817" t="str">
        <f>VLOOKUP(L4817,[1]DevMouse!$B$2:$C$2693,2,FALSE)</f>
        <v>r8Bm</v>
      </c>
    </row>
    <row r="4818" spans="2:13" x14ac:dyDescent="0.25">
      <c r="B4818" s="36"/>
      <c r="C4818" s="20"/>
      <c r="D4818" s="25" t="s">
        <v>26232</v>
      </c>
      <c r="E4818" s="25"/>
      <c r="F4818" s="9" t="str">
        <f t="shared" si="68"/>
        <v>structure with developmental contribution from neural crest</v>
      </c>
      <c r="G4818" s="9" t="s">
        <v>5090</v>
      </c>
      <c r="H4818" s="9" t="s">
        <v>18089</v>
      </c>
      <c r="I4818" s="9" t="s">
        <v>8951</v>
      </c>
      <c r="J4818" s="9" t="s">
        <v>8952</v>
      </c>
      <c r="K4818" s="5" t="s">
        <v>15173</v>
      </c>
      <c r="L4818" s="13">
        <v>111220864</v>
      </c>
      <c r="M4818" t="str">
        <f>VLOOKUP(L4818,[1]DevMouse!$B$2:$C$2693,2,FALSE)</f>
        <v>r9Av</v>
      </c>
    </row>
    <row r="4819" spans="2:13" x14ac:dyDescent="0.25">
      <c r="B4819" s="31" t="s">
        <v>26303</v>
      </c>
      <c r="C4819" s="20"/>
      <c r="D4819" s="25" t="s">
        <v>26232</v>
      </c>
      <c r="E4819" s="20" t="s">
        <v>26300</v>
      </c>
      <c r="F4819" s="9" t="str">
        <f t="shared" si="68"/>
        <v>structure with developmental contribution from neural crest</v>
      </c>
      <c r="G4819" s="9" t="s">
        <v>5090</v>
      </c>
      <c r="H4819" s="9" t="s">
        <v>18090</v>
      </c>
      <c r="I4819" s="9" t="s">
        <v>8953</v>
      </c>
      <c r="J4819" s="9" t="s">
        <v>8954</v>
      </c>
      <c r="K4819" s="5" t="s">
        <v>15173</v>
      </c>
      <c r="L4819" s="13">
        <v>111220866</v>
      </c>
      <c r="M4819" t="str">
        <f>VLOOKUP(L4819,[1]DevMouse!$B$2:$C$2693,2,FALSE)</f>
        <v>r9Am</v>
      </c>
    </row>
    <row r="4820" spans="2:13" x14ac:dyDescent="0.25">
      <c r="B4820" s="36"/>
      <c r="C4820" s="20"/>
      <c r="D4820" s="25" t="s">
        <v>26232</v>
      </c>
      <c r="E4820" s="20" t="s">
        <v>26300</v>
      </c>
      <c r="F4820" s="9" t="str">
        <f t="shared" si="68"/>
        <v>structure with developmental contribution from neural crest</v>
      </c>
      <c r="G4820" s="9" t="s">
        <v>5090</v>
      </c>
      <c r="H4820" s="9" t="s">
        <v>18094</v>
      </c>
      <c r="I4820" s="9" t="s">
        <v>8955</v>
      </c>
      <c r="J4820" s="9" t="s">
        <v>8956</v>
      </c>
      <c r="K4820" s="5" t="s">
        <v>15173</v>
      </c>
      <c r="L4820" s="13">
        <v>111220868</v>
      </c>
      <c r="M4820" t="str">
        <f>VLOOKUP(L4820,[1]DevMouse!$B$2:$C$2693,2,FALSE)</f>
        <v>r9Vep</v>
      </c>
    </row>
    <row r="4821" spans="2:13" x14ac:dyDescent="0.25">
      <c r="B4821" s="36"/>
      <c r="C4821" s="20"/>
      <c r="D4821" s="25" t="s">
        <v>26232</v>
      </c>
      <c r="E4821" s="25"/>
      <c r="F4821" s="9" t="str">
        <f t="shared" si="68"/>
        <v>structure with developmental contribution from neural crest</v>
      </c>
      <c r="G4821" s="9" t="s">
        <v>5090</v>
      </c>
      <c r="H4821" s="9" t="s">
        <v>18096</v>
      </c>
      <c r="I4821" s="9" t="s">
        <v>8957</v>
      </c>
      <c r="J4821" s="9" t="s">
        <v>8958</v>
      </c>
      <c r="K4821" s="5" t="s">
        <v>15173</v>
      </c>
      <c r="L4821" s="13">
        <v>111220870</v>
      </c>
      <c r="M4821" t="str">
        <f>VLOOKUP(L4821,[1]DevMouse!$B$2:$C$2693,2,FALSE)</f>
        <v>r9Vei</v>
      </c>
    </row>
    <row r="4822" spans="2:13" x14ac:dyDescent="0.25">
      <c r="B4822" s="36"/>
      <c r="C4822" s="20"/>
      <c r="D4822" s="25" t="s">
        <v>26232</v>
      </c>
      <c r="E4822" s="25"/>
      <c r="F4822" s="9" t="str">
        <f t="shared" si="68"/>
        <v>structure with developmental contribution from neural crest</v>
      </c>
      <c r="G4822" s="9" t="s">
        <v>5090</v>
      </c>
      <c r="H4822" s="9" t="s">
        <v>18098</v>
      </c>
      <c r="I4822" s="9" t="s">
        <v>8959</v>
      </c>
      <c r="J4822" s="9" t="s">
        <v>8960</v>
      </c>
      <c r="K4822" s="5" t="s">
        <v>15173</v>
      </c>
      <c r="L4822" s="13">
        <v>111220872</v>
      </c>
      <c r="M4822" t="str">
        <f>VLOOKUP(L4822,[1]DevMouse!$B$2:$C$2693,2,FALSE)</f>
        <v>r9Ves</v>
      </c>
    </row>
    <row r="4823" spans="2:13" x14ac:dyDescent="0.25">
      <c r="B4823" s="36"/>
      <c r="C4823" s="20"/>
      <c r="D4823" s="25" t="s">
        <v>26232</v>
      </c>
      <c r="E4823" s="20" t="s">
        <v>26300</v>
      </c>
      <c r="F4823" s="9" t="str">
        <f t="shared" si="68"/>
        <v>structure with developmental contribution from neural crest</v>
      </c>
      <c r="G4823" s="9" t="s">
        <v>5090</v>
      </c>
      <c r="H4823" s="9" t="s">
        <v>18103</v>
      </c>
      <c r="I4823" s="9" t="s">
        <v>8961</v>
      </c>
      <c r="J4823" s="9" t="s">
        <v>8962</v>
      </c>
      <c r="K4823" s="5" t="s">
        <v>15173</v>
      </c>
      <c r="L4823" s="13">
        <v>111220874</v>
      </c>
      <c r="M4823" t="str">
        <f>VLOOKUP(L4823,[1]DevMouse!$B$2:$C$2693,2,FALSE)</f>
        <v>r9Trp</v>
      </c>
    </row>
    <row r="4824" spans="2:13" x14ac:dyDescent="0.25">
      <c r="B4824" s="36"/>
      <c r="C4824" s="20"/>
      <c r="D4824" s="25" t="s">
        <v>26232</v>
      </c>
      <c r="E4824" s="25"/>
      <c r="F4824" s="9" t="str">
        <f t="shared" si="68"/>
        <v>structure with developmental contribution from neural crest</v>
      </c>
      <c r="G4824" s="9" t="s">
        <v>5090</v>
      </c>
      <c r="H4824" s="9" t="s">
        <v>18105</v>
      </c>
      <c r="I4824" s="9" t="s">
        <v>8963</v>
      </c>
      <c r="J4824" s="9" t="s">
        <v>8964</v>
      </c>
      <c r="K4824" s="5" t="s">
        <v>15173</v>
      </c>
      <c r="L4824" s="13">
        <v>111220876</v>
      </c>
      <c r="M4824" t="str">
        <f>VLOOKUP(L4824,[1]DevMouse!$B$2:$C$2693,2,FALSE)</f>
        <v>r9Tri</v>
      </c>
    </row>
    <row r="4825" spans="2:13" x14ac:dyDescent="0.25">
      <c r="B4825" s="36"/>
      <c r="C4825" s="20"/>
      <c r="D4825" s="25" t="s">
        <v>26232</v>
      </c>
      <c r="E4825" s="25"/>
      <c r="F4825" s="9" t="str">
        <f t="shared" si="68"/>
        <v>structure with developmental contribution from neural crest</v>
      </c>
      <c r="G4825" s="9" t="s">
        <v>5090</v>
      </c>
      <c r="H4825" s="9" t="s">
        <v>18108</v>
      </c>
      <c r="I4825" s="9" t="s">
        <v>8965</v>
      </c>
      <c r="J4825" s="9" t="s">
        <v>8966</v>
      </c>
      <c r="K4825" s="5" t="s">
        <v>15173</v>
      </c>
      <c r="L4825" s="13">
        <v>111220878</v>
      </c>
      <c r="M4825" t="str">
        <f>VLOOKUP(L4825,[1]DevMouse!$B$2:$C$2693,2,FALSE)</f>
        <v>r9Trs</v>
      </c>
    </row>
    <row r="4826" spans="2:13" x14ac:dyDescent="0.25">
      <c r="B4826" s="36"/>
      <c r="C4826" s="20"/>
      <c r="D4826" s="25" t="s">
        <v>26232</v>
      </c>
      <c r="E4826" s="20" t="s">
        <v>26300</v>
      </c>
      <c r="F4826" s="9" t="str">
        <f t="shared" si="68"/>
        <v>structure with developmental contribution from neural crest</v>
      </c>
      <c r="G4826" s="9" t="s">
        <v>5090</v>
      </c>
      <c r="H4826" s="9" t="s">
        <v>18115</v>
      </c>
      <c r="I4826" s="9" t="s">
        <v>8967</v>
      </c>
      <c r="J4826" s="9" t="s">
        <v>8968</v>
      </c>
      <c r="K4826" s="5" t="s">
        <v>15173</v>
      </c>
      <c r="L4826" s="13">
        <v>111220880</v>
      </c>
      <c r="M4826" t="str">
        <f>VLOOKUP(L4826,[1]DevMouse!$B$2:$C$2693,2,FALSE)</f>
        <v>r9Limp</v>
      </c>
    </row>
    <row r="4827" spans="2:13" x14ac:dyDescent="0.25">
      <c r="B4827" s="36"/>
      <c r="C4827" s="20"/>
      <c r="D4827" s="25" t="s">
        <v>26232</v>
      </c>
      <c r="E4827" s="25"/>
      <c r="F4827" s="9" t="str">
        <f t="shared" si="68"/>
        <v>structure with developmental contribution from neural crest</v>
      </c>
      <c r="G4827" s="9" t="s">
        <v>5090</v>
      </c>
      <c r="H4827" s="9" t="s">
        <v>18118</v>
      </c>
      <c r="I4827" s="9" t="s">
        <v>8969</v>
      </c>
      <c r="J4827" s="9" t="s">
        <v>8970</v>
      </c>
      <c r="K4827" s="5" t="s">
        <v>15173</v>
      </c>
      <c r="L4827" s="13">
        <v>111220882</v>
      </c>
      <c r="M4827" t="str">
        <f>VLOOKUP(L4827,[1]DevMouse!$B$2:$C$2693,2,FALSE)</f>
        <v>r9Limi</v>
      </c>
    </row>
    <row r="4828" spans="2:13" x14ac:dyDescent="0.25">
      <c r="B4828" s="36"/>
      <c r="C4828" s="20"/>
      <c r="D4828" s="25" t="s">
        <v>26232</v>
      </c>
      <c r="E4828" s="25"/>
      <c r="F4828" s="9" t="str">
        <f t="shared" si="68"/>
        <v>structure with developmental contribution from neural crest</v>
      </c>
      <c r="G4828" s="9" t="s">
        <v>5090</v>
      </c>
      <c r="H4828" s="9" t="s">
        <v>18120</v>
      </c>
      <c r="I4828" s="9" t="s">
        <v>8971</v>
      </c>
      <c r="J4828" s="9" t="s">
        <v>8972</v>
      </c>
      <c r="K4828" s="5" t="s">
        <v>15173</v>
      </c>
      <c r="L4828" s="13">
        <v>111220884</v>
      </c>
      <c r="M4828" t="str">
        <f>VLOOKUP(L4828,[1]DevMouse!$B$2:$C$2693,2,FALSE)</f>
        <v>r9Lims</v>
      </c>
    </row>
    <row r="4829" spans="2:13" x14ac:dyDescent="0.25">
      <c r="B4829" s="36"/>
      <c r="C4829" s="20"/>
      <c r="D4829" s="25" t="s">
        <v>26232</v>
      </c>
      <c r="E4829" s="25"/>
      <c r="F4829" s="9" t="str">
        <f t="shared" si="68"/>
        <v>structure with developmental contribution from neural crest</v>
      </c>
      <c r="G4829" s="9" t="s">
        <v>5090</v>
      </c>
      <c r="H4829" s="9" t="s">
        <v>18123</v>
      </c>
      <c r="I4829" s="9" t="s">
        <v>8973</v>
      </c>
      <c r="J4829" s="9" t="s">
        <v>8974</v>
      </c>
      <c r="K4829" s="5" t="s">
        <v>15173</v>
      </c>
      <c r="L4829" s="13">
        <v>111220886</v>
      </c>
      <c r="M4829" t="str">
        <f>VLOOKUP(L4829,[1]DevMouse!$B$2:$C$2693,2,FALSE)</f>
        <v>r9Bv</v>
      </c>
    </row>
    <row r="4830" spans="2:13" x14ac:dyDescent="0.25">
      <c r="B4830" s="31" t="s">
        <v>26303</v>
      </c>
      <c r="C4830" s="20"/>
      <c r="D4830" s="25" t="s">
        <v>26232</v>
      </c>
      <c r="E4830" s="20" t="s">
        <v>26300</v>
      </c>
      <c r="F4830" s="9" t="str">
        <f t="shared" si="68"/>
        <v>structure with developmental contribution from neural crest</v>
      </c>
      <c r="G4830" s="9" t="s">
        <v>5090</v>
      </c>
      <c r="H4830" s="9" t="s">
        <v>18124</v>
      </c>
      <c r="I4830" s="9" t="s">
        <v>8975</v>
      </c>
      <c r="J4830" s="9" t="s">
        <v>8976</v>
      </c>
      <c r="K4830" s="5" t="s">
        <v>15173</v>
      </c>
      <c r="L4830" s="13">
        <v>111220888</v>
      </c>
      <c r="M4830" t="str">
        <f>VLOOKUP(L4830,[1]DevMouse!$B$2:$C$2693,2,FALSE)</f>
        <v>r9Bm</v>
      </c>
    </row>
    <row r="4831" spans="2:13" x14ac:dyDescent="0.25">
      <c r="B4831" s="36"/>
      <c r="C4831" s="20"/>
      <c r="D4831" s="25" t="s">
        <v>26232</v>
      </c>
      <c r="E4831" s="25"/>
      <c r="F4831" s="9" t="str">
        <f t="shared" si="68"/>
        <v>structure with developmental contribution from neural crest</v>
      </c>
      <c r="G4831" s="9" t="s">
        <v>5090</v>
      </c>
      <c r="H4831" s="9" t="s">
        <v>18170</v>
      </c>
      <c r="I4831" s="9" t="s">
        <v>8977</v>
      </c>
      <c r="J4831" s="9" t="s">
        <v>8978</v>
      </c>
      <c r="K4831" s="5" t="s">
        <v>15173</v>
      </c>
      <c r="L4831" s="13">
        <v>111220890</v>
      </c>
      <c r="M4831" t="str">
        <f>VLOOKUP(L4831,[1]DevMouse!$B$2:$C$2693,2,FALSE)</f>
        <v>r10Av</v>
      </c>
    </row>
    <row r="4832" spans="2:13" x14ac:dyDescent="0.25">
      <c r="B4832" s="31" t="s">
        <v>26303</v>
      </c>
      <c r="C4832" s="20"/>
      <c r="D4832" s="25" t="s">
        <v>26232</v>
      </c>
      <c r="E4832" s="20" t="s">
        <v>26300</v>
      </c>
      <c r="F4832" s="9" t="str">
        <f t="shared" si="68"/>
        <v>structure with developmental contribution from neural crest</v>
      </c>
      <c r="G4832" s="9" t="s">
        <v>5090</v>
      </c>
      <c r="H4832" s="9" t="s">
        <v>18171</v>
      </c>
      <c r="I4832" s="9" t="s">
        <v>8979</v>
      </c>
      <c r="J4832" s="9" t="s">
        <v>8980</v>
      </c>
      <c r="K4832" s="5" t="s">
        <v>15173</v>
      </c>
      <c r="L4832" s="13">
        <v>111220892</v>
      </c>
      <c r="M4832" t="str">
        <f>VLOOKUP(L4832,[1]DevMouse!$B$2:$C$2693,2,FALSE)</f>
        <v>r10Am</v>
      </c>
    </row>
    <row r="4833" spans="2:13" x14ac:dyDescent="0.25">
      <c r="B4833" s="36"/>
      <c r="C4833" s="20"/>
      <c r="D4833" s="25" t="s">
        <v>26232</v>
      </c>
      <c r="E4833" s="20" t="s">
        <v>26300</v>
      </c>
      <c r="F4833" s="9" t="str">
        <f t="shared" si="68"/>
        <v>structure with developmental contribution from neural crest</v>
      </c>
      <c r="G4833" s="9" t="s">
        <v>5090</v>
      </c>
      <c r="H4833" s="9" t="s">
        <v>18175</v>
      </c>
      <c r="I4833" s="9" t="s">
        <v>8981</v>
      </c>
      <c r="J4833" s="9" t="s">
        <v>8982</v>
      </c>
      <c r="K4833" s="5" t="s">
        <v>15173</v>
      </c>
      <c r="L4833" s="13">
        <v>111220894</v>
      </c>
      <c r="M4833" t="str">
        <f>VLOOKUP(L4833,[1]DevMouse!$B$2:$C$2693,2,FALSE)</f>
        <v>r10Vep</v>
      </c>
    </row>
    <row r="4834" spans="2:13" x14ac:dyDescent="0.25">
      <c r="B4834" s="36"/>
      <c r="C4834" s="20"/>
      <c r="D4834" s="25" t="s">
        <v>26232</v>
      </c>
      <c r="E4834" s="25"/>
      <c r="F4834" s="9" t="str">
        <f t="shared" si="68"/>
        <v>structure with developmental contribution from neural crest</v>
      </c>
      <c r="G4834" s="9" t="s">
        <v>5090</v>
      </c>
      <c r="H4834" s="9" t="s">
        <v>18177</v>
      </c>
      <c r="I4834" s="9" t="s">
        <v>8983</v>
      </c>
      <c r="J4834" s="9" t="s">
        <v>8984</v>
      </c>
      <c r="K4834" s="5" t="s">
        <v>15173</v>
      </c>
      <c r="L4834" s="13">
        <v>111220896</v>
      </c>
      <c r="M4834" t="str">
        <f>VLOOKUP(L4834,[1]DevMouse!$B$2:$C$2693,2,FALSE)</f>
        <v>r10Vei</v>
      </c>
    </row>
    <row r="4835" spans="2:13" x14ac:dyDescent="0.25">
      <c r="B4835" s="36"/>
      <c r="C4835" s="20"/>
      <c r="D4835" s="25" t="s">
        <v>26232</v>
      </c>
      <c r="E4835" s="25"/>
      <c r="F4835" s="9" t="str">
        <f t="shared" si="68"/>
        <v>structure with developmental contribution from neural crest</v>
      </c>
      <c r="G4835" s="9" t="s">
        <v>5090</v>
      </c>
      <c r="H4835" s="9" t="s">
        <v>18179</v>
      </c>
      <c r="I4835" s="9" t="s">
        <v>8985</v>
      </c>
      <c r="J4835" s="9" t="s">
        <v>8986</v>
      </c>
      <c r="K4835" s="5" t="s">
        <v>15173</v>
      </c>
      <c r="L4835" s="13">
        <v>111220898</v>
      </c>
      <c r="M4835" t="str">
        <f>VLOOKUP(L4835,[1]DevMouse!$B$2:$C$2693,2,FALSE)</f>
        <v>r10Ves</v>
      </c>
    </row>
    <row r="4836" spans="2:13" x14ac:dyDescent="0.25">
      <c r="B4836" s="36"/>
      <c r="C4836" s="20"/>
      <c r="D4836" s="25" t="s">
        <v>26232</v>
      </c>
      <c r="E4836" s="20" t="s">
        <v>26300</v>
      </c>
      <c r="F4836" s="9" t="str">
        <f t="shared" si="68"/>
        <v>structure with developmental contribution from neural crest</v>
      </c>
      <c r="G4836" s="9" t="s">
        <v>5090</v>
      </c>
      <c r="H4836" s="9" t="s">
        <v>18184</v>
      </c>
      <c r="I4836" s="9" t="s">
        <v>8987</v>
      </c>
      <c r="J4836" s="9" t="s">
        <v>8988</v>
      </c>
      <c r="K4836" s="5" t="s">
        <v>15173</v>
      </c>
      <c r="L4836" s="13">
        <v>111220900</v>
      </c>
      <c r="M4836" t="str">
        <f>VLOOKUP(L4836,[1]DevMouse!$B$2:$C$2693,2,FALSE)</f>
        <v>r10Trp</v>
      </c>
    </row>
    <row r="4837" spans="2:13" x14ac:dyDescent="0.25">
      <c r="B4837" s="36"/>
      <c r="C4837" s="20"/>
      <c r="D4837" s="25" t="s">
        <v>26232</v>
      </c>
      <c r="E4837" s="25"/>
      <c r="F4837" s="9" t="str">
        <f t="shared" si="68"/>
        <v>structure with developmental contribution from neural crest</v>
      </c>
      <c r="G4837" s="9" t="s">
        <v>5090</v>
      </c>
      <c r="H4837" s="9" t="s">
        <v>18186</v>
      </c>
      <c r="I4837" s="9" t="s">
        <v>8989</v>
      </c>
      <c r="J4837" s="9" t="s">
        <v>8990</v>
      </c>
      <c r="K4837" s="5" t="s">
        <v>15173</v>
      </c>
      <c r="L4837" s="13">
        <v>111220902</v>
      </c>
      <c r="M4837" t="str">
        <f>VLOOKUP(L4837,[1]DevMouse!$B$2:$C$2693,2,FALSE)</f>
        <v>r10Tri</v>
      </c>
    </row>
    <row r="4838" spans="2:13" x14ac:dyDescent="0.25">
      <c r="B4838" s="36"/>
      <c r="C4838" s="20"/>
      <c r="D4838" s="25" t="s">
        <v>26232</v>
      </c>
      <c r="E4838" s="25"/>
      <c r="F4838" s="9" t="str">
        <f t="shared" si="68"/>
        <v>structure with developmental contribution from neural crest</v>
      </c>
      <c r="G4838" s="9" t="s">
        <v>5090</v>
      </c>
      <c r="H4838" s="9" t="s">
        <v>18189</v>
      </c>
      <c r="I4838" s="9" t="s">
        <v>8991</v>
      </c>
      <c r="J4838" s="9" t="s">
        <v>8992</v>
      </c>
      <c r="K4838" s="5" t="s">
        <v>15173</v>
      </c>
      <c r="L4838" s="13">
        <v>111220904</v>
      </c>
      <c r="M4838" t="str">
        <f>VLOOKUP(L4838,[1]DevMouse!$B$2:$C$2693,2,FALSE)</f>
        <v>r10Trs</v>
      </c>
    </row>
    <row r="4839" spans="2:13" x14ac:dyDescent="0.25">
      <c r="B4839" s="36"/>
      <c r="C4839" s="20"/>
      <c r="D4839" s="25" t="s">
        <v>26232</v>
      </c>
      <c r="E4839" s="20" t="s">
        <v>26300</v>
      </c>
      <c r="F4839" s="9" t="str">
        <f t="shared" si="68"/>
        <v>structure with developmental contribution from neural crest</v>
      </c>
      <c r="G4839" s="9" t="s">
        <v>5090</v>
      </c>
      <c r="H4839" s="9" t="s">
        <v>18196</v>
      </c>
      <c r="I4839" s="9" t="s">
        <v>8993</v>
      </c>
      <c r="J4839" s="9" t="s">
        <v>8994</v>
      </c>
      <c r="K4839" s="5" t="s">
        <v>15173</v>
      </c>
      <c r="L4839" s="13">
        <v>111220906</v>
      </c>
      <c r="M4839" t="str">
        <f>VLOOKUP(L4839,[1]DevMouse!$B$2:$C$2693,2,FALSE)</f>
        <v>r10Limp</v>
      </c>
    </row>
    <row r="4840" spans="2:13" x14ac:dyDescent="0.25">
      <c r="B4840" s="36"/>
      <c r="C4840" s="20"/>
      <c r="D4840" s="25" t="s">
        <v>26232</v>
      </c>
      <c r="E4840" s="25"/>
      <c r="F4840" s="9" t="str">
        <f t="shared" si="68"/>
        <v>structure with developmental contribution from neural crest</v>
      </c>
      <c r="G4840" s="9" t="s">
        <v>5090</v>
      </c>
      <c r="H4840" s="9" t="s">
        <v>18199</v>
      </c>
      <c r="I4840" s="9" t="s">
        <v>8995</v>
      </c>
      <c r="J4840" s="9" t="s">
        <v>8996</v>
      </c>
      <c r="K4840" s="5" t="s">
        <v>15173</v>
      </c>
      <c r="L4840" s="13">
        <v>111220908</v>
      </c>
      <c r="M4840" t="str">
        <f>VLOOKUP(L4840,[1]DevMouse!$B$2:$C$2693,2,FALSE)</f>
        <v>r10Limi</v>
      </c>
    </row>
    <row r="4841" spans="2:13" x14ac:dyDescent="0.25">
      <c r="B4841" s="36"/>
      <c r="C4841" s="20"/>
      <c r="D4841" s="25" t="s">
        <v>26232</v>
      </c>
      <c r="E4841" s="25"/>
      <c r="F4841" s="9" t="str">
        <f t="shared" si="68"/>
        <v>structure with developmental contribution from neural crest</v>
      </c>
      <c r="G4841" s="9" t="s">
        <v>5090</v>
      </c>
      <c r="H4841" s="9" t="s">
        <v>18201</v>
      </c>
      <c r="I4841" s="9" t="s">
        <v>8997</v>
      </c>
      <c r="J4841" s="9" t="s">
        <v>8998</v>
      </c>
      <c r="K4841" s="5" t="s">
        <v>15173</v>
      </c>
      <c r="L4841" s="13">
        <v>111220910</v>
      </c>
      <c r="M4841" t="str">
        <f>VLOOKUP(L4841,[1]DevMouse!$B$2:$C$2693,2,FALSE)</f>
        <v>r10Lims</v>
      </c>
    </row>
    <row r="4842" spans="2:13" x14ac:dyDescent="0.25">
      <c r="B4842" s="36"/>
      <c r="C4842" s="20"/>
      <c r="D4842" s="25" t="s">
        <v>26232</v>
      </c>
      <c r="E4842" s="25"/>
      <c r="F4842" s="9" t="str">
        <f t="shared" si="68"/>
        <v>structure with developmental contribution from neural crest</v>
      </c>
      <c r="G4842" s="9" t="s">
        <v>5090</v>
      </c>
      <c r="H4842" s="9" t="s">
        <v>18204</v>
      </c>
      <c r="I4842" s="9" t="s">
        <v>8999</v>
      </c>
      <c r="J4842" s="9" t="s">
        <v>9000</v>
      </c>
      <c r="K4842" s="5" t="s">
        <v>15173</v>
      </c>
      <c r="L4842" s="13">
        <v>111220912</v>
      </c>
      <c r="M4842" t="str">
        <f>VLOOKUP(L4842,[1]DevMouse!$B$2:$C$2693,2,FALSE)</f>
        <v>r10Bv</v>
      </c>
    </row>
    <row r="4843" spans="2:13" x14ac:dyDescent="0.25">
      <c r="B4843" s="31" t="s">
        <v>26303</v>
      </c>
      <c r="C4843" s="20"/>
      <c r="D4843" s="25" t="s">
        <v>26232</v>
      </c>
      <c r="E4843" s="20" t="s">
        <v>26300</v>
      </c>
      <c r="F4843" s="9" t="str">
        <f t="shared" si="68"/>
        <v>structure with developmental contribution from neural crest</v>
      </c>
      <c r="G4843" s="9" t="s">
        <v>5090</v>
      </c>
      <c r="H4843" s="9" t="s">
        <v>18205</v>
      </c>
      <c r="I4843" s="9" t="s">
        <v>9001</v>
      </c>
      <c r="J4843" s="9" t="s">
        <v>9002</v>
      </c>
      <c r="K4843" s="5" t="s">
        <v>15173</v>
      </c>
      <c r="L4843" s="13">
        <v>111220914</v>
      </c>
      <c r="M4843" t="str">
        <f>VLOOKUP(L4843,[1]DevMouse!$B$2:$C$2693,2,FALSE)</f>
        <v>r10Bm</v>
      </c>
    </row>
    <row r="4844" spans="2:13" x14ac:dyDescent="0.25">
      <c r="B4844" s="36"/>
      <c r="C4844" s="20"/>
      <c r="D4844" s="25" t="s">
        <v>26232</v>
      </c>
      <c r="E4844" s="25"/>
      <c r="F4844" s="9" t="str">
        <f t="shared" si="68"/>
        <v>structure with developmental contribution from neural crest</v>
      </c>
      <c r="G4844" s="9" t="s">
        <v>5090</v>
      </c>
      <c r="H4844" s="9" t="s">
        <v>18247</v>
      </c>
      <c r="I4844" s="9" t="s">
        <v>9003</v>
      </c>
      <c r="J4844" s="9" t="s">
        <v>9004</v>
      </c>
      <c r="K4844" s="5" t="s">
        <v>15173</v>
      </c>
      <c r="L4844" s="13">
        <v>111220916</v>
      </c>
      <c r="M4844" t="str">
        <f>VLOOKUP(L4844,[1]DevMouse!$B$2:$C$2693,2,FALSE)</f>
        <v>r11Av</v>
      </c>
    </row>
    <row r="4845" spans="2:13" x14ac:dyDescent="0.25">
      <c r="B4845" s="31" t="s">
        <v>26303</v>
      </c>
      <c r="C4845" s="20"/>
      <c r="D4845" s="25" t="s">
        <v>26232</v>
      </c>
      <c r="E4845" s="20" t="s">
        <v>26300</v>
      </c>
      <c r="F4845" s="9" t="str">
        <f t="shared" si="68"/>
        <v>structure with developmental contribution from neural crest</v>
      </c>
      <c r="G4845" s="9" t="s">
        <v>5090</v>
      </c>
      <c r="H4845" s="9" t="s">
        <v>18248</v>
      </c>
      <c r="I4845" s="9" t="s">
        <v>9005</v>
      </c>
      <c r="J4845" s="9" t="s">
        <v>9006</v>
      </c>
      <c r="K4845" s="5" t="s">
        <v>15173</v>
      </c>
      <c r="L4845" s="13">
        <v>111220918</v>
      </c>
      <c r="M4845" t="str">
        <f>VLOOKUP(L4845,[1]DevMouse!$B$2:$C$2693,2,FALSE)</f>
        <v>r11Am</v>
      </c>
    </row>
    <row r="4846" spans="2:13" x14ac:dyDescent="0.25">
      <c r="B4846" s="36"/>
      <c r="C4846" s="20"/>
      <c r="D4846" s="25" t="s">
        <v>26232</v>
      </c>
      <c r="E4846" s="20" t="s">
        <v>26300</v>
      </c>
      <c r="F4846" s="9" t="str">
        <f t="shared" si="68"/>
        <v>structure with developmental contribution from neural crest</v>
      </c>
      <c r="G4846" s="9" t="s">
        <v>5090</v>
      </c>
      <c r="H4846" s="9" t="s">
        <v>18252</v>
      </c>
      <c r="I4846" s="9" t="s">
        <v>9007</v>
      </c>
      <c r="J4846" s="9" t="s">
        <v>9008</v>
      </c>
      <c r="K4846" s="5" t="s">
        <v>15173</v>
      </c>
      <c r="L4846" s="13">
        <v>111220920</v>
      </c>
      <c r="M4846" t="str">
        <f>VLOOKUP(L4846,[1]DevMouse!$B$2:$C$2693,2,FALSE)</f>
        <v>r11Vep</v>
      </c>
    </row>
    <row r="4847" spans="2:13" x14ac:dyDescent="0.25">
      <c r="B4847" s="36"/>
      <c r="C4847" s="20"/>
      <c r="D4847" s="25" t="s">
        <v>26232</v>
      </c>
      <c r="E4847" s="25"/>
      <c r="F4847" s="9" t="str">
        <f t="shared" si="68"/>
        <v>structure with developmental contribution from neural crest</v>
      </c>
      <c r="G4847" s="9" t="s">
        <v>5090</v>
      </c>
      <c r="H4847" s="9" t="s">
        <v>18253</v>
      </c>
      <c r="I4847" s="9" t="s">
        <v>9009</v>
      </c>
      <c r="J4847" s="9" t="s">
        <v>9010</v>
      </c>
      <c r="K4847" s="5" t="s">
        <v>15173</v>
      </c>
      <c r="L4847" s="13">
        <v>111220922</v>
      </c>
      <c r="M4847" t="str">
        <f>VLOOKUP(L4847,[1]DevMouse!$B$2:$C$2693,2,FALSE)</f>
        <v>r11Vei</v>
      </c>
    </row>
    <row r="4848" spans="2:13" x14ac:dyDescent="0.25">
      <c r="B4848" s="36"/>
      <c r="C4848" s="20"/>
      <c r="D4848" s="25" t="s">
        <v>26232</v>
      </c>
      <c r="E4848" s="25"/>
      <c r="F4848" s="9" t="str">
        <f t="shared" si="68"/>
        <v>structure with developmental contribution from neural crest</v>
      </c>
      <c r="G4848" s="9" t="s">
        <v>5090</v>
      </c>
      <c r="H4848" s="9" t="s">
        <v>18254</v>
      </c>
      <c r="I4848" s="9" t="s">
        <v>9011</v>
      </c>
      <c r="J4848" s="9" t="s">
        <v>9012</v>
      </c>
      <c r="K4848" s="5" t="s">
        <v>15173</v>
      </c>
      <c r="L4848" s="13">
        <v>111220924</v>
      </c>
      <c r="M4848" t="str">
        <f>VLOOKUP(L4848,[1]DevMouse!$B$2:$C$2693,2,FALSE)</f>
        <v>r11Ves</v>
      </c>
    </row>
    <row r="4849" spans="2:13" x14ac:dyDescent="0.25">
      <c r="B4849" s="36"/>
      <c r="C4849" s="20"/>
      <c r="D4849" s="25" t="s">
        <v>26232</v>
      </c>
      <c r="E4849" s="20" t="s">
        <v>26300</v>
      </c>
      <c r="F4849" s="9" t="str">
        <f t="shared" si="68"/>
        <v>structure with developmental contribution from neural crest</v>
      </c>
      <c r="G4849" s="9" t="s">
        <v>5090</v>
      </c>
      <c r="H4849" s="9" t="s">
        <v>18259</v>
      </c>
      <c r="I4849" s="9" t="s">
        <v>9013</v>
      </c>
      <c r="J4849" s="9" t="s">
        <v>9014</v>
      </c>
      <c r="K4849" s="5" t="s">
        <v>15173</v>
      </c>
      <c r="L4849" s="13">
        <v>111220926</v>
      </c>
      <c r="M4849" t="str">
        <f>VLOOKUP(L4849,[1]DevMouse!$B$2:$C$2693,2,FALSE)</f>
        <v>r11Trp</v>
      </c>
    </row>
    <row r="4850" spans="2:13" x14ac:dyDescent="0.25">
      <c r="B4850" s="36"/>
      <c r="C4850" s="20"/>
      <c r="D4850" s="25" t="s">
        <v>26232</v>
      </c>
      <c r="E4850" s="25"/>
      <c r="F4850" s="9" t="str">
        <f t="shared" si="68"/>
        <v>structure with developmental contribution from neural crest</v>
      </c>
      <c r="G4850" s="9" t="s">
        <v>5090</v>
      </c>
      <c r="H4850" s="9" t="s">
        <v>18261</v>
      </c>
      <c r="I4850" s="9" t="s">
        <v>9015</v>
      </c>
      <c r="J4850" s="9" t="s">
        <v>9016</v>
      </c>
      <c r="K4850" s="5" t="s">
        <v>15173</v>
      </c>
      <c r="L4850" s="13">
        <v>111220928</v>
      </c>
      <c r="M4850" t="str">
        <f>VLOOKUP(L4850,[1]DevMouse!$B$2:$C$2693,2,FALSE)</f>
        <v>r11Tri</v>
      </c>
    </row>
    <row r="4851" spans="2:13" x14ac:dyDescent="0.25">
      <c r="B4851" s="36"/>
      <c r="C4851" s="20"/>
      <c r="D4851" s="25" t="s">
        <v>26232</v>
      </c>
      <c r="E4851" s="25"/>
      <c r="F4851" s="9" t="str">
        <f t="shared" si="68"/>
        <v>structure with developmental contribution from neural crest</v>
      </c>
      <c r="G4851" s="9" t="s">
        <v>5090</v>
      </c>
      <c r="H4851" s="9" t="s">
        <v>18264</v>
      </c>
      <c r="I4851" s="9" t="s">
        <v>9017</v>
      </c>
      <c r="J4851" s="9" t="s">
        <v>9018</v>
      </c>
      <c r="K4851" s="5" t="s">
        <v>15173</v>
      </c>
      <c r="L4851" s="13">
        <v>111220930</v>
      </c>
      <c r="M4851" t="str">
        <f>VLOOKUP(L4851,[1]DevMouse!$B$2:$C$2693,2,FALSE)</f>
        <v>r11Trs</v>
      </c>
    </row>
    <row r="4852" spans="2:13" x14ac:dyDescent="0.25">
      <c r="B4852" s="31" t="s">
        <v>26299</v>
      </c>
      <c r="C4852" s="25" t="s">
        <v>26080</v>
      </c>
      <c r="D4852" s="25" t="s">
        <v>26232</v>
      </c>
      <c r="E4852" s="20" t="s">
        <v>26300</v>
      </c>
      <c r="F4852" s="9" t="str">
        <f t="shared" si="68"/>
        <v>structure with developmental contribution from neural crest</v>
      </c>
      <c r="G4852" s="9" t="s">
        <v>5090</v>
      </c>
      <c r="H4852" s="9" t="s">
        <v>18271</v>
      </c>
      <c r="I4852" s="9" t="s">
        <v>9019</v>
      </c>
      <c r="J4852" s="9" t="s">
        <v>9020</v>
      </c>
      <c r="K4852" s="5" t="s">
        <v>15173</v>
      </c>
      <c r="L4852" s="13">
        <v>111220932</v>
      </c>
      <c r="M4852" t="str">
        <f>VLOOKUP(L4852,[1]DevMouse!$B$2:$C$2693,2,FALSE)</f>
        <v>r11Limp</v>
      </c>
    </row>
    <row r="4853" spans="2:13" x14ac:dyDescent="0.25">
      <c r="B4853" s="31" t="s">
        <v>26299</v>
      </c>
      <c r="C4853" s="25" t="s">
        <v>26080</v>
      </c>
      <c r="D4853" s="25" t="s">
        <v>26232</v>
      </c>
      <c r="E4853" s="20" t="s">
        <v>26300</v>
      </c>
      <c r="F4853" s="9" t="str">
        <f t="shared" si="68"/>
        <v>structure with developmental contribution from neural crest</v>
      </c>
      <c r="G4853" s="9" t="s">
        <v>5090</v>
      </c>
      <c r="H4853" s="9" t="s">
        <v>18274</v>
      </c>
      <c r="I4853" s="9" t="s">
        <v>9021</v>
      </c>
      <c r="J4853" s="9" t="s">
        <v>9022</v>
      </c>
      <c r="K4853" s="5" t="s">
        <v>15173</v>
      </c>
      <c r="L4853" s="13">
        <v>111220934</v>
      </c>
      <c r="M4853" t="str">
        <f>VLOOKUP(L4853,[1]DevMouse!$B$2:$C$2693,2,FALSE)</f>
        <v>r11Limi</v>
      </c>
    </row>
    <row r="4854" spans="2:13" x14ac:dyDescent="0.25">
      <c r="B4854" s="31" t="s">
        <v>26299</v>
      </c>
      <c r="C4854" s="25" t="s">
        <v>26080</v>
      </c>
      <c r="D4854" s="25" t="s">
        <v>26232</v>
      </c>
      <c r="E4854" s="20" t="s">
        <v>26300</v>
      </c>
      <c r="F4854" s="9" t="str">
        <f t="shared" si="68"/>
        <v>structure with developmental contribution from neural crest</v>
      </c>
      <c r="G4854" s="9" t="s">
        <v>5090</v>
      </c>
      <c r="H4854" s="9" t="s">
        <v>18277</v>
      </c>
      <c r="I4854" s="9" t="s">
        <v>9023</v>
      </c>
      <c r="J4854" s="9" t="s">
        <v>9024</v>
      </c>
      <c r="K4854" s="5" t="s">
        <v>15173</v>
      </c>
      <c r="L4854" s="13">
        <v>111220936</v>
      </c>
      <c r="M4854" t="str">
        <f>VLOOKUP(L4854,[1]DevMouse!$B$2:$C$2693,2,FALSE)</f>
        <v>r11Lims</v>
      </c>
    </row>
    <row r="4855" spans="2:13" x14ac:dyDescent="0.25">
      <c r="B4855" s="36"/>
      <c r="C4855" s="20"/>
      <c r="D4855" s="25" t="s">
        <v>26232</v>
      </c>
      <c r="E4855" s="25"/>
      <c r="F4855" s="9" t="str">
        <f t="shared" ref="F4855:F4918" si="69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4855" s="9" t="s">
        <v>5090</v>
      </c>
      <c r="H4855" s="9" t="s">
        <v>18280</v>
      </c>
      <c r="I4855" s="9" t="s">
        <v>9025</v>
      </c>
      <c r="J4855" s="9" t="s">
        <v>9026</v>
      </c>
      <c r="K4855" s="5" t="s">
        <v>15173</v>
      </c>
      <c r="L4855" s="13">
        <v>111220938</v>
      </c>
      <c r="M4855" t="str">
        <f>VLOOKUP(L4855,[1]DevMouse!$B$2:$C$2693,2,FALSE)</f>
        <v>r11Bv</v>
      </c>
    </row>
    <row r="4856" spans="2:13" x14ac:dyDescent="0.25">
      <c r="B4856" s="31" t="s">
        <v>26303</v>
      </c>
      <c r="C4856" s="20"/>
      <c r="D4856" s="25" t="s">
        <v>26232</v>
      </c>
      <c r="E4856" s="20" t="s">
        <v>26300</v>
      </c>
      <c r="F4856" s="9" t="str">
        <f t="shared" si="69"/>
        <v>structure with developmental contribution from neural crest</v>
      </c>
      <c r="G4856" s="9" t="s">
        <v>5090</v>
      </c>
      <c r="H4856" s="9" t="s">
        <v>18281</v>
      </c>
      <c r="I4856" s="9" t="s">
        <v>9027</v>
      </c>
      <c r="J4856" s="9" t="s">
        <v>9028</v>
      </c>
      <c r="K4856" s="5" t="s">
        <v>15173</v>
      </c>
      <c r="L4856" s="13">
        <v>111220940</v>
      </c>
      <c r="M4856" t="str">
        <f>VLOOKUP(L4856,[1]DevMouse!$B$2:$C$2693,2,FALSE)</f>
        <v>r11Bm</v>
      </c>
    </row>
    <row r="4857" spans="2:13" x14ac:dyDescent="0.25">
      <c r="B4857" s="36"/>
      <c r="C4857" s="20"/>
      <c r="D4857" s="25" t="s">
        <v>26232</v>
      </c>
      <c r="E4857" s="25"/>
      <c r="F4857" s="9" t="str">
        <f t="shared" si="69"/>
        <v>structure with developmental contribution from neural crest</v>
      </c>
      <c r="G4857" s="9" t="s">
        <v>5090</v>
      </c>
      <c r="H4857" s="9" t="s">
        <v>15999</v>
      </c>
      <c r="I4857" s="9" t="s">
        <v>9029</v>
      </c>
      <c r="J4857" s="9" t="s">
        <v>9030</v>
      </c>
      <c r="K4857" s="5" t="s">
        <v>15173</v>
      </c>
      <c r="L4857" s="13">
        <v>112892267</v>
      </c>
      <c r="M4857" t="str">
        <f>VLOOKUP(L4857,[1]DevMouse!$B$2:$C$2693,2,FALSE)</f>
        <v>Fcv</v>
      </c>
    </row>
    <row r="4858" spans="2:13" x14ac:dyDescent="0.25">
      <c r="B4858" s="31" t="s">
        <v>26303</v>
      </c>
      <c r="C4858" s="20"/>
      <c r="D4858" s="25" t="s">
        <v>26232</v>
      </c>
      <c r="E4858" s="20" t="s">
        <v>26300</v>
      </c>
      <c r="F4858" s="9" t="str">
        <f t="shared" si="69"/>
        <v>structure with developmental contribution from neural crest</v>
      </c>
      <c r="G4858" s="9" t="s">
        <v>5090</v>
      </c>
      <c r="H4858" s="9" t="s">
        <v>16000</v>
      </c>
      <c r="I4858" s="9" t="s">
        <v>9031</v>
      </c>
      <c r="J4858" s="9" t="s">
        <v>9032</v>
      </c>
      <c r="K4858" s="5" t="s">
        <v>15173</v>
      </c>
      <c r="L4858" s="13">
        <v>112892269</v>
      </c>
      <c r="M4858" t="str">
        <f>VLOOKUP(L4858,[1]DevMouse!$B$2:$C$2693,2,FALSE)</f>
        <v>Fcm</v>
      </c>
    </row>
    <row r="4859" spans="2:13" x14ac:dyDescent="0.25">
      <c r="B4859" s="36"/>
      <c r="C4859" s="20"/>
      <c r="D4859" s="25" t="s">
        <v>26232</v>
      </c>
      <c r="E4859" s="20" t="s">
        <v>26300</v>
      </c>
      <c r="F4859" s="9" t="str">
        <f t="shared" si="69"/>
        <v>structure with developmental contribution from neural crest</v>
      </c>
      <c r="G4859" s="9" t="s">
        <v>5090</v>
      </c>
      <c r="H4859" s="9" t="s">
        <v>16001</v>
      </c>
      <c r="I4859" s="9" t="s">
        <v>9033</v>
      </c>
      <c r="J4859" s="9" t="s">
        <v>9034</v>
      </c>
      <c r="K4859" s="5" t="s">
        <v>15173</v>
      </c>
      <c r="L4859" s="13">
        <v>112892271</v>
      </c>
      <c r="M4859" t="str">
        <f>VLOOKUP(L4859,[1]DevMouse!$B$2:$C$2693,2,FALSE)</f>
        <v>Fcp</v>
      </c>
    </row>
    <row r="4860" spans="2:13" x14ac:dyDescent="0.25">
      <c r="B4860" s="36"/>
      <c r="C4860" s="20"/>
      <c r="D4860" s="25" t="s">
        <v>26232</v>
      </c>
      <c r="E4860" s="25"/>
      <c r="F4860" s="9" t="str">
        <f t="shared" si="69"/>
        <v>structure with developmental contribution from neural crest</v>
      </c>
      <c r="G4860" s="9" t="s">
        <v>5090</v>
      </c>
      <c r="H4860" s="9" t="s">
        <v>16002</v>
      </c>
      <c r="I4860" s="9" t="s">
        <v>9035</v>
      </c>
      <c r="J4860" s="9" t="s">
        <v>9036</v>
      </c>
      <c r="K4860" s="5" t="s">
        <v>15173</v>
      </c>
      <c r="L4860" s="13">
        <v>112892273</v>
      </c>
      <c r="M4860" t="str">
        <f>VLOOKUP(L4860,[1]DevMouse!$B$2:$C$2693,2,FALSE)</f>
        <v>Fci</v>
      </c>
    </row>
    <row r="4861" spans="2:13" x14ac:dyDescent="0.25">
      <c r="B4861" s="36"/>
      <c r="C4861" s="20"/>
      <c r="D4861" s="25" t="s">
        <v>26232</v>
      </c>
      <c r="E4861" s="25"/>
      <c r="F4861" s="9" t="str">
        <f t="shared" si="69"/>
        <v>structure with developmental contribution from neural crest</v>
      </c>
      <c r="G4861" s="9" t="s">
        <v>5090</v>
      </c>
      <c r="H4861" s="9" t="s">
        <v>16003</v>
      </c>
      <c r="I4861" s="9" t="s">
        <v>9037</v>
      </c>
      <c r="J4861" s="9" t="s">
        <v>9038</v>
      </c>
      <c r="K4861" s="5" t="s">
        <v>15173</v>
      </c>
      <c r="L4861" s="13">
        <v>112892275</v>
      </c>
      <c r="M4861" t="str">
        <f>VLOOKUP(L4861,[1]DevMouse!$B$2:$C$2693,2,FALSE)</f>
        <v>Fcs</v>
      </c>
    </row>
    <row r="4862" spans="2:13" x14ac:dyDescent="0.25">
      <c r="B4862" s="36"/>
      <c r="C4862" s="34"/>
      <c r="D4862" s="35" t="s">
        <v>26232</v>
      </c>
      <c r="E4862" s="35"/>
      <c r="F4862" s="9" t="str">
        <f t="shared" si="69"/>
        <v>structure with developmental contribution from neural crest</v>
      </c>
      <c r="G4862" s="9" t="s">
        <v>5090</v>
      </c>
      <c r="H4862" s="9" t="s">
        <v>16004</v>
      </c>
      <c r="I4862" s="9" t="s">
        <v>9039</v>
      </c>
      <c r="J4862" s="9" t="s">
        <v>9040</v>
      </c>
      <c r="K4862" s="5" t="s">
        <v>15173</v>
      </c>
      <c r="L4862" s="13">
        <v>112892277</v>
      </c>
      <c r="M4862" t="str">
        <f>VLOOKUP(L4862,[1]DevMouse!$B$2:$C$2693,2,FALSE)</f>
        <v>PyFc</v>
      </c>
    </row>
    <row r="4863" spans="2:13" x14ac:dyDescent="0.25">
      <c r="B4863" s="36"/>
      <c r="C4863" s="20"/>
      <c r="D4863" s="25" t="s">
        <v>26232</v>
      </c>
      <c r="E4863" s="35" t="s">
        <v>26306</v>
      </c>
      <c r="F4863" s="9" t="str">
        <f t="shared" si="69"/>
        <v>structure with developmental contribution from neural crest</v>
      </c>
      <c r="G4863" s="9" t="s">
        <v>5090</v>
      </c>
      <c r="H4863" s="9" t="s">
        <v>16005</v>
      </c>
      <c r="I4863" s="9" t="s">
        <v>9041</v>
      </c>
      <c r="J4863" s="9" t="s">
        <v>9042</v>
      </c>
      <c r="K4863" s="5" t="s">
        <v>15173</v>
      </c>
      <c r="L4863" s="13">
        <v>112892279</v>
      </c>
      <c r="M4863" t="str">
        <f>VLOOKUP(L4863,[1]DevMouse!$B$2:$C$2693,2,FALSE)</f>
        <v>FcMol</v>
      </c>
    </row>
    <row r="4864" spans="2:13" x14ac:dyDescent="0.25">
      <c r="B4864" s="36"/>
      <c r="C4864" s="20"/>
      <c r="D4864" s="25" t="s">
        <v>26232</v>
      </c>
      <c r="E4864" s="20" t="s">
        <v>26300</v>
      </c>
      <c r="F4864" s="9" t="str">
        <f t="shared" si="69"/>
        <v>structure with developmental contribution from neural crest</v>
      </c>
      <c r="G4864" s="9" t="s">
        <v>5090</v>
      </c>
      <c r="H4864" s="9" t="s">
        <v>17272</v>
      </c>
      <c r="I4864" s="9" t="s">
        <v>9043</v>
      </c>
      <c r="J4864" s="9" t="s">
        <v>9044</v>
      </c>
      <c r="K4864" s="5" t="s">
        <v>15173</v>
      </c>
      <c r="L4864" s="13">
        <v>112892309</v>
      </c>
      <c r="M4864" t="str">
        <f>VLOOKUP(L4864,[1]DevMouse!$B$2:$C$2693,2,FALSE)</f>
        <v>isADLp</v>
      </c>
    </row>
    <row r="4865" spans="2:13" x14ac:dyDescent="0.25">
      <c r="B4865" s="36"/>
      <c r="C4865" s="20"/>
      <c r="D4865" s="25" t="s">
        <v>26232</v>
      </c>
      <c r="E4865" s="25"/>
      <c r="F4865" s="9" t="str">
        <f t="shared" si="69"/>
        <v>structure with developmental contribution from neural crest</v>
      </c>
      <c r="G4865" s="9" t="s">
        <v>5090</v>
      </c>
      <c r="H4865" s="9" t="s">
        <v>17273</v>
      </c>
      <c r="I4865" s="9" t="s">
        <v>9045</v>
      </c>
      <c r="J4865" s="9" t="s">
        <v>9046</v>
      </c>
      <c r="K4865" s="5" t="s">
        <v>15173</v>
      </c>
      <c r="L4865" s="13">
        <v>112892311</v>
      </c>
      <c r="M4865" t="str">
        <f>VLOOKUP(L4865,[1]DevMouse!$B$2:$C$2693,2,FALSE)</f>
        <v>isADLi</v>
      </c>
    </row>
    <row r="4866" spans="2:13" x14ac:dyDescent="0.25">
      <c r="B4866" s="36"/>
      <c r="C4866" s="20"/>
      <c r="D4866" s="25" t="s">
        <v>26232</v>
      </c>
      <c r="E4866" s="25"/>
      <c r="F4866" s="9" t="str">
        <f t="shared" si="69"/>
        <v>structure with developmental contribution from neural crest</v>
      </c>
      <c r="G4866" s="9" t="s">
        <v>5090</v>
      </c>
      <c r="H4866" s="9" t="s">
        <v>17274</v>
      </c>
      <c r="I4866" s="9" t="s">
        <v>9047</v>
      </c>
      <c r="J4866" s="9" t="s">
        <v>9048</v>
      </c>
      <c r="K4866" s="5" t="s">
        <v>15173</v>
      </c>
      <c r="L4866" s="13">
        <v>112892313</v>
      </c>
      <c r="M4866" t="str">
        <f>VLOOKUP(L4866,[1]DevMouse!$B$2:$C$2693,2,FALSE)</f>
        <v>isADLs</v>
      </c>
    </row>
    <row r="4867" spans="2:13" x14ac:dyDescent="0.25">
      <c r="B4867" s="31" t="s">
        <v>26299</v>
      </c>
      <c r="C4867" s="25" t="s">
        <v>1598</v>
      </c>
      <c r="D4867" s="25" t="s">
        <v>26232</v>
      </c>
      <c r="E4867" s="25"/>
      <c r="F4867" s="9" t="str">
        <f t="shared" si="69"/>
        <v>structure with developmental contribution from neural crest</v>
      </c>
      <c r="G4867" s="9" t="s">
        <v>5090</v>
      </c>
      <c r="H4867" s="9" t="s">
        <v>17316</v>
      </c>
      <c r="I4867" s="9" t="s">
        <v>9049</v>
      </c>
      <c r="J4867" s="9" t="s">
        <v>9050</v>
      </c>
      <c r="K4867" s="5" t="s">
        <v>15173</v>
      </c>
      <c r="L4867" s="13">
        <v>112892315</v>
      </c>
      <c r="M4867" t="str">
        <f>VLOOKUP(L4867,[1]DevMouse!$B$2:$C$2693,2,FALSE)</f>
        <v>isDRW</v>
      </c>
    </row>
    <row r="4868" spans="2:13" x14ac:dyDescent="0.25">
      <c r="B4868" s="36"/>
      <c r="C4868" s="20"/>
      <c r="D4868" s="25" t="s">
        <v>26232</v>
      </c>
      <c r="E4868" s="20" t="s">
        <v>26300</v>
      </c>
      <c r="F4868" s="9" t="str">
        <f t="shared" si="69"/>
        <v>structure with developmental contribution from neural crest</v>
      </c>
      <c r="G4868" s="9" t="s">
        <v>5090</v>
      </c>
      <c r="H4868" s="9" t="s">
        <v>17348</v>
      </c>
      <c r="I4868" s="9" t="s">
        <v>9051</v>
      </c>
      <c r="J4868" s="9" t="s">
        <v>9052</v>
      </c>
      <c r="K4868" s="5" t="s">
        <v>15173</v>
      </c>
      <c r="L4868" s="13">
        <v>112892317</v>
      </c>
      <c r="M4868" t="str">
        <f>VLOOKUP(L4868,[1]DevMouse!$B$2:$C$2693,2,FALSE)</f>
        <v>isFp</v>
      </c>
    </row>
    <row r="4869" spans="2:13" x14ac:dyDescent="0.25">
      <c r="B4869" s="36"/>
      <c r="C4869" s="20"/>
      <c r="D4869" s="25" t="s">
        <v>26232</v>
      </c>
      <c r="E4869" s="25"/>
      <c r="F4869" s="9" t="str">
        <f t="shared" si="69"/>
        <v>structure with developmental contribution from neural crest</v>
      </c>
      <c r="G4869" s="9" t="s">
        <v>5090</v>
      </c>
      <c r="H4869" s="9" t="s">
        <v>17349</v>
      </c>
      <c r="I4869" s="9" t="s">
        <v>9053</v>
      </c>
      <c r="J4869" s="9" t="s">
        <v>9054</v>
      </c>
      <c r="K4869" s="5" t="s">
        <v>15173</v>
      </c>
      <c r="L4869" s="13">
        <v>112892319</v>
      </c>
      <c r="M4869" t="str">
        <f>VLOOKUP(L4869,[1]DevMouse!$B$2:$C$2693,2,FALSE)</f>
        <v>isFi</v>
      </c>
    </row>
    <row r="4870" spans="2:13" x14ac:dyDescent="0.25">
      <c r="B4870" s="36"/>
      <c r="C4870" s="20"/>
      <c r="D4870" s="25" t="s">
        <v>26232</v>
      </c>
      <c r="E4870" s="25"/>
      <c r="F4870" s="9" t="str">
        <f t="shared" si="69"/>
        <v>structure with developmental contribution from neural crest</v>
      </c>
      <c r="G4870" s="9" t="s">
        <v>5090</v>
      </c>
      <c r="H4870" s="9" t="s">
        <v>17350</v>
      </c>
      <c r="I4870" s="9" t="s">
        <v>9055</v>
      </c>
      <c r="J4870" s="9" t="s">
        <v>9056</v>
      </c>
      <c r="K4870" s="5" t="s">
        <v>15173</v>
      </c>
      <c r="L4870" s="13">
        <v>112892321</v>
      </c>
      <c r="M4870" t="str">
        <f>VLOOKUP(L4870,[1]DevMouse!$B$2:$C$2693,2,FALSE)</f>
        <v>isFs</v>
      </c>
    </row>
    <row r="4871" spans="2:13" x14ac:dyDescent="0.25">
      <c r="B4871" s="36"/>
      <c r="C4871" s="20"/>
      <c r="D4871" s="25" t="s">
        <v>26232</v>
      </c>
      <c r="E4871" s="25"/>
      <c r="F4871" s="9" t="str">
        <f t="shared" si="69"/>
        <v>structure with developmental contribution from neural crest</v>
      </c>
      <c r="G4871" s="9" t="s">
        <v>5090</v>
      </c>
      <c r="H4871" s="9" t="s">
        <v>17478</v>
      </c>
      <c r="I4871" s="9" t="s">
        <v>1920</v>
      </c>
      <c r="J4871" s="9" t="s">
        <v>1921</v>
      </c>
      <c r="K4871" s="5" t="s">
        <v>15173</v>
      </c>
      <c r="L4871" s="13">
        <v>112892323</v>
      </c>
      <c r="M4871" t="str">
        <f>VLOOKUP(L4871,[1]DevMouse!$B$2:$C$2693,2,FALSE)</f>
        <v>r1Fv</v>
      </c>
    </row>
    <row r="4872" spans="2:13" x14ac:dyDescent="0.25">
      <c r="B4872" s="31" t="s">
        <v>26303</v>
      </c>
      <c r="C4872" s="20"/>
      <c r="D4872" s="25" t="s">
        <v>26232</v>
      </c>
      <c r="E4872" s="20" t="s">
        <v>26300</v>
      </c>
      <c r="F4872" s="9" t="str">
        <f t="shared" si="69"/>
        <v>structure with developmental contribution from neural crest</v>
      </c>
      <c r="G4872" s="9" t="s">
        <v>5090</v>
      </c>
      <c r="H4872" s="9" t="s">
        <v>17479</v>
      </c>
      <c r="I4872" s="9" t="s">
        <v>1922</v>
      </c>
      <c r="J4872" s="9" t="s">
        <v>1923</v>
      </c>
      <c r="K4872" s="5" t="s">
        <v>15173</v>
      </c>
      <c r="L4872" s="13">
        <v>112892325</v>
      </c>
      <c r="M4872" t="str">
        <f>VLOOKUP(L4872,[1]DevMouse!$B$2:$C$2693,2,FALSE)</f>
        <v>r1Fm</v>
      </c>
    </row>
    <row r="4873" spans="2:13" x14ac:dyDescent="0.25">
      <c r="B4873" s="36"/>
      <c r="C4873" s="20"/>
      <c r="D4873" s="25" t="s">
        <v>26232</v>
      </c>
      <c r="E4873" s="20" t="s">
        <v>26300</v>
      </c>
      <c r="F4873" s="9" t="str">
        <f t="shared" si="69"/>
        <v>structure with developmental contribution from neural crest</v>
      </c>
      <c r="G4873" s="9" t="s">
        <v>5090</v>
      </c>
      <c r="H4873" s="9" t="s">
        <v>17480</v>
      </c>
      <c r="I4873" s="9" t="s">
        <v>1924</v>
      </c>
      <c r="J4873" s="9" t="s">
        <v>1925</v>
      </c>
      <c r="K4873" s="5" t="s">
        <v>15173</v>
      </c>
      <c r="L4873" s="13">
        <v>112892327</v>
      </c>
      <c r="M4873" t="str">
        <f>VLOOKUP(L4873,[1]DevMouse!$B$2:$C$2693,2,FALSE)</f>
        <v>r1Fp</v>
      </c>
    </row>
    <row r="4874" spans="2:13" x14ac:dyDescent="0.25">
      <c r="B4874" s="36"/>
      <c r="C4874" s="20"/>
      <c r="D4874" s="25" t="s">
        <v>26232</v>
      </c>
      <c r="E4874" s="25"/>
      <c r="F4874" s="9" t="str">
        <f t="shared" si="69"/>
        <v>structure with developmental contribution from neural crest</v>
      </c>
      <c r="G4874" s="9" t="s">
        <v>5090</v>
      </c>
      <c r="H4874" s="9" t="s">
        <v>17481</v>
      </c>
      <c r="I4874" s="9" t="s">
        <v>1926</v>
      </c>
      <c r="J4874" s="9" t="s">
        <v>1927</v>
      </c>
      <c r="K4874" s="5" t="s">
        <v>15173</v>
      </c>
      <c r="L4874" s="13">
        <v>112892329</v>
      </c>
      <c r="M4874" t="str">
        <f>VLOOKUP(L4874,[1]DevMouse!$B$2:$C$2693,2,FALSE)</f>
        <v>r1Fi</v>
      </c>
    </row>
    <row r="4875" spans="2:13" x14ac:dyDescent="0.25">
      <c r="B4875" s="36"/>
      <c r="C4875" s="20"/>
      <c r="D4875" s="25" t="s">
        <v>26232</v>
      </c>
      <c r="E4875" s="25"/>
      <c r="F4875" s="9" t="str">
        <f t="shared" si="69"/>
        <v>structure with developmental contribution from neural crest</v>
      </c>
      <c r="G4875" s="9" t="s">
        <v>5090</v>
      </c>
      <c r="H4875" s="9" t="s">
        <v>17482</v>
      </c>
      <c r="I4875" s="9" t="s">
        <v>1928</v>
      </c>
      <c r="J4875" s="9" t="s">
        <v>1929</v>
      </c>
      <c r="K4875" s="5" t="s">
        <v>15173</v>
      </c>
      <c r="L4875" s="13">
        <v>112892331</v>
      </c>
      <c r="M4875" t="str">
        <f>VLOOKUP(L4875,[1]DevMouse!$B$2:$C$2693,2,FALSE)</f>
        <v>r1Fs</v>
      </c>
    </row>
    <row r="4876" spans="2:13" x14ac:dyDescent="0.25">
      <c r="B4876" s="36"/>
      <c r="C4876" s="20"/>
      <c r="D4876" s="25" t="s">
        <v>26232</v>
      </c>
      <c r="E4876" s="25"/>
      <c r="F4876" s="9" t="str">
        <f t="shared" si="69"/>
        <v>structure with developmental contribution from neural crest</v>
      </c>
      <c r="G4876" s="9" t="s">
        <v>5090</v>
      </c>
      <c r="H4876" s="9" t="s">
        <v>17572</v>
      </c>
      <c r="I4876" s="9" t="s">
        <v>1930</v>
      </c>
      <c r="J4876" s="9" t="s">
        <v>1931</v>
      </c>
      <c r="K4876" s="5" t="s">
        <v>15173</v>
      </c>
      <c r="L4876" s="13">
        <v>112892333</v>
      </c>
      <c r="M4876" t="str">
        <f>VLOOKUP(L4876,[1]DevMouse!$B$2:$C$2693,2,FALSE)</f>
        <v>r2Fv</v>
      </c>
    </row>
    <row r="4877" spans="2:13" x14ac:dyDescent="0.25">
      <c r="B4877" s="31" t="s">
        <v>26303</v>
      </c>
      <c r="C4877" s="20"/>
      <c r="D4877" s="25" t="s">
        <v>26232</v>
      </c>
      <c r="E4877" s="20" t="s">
        <v>26300</v>
      </c>
      <c r="F4877" s="9" t="str">
        <f t="shared" si="69"/>
        <v>structure with developmental contribution from neural crest</v>
      </c>
      <c r="G4877" s="9" t="s">
        <v>5090</v>
      </c>
      <c r="H4877" s="9" t="s">
        <v>17573</v>
      </c>
      <c r="I4877" s="9" t="s">
        <v>1932</v>
      </c>
      <c r="J4877" s="9" t="s">
        <v>1933</v>
      </c>
      <c r="K4877" s="5" t="s">
        <v>15173</v>
      </c>
      <c r="L4877" s="13">
        <v>112892335</v>
      </c>
      <c r="M4877" t="str">
        <f>VLOOKUP(L4877,[1]DevMouse!$B$2:$C$2693,2,FALSE)</f>
        <v>r2Fm</v>
      </c>
    </row>
    <row r="4878" spans="2:13" x14ac:dyDescent="0.25">
      <c r="B4878" s="36"/>
      <c r="C4878" s="20"/>
      <c r="D4878" s="25" t="s">
        <v>26232</v>
      </c>
      <c r="E4878" s="20" t="s">
        <v>26300</v>
      </c>
      <c r="F4878" s="9" t="str">
        <f t="shared" si="69"/>
        <v>structure with developmental contribution from neural crest</v>
      </c>
      <c r="G4878" s="9" t="s">
        <v>5090</v>
      </c>
      <c r="H4878" s="9" t="s">
        <v>17574</v>
      </c>
      <c r="I4878" s="9" t="s">
        <v>1934</v>
      </c>
      <c r="J4878" s="9" t="s">
        <v>1935</v>
      </c>
      <c r="K4878" s="5" t="s">
        <v>15173</v>
      </c>
      <c r="L4878" s="13">
        <v>112892337</v>
      </c>
      <c r="M4878" t="str">
        <f>VLOOKUP(L4878,[1]DevMouse!$B$2:$C$2693,2,FALSE)</f>
        <v>r2Fp</v>
      </c>
    </row>
    <row r="4879" spans="2:13" x14ac:dyDescent="0.25">
      <c r="B4879" s="36"/>
      <c r="C4879" s="20"/>
      <c r="D4879" s="25" t="s">
        <v>26232</v>
      </c>
      <c r="E4879" s="25"/>
      <c r="F4879" s="9" t="str">
        <f t="shared" si="69"/>
        <v>structure with developmental contribution from neural crest</v>
      </c>
      <c r="G4879" s="9" t="s">
        <v>5090</v>
      </c>
      <c r="H4879" s="9" t="s">
        <v>17575</v>
      </c>
      <c r="I4879" s="9" t="s">
        <v>1936</v>
      </c>
      <c r="J4879" s="9" t="s">
        <v>1937</v>
      </c>
      <c r="K4879" s="5" t="s">
        <v>15173</v>
      </c>
      <c r="L4879" s="13">
        <v>112892339</v>
      </c>
      <c r="M4879" t="str">
        <f>VLOOKUP(L4879,[1]DevMouse!$B$2:$C$2693,2,FALSE)</f>
        <v>r2Fi</v>
      </c>
    </row>
    <row r="4880" spans="2:13" x14ac:dyDescent="0.25">
      <c r="B4880" s="36"/>
      <c r="C4880" s="20"/>
      <c r="D4880" s="25" t="s">
        <v>26232</v>
      </c>
      <c r="E4880" s="25"/>
      <c r="F4880" s="9" t="str">
        <f t="shared" si="69"/>
        <v>structure with developmental contribution from neural crest</v>
      </c>
      <c r="G4880" s="9" t="s">
        <v>5090</v>
      </c>
      <c r="H4880" s="9" t="s">
        <v>17576</v>
      </c>
      <c r="I4880" s="9" t="s">
        <v>1938</v>
      </c>
      <c r="J4880" s="9" t="s">
        <v>1939</v>
      </c>
      <c r="K4880" s="5" t="s">
        <v>15173</v>
      </c>
      <c r="L4880" s="13">
        <v>112892341</v>
      </c>
      <c r="M4880" t="str">
        <f>VLOOKUP(L4880,[1]DevMouse!$B$2:$C$2693,2,FALSE)</f>
        <v>r2Fs</v>
      </c>
    </row>
    <row r="4881" spans="2:13" x14ac:dyDescent="0.25">
      <c r="B4881" s="36"/>
      <c r="C4881" s="20"/>
      <c r="D4881" s="25" t="s">
        <v>26232</v>
      </c>
      <c r="E4881" s="25"/>
      <c r="F4881" s="9" t="str">
        <f t="shared" si="69"/>
        <v>structure with developmental contribution from neural crest</v>
      </c>
      <c r="G4881" s="9" t="s">
        <v>5090</v>
      </c>
      <c r="H4881" s="9" t="s">
        <v>17658</v>
      </c>
      <c r="I4881" s="9" t="s">
        <v>1940</v>
      </c>
      <c r="J4881" s="9" t="s">
        <v>1941</v>
      </c>
      <c r="K4881" s="5" t="s">
        <v>15173</v>
      </c>
      <c r="L4881" s="13">
        <v>112892343</v>
      </c>
      <c r="M4881" t="str">
        <f>VLOOKUP(L4881,[1]DevMouse!$B$2:$C$2693,2,FALSE)</f>
        <v>r3Fv</v>
      </c>
    </row>
    <row r="4882" spans="2:13" x14ac:dyDescent="0.25">
      <c r="B4882" s="31" t="s">
        <v>26303</v>
      </c>
      <c r="C4882" s="20"/>
      <c r="D4882" s="25" t="s">
        <v>26232</v>
      </c>
      <c r="E4882" s="20" t="s">
        <v>26300</v>
      </c>
      <c r="F4882" s="9" t="str">
        <f t="shared" si="69"/>
        <v>structure with developmental contribution from neural crest</v>
      </c>
      <c r="G4882" s="9" t="s">
        <v>5090</v>
      </c>
      <c r="H4882" s="9" t="s">
        <v>17659</v>
      </c>
      <c r="I4882" s="9" t="s">
        <v>1942</v>
      </c>
      <c r="J4882" s="9" t="s">
        <v>1943</v>
      </c>
      <c r="K4882" s="5" t="s">
        <v>15173</v>
      </c>
      <c r="L4882" s="13">
        <v>112892345</v>
      </c>
      <c r="M4882" t="str">
        <f>VLOOKUP(L4882,[1]DevMouse!$B$2:$C$2693,2,FALSE)</f>
        <v>r3Fm</v>
      </c>
    </row>
    <row r="4883" spans="2:13" x14ac:dyDescent="0.25">
      <c r="B4883" s="36"/>
      <c r="C4883" s="20"/>
      <c r="D4883" s="25" t="s">
        <v>26232</v>
      </c>
      <c r="E4883" s="20" t="s">
        <v>26300</v>
      </c>
      <c r="F4883" s="9" t="str">
        <f t="shared" si="69"/>
        <v>structure with developmental contribution from neural crest</v>
      </c>
      <c r="G4883" s="9" t="s">
        <v>5090</v>
      </c>
      <c r="H4883" s="9" t="s">
        <v>17660</v>
      </c>
      <c r="I4883" s="9" t="s">
        <v>1944</v>
      </c>
      <c r="J4883" s="9" t="s">
        <v>1945</v>
      </c>
      <c r="K4883" s="5" t="s">
        <v>15173</v>
      </c>
      <c r="L4883" s="13">
        <v>112892347</v>
      </c>
      <c r="M4883" t="str">
        <f>VLOOKUP(L4883,[1]DevMouse!$B$2:$C$2693,2,FALSE)</f>
        <v>r3Fp</v>
      </c>
    </row>
    <row r="4884" spans="2:13" x14ac:dyDescent="0.25">
      <c r="B4884" s="36"/>
      <c r="C4884" s="20"/>
      <c r="D4884" s="25" t="s">
        <v>26232</v>
      </c>
      <c r="E4884" s="25"/>
      <c r="F4884" s="9" t="str">
        <f t="shared" si="69"/>
        <v>structure with developmental contribution from neural crest</v>
      </c>
      <c r="G4884" s="9" t="s">
        <v>5090</v>
      </c>
      <c r="H4884" s="9" t="s">
        <v>17661</v>
      </c>
      <c r="I4884" s="9" t="s">
        <v>1946</v>
      </c>
      <c r="J4884" s="9" t="s">
        <v>1947</v>
      </c>
      <c r="K4884" s="5" t="s">
        <v>15173</v>
      </c>
      <c r="L4884" s="13">
        <v>112892349</v>
      </c>
      <c r="M4884" t="str">
        <f>VLOOKUP(L4884,[1]DevMouse!$B$2:$C$2693,2,FALSE)</f>
        <v>r3Fi</v>
      </c>
    </row>
    <row r="4885" spans="2:13" x14ac:dyDescent="0.25">
      <c r="B4885" s="36"/>
      <c r="C4885" s="20"/>
      <c r="D4885" s="25" t="s">
        <v>26232</v>
      </c>
      <c r="E4885" s="25"/>
      <c r="F4885" s="9" t="str">
        <f t="shared" si="69"/>
        <v>structure with developmental contribution from neural crest</v>
      </c>
      <c r="G4885" s="9" t="s">
        <v>5090</v>
      </c>
      <c r="H4885" s="9" t="s">
        <v>17662</v>
      </c>
      <c r="I4885" s="9" t="s">
        <v>1948</v>
      </c>
      <c r="J4885" s="9" t="s">
        <v>1949</v>
      </c>
      <c r="K4885" s="5" t="s">
        <v>15173</v>
      </c>
      <c r="L4885" s="13">
        <v>112892351</v>
      </c>
      <c r="M4885" t="str">
        <f>VLOOKUP(L4885,[1]DevMouse!$B$2:$C$2693,2,FALSE)</f>
        <v>r3Fs</v>
      </c>
    </row>
    <row r="4886" spans="2:13" x14ac:dyDescent="0.25">
      <c r="B4886" s="36"/>
      <c r="C4886" s="20"/>
      <c r="D4886" s="25" t="s">
        <v>26232</v>
      </c>
      <c r="E4886" s="25"/>
      <c r="F4886" s="9" t="str">
        <f t="shared" si="69"/>
        <v>structure with developmental contribution from neural crest</v>
      </c>
      <c r="G4886" s="9" t="s">
        <v>5090</v>
      </c>
      <c r="H4886" s="9" t="s">
        <v>17742</v>
      </c>
      <c r="I4886" s="9" t="s">
        <v>1950</v>
      </c>
      <c r="J4886" s="9" t="s">
        <v>1951</v>
      </c>
      <c r="K4886" s="5" t="s">
        <v>15173</v>
      </c>
      <c r="L4886" s="13">
        <v>112892353</v>
      </c>
      <c r="M4886" t="str">
        <f>VLOOKUP(L4886,[1]DevMouse!$B$2:$C$2693,2,FALSE)</f>
        <v>r4Fv</v>
      </c>
    </row>
    <row r="4887" spans="2:13" x14ac:dyDescent="0.25">
      <c r="B4887" s="31" t="s">
        <v>26303</v>
      </c>
      <c r="C4887" s="20"/>
      <c r="D4887" s="25" t="s">
        <v>26232</v>
      </c>
      <c r="E4887" s="20" t="s">
        <v>26300</v>
      </c>
      <c r="F4887" s="9" t="str">
        <f t="shared" si="69"/>
        <v>structure with developmental contribution from neural crest</v>
      </c>
      <c r="G4887" s="9" t="s">
        <v>5090</v>
      </c>
      <c r="H4887" s="9" t="s">
        <v>17743</v>
      </c>
      <c r="I4887" s="9" t="s">
        <v>1952</v>
      </c>
      <c r="J4887" s="9" t="s">
        <v>1953</v>
      </c>
      <c r="K4887" s="5" t="s">
        <v>15173</v>
      </c>
      <c r="L4887" s="13">
        <v>112892355</v>
      </c>
      <c r="M4887" t="str">
        <f>VLOOKUP(L4887,[1]DevMouse!$B$2:$C$2693,2,FALSE)</f>
        <v>r4Fm</v>
      </c>
    </row>
    <row r="4888" spans="2:13" x14ac:dyDescent="0.25">
      <c r="B4888" s="36"/>
      <c r="C4888" s="20"/>
      <c r="D4888" s="25" t="s">
        <v>26232</v>
      </c>
      <c r="E4888" s="20" t="s">
        <v>26300</v>
      </c>
      <c r="F4888" s="9" t="str">
        <f t="shared" si="69"/>
        <v>structure with developmental contribution from neural crest</v>
      </c>
      <c r="G4888" s="9" t="s">
        <v>5090</v>
      </c>
      <c r="H4888" s="9" t="s">
        <v>17744</v>
      </c>
      <c r="I4888" s="9" t="s">
        <v>1954</v>
      </c>
      <c r="J4888" s="9" t="s">
        <v>1955</v>
      </c>
      <c r="K4888" s="5" t="s">
        <v>15173</v>
      </c>
      <c r="L4888" s="13">
        <v>112892357</v>
      </c>
      <c r="M4888" t="str">
        <f>VLOOKUP(L4888,[1]DevMouse!$B$2:$C$2693,2,FALSE)</f>
        <v>r4Fp</v>
      </c>
    </row>
    <row r="4889" spans="2:13" x14ac:dyDescent="0.25">
      <c r="B4889" s="36"/>
      <c r="C4889" s="20"/>
      <c r="D4889" s="25" t="s">
        <v>26232</v>
      </c>
      <c r="E4889" s="25"/>
      <c r="F4889" s="9" t="str">
        <f t="shared" si="69"/>
        <v>structure with developmental contribution from neural crest</v>
      </c>
      <c r="G4889" s="9" t="s">
        <v>5090</v>
      </c>
      <c r="H4889" s="9" t="s">
        <v>17745</v>
      </c>
      <c r="I4889" s="9" t="s">
        <v>1956</v>
      </c>
      <c r="J4889" s="9" t="s">
        <v>1957</v>
      </c>
      <c r="K4889" s="5" t="s">
        <v>15173</v>
      </c>
      <c r="L4889" s="13">
        <v>112892359</v>
      </c>
      <c r="M4889" t="str">
        <f>VLOOKUP(L4889,[1]DevMouse!$B$2:$C$2693,2,FALSE)</f>
        <v>r4Fi</v>
      </c>
    </row>
    <row r="4890" spans="2:13" x14ac:dyDescent="0.25">
      <c r="B4890" s="36"/>
      <c r="C4890" s="20"/>
      <c r="D4890" s="25" t="s">
        <v>26232</v>
      </c>
      <c r="E4890" s="25"/>
      <c r="F4890" s="9" t="str">
        <f t="shared" si="69"/>
        <v>structure with developmental contribution from neural crest</v>
      </c>
      <c r="G4890" s="9" t="s">
        <v>5090</v>
      </c>
      <c r="H4890" s="9" t="s">
        <v>17746</v>
      </c>
      <c r="I4890" s="9" t="s">
        <v>1958</v>
      </c>
      <c r="J4890" s="9" t="s">
        <v>1959</v>
      </c>
      <c r="K4890" s="5" t="s">
        <v>15173</v>
      </c>
      <c r="L4890" s="13">
        <v>112892361</v>
      </c>
      <c r="M4890" t="str">
        <f>VLOOKUP(L4890,[1]DevMouse!$B$2:$C$2693,2,FALSE)</f>
        <v>r4Fs</v>
      </c>
    </row>
    <row r="4891" spans="2:13" x14ac:dyDescent="0.25">
      <c r="B4891" s="36"/>
      <c r="C4891" s="20"/>
      <c r="D4891" s="25" t="s">
        <v>26232</v>
      </c>
      <c r="E4891" s="25"/>
      <c r="F4891" s="9" t="str">
        <f t="shared" si="69"/>
        <v>structure with developmental contribution from neural crest</v>
      </c>
      <c r="G4891" s="9" t="s">
        <v>5090</v>
      </c>
      <c r="H4891" s="9" t="s">
        <v>17834</v>
      </c>
      <c r="I4891" s="9" t="s">
        <v>1960</v>
      </c>
      <c r="J4891" s="9" t="s">
        <v>1961</v>
      </c>
      <c r="K4891" s="5" t="s">
        <v>15173</v>
      </c>
      <c r="L4891" s="13">
        <v>112892363</v>
      </c>
      <c r="M4891" t="str">
        <f>VLOOKUP(L4891,[1]DevMouse!$B$2:$C$2693,2,FALSE)</f>
        <v>r5Fv</v>
      </c>
    </row>
    <row r="4892" spans="2:13" x14ac:dyDescent="0.25">
      <c r="B4892" s="31" t="s">
        <v>26303</v>
      </c>
      <c r="C4892" s="20"/>
      <c r="D4892" s="25" t="s">
        <v>26232</v>
      </c>
      <c r="E4892" s="20" t="s">
        <v>26300</v>
      </c>
      <c r="F4892" s="9" t="str">
        <f t="shared" si="69"/>
        <v>structure with developmental contribution from neural crest</v>
      </c>
      <c r="G4892" s="9" t="s">
        <v>5090</v>
      </c>
      <c r="H4892" s="9" t="s">
        <v>17835</v>
      </c>
      <c r="I4892" s="9" t="s">
        <v>1962</v>
      </c>
      <c r="J4892" s="9" t="s">
        <v>1963</v>
      </c>
      <c r="K4892" s="5" t="s">
        <v>15173</v>
      </c>
      <c r="L4892" s="13">
        <v>112892365</v>
      </c>
      <c r="M4892" t="str">
        <f>VLOOKUP(L4892,[1]DevMouse!$B$2:$C$2693,2,FALSE)</f>
        <v>r5Fm</v>
      </c>
    </row>
    <row r="4893" spans="2:13" x14ac:dyDescent="0.25">
      <c r="B4893" s="36"/>
      <c r="C4893" s="20"/>
      <c r="D4893" s="25" t="s">
        <v>26232</v>
      </c>
      <c r="E4893" s="20" t="s">
        <v>26300</v>
      </c>
      <c r="F4893" s="9" t="str">
        <f t="shared" si="69"/>
        <v>structure with developmental contribution from neural crest</v>
      </c>
      <c r="G4893" s="9" t="s">
        <v>5090</v>
      </c>
      <c r="H4893" s="9" t="s">
        <v>17836</v>
      </c>
      <c r="I4893" s="9" t="s">
        <v>1964</v>
      </c>
      <c r="J4893" s="9" t="s">
        <v>1965</v>
      </c>
      <c r="K4893" s="5" t="s">
        <v>15173</v>
      </c>
      <c r="L4893" s="13">
        <v>112892367</v>
      </c>
      <c r="M4893" t="str">
        <f>VLOOKUP(L4893,[1]DevMouse!$B$2:$C$2693,2,FALSE)</f>
        <v>r5Fp</v>
      </c>
    </row>
    <row r="4894" spans="2:13" x14ac:dyDescent="0.25">
      <c r="B4894" s="36"/>
      <c r="C4894" s="20"/>
      <c r="D4894" s="25" t="s">
        <v>26232</v>
      </c>
      <c r="E4894" s="25"/>
      <c r="F4894" s="9" t="str">
        <f t="shared" si="69"/>
        <v>structure with developmental contribution from neural crest</v>
      </c>
      <c r="G4894" s="9" t="s">
        <v>5090</v>
      </c>
      <c r="H4894" s="9" t="s">
        <v>17837</v>
      </c>
      <c r="I4894" s="9" t="s">
        <v>1966</v>
      </c>
      <c r="J4894" s="9" t="s">
        <v>1967</v>
      </c>
      <c r="K4894" s="5" t="s">
        <v>15173</v>
      </c>
      <c r="L4894" s="13">
        <v>112892369</v>
      </c>
      <c r="M4894" t="str">
        <f>VLOOKUP(L4894,[1]DevMouse!$B$2:$C$2693,2,FALSE)</f>
        <v>r5Fi</v>
      </c>
    </row>
    <row r="4895" spans="2:13" x14ac:dyDescent="0.25">
      <c r="B4895" s="36"/>
      <c r="C4895" s="20"/>
      <c r="D4895" s="25" t="s">
        <v>26232</v>
      </c>
      <c r="E4895" s="25"/>
      <c r="F4895" s="9" t="str">
        <f t="shared" si="69"/>
        <v>structure with developmental contribution from neural crest</v>
      </c>
      <c r="G4895" s="9" t="s">
        <v>5090</v>
      </c>
      <c r="H4895" s="9" t="s">
        <v>17838</v>
      </c>
      <c r="I4895" s="9" t="s">
        <v>1968</v>
      </c>
      <c r="J4895" s="9" t="s">
        <v>1969</v>
      </c>
      <c r="K4895" s="5" t="s">
        <v>15173</v>
      </c>
      <c r="L4895" s="13">
        <v>112892371</v>
      </c>
      <c r="M4895" t="str">
        <f>VLOOKUP(L4895,[1]DevMouse!$B$2:$C$2693,2,FALSE)</f>
        <v>r5Fs</v>
      </c>
    </row>
    <row r="4896" spans="2:13" x14ac:dyDescent="0.25">
      <c r="B4896" s="36"/>
      <c r="C4896" s="20"/>
      <c r="D4896" s="25" t="s">
        <v>26232</v>
      </c>
      <c r="E4896" s="25"/>
      <c r="F4896" s="9" t="str">
        <f t="shared" si="69"/>
        <v>structure with developmental contribution from neural crest</v>
      </c>
      <c r="G4896" s="9" t="s">
        <v>5090</v>
      </c>
      <c r="H4896" s="9" t="s">
        <v>17917</v>
      </c>
      <c r="I4896" s="9" t="s">
        <v>1970</v>
      </c>
      <c r="J4896" s="9" t="s">
        <v>1971</v>
      </c>
      <c r="K4896" s="5" t="s">
        <v>15173</v>
      </c>
      <c r="L4896" s="13">
        <v>112892373</v>
      </c>
      <c r="M4896" t="str">
        <f>VLOOKUP(L4896,[1]DevMouse!$B$2:$C$2693,2,FALSE)</f>
        <v>r6Fv</v>
      </c>
    </row>
    <row r="4897" spans="2:13" x14ac:dyDescent="0.25">
      <c r="B4897" s="31" t="s">
        <v>26303</v>
      </c>
      <c r="C4897" s="20"/>
      <c r="D4897" s="25" t="s">
        <v>26232</v>
      </c>
      <c r="E4897" s="20" t="s">
        <v>26300</v>
      </c>
      <c r="F4897" s="9" t="str">
        <f t="shared" si="69"/>
        <v>structure with developmental contribution from neural crest</v>
      </c>
      <c r="G4897" s="9" t="s">
        <v>5090</v>
      </c>
      <c r="H4897" s="9" t="s">
        <v>17918</v>
      </c>
      <c r="I4897" s="9" t="s">
        <v>1972</v>
      </c>
      <c r="J4897" s="9" t="s">
        <v>1973</v>
      </c>
      <c r="K4897" s="5" t="s">
        <v>15173</v>
      </c>
      <c r="L4897" s="13">
        <v>112892375</v>
      </c>
      <c r="M4897" t="str">
        <f>VLOOKUP(L4897,[1]DevMouse!$B$2:$C$2693,2,FALSE)</f>
        <v>r6Fm</v>
      </c>
    </row>
    <row r="4898" spans="2:13" x14ac:dyDescent="0.25">
      <c r="B4898" s="36"/>
      <c r="C4898" s="20"/>
      <c r="D4898" s="25" t="s">
        <v>26232</v>
      </c>
      <c r="E4898" s="20" t="s">
        <v>26300</v>
      </c>
      <c r="F4898" s="9" t="str">
        <f t="shared" si="69"/>
        <v>structure with developmental contribution from neural crest</v>
      </c>
      <c r="G4898" s="9" t="s">
        <v>5090</v>
      </c>
      <c r="H4898" s="9" t="s">
        <v>17919</v>
      </c>
      <c r="I4898" s="9" t="s">
        <v>1974</v>
      </c>
      <c r="J4898" s="9" t="s">
        <v>1975</v>
      </c>
      <c r="K4898" s="5" t="s">
        <v>15173</v>
      </c>
      <c r="L4898" s="13">
        <v>112892377</v>
      </c>
      <c r="M4898" t="str">
        <f>VLOOKUP(L4898,[1]DevMouse!$B$2:$C$2693,2,FALSE)</f>
        <v>r6Fp</v>
      </c>
    </row>
    <row r="4899" spans="2:13" x14ac:dyDescent="0.25">
      <c r="B4899" s="36"/>
      <c r="C4899" s="20"/>
      <c r="D4899" s="25" t="s">
        <v>26232</v>
      </c>
      <c r="E4899" s="25"/>
      <c r="F4899" s="9" t="str">
        <f t="shared" si="69"/>
        <v>structure with developmental contribution from neural crest</v>
      </c>
      <c r="G4899" s="9" t="s">
        <v>5090</v>
      </c>
      <c r="H4899" s="9" t="s">
        <v>17920</v>
      </c>
      <c r="I4899" s="9" t="s">
        <v>1976</v>
      </c>
      <c r="J4899" s="9" t="s">
        <v>1977</v>
      </c>
      <c r="K4899" s="5" t="s">
        <v>15173</v>
      </c>
      <c r="L4899" s="13">
        <v>112892379</v>
      </c>
      <c r="M4899" t="str">
        <f>VLOOKUP(L4899,[1]DevMouse!$B$2:$C$2693,2,FALSE)</f>
        <v>r6Fi</v>
      </c>
    </row>
    <row r="4900" spans="2:13" x14ac:dyDescent="0.25">
      <c r="B4900" s="36"/>
      <c r="C4900" s="20"/>
      <c r="D4900" s="25" t="s">
        <v>26232</v>
      </c>
      <c r="E4900" s="25"/>
      <c r="F4900" s="9" t="str">
        <f t="shared" si="69"/>
        <v>structure with developmental contribution from neural crest</v>
      </c>
      <c r="G4900" s="9" t="s">
        <v>5090</v>
      </c>
      <c r="H4900" s="9" t="s">
        <v>17921</v>
      </c>
      <c r="I4900" s="9" t="s">
        <v>1978</v>
      </c>
      <c r="J4900" s="9" t="s">
        <v>1979</v>
      </c>
      <c r="K4900" s="5" t="s">
        <v>15173</v>
      </c>
      <c r="L4900" s="13">
        <v>112892381</v>
      </c>
      <c r="M4900" t="str">
        <f>VLOOKUP(L4900,[1]DevMouse!$B$2:$C$2693,2,FALSE)</f>
        <v>r6Fs</v>
      </c>
    </row>
    <row r="4901" spans="2:13" x14ac:dyDescent="0.25">
      <c r="B4901" s="36"/>
      <c r="C4901" s="20"/>
      <c r="D4901" s="25" t="s">
        <v>26232</v>
      </c>
      <c r="E4901" s="25"/>
      <c r="F4901" s="9" t="str">
        <f t="shared" si="69"/>
        <v>structure with developmental contribution from neural crest</v>
      </c>
      <c r="G4901" s="9" t="s">
        <v>5090</v>
      </c>
      <c r="H4901" s="9" t="s">
        <v>18035</v>
      </c>
      <c r="I4901" s="9" t="s">
        <v>9057</v>
      </c>
      <c r="J4901" s="9" t="s">
        <v>9058</v>
      </c>
      <c r="K4901" s="5" t="s">
        <v>15173</v>
      </c>
      <c r="L4901" s="13">
        <v>112892393</v>
      </c>
      <c r="M4901" t="str">
        <f>VLOOKUP(L4901,[1]DevMouse!$B$2:$C$2693,2,FALSE)</f>
        <v>r8LimCG</v>
      </c>
    </row>
    <row r="4902" spans="2:13" x14ac:dyDescent="0.25">
      <c r="B4902" s="36"/>
      <c r="C4902" s="20"/>
      <c r="D4902" s="25" t="s">
        <v>26232</v>
      </c>
      <c r="E4902" s="25"/>
      <c r="F4902" s="9" t="str">
        <f t="shared" si="69"/>
        <v>structure with developmental contribution from neural crest</v>
      </c>
      <c r="G4902" s="9" t="s">
        <v>5090</v>
      </c>
      <c r="H4902" s="9" t="s">
        <v>18117</v>
      </c>
      <c r="I4902" s="9" t="s">
        <v>9059</v>
      </c>
      <c r="J4902" s="9" t="s">
        <v>9060</v>
      </c>
      <c r="K4902" s="5" t="s">
        <v>15173</v>
      </c>
      <c r="L4902" s="13">
        <v>112892405</v>
      </c>
      <c r="M4902" t="str">
        <f>VLOOKUP(L4902,[1]DevMouse!$B$2:$C$2693,2,FALSE)</f>
        <v>r9LimCG</v>
      </c>
    </row>
    <row r="4903" spans="2:13" x14ac:dyDescent="0.25">
      <c r="B4903" s="36"/>
      <c r="C4903" s="20"/>
      <c r="D4903" s="25" t="s">
        <v>26232</v>
      </c>
      <c r="E4903" s="25"/>
      <c r="F4903" s="9" t="str">
        <f t="shared" si="69"/>
        <v>structure with developmental contribution from neural crest</v>
      </c>
      <c r="G4903" s="9" t="s">
        <v>5090</v>
      </c>
      <c r="H4903" s="9" t="s">
        <v>18162</v>
      </c>
      <c r="I4903" s="9" t="s">
        <v>9061</v>
      </c>
      <c r="J4903" s="9" t="s">
        <v>9062</v>
      </c>
      <c r="K4903" s="5" t="s">
        <v>15173</v>
      </c>
      <c r="L4903" s="13">
        <v>112892407</v>
      </c>
      <c r="M4903" t="str">
        <f>VLOOKUP(L4903,[1]DevMouse!$B$2:$C$2693,2,FALSE)</f>
        <v>r9Fv</v>
      </c>
    </row>
    <row r="4904" spans="2:13" x14ac:dyDescent="0.25">
      <c r="B4904" s="31" t="s">
        <v>26303</v>
      </c>
      <c r="C4904" s="20"/>
      <c r="D4904" s="25" t="s">
        <v>26232</v>
      </c>
      <c r="E4904" s="20" t="s">
        <v>26300</v>
      </c>
      <c r="F4904" s="9" t="str">
        <f t="shared" si="69"/>
        <v>structure with developmental contribution from neural crest</v>
      </c>
      <c r="G4904" s="9" t="s">
        <v>5090</v>
      </c>
      <c r="H4904" s="9" t="s">
        <v>18163</v>
      </c>
      <c r="I4904" s="9" t="s">
        <v>9063</v>
      </c>
      <c r="J4904" s="9" t="s">
        <v>9064</v>
      </c>
      <c r="K4904" s="5" t="s">
        <v>15173</v>
      </c>
      <c r="L4904" s="13">
        <v>112892409</v>
      </c>
      <c r="M4904" t="str">
        <f>VLOOKUP(L4904,[1]DevMouse!$B$2:$C$2693,2,FALSE)</f>
        <v>r9Fm</v>
      </c>
    </row>
    <row r="4905" spans="2:13" x14ac:dyDescent="0.25">
      <c r="B4905" s="36"/>
      <c r="C4905" s="20"/>
      <c r="D4905" s="25" t="s">
        <v>26232</v>
      </c>
      <c r="E4905" s="20" t="s">
        <v>26300</v>
      </c>
      <c r="F4905" s="9" t="str">
        <f t="shared" si="69"/>
        <v>structure with developmental contribution from neural crest</v>
      </c>
      <c r="G4905" s="9" t="s">
        <v>5090</v>
      </c>
      <c r="H4905" s="9" t="s">
        <v>18164</v>
      </c>
      <c r="I4905" s="9" t="s">
        <v>9065</v>
      </c>
      <c r="J4905" s="9" t="s">
        <v>9066</v>
      </c>
      <c r="K4905" s="5" t="s">
        <v>15173</v>
      </c>
      <c r="L4905" s="13">
        <v>112892411</v>
      </c>
      <c r="M4905" t="str">
        <f>VLOOKUP(L4905,[1]DevMouse!$B$2:$C$2693,2,FALSE)</f>
        <v>r9Fp</v>
      </c>
    </row>
    <row r="4906" spans="2:13" x14ac:dyDescent="0.25">
      <c r="B4906" s="36"/>
      <c r="C4906" s="20"/>
      <c r="D4906" s="25" t="s">
        <v>26232</v>
      </c>
      <c r="E4906" s="25"/>
      <c r="F4906" s="9" t="str">
        <f t="shared" si="69"/>
        <v>structure with developmental contribution from neural crest</v>
      </c>
      <c r="G4906" s="9" t="s">
        <v>5090</v>
      </c>
      <c r="H4906" s="9" t="s">
        <v>18165</v>
      </c>
      <c r="I4906" s="9" t="s">
        <v>9067</v>
      </c>
      <c r="J4906" s="9" t="s">
        <v>9068</v>
      </c>
      <c r="K4906" s="5" t="s">
        <v>15173</v>
      </c>
      <c r="L4906" s="13">
        <v>112892413</v>
      </c>
      <c r="M4906" t="str">
        <f>VLOOKUP(L4906,[1]DevMouse!$B$2:$C$2693,2,FALSE)</f>
        <v>r9Fi</v>
      </c>
    </row>
    <row r="4907" spans="2:13" x14ac:dyDescent="0.25">
      <c r="B4907" s="36"/>
      <c r="C4907" s="20"/>
      <c r="D4907" s="25" t="s">
        <v>26232</v>
      </c>
      <c r="E4907" s="25"/>
      <c r="F4907" s="9" t="str">
        <f t="shared" si="69"/>
        <v>structure with developmental contribution from neural crest</v>
      </c>
      <c r="G4907" s="9" t="s">
        <v>5090</v>
      </c>
      <c r="H4907" s="9" t="s">
        <v>18166</v>
      </c>
      <c r="I4907" s="9" t="s">
        <v>9069</v>
      </c>
      <c r="J4907" s="9" t="s">
        <v>9070</v>
      </c>
      <c r="K4907" s="5" t="s">
        <v>15173</v>
      </c>
      <c r="L4907" s="13">
        <v>112892415</v>
      </c>
      <c r="M4907" t="str">
        <f>VLOOKUP(L4907,[1]DevMouse!$B$2:$C$2693,2,FALSE)</f>
        <v>r9Fs</v>
      </c>
    </row>
    <row r="4908" spans="2:13" x14ac:dyDescent="0.25">
      <c r="B4908" s="36"/>
      <c r="C4908" s="20"/>
      <c r="D4908" s="25" t="s">
        <v>26232</v>
      </c>
      <c r="E4908" s="25"/>
      <c r="F4908" s="9" t="str">
        <f t="shared" si="69"/>
        <v>structure with developmental contribution from neural crest</v>
      </c>
      <c r="G4908" s="9" t="s">
        <v>5090</v>
      </c>
      <c r="H4908" s="9" t="s">
        <v>18198</v>
      </c>
      <c r="I4908" s="9" t="s">
        <v>9071</v>
      </c>
      <c r="J4908" s="9" t="s">
        <v>9072</v>
      </c>
      <c r="K4908" s="5" t="s">
        <v>15173</v>
      </c>
      <c r="L4908" s="13">
        <v>112892417</v>
      </c>
      <c r="M4908" t="str">
        <f>VLOOKUP(L4908,[1]DevMouse!$B$2:$C$2693,2,FALSE)</f>
        <v>r10LimCG</v>
      </c>
    </row>
    <row r="4909" spans="2:13" x14ac:dyDescent="0.25">
      <c r="B4909" s="36"/>
      <c r="C4909" s="20"/>
      <c r="D4909" s="25" t="s">
        <v>26232</v>
      </c>
      <c r="E4909" s="25"/>
      <c r="F4909" s="9" t="str">
        <f t="shared" si="69"/>
        <v>structure with developmental contribution from neural crest</v>
      </c>
      <c r="G4909" s="9" t="s">
        <v>5090</v>
      </c>
      <c r="H4909" s="9" t="s">
        <v>18239</v>
      </c>
      <c r="I4909" s="9" t="s">
        <v>9073</v>
      </c>
      <c r="J4909" s="9" t="s">
        <v>9074</v>
      </c>
      <c r="K4909" s="5" t="s">
        <v>15173</v>
      </c>
      <c r="L4909" s="13">
        <v>112892419</v>
      </c>
      <c r="M4909" t="str">
        <f>VLOOKUP(L4909,[1]DevMouse!$B$2:$C$2693,2,FALSE)</f>
        <v>r10Fv</v>
      </c>
    </row>
    <row r="4910" spans="2:13" x14ac:dyDescent="0.25">
      <c r="B4910" s="31" t="s">
        <v>26303</v>
      </c>
      <c r="C4910" s="20"/>
      <c r="D4910" s="25" t="s">
        <v>26232</v>
      </c>
      <c r="E4910" s="20" t="s">
        <v>26300</v>
      </c>
      <c r="F4910" s="9" t="str">
        <f t="shared" si="69"/>
        <v>structure with developmental contribution from neural crest</v>
      </c>
      <c r="G4910" s="9" t="s">
        <v>5090</v>
      </c>
      <c r="H4910" s="9" t="s">
        <v>18240</v>
      </c>
      <c r="I4910" s="9" t="s">
        <v>9075</v>
      </c>
      <c r="J4910" s="9" t="s">
        <v>9076</v>
      </c>
      <c r="K4910" s="5" t="s">
        <v>15173</v>
      </c>
      <c r="L4910" s="13">
        <v>112892421</v>
      </c>
      <c r="M4910" t="str">
        <f>VLOOKUP(L4910,[1]DevMouse!$B$2:$C$2693,2,FALSE)</f>
        <v>r10Fm</v>
      </c>
    </row>
    <row r="4911" spans="2:13" x14ac:dyDescent="0.25">
      <c r="B4911" s="36"/>
      <c r="C4911" s="20"/>
      <c r="D4911" s="25" t="s">
        <v>26232</v>
      </c>
      <c r="E4911" s="20" t="s">
        <v>26300</v>
      </c>
      <c r="F4911" s="9" t="str">
        <f t="shared" si="69"/>
        <v>structure with developmental contribution from neural crest</v>
      </c>
      <c r="G4911" s="9" t="s">
        <v>5090</v>
      </c>
      <c r="H4911" s="9" t="s">
        <v>18241</v>
      </c>
      <c r="I4911" s="9" t="s">
        <v>9077</v>
      </c>
      <c r="J4911" s="9" t="s">
        <v>9078</v>
      </c>
      <c r="K4911" s="5" t="s">
        <v>15173</v>
      </c>
      <c r="L4911" s="13">
        <v>112892423</v>
      </c>
      <c r="M4911" t="str">
        <f>VLOOKUP(L4911,[1]DevMouse!$B$2:$C$2693,2,FALSE)</f>
        <v>r10Fp</v>
      </c>
    </row>
    <row r="4912" spans="2:13" x14ac:dyDescent="0.25">
      <c r="B4912" s="36"/>
      <c r="C4912" s="20"/>
      <c r="D4912" s="25" t="s">
        <v>26232</v>
      </c>
      <c r="E4912" s="25"/>
      <c r="F4912" s="9" t="str">
        <f t="shared" si="69"/>
        <v>structure with developmental contribution from neural crest</v>
      </c>
      <c r="G4912" s="9" t="s">
        <v>5090</v>
      </c>
      <c r="H4912" s="9" t="s">
        <v>18242</v>
      </c>
      <c r="I4912" s="9" t="s">
        <v>9079</v>
      </c>
      <c r="J4912" s="9" t="s">
        <v>9080</v>
      </c>
      <c r="K4912" s="5" t="s">
        <v>15173</v>
      </c>
      <c r="L4912" s="13">
        <v>112892425</v>
      </c>
      <c r="M4912" t="str">
        <f>VLOOKUP(L4912,[1]DevMouse!$B$2:$C$2693,2,FALSE)</f>
        <v>r10Fi</v>
      </c>
    </row>
    <row r="4913" spans="2:13" x14ac:dyDescent="0.25">
      <c r="B4913" s="36"/>
      <c r="C4913" s="20"/>
      <c r="D4913" s="25" t="s">
        <v>26232</v>
      </c>
      <c r="E4913" s="25"/>
      <c r="F4913" s="9" t="str">
        <f t="shared" si="69"/>
        <v>structure with developmental contribution from neural crest</v>
      </c>
      <c r="G4913" s="9" t="s">
        <v>5090</v>
      </c>
      <c r="H4913" s="9" t="s">
        <v>18243</v>
      </c>
      <c r="I4913" s="9" t="s">
        <v>9081</v>
      </c>
      <c r="J4913" s="9" t="s">
        <v>9082</v>
      </c>
      <c r="K4913" s="5" t="s">
        <v>15173</v>
      </c>
      <c r="L4913" s="13">
        <v>112892427</v>
      </c>
      <c r="M4913" t="str">
        <f>VLOOKUP(L4913,[1]DevMouse!$B$2:$C$2693,2,FALSE)</f>
        <v>r10Fs</v>
      </c>
    </row>
    <row r="4914" spans="2:13" x14ac:dyDescent="0.25">
      <c r="B4914" s="36"/>
      <c r="C4914" s="20"/>
      <c r="D4914" s="25" t="s">
        <v>26232</v>
      </c>
      <c r="E4914" s="25"/>
      <c r="F4914" s="9" t="str">
        <f t="shared" si="69"/>
        <v>structure with developmental contribution from neural crest</v>
      </c>
      <c r="G4914" s="9" t="s">
        <v>5090</v>
      </c>
      <c r="H4914" s="9" t="s">
        <v>18314</v>
      </c>
      <c r="I4914" s="9" t="s">
        <v>9083</v>
      </c>
      <c r="J4914" s="9" t="s">
        <v>9084</v>
      </c>
      <c r="K4914" s="5" t="s">
        <v>15173</v>
      </c>
      <c r="L4914" s="13">
        <v>112892429</v>
      </c>
      <c r="M4914" t="str">
        <f>VLOOKUP(L4914,[1]DevMouse!$B$2:$C$2693,2,FALSE)</f>
        <v>r11Fv</v>
      </c>
    </row>
    <row r="4915" spans="2:13" x14ac:dyDescent="0.25">
      <c r="B4915" s="31" t="s">
        <v>26303</v>
      </c>
      <c r="C4915" s="20"/>
      <c r="D4915" s="25" t="s">
        <v>26232</v>
      </c>
      <c r="E4915" s="20" t="s">
        <v>26300</v>
      </c>
      <c r="F4915" s="9" t="str">
        <f t="shared" si="69"/>
        <v>structure with developmental contribution from neural crest</v>
      </c>
      <c r="G4915" s="9" t="s">
        <v>5090</v>
      </c>
      <c r="H4915" s="9" t="s">
        <v>18315</v>
      </c>
      <c r="I4915" s="9" t="s">
        <v>9085</v>
      </c>
      <c r="J4915" s="9" t="s">
        <v>9086</v>
      </c>
      <c r="K4915" s="5" t="s">
        <v>15173</v>
      </c>
      <c r="L4915" s="13">
        <v>112892431</v>
      </c>
      <c r="M4915" t="str">
        <f>VLOOKUP(L4915,[1]DevMouse!$B$2:$C$2693,2,FALSE)</f>
        <v>r11Fm</v>
      </c>
    </row>
    <row r="4916" spans="2:13" x14ac:dyDescent="0.25">
      <c r="B4916" s="36"/>
      <c r="C4916" s="20"/>
      <c r="D4916" s="25" t="s">
        <v>26232</v>
      </c>
      <c r="E4916" s="20" t="s">
        <v>26300</v>
      </c>
      <c r="F4916" s="9" t="str">
        <f t="shared" si="69"/>
        <v>structure with developmental contribution from neural crest</v>
      </c>
      <c r="G4916" s="9" t="s">
        <v>5090</v>
      </c>
      <c r="H4916" s="9" t="s">
        <v>18316</v>
      </c>
      <c r="I4916" s="9" t="s">
        <v>9087</v>
      </c>
      <c r="J4916" s="9" t="s">
        <v>9088</v>
      </c>
      <c r="K4916" s="5" t="s">
        <v>15173</v>
      </c>
      <c r="L4916" s="13">
        <v>112892433</v>
      </c>
      <c r="M4916" t="str">
        <f>VLOOKUP(L4916,[1]DevMouse!$B$2:$C$2693,2,FALSE)</f>
        <v>r11Fp</v>
      </c>
    </row>
    <row r="4917" spans="2:13" x14ac:dyDescent="0.25">
      <c r="B4917" s="36"/>
      <c r="C4917" s="20"/>
      <c r="D4917" s="25" t="s">
        <v>26232</v>
      </c>
      <c r="E4917" s="25"/>
      <c r="F4917" s="9" t="str">
        <f t="shared" si="69"/>
        <v>structure with developmental contribution from neural crest</v>
      </c>
      <c r="G4917" s="9" t="s">
        <v>5090</v>
      </c>
      <c r="H4917" s="9" t="s">
        <v>18317</v>
      </c>
      <c r="I4917" s="9" t="s">
        <v>9089</v>
      </c>
      <c r="J4917" s="9" t="s">
        <v>9090</v>
      </c>
      <c r="K4917" s="5" t="s">
        <v>15173</v>
      </c>
      <c r="L4917" s="13">
        <v>112892435</v>
      </c>
      <c r="M4917" t="str">
        <f>VLOOKUP(L4917,[1]DevMouse!$B$2:$C$2693,2,FALSE)</f>
        <v>r11Fi</v>
      </c>
    </row>
    <row r="4918" spans="2:13" x14ac:dyDescent="0.25">
      <c r="B4918" s="36"/>
      <c r="C4918" s="20"/>
      <c r="D4918" s="25" t="s">
        <v>26232</v>
      </c>
      <c r="E4918" s="25"/>
      <c r="F4918" s="9" t="str">
        <f t="shared" si="69"/>
        <v>structure with developmental contribution from neural crest</v>
      </c>
      <c r="G4918" s="9" t="s">
        <v>5090</v>
      </c>
      <c r="H4918" s="9" t="s">
        <v>18318</v>
      </c>
      <c r="I4918" s="9" t="s">
        <v>9091</v>
      </c>
      <c r="J4918" s="9" t="s">
        <v>9092</v>
      </c>
      <c r="K4918" s="5" t="s">
        <v>15173</v>
      </c>
      <c r="L4918" s="13">
        <v>112892437</v>
      </c>
      <c r="M4918" t="str">
        <f>VLOOKUP(L4918,[1]DevMouse!$B$2:$C$2693,2,FALSE)</f>
        <v>r11Fs</v>
      </c>
    </row>
    <row r="4919" spans="2:13" x14ac:dyDescent="0.25">
      <c r="B4919" s="31" t="s">
        <v>26303</v>
      </c>
      <c r="C4919" s="20"/>
      <c r="D4919" s="25" t="s">
        <v>26232</v>
      </c>
      <c r="E4919" s="20" t="s">
        <v>26300</v>
      </c>
      <c r="F4919" s="9" t="str">
        <f t="shared" ref="F4919:F4982" si="70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4919" s="9" t="s">
        <v>5090</v>
      </c>
      <c r="H4919" s="9" t="s">
        <v>17235</v>
      </c>
      <c r="I4919" s="9" t="s">
        <v>9093</v>
      </c>
      <c r="J4919" s="9" t="s">
        <v>9094</v>
      </c>
      <c r="K4919" s="5" t="s">
        <v>15173</v>
      </c>
      <c r="L4919" s="13">
        <v>114403715</v>
      </c>
      <c r="M4919" t="str">
        <f>VLOOKUP(L4919,[1]DevMouse!$B$2:$C$2693,2,FALSE)</f>
        <v>isRm</v>
      </c>
    </row>
    <row r="4920" spans="2:13" x14ac:dyDescent="0.25">
      <c r="B4920" s="36"/>
      <c r="C4920" s="20"/>
      <c r="D4920" s="25" t="s">
        <v>26232</v>
      </c>
      <c r="E4920" s="20" t="s">
        <v>26300</v>
      </c>
      <c r="F4920" s="9" t="str">
        <f t="shared" si="70"/>
        <v>structure with developmental contribution from neural crest</v>
      </c>
      <c r="G4920" s="9" t="s">
        <v>5090</v>
      </c>
      <c r="H4920" s="9" t="s">
        <v>17236</v>
      </c>
      <c r="I4920" s="9" t="s">
        <v>9095</v>
      </c>
      <c r="J4920" s="9" t="s">
        <v>9096</v>
      </c>
      <c r="K4920" s="5" t="s">
        <v>15173</v>
      </c>
      <c r="L4920" s="13">
        <v>114403719</v>
      </c>
      <c r="M4920" t="str">
        <f>VLOOKUP(L4920,[1]DevMouse!$B$2:$C$2693,2,FALSE)</f>
        <v>isRp</v>
      </c>
    </row>
    <row r="4921" spans="2:13" x14ac:dyDescent="0.25">
      <c r="B4921" s="36"/>
      <c r="C4921" s="20"/>
      <c r="D4921" s="25" t="s">
        <v>26232</v>
      </c>
      <c r="E4921" s="25"/>
      <c r="F4921" s="9" t="str">
        <f t="shared" si="70"/>
        <v>structure with developmental contribution from neural crest</v>
      </c>
      <c r="G4921" s="9" t="s">
        <v>5090</v>
      </c>
      <c r="H4921" s="9" t="s">
        <v>17237</v>
      </c>
      <c r="I4921" s="9" t="s">
        <v>9097</v>
      </c>
      <c r="J4921" s="9" t="s">
        <v>9098</v>
      </c>
      <c r="K4921" s="5" t="s">
        <v>15173</v>
      </c>
      <c r="L4921" s="13">
        <v>114403723</v>
      </c>
      <c r="M4921" t="str">
        <f>VLOOKUP(L4921,[1]DevMouse!$B$2:$C$2693,2,FALSE)</f>
        <v>isRi</v>
      </c>
    </row>
    <row r="4922" spans="2:13" x14ac:dyDescent="0.25">
      <c r="B4922" s="36"/>
      <c r="C4922" s="20"/>
      <c r="D4922" s="25" t="s">
        <v>26232</v>
      </c>
      <c r="E4922" s="25"/>
      <c r="F4922" s="9" t="str">
        <f t="shared" si="70"/>
        <v>structure with developmental contribution from neural crest</v>
      </c>
      <c r="G4922" s="9" t="s">
        <v>5090</v>
      </c>
      <c r="H4922" s="9" t="s">
        <v>17238</v>
      </c>
      <c r="I4922" s="9" t="s">
        <v>9099</v>
      </c>
      <c r="J4922" s="9" t="s">
        <v>9100</v>
      </c>
      <c r="K4922" s="5" t="s">
        <v>15173</v>
      </c>
      <c r="L4922" s="13">
        <v>114403727</v>
      </c>
      <c r="M4922" t="str">
        <f>VLOOKUP(L4922,[1]DevMouse!$B$2:$C$2693,2,FALSE)</f>
        <v>isRs</v>
      </c>
    </row>
    <row r="4923" spans="2:13" x14ac:dyDescent="0.25">
      <c r="B4923" s="31" t="s">
        <v>26303</v>
      </c>
      <c r="C4923" s="25" t="s">
        <v>26233</v>
      </c>
      <c r="D4923" s="25" t="s">
        <v>26232</v>
      </c>
      <c r="E4923" s="25" t="s">
        <v>26308</v>
      </c>
      <c r="F4923" s="9" t="str">
        <f t="shared" si="70"/>
        <v>structure with developmental contribution from neural crest</v>
      </c>
      <c r="G4923" s="9" t="s">
        <v>5090</v>
      </c>
      <c r="H4923" s="9" t="s">
        <v>18303</v>
      </c>
      <c r="I4923" s="9" t="s">
        <v>9101</v>
      </c>
      <c r="J4923" s="9" t="s">
        <v>9102</v>
      </c>
      <c r="K4923" s="5" t="s">
        <v>15173</v>
      </c>
      <c r="L4923" s="13">
        <v>114403731</v>
      </c>
      <c r="M4923" t="str">
        <f>VLOOKUP(L4923,[1]DevMouse!$B$2:$C$2693,2,FALSE)</f>
        <v>r11Ro</v>
      </c>
    </row>
    <row r="4924" spans="2:13" x14ac:dyDescent="0.25">
      <c r="B4924" s="31" t="s">
        <v>26303</v>
      </c>
      <c r="C4924" s="20"/>
      <c r="D4924" s="25" t="s">
        <v>26232</v>
      </c>
      <c r="E4924" s="25" t="s">
        <v>26300</v>
      </c>
      <c r="F4924" s="9" t="str">
        <f t="shared" si="70"/>
        <v>structure with developmental contribution from neural crest</v>
      </c>
      <c r="G4924" s="9" t="s">
        <v>5090</v>
      </c>
      <c r="H4924" s="9" t="s">
        <v>17394</v>
      </c>
      <c r="I4924" s="9" t="s">
        <v>9103</v>
      </c>
      <c r="J4924" s="9" t="s">
        <v>9104</v>
      </c>
      <c r="K4924" s="5" t="s">
        <v>15173</v>
      </c>
      <c r="L4924" s="13">
        <v>124372424</v>
      </c>
      <c r="M4924" t="str">
        <f>VLOOKUP(L4924,[1]DevMouse!$B$2:$C$2693,2,FALSE)</f>
        <v>r1Y</v>
      </c>
    </row>
    <row r="4925" spans="2:13" x14ac:dyDescent="0.25">
      <c r="B4925" s="36"/>
      <c r="C4925" s="20"/>
      <c r="D4925" s="25" t="s">
        <v>26232</v>
      </c>
      <c r="E4925" s="25"/>
      <c r="F4925" s="9" t="str">
        <f t="shared" si="70"/>
        <v>structure with developmental contribution from neural crest</v>
      </c>
      <c r="G4925" s="9" t="s">
        <v>5090</v>
      </c>
      <c r="H4925" s="9" t="s">
        <v>17424</v>
      </c>
      <c r="I4925" s="9" t="s">
        <v>9105</v>
      </c>
      <c r="J4925" s="9" t="s">
        <v>9106</v>
      </c>
      <c r="K4925" s="5" t="s">
        <v>15173</v>
      </c>
      <c r="L4925" s="13">
        <v>124372428</v>
      </c>
      <c r="M4925" t="str">
        <f>VLOOKUP(L4925,[1]DevMouse!$B$2:$C$2693,2,FALSE)</f>
        <v>r1BLIZ</v>
      </c>
    </row>
    <row r="4926" spans="2:13" x14ac:dyDescent="0.25">
      <c r="B4926" s="36"/>
      <c r="C4926" s="20"/>
      <c r="D4926" s="25" t="s">
        <v>26232</v>
      </c>
      <c r="E4926" s="25"/>
      <c r="F4926" s="9" t="str">
        <f t="shared" si="70"/>
        <v>structure with developmental contribution from neural crest</v>
      </c>
      <c r="G4926" s="9" t="s">
        <v>5090</v>
      </c>
      <c r="H4926" s="9" t="s">
        <v>17443</v>
      </c>
      <c r="I4926" s="9" t="s">
        <v>9107</v>
      </c>
      <c r="J4926" s="9" t="s">
        <v>9108</v>
      </c>
      <c r="K4926" s="5" t="s">
        <v>15173</v>
      </c>
      <c r="L4926" s="13">
        <v>124372436</v>
      </c>
      <c r="M4926" t="str">
        <f>VLOOKUP(L4926,[1]DevMouse!$B$2:$C$2693,2,FALSE)</f>
        <v>r1BIIZ</v>
      </c>
    </row>
    <row r="4927" spans="2:13" x14ac:dyDescent="0.25">
      <c r="B4927" s="31" t="s">
        <v>26303</v>
      </c>
      <c r="C4927" s="25" t="s">
        <v>26125</v>
      </c>
      <c r="D4927" s="25" t="s">
        <v>26232</v>
      </c>
      <c r="E4927" s="25" t="s">
        <v>26308</v>
      </c>
      <c r="F4927" s="9" t="str">
        <f t="shared" si="70"/>
        <v>structure with developmental contribution from neural crest</v>
      </c>
      <c r="G4927" s="9" t="s">
        <v>5090</v>
      </c>
      <c r="H4927" s="9" t="s">
        <v>17448</v>
      </c>
      <c r="I4927" s="9" t="s">
        <v>9109</v>
      </c>
      <c r="J4927" s="9" t="s">
        <v>9110</v>
      </c>
      <c r="K4927" s="5" t="s">
        <v>15173</v>
      </c>
      <c r="L4927" s="13">
        <v>124372440</v>
      </c>
      <c r="M4927" t="str">
        <f>VLOOKUP(L4927,[1]DevMouse!$B$2:$C$2693,2,FALSE)</f>
        <v>r1LPn</v>
      </c>
    </row>
    <row r="4928" spans="2:13" x14ac:dyDescent="0.25">
      <c r="B4928" s="36"/>
      <c r="C4928" s="20"/>
      <c r="D4928" s="25" t="s">
        <v>26232</v>
      </c>
      <c r="E4928" s="25"/>
      <c r="F4928" s="9" t="str">
        <f t="shared" si="70"/>
        <v>structure with developmental contribution from neural crest</v>
      </c>
      <c r="G4928" s="9" t="s">
        <v>5090</v>
      </c>
      <c r="H4928" s="9" t="s">
        <v>17483</v>
      </c>
      <c r="I4928" s="9" t="s">
        <v>1980</v>
      </c>
      <c r="J4928" s="9" t="s">
        <v>1981</v>
      </c>
      <c r="K4928" s="5" t="s">
        <v>15173</v>
      </c>
      <c r="L4928" s="13">
        <v>124372444</v>
      </c>
      <c r="M4928" t="str">
        <f>VLOOKUP(L4928,[1]DevMouse!$B$2:$C$2693,2,FALSE)</f>
        <v>MnIPR</v>
      </c>
    </row>
    <row r="4929" spans="2:13" x14ac:dyDescent="0.25">
      <c r="B4929" s="36"/>
      <c r="C4929" s="20"/>
      <c r="D4929" s="25" t="s">
        <v>26232</v>
      </c>
      <c r="E4929" s="25"/>
      <c r="F4929" s="9" t="str">
        <f t="shared" si="70"/>
        <v>structure with developmental contribution from neural crest</v>
      </c>
      <c r="G4929" s="9" t="s">
        <v>5090</v>
      </c>
      <c r="H4929" s="9" t="s">
        <v>17484</v>
      </c>
      <c r="I4929" s="9" t="s">
        <v>1982</v>
      </c>
      <c r="J4929" s="9" t="s">
        <v>1983</v>
      </c>
      <c r="K4929" s="5" t="s">
        <v>15173</v>
      </c>
      <c r="L4929" s="13">
        <v>124372448</v>
      </c>
      <c r="M4929" t="str">
        <f>VLOOKUP(L4929,[1]DevMouse!$B$2:$C$2693,2,FALSE)</f>
        <v>MnIPC</v>
      </c>
    </row>
    <row r="4930" spans="2:13" x14ac:dyDescent="0.25">
      <c r="B4930" s="31" t="s">
        <v>26303</v>
      </c>
      <c r="C4930" s="20"/>
      <c r="D4930" s="25" t="s">
        <v>26232</v>
      </c>
      <c r="E4930" s="25" t="s">
        <v>26300</v>
      </c>
      <c r="F4930" s="9" t="str">
        <f t="shared" si="70"/>
        <v>structure with developmental contribution from neural crest</v>
      </c>
      <c r="G4930" s="9" t="s">
        <v>5090</v>
      </c>
      <c r="H4930" s="9" t="s">
        <v>17502</v>
      </c>
      <c r="I4930" s="9" t="s">
        <v>9111</v>
      </c>
      <c r="J4930" s="9" t="s">
        <v>9112</v>
      </c>
      <c r="K4930" s="5" t="s">
        <v>15173</v>
      </c>
      <c r="L4930" s="13">
        <v>124372452</v>
      </c>
      <c r="M4930" t="str">
        <f>VLOOKUP(L4930,[1]DevMouse!$B$2:$C$2693,2,FALSE)</f>
        <v>r2Y</v>
      </c>
    </row>
    <row r="4931" spans="2:13" x14ac:dyDescent="0.25">
      <c r="B4931" s="36"/>
      <c r="C4931" s="20"/>
      <c r="D4931" s="25" t="s">
        <v>26232</v>
      </c>
      <c r="E4931" s="25"/>
      <c r="F4931" s="9" t="str">
        <f t="shared" si="70"/>
        <v>structure with developmental contribution from neural crest</v>
      </c>
      <c r="G4931" s="9" t="s">
        <v>5090</v>
      </c>
      <c r="H4931" s="9" t="s">
        <v>17536</v>
      </c>
      <c r="I4931" s="9" t="s">
        <v>9113</v>
      </c>
      <c r="J4931" s="9" t="s">
        <v>9114</v>
      </c>
      <c r="K4931" s="5" t="s">
        <v>15173</v>
      </c>
      <c r="L4931" s="13">
        <v>124372456</v>
      </c>
      <c r="M4931" t="str">
        <f>VLOOKUP(L4931,[1]DevMouse!$B$2:$C$2693,2,FALSE)</f>
        <v>r2BLIZ</v>
      </c>
    </row>
    <row r="4932" spans="2:13" x14ac:dyDescent="0.25">
      <c r="B4932" s="31" t="s">
        <v>26303</v>
      </c>
      <c r="C4932" s="25" t="s">
        <v>26125</v>
      </c>
      <c r="D4932" s="25" t="s">
        <v>26232</v>
      </c>
      <c r="E4932" s="25" t="s">
        <v>26308</v>
      </c>
      <c r="F4932" s="9" t="str">
        <f t="shared" si="70"/>
        <v>structure with developmental contribution from neural crest</v>
      </c>
      <c r="G4932" s="9" t="s">
        <v>5090</v>
      </c>
      <c r="H4932" s="9" t="s">
        <v>17558</v>
      </c>
      <c r="I4932" s="9" t="s">
        <v>9115</v>
      </c>
      <c r="J4932" s="9" t="s">
        <v>9116</v>
      </c>
      <c r="K4932" s="5" t="s">
        <v>15173</v>
      </c>
      <c r="L4932" s="13">
        <v>124372464</v>
      </c>
      <c r="M4932" t="str">
        <f>VLOOKUP(L4932,[1]DevMouse!$B$2:$C$2693,2,FALSE)</f>
        <v>r2LPn</v>
      </c>
    </row>
    <row r="4933" spans="2:13" x14ac:dyDescent="0.25">
      <c r="B4933" s="36"/>
      <c r="C4933" s="20"/>
      <c r="D4933" s="25" t="s">
        <v>26232</v>
      </c>
      <c r="E4933" s="25"/>
      <c r="F4933" s="9" t="str">
        <f t="shared" si="70"/>
        <v>structure with developmental contribution from neural crest</v>
      </c>
      <c r="G4933" s="9" t="s">
        <v>5090</v>
      </c>
      <c r="H4933" s="9" t="s">
        <v>17626</v>
      </c>
      <c r="I4933" s="9" t="s">
        <v>9117</v>
      </c>
      <c r="J4933" s="9" t="s">
        <v>9118</v>
      </c>
      <c r="K4933" s="5" t="s">
        <v>15173</v>
      </c>
      <c r="L4933" s="13">
        <v>124372468</v>
      </c>
      <c r="M4933" t="str">
        <f>VLOOKUP(L4933,[1]DevMouse!$B$2:$C$2693,2,FALSE)</f>
        <v>r3BLIZ</v>
      </c>
    </row>
    <row r="4934" spans="2:13" x14ac:dyDescent="0.25">
      <c r="B4934" s="36"/>
      <c r="C4934" s="20"/>
      <c r="D4934" s="25" t="s">
        <v>26232</v>
      </c>
      <c r="E4934" s="25"/>
      <c r="F4934" s="9" t="str">
        <f t="shared" si="70"/>
        <v>structure with developmental contribution from neural crest</v>
      </c>
      <c r="G4934" s="9" t="s">
        <v>5090</v>
      </c>
      <c r="H4934" s="9" t="s">
        <v>17351</v>
      </c>
      <c r="I4934" s="9" t="s">
        <v>9119</v>
      </c>
      <c r="J4934" s="9" t="s">
        <v>9120</v>
      </c>
      <c r="K4934" s="5" t="s">
        <v>15173</v>
      </c>
      <c r="L4934" s="13">
        <v>126531028</v>
      </c>
      <c r="M4934" t="str">
        <f>VLOOKUP(L4934,[1]DevMouse!$B$2:$C$2693,2,FALSE)</f>
        <v>MnIPPr</v>
      </c>
    </row>
    <row r="4935" spans="2:13" x14ac:dyDescent="0.25">
      <c r="B4935" s="31" t="s">
        <v>26299</v>
      </c>
      <c r="C4935" s="25" t="s">
        <v>4949</v>
      </c>
      <c r="D4935" s="25" t="s">
        <v>26185</v>
      </c>
      <c r="E4935" s="25" t="s">
        <v>26300</v>
      </c>
      <c r="F4935" s="9" t="str">
        <f t="shared" si="70"/>
        <v>structure with developmental contribution from neural crest</v>
      </c>
      <c r="G4935" s="9" t="s">
        <v>5090</v>
      </c>
      <c r="H4935" s="9" t="s">
        <v>18522</v>
      </c>
      <c r="I4935" s="9" t="s">
        <v>9121</v>
      </c>
      <c r="J4935" s="9" t="s">
        <v>9122</v>
      </c>
      <c r="K4935" s="5" t="s">
        <v>15173</v>
      </c>
      <c r="L4935" s="13">
        <v>126651566</v>
      </c>
      <c r="M4935" t="str">
        <f>VLOOKUP(L4935,[1]DevMouse!$B$2:$C$2693,2,FALSE)</f>
        <v>v_SP</v>
      </c>
    </row>
    <row r="4936" spans="2:13" x14ac:dyDescent="0.25">
      <c r="B4936" s="31" t="s">
        <v>26299</v>
      </c>
      <c r="C4936" s="25" t="s">
        <v>4949</v>
      </c>
      <c r="D4936" s="25" t="s">
        <v>26185</v>
      </c>
      <c r="E4936" s="25" t="s">
        <v>26300</v>
      </c>
      <c r="F4936" s="9" t="str">
        <f t="shared" si="70"/>
        <v>structure with developmental contribution from neural crest</v>
      </c>
      <c r="G4936" s="9" t="s">
        <v>5090</v>
      </c>
      <c r="H4936" s="9" t="s">
        <v>18523</v>
      </c>
      <c r="I4936" s="9" t="s">
        <v>9123</v>
      </c>
      <c r="J4936" s="9" t="s">
        <v>9124</v>
      </c>
      <c r="K4936" s="5" t="s">
        <v>15173</v>
      </c>
      <c r="L4936" s="13">
        <v>126651570</v>
      </c>
      <c r="M4936" t="str">
        <f>VLOOKUP(L4936,[1]DevMouse!$B$2:$C$2693,2,FALSE)</f>
        <v>v_RSP</v>
      </c>
    </row>
    <row r="4937" spans="2:13" x14ac:dyDescent="0.25">
      <c r="B4937" s="31" t="s">
        <v>26303</v>
      </c>
      <c r="C4937" s="20"/>
      <c r="D4937" s="25" t="s">
        <v>26185</v>
      </c>
      <c r="E4937" s="25" t="s">
        <v>26300</v>
      </c>
      <c r="F4937" s="9" t="str">
        <f t="shared" si="70"/>
        <v>structure with developmental contribution from neural crest</v>
      </c>
      <c r="G4937" s="9" t="s">
        <v>5090</v>
      </c>
      <c r="H4937" s="9" t="s">
        <v>18524</v>
      </c>
      <c r="I4937" s="9" t="s">
        <v>9125</v>
      </c>
      <c r="J4937" s="9" t="s">
        <v>9126</v>
      </c>
      <c r="K4937" s="5" t="s">
        <v>15173</v>
      </c>
      <c r="L4937" s="13">
        <v>126651574</v>
      </c>
      <c r="M4937" t="str">
        <f>VLOOKUP(L4937,[1]DevMouse!$B$2:$C$2693,2,FALSE)</f>
        <v>v_POTel</v>
      </c>
    </row>
    <row r="4938" spans="2:13" x14ac:dyDescent="0.25">
      <c r="B4938" s="31" t="s">
        <v>26303</v>
      </c>
      <c r="C4938" s="20"/>
      <c r="D4938" s="25" t="s">
        <v>26185</v>
      </c>
      <c r="E4938" s="25" t="s">
        <v>26300</v>
      </c>
      <c r="F4938" s="9" t="str">
        <f t="shared" si="70"/>
        <v>structure with developmental contribution from neural crest</v>
      </c>
      <c r="G4938" s="9" t="s">
        <v>5090</v>
      </c>
      <c r="H4938" s="9" t="s">
        <v>18525</v>
      </c>
      <c r="I4938" s="9" t="s">
        <v>9127</v>
      </c>
      <c r="J4938" s="9" t="s">
        <v>9128</v>
      </c>
      <c r="K4938" s="5" t="s">
        <v>15173</v>
      </c>
      <c r="L4938" s="13">
        <v>126651578</v>
      </c>
      <c r="M4938" t="str">
        <f>VLOOKUP(L4938,[1]DevMouse!$B$2:$C$2693,2,FALSE)</f>
        <v>v_POR</v>
      </c>
    </row>
    <row r="4939" spans="2:13" x14ac:dyDescent="0.25">
      <c r="B4939" s="31" t="s">
        <v>26303</v>
      </c>
      <c r="C4939" s="20"/>
      <c r="D4939" s="25" t="s">
        <v>26185</v>
      </c>
      <c r="E4939" s="25" t="s">
        <v>26300</v>
      </c>
      <c r="F4939" s="9" t="str">
        <f t="shared" si="70"/>
        <v>structure with developmental contribution from neural crest</v>
      </c>
      <c r="G4939" s="9" t="s">
        <v>5090</v>
      </c>
      <c r="H4939" s="9" t="s">
        <v>18526</v>
      </c>
      <c r="I4939" s="9" t="s">
        <v>9129</v>
      </c>
      <c r="J4939" s="9" t="s">
        <v>9130</v>
      </c>
      <c r="K4939" s="5" t="s">
        <v>15173</v>
      </c>
      <c r="L4939" s="13">
        <v>126651582</v>
      </c>
      <c r="M4939" t="str">
        <f>VLOOKUP(L4939,[1]DevMouse!$B$2:$C$2693,2,FALSE)</f>
        <v>v_POA</v>
      </c>
    </row>
    <row r="4940" spans="2:13" x14ac:dyDescent="0.25">
      <c r="B4940" s="31" t="s">
        <v>26303</v>
      </c>
      <c r="C4940" s="20"/>
      <c r="D4940" s="25" t="s">
        <v>26185</v>
      </c>
      <c r="E4940" s="25" t="s">
        <v>26300</v>
      </c>
      <c r="F4940" s="9" t="str">
        <f t="shared" si="70"/>
        <v>structure with developmental contribution from neural crest</v>
      </c>
      <c r="G4940" s="9" t="s">
        <v>5090</v>
      </c>
      <c r="H4940" s="9" t="s">
        <v>18527</v>
      </c>
      <c r="I4940" s="9" t="s">
        <v>9131</v>
      </c>
      <c r="J4940" s="9" t="s">
        <v>9132</v>
      </c>
      <c r="K4940" s="5" t="s">
        <v>15173</v>
      </c>
      <c r="L4940" s="13">
        <v>126651586</v>
      </c>
      <c r="M4940" t="str">
        <f>VLOOKUP(L4940,[1]DevMouse!$B$2:$C$2693,2,FALSE)</f>
        <v>v_THy</v>
      </c>
    </row>
    <row r="4941" spans="2:13" x14ac:dyDescent="0.25">
      <c r="B4941" s="31" t="s">
        <v>26303</v>
      </c>
      <c r="C4941" s="20"/>
      <c r="D4941" s="25" t="s">
        <v>26185</v>
      </c>
      <c r="E4941" s="25" t="s">
        <v>26300</v>
      </c>
      <c r="F4941" s="9" t="str">
        <f t="shared" si="70"/>
        <v>structure with developmental contribution from neural crest</v>
      </c>
      <c r="G4941" s="9" t="s">
        <v>5090</v>
      </c>
      <c r="H4941" s="9" t="s">
        <v>18528</v>
      </c>
      <c r="I4941" s="9" t="s">
        <v>9133</v>
      </c>
      <c r="J4941" s="9" t="s">
        <v>9134</v>
      </c>
      <c r="K4941" s="5" t="s">
        <v>15173</v>
      </c>
      <c r="L4941" s="13">
        <v>126651590</v>
      </c>
      <c r="M4941" t="str">
        <f>VLOOKUP(L4941,[1]DevMouse!$B$2:$C$2693,2,FALSE)</f>
        <v>v_THyA</v>
      </c>
    </row>
    <row r="4942" spans="2:13" x14ac:dyDescent="0.25">
      <c r="B4942" s="31" t="s">
        <v>26303</v>
      </c>
      <c r="C4942" s="20"/>
      <c r="D4942" s="25" t="s">
        <v>26185</v>
      </c>
      <c r="E4942" s="25" t="s">
        <v>26300</v>
      </c>
      <c r="F4942" s="9" t="str">
        <f t="shared" si="70"/>
        <v>structure with developmental contribution from neural crest</v>
      </c>
      <c r="G4942" s="9" t="s">
        <v>5090</v>
      </c>
      <c r="H4942" s="9" t="s">
        <v>18529</v>
      </c>
      <c r="I4942" s="9" t="s">
        <v>9135</v>
      </c>
      <c r="J4942" s="9" t="s">
        <v>9136</v>
      </c>
      <c r="K4942" s="5" t="s">
        <v>15173</v>
      </c>
      <c r="L4942" s="13">
        <v>126651594</v>
      </c>
      <c r="M4942" t="str">
        <f>VLOOKUP(L4942,[1]DevMouse!$B$2:$C$2693,2,FALSE)</f>
        <v>v_THyB</v>
      </c>
    </row>
    <row r="4943" spans="2:13" x14ac:dyDescent="0.25">
      <c r="B4943" s="31" t="s">
        <v>26303</v>
      </c>
      <c r="C4943" s="20"/>
      <c r="D4943" s="25" t="s">
        <v>26185</v>
      </c>
      <c r="E4943" s="25" t="s">
        <v>26300</v>
      </c>
      <c r="F4943" s="9" t="str">
        <f t="shared" si="70"/>
        <v>structure with developmental contribution from neural crest</v>
      </c>
      <c r="G4943" s="9" t="s">
        <v>5090</v>
      </c>
      <c r="H4943" s="9" t="s">
        <v>18530</v>
      </c>
      <c r="I4943" s="9" t="s">
        <v>9137</v>
      </c>
      <c r="J4943" s="9" t="s">
        <v>9138</v>
      </c>
      <c r="K4943" s="5" t="s">
        <v>15173</v>
      </c>
      <c r="L4943" s="13">
        <v>126651598</v>
      </c>
      <c r="M4943" t="str">
        <f>VLOOKUP(L4943,[1]DevMouse!$B$2:$C$2693,2,FALSE)</f>
        <v>v_THyF</v>
      </c>
    </row>
    <row r="4944" spans="2:13" x14ac:dyDescent="0.25">
      <c r="B4944" s="31" t="s">
        <v>26299</v>
      </c>
      <c r="C4944" s="25" t="s">
        <v>4949</v>
      </c>
      <c r="D4944" s="25" t="s">
        <v>26185</v>
      </c>
      <c r="E4944" s="25" t="s">
        <v>26300</v>
      </c>
      <c r="F4944" s="9" t="str">
        <f t="shared" si="70"/>
        <v>structure with developmental contribution from neural crest</v>
      </c>
      <c r="G4944" s="9" t="s">
        <v>5090</v>
      </c>
      <c r="H4944" s="9" t="s">
        <v>18531</v>
      </c>
      <c r="I4944" s="9" t="s">
        <v>9139</v>
      </c>
      <c r="J4944" s="9" t="s">
        <v>9140</v>
      </c>
      <c r="K4944" s="5" t="s">
        <v>15173</v>
      </c>
      <c r="L4944" s="13">
        <v>126651602</v>
      </c>
      <c r="M4944" t="str">
        <f>VLOOKUP(L4944,[1]DevMouse!$B$2:$C$2693,2,FALSE)</f>
        <v>v_CSP</v>
      </c>
    </row>
    <row r="4945" spans="2:13" x14ac:dyDescent="0.25">
      <c r="B4945" s="31" t="s">
        <v>26303</v>
      </c>
      <c r="C4945" s="20"/>
      <c r="D4945" s="25" t="s">
        <v>26185</v>
      </c>
      <c r="E4945" s="25" t="s">
        <v>26300</v>
      </c>
      <c r="F4945" s="9" t="str">
        <f t="shared" si="70"/>
        <v>structure with developmental contribution from neural crest</v>
      </c>
      <c r="G4945" s="9" t="s">
        <v>5090</v>
      </c>
      <c r="H4945" s="9" t="s">
        <v>18532</v>
      </c>
      <c r="I4945" s="9" t="s">
        <v>9141</v>
      </c>
      <c r="J4945" s="9" t="s">
        <v>9142</v>
      </c>
      <c r="K4945" s="5" t="s">
        <v>15173</v>
      </c>
      <c r="L4945" s="13">
        <v>126651606</v>
      </c>
      <c r="M4945" t="str">
        <f>VLOOKUP(L4945,[1]DevMouse!$B$2:$C$2693,2,FALSE)</f>
        <v>v_Tel</v>
      </c>
    </row>
    <row r="4946" spans="2:13" x14ac:dyDescent="0.25">
      <c r="B4946" s="31" t="s">
        <v>26303</v>
      </c>
      <c r="C4946" s="20"/>
      <c r="D4946" s="25" t="s">
        <v>26185</v>
      </c>
      <c r="E4946" s="25" t="s">
        <v>26300</v>
      </c>
      <c r="F4946" s="9" t="str">
        <f t="shared" si="70"/>
        <v>structure with developmental contribution from neural crest</v>
      </c>
      <c r="G4946" s="9" t="s">
        <v>5090</v>
      </c>
      <c r="H4946" s="9" t="s">
        <v>18533</v>
      </c>
      <c r="I4946" s="9" t="s">
        <v>9143</v>
      </c>
      <c r="J4946" s="9" t="s">
        <v>9144</v>
      </c>
      <c r="K4946" s="5" t="s">
        <v>15173</v>
      </c>
      <c r="L4946" s="13">
        <v>126651610</v>
      </c>
      <c r="M4946" t="str">
        <f>VLOOKUP(L4946,[1]DevMouse!$B$2:$C$2693,2,FALSE)</f>
        <v>v_TelR</v>
      </c>
    </row>
    <row r="4947" spans="2:13" x14ac:dyDescent="0.25">
      <c r="B4947" s="31" t="s">
        <v>26303</v>
      </c>
      <c r="C4947" s="20"/>
      <c r="D4947" s="25" t="s">
        <v>26185</v>
      </c>
      <c r="E4947" s="25" t="s">
        <v>26300</v>
      </c>
      <c r="F4947" s="9" t="str">
        <f t="shared" si="70"/>
        <v>structure with developmental contribution from neural crest</v>
      </c>
      <c r="G4947" s="9" t="s">
        <v>5090</v>
      </c>
      <c r="H4947" s="9" t="s">
        <v>18534</v>
      </c>
      <c r="I4947" s="9" t="s">
        <v>9145</v>
      </c>
      <c r="J4947" s="9" t="s">
        <v>9146</v>
      </c>
      <c r="K4947" s="5" t="s">
        <v>15173</v>
      </c>
      <c r="L4947" s="13">
        <v>126651614</v>
      </c>
      <c r="M4947" t="str">
        <f>VLOOKUP(L4947,[1]DevMouse!$B$2:$C$2693,2,FALSE)</f>
        <v>v_TelA</v>
      </c>
    </row>
    <row r="4948" spans="2:13" x14ac:dyDescent="0.25">
      <c r="B4948" s="31" t="s">
        <v>26303</v>
      </c>
      <c r="C4948" s="20"/>
      <c r="D4948" s="25" t="s">
        <v>26185</v>
      </c>
      <c r="E4948" s="25" t="s">
        <v>26300</v>
      </c>
      <c r="F4948" s="9" t="str">
        <f t="shared" si="70"/>
        <v>structure with developmental contribution from neural crest</v>
      </c>
      <c r="G4948" s="9" t="s">
        <v>5090</v>
      </c>
      <c r="H4948" s="9" t="s">
        <v>18535</v>
      </c>
      <c r="I4948" s="9" t="s">
        <v>9147</v>
      </c>
      <c r="J4948" s="9" t="s">
        <v>9148</v>
      </c>
      <c r="K4948" s="5" t="s">
        <v>15173</v>
      </c>
      <c r="L4948" s="13">
        <v>126651618</v>
      </c>
      <c r="M4948" t="str">
        <f>VLOOKUP(L4948,[1]DevMouse!$B$2:$C$2693,2,FALSE)</f>
        <v>v_PHy</v>
      </c>
    </row>
    <row r="4949" spans="2:13" x14ac:dyDescent="0.25">
      <c r="B4949" s="31" t="s">
        <v>26303</v>
      </c>
      <c r="C4949" s="20"/>
      <c r="D4949" s="25" t="s">
        <v>26185</v>
      </c>
      <c r="E4949" s="25" t="s">
        <v>26300</v>
      </c>
      <c r="F4949" s="9" t="str">
        <f t="shared" si="70"/>
        <v>structure with developmental contribution from neural crest</v>
      </c>
      <c r="G4949" s="9" t="s">
        <v>5090</v>
      </c>
      <c r="H4949" s="9" t="s">
        <v>18536</v>
      </c>
      <c r="I4949" s="9" t="s">
        <v>9149</v>
      </c>
      <c r="J4949" s="9" t="s">
        <v>9150</v>
      </c>
      <c r="K4949" s="5" t="s">
        <v>15173</v>
      </c>
      <c r="L4949" s="13">
        <v>126651622</v>
      </c>
      <c r="M4949" t="str">
        <f>VLOOKUP(L4949,[1]DevMouse!$B$2:$C$2693,2,FALSE)</f>
        <v>v_PHyA</v>
      </c>
    </row>
    <row r="4950" spans="2:13" x14ac:dyDescent="0.25">
      <c r="B4950" s="31" t="s">
        <v>26303</v>
      </c>
      <c r="C4950" s="20"/>
      <c r="D4950" s="25" t="s">
        <v>26185</v>
      </c>
      <c r="E4950" s="25" t="s">
        <v>26300</v>
      </c>
      <c r="F4950" s="9" t="str">
        <f t="shared" si="70"/>
        <v>structure with developmental contribution from neural crest</v>
      </c>
      <c r="G4950" s="9" t="s">
        <v>5090</v>
      </c>
      <c r="H4950" s="9" t="s">
        <v>18537</v>
      </c>
      <c r="I4950" s="9" t="s">
        <v>9151</v>
      </c>
      <c r="J4950" s="9" t="s">
        <v>9152</v>
      </c>
      <c r="K4950" s="5" t="s">
        <v>15173</v>
      </c>
      <c r="L4950" s="13">
        <v>126651626</v>
      </c>
      <c r="M4950" t="str">
        <f>VLOOKUP(L4950,[1]DevMouse!$B$2:$C$2693,2,FALSE)</f>
        <v>v_PHyB</v>
      </c>
    </row>
    <row r="4951" spans="2:13" x14ac:dyDescent="0.25">
      <c r="B4951" s="31" t="s">
        <v>26303</v>
      </c>
      <c r="C4951" s="20"/>
      <c r="D4951" s="25" t="s">
        <v>26185</v>
      </c>
      <c r="E4951" s="25" t="s">
        <v>26300</v>
      </c>
      <c r="F4951" s="9" t="str">
        <f t="shared" si="70"/>
        <v>structure with developmental contribution from neural crest</v>
      </c>
      <c r="G4951" s="9" t="s">
        <v>5090</v>
      </c>
      <c r="H4951" s="9" t="s">
        <v>18538</v>
      </c>
      <c r="I4951" s="9" t="s">
        <v>9153</v>
      </c>
      <c r="J4951" s="9" t="s">
        <v>9154</v>
      </c>
      <c r="K4951" s="5" t="s">
        <v>15173</v>
      </c>
      <c r="L4951" s="13">
        <v>126651630</v>
      </c>
      <c r="M4951" t="str">
        <f>VLOOKUP(L4951,[1]DevMouse!$B$2:$C$2693,2,FALSE)</f>
        <v>v_PHyF</v>
      </c>
    </row>
    <row r="4952" spans="2:13" x14ac:dyDescent="0.25">
      <c r="B4952" s="31" t="s">
        <v>26303</v>
      </c>
      <c r="C4952" s="20"/>
      <c r="D4952" s="25" t="s">
        <v>26185</v>
      </c>
      <c r="E4952" s="25" t="s">
        <v>26300</v>
      </c>
      <c r="F4952" s="9" t="str">
        <f t="shared" si="70"/>
        <v>structure with developmental contribution from neural crest</v>
      </c>
      <c r="G4952" s="9" t="s">
        <v>5090</v>
      </c>
      <c r="H4952" s="9" t="s">
        <v>18539</v>
      </c>
      <c r="I4952" s="9" t="s">
        <v>9155</v>
      </c>
      <c r="J4952" s="9" t="s">
        <v>9156</v>
      </c>
      <c r="K4952" s="5" t="s">
        <v>15173</v>
      </c>
      <c r="L4952" s="13">
        <v>126651634</v>
      </c>
      <c r="M4952" t="str">
        <f>VLOOKUP(L4952,[1]DevMouse!$B$2:$C$2693,2,FALSE)</f>
        <v>v_D</v>
      </c>
    </row>
    <row r="4953" spans="2:13" x14ac:dyDescent="0.25">
      <c r="B4953" s="31" t="s">
        <v>26303</v>
      </c>
      <c r="C4953" s="20"/>
      <c r="D4953" s="25" t="s">
        <v>26185</v>
      </c>
      <c r="E4953" s="25" t="s">
        <v>26300</v>
      </c>
      <c r="F4953" s="9" t="str">
        <f t="shared" si="70"/>
        <v>structure with developmental contribution from neural crest</v>
      </c>
      <c r="G4953" s="9" t="s">
        <v>5090</v>
      </c>
      <c r="H4953" s="9" t="s">
        <v>18540</v>
      </c>
      <c r="I4953" s="9" t="s">
        <v>9157</v>
      </c>
      <c r="J4953" s="9" t="s">
        <v>9158</v>
      </c>
      <c r="K4953" s="5" t="s">
        <v>15173</v>
      </c>
      <c r="L4953" s="13">
        <v>126651638</v>
      </c>
      <c r="M4953" t="str">
        <f>VLOOKUP(L4953,[1]DevMouse!$B$2:$C$2693,2,FALSE)</f>
        <v>v_p3</v>
      </c>
    </row>
    <row r="4954" spans="2:13" x14ac:dyDescent="0.25">
      <c r="B4954" s="31" t="s">
        <v>26303</v>
      </c>
      <c r="C4954" s="20"/>
      <c r="D4954" s="25" t="s">
        <v>26185</v>
      </c>
      <c r="E4954" s="25" t="s">
        <v>26300</v>
      </c>
      <c r="F4954" s="9" t="str">
        <f t="shared" si="70"/>
        <v>structure with developmental contribution from neural crest</v>
      </c>
      <c r="G4954" s="9" t="s">
        <v>5090</v>
      </c>
      <c r="H4954" s="9" t="s">
        <v>18541</v>
      </c>
      <c r="I4954" s="9" t="s">
        <v>9159</v>
      </c>
      <c r="J4954" s="9" t="s">
        <v>9160</v>
      </c>
      <c r="K4954" s="5" t="s">
        <v>15173</v>
      </c>
      <c r="L4954" s="13">
        <v>126651642</v>
      </c>
      <c r="M4954" t="str">
        <f>VLOOKUP(L4954,[1]DevMouse!$B$2:$C$2693,2,FALSE)</f>
        <v>v_PTh</v>
      </c>
    </row>
    <row r="4955" spans="2:13" x14ac:dyDescent="0.25">
      <c r="B4955" s="31" t="s">
        <v>26303</v>
      </c>
      <c r="C4955" s="20"/>
      <c r="D4955" s="25" t="s">
        <v>26185</v>
      </c>
      <c r="E4955" s="25" t="s">
        <v>26300</v>
      </c>
      <c r="F4955" s="9" t="str">
        <f t="shared" si="70"/>
        <v>structure with developmental contribution from neural crest</v>
      </c>
      <c r="G4955" s="9" t="s">
        <v>5090</v>
      </c>
      <c r="H4955" s="9" t="s">
        <v>18542</v>
      </c>
      <c r="I4955" s="9" t="s">
        <v>9161</v>
      </c>
      <c r="J4955" s="9" t="s">
        <v>9162</v>
      </c>
      <c r="K4955" s="5" t="s">
        <v>15173</v>
      </c>
      <c r="L4955" s="13">
        <v>126651646</v>
      </c>
      <c r="M4955" t="str">
        <f>VLOOKUP(L4955,[1]DevMouse!$B$2:$C$2693,2,FALSE)</f>
        <v>v_p3R</v>
      </c>
    </row>
    <row r="4956" spans="2:13" x14ac:dyDescent="0.25">
      <c r="B4956" s="31" t="s">
        <v>26303</v>
      </c>
      <c r="C4956" s="20"/>
      <c r="D4956" s="25" t="s">
        <v>26185</v>
      </c>
      <c r="E4956" s="25" t="s">
        <v>26300</v>
      </c>
      <c r="F4956" s="9" t="str">
        <f t="shared" si="70"/>
        <v>structure with developmental contribution from neural crest</v>
      </c>
      <c r="G4956" s="9" t="s">
        <v>5090</v>
      </c>
      <c r="H4956" s="9" t="s">
        <v>18543</v>
      </c>
      <c r="I4956" s="9" t="s">
        <v>9163</v>
      </c>
      <c r="J4956" s="9" t="s">
        <v>9164</v>
      </c>
      <c r="K4956" s="5" t="s">
        <v>15173</v>
      </c>
      <c r="L4956" s="13">
        <v>126651650</v>
      </c>
      <c r="M4956" t="str">
        <f>VLOOKUP(L4956,[1]DevMouse!$B$2:$C$2693,2,FALSE)</f>
        <v>v_p3A</v>
      </c>
    </row>
    <row r="4957" spans="2:13" x14ac:dyDescent="0.25">
      <c r="B4957" s="31" t="s">
        <v>26303</v>
      </c>
      <c r="C4957" s="20"/>
      <c r="D4957" s="25" t="s">
        <v>26185</v>
      </c>
      <c r="E4957" s="25" t="s">
        <v>26300</v>
      </c>
      <c r="F4957" s="9" t="str">
        <f t="shared" si="70"/>
        <v>structure with developmental contribution from neural crest</v>
      </c>
      <c r="G4957" s="9" t="s">
        <v>5090</v>
      </c>
      <c r="H4957" s="9" t="s">
        <v>18544</v>
      </c>
      <c r="I4957" s="9" t="s">
        <v>9165</v>
      </c>
      <c r="J4957" s="9" t="s">
        <v>9166</v>
      </c>
      <c r="K4957" s="5" t="s">
        <v>15173</v>
      </c>
      <c r="L4957" s="13">
        <v>126651654</v>
      </c>
      <c r="M4957" t="str">
        <f>VLOOKUP(L4957,[1]DevMouse!$B$2:$C$2693,2,FALSE)</f>
        <v>v_PThTg</v>
      </c>
    </row>
    <row r="4958" spans="2:13" x14ac:dyDescent="0.25">
      <c r="B4958" s="31" t="s">
        <v>26303</v>
      </c>
      <c r="C4958" s="20"/>
      <c r="D4958" s="25" t="s">
        <v>26185</v>
      </c>
      <c r="E4958" s="25" t="s">
        <v>26300</v>
      </c>
      <c r="F4958" s="9" t="str">
        <f t="shared" si="70"/>
        <v>structure with developmental contribution from neural crest</v>
      </c>
      <c r="G4958" s="9" t="s">
        <v>5090</v>
      </c>
      <c r="H4958" s="9" t="s">
        <v>18545</v>
      </c>
      <c r="I4958" s="9" t="s">
        <v>9167</v>
      </c>
      <c r="J4958" s="9" t="s">
        <v>9168</v>
      </c>
      <c r="K4958" s="5" t="s">
        <v>15173</v>
      </c>
      <c r="L4958" s="13">
        <v>126651658</v>
      </c>
      <c r="M4958" t="str">
        <f>VLOOKUP(L4958,[1]DevMouse!$B$2:$C$2693,2,FALSE)</f>
        <v>v_p3B</v>
      </c>
    </row>
    <row r="4959" spans="2:13" x14ac:dyDescent="0.25">
      <c r="B4959" s="31" t="s">
        <v>26303</v>
      </c>
      <c r="C4959" s="20"/>
      <c r="D4959" s="25" t="s">
        <v>26185</v>
      </c>
      <c r="E4959" s="25" t="s">
        <v>26300</v>
      </c>
      <c r="F4959" s="9" t="str">
        <f t="shared" si="70"/>
        <v>structure with developmental contribution from neural crest</v>
      </c>
      <c r="G4959" s="9" t="s">
        <v>5090</v>
      </c>
      <c r="H4959" s="9" t="s">
        <v>18546</v>
      </c>
      <c r="I4959" s="9" t="s">
        <v>9169</v>
      </c>
      <c r="J4959" s="9" t="s">
        <v>9170</v>
      </c>
      <c r="K4959" s="5" t="s">
        <v>15173</v>
      </c>
      <c r="L4959" s="13">
        <v>126651662</v>
      </c>
      <c r="M4959" t="str">
        <f>VLOOKUP(L4959,[1]DevMouse!$B$2:$C$2693,2,FALSE)</f>
        <v>v_p3F</v>
      </c>
    </row>
    <row r="4960" spans="2:13" x14ac:dyDescent="0.25">
      <c r="B4960" s="31" t="s">
        <v>26303</v>
      </c>
      <c r="C4960" s="20"/>
      <c r="D4960" s="25" t="s">
        <v>26185</v>
      </c>
      <c r="E4960" s="25" t="s">
        <v>26300</v>
      </c>
      <c r="F4960" s="9" t="str">
        <f t="shared" si="70"/>
        <v>structure with developmental contribution from neural crest</v>
      </c>
      <c r="G4960" s="9" t="s">
        <v>5090</v>
      </c>
      <c r="H4960" s="9" t="s">
        <v>18547</v>
      </c>
      <c r="I4960" s="9" t="s">
        <v>9171</v>
      </c>
      <c r="J4960" s="9" t="s">
        <v>9172</v>
      </c>
      <c r="K4960" s="5" t="s">
        <v>15173</v>
      </c>
      <c r="L4960" s="13">
        <v>126651666</v>
      </c>
      <c r="M4960" t="str">
        <f>VLOOKUP(L4960,[1]DevMouse!$B$2:$C$2693,2,FALSE)</f>
        <v>v_p2</v>
      </c>
    </row>
    <row r="4961" spans="2:13" x14ac:dyDescent="0.25">
      <c r="B4961" s="31" t="s">
        <v>26303</v>
      </c>
      <c r="C4961" s="20"/>
      <c r="D4961" s="25" t="s">
        <v>26185</v>
      </c>
      <c r="E4961" s="25" t="s">
        <v>26300</v>
      </c>
      <c r="F4961" s="9" t="str">
        <f t="shared" si="70"/>
        <v>structure with developmental contribution from neural crest</v>
      </c>
      <c r="G4961" s="9" t="s">
        <v>5090</v>
      </c>
      <c r="H4961" s="9" t="s">
        <v>18548</v>
      </c>
      <c r="I4961" s="9" t="s">
        <v>9173</v>
      </c>
      <c r="J4961" s="9" t="s">
        <v>9174</v>
      </c>
      <c r="K4961" s="5" t="s">
        <v>15173</v>
      </c>
      <c r="L4961" s="13">
        <v>126651670</v>
      </c>
      <c r="M4961" t="str">
        <f>VLOOKUP(L4961,[1]DevMouse!$B$2:$C$2693,2,FALSE)</f>
        <v>v_Th</v>
      </c>
    </row>
    <row r="4962" spans="2:13" x14ac:dyDescent="0.25">
      <c r="B4962" s="31" t="s">
        <v>26303</v>
      </c>
      <c r="C4962" s="20"/>
      <c r="D4962" s="25" t="s">
        <v>26185</v>
      </c>
      <c r="E4962" s="25" t="s">
        <v>26300</v>
      </c>
      <c r="F4962" s="9" t="str">
        <f t="shared" si="70"/>
        <v>structure with developmental contribution from neural crest</v>
      </c>
      <c r="G4962" s="9" t="s">
        <v>5090</v>
      </c>
      <c r="H4962" s="9" t="s">
        <v>18549</v>
      </c>
      <c r="I4962" s="9" t="s">
        <v>9175</v>
      </c>
      <c r="J4962" s="9" t="s">
        <v>9176</v>
      </c>
      <c r="K4962" s="5" t="s">
        <v>15173</v>
      </c>
      <c r="L4962" s="13">
        <v>126651674</v>
      </c>
      <c r="M4962" t="str">
        <f>VLOOKUP(L4962,[1]DevMouse!$B$2:$C$2693,2,FALSE)</f>
        <v>v_p2R</v>
      </c>
    </row>
    <row r="4963" spans="2:13" x14ac:dyDescent="0.25">
      <c r="B4963" s="31" t="s">
        <v>26303</v>
      </c>
      <c r="C4963" s="20"/>
      <c r="D4963" s="25" t="s">
        <v>26185</v>
      </c>
      <c r="E4963" s="25" t="s">
        <v>26300</v>
      </c>
      <c r="F4963" s="9" t="str">
        <f t="shared" si="70"/>
        <v>structure with developmental contribution from neural crest</v>
      </c>
      <c r="G4963" s="9" t="s">
        <v>5090</v>
      </c>
      <c r="H4963" s="9" t="s">
        <v>18550</v>
      </c>
      <c r="I4963" s="9" t="s">
        <v>9177</v>
      </c>
      <c r="J4963" s="9" t="s">
        <v>9178</v>
      </c>
      <c r="K4963" s="5" t="s">
        <v>15173</v>
      </c>
      <c r="L4963" s="13">
        <v>126651678</v>
      </c>
      <c r="M4963" t="str">
        <f>VLOOKUP(L4963,[1]DevMouse!$B$2:$C$2693,2,FALSE)</f>
        <v>v_p2A</v>
      </c>
    </row>
    <row r="4964" spans="2:13" x14ac:dyDescent="0.25">
      <c r="B4964" s="31" t="s">
        <v>26303</v>
      </c>
      <c r="C4964" s="20"/>
      <c r="D4964" s="25" t="s">
        <v>26185</v>
      </c>
      <c r="E4964" s="25" t="s">
        <v>26300</v>
      </c>
      <c r="F4964" s="9" t="str">
        <f t="shared" si="70"/>
        <v>structure with developmental contribution from neural crest</v>
      </c>
      <c r="G4964" s="9" t="s">
        <v>5090</v>
      </c>
      <c r="H4964" s="9" t="s">
        <v>18551</v>
      </c>
      <c r="I4964" s="9" t="s">
        <v>9179</v>
      </c>
      <c r="J4964" s="9" t="s">
        <v>9180</v>
      </c>
      <c r="K4964" s="5" t="s">
        <v>15173</v>
      </c>
      <c r="L4964" s="13">
        <v>126651682</v>
      </c>
      <c r="M4964" t="str">
        <f>VLOOKUP(L4964,[1]DevMouse!$B$2:$C$2693,2,FALSE)</f>
        <v>v_ThTg</v>
      </c>
    </row>
    <row r="4965" spans="2:13" x14ac:dyDescent="0.25">
      <c r="B4965" s="31" t="s">
        <v>26303</v>
      </c>
      <c r="C4965" s="20"/>
      <c r="D4965" s="25" t="s">
        <v>26185</v>
      </c>
      <c r="E4965" s="25" t="s">
        <v>26300</v>
      </c>
      <c r="F4965" s="9" t="str">
        <f t="shared" si="70"/>
        <v>structure with developmental contribution from neural crest</v>
      </c>
      <c r="G4965" s="9" t="s">
        <v>5090</v>
      </c>
      <c r="H4965" s="9" t="s">
        <v>18552</v>
      </c>
      <c r="I4965" s="9" t="s">
        <v>9181</v>
      </c>
      <c r="J4965" s="9" t="s">
        <v>9182</v>
      </c>
      <c r="K4965" s="5" t="s">
        <v>15173</v>
      </c>
      <c r="L4965" s="13">
        <v>126651686</v>
      </c>
      <c r="M4965" t="str">
        <f>VLOOKUP(L4965,[1]DevMouse!$B$2:$C$2693,2,FALSE)</f>
        <v>v_p2B</v>
      </c>
    </row>
    <row r="4966" spans="2:13" x14ac:dyDescent="0.25">
      <c r="B4966" s="31" t="s">
        <v>26303</v>
      </c>
      <c r="C4966" s="20"/>
      <c r="D4966" s="25" t="s">
        <v>26185</v>
      </c>
      <c r="E4966" s="25" t="s">
        <v>26300</v>
      </c>
      <c r="F4966" s="9" t="str">
        <f t="shared" si="70"/>
        <v>structure with developmental contribution from neural crest</v>
      </c>
      <c r="G4966" s="9" t="s">
        <v>5090</v>
      </c>
      <c r="H4966" s="9" t="s">
        <v>18553</v>
      </c>
      <c r="I4966" s="9" t="s">
        <v>9183</v>
      </c>
      <c r="J4966" s="9" t="s">
        <v>9184</v>
      </c>
      <c r="K4966" s="5" t="s">
        <v>15173</v>
      </c>
      <c r="L4966" s="13">
        <v>126651690</v>
      </c>
      <c r="M4966" t="str">
        <f>VLOOKUP(L4966,[1]DevMouse!$B$2:$C$2693,2,FALSE)</f>
        <v>v_p2F</v>
      </c>
    </row>
    <row r="4967" spans="2:13" x14ac:dyDescent="0.25">
      <c r="B4967" s="31" t="s">
        <v>26303</v>
      </c>
      <c r="C4967" s="20"/>
      <c r="D4967" s="25" t="s">
        <v>26185</v>
      </c>
      <c r="E4967" s="25" t="s">
        <v>26300</v>
      </c>
      <c r="F4967" s="9" t="str">
        <f t="shared" si="70"/>
        <v>structure with developmental contribution from neural crest</v>
      </c>
      <c r="G4967" s="9" t="s">
        <v>5090</v>
      </c>
      <c r="H4967" s="9" t="s">
        <v>18554</v>
      </c>
      <c r="I4967" s="9" t="s">
        <v>9185</v>
      </c>
      <c r="J4967" s="9" t="s">
        <v>9186</v>
      </c>
      <c r="K4967" s="5" t="s">
        <v>15173</v>
      </c>
      <c r="L4967" s="13">
        <v>126651694</v>
      </c>
      <c r="M4967" t="str">
        <f>VLOOKUP(L4967,[1]DevMouse!$B$2:$C$2693,2,FALSE)</f>
        <v>v_p1</v>
      </c>
    </row>
    <row r="4968" spans="2:13" x14ac:dyDescent="0.25">
      <c r="B4968" s="31" t="s">
        <v>26303</v>
      </c>
      <c r="C4968" s="20"/>
      <c r="D4968" s="25" t="s">
        <v>26185</v>
      </c>
      <c r="E4968" s="25" t="s">
        <v>26300</v>
      </c>
      <c r="F4968" s="9" t="str">
        <f t="shared" si="70"/>
        <v>structure with developmental contribution from neural crest</v>
      </c>
      <c r="G4968" s="9" t="s">
        <v>5090</v>
      </c>
      <c r="H4968" s="9" t="s">
        <v>18555</v>
      </c>
      <c r="I4968" s="9" t="s">
        <v>9187</v>
      </c>
      <c r="J4968" s="9" t="s">
        <v>9188</v>
      </c>
      <c r="K4968" s="5" t="s">
        <v>15173</v>
      </c>
      <c r="L4968" s="13">
        <v>126651698</v>
      </c>
      <c r="M4968" t="str">
        <f>VLOOKUP(L4968,[1]DevMouse!$B$2:$C$2693,2,FALSE)</f>
        <v>v_Pt</v>
      </c>
    </row>
    <row r="4969" spans="2:13" x14ac:dyDescent="0.25">
      <c r="B4969" s="31" t="s">
        <v>26303</v>
      </c>
      <c r="C4969" s="20"/>
      <c r="D4969" s="25" t="s">
        <v>26185</v>
      </c>
      <c r="E4969" s="25" t="s">
        <v>26300</v>
      </c>
      <c r="F4969" s="9" t="str">
        <f t="shared" si="70"/>
        <v>structure with developmental contribution from neural crest</v>
      </c>
      <c r="G4969" s="9" t="s">
        <v>5090</v>
      </c>
      <c r="H4969" s="9" t="s">
        <v>18556</v>
      </c>
      <c r="I4969" s="9" t="s">
        <v>9189</v>
      </c>
      <c r="J4969" s="9" t="s">
        <v>9190</v>
      </c>
      <c r="K4969" s="5" t="s">
        <v>15173</v>
      </c>
      <c r="L4969" s="13">
        <v>126651702</v>
      </c>
      <c r="M4969" t="str">
        <f>VLOOKUP(L4969,[1]DevMouse!$B$2:$C$2693,2,FALSE)</f>
        <v>v_p1R</v>
      </c>
    </row>
    <row r="4970" spans="2:13" x14ac:dyDescent="0.25">
      <c r="B4970" s="31" t="s">
        <v>26303</v>
      </c>
      <c r="C4970" s="20"/>
      <c r="D4970" s="25" t="s">
        <v>26185</v>
      </c>
      <c r="E4970" s="25" t="s">
        <v>26300</v>
      </c>
      <c r="F4970" s="9" t="str">
        <f t="shared" si="70"/>
        <v>structure with developmental contribution from neural crest</v>
      </c>
      <c r="G4970" s="9" t="s">
        <v>5090</v>
      </c>
      <c r="H4970" s="9" t="s">
        <v>18557</v>
      </c>
      <c r="I4970" s="9" t="s">
        <v>9191</v>
      </c>
      <c r="J4970" s="9" t="s">
        <v>9192</v>
      </c>
      <c r="K4970" s="5" t="s">
        <v>15173</v>
      </c>
      <c r="L4970" s="13">
        <v>126651706</v>
      </c>
      <c r="M4970" t="str">
        <f>VLOOKUP(L4970,[1]DevMouse!$B$2:$C$2693,2,FALSE)</f>
        <v>v_p1A</v>
      </c>
    </row>
    <row r="4971" spans="2:13" x14ac:dyDescent="0.25">
      <c r="B4971" s="31" t="s">
        <v>26303</v>
      </c>
      <c r="C4971" s="20"/>
      <c r="D4971" s="25" t="s">
        <v>26185</v>
      </c>
      <c r="E4971" s="25" t="s">
        <v>26300</v>
      </c>
      <c r="F4971" s="9" t="str">
        <f t="shared" si="70"/>
        <v>structure with developmental contribution from neural crest</v>
      </c>
      <c r="G4971" s="9" t="s">
        <v>5090</v>
      </c>
      <c r="H4971" s="9" t="s">
        <v>18558</v>
      </c>
      <c r="I4971" s="9" t="s">
        <v>9193</v>
      </c>
      <c r="J4971" s="9" t="s">
        <v>9194</v>
      </c>
      <c r="K4971" s="5" t="s">
        <v>15173</v>
      </c>
      <c r="L4971" s="13">
        <v>126651710</v>
      </c>
      <c r="M4971" t="str">
        <f>VLOOKUP(L4971,[1]DevMouse!$B$2:$C$2693,2,FALSE)</f>
        <v>v_PtTg</v>
      </c>
    </row>
    <row r="4972" spans="2:13" x14ac:dyDescent="0.25">
      <c r="B4972" s="31" t="s">
        <v>26303</v>
      </c>
      <c r="C4972" s="20"/>
      <c r="D4972" s="25" t="s">
        <v>26185</v>
      </c>
      <c r="E4972" s="25" t="s">
        <v>26300</v>
      </c>
      <c r="F4972" s="9" t="str">
        <f t="shared" si="70"/>
        <v>structure with developmental contribution from neural crest</v>
      </c>
      <c r="G4972" s="9" t="s">
        <v>5090</v>
      </c>
      <c r="H4972" s="9" t="s">
        <v>18559</v>
      </c>
      <c r="I4972" s="9" t="s">
        <v>9195</v>
      </c>
      <c r="J4972" s="9" t="s">
        <v>9196</v>
      </c>
      <c r="K4972" s="5" t="s">
        <v>15173</v>
      </c>
      <c r="L4972" s="13">
        <v>126651714</v>
      </c>
      <c r="M4972" t="str">
        <f>VLOOKUP(L4972,[1]DevMouse!$B$2:$C$2693,2,FALSE)</f>
        <v>v_p1B</v>
      </c>
    </row>
    <row r="4973" spans="2:13" x14ac:dyDescent="0.25">
      <c r="B4973" s="31" t="s">
        <v>26303</v>
      </c>
      <c r="C4973" s="20"/>
      <c r="D4973" s="25" t="s">
        <v>26185</v>
      </c>
      <c r="E4973" s="25" t="s">
        <v>26300</v>
      </c>
      <c r="F4973" s="9" t="str">
        <f t="shared" si="70"/>
        <v>structure with developmental contribution from neural crest</v>
      </c>
      <c r="G4973" s="9" t="s">
        <v>5090</v>
      </c>
      <c r="H4973" s="9" t="s">
        <v>18560</v>
      </c>
      <c r="I4973" s="9" t="s">
        <v>9197</v>
      </c>
      <c r="J4973" s="9" t="s">
        <v>9198</v>
      </c>
      <c r="K4973" s="5" t="s">
        <v>15173</v>
      </c>
      <c r="L4973" s="13">
        <v>126651718</v>
      </c>
      <c r="M4973" t="str">
        <f>VLOOKUP(L4973,[1]DevMouse!$B$2:$C$2693,2,FALSE)</f>
        <v>v_p1F</v>
      </c>
    </row>
    <row r="4974" spans="2:13" x14ac:dyDescent="0.25">
      <c r="B4974" s="31" t="s">
        <v>26303</v>
      </c>
      <c r="C4974" s="25" t="s">
        <v>3086</v>
      </c>
      <c r="D4974" s="25" t="s">
        <v>26185</v>
      </c>
      <c r="E4974" s="25" t="s">
        <v>26300</v>
      </c>
      <c r="F4974" s="9" t="str">
        <f t="shared" si="70"/>
        <v>structure with developmental contribution from neural crest</v>
      </c>
      <c r="G4974" s="9" t="s">
        <v>5090</v>
      </c>
      <c r="H4974" s="9" t="s">
        <v>18562</v>
      </c>
      <c r="I4974" s="9" t="s">
        <v>9199</v>
      </c>
      <c r="J4974" s="9" t="s">
        <v>9200</v>
      </c>
      <c r="K4974" s="5" t="s">
        <v>15173</v>
      </c>
      <c r="L4974" s="13">
        <v>126651726</v>
      </c>
      <c r="M4974" t="str">
        <f>VLOOKUP(L4974,[1]DevMouse!$B$2:$C$2693,2,FALSE)</f>
        <v>v_m1</v>
      </c>
    </row>
    <row r="4975" spans="2:13" x14ac:dyDescent="0.25">
      <c r="B4975" s="31" t="s">
        <v>26303</v>
      </c>
      <c r="C4975" s="20"/>
      <c r="D4975" s="25" t="s">
        <v>26185</v>
      </c>
      <c r="E4975" s="25" t="s">
        <v>26300</v>
      </c>
      <c r="F4975" s="9" t="str">
        <f t="shared" si="70"/>
        <v>structure with developmental contribution from neural crest</v>
      </c>
      <c r="G4975" s="9" t="s">
        <v>5090</v>
      </c>
      <c r="H4975" s="9" t="s">
        <v>18563</v>
      </c>
      <c r="I4975" s="9" t="s">
        <v>9201</v>
      </c>
      <c r="J4975" s="9" t="s">
        <v>9202</v>
      </c>
      <c r="K4975" s="5" t="s">
        <v>15173</v>
      </c>
      <c r="L4975" s="13">
        <v>126651730</v>
      </c>
      <c r="M4975" t="str">
        <f>VLOOKUP(L4975,[1]DevMouse!$B$2:$C$2693,2,FALSE)</f>
        <v>v_MTt</v>
      </c>
    </row>
    <row r="4976" spans="2:13" x14ac:dyDescent="0.25">
      <c r="B4976" s="36"/>
      <c r="C4976" s="25"/>
      <c r="D4976" s="25" t="s">
        <v>26185</v>
      </c>
      <c r="E4976" s="25" t="s">
        <v>26300</v>
      </c>
      <c r="F4976" s="9" t="str">
        <f t="shared" si="70"/>
        <v>structure with developmental contribution from neural crest</v>
      </c>
      <c r="G4976" s="9" t="s">
        <v>5090</v>
      </c>
      <c r="H4976" s="9" t="s">
        <v>18564</v>
      </c>
      <c r="I4976" s="9" t="s">
        <v>9203</v>
      </c>
      <c r="J4976" s="9" t="s">
        <v>9204</v>
      </c>
      <c r="K4976" s="5" t="s">
        <v>15173</v>
      </c>
      <c r="L4976" s="13">
        <v>126651734</v>
      </c>
      <c r="M4976" t="str">
        <f>VLOOKUP(L4976,[1]DevMouse!$B$2:$C$2693,2,FALSE)</f>
        <v>v_m1R</v>
      </c>
    </row>
    <row r="4977" spans="2:13" x14ac:dyDescent="0.25">
      <c r="B4977" s="36"/>
      <c r="C4977" s="25"/>
      <c r="D4977" s="25" t="s">
        <v>26185</v>
      </c>
      <c r="E4977" s="25" t="s">
        <v>26300</v>
      </c>
      <c r="F4977" s="9" t="str">
        <f t="shared" si="70"/>
        <v>structure with developmental contribution from neural crest</v>
      </c>
      <c r="G4977" s="9" t="s">
        <v>5090</v>
      </c>
      <c r="H4977" s="9" t="s">
        <v>18565</v>
      </c>
      <c r="I4977" s="9" t="s">
        <v>9205</v>
      </c>
      <c r="J4977" s="9" t="s">
        <v>9206</v>
      </c>
      <c r="K4977" s="5" t="s">
        <v>15173</v>
      </c>
      <c r="L4977" s="13">
        <v>126651738</v>
      </c>
      <c r="M4977" t="str">
        <f>VLOOKUP(L4977,[1]DevMouse!$B$2:$C$2693,2,FALSE)</f>
        <v>v_m1A</v>
      </c>
    </row>
    <row r="4978" spans="2:13" x14ac:dyDescent="0.25">
      <c r="B4978" s="31" t="s">
        <v>26303</v>
      </c>
      <c r="C4978" s="20"/>
      <c r="D4978" s="25" t="s">
        <v>26185</v>
      </c>
      <c r="E4978" s="25" t="s">
        <v>26300</v>
      </c>
      <c r="F4978" s="9" t="str">
        <f t="shared" si="70"/>
        <v>structure with developmental contribution from neural crest</v>
      </c>
      <c r="G4978" s="9" t="s">
        <v>5090</v>
      </c>
      <c r="H4978" s="9" t="s">
        <v>18566</v>
      </c>
      <c r="I4978" s="9" t="s">
        <v>9207</v>
      </c>
      <c r="J4978" s="9" t="s">
        <v>9208</v>
      </c>
      <c r="K4978" s="5" t="s">
        <v>15173</v>
      </c>
      <c r="L4978" s="13">
        <v>126651742</v>
      </c>
      <c r="M4978" t="str">
        <f>VLOOKUP(L4978,[1]DevMouse!$B$2:$C$2693,2,FALSE)</f>
        <v>v_MTg</v>
      </c>
    </row>
    <row r="4979" spans="2:13" x14ac:dyDescent="0.25">
      <c r="B4979" s="31" t="s">
        <v>26303</v>
      </c>
      <c r="C4979" s="25"/>
      <c r="D4979" s="25" t="s">
        <v>26185</v>
      </c>
      <c r="E4979" s="25" t="s">
        <v>26300</v>
      </c>
      <c r="F4979" s="9" t="str">
        <f t="shared" si="70"/>
        <v>structure with developmental contribution from neural crest</v>
      </c>
      <c r="G4979" s="9" t="s">
        <v>5090</v>
      </c>
      <c r="H4979" s="9" t="s">
        <v>18567</v>
      </c>
      <c r="I4979" s="9" t="s">
        <v>9209</v>
      </c>
      <c r="J4979" s="9" t="s">
        <v>9210</v>
      </c>
      <c r="K4979" s="5" t="s">
        <v>15173</v>
      </c>
      <c r="L4979" s="13">
        <v>126651746</v>
      </c>
      <c r="M4979" t="str">
        <f>VLOOKUP(L4979,[1]DevMouse!$B$2:$C$2693,2,FALSE)</f>
        <v>v_m1B</v>
      </c>
    </row>
    <row r="4980" spans="2:13" x14ac:dyDescent="0.25">
      <c r="B4980" s="31" t="s">
        <v>26303</v>
      </c>
      <c r="C4980" s="25"/>
      <c r="D4980" s="25" t="s">
        <v>26185</v>
      </c>
      <c r="E4980" s="25" t="s">
        <v>26300</v>
      </c>
      <c r="F4980" s="9" t="str">
        <f t="shared" si="70"/>
        <v>structure with developmental contribution from neural crest</v>
      </c>
      <c r="G4980" s="9" t="s">
        <v>5090</v>
      </c>
      <c r="H4980" s="9" t="s">
        <v>18568</v>
      </c>
      <c r="I4980" s="9" t="s">
        <v>9211</v>
      </c>
      <c r="J4980" s="9" t="s">
        <v>9212</v>
      </c>
      <c r="K4980" s="5" t="s">
        <v>15173</v>
      </c>
      <c r="L4980" s="13">
        <v>126651750</v>
      </c>
      <c r="M4980" t="str">
        <f>VLOOKUP(L4980,[1]DevMouse!$B$2:$C$2693,2,FALSE)</f>
        <v>v_m1F</v>
      </c>
    </row>
    <row r="4981" spans="2:13" x14ac:dyDescent="0.25">
      <c r="B4981" s="31" t="s">
        <v>26303</v>
      </c>
      <c r="C4981" s="25" t="s">
        <v>3090</v>
      </c>
      <c r="D4981" s="25" t="s">
        <v>26185</v>
      </c>
      <c r="E4981" s="25" t="s">
        <v>26300</v>
      </c>
      <c r="F4981" s="9" t="str">
        <f t="shared" si="70"/>
        <v>structure with developmental contribution from neural crest</v>
      </c>
      <c r="G4981" s="9" t="s">
        <v>5090</v>
      </c>
      <c r="H4981" s="9" t="s">
        <v>18569</v>
      </c>
      <c r="I4981" s="9" t="s">
        <v>9213</v>
      </c>
      <c r="J4981" s="9" t="s">
        <v>9214</v>
      </c>
      <c r="K4981" s="5" t="s">
        <v>15173</v>
      </c>
      <c r="L4981" s="13">
        <v>126651754</v>
      </c>
      <c r="M4981" t="str">
        <f>VLOOKUP(L4981,[1]DevMouse!$B$2:$C$2693,2,FALSE)</f>
        <v>v_m2</v>
      </c>
    </row>
    <row r="4982" spans="2:13" x14ac:dyDescent="0.25">
      <c r="B4982" s="31" t="s">
        <v>26303</v>
      </c>
      <c r="C4982" s="20"/>
      <c r="D4982" s="25" t="s">
        <v>26185</v>
      </c>
      <c r="E4982" s="25" t="s">
        <v>26300</v>
      </c>
      <c r="F4982" s="9" t="str">
        <f t="shared" si="70"/>
        <v>structure with developmental contribution from neural crest</v>
      </c>
      <c r="G4982" s="9" t="s">
        <v>5090</v>
      </c>
      <c r="H4982" s="9" t="s">
        <v>18570</v>
      </c>
      <c r="I4982" s="9" t="s">
        <v>9215</v>
      </c>
      <c r="J4982" s="9" t="s">
        <v>9216</v>
      </c>
      <c r="K4982" s="5" t="s">
        <v>15173</v>
      </c>
      <c r="L4982" s="13">
        <v>126651758</v>
      </c>
      <c r="M4982" t="str">
        <f>VLOOKUP(L4982,[1]DevMouse!$B$2:$C$2693,2,FALSE)</f>
        <v>v_PIsTt</v>
      </c>
    </row>
    <row r="4983" spans="2:13" x14ac:dyDescent="0.25">
      <c r="B4983" s="31" t="s">
        <v>26303</v>
      </c>
      <c r="C4983" s="20"/>
      <c r="D4983" s="25" t="s">
        <v>26185</v>
      </c>
      <c r="E4983" s="25" t="s">
        <v>26300</v>
      </c>
      <c r="F4983" s="9" t="str">
        <f t="shared" ref="F4983:F5046" si="71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4983" s="9" t="s">
        <v>5090</v>
      </c>
      <c r="H4983" s="9" t="s">
        <v>18571</v>
      </c>
      <c r="I4983" s="9" t="s">
        <v>9217</v>
      </c>
      <c r="J4983" s="9" t="s">
        <v>9218</v>
      </c>
      <c r="K4983" s="5" t="s">
        <v>15173</v>
      </c>
      <c r="L4983" s="13">
        <v>126651762</v>
      </c>
      <c r="M4983" t="str">
        <f>VLOOKUP(L4983,[1]DevMouse!$B$2:$C$2693,2,FALSE)</f>
        <v>v_m2R</v>
      </c>
    </row>
    <row r="4984" spans="2:13" x14ac:dyDescent="0.25">
      <c r="B4984" s="31" t="s">
        <v>26303</v>
      </c>
      <c r="C4984" s="20"/>
      <c r="D4984" s="25" t="s">
        <v>26185</v>
      </c>
      <c r="E4984" s="25" t="s">
        <v>26300</v>
      </c>
      <c r="F4984" s="9" t="str">
        <f t="shared" si="71"/>
        <v>structure with developmental contribution from neural crest</v>
      </c>
      <c r="G4984" s="9" t="s">
        <v>5090</v>
      </c>
      <c r="H4984" s="9" t="s">
        <v>18572</v>
      </c>
      <c r="I4984" s="9" t="s">
        <v>9219</v>
      </c>
      <c r="J4984" s="9" t="s">
        <v>9220</v>
      </c>
      <c r="K4984" s="5" t="s">
        <v>15173</v>
      </c>
      <c r="L4984" s="13">
        <v>126651766</v>
      </c>
      <c r="M4984" t="str">
        <f>VLOOKUP(L4984,[1]DevMouse!$B$2:$C$2693,2,FALSE)</f>
        <v>v_m2A</v>
      </c>
    </row>
    <row r="4985" spans="2:13" x14ac:dyDescent="0.25">
      <c r="B4985" s="31" t="s">
        <v>26303</v>
      </c>
      <c r="C4985" s="20"/>
      <c r="D4985" s="25" t="s">
        <v>26185</v>
      </c>
      <c r="E4985" s="25" t="s">
        <v>26300</v>
      </c>
      <c r="F4985" s="9" t="str">
        <f t="shared" si="71"/>
        <v>structure with developmental contribution from neural crest</v>
      </c>
      <c r="G4985" s="9" t="s">
        <v>5090</v>
      </c>
      <c r="H4985" s="9" t="s">
        <v>18573</v>
      </c>
      <c r="I4985" s="9" t="s">
        <v>9221</v>
      </c>
      <c r="J4985" s="9" t="s">
        <v>9222</v>
      </c>
      <c r="K4985" s="5" t="s">
        <v>15173</v>
      </c>
      <c r="L4985" s="13">
        <v>126651770</v>
      </c>
      <c r="M4985" t="str">
        <f>VLOOKUP(L4985,[1]DevMouse!$B$2:$C$2693,2,FALSE)</f>
        <v>v_PIsTg</v>
      </c>
    </row>
    <row r="4986" spans="2:13" x14ac:dyDescent="0.25">
      <c r="B4986" s="31" t="s">
        <v>26303</v>
      </c>
      <c r="C4986" s="20"/>
      <c r="D4986" s="25" t="s">
        <v>26185</v>
      </c>
      <c r="E4986" s="25" t="s">
        <v>26300</v>
      </c>
      <c r="F4986" s="9" t="str">
        <f t="shared" si="71"/>
        <v>structure with developmental contribution from neural crest</v>
      </c>
      <c r="G4986" s="9" t="s">
        <v>5090</v>
      </c>
      <c r="H4986" s="9" t="s">
        <v>18574</v>
      </c>
      <c r="I4986" s="9" t="s">
        <v>9223</v>
      </c>
      <c r="J4986" s="9" t="s">
        <v>9224</v>
      </c>
      <c r="K4986" s="5" t="s">
        <v>15173</v>
      </c>
      <c r="L4986" s="13">
        <v>126651774</v>
      </c>
      <c r="M4986" t="str">
        <f>VLOOKUP(L4986,[1]DevMouse!$B$2:$C$2693,2,FALSE)</f>
        <v>v_m2B</v>
      </c>
    </row>
    <row r="4987" spans="2:13" x14ac:dyDescent="0.25">
      <c r="B4987" s="31" t="s">
        <v>26303</v>
      </c>
      <c r="C4987" s="20"/>
      <c r="D4987" s="25" t="s">
        <v>26185</v>
      </c>
      <c r="E4987" s="25" t="s">
        <v>26300</v>
      </c>
      <c r="F4987" s="9" t="str">
        <f t="shared" si="71"/>
        <v>structure with developmental contribution from neural crest</v>
      </c>
      <c r="G4987" s="9" t="s">
        <v>5090</v>
      </c>
      <c r="H4987" s="9" t="s">
        <v>18575</v>
      </c>
      <c r="I4987" s="9" t="s">
        <v>9225</v>
      </c>
      <c r="J4987" s="9" t="s">
        <v>9226</v>
      </c>
      <c r="K4987" s="5" t="s">
        <v>15173</v>
      </c>
      <c r="L4987" s="13">
        <v>126651778</v>
      </c>
      <c r="M4987" t="str">
        <f>VLOOKUP(L4987,[1]DevMouse!$B$2:$C$2693,2,FALSE)</f>
        <v>v_m2F</v>
      </c>
    </row>
    <row r="4988" spans="2:13" x14ac:dyDescent="0.25">
      <c r="B4988" s="31" t="s">
        <v>26303</v>
      </c>
      <c r="C4988" s="20"/>
      <c r="D4988" s="25" t="s">
        <v>26185</v>
      </c>
      <c r="E4988" s="25" t="s">
        <v>26300</v>
      </c>
      <c r="F4988" s="9" t="str">
        <f t="shared" si="71"/>
        <v>structure with developmental contribution from neural crest</v>
      </c>
      <c r="G4988" s="9" t="s">
        <v>5090</v>
      </c>
      <c r="H4988" s="9" t="s">
        <v>18577</v>
      </c>
      <c r="I4988" s="9" t="s">
        <v>9227</v>
      </c>
      <c r="J4988" s="9" t="s">
        <v>9228</v>
      </c>
      <c r="K4988" s="5" t="s">
        <v>15173</v>
      </c>
      <c r="L4988" s="13">
        <v>126651786</v>
      </c>
      <c r="M4988" t="str">
        <f>VLOOKUP(L4988,[1]DevMouse!$B$2:$C$2693,2,FALSE)</f>
        <v>v_PPH</v>
      </c>
    </row>
    <row r="4989" spans="2:13" x14ac:dyDescent="0.25">
      <c r="B4989" s="31" t="s">
        <v>26303</v>
      </c>
      <c r="C4989" s="20"/>
      <c r="D4989" s="25" t="s">
        <v>26185</v>
      </c>
      <c r="E4989" s="25" t="s">
        <v>26300</v>
      </c>
      <c r="F4989" s="9" t="str">
        <f t="shared" si="71"/>
        <v>structure with developmental contribution from neural crest</v>
      </c>
      <c r="G4989" s="9" t="s">
        <v>5090</v>
      </c>
      <c r="H4989" s="9" t="s">
        <v>18578</v>
      </c>
      <c r="I4989" s="9" t="s">
        <v>9229</v>
      </c>
      <c r="J4989" s="9" t="s">
        <v>9230</v>
      </c>
      <c r="K4989" s="5" t="s">
        <v>15173</v>
      </c>
      <c r="L4989" s="13">
        <v>126651790</v>
      </c>
      <c r="M4989" t="str">
        <f>VLOOKUP(L4989,[1]DevMouse!$B$2:$C$2693,2,FALSE)</f>
        <v>v_is</v>
      </c>
    </row>
    <row r="4990" spans="2:13" x14ac:dyDescent="0.25">
      <c r="B4990" s="31" t="s">
        <v>26303</v>
      </c>
      <c r="C4990" s="20"/>
      <c r="D4990" s="25" t="s">
        <v>26185</v>
      </c>
      <c r="E4990" s="25" t="s">
        <v>26300</v>
      </c>
      <c r="F4990" s="9" t="str">
        <f t="shared" si="71"/>
        <v>structure with developmental contribution from neural crest</v>
      </c>
      <c r="G4990" s="9" t="s">
        <v>5090</v>
      </c>
      <c r="H4990" s="9" t="s">
        <v>18579</v>
      </c>
      <c r="I4990" s="9" t="s">
        <v>9231</v>
      </c>
      <c r="J4990" s="9" t="s">
        <v>9232</v>
      </c>
      <c r="K4990" s="5" t="s">
        <v>15173</v>
      </c>
      <c r="L4990" s="13">
        <v>126651794</v>
      </c>
      <c r="M4990" t="str">
        <f>VLOOKUP(L4990,[1]DevMouse!$B$2:$C$2693,2,FALSE)</f>
        <v>v_isR</v>
      </c>
    </row>
    <row r="4991" spans="2:13" x14ac:dyDescent="0.25">
      <c r="B4991" s="31" t="s">
        <v>26303</v>
      </c>
      <c r="C4991" s="20"/>
      <c r="D4991" s="25" t="s">
        <v>26185</v>
      </c>
      <c r="E4991" s="25" t="s">
        <v>26300</v>
      </c>
      <c r="F4991" s="9" t="str">
        <f t="shared" si="71"/>
        <v>structure with developmental contribution from neural crest</v>
      </c>
      <c r="G4991" s="9" t="s">
        <v>5090</v>
      </c>
      <c r="H4991" s="9" t="s">
        <v>18580</v>
      </c>
      <c r="I4991" s="9" t="s">
        <v>9233</v>
      </c>
      <c r="J4991" s="9" t="s">
        <v>9234</v>
      </c>
      <c r="K4991" s="5" t="s">
        <v>15173</v>
      </c>
      <c r="L4991" s="13">
        <v>126651798</v>
      </c>
      <c r="M4991" t="str">
        <f>VLOOKUP(L4991,[1]DevMouse!$B$2:$C$2693,2,FALSE)</f>
        <v>v_isA</v>
      </c>
    </row>
    <row r="4992" spans="2:13" x14ac:dyDescent="0.25">
      <c r="B4992" s="31" t="s">
        <v>26303</v>
      </c>
      <c r="C4992" s="20"/>
      <c r="D4992" s="25" t="s">
        <v>26185</v>
      </c>
      <c r="E4992" s="25" t="s">
        <v>26300</v>
      </c>
      <c r="F4992" s="9" t="str">
        <f t="shared" si="71"/>
        <v>structure with developmental contribution from neural crest</v>
      </c>
      <c r="G4992" s="9" t="s">
        <v>5090</v>
      </c>
      <c r="H4992" s="9" t="s">
        <v>18581</v>
      </c>
      <c r="I4992" s="9" t="s">
        <v>9235</v>
      </c>
      <c r="J4992" s="9" t="s">
        <v>9236</v>
      </c>
      <c r="K4992" s="5" t="s">
        <v>15173</v>
      </c>
      <c r="L4992" s="13">
        <v>126651802</v>
      </c>
      <c r="M4992" t="str">
        <f>VLOOKUP(L4992,[1]DevMouse!$B$2:$C$2693,2,FALSE)</f>
        <v>v_isB</v>
      </c>
    </row>
    <row r="4993" spans="2:13" x14ac:dyDescent="0.25">
      <c r="B4993" s="31" t="s">
        <v>26303</v>
      </c>
      <c r="C4993" s="20"/>
      <c r="D4993" s="25" t="s">
        <v>26185</v>
      </c>
      <c r="E4993" s="25" t="s">
        <v>26300</v>
      </c>
      <c r="F4993" s="9" t="str">
        <f t="shared" si="71"/>
        <v>structure with developmental contribution from neural crest</v>
      </c>
      <c r="G4993" s="9" t="s">
        <v>5090</v>
      </c>
      <c r="H4993" s="9" t="s">
        <v>18582</v>
      </c>
      <c r="I4993" s="9" t="s">
        <v>9237</v>
      </c>
      <c r="J4993" s="9" t="s">
        <v>9238</v>
      </c>
      <c r="K4993" s="5" t="s">
        <v>15173</v>
      </c>
      <c r="L4993" s="13">
        <v>126651806</v>
      </c>
      <c r="M4993" t="str">
        <f>VLOOKUP(L4993,[1]DevMouse!$B$2:$C$2693,2,FALSE)</f>
        <v>v_isF</v>
      </c>
    </row>
    <row r="4994" spans="2:13" x14ac:dyDescent="0.25">
      <c r="B4994" s="31" t="s">
        <v>26303</v>
      </c>
      <c r="C4994" s="9"/>
      <c r="D4994" s="25" t="s">
        <v>26185</v>
      </c>
      <c r="E4994" s="25" t="s">
        <v>26308</v>
      </c>
      <c r="F4994" s="9" t="str">
        <f t="shared" si="71"/>
        <v>structure with developmental contribution from neural crest</v>
      </c>
      <c r="G4994" s="9" t="s">
        <v>5090</v>
      </c>
      <c r="H4994" s="9" t="s">
        <v>18583</v>
      </c>
      <c r="I4994" s="9" t="s">
        <v>9239</v>
      </c>
      <c r="J4994" s="9" t="s">
        <v>9240</v>
      </c>
      <c r="K4994" s="5" t="s">
        <v>15173</v>
      </c>
      <c r="L4994" s="13">
        <v>126651810</v>
      </c>
      <c r="M4994" t="str">
        <f>VLOOKUP(L4994,[1]DevMouse!$B$2:$C$2693,2,FALSE)</f>
        <v>v_r1</v>
      </c>
    </row>
    <row r="4995" spans="2:13" x14ac:dyDescent="0.25">
      <c r="B4995" s="31" t="s">
        <v>26303</v>
      </c>
      <c r="C4995" s="20"/>
      <c r="D4995" s="25" t="s">
        <v>26185</v>
      </c>
      <c r="E4995" s="25" t="s">
        <v>26300</v>
      </c>
      <c r="F4995" s="9" t="str">
        <f t="shared" si="71"/>
        <v>structure with developmental contribution from neural crest</v>
      </c>
      <c r="G4995" s="9" t="s">
        <v>5090</v>
      </c>
      <c r="H4995" s="9" t="s">
        <v>18584</v>
      </c>
      <c r="I4995" s="9" t="s">
        <v>9241</v>
      </c>
      <c r="J4995" s="9" t="s">
        <v>9242</v>
      </c>
      <c r="K4995" s="5" t="s">
        <v>15173</v>
      </c>
      <c r="L4995" s="13">
        <v>126651814</v>
      </c>
      <c r="M4995" t="str">
        <f>VLOOKUP(L4995,[1]DevMouse!$B$2:$C$2693,2,FALSE)</f>
        <v>v_r1R</v>
      </c>
    </row>
    <row r="4996" spans="2:13" x14ac:dyDescent="0.25">
      <c r="B4996" s="31" t="s">
        <v>26303</v>
      </c>
      <c r="C4996" s="20"/>
      <c r="D4996" s="25" t="s">
        <v>26185</v>
      </c>
      <c r="E4996" s="25" t="s">
        <v>26300</v>
      </c>
      <c r="F4996" s="9" t="str">
        <f t="shared" si="71"/>
        <v>structure with developmental contribution from neural crest</v>
      </c>
      <c r="G4996" s="9" t="s">
        <v>5090</v>
      </c>
      <c r="H4996" s="9" t="s">
        <v>18585</v>
      </c>
      <c r="I4996" s="9" t="s">
        <v>9243</v>
      </c>
      <c r="J4996" s="9" t="s">
        <v>9244</v>
      </c>
      <c r="K4996" s="5" t="s">
        <v>15173</v>
      </c>
      <c r="L4996" s="13">
        <v>126651818</v>
      </c>
      <c r="M4996" t="str">
        <f>VLOOKUP(L4996,[1]DevMouse!$B$2:$C$2693,2,FALSE)</f>
        <v>v_r1A</v>
      </c>
    </row>
    <row r="4997" spans="2:13" x14ac:dyDescent="0.25">
      <c r="B4997" s="31" t="s">
        <v>26303</v>
      </c>
      <c r="C4997" s="20"/>
      <c r="D4997" s="25" t="s">
        <v>26185</v>
      </c>
      <c r="E4997" s="25" t="s">
        <v>26300</v>
      </c>
      <c r="F4997" s="9" t="str">
        <f t="shared" si="71"/>
        <v>structure with developmental contribution from neural crest</v>
      </c>
      <c r="G4997" s="9" t="s">
        <v>5090</v>
      </c>
      <c r="H4997" s="9" t="s">
        <v>18586</v>
      </c>
      <c r="I4997" s="9" t="s">
        <v>9245</v>
      </c>
      <c r="J4997" s="9" t="s">
        <v>9246</v>
      </c>
      <c r="K4997" s="5" t="s">
        <v>15173</v>
      </c>
      <c r="L4997" s="13">
        <v>126651822</v>
      </c>
      <c r="M4997" t="str">
        <f>VLOOKUP(L4997,[1]DevMouse!$B$2:$C$2693,2,FALSE)</f>
        <v>v_r1B</v>
      </c>
    </row>
    <row r="4998" spans="2:13" x14ac:dyDescent="0.25">
      <c r="B4998" s="31" t="s">
        <v>26303</v>
      </c>
      <c r="C4998" s="20"/>
      <c r="D4998" s="25" t="s">
        <v>26185</v>
      </c>
      <c r="E4998" s="25" t="s">
        <v>26300</v>
      </c>
      <c r="F4998" s="9" t="str">
        <f t="shared" si="71"/>
        <v>structure with developmental contribution from neural crest</v>
      </c>
      <c r="G4998" s="9" t="s">
        <v>5090</v>
      </c>
      <c r="H4998" s="9" t="s">
        <v>18587</v>
      </c>
      <c r="I4998" s="9" t="s">
        <v>9247</v>
      </c>
      <c r="J4998" s="9" t="s">
        <v>9248</v>
      </c>
      <c r="K4998" s="5" t="s">
        <v>15173</v>
      </c>
      <c r="L4998" s="13">
        <v>126651826</v>
      </c>
      <c r="M4998" t="str">
        <f>VLOOKUP(L4998,[1]DevMouse!$B$2:$C$2693,2,FALSE)</f>
        <v>v_r1F</v>
      </c>
    </row>
    <row r="4999" spans="2:13" x14ac:dyDescent="0.25">
      <c r="B4999" s="31" t="s">
        <v>26303</v>
      </c>
      <c r="C4999" s="9"/>
      <c r="D4999" s="25" t="s">
        <v>26185</v>
      </c>
      <c r="E4999" s="25" t="s">
        <v>26308</v>
      </c>
      <c r="F4999" s="9" t="str">
        <f t="shared" si="71"/>
        <v>structure with developmental contribution from neural crest</v>
      </c>
      <c r="G4999" s="9" t="s">
        <v>5090</v>
      </c>
      <c r="H4999" s="9" t="s">
        <v>18588</v>
      </c>
      <c r="I4999" s="9" t="s">
        <v>9249</v>
      </c>
      <c r="J4999" s="9" t="s">
        <v>9250</v>
      </c>
      <c r="K4999" s="5" t="s">
        <v>15173</v>
      </c>
      <c r="L4999" s="13">
        <v>126651830</v>
      </c>
      <c r="M4999" t="str">
        <f>VLOOKUP(L4999,[1]DevMouse!$B$2:$C$2693,2,FALSE)</f>
        <v>v_r2</v>
      </c>
    </row>
    <row r="5000" spans="2:13" x14ac:dyDescent="0.25">
      <c r="B5000" s="31" t="s">
        <v>26303</v>
      </c>
      <c r="C5000" s="20"/>
      <c r="D5000" s="25" t="s">
        <v>26185</v>
      </c>
      <c r="E5000" s="25" t="s">
        <v>26300</v>
      </c>
      <c r="F5000" s="9" t="str">
        <f t="shared" si="71"/>
        <v>structure with developmental contribution from neural crest</v>
      </c>
      <c r="G5000" s="9" t="s">
        <v>5090</v>
      </c>
      <c r="H5000" s="9" t="s">
        <v>18589</v>
      </c>
      <c r="I5000" s="9" t="s">
        <v>9251</v>
      </c>
      <c r="J5000" s="9" t="s">
        <v>9252</v>
      </c>
      <c r="K5000" s="5" t="s">
        <v>15173</v>
      </c>
      <c r="L5000" s="13">
        <v>126651834</v>
      </c>
      <c r="M5000" t="str">
        <f>VLOOKUP(L5000,[1]DevMouse!$B$2:$C$2693,2,FALSE)</f>
        <v>v_r2R</v>
      </c>
    </row>
    <row r="5001" spans="2:13" x14ac:dyDescent="0.25">
      <c r="B5001" s="31" t="s">
        <v>26303</v>
      </c>
      <c r="C5001" s="20"/>
      <c r="D5001" s="25" t="s">
        <v>26185</v>
      </c>
      <c r="E5001" s="25" t="s">
        <v>26300</v>
      </c>
      <c r="F5001" s="9" t="str">
        <f t="shared" si="71"/>
        <v>structure with developmental contribution from neural crest</v>
      </c>
      <c r="G5001" s="9" t="s">
        <v>5090</v>
      </c>
      <c r="H5001" s="9" t="s">
        <v>18590</v>
      </c>
      <c r="I5001" s="9" t="s">
        <v>9253</v>
      </c>
      <c r="J5001" s="9" t="s">
        <v>9254</v>
      </c>
      <c r="K5001" s="5" t="s">
        <v>15173</v>
      </c>
      <c r="L5001" s="13">
        <v>126651838</v>
      </c>
      <c r="M5001" t="str">
        <f>VLOOKUP(L5001,[1]DevMouse!$B$2:$C$2693,2,FALSE)</f>
        <v>v_r2A</v>
      </c>
    </row>
    <row r="5002" spans="2:13" x14ac:dyDescent="0.25">
      <c r="B5002" s="31" t="s">
        <v>26303</v>
      </c>
      <c r="C5002" s="20"/>
      <c r="D5002" s="25" t="s">
        <v>26185</v>
      </c>
      <c r="E5002" s="25" t="s">
        <v>26300</v>
      </c>
      <c r="F5002" s="9" t="str">
        <f t="shared" si="71"/>
        <v>structure with developmental contribution from neural crest</v>
      </c>
      <c r="G5002" s="9" t="s">
        <v>5090</v>
      </c>
      <c r="H5002" s="9" t="s">
        <v>18591</v>
      </c>
      <c r="I5002" s="9" t="s">
        <v>9255</v>
      </c>
      <c r="J5002" s="9" t="s">
        <v>9256</v>
      </c>
      <c r="K5002" s="5" t="s">
        <v>15173</v>
      </c>
      <c r="L5002" s="13">
        <v>126651842</v>
      </c>
      <c r="M5002" t="str">
        <f>VLOOKUP(L5002,[1]DevMouse!$B$2:$C$2693,2,FALSE)</f>
        <v>v_r2B</v>
      </c>
    </row>
    <row r="5003" spans="2:13" x14ac:dyDescent="0.25">
      <c r="B5003" s="31" t="s">
        <v>26303</v>
      </c>
      <c r="C5003" s="20"/>
      <c r="D5003" s="25" t="s">
        <v>26185</v>
      </c>
      <c r="E5003" s="25" t="s">
        <v>26300</v>
      </c>
      <c r="F5003" s="9" t="str">
        <f t="shared" si="71"/>
        <v>structure with developmental contribution from neural crest</v>
      </c>
      <c r="G5003" s="9" t="s">
        <v>5090</v>
      </c>
      <c r="H5003" s="9" t="s">
        <v>18592</v>
      </c>
      <c r="I5003" s="9" t="s">
        <v>9257</v>
      </c>
      <c r="J5003" s="9" t="s">
        <v>9258</v>
      </c>
      <c r="K5003" s="5" t="s">
        <v>15173</v>
      </c>
      <c r="L5003" s="13">
        <v>126651846</v>
      </c>
      <c r="M5003" t="str">
        <f>VLOOKUP(L5003,[1]DevMouse!$B$2:$C$2693,2,FALSE)</f>
        <v>v_r2F</v>
      </c>
    </row>
    <row r="5004" spans="2:13" x14ac:dyDescent="0.25">
      <c r="B5004" s="31" t="s">
        <v>26303</v>
      </c>
      <c r="C5004" s="20"/>
      <c r="D5004" s="25" t="s">
        <v>26185</v>
      </c>
      <c r="E5004" s="25" t="s">
        <v>26300</v>
      </c>
      <c r="F5004" s="9" t="str">
        <f t="shared" si="71"/>
        <v>structure with developmental contribution from neural crest</v>
      </c>
      <c r="G5004" s="9" t="s">
        <v>5090</v>
      </c>
      <c r="H5004" s="9" t="s">
        <v>18593</v>
      </c>
      <c r="I5004" s="9" t="s">
        <v>9259</v>
      </c>
      <c r="J5004" s="9" t="s">
        <v>9260</v>
      </c>
      <c r="K5004" s="5" t="s">
        <v>15173</v>
      </c>
      <c r="L5004" s="13">
        <v>126651850</v>
      </c>
      <c r="M5004" t="str">
        <f>VLOOKUP(L5004,[1]DevMouse!$B$2:$C$2693,2,FALSE)</f>
        <v>v_PH</v>
      </c>
    </row>
    <row r="5005" spans="2:13" x14ac:dyDescent="0.25">
      <c r="B5005" s="31" t="s">
        <v>26303</v>
      </c>
      <c r="C5005" s="9"/>
      <c r="D5005" s="25" t="s">
        <v>26185</v>
      </c>
      <c r="E5005" s="25" t="s">
        <v>26308</v>
      </c>
      <c r="F5005" s="9" t="str">
        <f t="shared" si="71"/>
        <v>structure with developmental contribution from neural crest</v>
      </c>
      <c r="G5005" s="9" t="s">
        <v>5090</v>
      </c>
      <c r="H5005" s="9" t="s">
        <v>18594</v>
      </c>
      <c r="I5005" s="9" t="s">
        <v>9261</v>
      </c>
      <c r="J5005" s="9" t="s">
        <v>9262</v>
      </c>
      <c r="K5005" s="5" t="s">
        <v>15173</v>
      </c>
      <c r="L5005" s="13">
        <v>126651854</v>
      </c>
      <c r="M5005" t="str">
        <f>VLOOKUP(L5005,[1]DevMouse!$B$2:$C$2693,2,FALSE)</f>
        <v>v_r3</v>
      </c>
    </row>
    <row r="5006" spans="2:13" x14ac:dyDescent="0.25">
      <c r="B5006" s="31" t="s">
        <v>26303</v>
      </c>
      <c r="C5006" s="20"/>
      <c r="D5006" s="25" t="s">
        <v>26185</v>
      </c>
      <c r="E5006" s="25" t="s">
        <v>26300</v>
      </c>
      <c r="F5006" s="9" t="str">
        <f t="shared" si="71"/>
        <v>structure with developmental contribution from neural crest</v>
      </c>
      <c r="G5006" s="9" t="s">
        <v>5090</v>
      </c>
      <c r="H5006" s="9" t="s">
        <v>18595</v>
      </c>
      <c r="I5006" s="9" t="s">
        <v>9263</v>
      </c>
      <c r="J5006" s="9" t="s">
        <v>9264</v>
      </c>
      <c r="K5006" s="5" t="s">
        <v>15173</v>
      </c>
      <c r="L5006" s="13">
        <v>126651858</v>
      </c>
      <c r="M5006" t="str">
        <f>VLOOKUP(L5006,[1]DevMouse!$B$2:$C$2693,2,FALSE)</f>
        <v>v_r3R</v>
      </c>
    </row>
    <row r="5007" spans="2:13" x14ac:dyDescent="0.25">
      <c r="B5007" s="31" t="s">
        <v>26303</v>
      </c>
      <c r="C5007" s="20"/>
      <c r="D5007" s="25" t="s">
        <v>26185</v>
      </c>
      <c r="E5007" s="25" t="s">
        <v>26300</v>
      </c>
      <c r="F5007" s="9" t="str">
        <f t="shared" si="71"/>
        <v>structure with developmental contribution from neural crest</v>
      </c>
      <c r="G5007" s="9" t="s">
        <v>5090</v>
      </c>
      <c r="H5007" s="9" t="s">
        <v>18596</v>
      </c>
      <c r="I5007" s="9" t="s">
        <v>9265</v>
      </c>
      <c r="J5007" s="9" t="s">
        <v>9266</v>
      </c>
      <c r="K5007" s="5" t="s">
        <v>15173</v>
      </c>
      <c r="L5007" s="13">
        <v>126651862</v>
      </c>
      <c r="M5007" t="str">
        <f>VLOOKUP(L5007,[1]DevMouse!$B$2:$C$2693,2,FALSE)</f>
        <v>v_r3A</v>
      </c>
    </row>
    <row r="5008" spans="2:13" x14ac:dyDescent="0.25">
      <c r="B5008" s="31" t="s">
        <v>26303</v>
      </c>
      <c r="C5008" s="20"/>
      <c r="D5008" s="25" t="s">
        <v>26185</v>
      </c>
      <c r="E5008" s="25" t="s">
        <v>26300</v>
      </c>
      <c r="F5008" s="9" t="str">
        <f t="shared" si="71"/>
        <v>structure with developmental contribution from neural crest</v>
      </c>
      <c r="G5008" s="9" t="s">
        <v>5090</v>
      </c>
      <c r="H5008" s="9" t="s">
        <v>18597</v>
      </c>
      <c r="I5008" s="9" t="s">
        <v>9267</v>
      </c>
      <c r="J5008" s="9" t="s">
        <v>9268</v>
      </c>
      <c r="K5008" s="5" t="s">
        <v>15173</v>
      </c>
      <c r="L5008" s="13">
        <v>126651866</v>
      </c>
      <c r="M5008" t="str">
        <f>VLOOKUP(L5008,[1]DevMouse!$B$2:$C$2693,2,FALSE)</f>
        <v>v_r3B</v>
      </c>
    </row>
    <row r="5009" spans="2:13" x14ac:dyDescent="0.25">
      <c r="B5009" s="31" t="s">
        <v>26303</v>
      </c>
      <c r="C5009" s="20"/>
      <c r="D5009" s="25" t="s">
        <v>26185</v>
      </c>
      <c r="E5009" s="25" t="s">
        <v>26300</v>
      </c>
      <c r="F5009" s="9" t="str">
        <f t="shared" si="71"/>
        <v>structure with developmental contribution from neural crest</v>
      </c>
      <c r="G5009" s="9" t="s">
        <v>5090</v>
      </c>
      <c r="H5009" s="9" t="s">
        <v>18598</v>
      </c>
      <c r="I5009" s="9" t="s">
        <v>9269</v>
      </c>
      <c r="J5009" s="9" t="s">
        <v>9270</v>
      </c>
      <c r="K5009" s="5" t="s">
        <v>15173</v>
      </c>
      <c r="L5009" s="13">
        <v>126651870</v>
      </c>
      <c r="M5009" t="str">
        <f>VLOOKUP(L5009,[1]DevMouse!$B$2:$C$2693,2,FALSE)</f>
        <v>v_r3F</v>
      </c>
    </row>
    <row r="5010" spans="2:13" x14ac:dyDescent="0.25">
      <c r="B5010" s="31" t="s">
        <v>26303</v>
      </c>
      <c r="C5010" s="9"/>
      <c r="D5010" s="25" t="s">
        <v>26185</v>
      </c>
      <c r="E5010" s="25" t="s">
        <v>26308</v>
      </c>
      <c r="F5010" s="9" t="str">
        <f t="shared" si="71"/>
        <v>structure with developmental contribution from neural crest</v>
      </c>
      <c r="G5010" s="9" t="s">
        <v>5090</v>
      </c>
      <c r="H5010" s="9" t="s">
        <v>18599</v>
      </c>
      <c r="I5010" s="9" t="s">
        <v>9271</v>
      </c>
      <c r="J5010" s="9" t="s">
        <v>9272</v>
      </c>
      <c r="K5010" s="5" t="s">
        <v>15173</v>
      </c>
      <c r="L5010" s="13">
        <v>126651874</v>
      </c>
      <c r="M5010" t="str">
        <f>VLOOKUP(L5010,[1]DevMouse!$B$2:$C$2693,2,FALSE)</f>
        <v>v_r4</v>
      </c>
    </row>
    <row r="5011" spans="2:13" x14ac:dyDescent="0.25">
      <c r="B5011" s="31" t="s">
        <v>26303</v>
      </c>
      <c r="C5011" s="20"/>
      <c r="D5011" s="25" t="s">
        <v>26185</v>
      </c>
      <c r="E5011" s="25" t="s">
        <v>26300</v>
      </c>
      <c r="F5011" s="9" t="str">
        <f t="shared" si="71"/>
        <v>structure with developmental contribution from neural crest</v>
      </c>
      <c r="G5011" s="9" t="s">
        <v>5090</v>
      </c>
      <c r="H5011" s="9" t="s">
        <v>18600</v>
      </c>
      <c r="I5011" s="9" t="s">
        <v>9273</v>
      </c>
      <c r="J5011" s="9" t="s">
        <v>9274</v>
      </c>
      <c r="K5011" s="5" t="s">
        <v>15173</v>
      </c>
      <c r="L5011" s="13">
        <v>126651878</v>
      </c>
      <c r="M5011" t="str">
        <f>VLOOKUP(L5011,[1]DevMouse!$B$2:$C$2693,2,FALSE)</f>
        <v>v_r4R</v>
      </c>
    </row>
    <row r="5012" spans="2:13" x14ac:dyDescent="0.25">
      <c r="B5012" s="31" t="s">
        <v>26303</v>
      </c>
      <c r="C5012" s="20"/>
      <c r="D5012" s="25" t="s">
        <v>26185</v>
      </c>
      <c r="E5012" s="25" t="s">
        <v>26300</v>
      </c>
      <c r="F5012" s="9" t="str">
        <f t="shared" si="71"/>
        <v>structure with developmental contribution from neural crest</v>
      </c>
      <c r="G5012" s="9" t="s">
        <v>5090</v>
      </c>
      <c r="H5012" s="9" t="s">
        <v>18601</v>
      </c>
      <c r="I5012" s="9" t="s">
        <v>9275</v>
      </c>
      <c r="J5012" s="9" t="s">
        <v>9276</v>
      </c>
      <c r="K5012" s="5" t="s">
        <v>15173</v>
      </c>
      <c r="L5012" s="13">
        <v>126651882</v>
      </c>
      <c r="M5012" t="str">
        <f>VLOOKUP(L5012,[1]DevMouse!$B$2:$C$2693,2,FALSE)</f>
        <v>v_r4A</v>
      </c>
    </row>
    <row r="5013" spans="2:13" x14ac:dyDescent="0.25">
      <c r="B5013" s="31" t="s">
        <v>26303</v>
      </c>
      <c r="C5013" s="20"/>
      <c r="D5013" s="25" t="s">
        <v>26185</v>
      </c>
      <c r="E5013" s="25" t="s">
        <v>26300</v>
      </c>
      <c r="F5013" s="9" t="str">
        <f t="shared" si="71"/>
        <v>structure with developmental contribution from neural crest</v>
      </c>
      <c r="G5013" s="9" t="s">
        <v>5090</v>
      </c>
      <c r="H5013" s="9" t="s">
        <v>18602</v>
      </c>
      <c r="I5013" s="9" t="s">
        <v>9277</v>
      </c>
      <c r="J5013" s="9" t="s">
        <v>9278</v>
      </c>
      <c r="K5013" s="5" t="s">
        <v>15173</v>
      </c>
      <c r="L5013" s="13">
        <v>126651886</v>
      </c>
      <c r="M5013" t="str">
        <f>VLOOKUP(L5013,[1]DevMouse!$B$2:$C$2693,2,FALSE)</f>
        <v>v_r4B</v>
      </c>
    </row>
    <row r="5014" spans="2:13" x14ac:dyDescent="0.25">
      <c r="B5014" s="31" t="s">
        <v>26303</v>
      </c>
      <c r="C5014" s="20"/>
      <c r="D5014" s="25" t="s">
        <v>26185</v>
      </c>
      <c r="E5014" s="25" t="s">
        <v>26300</v>
      </c>
      <c r="F5014" s="9" t="str">
        <f t="shared" si="71"/>
        <v>structure with developmental contribution from neural crest</v>
      </c>
      <c r="G5014" s="9" t="s">
        <v>5090</v>
      </c>
      <c r="H5014" s="9" t="s">
        <v>18603</v>
      </c>
      <c r="I5014" s="9" t="s">
        <v>9279</v>
      </c>
      <c r="J5014" s="9" t="s">
        <v>9280</v>
      </c>
      <c r="K5014" s="5" t="s">
        <v>15173</v>
      </c>
      <c r="L5014" s="13">
        <v>126651890</v>
      </c>
      <c r="M5014" t="str">
        <f>VLOOKUP(L5014,[1]DevMouse!$B$2:$C$2693,2,FALSE)</f>
        <v>v_r4F</v>
      </c>
    </row>
    <row r="5015" spans="2:13" x14ac:dyDescent="0.25">
      <c r="B5015" s="31" t="s">
        <v>26303</v>
      </c>
      <c r="C5015" s="20"/>
      <c r="D5015" s="25" t="s">
        <v>26185</v>
      </c>
      <c r="E5015" s="25" t="s">
        <v>26300</v>
      </c>
      <c r="F5015" s="9" t="str">
        <f t="shared" si="71"/>
        <v>structure with developmental contribution from neural crest</v>
      </c>
      <c r="G5015" s="9" t="s">
        <v>5090</v>
      </c>
      <c r="H5015" s="9" t="s">
        <v>18604</v>
      </c>
      <c r="I5015" s="9" t="s">
        <v>9281</v>
      </c>
      <c r="J5015" s="9" t="s">
        <v>9282</v>
      </c>
      <c r="K5015" s="5" t="s">
        <v>15173</v>
      </c>
      <c r="L5015" s="13">
        <v>126651894</v>
      </c>
      <c r="M5015" t="str">
        <f>VLOOKUP(L5015,[1]DevMouse!$B$2:$C$2693,2,FALSE)</f>
        <v>v_PMH</v>
      </c>
    </row>
    <row r="5016" spans="2:13" x14ac:dyDescent="0.25">
      <c r="B5016" s="31" t="s">
        <v>26303</v>
      </c>
      <c r="C5016" s="9"/>
      <c r="D5016" s="25" t="s">
        <v>26185</v>
      </c>
      <c r="E5016" s="25" t="s">
        <v>26308</v>
      </c>
      <c r="F5016" s="9" t="str">
        <f t="shared" si="71"/>
        <v>structure with developmental contribution from neural crest</v>
      </c>
      <c r="G5016" s="9" t="s">
        <v>5090</v>
      </c>
      <c r="H5016" s="9" t="s">
        <v>18605</v>
      </c>
      <c r="I5016" s="9" t="s">
        <v>9283</v>
      </c>
      <c r="J5016" s="9" t="s">
        <v>9284</v>
      </c>
      <c r="K5016" s="5" t="s">
        <v>15173</v>
      </c>
      <c r="L5016" s="13">
        <v>126651898</v>
      </c>
      <c r="M5016" t="str">
        <f>VLOOKUP(L5016,[1]DevMouse!$B$2:$C$2693,2,FALSE)</f>
        <v>v_r5</v>
      </c>
    </row>
    <row r="5017" spans="2:13" x14ac:dyDescent="0.25">
      <c r="B5017" s="31" t="s">
        <v>26303</v>
      </c>
      <c r="C5017" s="20"/>
      <c r="D5017" s="25" t="s">
        <v>26185</v>
      </c>
      <c r="E5017" s="25" t="s">
        <v>26300</v>
      </c>
      <c r="F5017" s="9" t="str">
        <f t="shared" si="71"/>
        <v>structure with developmental contribution from neural crest</v>
      </c>
      <c r="G5017" s="9" t="s">
        <v>5090</v>
      </c>
      <c r="H5017" s="9" t="s">
        <v>18606</v>
      </c>
      <c r="I5017" s="9" t="s">
        <v>9285</v>
      </c>
      <c r="J5017" s="9" t="s">
        <v>9286</v>
      </c>
      <c r="K5017" s="5" t="s">
        <v>15173</v>
      </c>
      <c r="L5017" s="13">
        <v>126651902</v>
      </c>
      <c r="M5017" t="str">
        <f>VLOOKUP(L5017,[1]DevMouse!$B$2:$C$2693,2,FALSE)</f>
        <v>v_r5R</v>
      </c>
    </row>
    <row r="5018" spans="2:13" x14ac:dyDescent="0.25">
      <c r="B5018" s="31" t="s">
        <v>26303</v>
      </c>
      <c r="C5018" s="20"/>
      <c r="D5018" s="25" t="s">
        <v>26185</v>
      </c>
      <c r="E5018" s="25" t="s">
        <v>26300</v>
      </c>
      <c r="F5018" s="9" t="str">
        <f t="shared" si="71"/>
        <v>structure with developmental contribution from neural crest</v>
      </c>
      <c r="G5018" s="9" t="s">
        <v>5090</v>
      </c>
      <c r="H5018" s="9" t="s">
        <v>18607</v>
      </c>
      <c r="I5018" s="9" t="s">
        <v>9287</v>
      </c>
      <c r="J5018" s="9" t="s">
        <v>9288</v>
      </c>
      <c r="K5018" s="5" t="s">
        <v>15173</v>
      </c>
      <c r="L5018" s="13">
        <v>126651906</v>
      </c>
      <c r="M5018" t="str">
        <f>VLOOKUP(L5018,[1]DevMouse!$B$2:$C$2693,2,FALSE)</f>
        <v>v_r5A</v>
      </c>
    </row>
    <row r="5019" spans="2:13" x14ac:dyDescent="0.25">
      <c r="B5019" s="31" t="s">
        <v>26303</v>
      </c>
      <c r="C5019" s="20"/>
      <c r="D5019" s="25" t="s">
        <v>26185</v>
      </c>
      <c r="E5019" s="25" t="s">
        <v>26300</v>
      </c>
      <c r="F5019" s="9" t="str">
        <f t="shared" si="71"/>
        <v>structure with developmental contribution from neural crest</v>
      </c>
      <c r="G5019" s="9" t="s">
        <v>5090</v>
      </c>
      <c r="H5019" s="9" t="s">
        <v>18608</v>
      </c>
      <c r="I5019" s="9" t="s">
        <v>9289</v>
      </c>
      <c r="J5019" s="9" t="s">
        <v>9290</v>
      </c>
      <c r="K5019" s="5" t="s">
        <v>15173</v>
      </c>
      <c r="L5019" s="13">
        <v>126651910</v>
      </c>
      <c r="M5019" t="str">
        <f>VLOOKUP(L5019,[1]DevMouse!$B$2:$C$2693,2,FALSE)</f>
        <v>v_r5B</v>
      </c>
    </row>
    <row r="5020" spans="2:13" x14ac:dyDescent="0.25">
      <c r="B5020" s="31" t="s">
        <v>26303</v>
      </c>
      <c r="C5020" s="20"/>
      <c r="D5020" s="25" t="s">
        <v>26185</v>
      </c>
      <c r="E5020" s="25" t="s">
        <v>26300</v>
      </c>
      <c r="F5020" s="9" t="str">
        <f t="shared" si="71"/>
        <v>structure with developmental contribution from neural crest</v>
      </c>
      <c r="G5020" s="9" t="s">
        <v>5090</v>
      </c>
      <c r="H5020" s="9" t="s">
        <v>18609</v>
      </c>
      <c r="I5020" s="9" t="s">
        <v>9291</v>
      </c>
      <c r="J5020" s="9" t="s">
        <v>9292</v>
      </c>
      <c r="K5020" s="5" t="s">
        <v>15173</v>
      </c>
      <c r="L5020" s="13">
        <v>126651914</v>
      </c>
      <c r="M5020" t="str">
        <f>VLOOKUP(L5020,[1]DevMouse!$B$2:$C$2693,2,FALSE)</f>
        <v>v_r5F</v>
      </c>
    </row>
    <row r="5021" spans="2:13" x14ac:dyDescent="0.25">
      <c r="B5021" s="31" t="s">
        <v>26303</v>
      </c>
      <c r="C5021" s="9"/>
      <c r="D5021" s="25" t="s">
        <v>26185</v>
      </c>
      <c r="E5021" s="25" t="s">
        <v>26308</v>
      </c>
      <c r="F5021" s="9" t="str">
        <f t="shared" si="71"/>
        <v>structure with developmental contribution from neural crest</v>
      </c>
      <c r="G5021" s="9" t="s">
        <v>5090</v>
      </c>
      <c r="H5021" s="9" t="s">
        <v>18610</v>
      </c>
      <c r="I5021" s="9" t="s">
        <v>9293</v>
      </c>
      <c r="J5021" s="9" t="s">
        <v>9294</v>
      </c>
      <c r="K5021" s="5" t="s">
        <v>15173</v>
      </c>
      <c r="L5021" s="13">
        <v>126651918</v>
      </c>
      <c r="M5021" t="str">
        <f>VLOOKUP(L5021,[1]DevMouse!$B$2:$C$2693,2,FALSE)</f>
        <v>v_r6</v>
      </c>
    </row>
    <row r="5022" spans="2:13" x14ac:dyDescent="0.25">
      <c r="B5022" s="31" t="s">
        <v>26303</v>
      </c>
      <c r="C5022" s="20"/>
      <c r="D5022" s="25" t="s">
        <v>26185</v>
      </c>
      <c r="E5022" s="25" t="s">
        <v>26300</v>
      </c>
      <c r="F5022" s="9" t="str">
        <f t="shared" si="71"/>
        <v>structure with developmental contribution from neural crest</v>
      </c>
      <c r="G5022" s="9" t="s">
        <v>5090</v>
      </c>
      <c r="H5022" s="9" t="s">
        <v>18611</v>
      </c>
      <c r="I5022" s="9" t="s">
        <v>9295</v>
      </c>
      <c r="J5022" s="9" t="s">
        <v>9296</v>
      </c>
      <c r="K5022" s="5" t="s">
        <v>15173</v>
      </c>
      <c r="L5022" s="13">
        <v>126651922</v>
      </c>
      <c r="M5022" t="str">
        <f>VLOOKUP(L5022,[1]DevMouse!$B$2:$C$2693,2,FALSE)</f>
        <v>v_r6R</v>
      </c>
    </row>
    <row r="5023" spans="2:13" x14ac:dyDescent="0.25">
      <c r="B5023" s="31" t="s">
        <v>26303</v>
      </c>
      <c r="C5023" s="20"/>
      <c r="D5023" s="25" t="s">
        <v>26185</v>
      </c>
      <c r="E5023" s="25" t="s">
        <v>26300</v>
      </c>
      <c r="F5023" s="9" t="str">
        <f t="shared" si="71"/>
        <v>structure with developmental contribution from neural crest</v>
      </c>
      <c r="G5023" s="9" t="s">
        <v>5090</v>
      </c>
      <c r="H5023" s="9" t="s">
        <v>18612</v>
      </c>
      <c r="I5023" s="9" t="s">
        <v>9297</v>
      </c>
      <c r="J5023" s="9" t="s">
        <v>9298</v>
      </c>
      <c r="K5023" s="5" t="s">
        <v>15173</v>
      </c>
      <c r="L5023" s="13">
        <v>126651926</v>
      </c>
      <c r="M5023" t="str">
        <f>VLOOKUP(L5023,[1]DevMouse!$B$2:$C$2693,2,FALSE)</f>
        <v>v_r6A</v>
      </c>
    </row>
    <row r="5024" spans="2:13" x14ac:dyDescent="0.25">
      <c r="B5024" s="31" t="s">
        <v>26303</v>
      </c>
      <c r="C5024" s="20"/>
      <c r="D5024" s="25" t="s">
        <v>26185</v>
      </c>
      <c r="E5024" s="25" t="s">
        <v>26300</v>
      </c>
      <c r="F5024" s="9" t="str">
        <f t="shared" si="71"/>
        <v>structure with developmental contribution from neural crest</v>
      </c>
      <c r="G5024" s="9" t="s">
        <v>5090</v>
      </c>
      <c r="H5024" s="9" t="s">
        <v>18613</v>
      </c>
      <c r="I5024" s="9" t="s">
        <v>9299</v>
      </c>
      <c r="J5024" s="9" t="s">
        <v>9300</v>
      </c>
      <c r="K5024" s="5" t="s">
        <v>15173</v>
      </c>
      <c r="L5024" s="13">
        <v>126651930</v>
      </c>
      <c r="M5024" t="str">
        <f>VLOOKUP(L5024,[1]DevMouse!$B$2:$C$2693,2,FALSE)</f>
        <v>v_r6B</v>
      </c>
    </row>
    <row r="5025" spans="2:13" x14ac:dyDescent="0.25">
      <c r="B5025" s="31" t="s">
        <v>26303</v>
      </c>
      <c r="C5025" s="20"/>
      <c r="D5025" s="25" t="s">
        <v>26185</v>
      </c>
      <c r="E5025" s="25" t="s">
        <v>26300</v>
      </c>
      <c r="F5025" s="9" t="str">
        <f t="shared" si="71"/>
        <v>structure with developmental contribution from neural crest</v>
      </c>
      <c r="G5025" s="9" t="s">
        <v>5090</v>
      </c>
      <c r="H5025" s="9" t="s">
        <v>18614</v>
      </c>
      <c r="I5025" s="9" t="s">
        <v>9301</v>
      </c>
      <c r="J5025" s="9" t="s">
        <v>9302</v>
      </c>
      <c r="K5025" s="5" t="s">
        <v>15173</v>
      </c>
      <c r="L5025" s="13">
        <v>126651934</v>
      </c>
      <c r="M5025" t="str">
        <f>VLOOKUP(L5025,[1]DevMouse!$B$2:$C$2693,2,FALSE)</f>
        <v>v_r6F</v>
      </c>
    </row>
    <row r="5026" spans="2:13" x14ac:dyDescent="0.25">
      <c r="B5026" s="31" t="s">
        <v>26303</v>
      </c>
      <c r="C5026" s="20"/>
      <c r="D5026" s="25" t="s">
        <v>26185</v>
      </c>
      <c r="E5026" s="25" t="s">
        <v>26300</v>
      </c>
      <c r="F5026" s="9" t="str">
        <f t="shared" si="71"/>
        <v>structure with developmental contribution from neural crest</v>
      </c>
      <c r="G5026" s="9" t="s">
        <v>5090</v>
      </c>
      <c r="H5026" s="9" t="s">
        <v>18615</v>
      </c>
      <c r="I5026" s="9" t="s">
        <v>9303</v>
      </c>
      <c r="J5026" s="9" t="s">
        <v>9304</v>
      </c>
      <c r="K5026" s="5" t="s">
        <v>15173</v>
      </c>
      <c r="L5026" s="13">
        <v>126651938</v>
      </c>
      <c r="M5026" t="str">
        <f>VLOOKUP(L5026,[1]DevMouse!$B$2:$C$2693,2,FALSE)</f>
        <v>v_MH</v>
      </c>
    </row>
    <row r="5027" spans="2:13" x14ac:dyDescent="0.25">
      <c r="B5027" s="31" t="s">
        <v>26303</v>
      </c>
      <c r="C5027" s="9"/>
      <c r="D5027" s="25" t="s">
        <v>26185</v>
      </c>
      <c r="E5027" s="25" t="s">
        <v>26308</v>
      </c>
      <c r="F5027" s="9" t="str">
        <f t="shared" si="71"/>
        <v>structure with developmental contribution from neural crest</v>
      </c>
      <c r="G5027" s="9" t="s">
        <v>5090</v>
      </c>
      <c r="H5027" s="9" t="s">
        <v>18616</v>
      </c>
      <c r="I5027" s="9" t="s">
        <v>9305</v>
      </c>
      <c r="J5027" s="9" t="s">
        <v>9306</v>
      </c>
      <c r="K5027" s="5" t="s">
        <v>15173</v>
      </c>
      <c r="L5027" s="13">
        <v>126651942</v>
      </c>
      <c r="M5027" t="str">
        <f>VLOOKUP(L5027,[1]DevMouse!$B$2:$C$2693,2,FALSE)</f>
        <v>v_r7</v>
      </c>
    </row>
    <row r="5028" spans="2:13" x14ac:dyDescent="0.25">
      <c r="B5028" s="31" t="s">
        <v>26303</v>
      </c>
      <c r="C5028" s="20"/>
      <c r="D5028" s="25" t="s">
        <v>26185</v>
      </c>
      <c r="E5028" s="25" t="s">
        <v>26300</v>
      </c>
      <c r="F5028" s="9" t="str">
        <f t="shared" si="71"/>
        <v>structure with developmental contribution from neural crest</v>
      </c>
      <c r="G5028" s="9" t="s">
        <v>5090</v>
      </c>
      <c r="H5028" s="9" t="s">
        <v>18617</v>
      </c>
      <c r="I5028" s="9" t="s">
        <v>9307</v>
      </c>
      <c r="J5028" s="9" t="s">
        <v>9308</v>
      </c>
      <c r="K5028" s="5" t="s">
        <v>15173</v>
      </c>
      <c r="L5028" s="13">
        <v>126651946</v>
      </c>
      <c r="M5028" t="str">
        <f>VLOOKUP(L5028,[1]DevMouse!$B$2:$C$2693,2,FALSE)</f>
        <v>v_r7R</v>
      </c>
    </row>
    <row r="5029" spans="2:13" x14ac:dyDescent="0.25">
      <c r="B5029" s="31" t="s">
        <v>26303</v>
      </c>
      <c r="C5029" s="20"/>
      <c r="D5029" s="25" t="s">
        <v>26185</v>
      </c>
      <c r="E5029" s="25" t="s">
        <v>26300</v>
      </c>
      <c r="F5029" s="9" t="str">
        <f t="shared" si="71"/>
        <v>structure with developmental contribution from neural crest</v>
      </c>
      <c r="G5029" s="9" t="s">
        <v>5090</v>
      </c>
      <c r="H5029" s="9" t="s">
        <v>18618</v>
      </c>
      <c r="I5029" s="9" t="s">
        <v>9309</v>
      </c>
      <c r="J5029" s="9" t="s">
        <v>9310</v>
      </c>
      <c r="K5029" s="5" t="s">
        <v>15173</v>
      </c>
      <c r="L5029" s="13">
        <v>126651950</v>
      </c>
      <c r="M5029" t="str">
        <f>VLOOKUP(L5029,[1]DevMouse!$B$2:$C$2693,2,FALSE)</f>
        <v>v_r7A</v>
      </c>
    </row>
    <row r="5030" spans="2:13" x14ac:dyDescent="0.25">
      <c r="B5030" s="31" t="s">
        <v>26303</v>
      </c>
      <c r="C5030" s="20"/>
      <c r="D5030" s="25" t="s">
        <v>26185</v>
      </c>
      <c r="E5030" s="25" t="s">
        <v>26300</v>
      </c>
      <c r="F5030" s="9" t="str">
        <f t="shared" si="71"/>
        <v>structure with developmental contribution from neural crest</v>
      </c>
      <c r="G5030" s="9" t="s">
        <v>5090</v>
      </c>
      <c r="H5030" s="9" t="s">
        <v>18619</v>
      </c>
      <c r="I5030" s="9" t="s">
        <v>9311</v>
      </c>
      <c r="J5030" s="9" t="s">
        <v>9312</v>
      </c>
      <c r="K5030" s="5" t="s">
        <v>15173</v>
      </c>
      <c r="L5030" s="13">
        <v>126651954</v>
      </c>
      <c r="M5030" t="str">
        <f>VLOOKUP(L5030,[1]DevMouse!$B$2:$C$2693,2,FALSE)</f>
        <v>v_r7B</v>
      </c>
    </row>
    <row r="5031" spans="2:13" x14ac:dyDescent="0.25">
      <c r="B5031" s="31" t="s">
        <v>26303</v>
      </c>
      <c r="C5031" s="20"/>
      <c r="D5031" s="25" t="s">
        <v>26185</v>
      </c>
      <c r="E5031" s="25" t="s">
        <v>26300</v>
      </c>
      <c r="F5031" s="9" t="str">
        <f t="shared" si="71"/>
        <v>structure with developmental contribution from neural crest</v>
      </c>
      <c r="G5031" s="9" t="s">
        <v>5090</v>
      </c>
      <c r="H5031" s="9" t="s">
        <v>18620</v>
      </c>
      <c r="I5031" s="9" t="s">
        <v>9313</v>
      </c>
      <c r="J5031" s="9" t="s">
        <v>9314</v>
      </c>
      <c r="K5031" s="5" t="s">
        <v>15173</v>
      </c>
      <c r="L5031" s="13">
        <v>126651958</v>
      </c>
      <c r="M5031" t="str">
        <f>VLOOKUP(L5031,[1]DevMouse!$B$2:$C$2693,2,FALSE)</f>
        <v>v_r7F</v>
      </c>
    </row>
    <row r="5032" spans="2:13" x14ac:dyDescent="0.25">
      <c r="B5032" s="31" t="s">
        <v>26303</v>
      </c>
      <c r="C5032" s="9"/>
      <c r="D5032" s="25" t="s">
        <v>26185</v>
      </c>
      <c r="E5032" s="25" t="s">
        <v>26308</v>
      </c>
      <c r="F5032" s="9" t="str">
        <f t="shared" si="71"/>
        <v>structure with developmental contribution from neural crest</v>
      </c>
      <c r="G5032" s="9" t="s">
        <v>5090</v>
      </c>
      <c r="H5032" s="9" t="s">
        <v>18621</v>
      </c>
      <c r="I5032" s="9" t="s">
        <v>9315</v>
      </c>
      <c r="J5032" s="9" t="s">
        <v>9316</v>
      </c>
      <c r="K5032" s="5" t="s">
        <v>15173</v>
      </c>
      <c r="L5032" s="13">
        <v>126651962</v>
      </c>
      <c r="M5032" t="str">
        <f>VLOOKUP(L5032,[1]DevMouse!$B$2:$C$2693,2,FALSE)</f>
        <v>v_r8</v>
      </c>
    </row>
    <row r="5033" spans="2:13" x14ac:dyDescent="0.25">
      <c r="B5033" s="31" t="s">
        <v>26303</v>
      </c>
      <c r="C5033" s="20"/>
      <c r="D5033" s="25" t="s">
        <v>26185</v>
      </c>
      <c r="E5033" s="25" t="s">
        <v>26300</v>
      </c>
      <c r="F5033" s="9" t="str">
        <f t="shared" si="71"/>
        <v>structure with developmental contribution from neural crest</v>
      </c>
      <c r="G5033" s="9" t="s">
        <v>5090</v>
      </c>
      <c r="H5033" s="9" t="s">
        <v>18622</v>
      </c>
      <c r="I5033" s="9" t="s">
        <v>9317</v>
      </c>
      <c r="J5033" s="9" t="s">
        <v>9318</v>
      </c>
      <c r="K5033" s="5" t="s">
        <v>15173</v>
      </c>
      <c r="L5033" s="13">
        <v>126651966</v>
      </c>
      <c r="M5033" t="str">
        <f>VLOOKUP(L5033,[1]DevMouse!$B$2:$C$2693,2,FALSE)</f>
        <v>v_r8R</v>
      </c>
    </row>
    <row r="5034" spans="2:13" x14ac:dyDescent="0.25">
      <c r="B5034" s="31" t="s">
        <v>26303</v>
      </c>
      <c r="C5034" s="20"/>
      <c r="D5034" s="25" t="s">
        <v>26185</v>
      </c>
      <c r="E5034" s="25" t="s">
        <v>26300</v>
      </c>
      <c r="F5034" s="9" t="str">
        <f t="shared" si="71"/>
        <v>structure with developmental contribution from neural crest</v>
      </c>
      <c r="G5034" s="9" t="s">
        <v>5090</v>
      </c>
      <c r="H5034" s="9" t="s">
        <v>18623</v>
      </c>
      <c r="I5034" s="9" t="s">
        <v>9319</v>
      </c>
      <c r="J5034" s="9" t="s">
        <v>9320</v>
      </c>
      <c r="K5034" s="5" t="s">
        <v>15173</v>
      </c>
      <c r="L5034" s="13">
        <v>126651970</v>
      </c>
      <c r="M5034" t="str">
        <f>VLOOKUP(L5034,[1]DevMouse!$B$2:$C$2693,2,FALSE)</f>
        <v>v_r8A</v>
      </c>
    </row>
    <row r="5035" spans="2:13" x14ac:dyDescent="0.25">
      <c r="B5035" s="31" t="s">
        <v>26303</v>
      </c>
      <c r="C5035" s="20"/>
      <c r="D5035" s="25" t="s">
        <v>26185</v>
      </c>
      <c r="E5035" s="25" t="s">
        <v>26300</v>
      </c>
      <c r="F5035" s="9" t="str">
        <f t="shared" si="71"/>
        <v>structure with developmental contribution from neural crest</v>
      </c>
      <c r="G5035" s="9" t="s">
        <v>5090</v>
      </c>
      <c r="H5035" s="9" t="s">
        <v>18624</v>
      </c>
      <c r="I5035" s="9" t="s">
        <v>9321</v>
      </c>
      <c r="J5035" s="9" t="s">
        <v>9322</v>
      </c>
      <c r="K5035" s="5" t="s">
        <v>15173</v>
      </c>
      <c r="L5035" s="13">
        <v>126651974</v>
      </c>
      <c r="M5035" t="str">
        <f>VLOOKUP(L5035,[1]DevMouse!$B$2:$C$2693,2,FALSE)</f>
        <v>v_r8B</v>
      </c>
    </row>
    <row r="5036" spans="2:13" x14ac:dyDescent="0.25">
      <c r="B5036" s="31" t="s">
        <v>26303</v>
      </c>
      <c r="C5036" s="20"/>
      <c r="D5036" s="25" t="s">
        <v>26185</v>
      </c>
      <c r="E5036" s="25" t="s">
        <v>26300</v>
      </c>
      <c r="F5036" s="9" t="str">
        <f t="shared" si="71"/>
        <v>structure with developmental contribution from neural crest</v>
      </c>
      <c r="G5036" s="9" t="s">
        <v>5090</v>
      </c>
      <c r="H5036" s="9" t="s">
        <v>18625</v>
      </c>
      <c r="I5036" s="9" t="s">
        <v>9323</v>
      </c>
      <c r="J5036" s="9" t="s">
        <v>9324</v>
      </c>
      <c r="K5036" s="5" t="s">
        <v>15173</v>
      </c>
      <c r="L5036" s="13">
        <v>126651978</v>
      </c>
      <c r="M5036" t="str">
        <f>VLOOKUP(L5036,[1]DevMouse!$B$2:$C$2693,2,FALSE)</f>
        <v>v_r8F</v>
      </c>
    </row>
    <row r="5037" spans="2:13" x14ac:dyDescent="0.25">
      <c r="B5037" s="31" t="s">
        <v>26303</v>
      </c>
      <c r="C5037" s="9"/>
      <c r="D5037" s="25" t="s">
        <v>26185</v>
      </c>
      <c r="E5037" s="25" t="s">
        <v>26308</v>
      </c>
      <c r="F5037" s="9" t="str">
        <f t="shared" si="71"/>
        <v>structure with developmental contribution from neural crest</v>
      </c>
      <c r="G5037" s="9" t="s">
        <v>5090</v>
      </c>
      <c r="H5037" s="9" t="s">
        <v>18626</v>
      </c>
      <c r="I5037" s="9" t="s">
        <v>9325</v>
      </c>
      <c r="J5037" s="9" t="s">
        <v>9326</v>
      </c>
      <c r="K5037" s="5" t="s">
        <v>15173</v>
      </c>
      <c r="L5037" s="13">
        <v>126651982</v>
      </c>
      <c r="M5037" t="str">
        <f>VLOOKUP(L5037,[1]DevMouse!$B$2:$C$2693,2,FALSE)</f>
        <v>v_r9</v>
      </c>
    </row>
    <row r="5038" spans="2:13" x14ac:dyDescent="0.25">
      <c r="B5038" s="31" t="s">
        <v>26303</v>
      </c>
      <c r="C5038" s="20"/>
      <c r="D5038" s="25" t="s">
        <v>26185</v>
      </c>
      <c r="E5038" s="25" t="s">
        <v>26300</v>
      </c>
      <c r="F5038" s="9" t="str">
        <f t="shared" si="71"/>
        <v>structure with developmental contribution from neural crest</v>
      </c>
      <c r="G5038" s="9" t="s">
        <v>5090</v>
      </c>
      <c r="H5038" s="9" t="s">
        <v>18627</v>
      </c>
      <c r="I5038" s="9" t="s">
        <v>9327</v>
      </c>
      <c r="J5038" s="9" t="s">
        <v>9328</v>
      </c>
      <c r="K5038" s="5" t="s">
        <v>15173</v>
      </c>
      <c r="L5038" s="13">
        <v>126651986</v>
      </c>
      <c r="M5038" t="str">
        <f>VLOOKUP(L5038,[1]DevMouse!$B$2:$C$2693,2,FALSE)</f>
        <v>v_r9R</v>
      </c>
    </row>
    <row r="5039" spans="2:13" x14ac:dyDescent="0.25">
      <c r="B5039" s="31" t="s">
        <v>26303</v>
      </c>
      <c r="C5039" s="20"/>
      <c r="D5039" s="25" t="s">
        <v>26185</v>
      </c>
      <c r="E5039" s="25" t="s">
        <v>26300</v>
      </c>
      <c r="F5039" s="9" t="str">
        <f t="shared" si="71"/>
        <v>structure with developmental contribution from neural crest</v>
      </c>
      <c r="G5039" s="9" t="s">
        <v>5090</v>
      </c>
      <c r="H5039" s="9" t="s">
        <v>18628</v>
      </c>
      <c r="I5039" s="9" t="s">
        <v>9329</v>
      </c>
      <c r="J5039" s="9" t="s">
        <v>9330</v>
      </c>
      <c r="K5039" s="5" t="s">
        <v>15173</v>
      </c>
      <c r="L5039" s="13">
        <v>126651990</v>
      </c>
      <c r="M5039" t="str">
        <f>VLOOKUP(L5039,[1]DevMouse!$B$2:$C$2693,2,FALSE)</f>
        <v>v_r9A</v>
      </c>
    </row>
    <row r="5040" spans="2:13" x14ac:dyDescent="0.25">
      <c r="B5040" s="31" t="s">
        <v>26303</v>
      </c>
      <c r="C5040" s="20"/>
      <c r="D5040" s="25" t="s">
        <v>26185</v>
      </c>
      <c r="E5040" s="25" t="s">
        <v>26300</v>
      </c>
      <c r="F5040" s="9" t="str">
        <f t="shared" si="71"/>
        <v>structure with developmental contribution from neural crest</v>
      </c>
      <c r="G5040" s="9" t="s">
        <v>5090</v>
      </c>
      <c r="H5040" s="9" t="s">
        <v>18629</v>
      </c>
      <c r="I5040" s="9" t="s">
        <v>9331</v>
      </c>
      <c r="J5040" s="9" t="s">
        <v>9332</v>
      </c>
      <c r="K5040" s="5" t="s">
        <v>15173</v>
      </c>
      <c r="L5040" s="13">
        <v>126651994</v>
      </c>
      <c r="M5040" t="str">
        <f>VLOOKUP(L5040,[1]DevMouse!$B$2:$C$2693,2,FALSE)</f>
        <v>v_r9B</v>
      </c>
    </row>
    <row r="5041" spans="2:13" x14ac:dyDescent="0.25">
      <c r="B5041" s="31" t="s">
        <v>26303</v>
      </c>
      <c r="C5041" s="20"/>
      <c r="D5041" s="25" t="s">
        <v>26185</v>
      </c>
      <c r="E5041" s="25" t="s">
        <v>26300</v>
      </c>
      <c r="F5041" s="9" t="str">
        <f t="shared" si="71"/>
        <v>structure with developmental contribution from neural crest</v>
      </c>
      <c r="G5041" s="9" t="s">
        <v>5090</v>
      </c>
      <c r="H5041" s="9" t="s">
        <v>18630</v>
      </c>
      <c r="I5041" s="9" t="s">
        <v>9333</v>
      </c>
      <c r="J5041" s="9" t="s">
        <v>9334</v>
      </c>
      <c r="K5041" s="5" t="s">
        <v>15173</v>
      </c>
      <c r="L5041" s="13">
        <v>126651998</v>
      </c>
      <c r="M5041" t="str">
        <f>VLOOKUP(L5041,[1]DevMouse!$B$2:$C$2693,2,FALSE)</f>
        <v>v_r9F</v>
      </c>
    </row>
    <row r="5042" spans="2:13" x14ac:dyDescent="0.25">
      <c r="B5042" s="31" t="s">
        <v>26303</v>
      </c>
      <c r="C5042" s="9"/>
      <c r="D5042" s="25" t="s">
        <v>26185</v>
      </c>
      <c r="E5042" s="25" t="s">
        <v>26308</v>
      </c>
      <c r="F5042" s="9" t="str">
        <f t="shared" si="71"/>
        <v>structure with developmental contribution from neural crest</v>
      </c>
      <c r="G5042" s="9" t="s">
        <v>5090</v>
      </c>
      <c r="H5042" s="9" t="s">
        <v>18631</v>
      </c>
      <c r="I5042" s="9" t="s">
        <v>9335</v>
      </c>
      <c r="J5042" s="9" t="s">
        <v>9336</v>
      </c>
      <c r="K5042" s="5" t="s">
        <v>15173</v>
      </c>
      <c r="L5042" s="13">
        <v>126652002</v>
      </c>
      <c r="M5042" t="str">
        <f>VLOOKUP(L5042,[1]DevMouse!$B$2:$C$2693,2,FALSE)</f>
        <v>v_r10</v>
      </c>
    </row>
    <row r="5043" spans="2:13" x14ac:dyDescent="0.25">
      <c r="B5043" s="31" t="s">
        <v>26303</v>
      </c>
      <c r="C5043" s="20"/>
      <c r="D5043" s="25" t="s">
        <v>26185</v>
      </c>
      <c r="E5043" s="25" t="s">
        <v>26300</v>
      </c>
      <c r="F5043" s="9" t="str">
        <f t="shared" si="71"/>
        <v>structure with developmental contribution from neural crest</v>
      </c>
      <c r="G5043" s="9" t="s">
        <v>5090</v>
      </c>
      <c r="H5043" s="9" t="s">
        <v>18632</v>
      </c>
      <c r="I5043" s="9" t="s">
        <v>9337</v>
      </c>
      <c r="J5043" s="9" t="s">
        <v>9338</v>
      </c>
      <c r="K5043" s="5" t="s">
        <v>15173</v>
      </c>
      <c r="L5043" s="13">
        <v>126652006</v>
      </c>
      <c r="M5043" t="str">
        <f>VLOOKUP(L5043,[1]DevMouse!$B$2:$C$2693,2,FALSE)</f>
        <v>v_r10R</v>
      </c>
    </row>
    <row r="5044" spans="2:13" x14ac:dyDescent="0.25">
      <c r="B5044" s="31" t="s">
        <v>26303</v>
      </c>
      <c r="C5044" s="20"/>
      <c r="D5044" s="25" t="s">
        <v>26185</v>
      </c>
      <c r="E5044" s="25" t="s">
        <v>26300</v>
      </c>
      <c r="F5044" s="9" t="str">
        <f t="shared" si="71"/>
        <v>structure with developmental contribution from neural crest</v>
      </c>
      <c r="G5044" s="9" t="s">
        <v>5090</v>
      </c>
      <c r="H5044" s="9" t="s">
        <v>18633</v>
      </c>
      <c r="I5044" s="9" t="s">
        <v>9339</v>
      </c>
      <c r="J5044" s="9" t="s">
        <v>9340</v>
      </c>
      <c r="K5044" s="5" t="s">
        <v>15173</v>
      </c>
      <c r="L5044" s="13">
        <v>126652010</v>
      </c>
      <c r="M5044" t="str">
        <f>VLOOKUP(L5044,[1]DevMouse!$B$2:$C$2693,2,FALSE)</f>
        <v>v_r10A</v>
      </c>
    </row>
    <row r="5045" spans="2:13" x14ac:dyDescent="0.25">
      <c r="B5045" s="31" t="s">
        <v>26303</v>
      </c>
      <c r="C5045" s="20"/>
      <c r="D5045" s="25" t="s">
        <v>26185</v>
      </c>
      <c r="E5045" s="25" t="s">
        <v>26300</v>
      </c>
      <c r="F5045" s="9" t="str">
        <f t="shared" si="71"/>
        <v>structure with developmental contribution from neural crest</v>
      </c>
      <c r="G5045" s="9" t="s">
        <v>5090</v>
      </c>
      <c r="H5045" s="9" t="s">
        <v>18634</v>
      </c>
      <c r="I5045" s="9" t="s">
        <v>9341</v>
      </c>
      <c r="J5045" s="9" t="s">
        <v>9342</v>
      </c>
      <c r="K5045" s="5" t="s">
        <v>15173</v>
      </c>
      <c r="L5045" s="13">
        <v>126652014</v>
      </c>
      <c r="M5045" t="str">
        <f>VLOOKUP(L5045,[1]DevMouse!$B$2:$C$2693,2,FALSE)</f>
        <v>v_r10B</v>
      </c>
    </row>
    <row r="5046" spans="2:13" x14ac:dyDescent="0.25">
      <c r="B5046" s="31" t="s">
        <v>26303</v>
      </c>
      <c r="C5046" s="20"/>
      <c r="D5046" s="25" t="s">
        <v>26185</v>
      </c>
      <c r="E5046" s="25" t="s">
        <v>26300</v>
      </c>
      <c r="F5046" s="9" t="str">
        <f t="shared" si="71"/>
        <v>structure with developmental contribution from neural crest</v>
      </c>
      <c r="G5046" s="9" t="s">
        <v>5090</v>
      </c>
      <c r="H5046" s="9" t="s">
        <v>18635</v>
      </c>
      <c r="I5046" s="9" t="s">
        <v>9343</v>
      </c>
      <c r="J5046" s="9" t="s">
        <v>9344</v>
      </c>
      <c r="K5046" s="5" t="s">
        <v>15173</v>
      </c>
      <c r="L5046" s="13">
        <v>126652018</v>
      </c>
      <c r="M5046" t="str">
        <f>VLOOKUP(L5046,[1]DevMouse!$B$2:$C$2693,2,FALSE)</f>
        <v>v_r10F</v>
      </c>
    </row>
    <row r="5047" spans="2:13" x14ac:dyDescent="0.25">
      <c r="B5047" s="31" t="s">
        <v>26303</v>
      </c>
      <c r="C5047" s="9"/>
      <c r="D5047" s="25" t="s">
        <v>26185</v>
      </c>
      <c r="E5047" s="25" t="s">
        <v>26308</v>
      </c>
      <c r="F5047" s="9" t="str">
        <f t="shared" ref="F5047:F5110" si="72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5047" s="9" t="s">
        <v>5090</v>
      </c>
      <c r="H5047" s="9" t="s">
        <v>18636</v>
      </c>
      <c r="I5047" s="9" t="s">
        <v>9345</v>
      </c>
      <c r="J5047" s="9" t="s">
        <v>9346</v>
      </c>
      <c r="K5047" s="5" t="s">
        <v>15173</v>
      </c>
      <c r="L5047" s="13">
        <v>126652022</v>
      </c>
      <c r="M5047" t="str">
        <f>VLOOKUP(L5047,[1]DevMouse!$B$2:$C$2693,2,FALSE)</f>
        <v>v_r11</v>
      </c>
    </row>
    <row r="5048" spans="2:13" x14ac:dyDescent="0.25">
      <c r="B5048" s="31" t="s">
        <v>26303</v>
      </c>
      <c r="C5048" s="20"/>
      <c r="D5048" s="25" t="s">
        <v>26185</v>
      </c>
      <c r="E5048" s="25" t="s">
        <v>26300</v>
      </c>
      <c r="F5048" s="9" t="str">
        <f t="shared" si="72"/>
        <v>structure with developmental contribution from neural crest</v>
      </c>
      <c r="G5048" s="9" t="s">
        <v>5090</v>
      </c>
      <c r="H5048" s="9" t="s">
        <v>18637</v>
      </c>
      <c r="I5048" s="9" t="s">
        <v>9347</v>
      </c>
      <c r="J5048" s="9" t="s">
        <v>9348</v>
      </c>
      <c r="K5048" s="5" t="s">
        <v>15173</v>
      </c>
      <c r="L5048" s="13">
        <v>126652026</v>
      </c>
      <c r="M5048" t="str">
        <f>VLOOKUP(L5048,[1]DevMouse!$B$2:$C$2693,2,FALSE)</f>
        <v>v_r11R</v>
      </c>
    </row>
    <row r="5049" spans="2:13" x14ac:dyDescent="0.25">
      <c r="B5049" s="31" t="s">
        <v>26303</v>
      </c>
      <c r="C5049" s="20"/>
      <c r="D5049" s="25" t="s">
        <v>26185</v>
      </c>
      <c r="E5049" s="25" t="s">
        <v>26300</v>
      </c>
      <c r="F5049" s="9" t="str">
        <f t="shared" si="72"/>
        <v>structure with developmental contribution from neural crest</v>
      </c>
      <c r="G5049" s="9" t="s">
        <v>5090</v>
      </c>
      <c r="H5049" s="9" t="s">
        <v>18638</v>
      </c>
      <c r="I5049" s="9" t="s">
        <v>9349</v>
      </c>
      <c r="J5049" s="9" t="s">
        <v>9350</v>
      </c>
      <c r="K5049" s="5" t="s">
        <v>15173</v>
      </c>
      <c r="L5049" s="13">
        <v>126652030</v>
      </c>
      <c r="M5049" t="str">
        <f>VLOOKUP(L5049,[1]DevMouse!$B$2:$C$2693,2,FALSE)</f>
        <v>v_r11A</v>
      </c>
    </row>
    <row r="5050" spans="2:13" x14ac:dyDescent="0.25">
      <c r="B5050" s="31" t="s">
        <v>26303</v>
      </c>
      <c r="C5050" s="20"/>
      <c r="D5050" s="25" t="s">
        <v>26185</v>
      </c>
      <c r="E5050" s="25" t="s">
        <v>26300</v>
      </c>
      <c r="F5050" s="9" t="str">
        <f t="shared" si="72"/>
        <v>structure with developmental contribution from neural crest</v>
      </c>
      <c r="G5050" s="9" t="s">
        <v>5090</v>
      </c>
      <c r="H5050" s="9" t="s">
        <v>18639</v>
      </c>
      <c r="I5050" s="9" t="s">
        <v>9351</v>
      </c>
      <c r="J5050" s="9" t="s">
        <v>9352</v>
      </c>
      <c r="K5050" s="5" t="s">
        <v>15173</v>
      </c>
      <c r="L5050" s="13">
        <v>126652034</v>
      </c>
      <c r="M5050" t="str">
        <f>VLOOKUP(L5050,[1]DevMouse!$B$2:$C$2693,2,FALSE)</f>
        <v>v_r11B</v>
      </c>
    </row>
    <row r="5051" spans="2:13" x14ac:dyDescent="0.25">
      <c r="B5051" s="31" t="s">
        <v>26303</v>
      </c>
      <c r="C5051" s="20"/>
      <c r="D5051" s="25" t="s">
        <v>26185</v>
      </c>
      <c r="E5051" s="25" t="s">
        <v>26300</v>
      </c>
      <c r="F5051" s="9" t="str">
        <f t="shared" si="72"/>
        <v>structure with developmental contribution from neural crest</v>
      </c>
      <c r="G5051" s="9" t="s">
        <v>5090</v>
      </c>
      <c r="H5051" s="9" t="s">
        <v>18640</v>
      </c>
      <c r="I5051" s="9" t="s">
        <v>9353</v>
      </c>
      <c r="J5051" s="9" t="s">
        <v>9354</v>
      </c>
      <c r="K5051" s="5" t="s">
        <v>15173</v>
      </c>
      <c r="L5051" s="13">
        <v>126652038</v>
      </c>
      <c r="M5051" t="str">
        <f>VLOOKUP(L5051,[1]DevMouse!$B$2:$C$2693,2,FALSE)</f>
        <v>v_r11F</v>
      </c>
    </row>
    <row r="5052" spans="2:13" x14ac:dyDescent="0.25">
      <c r="B5052" s="31" t="s">
        <v>26303</v>
      </c>
      <c r="C5052" s="25" t="s">
        <v>2387</v>
      </c>
      <c r="D5052" s="25" t="s">
        <v>26185</v>
      </c>
      <c r="E5052" s="25" t="s">
        <v>26308</v>
      </c>
      <c r="F5052" s="9" t="str">
        <f t="shared" si="72"/>
        <v>structure with developmental contribution from neural crest</v>
      </c>
      <c r="G5052" s="9" t="s">
        <v>5090</v>
      </c>
      <c r="H5052" s="9" t="s">
        <v>18312</v>
      </c>
      <c r="I5052" s="9" t="s">
        <v>9355</v>
      </c>
      <c r="J5052" s="9" t="s">
        <v>9356</v>
      </c>
      <c r="K5052" s="5" t="s">
        <v>15173</v>
      </c>
      <c r="L5052" s="13">
        <v>127201621</v>
      </c>
      <c r="M5052" t="str">
        <f>VLOOKUP(L5052,[1]DevMouse!$B$2:$C$2693,2,FALSE)</f>
        <v>r11-IO</v>
      </c>
    </row>
    <row r="5053" spans="2:13" x14ac:dyDescent="0.25">
      <c r="B5053" s="31" t="s">
        <v>26303</v>
      </c>
      <c r="C5053" s="25" t="s">
        <v>26048</v>
      </c>
      <c r="D5053" s="25" t="s">
        <v>26232</v>
      </c>
      <c r="E5053" s="25"/>
      <c r="F5053" s="9" t="str">
        <f t="shared" si="72"/>
        <v>structure with developmental contribution from neural crest</v>
      </c>
      <c r="G5053" s="9" t="s">
        <v>5090</v>
      </c>
      <c r="H5053" s="9" t="s">
        <v>15361</v>
      </c>
      <c r="I5053" s="9" t="s">
        <v>975</v>
      </c>
      <c r="J5053" s="9" t="s">
        <v>976</v>
      </c>
      <c r="K5053" s="5" t="s">
        <v>15173</v>
      </c>
      <c r="L5053" s="13">
        <v>15652</v>
      </c>
      <c r="M5053" t="str">
        <f>VLOOKUP(L5053,[1]DevMouse!$B$2:$C$2693,2,FALSE)</f>
        <v>OF</v>
      </c>
    </row>
    <row r="5054" spans="2:13" x14ac:dyDescent="0.25">
      <c r="B5054" s="36"/>
      <c r="C5054" s="20"/>
      <c r="D5054" s="25" t="s">
        <v>26232</v>
      </c>
      <c r="E5054" s="25"/>
      <c r="F5054" s="9" t="str">
        <f t="shared" si="72"/>
        <v>structure with developmental contribution from neural crest</v>
      </c>
      <c r="G5054" s="9" t="s">
        <v>5090</v>
      </c>
      <c r="H5054" s="9" t="s">
        <v>15521</v>
      </c>
      <c r="I5054" s="9" t="s">
        <v>9357</v>
      </c>
      <c r="J5054" s="9" t="s">
        <v>9358</v>
      </c>
      <c r="K5054" s="5" t="s">
        <v>15173</v>
      </c>
      <c r="L5054" s="13">
        <v>15740</v>
      </c>
      <c r="M5054" t="str">
        <f>VLOOKUP(L5054,[1]DevMouse!$B$2:$C$2693,2,FALSE)</f>
        <v>TelR</v>
      </c>
    </row>
    <row r="5055" spans="2:13" x14ac:dyDescent="0.25">
      <c r="B5055" s="31" t="s">
        <v>26303</v>
      </c>
      <c r="C5055" s="20"/>
      <c r="D5055" s="25" t="s">
        <v>26232</v>
      </c>
      <c r="E5055" s="25" t="s">
        <v>26300</v>
      </c>
      <c r="F5055" s="9" t="str">
        <f t="shared" si="72"/>
        <v>structure with developmental contribution from neural crest</v>
      </c>
      <c r="G5055" s="9" t="s">
        <v>5090</v>
      </c>
      <c r="H5055" s="9" t="s">
        <v>15522</v>
      </c>
      <c r="I5055" s="9" t="s">
        <v>9359</v>
      </c>
      <c r="J5055" s="9" t="s">
        <v>9360</v>
      </c>
      <c r="K5055" s="5" t="s">
        <v>15173</v>
      </c>
      <c r="L5055" s="13">
        <v>15741</v>
      </c>
      <c r="M5055" t="str">
        <f>VLOOKUP(L5055,[1]DevMouse!$B$2:$C$2693,2,FALSE)</f>
        <v>CSCom</v>
      </c>
    </row>
    <row r="5056" spans="2:13" x14ac:dyDescent="0.25">
      <c r="B5056" s="36"/>
      <c r="C5056" s="20"/>
      <c r="D5056" s="25" t="s">
        <v>26232</v>
      </c>
      <c r="E5056" s="25"/>
      <c r="F5056" s="9" t="str">
        <f t="shared" si="72"/>
        <v>structure with developmental contribution from neural crest</v>
      </c>
      <c r="G5056" s="9" t="s">
        <v>5090</v>
      </c>
      <c r="H5056" s="9" t="s">
        <v>15523</v>
      </c>
      <c r="I5056" s="9" t="s">
        <v>9361</v>
      </c>
      <c r="J5056" s="9" t="s">
        <v>9362</v>
      </c>
      <c r="K5056" s="5" t="s">
        <v>15173</v>
      </c>
      <c r="L5056" s="13">
        <v>15742</v>
      </c>
      <c r="M5056" t="str">
        <f>VLOOKUP(L5056,[1]DevMouse!$B$2:$C$2693,2,FALSE)</f>
        <v>CSComv</v>
      </c>
    </row>
    <row r="5057" spans="2:13" x14ac:dyDescent="0.25">
      <c r="B5057" s="31" t="s">
        <v>26303</v>
      </c>
      <c r="C5057" s="25" t="s">
        <v>14716</v>
      </c>
      <c r="D5057" s="25" t="s">
        <v>26185</v>
      </c>
      <c r="E5057" s="25" t="s">
        <v>26300</v>
      </c>
      <c r="F5057" s="9" t="str">
        <f t="shared" si="72"/>
        <v>structure with developmental contribution from neural crest</v>
      </c>
      <c r="G5057" s="9" t="s">
        <v>5090</v>
      </c>
      <c r="H5057" s="9" t="s">
        <v>15524</v>
      </c>
      <c r="I5057" s="9" t="s">
        <v>9363</v>
      </c>
      <c r="J5057" s="9" t="s">
        <v>9364</v>
      </c>
      <c r="K5057" s="5" t="s">
        <v>15173</v>
      </c>
      <c r="L5057" s="13">
        <v>15743</v>
      </c>
      <c r="M5057" t="str">
        <f>VLOOKUP(L5057,[1]DevMouse!$B$2:$C$2693,2,FALSE)</f>
        <v>SFOe</v>
      </c>
    </row>
    <row r="5058" spans="2:13" x14ac:dyDescent="0.25">
      <c r="B5058" s="31" t="s">
        <v>26303</v>
      </c>
      <c r="C5058" s="20"/>
      <c r="D5058" s="25" t="s">
        <v>26232</v>
      </c>
      <c r="E5058" s="20" t="s">
        <v>26300</v>
      </c>
      <c r="F5058" s="9" t="str">
        <f t="shared" si="72"/>
        <v>structure with developmental contribution from neural crest</v>
      </c>
      <c r="G5058" s="9" t="s">
        <v>5090</v>
      </c>
      <c r="H5058" s="9" t="s">
        <v>15525</v>
      </c>
      <c r="I5058" s="9" t="s">
        <v>9365</v>
      </c>
      <c r="J5058" s="9" t="s">
        <v>9366</v>
      </c>
      <c r="K5058" s="5" t="s">
        <v>15173</v>
      </c>
      <c r="L5058" s="13">
        <v>15744</v>
      </c>
      <c r="M5058" t="str">
        <f>VLOOKUP(L5058,[1]DevMouse!$B$2:$C$2693,2,FALSE)</f>
        <v>CSComm</v>
      </c>
    </row>
    <row r="5059" spans="2:13" x14ac:dyDescent="0.25">
      <c r="B5059" s="36"/>
      <c r="C5059" s="20"/>
      <c r="D5059" s="25" t="s">
        <v>26232</v>
      </c>
      <c r="E5059" s="20" t="s">
        <v>26300</v>
      </c>
      <c r="F5059" s="9" t="str">
        <f t="shared" si="72"/>
        <v>structure with developmental contribution from neural crest</v>
      </c>
      <c r="G5059" s="9" t="s">
        <v>5090</v>
      </c>
      <c r="H5059" s="9" t="s">
        <v>15526</v>
      </c>
      <c r="I5059" s="9" t="s">
        <v>9367</v>
      </c>
      <c r="J5059" s="9" t="s">
        <v>9368</v>
      </c>
      <c r="K5059" s="5" t="s">
        <v>15173</v>
      </c>
      <c r="L5059" s="13">
        <v>15745</v>
      </c>
      <c r="M5059" t="str">
        <f>VLOOKUP(L5059,[1]DevMouse!$B$2:$C$2693,2,FALSE)</f>
        <v>CSComp</v>
      </c>
    </row>
    <row r="5060" spans="2:13" x14ac:dyDescent="0.25">
      <c r="B5060" s="31" t="s">
        <v>26303</v>
      </c>
      <c r="C5060" s="25" t="s">
        <v>14716</v>
      </c>
      <c r="D5060" s="25" t="s">
        <v>26232</v>
      </c>
      <c r="E5060" s="20" t="s">
        <v>26300</v>
      </c>
      <c r="F5060" s="9" t="str">
        <f t="shared" si="72"/>
        <v>structure with developmental contribution from neural crest</v>
      </c>
      <c r="G5060" s="9" t="s">
        <v>5090</v>
      </c>
      <c r="H5060" s="9" t="s">
        <v>15527</v>
      </c>
      <c r="I5060" s="9" t="s">
        <v>9369</v>
      </c>
      <c r="J5060" s="9" t="s">
        <v>9370</v>
      </c>
      <c r="K5060" s="5" t="s">
        <v>15173</v>
      </c>
      <c r="L5060" s="13">
        <v>15746</v>
      </c>
      <c r="M5060" t="str">
        <f>VLOOKUP(L5060,[1]DevMouse!$B$2:$C$2693,2,FALSE)</f>
        <v>SFOp</v>
      </c>
    </row>
    <row r="5061" spans="2:13" x14ac:dyDescent="0.25">
      <c r="B5061" s="36"/>
      <c r="C5061" s="20"/>
      <c r="D5061" s="25" t="s">
        <v>26232</v>
      </c>
      <c r="E5061" s="25"/>
      <c r="F5061" s="9" t="str">
        <f t="shared" si="72"/>
        <v>structure with developmental contribution from neural crest</v>
      </c>
      <c r="G5061" s="9" t="s">
        <v>5090</v>
      </c>
      <c r="H5061" s="9" t="s">
        <v>15528</v>
      </c>
      <c r="I5061" s="9" t="s">
        <v>9371</v>
      </c>
      <c r="J5061" s="9" t="s">
        <v>9372</v>
      </c>
      <c r="K5061" s="5" t="s">
        <v>15173</v>
      </c>
      <c r="L5061" s="13">
        <v>15747</v>
      </c>
      <c r="M5061" t="str">
        <f>VLOOKUP(L5061,[1]DevMouse!$B$2:$C$2693,2,FALSE)</f>
        <v>CSComi</v>
      </c>
    </row>
    <row r="5062" spans="2:13" x14ac:dyDescent="0.25">
      <c r="B5062" s="36"/>
      <c r="C5062" s="20"/>
      <c r="D5062" s="25" t="s">
        <v>26232</v>
      </c>
      <c r="E5062" s="25"/>
      <c r="F5062" s="9" t="str">
        <f t="shared" si="72"/>
        <v>structure with developmental contribution from neural crest</v>
      </c>
      <c r="G5062" s="9" t="s">
        <v>5090</v>
      </c>
      <c r="H5062" s="9" t="s">
        <v>15529</v>
      </c>
      <c r="I5062" s="9" t="s">
        <v>9373</v>
      </c>
      <c r="J5062" s="9" t="s">
        <v>9374</v>
      </c>
      <c r="K5062" s="5" t="s">
        <v>15173</v>
      </c>
      <c r="L5062" s="13">
        <v>15748</v>
      </c>
      <c r="M5062" t="str">
        <f>VLOOKUP(L5062,[1]DevMouse!$B$2:$C$2693,2,FALSE)</f>
        <v>CSComs</v>
      </c>
    </row>
    <row r="5063" spans="2:13" x14ac:dyDescent="0.25">
      <c r="B5063" s="36"/>
      <c r="C5063" s="20"/>
      <c r="D5063" s="25" t="s">
        <v>26232</v>
      </c>
      <c r="E5063" s="25"/>
      <c r="F5063" s="9" t="str">
        <f t="shared" si="72"/>
        <v>structure with developmental contribution from neural crest</v>
      </c>
      <c r="G5063" s="9" t="s">
        <v>5090</v>
      </c>
      <c r="H5063" s="9" t="s">
        <v>15530</v>
      </c>
      <c r="I5063" s="9" t="s">
        <v>9375</v>
      </c>
      <c r="J5063" s="9" t="s">
        <v>9376</v>
      </c>
      <c r="K5063" s="5" t="s">
        <v>15173</v>
      </c>
      <c r="L5063" s="13">
        <v>15749</v>
      </c>
      <c r="M5063" t="str">
        <f>VLOOKUP(L5063,[1]DevMouse!$B$2:$C$2693,2,FALSE)</f>
        <v>TCh</v>
      </c>
    </row>
    <row r="5064" spans="2:13" x14ac:dyDescent="0.25">
      <c r="B5064" s="36"/>
      <c r="C5064" s="20"/>
      <c r="D5064" s="25" t="s">
        <v>26232</v>
      </c>
      <c r="E5064" s="25"/>
      <c r="F5064" s="9" t="str">
        <f t="shared" si="72"/>
        <v>structure with developmental contribution from neural crest</v>
      </c>
      <c r="G5064" s="9" t="s">
        <v>5090</v>
      </c>
      <c r="H5064" s="9" t="s">
        <v>15531</v>
      </c>
      <c r="I5064" s="9" t="s">
        <v>9377</v>
      </c>
      <c r="J5064" s="9" t="s">
        <v>9378</v>
      </c>
      <c r="K5064" s="5" t="s">
        <v>15173</v>
      </c>
      <c r="L5064" s="13">
        <v>15750</v>
      </c>
      <c r="M5064" t="str">
        <f>VLOOKUP(L5064,[1]DevMouse!$B$2:$C$2693,2,FALSE)</f>
        <v>TelA</v>
      </c>
    </row>
    <row r="5065" spans="2:13" x14ac:dyDescent="0.25">
      <c r="B5065" s="36"/>
      <c r="C5065" s="20"/>
      <c r="D5065" s="25" t="s">
        <v>26232</v>
      </c>
      <c r="E5065" s="25"/>
      <c r="F5065" s="9" t="str">
        <f t="shared" si="72"/>
        <v>structure with developmental contribution from neural crest</v>
      </c>
      <c r="G5065" s="9" t="s">
        <v>5090</v>
      </c>
      <c r="H5065" s="9" t="s">
        <v>15535</v>
      </c>
      <c r="I5065" s="9" t="s">
        <v>9379</v>
      </c>
      <c r="J5065" s="9" t="s">
        <v>9380</v>
      </c>
      <c r="K5065" s="5" t="s">
        <v>15173</v>
      </c>
      <c r="L5065" s="13">
        <v>15752</v>
      </c>
      <c r="M5065" t="str">
        <f>VLOOKUP(L5065,[1]DevMouse!$B$2:$C$2693,2,FALSE)</f>
        <v>SeSPall</v>
      </c>
    </row>
    <row r="5066" spans="2:13" x14ac:dyDescent="0.25">
      <c r="B5066" s="31" t="s">
        <v>26303</v>
      </c>
      <c r="C5066" s="20"/>
      <c r="D5066" s="25" t="s">
        <v>26185</v>
      </c>
      <c r="E5066" s="25" t="s">
        <v>26300</v>
      </c>
      <c r="F5066" s="9" t="str">
        <f t="shared" si="72"/>
        <v>structure with developmental contribution from neural crest</v>
      </c>
      <c r="G5066" s="9" t="s">
        <v>5090</v>
      </c>
      <c r="H5066" s="9" t="s">
        <v>15536</v>
      </c>
      <c r="I5066" s="9" t="s">
        <v>9381</v>
      </c>
      <c r="J5066" s="9" t="s">
        <v>9382</v>
      </c>
      <c r="K5066" s="5" t="s">
        <v>15173</v>
      </c>
      <c r="L5066" s="13">
        <v>15753</v>
      </c>
      <c r="M5066" t="str">
        <f>VLOOKUP(L5066,[1]DevMouse!$B$2:$C$2693,2,FALSE)</f>
        <v>DgSe</v>
      </c>
    </row>
    <row r="5067" spans="2:13" x14ac:dyDescent="0.25">
      <c r="B5067" s="36"/>
      <c r="C5067" s="20"/>
      <c r="D5067" s="25" t="s">
        <v>26232</v>
      </c>
      <c r="E5067" s="25"/>
      <c r="F5067" s="9" t="str">
        <f t="shared" si="72"/>
        <v>structure with developmental contribution from neural crest</v>
      </c>
      <c r="G5067" s="9" t="s">
        <v>5090</v>
      </c>
      <c r="H5067" s="9" t="s">
        <v>15537</v>
      </c>
      <c r="I5067" s="9" t="s">
        <v>9383</v>
      </c>
      <c r="J5067" s="9" t="s">
        <v>9384</v>
      </c>
      <c r="K5067" s="5" t="s">
        <v>15173</v>
      </c>
      <c r="L5067" s="13">
        <v>15754</v>
      </c>
      <c r="M5067" t="str">
        <f>VLOOKUP(L5067,[1]DevMouse!$B$2:$C$2693,2,FALSE)</f>
        <v>DgSev</v>
      </c>
    </row>
    <row r="5068" spans="2:13" x14ac:dyDescent="0.25">
      <c r="B5068" s="31" t="s">
        <v>26303</v>
      </c>
      <c r="C5068" s="20"/>
      <c r="D5068" s="25" t="s">
        <v>26232</v>
      </c>
      <c r="E5068" s="20" t="s">
        <v>26300</v>
      </c>
      <c r="F5068" s="9" t="str">
        <f t="shared" si="72"/>
        <v>structure with developmental contribution from neural crest</v>
      </c>
      <c r="G5068" s="9" t="s">
        <v>5090</v>
      </c>
      <c r="H5068" s="9" t="s">
        <v>15538</v>
      </c>
      <c r="I5068" s="9" t="s">
        <v>9385</v>
      </c>
      <c r="J5068" s="9" t="s">
        <v>9386</v>
      </c>
      <c r="K5068" s="5" t="s">
        <v>15173</v>
      </c>
      <c r="L5068" s="13">
        <v>15755</v>
      </c>
      <c r="M5068" t="str">
        <f>VLOOKUP(L5068,[1]DevMouse!$B$2:$C$2693,2,FALSE)</f>
        <v>DgSem</v>
      </c>
    </row>
    <row r="5069" spans="2:13" x14ac:dyDescent="0.25">
      <c r="B5069" s="36"/>
      <c r="C5069" s="20"/>
      <c r="D5069" s="25" t="s">
        <v>26232</v>
      </c>
      <c r="E5069" s="20" t="s">
        <v>26300</v>
      </c>
      <c r="F5069" s="9" t="str">
        <f t="shared" si="72"/>
        <v>structure with developmental contribution from neural crest</v>
      </c>
      <c r="G5069" s="9" t="s">
        <v>5090</v>
      </c>
      <c r="H5069" s="9" t="s">
        <v>15539</v>
      </c>
      <c r="I5069" s="9" t="s">
        <v>9387</v>
      </c>
      <c r="J5069" s="9" t="s">
        <v>9388</v>
      </c>
      <c r="K5069" s="5" t="s">
        <v>15173</v>
      </c>
      <c r="L5069" s="13">
        <v>15756</v>
      </c>
      <c r="M5069" t="str">
        <f>VLOOKUP(L5069,[1]DevMouse!$B$2:$C$2693,2,FALSE)</f>
        <v>DgSep</v>
      </c>
    </row>
    <row r="5070" spans="2:13" x14ac:dyDescent="0.25">
      <c r="B5070" s="31" t="s">
        <v>26303</v>
      </c>
      <c r="C5070" s="25" t="s">
        <v>2715</v>
      </c>
      <c r="D5070" s="25" t="s">
        <v>26232</v>
      </c>
      <c r="E5070" s="25"/>
      <c r="F5070" s="9" t="str">
        <f t="shared" si="72"/>
        <v>structure with developmental contribution from neural crest</v>
      </c>
      <c r="G5070" s="9" t="s">
        <v>5090</v>
      </c>
      <c r="H5070" s="9" t="s">
        <v>15540</v>
      </c>
      <c r="I5070" s="9" t="s">
        <v>9389</v>
      </c>
      <c r="J5070" s="9" t="s">
        <v>9390</v>
      </c>
      <c r="K5070" s="5" t="s">
        <v>15173</v>
      </c>
      <c r="L5070" s="13">
        <v>15757</v>
      </c>
      <c r="M5070" t="str">
        <f>VLOOKUP(L5070,[1]DevMouse!$B$2:$C$2693,2,FALSE)</f>
        <v>LSV</v>
      </c>
    </row>
    <row r="5071" spans="2:13" x14ac:dyDescent="0.25">
      <c r="B5071" s="31" t="s">
        <v>26303</v>
      </c>
      <c r="C5071" s="20"/>
      <c r="D5071" s="25" t="s">
        <v>26232</v>
      </c>
      <c r="E5071" s="25" t="s">
        <v>26300</v>
      </c>
      <c r="F5071" s="9" t="str">
        <f t="shared" si="72"/>
        <v>structure with developmental contribution from neural crest</v>
      </c>
      <c r="G5071" s="9" t="s">
        <v>5090</v>
      </c>
      <c r="H5071" s="9" t="s">
        <v>15541</v>
      </c>
      <c r="I5071" s="9" t="s">
        <v>9391</v>
      </c>
      <c r="J5071" s="9" t="s">
        <v>9392</v>
      </c>
      <c r="K5071" s="5" t="s">
        <v>15173</v>
      </c>
      <c r="L5071" s="13">
        <v>15758</v>
      </c>
      <c r="M5071" t="str">
        <f>VLOOKUP(L5071,[1]DevMouse!$B$2:$C$2693,2,FALSE)</f>
        <v>MnSC</v>
      </c>
    </row>
    <row r="5072" spans="2:13" x14ac:dyDescent="0.25">
      <c r="B5072" s="36"/>
      <c r="C5072" s="20"/>
      <c r="D5072" s="25" t="s">
        <v>26232</v>
      </c>
      <c r="E5072" s="25"/>
      <c r="F5072" s="9" t="str">
        <f t="shared" si="72"/>
        <v>structure with developmental contribution from neural crest</v>
      </c>
      <c r="G5072" s="9" t="s">
        <v>5090</v>
      </c>
      <c r="H5072" s="9" t="s">
        <v>15542</v>
      </c>
      <c r="I5072" s="9" t="s">
        <v>9393</v>
      </c>
      <c r="J5072" s="9" t="s">
        <v>9394</v>
      </c>
      <c r="K5072" s="5" t="s">
        <v>15173</v>
      </c>
      <c r="L5072" s="13">
        <v>15759</v>
      </c>
      <c r="M5072" t="str">
        <f>VLOOKUP(L5072,[1]DevMouse!$B$2:$C$2693,2,FALSE)</f>
        <v>DgSei</v>
      </c>
    </row>
    <row r="5073" spans="2:13" x14ac:dyDescent="0.25">
      <c r="B5073" s="31" t="s">
        <v>26303</v>
      </c>
      <c r="C5073" s="25" t="s">
        <v>2715</v>
      </c>
      <c r="D5073" s="25" t="s">
        <v>26232</v>
      </c>
      <c r="E5073" s="25"/>
      <c r="F5073" s="9" t="str">
        <f t="shared" si="72"/>
        <v>structure with developmental contribution from neural crest</v>
      </c>
      <c r="G5073" s="9" t="s">
        <v>5090</v>
      </c>
      <c r="H5073" s="9" t="s">
        <v>15543</v>
      </c>
      <c r="I5073" s="9" t="s">
        <v>9395</v>
      </c>
      <c r="J5073" s="9" t="s">
        <v>9396</v>
      </c>
      <c r="K5073" s="5" t="s">
        <v>15173</v>
      </c>
      <c r="L5073" s="13">
        <v>15760</v>
      </c>
      <c r="M5073" t="str">
        <f>VLOOKUP(L5073,[1]DevMouse!$B$2:$C$2693,2,FALSE)</f>
        <v>LSIV</v>
      </c>
    </row>
    <row r="5074" spans="2:13" x14ac:dyDescent="0.25">
      <c r="B5074" s="31" t="s">
        <v>26303</v>
      </c>
      <c r="C5074" s="25" t="s">
        <v>4971</v>
      </c>
      <c r="D5074" s="25" t="s">
        <v>26232</v>
      </c>
      <c r="E5074" s="25"/>
      <c r="F5074" s="9" t="str">
        <f t="shared" si="72"/>
        <v>structure with developmental contribution from neural crest</v>
      </c>
      <c r="G5074" s="9" t="s">
        <v>5090</v>
      </c>
      <c r="H5074" s="9" t="s">
        <v>15544</v>
      </c>
      <c r="I5074" s="9" t="s">
        <v>4971</v>
      </c>
      <c r="J5074" s="9" t="s">
        <v>4973</v>
      </c>
      <c r="K5074" s="5" t="s">
        <v>15173</v>
      </c>
      <c r="L5074" s="13">
        <v>15761</v>
      </c>
      <c r="M5074" t="str">
        <f>VLOOKUP(L5074,[1]DevMouse!$B$2:$C$2693,2,FALSE)</f>
        <v>SHy</v>
      </c>
    </row>
    <row r="5075" spans="2:13" x14ac:dyDescent="0.25">
      <c r="B5075" s="36"/>
      <c r="C5075" s="20"/>
      <c r="D5075" s="25" t="s">
        <v>26232</v>
      </c>
      <c r="E5075" s="25"/>
      <c r="F5075" s="9" t="str">
        <f t="shared" si="72"/>
        <v>structure with developmental contribution from neural crest</v>
      </c>
      <c r="G5075" s="9" t="s">
        <v>5090</v>
      </c>
      <c r="H5075" s="9" t="s">
        <v>15545</v>
      </c>
      <c r="I5075" s="9" t="s">
        <v>9397</v>
      </c>
      <c r="J5075" s="9" t="s">
        <v>9398</v>
      </c>
      <c r="K5075" s="5" t="s">
        <v>15173</v>
      </c>
      <c r="L5075" s="13">
        <v>15762</v>
      </c>
      <c r="M5075" t="str">
        <f>VLOOKUP(L5075,[1]DevMouse!$B$2:$C$2693,2,FALSE)</f>
        <v>DgSes</v>
      </c>
    </row>
    <row r="5076" spans="2:13" x14ac:dyDescent="0.25">
      <c r="B5076" s="31" t="s">
        <v>26303</v>
      </c>
      <c r="C5076" s="25" t="s">
        <v>3272</v>
      </c>
      <c r="D5076" s="25" t="s">
        <v>26232</v>
      </c>
      <c r="E5076" s="25"/>
      <c r="F5076" s="9" t="str">
        <f t="shared" si="72"/>
        <v>structure with developmental contribution from neural crest</v>
      </c>
      <c r="G5076" s="9" t="s">
        <v>5090</v>
      </c>
      <c r="H5076" s="9" t="s">
        <v>15546</v>
      </c>
      <c r="I5076" s="9" t="s">
        <v>9399</v>
      </c>
      <c r="J5076" s="9" t="s">
        <v>9400</v>
      </c>
      <c r="K5076" s="5" t="s">
        <v>15173</v>
      </c>
      <c r="L5076" s="13">
        <v>15763</v>
      </c>
      <c r="M5076" t="str">
        <f>VLOOKUP(L5076,[1]DevMouse!$B$2:$C$2693,2,FALSE)</f>
        <v>VDB</v>
      </c>
    </row>
    <row r="5077" spans="2:13" x14ac:dyDescent="0.25">
      <c r="B5077" s="31" t="s">
        <v>26303</v>
      </c>
      <c r="C5077" s="25" t="s">
        <v>3024</v>
      </c>
      <c r="D5077" s="25" t="s">
        <v>26232</v>
      </c>
      <c r="E5077" s="25"/>
      <c r="F5077" s="9" t="str">
        <f t="shared" si="72"/>
        <v>structure with developmental contribution from neural crest</v>
      </c>
      <c r="G5077" s="9" t="s">
        <v>5090</v>
      </c>
      <c r="H5077" s="9" t="s">
        <v>15547</v>
      </c>
      <c r="I5077" s="9" t="s">
        <v>3024</v>
      </c>
      <c r="J5077" s="9" t="s">
        <v>3026</v>
      </c>
      <c r="K5077" s="5" t="s">
        <v>15173</v>
      </c>
      <c r="L5077" s="13">
        <v>15764</v>
      </c>
      <c r="M5077" t="str">
        <f>VLOOKUP(L5077,[1]DevMouse!$B$2:$C$2693,2,FALSE)</f>
        <v>MS</v>
      </c>
    </row>
    <row r="5078" spans="2:13" x14ac:dyDescent="0.25">
      <c r="B5078" s="31" t="s">
        <v>26303</v>
      </c>
      <c r="C5078" s="20"/>
      <c r="D5078" s="25" t="s">
        <v>26232</v>
      </c>
      <c r="E5078" s="25" t="s">
        <v>26309</v>
      </c>
      <c r="F5078" s="9" t="str">
        <f t="shared" si="72"/>
        <v>structure with developmental contribution from neural crest</v>
      </c>
      <c r="G5078" s="9" t="s">
        <v>5090</v>
      </c>
      <c r="H5078" s="9" t="s">
        <v>15548</v>
      </c>
      <c r="I5078" s="9" t="s">
        <v>9401</v>
      </c>
      <c r="J5078" s="9" t="s">
        <v>9402</v>
      </c>
      <c r="K5078" s="5" t="s">
        <v>15173</v>
      </c>
      <c r="L5078" s="13">
        <v>15765</v>
      </c>
      <c r="M5078" t="str">
        <f>VLOOKUP(L5078,[1]DevMouse!$B$2:$C$2693,2,FALSE)</f>
        <v>PalSe</v>
      </c>
    </row>
    <row r="5079" spans="2:13" x14ac:dyDescent="0.25">
      <c r="B5079" s="36"/>
      <c r="C5079" s="20"/>
      <c r="D5079" s="25" t="s">
        <v>26232</v>
      </c>
      <c r="E5079" s="25"/>
      <c r="F5079" s="9" t="str">
        <f t="shared" si="72"/>
        <v>structure with developmental contribution from neural crest</v>
      </c>
      <c r="G5079" s="9" t="s">
        <v>5090</v>
      </c>
      <c r="H5079" s="9" t="s">
        <v>15549</v>
      </c>
      <c r="I5079" s="9" t="s">
        <v>9403</v>
      </c>
      <c r="J5079" s="9" t="s">
        <v>9404</v>
      </c>
      <c r="K5079" s="5" t="s">
        <v>15173</v>
      </c>
      <c r="L5079" s="13">
        <v>15766</v>
      </c>
      <c r="M5079" t="str">
        <f>VLOOKUP(L5079,[1]DevMouse!$B$2:$C$2693,2,FALSE)</f>
        <v>PalSev</v>
      </c>
    </row>
    <row r="5080" spans="2:13" x14ac:dyDescent="0.25">
      <c r="B5080" s="31" t="s">
        <v>26303</v>
      </c>
      <c r="C5080" s="20"/>
      <c r="D5080" s="25" t="s">
        <v>26232</v>
      </c>
      <c r="E5080" s="20" t="s">
        <v>26300</v>
      </c>
      <c r="F5080" s="9" t="str">
        <f t="shared" si="72"/>
        <v>structure with developmental contribution from neural crest</v>
      </c>
      <c r="G5080" s="9" t="s">
        <v>5090</v>
      </c>
      <c r="H5080" s="9" t="s">
        <v>15550</v>
      </c>
      <c r="I5080" s="9" t="s">
        <v>9405</v>
      </c>
      <c r="J5080" s="9" t="s">
        <v>9406</v>
      </c>
      <c r="K5080" s="5" t="s">
        <v>15173</v>
      </c>
      <c r="L5080" s="13">
        <v>15767</v>
      </c>
      <c r="M5080" t="str">
        <f>VLOOKUP(L5080,[1]DevMouse!$B$2:$C$2693,2,FALSE)</f>
        <v>PalSem</v>
      </c>
    </row>
    <row r="5081" spans="2:13" x14ac:dyDescent="0.25">
      <c r="B5081" s="36"/>
      <c r="C5081" s="20"/>
      <c r="D5081" s="25" t="s">
        <v>26232</v>
      </c>
      <c r="E5081" s="20" t="s">
        <v>26300</v>
      </c>
      <c r="F5081" s="9" t="str">
        <f t="shared" si="72"/>
        <v>structure with developmental contribution from neural crest</v>
      </c>
      <c r="G5081" s="9" t="s">
        <v>5090</v>
      </c>
      <c r="H5081" s="9" t="s">
        <v>15551</v>
      </c>
      <c r="I5081" s="9" t="s">
        <v>9407</v>
      </c>
      <c r="J5081" s="9" t="s">
        <v>9408</v>
      </c>
      <c r="K5081" s="5" t="s">
        <v>15173</v>
      </c>
      <c r="L5081" s="13">
        <v>15768</v>
      </c>
      <c r="M5081" t="str">
        <f>VLOOKUP(L5081,[1]DevMouse!$B$2:$C$2693,2,FALSE)</f>
        <v>PalSep</v>
      </c>
    </row>
    <row r="5082" spans="2:13" x14ac:dyDescent="0.25">
      <c r="B5082" s="31" t="s">
        <v>26303</v>
      </c>
      <c r="C5082" s="25" t="s">
        <v>2715</v>
      </c>
      <c r="D5082" s="25" t="s">
        <v>26232</v>
      </c>
      <c r="E5082" s="20"/>
      <c r="F5082" s="9" t="str">
        <f t="shared" si="72"/>
        <v>structure with developmental contribution from neural crest</v>
      </c>
      <c r="G5082" s="9" t="s">
        <v>5090</v>
      </c>
      <c r="H5082" s="9" t="s">
        <v>15552</v>
      </c>
      <c r="I5082" s="9" t="s">
        <v>9409</v>
      </c>
      <c r="J5082" s="9" t="s">
        <v>9410</v>
      </c>
      <c r="K5082" s="5" t="s">
        <v>15173</v>
      </c>
      <c r="L5082" s="13">
        <v>15769</v>
      </c>
      <c r="M5082" t="str">
        <f>VLOOKUP(L5082,[1]DevMouse!$B$2:$C$2693,2,FALSE)</f>
        <v>LSIp</v>
      </c>
    </row>
    <row r="5083" spans="2:13" x14ac:dyDescent="0.25">
      <c r="B5083" s="36"/>
      <c r="C5083" s="20"/>
      <c r="D5083" s="25" t="s">
        <v>26232</v>
      </c>
      <c r="E5083" s="25"/>
      <c r="F5083" s="9" t="str">
        <f t="shared" si="72"/>
        <v>structure with developmental contribution from neural crest</v>
      </c>
      <c r="G5083" s="9" t="s">
        <v>5090</v>
      </c>
      <c r="H5083" s="9" t="s">
        <v>15553</v>
      </c>
      <c r="I5083" s="9" t="s">
        <v>9411</v>
      </c>
      <c r="J5083" s="9" t="s">
        <v>9412</v>
      </c>
      <c r="K5083" s="5" t="s">
        <v>15173</v>
      </c>
      <c r="L5083" s="13">
        <v>15770</v>
      </c>
      <c r="M5083" t="str">
        <f>VLOOKUP(L5083,[1]DevMouse!$B$2:$C$2693,2,FALSE)</f>
        <v>PalSei</v>
      </c>
    </row>
    <row r="5084" spans="2:13" x14ac:dyDescent="0.25">
      <c r="B5084" s="31" t="s">
        <v>26303</v>
      </c>
      <c r="C5084" s="25" t="s">
        <v>2715</v>
      </c>
      <c r="D5084" s="25" t="s">
        <v>26232</v>
      </c>
      <c r="E5084" s="25"/>
      <c r="F5084" s="9" t="str">
        <f t="shared" si="72"/>
        <v>structure with developmental contribution from neural crest</v>
      </c>
      <c r="G5084" s="9" t="s">
        <v>5090</v>
      </c>
      <c r="H5084" s="9" t="s">
        <v>15554</v>
      </c>
      <c r="I5084" s="9" t="s">
        <v>9413</v>
      </c>
      <c r="J5084" s="9" t="s">
        <v>9414</v>
      </c>
      <c r="K5084" s="5" t="s">
        <v>15173</v>
      </c>
      <c r="L5084" s="13">
        <v>15771</v>
      </c>
      <c r="M5084" t="str">
        <f>VLOOKUP(L5084,[1]DevMouse!$B$2:$C$2693,2,FALSE)</f>
        <v>LSII</v>
      </c>
    </row>
    <row r="5085" spans="2:13" x14ac:dyDescent="0.25">
      <c r="B5085" s="31" t="s">
        <v>26303</v>
      </c>
      <c r="C5085" s="20"/>
      <c r="D5085" s="25" t="s">
        <v>26232</v>
      </c>
      <c r="E5085" s="25" t="s">
        <v>26309</v>
      </c>
      <c r="F5085" s="9" t="str">
        <f t="shared" si="72"/>
        <v>structure with developmental contribution from neural crest</v>
      </c>
      <c r="G5085" s="9" t="s">
        <v>5090</v>
      </c>
      <c r="H5085" s="9" t="s">
        <v>15555</v>
      </c>
      <c r="I5085" s="9" t="s">
        <v>7962</v>
      </c>
      <c r="J5085" s="9" t="s">
        <v>9415</v>
      </c>
      <c r="K5085" s="5" t="s">
        <v>15173</v>
      </c>
      <c r="L5085" s="13">
        <v>15772</v>
      </c>
      <c r="M5085" t="str">
        <f>VLOOKUP(L5085,[1]DevMouse!$B$2:$C$2693,2,FALSE)</f>
        <v>Ld</v>
      </c>
    </row>
    <row r="5086" spans="2:13" x14ac:dyDescent="0.25">
      <c r="B5086" s="36"/>
      <c r="C5086" s="20"/>
      <c r="D5086" s="25" t="s">
        <v>26232</v>
      </c>
      <c r="E5086" s="25"/>
      <c r="F5086" s="9" t="str">
        <f t="shared" si="72"/>
        <v>structure with developmental contribution from neural crest</v>
      </c>
      <c r="G5086" s="9" t="s">
        <v>5090</v>
      </c>
      <c r="H5086" s="9" t="s">
        <v>15556</v>
      </c>
      <c r="I5086" s="9" t="s">
        <v>9416</v>
      </c>
      <c r="J5086" s="9" t="s">
        <v>9417</v>
      </c>
      <c r="K5086" s="5" t="s">
        <v>15173</v>
      </c>
      <c r="L5086" s="13">
        <v>15773</v>
      </c>
      <c r="M5086" t="str">
        <f>VLOOKUP(L5086,[1]DevMouse!$B$2:$C$2693,2,FALSE)</f>
        <v>PalSes</v>
      </c>
    </row>
    <row r="5087" spans="2:13" x14ac:dyDescent="0.25">
      <c r="B5087" s="36"/>
      <c r="C5087" s="20"/>
      <c r="D5087" s="25" t="s">
        <v>26232</v>
      </c>
      <c r="E5087" s="25"/>
      <c r="F5087" s="9" t="str">
        <f t="shared" si="72"/>
        <v>structure with developmental contribution from neural crest</v>
      </c>
      <c r="G5087" s="9" t="s">
        <v>5090</v>
      </c>
      <c r="H5087" s="9" t="s">
        <v>15557</v>
      </c>
      <c r="I5087" s="9" t="s">
        <v>9418</v>
      </c>
      <c r="J5087" s="9" t="s">
        <v>9419</v>
      </c>
      <c r="K5087" s="5" t="s">
        <v>15173</v>
      </c>
      <c r="L5087" s="13">
        <v>15774</v>
      </c>
      <c r="M5087" t="str">
        <f>VLOOKUP(L5087,[1]DevMouse!$B$2:$C$2693,2,FALSE)</f>
        <v>StrSe</v>
      </c>
    </row>
    <row r="5088" spans="2:13" x14ac:dyDescent="0.25">
      <c r="B5088" s="36"/>
      <c r="C5088" s="20"/>
      <c r="D5088" s="25" t="s">
        <v>26232</v>
      </c>
      <c r="E5088" s="25"/>
      <c r="F5088" s="9" t="str">
        <f t="shared" si="72"/>
        <v>structure with developmental contribution from neural crest</v>
      </c>
      <c r="G5088" s="9" t="s">
        <v>5090</v>
      </c>
      <c r="H5088" s="9" t="s">
        <v>15558</v>
      </c>
      <c r="I5088" s="9" t="s">
        <v>9420</v>
      </c>
      <c r="J5088" s="9" t="s">
        <v>9421</v>
      </c>
      <c r="K5088" s="5" t="s">
        <v>15173</v>
      </c>
      <c r="L5088" s="13">
        <v>15775</v>
      </c>
      <c r="M5088" t="str">
        <f>VLOOKUP(L5088,[1]DevMouse!$B$2:$C$2693,2,FALSE)</f>
        <v>StrSev</v>
      </c>
    </row>
    <row r="5089" spans="2:13" x14ac:dyDescent="0.25">
      <c r="B5089" s="31" t="s">
        <v>26303</v>
      </c>
      <c r="C5089" s="20"/>
      <c r="D5089" s="25" t="s">
        <v>26232</v>
      </c>
      <c r="E5089" s="20" t="s">
        <v>26300</v>
      </c>
      <c r="F5089" s="9" t="str">
        <f t="shared" si="72"/>
        <v>structure with developmental contribution from neural crest</v>
      </c>
      <c r="G5089" s="9" t="s">
        <v>5090</v>
      </c>
      <c r="H5089" s="9" t="s">
        <v>15559</v>
      </c>
      <c r="I5089" s="9" t="s">
        <v>9422</v>
      </c>
      <c r="J5089" s="9" t="s">
        <v>9423</v>
      </c>
      <c r="K5089" s="5" t="s">
        <v>15173</v>
      </c>
      <c r="L5089" s="13">
        <v>15776</v>
      </c>
      <c r="M5089" t="str">
        <f>VLOOKUP(L5089,[1]DevMouse!$B$2:$C$2693,2,FALSE)</f>
        <v>StrSem</v>
      </c>
    </row>
    <row r="5090" spans="2:13" x14ac:dyDescent="0.25">
      <c r="B5090" s="36"/>
      <c r="C5090" s="20"/>
      <c r="D5090" s="25" t="s">
        <v>26232</v>
      </c>
      <c r="E5090" s="20" t="s">
        <v>26300</v>
      </c>
      <c r="F5090" s="9" t="str">
        <f t="shared" si="72"/>
        <v>structure with developmental contribution from neural crest</v>
      </c>
      <c r="G5090" s="9" t="s">
        <v>5090</v>
      </c>
      <c r="H5090" s="9" t="s">
        <v>15560</v>
      </c>
      <c r="I5090" s="9" t="s">
        <v>9424</v>
      </c>
      <c r="J5090" s="9" t="s">
        <v>9425</v>
      </c>
      <c r="K5090" s="5" t="s">
        <v>15173</v>
      </c>
      <c r="L5090" s="13">
        <v>15777</v>
      </c>
      <c r="M5090" t="str">
        <f>VLOOKUP(L5090,[1]DevMouse!$B$2:$C$2693,2,FALSE)</f>
        <v>StrSep</v>
      </c>
    </row>
    <row r="5091" spans="2:13" x14ac:dyDescent="0.25">
      <c r="B5091" s="31" t="s">
        <v>26303</v>
      </c>
      <c r="C5091" s="25" t="s">
        <v>2715</v>
      </c>
      <c r="D5091" s="25" t="s">
        <v>26232</v>
      </c>
      <c r="E5091" s="25"/>
      <c r="F5091" s="9" t="str">
        <f t="shared" si="72"/>
        <v>structure with developmental contribution from neural crest</v>
      </c>
      <c r="G5091" s="9" t="s">
        <v>5090</v>
      </c>
      <c r="H5091" s="9" t="s">
        <v>15561</v>
      </c>
      <c r="I5091" s="9" t="s">
        <v>9426</v>
      </c>
      <c r="J5091" s="9" t="s">
        <v>9427</v>
      </c>
      <c r="K5091" s="5" t="s">
        <v>15173</v>
      </c>
      <c r="L5091" s="13">
        <v>15778</v>
      </c>
      <c r="M5091" t="str">
        <f>VLOOKUP(L5091,[1]DevMouse!$B$2:$C$2693,2,FALSE)</f>
        <v>LSD</v>
      </c>
    </row>
    <row r="5092" spans="2:13" x14ac:dyDescent="0.25">
      <c r="B5092" s="31" t="s">
        <v>26303</v>
      </c>
      <c r="C5092" s="25" t="s">
        <v>8507</v>
      </c>
      <c r="D5092" s="25" t="s">
        <v>26232</v>
      </c>
      <c r="E5092" s="25"/>
      <c r="F5092" s="9" t="str">
        <f t="shared" si="72"/>
        <v>structure with developmental contribution from neural crest</v>
      </c>
      <c r="G5092" s="9" t="s">
        <v>5090</v>
      </c>
      <c r="H5092" s="9" t="s">
        <v>15562</v>
      </c>
      <c r="I5092" s="9" t="s">
        <v>8507</v>
      </c>
      <c r="J5092" s="9" t="s">
        <v>9428</v>
      </c>
      <c r="K5092" s="5" t="s">
        <v>15173</v>
      </c>
      <c r="L5092" s="13">
        <v>15779</v>
      </c>
      <c r="M5092" t="str">
        <f>VLOOKUP(L5092,[1]DevMouse!$B$2:$C$2693,2,FALSE)</f>
        <v>TS</v>
      </c>
    </row>
    <row r="5093" spans="2:13" x14ac:dyDescent="0.25">
      <c r="B5093" s="36"/>
      <c r="C5093" s="20"/>
      <c r="D5093" s="25" t="s">
        <v>26232</v>
      </c>
      <c r="E5093" s="25"/>
      <c r="F5093" s="9" t="str">
        <f t="shared" si="72"/>
        <v>structure with developmental contribution from neural crest</v>
      </c>
      <c r="G5093" s="9" t="s">
        <v>5090</v>
      </c>
      <c r="H5093" s="9" t="s">
        <v>15564</v>
      </c>
      <c r="I5093" s="9" t="s">
        <v>9429</v>
      </c>
      <c r="J5093" s="9" t="s">
        <v>9430</v>
      </c>
      <c r="K5093" s="5" t="s">
        <v>15173</v>
      </c>
      <c r="L5093" s="13">
        <v>15781</v>
      </c>
      <c r="M5093" t="str">
        <f>VLOOKUP(L5093,[1]DevMouse!$B$2:$C$2693,2,FALSE)</f>
        <v>StrSei</v>
      </c>
    </row>
    <row r="5094" spans="2:13" x14ac:dyDescent="0.25">
      <c r="B5094" s="31" t="s">
        <v>26303</v>
      </c>
      <c r="C5094" s="25" t="s">
        <v>2715</v>
      </c>
      <c r="D5094" s="25" t="s">
        <v>26232</v>
      </c>
      <c r="E5094" s="25"/>
      <c r="F5094" s="9" t="str">
        <f t="shared" si="72"/>
        <v>structure with developmental contribution from neural crest</v>
      </c>
      <c r="G5094" s="9" t="s">
        <v>5090</v>
      </c>
      <c r="H5094" s="9" t="s">
        <v>15565</v>
      </c>
      <c r="I5094" s="9" t="s">
        <v>9431</v>
      </c>
      <c r="J5094" s="9" t="s">
        <v>9432</v>
      </c>
      <c r="K5094" s="5" t="s">
        <v>15173</v>
      </c>
      <c r="L5094" s="13">
        <v>15782</v>
      </c>
      <c r="M5094" t="str">
        <f>VLOOKUP(L5094,[1]DevMouse!$B$2:$C$2693,2,FALSE)</f>
        <v>LSID</v>
      </c>
    </row>
    <row r="5095" spans="2:13" x14ac:dyDescent="0.25">
      <c r="B5095" s="36"/>
      <c r="C5095" s="20"/>
      <c r="D5095" s="25" t="s">
        <v>26232</v>
      </c>
      <c r="E5095" s="25"/>
      <c r="F5095" s="9" t="str">
        <f t="shared" si="72"/>
        <v>structure with developmental contribution from neural crest</v>
      </c>
      <c r="G5095" s="9" t="s">
        <v>5090</v>
      </c>
      <c r="H5095" s="9" t="s">
        <v>15566</v>
      </c>
      <c r="I5095" s="9" t="s">
        <v>9433</v>
      </c>
      <c r="J5095" s="9" t="s">
        <v>9434</v>
      </c>
      <c r="K5095" s="5" t="s">
        <v>15173</v>
      </c>
      <c r="L5095" s="13">
        <v>15783</v>
      </c>
      <c r="M5095" t="str">
        <f>VLOOKUP(L5095,[1]DevMouse!$B$2:$C$2693,2,FALSE)</f>
        <v>StrSes</v>
      </c>
    </row>
    <row r="5096" spans="2:13" x14ac:dyDescent="0.25">
      <c r="B5096" s="31" t="s">
        <v>26303</v>
      </c>
      <c r="C5096" s="20"/>
      <c r="D5096" s="25" t="s">
        <v>26232</v>
      </c>
      <c r="E5096" s="25" t="s">
        <v>26300</v>
      </c>
      <c r="F5096" s="9" t="str">
        <f t="shared" si="72"/>
        <v>structure with developmental contribution from neural crest</v>
      </c>
      <c r="G5096" s="9" t="s">
        <v>5090</v>
      </c>
      <c r="H5096" s="9" t="s">
        <v>15567</v>
      </c>
      <c r="I5096" s="9" t="s">
        <v>9435</v>
      </c>
      <c r="J5096" s="9" t="s">
        <v>9436</v>
      </c>
      <c r="K5096" s="5" t="s">
        <v>15173</v>
      </c>
      <c r="L5096" s="13">
        <v>15784</v>
      </c>
      <c r="M5096" t="str">
        <f>VLOOKUP(L5096,[1]DevMouse!$B$2:$C$2693,2,FALSE)</f>
        <v>PaSe</v>
      </c>
    </row>
    <row r="5097" spans="2:13" x14ac:dyDescent="0.25">
      <c r="B5097" s="31" t="s">
        <v>26303</v>
      </c>
      <c r="C5097" s="20"/>
      <c r="D5097" s="25" t="s">
        <v>26185</v>
      </c>
      <c r="E5097" s="25" t="s">
        <v>26300</v>
      </c>
      <c r="F5097" s="9" t="str">
        <f t="shared" si="72"/>
        <v>structure with developmental contribution from neural crest</v>
      </c>
      <c r="G5097" s="9" t="s">
        <v>5090</v>
      </c>
      <c r="H5097" s="9" t="s">
        <v>15568</v>
      </c>
      <c r="I5097" s="9" t="s">
        <v>9437</v>
      </c>
      <c r="J5097" s="9" t="s">
        <v>9438</v>
      </c>
      <c r="K5097" s="5" t="s">
        <v>15173</v>
      </c>
      <c r="L5097" s="13">
        <v>15785</v>
      </c>
      <c r="M5097" t="str">
        <f>VLOOKUP(L5097,[1]DevMouse!$B$2:$C$2693,2,FALSE)</f>
        <v>SeDg</v>
      </c>
    </row>
    <row r="5098" spans="2:13" x14ac:dyDescent="0.25">
      <c r="B5098" s="36"/>
      <c r="C5098" s="20"/>
      <c r="D5098" s="25" t="s">
        <v>26232</v>
      </c>
      <c r="E5098" s="25"/>
      <c r="F5098" s="9" t="str">
        <f t="shared" si="72"/>
        <v>structure with developmental contribution from neural crest</v>
      </c>
      <c r="G5098" s="9" t="s">
        <v>5090</v>
      </c>
      <c r="H5098" s="9" t="s">
        <v>15569</v>
      </c>
      <c r="I5098" s="9" t="s">
        <v>9439</v>
      </c>
      <c r="J5098" s="9" t="s">
        <v>9440</v>
      </c>
      <c r="K5098" s="5" t="s">
        <v>15173</v>
      </c>
      <c r="L5098" s="13">
        <v>15786</v>
      </c>
      <c r="M5098" t="str">
        <f>VLOOKUP(L5098,[1]DevMouse!$B$2:$C$2693,2,FALSE)</f>
        <v>SeDgv</v>
      </c>
    </row>
    <row r="5099" spans="2:13" x14ac:dyDescent="0.25">
      <c r="B5099" s="31" t="s">
        <v>26303</v>
      </c>
      <c r="C5099" s="20"/>
      <c r="D5099" s="25" t="s">
        <v>26232</v>
      </c>
      <c r="E5099" s="20" t="s">
        <v>26300</v>
      </c>
      <c r="F5099" s="9" t="str">
        <f t="shared" si="72"/>
        <v>structure with developmental contribution from neural crest</v>
      </c>
      <c r="G5099" s="9" t="s">
        <v>5090</v>
      </c>
      <c r="H5099" s="9" t="s">
        <v>15570</v>
      </c>
      <c r="I5099" s="9" t="s">
        <v>9441</v>
      </c>
      <c r="J5099" s="9" t="s">
        <v>9442</v>
      </c>
      <c r="K5099" s="5" t="s">
        <v>15173</v>
      </c>
      <c r="L5099" s="13">
        <v>15787</v>
      </c>
      <c r="M5099" t="str">
        <f>VLOOKUP(L5099,[1]DevMouse!$B$2:$C$2693,2,FALSE)</f>
        <v>SeDgm</v>
      </c>
    </row>
    <row r="5100" spans="2:13" x14ac:dyDescent="0.25">
      <c r="B5100" s="36"/>
      <c r="C5100" s="20"/>
      <c r="D5100" s="25" t="s">
        <v>26232</v>
      </c>
      <c r="E5100" s="20" t="s">
        <v>26300</v>
      </c>
      <c r="F5100" s="9" t="str">
        <f t="shared" si="72"/>
        <v>structure with developmental contribution from neural crest</v>
      </c>
      <c r="G5100" s="9" t="s">
        <v>5090</v>
      </c>
      <c r="H5100" s="9" t="s">
        <v>15571</v>
      </c>
      <c r="I5100" s="9" t="s">
        <v>9443</v>
      </c>
      <c r="J5100" s="9" t="s">
        <v>9444</v>
      </c>
      <c r="K5100" s="5" t="s">
        <v>15173</v>
      </c>
      <c r="L5100" s="13">
        <v>15788</v>
      </c>
      <c r="M5100" t="str">
        <f>VLOOKUP(L5100,[1]DevMouse!$B$2:$C$2693,2,FALSE)</f>
        <v>SeDgp</v>
      </c>
    </row>
    <row r="5101" spans="2:13" x14ac:dyDescent="0.25">
      <c r="B5101" s="31" t="s">
        <v>26303</v>
      </c>
      <c r="C5101" s="25" t="s">
        <v>561</v>
      </c>
      <c r="D5101" s="25" t="s">
        <v>26232</v>
      </c>
      <c r="E5101" s="20" t="s">
        <v>26300</v>
      </c>
      <c r="F5101" s="9" t="str">
        <f t="shared" si="72"/>
        <v>structure with developmental contribution from neural crest</v>
      </c>
      <c r="G5101" s="9" t="s">
        <v>5090</v>
      </c>
      <c r="H5101" s="9" t="s">
        <v>15572</v>
      </c>
      <c r="I5101" s="9" t="s">
        <v>9445</v>
      </c>
      <c r="J5101" s="9" t="s">
        <v>9446</v>
      </c>
      <c r="K5101" s="5" t="s">
        <v>15173</v>
      </c>
      <c r="L5101" s="13">
        <v>15789</v>
      </c>
      <c r="M5101" t="str">
        <f>VLOOKUP(L5101,[1]DevMouse!$B$2:$C$2693,2,FALSE)</f>
        <v>BSTMS</v>
      </c>
    </row>
    <row r="5102" spans="2:13" x14ac:dyDescent="0.25">
      <c r="B5102" s="31" t="s">
        <v>26303</v>
      </c>
      <c r="C5102" s="25" t="s">
        <v>561</v>
      </c>
      <c r="D5102" s="25" t="s">
        <v>26232</v>
      </c>
      <c r="E5102" s="20" t="s">
        <v>26300</v>
      </c>
      <c r="F5102" s="9" t="str">
        <f t="shared" si="72"/>
        <v>structure with developmental contribution from neural crest</v>
      </c>
      <c r="G5102" s="9" t="s">
        <v>5090</v>
      </c>
      <c r="H5102" s="9" t="s">
        <v>15573</v>
      </c>
      <c r="I5102" s="9" t="s">
        <v>9447</v>
      </c>
      <c r="J5102" s="9" t="s">
        <v>9448</v>
      </c>
      <c r="K5102" s="5" t="s">
        <v>15173</v>
      </c>
      <c r="L5102" s="13">
        <v>15790</v>
      </c>
      <c r="M5102" t="str">
        <f>VLOOKUP(L5102,[1]DevMouse!$B$2:$C$2693,2,FALSE)</f>
        <v>BSTMv</v>
      </c>
    </row>
    <row r="5103" spans="2:13" x14ac:dyDescent="0.25">
      <c r="B5103" s="31" t="s">
        <v>26303</v>
      </c>
      <c r="C5103" s="25" t="s">
        <v>561</v>
      </c>
      <c r="D5103" s="25" t="s">
        <v>26232</v>
      </c>
      <c r="E5103" s="20" t="s">
        <v>26300</v>
      </c>
      <c r="F5103" s="9" t="str">
        <f t="shared" si="72"/>
        <v>structure with developmental contribution from neural crest</v>
      </c>
      <c r="G5103" s="9" t="s">
        <v>5090</v>
      </c>
      <c r="H5103" s="9" t="s">
        <v>15574</v>
      </c>
      <c r="I5103" s="9" t="s">
        <v>9449</v>
      </c>
      <c r="J5103" s="9" t="s">
        <v>9450</v>
      </c>
      <c r="K5103" s="5" t="s">
        <v>15173</v>
      </c>
      <c r="L5103" s="13">
        <v>15791</v>
      </c>
      <c r="M5103" t="str">
        <f>VLOOKUP(L5103,[1]DevMouse!$B$2:$C$2693,2,FALSE)</f>
        <v>BSTMa</v>
      </c>
    </row>
    <row r="5104" spans="2:13" x14ac:dyDescent="0.25">
      <c r="B5104" s="36"/>
      <c r="C5104" s="20"/>
      <c r="D5104" s="25" t="s">
        <v>26232</v>
      </c>
      <c r="E5104" s="25"/>
      <c r="F5104" s="9" t="str">
        <f t="shared" si="72"/>
        <v>structure with developmental contribution from neural crest</v>
      </c>
      <c r="G5104" s="9" t="s">
        <v>5090</v>
      </c>
      <c r="H5104" s="9" t="s">
        <v>15575</v>
      </c>
      <c r="I5104" s="9" t="s">
        <v>9451</v>
      </c>
      <c r="J5104" s="9" t="s">
        <v>9452</v>
      </c>
      <c r="K5104" s="5" t="s">
        <v>15173</v>
      </c>
      <c r="L5104" s="13">
        <v>15792</v>
      </c>
      <c r="M5104" t="str">
        <f>VLOOKUP(L5104,[1]DevMouse!$B$2:$C$2693,2,FALSE)</f>
        <v>SeDgi</v>
      </c>
    </row>
    <row r="5105" spans="2:13" x14ac:dyDescent="0.25">
      <c r="B5105" s="31" t="s">
        <v>26303</v>
      </c>
      <c r="C5105" s="25" t="s">
        <v>7966</v>
      </c>
      <c r="D5105" s="25" t="s">
        <v>26232</v>
      </c>
      <c r="E5105" s="25"/>
      <c r="F5105" s="9" t="str">
        <f t="shared" si="72"/>
        <v>structure with developmental contribution from neural crest</v>
      </c>
      <c r="G5105" s="9" t="s">
        <v>5090</v>
      </c>
      <c r="H5105" s="9" t="s">
        <v>15576</v>
      </c>
      <c r="I5105" s="9" t="s">
        <v>9453</v>
      </c>
      <c r="J5105" s="9" t="s">
        <v>9454</v>
      </c>
      <c r="K5105" s="5" t="s">
        <v>15173</v>
      </c>
      <c r="L5105" s="13">
        <v>15793</v>
      </c>
      <c r="M5105" t="str">
        <f>VLOOKUP(L5105,[1]DevMouse!$B$2:$C$2693,2,FALSE)</f>
        <v>SIBT</v>
      </c>
    </row>
    <row r="5106" spans="2:13" x14ac:dyDescent="0.25">
      <c r="B5106" s="31" t="s">
        <v>26303</v>
      </c>
      <c r="C5106" s="25" t="s">
        <v>26052</v>
      </c>
      <c r="D5106" s="25" t="s">
        <v>26232</v>
      </c>
      <c r="E5106" s="25"/>
      <c r="F5106" s="9" t="str">
        <f t="shared" si="72"/>
        <v>structure with developmental contribution from neural crest</v>
      </c>
      <c r="G5106" s="9" t="s">
        <v>5090</v>
      </c>
      <c r="H5106" s="9" t="s">
        <v>15577</v>
      </c>
      <c r="I5106" s="9" t="s">
        <v>3265</v>
      </c>
      <c r="J5106" s="9" t="s">
        <v>3266</v>
      </c>
      <c r="K5106" s="5" t="s">
        <v>15173</v>
      </c>
      <c r="L5106" s="13">
        <v>15794</v>
      </c>
      <c r="M5106" t="str">
        <f>VLOOKUP(L5106,[1]DevMouse!$B$2:$C$2693,2,FALSE)</f>
        <v>BAC</v>
      </c>
    </row>
    <row r="5107" spans="2:13" x14ac:dyDescent="0.25">
      <c r="B5107" s="36"/>
      <c r="C5107" s="20"/>
      <c r="D5107" s="25" t="s">
        <v>26232</v>
      </c>
      <c r="E5107" s="25"/>
      <c r="F5107" s="9" t="str">
        <f t="shared" si="72"/>
        <v>structure with developmental contribution from neural crest</v>
      </c>
      <c r="G5107" s="9" t="s">
        <v>5090</v>
      </c>
      <c r="H5107" s="9" t="s">
        <v>15578</v>
      </c>
      <c r="I5107" s="9" t="s">
        <v>9455</v>
      </c>
      <c r="J5107" s="9" t="s">
        <v>9456</v>
      </c>
      <c r="K5107" s="5" t="s">
        <v>15173</v>
      </c>
      <c r="L5107" s="13">
        <v>15795</v>
      </c>
      <c r="M5107" t="str">
        <f>VLOOKUP(L5107,[1]DevMouse!$B$2:$C$2693,2,FALSE)</f>
        <v>SeDgs</v>
      </c>
    </row>
    <row r="5108" spans="2:13" x14ac:dyDescent="0.25">
      <c r="B5108" s="31" t="s">
        <v>26303</v>
      </c>
      <c r="C5108" s="25" t="s">
        <v>3272</v>
      </c>
      <c r="D5108" s="25" t="s">
        <v>26232</v>
      </c>
      <c r="E5108" s="25"/>
      <c r="F5108" s="9" t="str">
        <f t="shared" si="72"/>
        <v>structure with developmental contribution from neural crest</v>
      </c>
      <c r="G5108" s="9" t="s">
        <v>5090</v>
      </c>
      <c r="H5108" s="9" t="s">
        <v>15579</v>
      </c>
      <c r="I5108" s="9" t="s">
        <v>9457</v>
      </c>
      <c r="J5108" s="9" t="s">
        <v>9458</v>
      </c>
      <c r="K5108" s="5" t="s">
        <v>15173</v>
      </c>
      <c r="L5108" s="13">
        <v>15796</v>
      </c>
      <c r="M5108" t="str">
        <f>VLOOKUP(L5108,[1]DevMouse!$B$2:$C$2693,2,FALSE)</f>
        <v>HDBT</v>
      </c>
    </row>
    <row r="5109" spans="2:13" x14ac:dyDescent="0.25">
      <c r="B5109" s="36"/>
      <c r="C5109" s="20"/>
      <c r="D5109" s="25" t="s">
        <v>26232</v>
      </c>
      <c r="E5109" s="25"/>
      <c r="F5109" s="9" t="str">
        <f t="shared" si="72"/>
        <v>structure with developmental contribution from neural crest</v>
      </c>
      <c r="G5109" s="9" t="s">
        <v>5090</v>
      </c>
      <c r="H5109" s="9" t="s">
        <v>15580</v>
      </c>
      <c r="I5109" s="9" t="s">
        <v>9459</v>
      </c>
      <c r="J5109" s="9" t="s">
        <v>9460</v>
      </c>
      <c r="K5109" s="5" t="s">
        <v>15173</v>
      </c>
      <c r="L5109" s="13">
        <v>15797</v>
      </c>
      <c r="M5109" t="str">
        <f>VLOOKUP(L5109,[1]DevMouse!$B$2:$C$2693,2,FALSE)</f>
        <v>SePal</v>
      </c>
    </row>
    <row r="5110" spans="2:13" x14ac:dyDescent="0.25">
      <c r="B5110" s="36"/>
      <c r="C5110" s="20"/>
      <c r="D5110" s="25" t="s">
        <v>26232</v>
      </c>
      <c r="E5110" s="25"/>
      <c r="F5110" s="9" t="str">
        <f t="shared" si="72"/>
        <v>structure with developmental contribution from neural crest</v>
      </c>
      <c r="G5110" s="9" t="s">
        <v>5090</v>
      </c>
      <c r="H5110" s="9" t="s">
        <v>15581</v>
      </c>
      <c r="I5110" s="9" t="s">
        <v>9461</v>
      </c>
      <c r="J5110" s="9" t="s">
        <v>9462</v>
      </c>
      <c r="K5110" s="5" t="s">
        <v>15173</v>
      </c>
      <c r="L5110" s="13">
        <v>15798</v>
      </c>
      <c r="M5110" t="str">
        <f>VLOOKUP(L5110,[1]DevMouse!$B$2:$C$2693,2,FALSE)</f>
        <v>SePalv</v>
      </c>
    </row>
    <row r="5111" spans="2:13" x14ac:dyDescent="0.25">
      <c r="B5111" s="31" t="s">
        <v>26303</v>
      </c>
      <c r="C5111" s="20"/>
      <c r="D5111" s="25" t="s">
        <v>26232</v>
      </c>
      <c r="E5111" s="20" t="s">
        <v>26300</v>
      </c>
      <c r="F5111" s="9" t="str">
        <f t="shared" ref="F5111:F5174" si="73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5111" s="9" t="s">
        <v>5090</v>
      </c>
      <c r="H5111" s="9" t="s">
        <v>15582</v>
      </c>
      <c r="I5111" s="9" t="s">
        <v>9463</v>
      </c>
      <c r="J5111" s="9" t="s">
        <v>9464</v>
      </c>
      <c r="K5111" s="5" t="s">
        <v>15173</v>
      </c>
      <c r="L5111" s="13">
        <v>15799</v>
      </c>
      <c r="M5111" t="str">
        <f>VLOOKUP(L5111,[1]DevMouse!$B$2:$C$2693,2,FALSE)</f>
        <v>SePalm</v>
      </c>
    </row>
    <row r="5112" spans="2:13" x14ac:dyDescent="0.25">
      <c r="B5112" s="36"/>
      <c r="C5112" s="20"/>
      <c r="D5112" s="25" t="s">
        <v>26232</v>
      </c>
      <c r="E5112" s="20" t="s">
        <v>26300</v>
      </c>
      <c r="F5112" s="9" t="str">
        <f t="shared" si="73"/>
        <v>structure with developmental contribution from neural crest</v>
      </c>
      <c r="G5112" s="9" t="s">
        <v>5090</v>
      </c>
      <c r="H5112" s="9" t="s">
        <v>15583</v>
      </c>
      <c r="I5112" s="9" t="s">
        <v>9465</v>
      </c>
      <c r="J5112" s="9" t="s">
        <v>9466</v>
      </c>
      <c r="K5112" s="5" t="s">
        <v>15173</v>
      </c>
      <c r="L5112" s="13">
        <v>15800</v>
      </c>
      <c r="M5112" t="str">
        <f>VLOOKUP(L5112,[1]DevMouse!$B$2:$C$2693,2,FALSE)</f>
        <v>SePalp</v>
      </c>
    </row>
    <row r="5113" spans="2:13" x14ac:dyDescent="0.25">
      <c r="B5113" s="31" t="s">
        <v>26303</v>
      </c>
      <c r="C5113" s="25" t="s">
        <v>561</v>
      </c>
      <c r="D5113" s="25" t="s">
        <v>26232</v>
      </c>
      <c r="E5113" s="20" t="s">
        <v>26300</v>
      </c>
      <c r="F5113" s="9" t="str">
        <f t="shared" si="73"/>
        <v>structure with developmental contribution from neural crest</v>
      </c>
      <c r="G5113" s="9" t="s">
        <v>5090</v>
      </c>
      <c r="H5113" s="9" t="s">
        <v>15584</v>
      </c>
      <c r="I5113" s="9" t="s">
        <v>9467</v>
      </c>
      <c r="J5113" s="9" t="s">
        <v>9468</v>
      </c>
      <c r="K5113" s="5" t="s">
        <v>15173</v>
      </c>
      <c r="L5113" s="13">
        <v>15801</v>
      </c>
      <c r="M5113" t="str">
        <f>VLOOKUP(L5113,[1]DevMouse!$B$2:$C$2693,2,FALSE)</f>
        <v>BSTLS</v>
      </c>
    </row>
    <row r="5114" spans="2:13" x14ac:dyDescent="0.25">
      <c r="B5114" s="31" t="s">
        <v>26303</v>
      </c>
      <c r="C5114" s="25" t="s">
        <v>561</v>
      </c>
      <c r="D5114" s="25" t="s">
        <v>26232</v>
      </c>
      <c r="E5114" s="25"/>
      <c r="F5114" s="9" t="str">
        <f t="shared" si="73"/>
        <v>structure with developmental contribution from neural crest</v>
      </c>
      <c r="G5114" s="9" t="s">
        <v>5090</v>
      </c>
      <c r="H5114" s="9" t="s">
        <v>15585</v>
      </c>
      <c r="I5114" s="9" t="s">
        <v>9469</v>
      </c>
      <c r="J5114" s="9" t="s">
        <v>9470</v>
      </c>
      <c r="K5114" s="5" t="s">
        <v>15173</v>
      </c>
      <c r="L5114" s="13">
        <v>15802</v>
      </c>
      <c r="M5114" t="str">
        <f>VLOOKUP(L5114,[1]DevMouse!$B$2:$C$2693,2,FALSE)</f>
        <v>BSTLi</v>
      </c>
    </row>
    <row r="5115" spans="2:13" x14ac:dyDescent="0.25">
      <c r="B5115" s="36"/>
      <c r="C5115" s="20"/>
      <c r="D5115" s="25" t="s">
        <v>26232</v>
      </c>
      <c r="E5115" s="25"/>
      <c r="F5115" s="9" t="str">
        <f t="shared" si="73"/>
        <v>structure with developmental contribution from neural crest</v>
      </c>
      <c r="G5115" s="9" t="s">
        <v>5090</v>
      </c>
      <c r="H5115" s="9" t="s">
        <v>15586</v>
      </c>
      <c r="I5115" s="9" t="s">
        <v>9471</v>
      </c>
      <c r="J5115" s="9" t="s">
        <v>9472</v>
      </c>
      <c r="K5115" s="5" t="s">
        <v>15173</v>
      </c>
      <c r="L5115" s="13">
        <v>15803</v>
      </c>
      <c r="M5115" t="str">
        <f>VLOOKUP(L5115,[1]DevMouse!$B$2:$C$2693,2,FALSE)</f>
        <v>SePali</v>
      </c>
    </row>
    <row r="5116" spans="2:13" x14ac:dyDescent="0.25">
      <c r="B5116" s="31" t="s">
        <v>26303</v>
      </c>
      <c r="C5116" s="20"/>
      <c r="D5116" s="25" t="s">
        <v>26232</v>
      </c>
      <c r="E5116" s="25" t="s">
        <v>26300</v>
      </c>
      <c r="F5116" s="9" t="str">
        <f t="shared" si="73"/>
        <v>structure with developmental contribution from neural crest</v>
      </c>
      <c r="G5116" s="9" t="s">
        <v>5090</v>
      </c>
      <c r="H5116" s="9" t="s">
        <v>15587</v>
      </c>
      <c r="I5116" s="9" t="s">
        <v>9473</v>
      </c>
      <c r="J5116" s="9" t="s">
        <v>9474</v>
      </c>
      <c r="K5116" s="5" t="s">
        <v>15173</v>
      </c>
      <c r="L5116" s="13">
        <v>15804</v>
      </c>
      <c r="M5116" t="str">
        <f>VLOOKUP(L5116,[1]DevMouse!$B$2:$C$2693,2,FALSE)</f>
        <v>SePalCo</v>
      </c>
    </row>
    <row r="5117" spans="2:13" x14ac:dyDescent="0.25">
      <c r="B5117" s="31" t="s">
        <v>26303</v>
      </c>
      <c r="C5117" s="20"/>
      <c r="D5117" s="25" t="s">
        <v>26232</v>
      </c>
      <c r="E5117" s="25"/>
      <c r="F5117" s="9" t="str">
        <f t="shared" si="73"/>
        <v>structure with developmental contribution from neural crest</v>
      </c>
      <c r="G5117" s="9" t="s">
        <v>5090</v>
      </c>
      <c r="H5117" s="9" t="s">
        <v>15588</v>
      </c>
      <c r="I5117" s="9" t="s">
        <v>9475</v>
      </c>
      <c r="J5117" s="9" t="s">
        <v>9476</v>
      </c>
      <c r="K5117" s="5" t="s">
        <v>15173</v>
      </c>
      <c r="L5117" s="13">
        <v>15805</v>
      </c>
      <c r="M5117" t="str">
        <f>VLOOKUP(L5117,[1]DevMouse!$B$2:$C$2693,2,FALSE)</f>
        <v>SePalSh</v>
      </c>
    </row>
    <row r="5118" spans="2:13" x14ac:dyDescent="0.25">
      <c r="B5118" s="36"/>
      <c r="C5118" s="20"/>
      <c r="D5118" s="25" t="s">
        <v>26232</v>
      </c>
      <c r="E5118" s="25"/>
      <c r="F5118" s="9" t="str">
        <f t="shared" si="73"/>
        <v>structure with developmental contribution from neural crest</v>
      </c>
      <c r="G5118" s="9" t="s">
        <v>5090</v>
      </c>
      <c r="H5118" s="9" t="s">
        <v>15589</v>
      </c>
      <c r="I5118" s="9" t="s">
        <v>9477</v>
      </c>
      <c r="J5118" s="9" t="s">
        <v>9478</v>
      </c>
      <c r="K5118" s="5" t="s">
        <v>15173</v>
      </c>
      <c r="L5118" s="13">
        <v>15806</v>
      </c>
      <c r="M5118" t="str">
        <f>VLOOKUP(L5118,[1]DevMouse!$B$2:$C$2693,2,FALSE)</f>
        <v>SePals</v>
      </c>
    </row>
    <row r="5119" spans="2:13" x14ac:dyDescent="0.25">
      <c r="B5119" s="31" t="s">
        <v>26303</v>
      </c>
      <c r="C5119" s="25" t="s">
        <v>3471</v>
      </c>
      <c r="D5119" s="25" t="s">
        <v>26232</v>
      </c>
      <c r="E5119" s="25" t="s">
        <v>26300</v>
      </c>
      <c r="F5119" s="9" t="str">
        <f t="shared" si="73"/>
        <v>structure with developmental contribution from neural crest</v>
      </c>
      <c r="G5119" s="9" t="s">
        <v>5090</v>
      </c>
      <c r="H5119" s="9" t="s">
        <v>15590</v>
      </c>
      <c r="I5119" s="9" t="s">
        <v>9479</v>
      </c>
      <c r="J5119" s="9" t="s">
        <v>9480</v>
      </c>
      <c r="K5119" s="5" t="s">
        <v>15173</v>
      </c>
      <c r="L5119" s="13">
        <v>15807</v>
      </c>
      <c r="M5119" t="str">
        <f>VLOOKUP(L5119,[1]DevMouse!$B$2:$C$2693,2,FALSE)</f>
        <v>TuSePal</v>
      </c>
    </row>
    <row r="5120" spans="2:13" x14ac:dyDescent="0.25">
      <c r="B5120" s="31" t="s">
        <v>26303</v>
      </c>
      <c r="C5120" s="25" t="s">
        <v>25982</v>
      </c>
      <c r="D5120" s="25" t="s">
        <v>26232</v>
      </c>
      <c r="E5120" s="25"/>
      <c r="F5120" s="9" t="str">
        <f t="shared" si="73"/>
        <v>structure with developmental contribution from neural crest</v>
      </c>
      <c r="G5120" s="9" t="s">
        <v>5090</v>
      </c>
      <c r="H5120" s="9" t="s">
        <v>15591</v>
      </c>
      <c r="I5120" s="9" t="s">
        <v>9481</v>
      </c>
      <c r="J5120" s="9" t="s">
        <v>9482</v>
      </c>
      <c r="K5120" s="5" t="s">
        <v>15173</v>
      </c>
      <c r="L5120" s="13">
        <v>15808</v>
      </c>
      <c r="M5120" t="str">
        <f>VLOOKUP(L5120,[1]DevMouse!$B$2:$C$2693,2,FALSE)</f>
        <v>ICjM</v>
      </c>
    </row>
    <row r="5121" spans="2:13" x14ac:dyDescent="0.25">
      <c r="B5121" s="36"/>
      <c r="C5121" s="20"/>
      <c r="D5121" s="25" t="s">
        <v>26232</v>
      </c>
      <c r="E5121" s="25"/>
      <c r="F5121" s="9" t="str">
        <f t="shared" si="73"/>
        <v>structure with developmental contribution from neural crest</v>
      </c>
      <c r="G5121" s="9" t="s">
        <v>5090</v>
      </c>
      <c r="H5121" s="9" t="s">
        <v>15592</v>
      </c>
      <c r="I5121" s="9" t="s">
        <v>9483</v>
      </c>
      <c r="J5121" s="9" t="s">
        <v>9484</v>
      </c>
      <c r="K5121" s="5" t="s">
        <v>15173</v>
      </c>
      <c r="L5121" s="13">
        <v>15809</v>
      </c>
      <c r="M5121" t="str">
        <f>VLOOKUP(L5121,[1]DevMouse!$B$2:$C$2693,2,FALSE)</f>
        <v>SeStr</v>
      </c>
    </row>
    <row r="5122" spans="2:13" x14ac:dyDescent="0.25">
      <c r="B5122" s="36"/>
      <c r="C5122" s="20"/>
      <c r="D5122" s="25" t="s">
        <v>26232</v>
      </c>
      <c r="E5122" s="25"/>
      <c r="F5122" s="9" t="str">
        <f t="shared" si="73"/>
        <v>structure with developmental contribution from neural crest</v>
      </c>
      <c r="G5122" s="9" t="s">
        <v>5090</v>
      </c>
      <c r="H5122" s="9" t="s">
        <v>15593</v>
      </c>
      <c r="I5122" s="9" t="s">
        <v>9485</v>
      </c>
      <c r="J5122" s="9" t="s">
        <v>9486</v>
      </c>
      <c r="K5122" s="5" t="s">
        <v>15173</v>
      </c>
      <c r="L5122" s="13">
        <v>15810</v>
      </c>
      <c r="M5122" t="str">
        <f>VLOOKUP(L5122,[1]DevMouse!$B$2:$C$2693,2,FALSE)</f>
        <v>SeStrv</v>
      </c>
    </row>
    <row r="5123" spans="2:13" x14ac:dyDescent="0.25">
      <c r="B5123" s="31" t="s">
        <v>26303</v>
      </c>
      <c r="C5123" s="20"/>
      <c r="D5123" s="25" t="s">
        <v>26232</v>
      </c>
      <c r="E5123" s="20" t="s">
        <v>26300</v>
      </c>
      <c r="F5123" s="9" t="str">
        <f t="shared" si="73"/>
        <v>structure with developmental contribution from neural crest</v>
      </c>
      <c r="G5123" s="9" t="s">
        <v>5090</v>
      </c>
      <c r="H5123" s="9" t="s">
        <v>15594</v>
      </c>
      <c r="I5123" s="9" t="s">
        <v>9487</v>
      </c>
      <c r="J5123" s="9" t="s">
        <v>9488</v>
      </c>
      <c r="K5123" s="5" t="s">
        <v>15173</v>
      </c>
      <c r="L5123" s="13">
        <v>15811</v>
      </c>
      <c r="M5123" t="str">
        <f>VLOOKUP(L5123,[1]DevMouse!$B$2:$C$2693,2,FALSE)</f>
        <v>SeStrm</v>
      </c>
    </row>
    <row r="5124" spans="2:13" x14ac:dyDescent="0.25">
      <c r="B5124" s="36"/>
      <c r="C5124" s="20"/>
      <c r="D5124" s="25" t="s">
        <v>26232</v>
      </c>
      <c r="E5124" s="20" t="s">
        <v>26300</v>
      </c>
      <c r="F5124" s="9" t="str">
        <f t="shared" si="73"/>
        <v>structure with developmental contribution from neural crest</v>
      </c>
      <c r="G5124" s="9" t="s">
        <v>5090</v>
      </c>
      <c r="H5124" s="9" t="s">
        <v>15595</v>
      </c>
      <c r="I5124" s="9" t="s">
        <v>9489</v>
      </c>
      <c r="J5124" s="9" t="s">
        <v>9490</v>
      </c>
      <c r="K5124" s="5" t="s">
        <v>15173</v>
      </c>
      <c r="L5124" s="13">
        <v>15812</v>
      </c>
      <c r="M5124" t="str">
        <f>VLOOKUP(L5124,[1]DevMouse!$B$2:$C$2693,2,FALSE)</f>
        <v>SeStrp</v>
      </c>
    </row>
    <row r="5125" spans="2:13" x14ac:dyDescent="0.25">
      <c r="B5125" s="31" t="s">
        <v>26303</v>
      </c>
      <c r="C5125" s="9" t="s">
        <v>1310</v>
      </c>
      <c r="D5125" s="25" t="s">
        <v>26232</v>
      </c>
      <c r="E5125" s="25"/>
      <c r="F5125" s="9" t="str">
        <f t="shared" si="73"/>
        <v>structure with developmental contribution from neural crest</v>
      </c>
      <c r="G5125" s="9" t="s">
        <v>5090</v>
      </c>
      <c r="H5125" s="9" t="s">
        <v>15596</v>
      </c>
      <c r="I5125" s="9" t="s">
        <v>9491</v>
      </c>
      <c r="J5125" s="9" t="s">
        <v>9492</v>
      </c>
      <c r="K5125" s="5" t="s">
        <v>15173</v>
      </c>
      <c r="L5125" s="13">
        <v>15813</v>
      </c>
      <c r="M5125" t="str">
        <f>VLOOKUP(L5125,[1]DevMouse!$B$2:$C$2693,2,FALSE)</f>
        <v>AcbCo</v>
      </c>
    </row>
    <row r="5126" spans="2:13" x14ac:dyDescent="0.25">
      <c r="B5126" s="36"/>
      <c r="C5126" s="20"/>
      <c r="D5126" s="25" t="s">
        <v>26232</v>
      </c>
      <c r="E5126" s="25"/>
      <c r="F5126" s="9" t="str">
        <f t="shared" si="73"/>
        <v>structure with developmental contribution from neural crest</v>
      </c>
      <c r="G5126" s="9" t="s">
        <v>5090</v>
      </c>
      <c r="H5126" s="9" t="s">
        <v>15597</v>
      </c>
      <c r="I5126" s="9" t="s">
        <v>9493</v>
      </c>
      <c r="J5126" s="9" t="s">
        <v>9494</v>
      </c>
      <c r="K5126" s="5" t="s">
        <v>15173</v>
      </c>
      <c r="L5126" s="13">
        <v>15814</v>
      </c>
      <c r="M5126" t="str">
        <f>VLOOKUP(L5126,[1]DevMouse!$B$2:$C$2693,2,FALSE)</f>
        <v>SeStri</v>
      </c>
    </row>
    <row r="5127" spans="2:13" x14ac:dyDescent="0.25">
      <c r="B5127" s="31" t="s">
        <v>26303</v>
      </c>
      <c r="C5127" s="25" t="s">
        <v>4976</v>
      </c>
      <c r="D5127" s="25" t="s">
        <v>26232</v>
      </c>
      <c r="E5127" s="25"/>
      <c r="F5127" s="9" t="str">
        <f t="shared" si="73"/>
        <v>structure with developmental contribution from neural crest</v>
      </c>
      <c r="G5127" s="9" t="s">
        <v>5090</v>
      </c>
      <c r="H5127" s="9" t="s">
        <v>15598</v>
      </c>
      <c r="I5127" s="9" t="s">
        <v>9495</v>
      </c>
      <c r="J5127" s="9" t="s">
        <v>9496</v>
      </c>
      <c r="K5127" s="5" t="s">
        <v>15173</v>
      </c>
      <c r="L5127" s="13">
        <v>15815</v>
      </c>
      <c r="M5127" t="str">
        <f>VLOOKUP(L5127,[1]DevMouse!$B$2:$C$2693,2,FALSE)</f>
        <v>AcbSh</v>
      </c>
    </row>
    <row r="5128" spans="2:13" x14ac:dyDescent="0.25">
      <c r="B5128" s="36"/>
      <c r="C5128" s="20"/>
      <c r="D5128" s="25" t="s">
        <v>26232</v>
      </c>
      <c r="E5128" s="25"/>
      <c r="F5128" s="9" t="str">
        <f t="shared" si="73"/>
        <v>structure with developmental contribution from neural crest</v>
      </c>
      <c r="G5128" s="9" t="s">
        <v>5090</v>
      </c>
      <c r="H5128" s="9" t="s">
        <v>15599</v>
      </c>
      <c r="I5128" s="9" t="s">
        <v>9497</v>
      </c>
      <c r="J5128" s="9" t="s">
        <v>9498</v>
      </c>
      <c r="K5128" s="5" t="s">
        <v>15173</v>
      </c>
      <c r="L5128" s="13">
        <v>15816</v>
      </c>
      <c r="M5128" t="str">
        <f>VLOOKUP(L5128,[1]DevMouse!$B$2:$C$2693,2,FALSE)</f>
        <v>SeStrs</v>
      </c>
    </row>
    <row r="5129" spans="2:13" x14ac:dyDescent="0.25">
      <c r="B5129" s="31" t="s">
        <v>26303</v>
      </c>
      <c r="C5129" s="25" t="s">
        <v>3471</v>
      </c>
      <c r="D5129" s="25" t="s">
        <v>26232</v>
      </c>
      <c r="E5129" s="25" t="s">
        <v>26300</v>
      </c>
      <c r="F5129" s="9" t="str">
        <f t="shared" si="73"/>
        <v>structure with developmental contribution from neural crest</v>
      </c>
      <c r="G5129" s="9" t="s">
        <v>5090</v>
      </c>
      <c r="H5129" s="9" t="s">
        <v>15600</v>
      </c>
      <c r="I5129" s="9" t="s">
        <v>9499</v>
      </c>
      <c r="J5129" s="9" t="s">
        <v>9500</v>
      </c>
      <c r="K5129" s="5" t="s">
        <v>15173</v>
      </c>
      <c r="L5129" s="13">
        <v>15817</v>
      </c>
      <c r="M5129" t="str">
        <f>VLOOKUP(L5129,[1]DevMouse!$B$2:$C$2693,2,FALSE)</f>
        <v>TuSeStr</v>
      </c>
    </row>
    <row r="5130" spans="2:13" x14ac:dyDescent="0.25">
      <c r="B5130" s="31" t="s">
        <v>26303</v>
      </c>
      <c r="C5130" s="25" t="s">
        <v>25805</v>
      </c>
      <c r="D5130" s="25" t="s">
        <v>26232</v>
      </c>
      <c r="E5130" s="25"/>
      <c r="F5130" s="9" t="str">
        <f t="shared" si="73"/>
        <v>structure with developmental contribution from neural crest</v>
      </c>
      <c r="G5130" s="9" t="s">
        <v>5090</v>
      </c>
      <c r="H5130" s="9" t="s">
        <v>15601</v>
      </c>
      <c r="I5130" s="9" t="s">
        <v>9501</v>
      </c>
      <c r="J5130" s="9" t="s">
        <v>9502</v>
      </c>
      <c r="K5130" s="5" t="s">
        <v>15173</v>
      </c>
      <c r="L5130" s="13">
        <v>15818</v>
      </c>
      <c r="M5130" t="str">
        <f>VLOOKUP(L5130,[1]DevMouse!$B$2:$C$2693,2,FALSE)</f>
        <v>CSPall</v>
      </c>
    </row>
    <row r="5131" spans="2:13" x14ac:dyDescent="0.25">
      <c r="B5131" s="31" t="s">
        <v>26303</v>
      </c>
      <c r="C5131" s="20"/>
      <c r="D5131" s="25" t="s">
        <v>26185</v>
      </c>
      <c r="E5131" s="25" t="s">
        <v>26300</v>
      </c>
      <c r="F5131" s="9" t="str">
        <f t="shared" si="73"/>
        <v>structure with developmental contribution from neural crest</v>
      </c>
      <c r="G5131" s="9" t="s">
        <v>5090</v>
      </c>
      <c r="H5131" s="9" t="s">
        <v>15607</v>
      </c>
      <c r="I5131" s="9" t="s">
        <v>9503</v>
      </c>
      <c r="J5131" s="9" t="s">
        <v>9504</v>
      </c>
      <c r="K5131" s="5" t="s">
        <v>15173</v>
      </c>
      <c r="L5131" s="13">
        <v>15819</v>
      </c>
      <c r="M5131" t="str">
        <f>VLOOKUP(L5131,[1]DevMouse!$B$2:$C$2693,2,FALSE)</f>
        <v>Dg</v>
      </c>
    </row>
    <row r="5132" spans="2:13" x14ac:dyDescent="0.25">
      <c r="B5132" s="36"/>
      <c r="C5132" s="20"/>
      <c r="D5132" s="25" t="s">
        <v>26232</v>
      </c>
      <c r="E5132" s="25"/>
      <c r="F5132" s="9" t="str">
        <f t="shared" si="73"/>
        <v>structure with developmental contribution from neural crest</v>
      </c>
      <c r="G5132" s="9" t="s">
        <v>5090</v>
      </c>
      <c r="H5132" s="9" t="s">
        <v>15608</v>
      </c>
      <c r="I5132" s="9" t="s">
        <v>9505</v>
      </c>
      <c r="J5132" s="9" t="s">
        <v>9506</v>
      </c>
      <c r="K5132" s="5" t="s">
        <v>15173</v>
      </c>
      <c r="L5132" s="13">
        <v>15820</v>
      </c>
      <c r="M5132" t="str">
        <f>VLOOKUP(L5132,[1]DevMouse!$B$2:$C$2693,2,FALSE)</f>
        <v>Dgv</v>
      </c>
    </row>
    <row r="5133" spans="2:13" x14ac:dyDescent="0.25">
      <c r="B5133" s="31" t="s">
        <v>26303</v>
      </c>
      <c r="C5133" s="20"/>
      <c r="D5133" s="25" t="s">
        <v>26232</v>
      </c>
      <c r="E5133" s="20" t="s">
        <v>26300</v>
      </c>
      <c r="F5133" s="9" t="str">
        <f t="shared" si="73"/>
        <v>structure with developmental contribution from neural crest</v>
      </c>
      <c r="G5133" s="9" t="s">
        <v>5090</v>
      </c>
      <c r="H5133" s="9" t="s">
        <v>15609</v>
      </c>
      <c r="I5133" s="9" t="s">
        <v>9507</v>
      </c>
      <c r="J5133" s="9" t="s">
        <v>9508</v>
      </c>
      <c r="K5133" s="5" t="s">
        <v>15173</v>
      </c>
      <c r="L5133" s="13">
        <v>15821</v>
      </c>
      <c r="M5133" t="str">
        <f>VLOOKUP(L5133,[1]DevMouse!$B$2:$C$2693,2,FALSE)</f>
        <v>Dgm</v>
      </c>
    </row>
    <row r="5134" spans="2:13" x14ac:dyDescent="0.25">
      <c r="B5134" s="36"/>
      <c r="C5134" s="20"/>
      <c r="D5134" s="25" t="s">
        <v>26232</v>
      </c>
      <c r="E5134" s="20" t="s">
        <v>26300</v>
      </c>
      <c r="F5134" s="9" t="str">
        <f t="shared" si="73"/>
        <v>structure with developmental contribution from neural crest</v>
      </c>
      <c r="G5134" s="9" t="s">
        <v>5090</v>
      </c>
      <c r="H5134" s="9" t="s">
        <v>15610</v>
      </c>
      <c r="I5134" s="9" t="s">
        <v>9509</v>
      </c>
      <c r="J5134" s="9" t="s">
        <v>9510</v>
      </c>
      <c r="K5134" s="5" t="s">
        <v>15173</v>
      </c>
      <c r="L5134" s="13">
        <v>15822</v>
      </c>
      <c r="M5134" t="str">
        <f>VLOOKUP(L5134,[1]DevMouse!$B$2:$C$2693,2,FALSE)</f>
        <v>Dgp</v>
      </c>
    </row>
    <row r="5135" spans="2:13" x14ac:dyDescent="0.25">
      <c r="B5135" s="31" t="s">
        <v>26303</v>
      </c>
      <c r="C5135" s="25" t="s">
        <v>561</v>
      </c>
      <c r="D5135" s="25" t="s">
        <v>26232</v>
      </c>
      <c r="E5135" s="20" t="s">
        <v>26300</v>
      </c>
      <c r="F5135" s="9" t="str">
        <f t="shared" si="73"/>
        <v>structure with developmental contribution from neural crest</v>
      </c>
      <c r="G5135" s="9" t="s">
        <v>5090</v>
      </c>
      <c r="H5135" s="9" t="s">
        <v>15611</v>
      </c>
      <c r="I5135" s="9" t="s">
        <v>9511</v>
      </c>
      <c r="J5135" s="9" t="s">
        <v>9512</v>
      </c>
      <c r="K5135" s="5" t="s">
        <v>15173</v>
      </c>
      <c r="L5135" s="13">
        <v>15823</v>
      </c>
      <c r="M5135" t="str">
        <f>VLOOKUP(L5135,[1]DevMouse!$B$2:$C$2693,2,FALSE)</f>
        <v>BSTMC</v>
      </c>
    </row>
    <row r="5136" spans="2:13" x14ac:dyDescent="0.25">
      <c r="B5136" s="31" t="s">
        <v>26303</v>
      </c>
      <c r="C5136" s="20"/>
      <c r="D5136" s="25" t="s">
        <v>26232</v>
      </c>
      <c r="E5136" s="25" t="s">
        <v>26300</v>
      </c>
      <c r="F5136" s="9" t="str">
        <f t="shared" si="73"/>
        <v>structure with developmental contribution from neural crest</v>
      </c>
      <c r="G5136" s="9" t="s">
        <v>5090</v>
      </c>
      <c r="H5136" s="9" t="s">
        <v>15612</v>
      </c>
      <c r="I5136" s="9" t="s">
        <v>9513</v>
      </c>
      <c r="J5136" s="9" t="s">
        <v>9514</v>
      </c>
      <c r="K5136" s="5" t="s">
        <v>15173</v>
      </c>
      <c r="L5136" s="13">
        <v>15824</v>
      </c>
      <c r="M5136" t="str">
        <f>VLOOKUP(L5136,[1]DevMouse!$B$2:$C$2693,2,FALSE)</f>
        <v>BSTMpm</v>
      </c>
    </row>
    <row r="5137" spans="2:13" x14ac:dyDescent="0.25">
      <c r="B5137" s="31" t="s">
        <v>26303</v>
      </c>
      <c r="C5137" s="20"/>
      <c r="D5137" s="25" t="s">
        <v>26232</v>
      </c>
      <c r="E5137" s="25" t="s">
        <v>26300</v>
      </c>
      <c r="F5137" s="9" t="str">
        <f t="shared" si="73"/>
        <v>structure with developmental contribution from neural crest</v>
      </c>
      <c r="G5137" s="9" t="s">
        <v>5090</v>
      </c>
      <c r="H5137" s="9" t="s">
        <v>15613</v>
      </c>
      <c r="I5137" s="9" t="s">
        <v>9515</v>
      </c>
      <c r="J5137" s="9" t="s">
        <v>9516</v>
      </c>
      <c r="K5137" s="5" t="s">
        <v>15173</v>
      </c>
      <c r="L5137" s="13">
        <v>15825</v>
      </c>
      <c r="M5137" t="str">
        <f>VLOOKUP(L5137,[1]DevMouse!$B$2:$C$2693,2,FALSE)</f>
        <v>BSTMpi</v>
      </c>
    </row>
    <row r="5138" spans="2:13" x14ac:dyDescent="0.25">
      <c r="B5138" s="31" t="s">
        <v>26303</v>
      </c>
      <c r="C5138" s="20"/>
      <c r="D5138" s="25" t="s">
        <v>26232</v>
      </c>
      <c r="E5138" s="25" t="s">
        <v>26300</v>
      </c>
      <c r="F5138" s="9" t="str">
        <f t="shared" si="73"/>
        <v>structure with developmental contribution from neural crest</v>
      </c>
      <c r="G5138" s="9" t="s">
        <v>5090</v>
      </c>
      <c r="H5138" s="9" t="s">
        <v>15614</v>
      </c>
      <c r="I5138" s="9" t="s">
        <v>9517</v>
      </c>
      <c r="J5138" s="9" t="s">
        <v>9518</v>
      </c>
      <c r="K5138" s="5" t="s">
        <v>15173</v>
      </c>
      <c r="L5138" s="13">
        <v>15826</v>
      </c>
      <c r="M5138" t="str">
        <f>VLOOKUP(L5138,[1]DevMouse!$B$2:$C$2693,2,FALSE)</f>
        <v>BSTMpl</v>
      </c>
    </row>
    <row r="5139" spans="2:13" x14ac:dyDescent="0.25">
      <c r="B5139" s="31" t="s">
        <v>26303</v>
      </c>
      <c r="C5139" s="20"/>
      <c r="D5139" s="25" t="s">
        <v>26185</v>
      </c>
      <c r="E5139" s="25" t="s">
        <v>26300</v>
      </c>
      <c r="F5139" s="9" t="str">
        <f t="shared" si="73"/>
        <v>structure with developmental contribution from neural crest</v>
      </c>
      <c r="G5139" s="9" t="s">
        <v>5090</v>
      </c>
      <c r="H5139" s="9" t="s">
        <v>15615</v>
      </c>
      <c r="I5139" s="9" t="s">
        <v>9519</v>
      </c>
      <c r="J5139" s="9" t="s">
        <v>9520</v>
      </c>
      <c r="K5139" s="5" t="s">
        <v>15173</v>
      </c>
      <c r="L5139" s="13">
        <v>15827</v>
      </c>
      <c r="M5139" t="str">
        <f>VLOOKUP(L5139,[1]DevMouse!$B$2:$C$2693,2,FALSE)</f>
        <v>EADg</v>
      </c>
    </row>
    <row r="5140" spans="2:13" x14ac:dyDescent="0.25">
      <c r="B5140" s="36"/>
      <c r="C5140" s="20"/>
      <c r="D5140" s="25" t="s">
        <v>26232</v>
      </c>
      <c r="E5140" s="25"/>
      <c r="F5140" s="9" t="str">
        <f t="shared" si="73"/>
        <v>structure with developmental contribution from neural crest</v>
      </c>
      <c r="G5140" s="9" t="s">
        <v>5090</v>
      </c>
      <c r="H5140" s="9" t="s">
        <v>15616</v>
      </c>
      <c r="I5140" s="9" t="s">
        <v>9521</v>
      </c>
      <c r="J5140" s="9" t="s">
        <v>9522</v>
      </c>
      <c r="K5140" s="5" t="s">
        <v>15173</v>
      </c>
      <c r="L5140" s="13">
        <v>15828</v>
      </c>
      <c r="M5140" t="str">
        <f>VLOOKUP(L5140,[1]DevMouse!$B$2:$C$2693,2,FALSE)</f>
        <v>Dgi</v>
      </c>
    </row>
    <row r="5141" spans="2:13" x14ac:dyDescent="0.25">
      <c r="B5141" s="31" t="s">
        <v>26303</v>
      </c>
      <c r="C5141" s="25" t="s">
        <v>7966</v>
      </c>
      <c r="D5141" s="25" t="s">
        <v>26232</v>
      </c>
      <c r="E5141" s="25"/>
      <c r="F5141" s="9" t="str">
        <f t="shared" si="73"/>
        <v>structure with developmental contribution from neural crest</v>
      </c>
      <c r="G5141" s="9" t="s">
        <v>5090</v>
      </c>
      <c r="H5141" s="9" t="s">
        <v>15617</v>
      </c>
      <c r="I5141" s="9" t="s">
        <v>9523</v>
      </c>
      <c r="J5141" s="9" t="s">
        <v>9524</v>
      </c>
      <c r="K5141" s="5" t="s">
        <v>15173</v>
      </c>
      <c r="L5141" s="13">
        <v>15829</v>
      </c>
      <c r="M5141" t="str">
        <f>VLOOKUP(L5141,[1]DevMouse!$B$2:$C$2693,2,FALSE)</f>
        <v>SIB</v>
      </c>
    </row>
    <row r="5142" spans="2:13" x14ac:dyDescent="0.25">
      <c r="B5142" s="31" t="s">
        <v>26303</v>
      </c>
      <c r="C5142" s="25" t="s">
        <v>26022</v>
      </c>
      <c r="D5142" s="25" t="s">
        <v>26232</v>
      </c>
      <c r="E5142" s="25"/>
      <c r="F5142" s="9" t="str">
        <f t="shared" si="73"/>
        <v>structure with developmental contribution from neural crest</v>
      </c>
      <c r="G5142" s="9" t="s">
        <v>5090</v>
      </c>
      <c r="H5142" s="9" t="s">
        <v>15618</v>
      </c>
      <c r="I5142" s="9" t="s">
        <v>2913</v>
      </c>
      <c r="J5142" s="9" t="s">
        <v>2914</v>
      </c>
      <c r="K5142" s="5" t="s">
        <v>15173</v>
      </c>
      <c r="L5142" s="13">
        <v>15830</v>
      </c>
      <c r="M5142" t="str">
        <f>VLOOKUP(L5142,[1]DevMouse!$B$2:$C$2693,2,FALSE)</f>
        <v>IPal</v>
      </c>
    </row>
    <row r="5143" spans="2:13" x14ac:dyDescent="0.25">
      <c r="B5143" s="36"/>
      <c r="C5143" s="20"/>
      <c r="D5143" s="25" t="s">
        <v>26232</v>
      </c>
      <c r="E5143" s="25"/>
      <c r="F5143" s="9" t="str">
        <f t="shared" si="73"/>
        <v>structure with developmental contribution from neural crest</v>
      </c>
      <c r="G5143" s="9" t="s">
        <v>5090</v>
      </c>
      <c r="H5143" s="9" t="s">
        <v>15619</v>
      </c>
      <c r="I5143" s="9" t="s">
        <v>9525</v>
      </c>
      <c r="J5143" s="9" t="s">
        <v>9526</v>
      </c>
      <c r="K5143" s="5" t="s">
        <v>15173</v>
      </c>
      <c r="L5143" s="13">
        <v>15831</v>
      </c>
      <c r="M5143" t="str">
        <f>VLOOKUP(L5143,[1]DevMouse!$B$2:$C$2693,2,FALSE)</f>
        <v>Dgs</v>
      </c>
    </row>
    <row r="5144" spans="2:13" x14ac:dyDescent="0.25">
      <c r="B5144" s="31" t="s">
        <v>26303</v>
      </c>
      <c r="C5144" s="25" t="s">
        <v>3272</v>
      </c>
      <c r="D5144" s="25" t="s">
        <v>26232</v>
      </c>
      <c r="E5144" s="25"/>
      <c r="F5144" s="9" t="str">
        <f t="shared" si="73"/>
        <v>structure with developmental contribution from neural crest</v>
      </c>
      <c r="G5144" s="9" t="s">
        <v>5090</v>
      </c>
      <c r="H5144" s="9" t="s">
        <v>15620</v>
      </c>
      <c r="I5144" s="9" t="s">
        <v>9527</v>
      </c>
      <c r="J5144" s="9" t="s">
        <v>9528</v>
      </c>
      <c r="K5144" s="5" t="s">
        <v>15173</v>
      </c>
      <c r="L5144" s="13">
        <v>15832</v>
      </c>
      <c r="M5144" t="str">
        <f>VLOOKUP(L5144,[1]DevMouse!$B$2:$C$2693,2,FALSE)</f>
        <v>HDB</v>
      </c>
    </row>
    <row r="5145" spans="2:13" x14ac:dyDescent="0.25">
      <c r="B5145" s="31" t="s">
        <v>26303</v>
      </c>
      <c r="C5145" s="25" t="s">
        <v>3272</v>
      </c>
      <c r="D5145" s="25" t="s">
        <v>26232</v>
      </c>
      <c r="E5145" s="25"/>
      <c r="F5145" s="9" t="str">
        <f t="shared" si="73"/>
        <v>structure with developmental contribution from neural crest</v>
      </c>
      <c r="G5145" s="9" t="s">
        <v>5090</v>
      </c>
      <c r="H5145" s="9" t="s">
        <v>15621</v>
      </c>
      <c r="I5145" s="9" t="s">
        <v>9529</v>
      </c>
      <c r="J5145" s="9" t="s">
        <v>9530</v>
      </c>
      <c r="K5145" s="5" t="s">
        <v>15173</v>
      </c>
      <c r="L5145" s="13">
        <v>15833</v>
      </c>
      <c r="M5145" t="str">
        <f>VLOOKUP(L5145,[1]DevMouse!$B$2:$C$2693,2,FALSE)</f>
        <v>MCDB</v>
      </c>
    </row>
    <row r="5146" spans="2:13" x14ac:dyDescent="0.25">
      <c r="B5146" s="31" t="s">
        <v>26303</v>
      </c>
      <c r="C5146" s="25" t="s">
        <v>2129</v>
      </c>
      <c r="D5146" s="25" t="s">
        <v>26232</v>
      </c>
      <c r="E5146" s="25"/>
      <c r="F5146" s="9" t="str">
        <f t="shared" si="73"/>
        <v>structure with developmental contribution from neural crest</v>
      </c>
      <c r="G5146" s="9" t="s">
        <v>5090</v>
      </c>
      <c r="H5146" s="9" t="s">
        <v>15622</v>
      </c>
      <c r="I5146" s="9" t="s">
        <v>9531</v>
      </c>
      <c r="J5146" s="9" t="s">
        <v>9532</v>
      </c>
      <c r="K5146" s="5" t="s">
        <v>15173</v>
      </c>
      <c r="L5146" s="13">
        <v>15834</v>
      </c>
      <c r="M5146" t="str">
        <f>VLOOKUP(L5146,[1]DevMouse!$B$2:$C$2693,2,FALSE)</f>
        <v>Pal</v>
      </c>
    </row>
    <row r="5147" spans="2:13" x14ac:dyDescent="0.25">
      <c r="B5147" s="36"/>
      <c r="C5147" s="20"/>
      <c r="D5147" s="25" t="s">
        <v>26232</v>
      </c>
      <c r="E5147" s="25"/>
      <c r="F5147" s="9" t="str">
        <f t="shared" si="73"/>
        <v>structure with developmental contribution from neural crest</v>
      </c>
      <c r="G5147" s="9" t="s">
        <v>5090</v>
      </c>
      <c r="H5147" s="9" t="s">
        <v>15623</v>
      </c>
      <c r="I5147" s="9" t="s">
        <v>9533</v>
      </c>
      <c r="J5147" s="9" t="s">
        <v>9534</v>
      </c>
      <c r="K5147" s="5" t="s">
        <v>15173</v>
      </c>
      <c r="L5147" s="13">
        <v>15835</v>
      </c>
      <c r="M5147" t="str">
        <f>VLOOKUP(L5147,[1]DevMouse!$B$2:$C$2693,2,FALSE)</f>
        <v>Palv</v>
      </c>
    </row>
    <row r="5148" spans="2:13" x14ac:dyDescent="0.25">
      <c r="B5148" s="31" t="s">
        <v>26303</v>
      </c>
      <c r="C5148" s="20"/>
      <c r="D5148" s="25" t="s">
        <v>26232</v>
      </c>
      <c r="E5148" s="20" t="s">
        <v>26300</v>
      </c>
      <c r="F5148" s="9" t="str">
        <f t="shared" si="73"/>
        <v>structure with developmental contribution from neural crest</v>
      </c>
      <c r="G5148" s="9" t="s">
        <v>5090</v>
      </c>
      <c r="H5148" s="9" t="s">
        <v>15624</v>
      </c>
      <c r="I5148" s="9" t="s">
        <v>9535</v>
      </c>
      <c r="J5148" s="9" t="s">
        <v>9536</v>
      </c>
      <c r="K5148" s="5" t="s">
        <v>15173</v>
      </c>
      <c r="L5148" s="13">
        <v>15836</v>
      </c>
      <c r="M5148" t="str">
        <f>VLOOKUP(L5148,[1]DevMouse!$B$2:$C$2693,2,FALSE)</f>
        <v>Palm</v>
      </c>
    </row>
    <row r="5149" spans="2:13" x14ac:dyDescent="0.25">
      <c r="B5149" s="36"/>
      <c r="C5149" s="20"/>
      <c r="D5149" s="25" t="s">
        <v>26232</v>
      </c>
      <c r="E5149" s="20" t="s">
        <v>26300</v>
      </c>
      <c r="F5149" s="9" t="str">
        <f t="shared" si="73"/>
        <v>structure with developmental contribution from neural crest</v>
      </c>
      <c r="G5149" s="9" t="s">
        <v>5090</v>
      </c>
      <c r="H5149" s="9" t="s">
        <v>15625</v>
      </c>
      <c r="I5149" s="9" t="s">
        <v>9537</v>
      </c>
      <c r="J5149" s="9" t="s">
        <v>9538</v>
      </c>
      <c r="K5149" s="5" t="s">
        <v>15173</v>
      </c>
      <c r="L5149" s="13">
        <v>15837</v>
      </c>
      <c r="M5149" t="str">
        <f>VLOOKUP(L5149,[1]DevMouse!$B$2:$C$2693,2,FALSE)</f>
        <v>Palp</v>
      </c>
    </row>
    <row r="5150" spans="2:13" x14ac:dyDescent="0.25">
      <c r="B5150" s="31" t="s">
        <v>26303</v>
      </c>
      <c r="C5150" s="25" t="s">
        <v>561</v>
      </c>
      <c r="D5150" s="25" t="s">
        <v>26232</v>
      </c>
      <c r="E5150" s="20" t="s">
        <v>26300</v>
      </c>
      <c r="F5150" s="9" t="str">
        <f t="shared" si="73"/>
        <v>structure with developmental contribution from neural crest</v>
      </c>
      <c r="G5150" s="9" t="s">
        <v>5090</v>
      </c>
      <c r="H5150" s="9" t="s">
        <v>15626</v>
      </c>
      <c r="I5150" s="9" t="s">
        <v>9539</v>
      </c>
      <c r="J5150" s="9" t="s">
        <v>9540</v>
      </c>
      <c r="K5150" s="5" t="s">
        <v>15173</v>
      </c>
      <c r="L5150" s="13">
        <v>15838</v>
      </c>
      <c r="M5150" t="str">
        <f>VLOOKUP(L5150,[1]DevMouse!$B$2:$C$2693,2,FALSE)</f>
        <v>BSTLC</v>
      </c>
    </row>
    <row r="5151" spans="2:13" x14ac:dyDescent="0.25">
      <c r="B5151" s="36"/>
      <c r="C5151" s="20"/>
      <c r="D5151" s="25" t="s">
        <v>26232</v>
      </c>
      <c r="E5151" s="25"/>
      <c r="F5151" s="9" t="str">
        <f t="shared" si="73"/>
        <v>structure with developmental contribution from neural crest</v>
      </c>
      <c r="G5151" s="9" t="s">
        <v>5090</v>
      </c>
      <c r="H5151" s="9" t="s">
        <v>15627</v>
      </c>
      <c r="I5151" s="9" t="s">
        <v>9541</v>
      </c>
      <c r="J5151" s="9" t="s">
        <v>9542</v>
      </c>
      <c r="K5151" s="5" t="s">
        <v>15173</v>
      </c>
      <c r="L5151" s="13">
        <v>15839</v>
      </c>
      <c r="M5151" t="str">
        <f>VLOOKUP(L5151,[1]DevMouse!$B$2:$C$2693,2,FALSE)</f>
        <v>BSTLp</v>
      </c>
    </row>
    <row r="5152" spans="2:13" x14ac:dyDescent="0.25">
      <c r="B5152" s="36"/>
      <c r="C5152" s="20"/>
      <c r="D5152" s="25" t="s">
        <v>26232</v>
      </c>
      <c r="E5152" s="25"/>
      <c r="F5152" s="9" t="str">
        <f t="shared" si="73"/>
        <v>structure with developmental contribution from neural crest</v>
      </c>
      <c r="G5152" s="9" t="s">
        <v>5090</v>
      </c>
      <c r="H5152" s="9" t="s">
        <v>15628</v>
      </c>
      <c r="I5152" s="9" t="s">
        <v>9543</v>
      </c>
      <c r="J5152" s="9" t="s">
        <v>9544</v>
      </c>
      <c r="K5152" s="5" t="s">
        <v>15173</v>
      </c>
      <c r="L5152" s="13">
        <v>15840</v>
      </c>
      <c r="M5152" t="str">
        <f>VLOOKUP(L5152,[1]DevMouse!$B$2:$C$2693,2,FALSE)</f>
        <v>BSTLj</v>
      </c>
    </row>
    <row r="5153" spans="2:13" x14ac:dyDescent="0.25">
      <c r="B5153" s="36"/>
      <c r="C5153" s="20"/>
      <c r="D5153" s="25" t="s">
        <v>26232</v>
      </c>
      <c r="E5153" s="25"/>
      <c r="F5153" s="9" t="str">
        <f t="shared" si="73"/>
        <v>structure with developmental contribution from neural crest</v>
      </c>
      <c r="G5153" s="9" t="s">
        <v>5090</v>
      </c>
      <c r="H5153" s="9" t="s">
        <v>15629</v>
      </c>
      <c r="I5153" s="9" t="s">
        <v>9545</v>
      </c>
      <c r="J5153" s="9" t="s">
        <v>9546</v>
      </c>
      <c r="K5153" s="5" t="s">
        <v>15173</v>
      </c>
      <c r="L5153" s="13">
        <v>15841</v>
      </c>
      <c r="M5153" t="str">
        <f>VLOOKUP(L5153,[1]DevMouse!$B$2:$C$2693,2,FALSE)</f>
        <v>BSTLd</v>
      </c>
    </row>
    <row r="5154" spans="2:13" x14ac:dyDescent="0.25">
      <c r="B5154" s="36"/>
      <c r="C5154" s="20"/>
      <c r="D5154" s="25" t="s">
        <v>26232</v>
      </c>
      <c r="E5154" s="25"/>
      <c r="F5154" s="9" t="str">
        <f t="shared" si="73"/>
        <v>structure with developmental contribution from neural crest</v>
      </c>
      <c r="G5154" s="9" t="s">
        <v>5090</v>
      </c>
      <c r="H5154" s="9" t="s">
        <v>15630</v>
      </c>
      <c r="I5154" s="9" t="s">
        <v>9547</v>
      </c>
      <c r="J5154" s="9" t="s">
        <v>9548</v>
      </c>
      <c r="K5154" s="5" t="s">
        <v>15173</v>
      </c>
      <c r="L5154" s="13">
        <v>15842</v>
      </c>
      <c r="M5154" t="str">
        <f>VLOOKUP(L5154,[1]DevMouse!$B$2:$C$2693,2,FALSE)</f>
        <v>Pali</v>
      </c>
    </row>
    <row r="5155" spans="2:13" x14ac:dyDescent="0.25">
      <c r="B5155" s="31" t="s">
        <v>26303</v>
      </c>
      <c r="C5155" s="25" t="s">
        <v>2129</v>
      </c>
      <c r="D5155" s="25" t="s">
        <v>26232</v>
      </c>
      <c r="E5155" s="25"/>
      <c r="F5155" s="9" t="str">
        <f t="shared" si="73"/>
        <v>structure with developmental contribution from neural crest</v>
      </c>
      <c r="G5155" s="9" t="s">
        <v>5090</v>
      </c>
      <c r="H5155" s="9" t="s">
        <v>15631</v>
      </c>
      <c r="I5155" s="9" t="s">
        <v>9549</v>
      </c>
      <c r="J5155" s="9" t="s">
        <v>9550</v>
      </c>
      <c r="K5155" s="5" t="s">
        <v>15173</v>
      </c>
      <c r="L5155" s="13">
        <v>15843</v>
      </c>
      <c r="M5155" t="str">
        <f>VLOOKUP(L5155,[1]DevMouse!$B$2:$C$2693,2,FALSE)</f>
        <v>EPal</v>
      </c>
    </row>
    <row r="5156" spans="2:13" x14ac:dyDescent="0.25">
      <c r="B5156" s="36"/>
      <c r="C5156" s="20"/>
      <c r="D5156" s="25" t="s">
        <v>26232</v>
      </c>
      <c r="E5156" s="25"/>
      <c r="F5156" s="9" t="str">
        <f t="shared" si="73"/>
        <v>structure with developmental contribution from neural crest</v>
      </c>
      <c r="G5156" s="9" t="s">
        <v>5090</v>
      </c>
      <c r="H5156" s="9" t="s">
        <v>15633</v>
      </c>
      <c r="I5156" s="9" t="s">
        <v>9551</v>
      </c>
      <c r="J5156" s="9" t="s">
        <v>9552</v>
      </c>
      <c r="K5156" s="5" t="s">
        <v>15173</v>
      </c>
      <c r="L5156" s="13">
        <v>15845</v>
      </c>
      <c r="M5156" t="str">
        <f>VLOOKUP(L5156,[1]DevMouse!$B$2:$C$2693,2,FALSE)</f>
        <v>Pals</v>
      </c>
    </row>
    <row r="5157" spans="2:13" x14ac:dyDescent="0.25">
      <c r="B5157" s="31" t="s">
        <v>26303</v>
      </c>
      <c r="C5157" s="25" t="s">
        <v>3471</v>
      </c>
      <c r="D5157" s="25" t="s">
        <v>26232</v>
      </c>
      <c r="E5157" s="25" t="s">
        <v>26300</v>
      </c>
      <c r="F5157" s="9" t="str">
        <f t="shared" si="73"/>
        <v>structure with developmental contribution from neural crest</v>
      </c>
      <c r="G5157" s="9" t="s">
        <v>5090</v>
      </c>
      <c r="H5157" s="9" t="s">
        <v>15634</v>
      </c>
      <c r="I5157" s="9" t="s">
        <v>9553</v>
      </c>
      <c r="J5157" s="9" t="s">
        <v>9554</v>
      </c>
      <c r="K5157" s="5" t="s">
        <v>15173</v>
      </c>
      <c r="L5157" s="13">
        <v>15846</v>
      </c>
      <c r="M5157" t="str">
        <f>VLOOKUP(L5157,[1]DevMouse!$B$2:$C$2693,2,FALSE)</f>
        <v>TuPal</v>
      </c>
    </row>
    <row r="5158" spans="2:13" x14ac:dyDescent="0.25">
      <c r="B5158" s="31" t="s">
        <v>26303</v>
      </c>
      <c r="C5158" s="20"/>
      <c r="D5158" s="25" t="s">
        <v>26232</v>
      </c>
      <c r="E5158" s="25" t="s">
        <v>26300</v>
      </c>
      <c r="F5158" s="9" t="str">
        <f t="shared" si="73"/>
        <v>structure with developmental contribution from neural crest</v>
      </c>
      <c r="G5158" s="9" t="s">
        <v>5090</v>
      </c>
      <c r="H5158" s="9" t="s">
        <v>15635</v>
      </c>
      <c r="I5158" s="9" t="s">
        <v>9555</v>
      </c>
      <c r="J5158" s="9" t="s">
        <v>9556</v>
      </c>
      <c r="K5158" s="5" t="s">
        <v>15173</v>
      </c>
      <c r="L5158" s="13">
        <v>15847</v>
      </c>
      <c r="M5158" t="str">
        <f>VLOOKUP(L5158,[1]DevMouse!$B$2:$C$2693,2,FALSE)</f>
        <v>TuPal1</v>
      </c>
    </row>
    <row r="5159" spans="2:13" x14ac:dyDescent="0.25">
      <c r="B5159" s="36"/>
      <c r="C5159" s="20"/>
      <c r="D5159" s="25" t="s">
        <v>26232</v>
      </c>
      <c r="E5159" s="25"/>
      <c r="F5159" s="9" t="str">
        <f t="shared" si="73"/>
        <v>structure with developmental contribution from neural crest</v>
      </c>
      <c r="G5159" s="9" t="s">
        <v>5090</v>
      </c>
      <c r="H5159" s="9" t="s">
        <v>15636</v>
      </c>
      <c r="I5159" s="9" t="s">
        <v>9557</v>
      </c>
      <c r="J5159" s="9" t="s">
        <v>9558</v>
      </c>
      <c r="K5159" s="5" t="s">
        <v>15173</v>
      </c>
      <c r="L5159" s="13">
        <v>15848</v>
      </c>
      <c r="M5159" t="str">
        <f>VLOOKUP(L5159,[1]DevMouse!$B$2:$C$2693,2,FALSE)</f>
        <v>TuPal2</v>
      </c>
    </row>
    <row r="5160" spans="2:13" x14ac:dyDescent="0.25">
      <c r="B5160" s="36"/>
      <c r="C5160" s="20"/>
      <c r="D5160" s="25" t="s">
        <v>26232</v>
      </c>
      <c r="E5160" s="25"/>
      <c r="F5160" s="9" t="str">
        <f t="shared" si="73"/>
        <v>structure with developmental contribution from neural crest</v>
      </c>
      <c r="G5160" s="9" t="s">
        <v>5090</v>
      </c>
      <c r="H5160" s="9" t="s">
        <v>15637</v>
      </c>
      <c r="I5160" s="9" t="s">
        <v>9559</v>
      </c>
      <c r="J5160" s="9" t="s">
        <v>9560</v>
      </c>
      <c r="K5160" s="5" t="s">
        <v>15173</v>
      </c>
      <c r="L5160" s="13">
        <v>15849</v>
      </c>
      <c r="M5160" t="str">
        <f>VLOOKUP(L5160,[1]DevMouse!$B$2:$C$2693,2,FALSE)</f>
        <v>TuPal3</v>
      </c>
    </row>
    <row r="5161" spans="2:13" x14ac:dyDescent="0.25">
      <c r="B5161" s="31" t="s">
        <v>26303</v>
      </c>
      <c r="C5161" s="25" t="s">
        <v>25983</v>
      </c>
      <c r="D5161" s="25" t="s">
        <v>26232</v>
      </c>
      <c r="E5161" s="25"/>
      <c r="F5161" s="9" t="str">
        <f t="shared" si="73"/>
        <v>structure with developmental contribution from neural crest</v>
      </c>
      <c r="G5161" s="9" t="s">
        <v>5090</v>
      </c>
      <c r="H5161" s="9" t="s">
        <v>15638</v>
      </c>
      <c r="I5161" s="9" t="s">
        <v>9561</v>
      </c>
      <c r="J5161" s="9" t="s">
        <v>9562</v>
      </c>
      <c r="K5161" s="5" t="s">
        <v>15173</v>
      </c>
      <c r="L5161" s="13">
        <v>15850</v>
      </c>
      <c r="M5161" t="str">
        <f>VLOOKUP(L5161,[1]DevMouse!$B$2:$C$2693,2,FALSE)</f>
        <v>ICjPal</v>
      </c>
    </row>
    <row r="5162" spans="2:13" x14ac:dyDescent="0.25">
      <c r="B5162" s="31" t="s">
        <v>26303</v>
      </c>
      <c r="C5162" s="9" t="s">
        <v>1200</v>
      </c>
      <c r="D5162" s="25" t="s">
        <v>26232</v>
      </c>
      <c r="E5162" s="25"/>
      <c r="F5162" s="9" t="str">
        <f t="shared" si="73"/>
        <v>structure with developmental contribution from neural crest</v>
      </c>
      <c r="G5162" s="9" t="s">
        <v>5090</v>
      </c>
      <c r="H5162" s="9" t="s">
        <v>15639</v>
      </c>
      <c r="I5162" s="9" t="s">
        <v>1196</v>
      </c>
      <c r="J5162" s="9" t="s">
        <v>1197</v>
      </c>
      <c r="K5162" s="5" t="s">
        <v>15173</v>
      </c>
      <c r="L5162" s="13">
        <v>15851</v>
      </c>
      <c r="M5162" t="str">
        <f>VLOOKUP(L5162,[1]DevMouse!$B$2:$C$2693,2,FALSE)</f>
        <v>Str</v>
      </c>
    </row>
    <row r="5163" spans="2:13" x14ac:dyDescent="0.25">
      <c r="B5163" s="36"/>
      <c r="C5163" s="20"/>
      <c r="D5163" s="25" t="s">
        <v>26232</v>
      </c>
      <c r="E5163" s="25"/>
      <c r="F5163" s="9" t="str">
        <f t="shared" si="73"/>
        <v>structure with developmental contribution from neural crest</v>
      </c>
      <c r="G5163" s="9" t="s">
        <v>5090</v>
      </c>
      <c r="H5163" s="9" t="s">
        <v>15640</v>
      </c>
      <c r="I5163" s="9" t="s">
        <v>9563</v>
      </c>
      <c r="J5163" s="9" t="s">
        <v>9564</v>
      </c>
      <c r="K5163" s="5" t="s">
        <v>15173</v>
      </c>
      <c r="L5163" s="13">
        <v>15852</v>
      </c>
      <c r="M5163" t="str">
        <f>VLOOKUP(L5163,[1]DevMouse!$B$2:$C$2693,2,FALSE)</f>
        <v>Strv</v>
      </c>
    </row>
    <row r="5164" spans="2:13" x14ac:dyDescent="0.25">
      <c r="B5164" s="31" t="s">
        <v>26303</v>
      </c>
      <c r="C5164" s="20"/>
      <c r="D5164" s="25" t="s">
        <v>26232</v>
      </c>
      <c r="E5164" s="20" t="s">
        <v>26300</v>
      </c>
      <c r="F5164" s="9" t="str">
        <f t="shared" si="73"/>
        <v>structure with developmental contribution from neural crest</v>
      </c>
      <c r="G5164" s="9" t="s">
        <v>5090</v>
      </c>
      <c r="H5164" s="9" t="s">
        <v>15641</v>
      </c>
      <c r="I5164" s="9" t="s">
        <v>9565</v>
      </c>
      <c r="J5164" s="9" t="s">
        <v>9566</v>
      </c>
      <c r="K5164" s="5" t="s">
        <v>15173</v>
      </c>
      <c r="L5164" s="13">
        <v>15853</v>
      </c>
      <c r="M5164" t="str">
        <f>VLOOKUP(L5164,[1]DevMouse!$B$2:$C$2693,2,FALSE)</f>
        <v>Strm</v>
      </c>
    </row>
    <row r="5165" spans="2:13" x14ac:dyDescent="0.25">
      <c r="B5165" s="36"/>
      <c r="C5165" s="20"/>
      <c r="D5165" s="25" t="s">
        <v>26232</v>
      </c>
      <c r="E5165" s="20" t="s">
        <v>26300</v>
      </c>
      <c r="F5165" s="9" t="str">
        <f t="shared" si="73"/>
        <v>structure with developmental contribution from neural crest</v>
      </c>
      <c r="G5165" s="9" t="s">
        <v>5090</v>
      </c>
      <c r="H5165" s="9" t="s">
        <v>15642</v>
      </c>
      <c r="I5165" s="9" t="s">
        <v>9567</v>
      </c>
      <c r="J5165" s="9" t="s">
        <v>9568</v>
      </c>
      <c r="K5165" s="5" t="s">
        <v>15173</v>
      </c>
      <c r="L5165" s="13">
        <v>15854</v>
      </c>
      <c r="M5165" t="str">
        <f>VLOOKUP(L5165,[1]DevMouse!$B$2:$C$2693,2,FALSE)</f>
        <v>Strp</v>
      </c>
    </row>
    <row r="5166" spans="2:13" x14ac:dyDescent="0.25">
      <c r="B5166" s="31" t="s">
        <v>26303</v>
      </c>
      <c r="C5166" s="25" t="s">
        <v>902</v>
      </c>
      <c r="D5166" s="25" t="s">
        <v>26232</v>
      </c>
      <c r="E5166" s="25"/>
      <c r="F5166" s="9" t="str">
        <f t="shared" si="73"/>
        <v>structure with developmental contribution from neural crest</v>
      </c>
      <c r="G5166" s="9" t="s">
        <v>5090</v>
      </c>
      <c r="H5166" s="9" t="s">
        <v>15643</v>
      </c>
      <c r="I5166" s="9" t="s">
        <v>902</v>
      </c>
      <c r="J5166" s="9" t="s">
        <v>904</v>
      </c>
      <c r="K5166" s="5" t="s">
        <v>15173</v>
      </c>
      <c r="L5166" s="13">
        <v>15855</v>
      </c>
      <c r="M5166" t="str">
        <f>VLOOKUP(L5166,[1]DevMouse!$B$2:$C$2693,2,FALSE)</f>
        <v>Cau</v>
      </c>
    </row>
    <row r="5167" spans="2:13" x14ac:dyDescent="0.25">
      <c r="B5167" s="36"/>
      <c r="C5167" s="20"/>
      <c r="D5167" s="25" t="s">
        <v>26232</v>
      </c>
      <c r="E5167" s="25"/>
      <c r="F5167" s="9" t="str">
        <f t="shared" si="73"/>
        <v>structure with developmental contribution from neural crest</v>
      </c>
      <c r="G5167" s="9" t="s">
        <v>5090</v>
      </c>
      <c r="H5167" s="9" t="s">
        <v>15644</v>
      </c>
      <c r="I5167" s="9" t="s">
        <v>9569</v>
      </c>
      <c r="J5167" s="9" t="s">
        <v>9570</v>
      </c>
      <c r="K5167" s="5" t="s">
        <v>15173</v>
      </c>
      <c r="L5167" s="13">
        <v>15856</v>
      </c>
      <c r="M5167" t="str">
        <f>VLOOKUP(L5167,[1]DevMouse!$B$2:$C$2693,2,FALSE)</f>
        <v>Stri</v>
      </c>
    </row>
    <row r="5168" spans="2:13" x14ac:dyDescent="0.25">
      <c r="B5168" s="31" t="s">
        <v>26303</v>
      </c>
      <c r="C5168" s="25" t="s">
        <v>4204</v>
      </c>
      <c r="D5168" s="25" t="s">
        <v>26232</v>
      </c>
      <c r="E5168" s="25"/>
      <c r="F5168" s="9" t="str">
        <f t="shared" si="73"/>
        <v>structure with developmental contribution from neural crest</v>
      </c>
      <c r="G5168" s="9" t="s">
        <v>5090</v>
      </c>
      <c r="H5168" s="9" t="s">
        <v>15645</v>
      </c>
      <c r="I5168" s="9" t="s">
        <v>4204</v>
      </c>
      <c r="J5168" s="9" t="s">
        <v>4206</v>
      </c>
      <c r="K5168" s="5" t="s">
        <v>15173</v>
      </c>
      <c r="L5168" s="13">
        <v>15857</v>
      </c>
      <c r="M5168" t="str">
        <f>VLOOKUP(L5168,[1]DevMouse!$B$2:$C$2693,2,FALSE)</f>
        <v>Put</v>
      </c>
    </row>
    <row r="5169" spans="2:13" x14ac:dyDescent="0.25">
      <c r="B5169" s="31" t="s">
        <v>26303</v>
      </c>
      <c r="C5169" s="9" t="s">
        <v>1198</v>
      </c>
      <c r="D5169" s="25" t="s">
        <v>26232</v>
      </c>
      <c r="E5169" s="25"/>
      <c r="F5169" s="9" t="str">
        <f t="shared" si="73"/>
        <v>structure with developmental contribution from neural crest</v>
      </c>
      <c r="G5169" s="9" t="s">
        <v>5090</v>
      </c>
      <c r="H5169" s="9" t="s">
        <v>15646</v>
      </c>
      <c r="I5169" s="9" t="s">
        <v>1198</v>
      </c>
      <c r="J5169" s="9" t="s">
        <v>1199</v>
      </c>
      <c r="K5169" s="5" t="s">
        <v>15173</v>
      </c>
      <c r="L5169" s="13">
        <v>15858</v>
      </c>
      <c r="M5169" t="str">
        <f>VLOOKUP(L5169,[1]DevMouse!$B$2:$C$2693,2,FALSE)</f>
        <v>VStr</v>
      </c>
    </row>
    <row r="5170" spans="2:13" x14ac:dyDescent="0.25">
      <c r="B5170" s="31" t="s">
        <v>26303</v>
      </c>
      <c r="C5170" s="20"/>
      <c r="D5170" s="25" t="s">
        <v>26185</v>
      </c>
      <c r="E5170" s="25" t="s">
        <v>26300</v>
      </c>
      <c r="F5170" s="9" t="str">
        <f t="shared" si="73"/>
        <v>structure with developmental contribution from neural crest</v>
      </c>
      <c r="G5170" s="9" t="s">
        <v>5090</v>
      </c>
      <c r="H5170" s="9" t="s">
        <v>15647</v>
      </c>
      <c r="I5170" s="9" t="s">
        <v>9571</v>
      </c>
      <c r="J5170" s="9" t="s">
        <v>9572</v>
      </c>
      <c r="K5170" s="5" t="s">
        <v>15173</v>
      </c>
      <c r="L5170" s="13">
        <v>15859</v>
      </c>
      <c r="M5170" t="str">
        <f>VLOOKUP(L5170,[1]DevMouse!$B$2:$C$2693,2,FALSE)</f>
        <v>IPAC</v>
      </c>
    </row>
    <row r="5171" spans="2:13" x14ac:dyDescent="0.25">
      <c r="B5171" s="36"/>
      <c r="C5171" s="20"/>
      <c r="D5171" s="25" t="s">
        <v>26232</v>
      </c>
      <c r="E5171" s="25"/>
      <c r="F5171" s="9" t="str">
        <f t="shared" si="73"/>
        <v>structure with developmental contribution from neural crest</v>
      </c>
      <c r="G5171" s="9" t="s">
        <v>5090</v>
      </c>
      <c r="H5171" s="9" t="s">
        <v>15648</v>
      </c>
      <c r="I5171" s="9" t="s">
        <v>9573</v>
      </c>
      <c r="J5171" s="9" t="s">
        <v>9574</v>
      </c>
      <c r="K5171" s="5" t="s">
        <v>15173</v>
      </c>
      <c r="L5171" s="13">
        <v>15860</v>
      </c>
      <c r="M5171" t="str">
        <f>VLOOKUP(L5171,[1]DevMouse!$B$2:$C$2693,2,FALSE)</f>
        <v>LSS</v>
      </c>
    </row>
    <row r="5172" spans="2:13" x14ac:dyDescent="0.25">
      <c r="B5172" s="36"/>
      <c r="C5172" s="20"/>
      <c r="D5172" s="25" t="s">
        <v>26232</v>
      </c>
      <c r="E5172" s="25"/>
      <c r="F5172" s="9" t="str">
        <f t="shared" si="73"/>
        <v>structure with developmental contribution from neural crest</v>
      </c>
      <c r="G5172" s="9" t="s">
        <v>5090</v>
      </c>
      <c r="H5172" s="9" t="s">
        <v>15649</v>
      </c>
      <c r="I5172" s="9" t="s">
        <v>9575</v>
      </c>
      <c r="J5172" s="9" t="s">
        <v>9576</v>
      </c>
      <c r="K5172" s="5" t="s">
        <v>15173</v>
      </c>
      <c r="L5172" s="13">
        <v>15861</v>
      </c>
      <c r="M5172" t="str">
        <f>VLOOKUP(L5172,[1]DevMouse!$B$2:$C$2693,2,FALSE)</f>
        <v>Strs</v>
      </c>
    </row>
    <row r="5173" spans="2:13" x14ac:dyDescent="0.25">
      <c r="B5173" s="31" t="s">
        <v>26303</v>
      </c>
      <c r="C5173" s="25" t="s">
        <v>3471</v>
      </c>
      <c r="D5173" s="25" t="s">
        <v>26232</v>
      </c>
      <c r="E5173" s="25" t="s">
        <v>26300</v>
      </c>
      <c r="F5173" s="9" t="str">
        <f t="shared" si="73"/>
        <v>structure with developmental contribution from neural crest</v>
      </c>
      <c r="G5173" s="9" t="s">
        <v>5090</v>
      </c>
      <c r="H5173" s="9" t="s">
        <v>15650</v>
      </c>
      <c r="I5173" s="9" t="s">
        <v>9577</v>
      </c>
      <c r="J5173" s="9" t="s">
        <v>9578</v>
      </c>
      <c r="K5173" s="5" t="s">
        <v>15173</v>
      </c>
      <c r="L5173" s="13">
        <v>15862</v>
      </c>
      <c r="M5173" t="str">
        <f>VLOOKUP(L5173,[1]DevMouse!$B$2:$C$2693,2,FALSE)</f>
        <v>TuStr</v>
      </c>
    </row>
    <row r="5174" spans="2:13" x14ac:dyDescent="0.25">
      <c r="B5174" s="31" t="s">
        <v>26303</v>
      </c>
      <c r="C5174" s="20"/>
      <c r="D5174" s="25" t="s">
        <v>26232</v>
      </c>
      <c r="E5174" s="25" t="s">
        <v>26300</v>
      </c>
      <c r="F5174" s="9" t="str">
        <f t="shared" si="73"/>
        <v>structure with developmental contribution from neural crest</v>
      </c>
      <c r="G5174" s="9" t="s">
        <v>5090</v>
      </c>
      <c r="H5174" s="9" t="s">
        <v>15651</v>
      </c>
      <c r="I5174" s="9" t="s">
        <v>9579</v>
      </c>
      <c r="J5174" s="9" t="s">
        <v>9580</v>
      </c>
      <c r="K5174" s="5" t="s">
        <v>15173</v>
      </c>
      <c r="L5174" s="13">
        <v>15863</v>
      </c>
      <c r="M5174" t="str">
        <f>VLOOKUP(L5174,[1]DevMouse!$B$2:$C$2693,2,FALSE)</f>
        <v>TuStr1</v>
      </c>
    </row>
    <row r="5175" spans="2:13" x14ac:dyDescent="0.25">
      <c r="B5175" s="36"/>
      <c r="C5175" s="20"/>
      <c r="D5175" s="25" t="s">
        <v>26232</v>
      </c>
      <c r="E5175" s="25"/>
      <c r="F5175" s="9" t="str">
        <f t="shared" ref="F5175:F5238" si="74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5175" s="9" t="s">
        <v>5090</v>
      </c>
      <c r="H5175" s="9" t="s">
        <v>15652</v>
      </c>
      <c r="I5175" s="9" t="s">
        <v>9581</v>
      </c>
      <c r="J5175" s="9" t="s">
        <v>9582</v>
      </c>
      <c r="K5175" s="5" t="s">
        <v>15173</v>
      </c>
      <c r="L5175" s="13">
        <v>15864</v>
      </c>
      <c r="M5175" t="str">
        <f>VLOOKUP(L5175,[1]DevMouse!$B$2:$C$2693,2,FALSE)</f>
        <v>TuStr2</v>
      </c>
    </row>
    <row r="5176" spans="2:13" x14ac:dyDescent="0.25">
      <c r="B5176" s="36"/>
      <c r="C5176" s="20"/>
      <c r="D5176" s="25" t="s">
        <v>26232</v>
      </c>
      <c r="E5176" s="25"/>
      <c r="F5176" s="9" t="str">
        <f t="shared" si="74"/>
        <v>structure with developmental contribution from neural crest</v>
      </c>
      <c r="G5176" s="9" t="s">
        <v>5090</v>
      </c>
      <c r="H5176" s="9" t="s">
        <v>15653</v>
      </c>
      <c r="I5176" s="9" t="s">
        <v>9583</v>
      </c>
      <c r="J5176" s="9" t="s">
        <v>9584</v>
      </c>
      <c r="K5176" s="5" t="s">
        <v>15173</v>
      </c>
      <c r="L5176" s="13">
        <v>15865</v>
      </c>
      <c r="M5176" t="str">
        <f>VLOOKUP(L5176,[1]DevMouse!$B$2:$C$2693,2,FALSE)</f>
        <v>TuStr3</v>
      </c>
    </row>
    <row r="5177" spans="2:13" x14ac:dyDescent="0.25">
      <c r="B5177" s="31" t="s">
        <v>26303</v>
      </c>
      <c r="C5177" s="25" t="s">
        <v>25983</v>
      </c>
      <c r="D5177" s="25" t="s">
        <v>26232</v>
      </c>
      <c r="E5177" s="25"/>
      <c r="F5177" s="9" t="str">
        <f t="shared" si="74"/>
        <v>structure with developmental contribution from neural crest</v>
      </c>
      <c r="G5177" s="9" t="s">
        <v>5090</v>
      </c>
      <c r="H5177" s="9" t="s">
        <v>15654</v>
      </c>
      <c r="I5177" s="9" t="s">
        <v>9585</v>
      </c>
      <c r="J5177" s="9" t="s">
        <v>9586</v>
      </c>
      <c r="K5177" s="5" t="s">
        <v>15173</v>
      </c>
      <c r="L5177" s="13">
        <v>15866</v>
      </c>
      <c r="M5177" t="str">
        <f>VLOOKUP(L5177,[1]DevMouse!$B$2:$C$2693,2,FALSE)</f>
        <v>ICjStr</v>
      </c>
    </row>
    <row r="5178" spans="2:13" x14ac:dyDescent="0.25">
      <c r="B5178" s="36"/>
      <c r="C5178" s="20"/>
      <c r="D5178" s="25" t="s">
        <v>26232</v>
      </c>
      <c r="E5178" s="25"/>
      <c r="F5178" s="9" t="str">
        <f t="shared" si="74"/>
        <v>structure with developmental contribution from neural crest</v>
      </c>
      <c r="G5178" s="9" t="s">
        <v>5090</v>
      </c>
      <c r="H5178" s="9" t="s">
        <v>15655</v>
      </c>
      <c r="I5178" s="9" t="s">
        <v>9587</v>
      </c>
      <c r="J5178" s="9" t="s">
        <v>9588</v>
      </c>
      <c r="K5178" s="5" t="s">
        <v>15173</v>
      </c>
      <c r="L5178" s="13">
        <v>15867</v>
      </c>
      <c r="M5178" t="str">
        <f>VLOOKUP(L5178,[1]DevMouse!$B$2:$C$2693,2,FALSE)</f>
        <v>ASPall</v>
      </c>
    </row>
    <row r="5179" spans="2:13" x14ac:dyDescent="0.25">
      <c r="B5179" s="36"/>
      <c r="C5179" s="20"/>
      <c r="D5179" s="25" t="s">
        <v>26232</v>
      </c>
      <c r="E5179" s="25"/>
      <c r="F5179" s="9" t="str">
        <f t="shared" si="74"/>
        <v>structure with developmental contribution from neural crest</v>
      </c>
      <c r="G5179" s="9" t="s">
        <v>5090</v>
      </c>
      <c r="H5179" s="9" t="s">
        <v>15656</v>
      </c>
      <c r="I5179" s="9" t="s">
        <v>9589</v>
      </c>
      <c r="J5179" s="9" t="s">
        <v>9590</v>
      </c>
      <c r="K5179" s="5" t="s">
        <v>15173</v>
      </c>
      <c r="L5179" s="13">
        <v>15868</v>
      </c>
      <c r="M5179" t="str">
        <f>VLOOKUP(L5179,[1]DevMouse!$B$2:$C$2693,2,FALSE)</f>
        <v>AStr</v>
      </c>
    </row>
    <row r="5180" spans="2:13" x14ac:dyDescent="0.25">
      <c r="B5180" s="36"/>
      <c r="C5180" s="20"/>
      <c r="D5180" s="25" t="s">
        <v>26232</v>
      </c>
      <c r="E5180" s="25"/>
      <c r="F5180" s="9" t="str">
        <f t="shared" si="74"/>
        <v>structure with developmental contribution from neural crest</v>
      </c>
      <c r="G5180" s="9" t="s">
        <v>5090</v>
      </c>
      <c r="H5180" s="9" t="s">
        <v>15657</v>
      </c>
      <c r="I5180" s="9" t="s">
        <v>9591</v>
      </c>
      <c r="J5180" s="9" t="s">
        <v>9592</v>
      </c>
      <c r="K5180" s="5" t="s">
        <v>15173</v>
      </c>
      <c r="L5180" s="13">
        <v>15869</v>
      </c>
      <c r="M5180" t="str">
        <f>VLOOKUP(L5180,[1]DevMouse!$B$2:$C$2693,2,FALSE)</f>
        <v>AStrv</v>
      </c>
    </row>
    <row r="5181" spans="2:13" x14ac:dyDescent="0.25">
      <c r="B5181" s="31" t="s">
        <v>26303</v>
      </c>
      <c r="C5181" s="20"/>
      <c r="D5181" s="25" t="s">
        <v>26232</v>
      </c>
      <c r="E5181" s="20" t="s">
        <v>26300</v>
      </c>
      <c r="F5181" s="9" t="str">
        <f t="shared" si="74"/>
        <v>structure with developmental contribution from neural crest</v>
      </c>
      <c r="G5181" s="9" t="s">
        <v>5090</v>
      </c>
      <c r="H5181" s="9" t="s">
        <v>15658</v>
      </c>
      <c r="I5181" s="9" t="s">
        <v>9593</v>
      </c>
      <c r="J5181" s="9" t="s">
        <v>9594</v>
      </c>
      <c r="K5181" s="5" t="s">
        <v>15173</v>
      </c>
      <c r="L5181" s="13">
        <v>15870</v>
      </c>
      <c r="M5181" t="str">
        <f>VLOOKUP(L5181,[1]DevMouse!$B$2:$C$2693,2,FALSE)</f>
        <v>AStrm</v>
      </c>
    </row>
    <row r="5182" spans="2:13" x14ac:dyDescent="0.25">
      <c r="B5182" s="36"/>
      <c r="C5182" s="20"/>
      <c r="D5182" s="25" t="s">
        <v>26232</v>
      </c>
      <c r="E5182" s="20" t="s">
        <v>26300</v>
      </c>
      <c r="F5182" s="9" t="str">
        <f t="shared" si="74"/>
        <v>structure with developmental contribution from neural crest</v>
      </c>
      <c r="G5182" s="9" t="s">
        <v>5090</v>
      </c>
      <c r="H5182" s="9" t="s">
        <v>15659</v>
      </c>
      <c r="I5182" s="9" t="s">
        <v>9595</v>
      </c>
      <c r="J5182" s="9" t="s">
        <v>9596</v>
      </c>
      <c r="K5182" s="5" t="s">
        <v>15173</v>
      </c>
      <c r="L5182" s="13">
        <v>15871</v>
      </c>
      <c r="M5182" t="str">
        <f>VLOOKUP(L5182,[1]DevMouse!$B$2:$C$2693,2,FALSE)</f>
        <v>AStrp</v>
      </c>
    </row>
    <row r="5183" spans="2:13" x14ac:dyDescent="0.25">
      <c r="B5183" s="31" t="s">
        <v>26303</v>
      </c>
      <c r="C5183" s="20"/>
      <c r="D5183" s="25" t="s">
        <v>26232</v>
      </c>
      <c r="E5183" s="25" t="s">
        <v>26300</v>
      </c>
      <c r="F5183" s="9" t="str">
        <f t="shared" si="74"/>
        <v>structure with developmental contribution from neural crest</v>
      </c>
      <c r="G5183" s="9" t="s">
        <v>5090</v>
      </c>
      <c r="H5183" s="9" t="s">
        <v>15660</v>
      </c>
      <c r="I5183" s="9" t="s">
        <v>9597</v>
      </c>
      <c r="J5183" s="9" t="s">
        <v>9598</v>
      </c>
      <c r="K5183" s="5" t="s">
        <v>15173</v>
      </c>
      <c r="L5183" s="13">
        <v>15872</v>
      </c>
      <c r="M5183" t="str">
        <f>VLOOKUP(L5183,[1]DevMouse!$B$2:$C$2693,2,FALSE)</f>
        <v>ASt</v>
      </c>
    </row>
    <row r="5184" spans="2:13" x14ac:dyDescent="0.25">
      <c r="B5184" s="36"/>
      <c r="C5184" s="20"/>
      <c r="D5184" s="25" t="s">
        <v>26232</v>
      </c>
      <c r="E5184" s="25"/>
      <c r="F5184" s="9" t="str">
        <f t="shared" si="74"/>
        <v>structure with developmental contribution from neural crest</v>
      </c>
      <c r="G5184" s="9" t="s">
        <v>5090</v>
      </c>
      <c r="H5184" s="9" t="s">
        <v>15661</v>
      </c>
      <c r="I5184" s="9" t="s">
        <v>9599</v>
      </c>
      <c r="J5184" s="9" t="s">
        <v>9600</v>
      </c>
      <c r="K5184" s="5" t="s">
        <v>15173</v>
      </c>
      <c r="L5184" s="13">
        <v>15873</v>
      </c>
      <c r="M5184" t="str">
        <f>VLOOKUP(L5184,[1]DevMouse!$B$2:$C$2693,2,FALSE)</f>
        <v>AStri</v>
      </c>
    </row>
    <row r="5185" spans="2:13" x14ac:dyDescent="0.25">
      <c r="B5185" s="31" t="s">
        <v>26303</v>
      </c>
      <c r="C5185" s="25" t="s">
        <v>920</v>
      </c>
      <c r="D5185" s="25" t="s">
        <v>26232</v>
      </c>
      <c r="E5185" s="25"/>
      <c r="F5185" s="9" t="str">
        <f t="shared" si="74"/>
        <v>structure with developmental contribution from neural crest</v>
      </c>
      <c r="G5185" s="9" t="s">
        <v>5090</v>
      </c>
      <c r="H5185" s="9" t="s">
        <v>15662</v>
      </c>
      <c r="I5185" s="9" t="s">
        <v>9601</v>
      </c>
      <c r="J5185" s="9" t="s">
        <v>9602</v>
      </c>
      <c r="K5185" s="5" t="s">
        <v>15173</v>
      </c>
      <c r="L5185" s="13">
        <v>15874</v>
      </c>
      <c r="M5185" t="str">
        <f>VLOOKUP(L5185,[1]DevMouse!$B$2:$C$2693,2,FALSE)</f>
        <v>CeL</v>
      </c>
    </row>
    <row r="5186" spans="2:13" x14ac:dyDescent="0.25">
      <c r="B5186" s="31" t="s">
        <v>26303</v>
      </c>
      <c r="C5186" s="25" t="s">
        <v>920</v>
      </c>
      <c r="D5186" s="25" t="s">
        <v>26232</v>
      </c>
      <c r="E5186" s="25"/>
      <c r="F5186" s="9" t="str">
        <f t="shared" si="74"/>
        <v>structure with developmental contribution from neural crest</v>
      </c>
      <c r="G5186" s="9" t="s">
        <v>5090</v>
      </c>
      <c r="H5186" s="9" t="s">
        <v>15663</v>
      </c>
      <c r="I5186" s="9" t="s">
        <v>9603</v>
      </c>
      <c r="J5186" s="9" t="s">
        <v>9604</v>
      </c>
      <c r="K5186" s="5" t="s">
        <v>15173</v>
      </c>
      <c r="L5186" s="13">
        <v>15875</v>
      </c>
      <c r="M5186" t="str">
        <f>VLOOKUP(L5186,[1]DevMouse!$B$2:$C$2693,2,FALSE)</f>
        <v>CeC</v>
      </c>
    </row>
    <row r="5187" spans="2:13" x14ac:dyDescent="0.25">
      <c r="B5187" s="31" t="s">
        <v>26303</v>
      </c>
      <c r="C5187" s="25" t="s">
        <v>2448</v>
      </c>
      <c r="D5187" s="25" t="s">
        <v>26232</v>
      </c>
      <c r="E5187" s="25"/>
      <c r="F5187" s="9" t="str">
        <f t="shared" si="74"/>
        <v>structure with developmental contribution from neural crest</v>
      </c>
      <c r="G5187" s="9" t="s">
        <v>5090</v>
      </c>
      <c r="H5187" s="9" t="s">
        <v>15664</v>
      </c>
      <c r="I5187" s="9" t="s">
        <v>2448</v>
      </c>
      <c r="J5187" s="9" t="s">
        <v>2449</v>
      </c>
      <c r="K5187" s="5" t="s">
        <v>15173</v>
      </c>
      <c r="L5187" s="13">
        <v>15876</v>
      </c>
      <c r="M5187" t="str">
        <f>VLOOKUP(L5187,[1]DevMouse!$B$2:$C$2693,2,FALSE)</f>
        <v>IA</v>
      </c>
    </row>
    <row r="5188" spans="2:13" x14ac:dyDescent="0.25">
      <c r="B5188" s="36"/>
      <c r="C5188" s="20"/>
      <c r="D5188" s="25" t="s">
        <v>26232</v>
      </c>
      <c r="E5188" s="25"/>
      <c r="F5188" s="9" t="str">
        <f t="shared" si="74"/>
        <v>structure with developmental contribution from neural crest</v>
      </c>
      <c r="G5188" s="9" t="s">
        <v>5090</v>
      </c>
      <c r="H5188" s="9" t="s">
        <v>15665</v>
      </c>
      <c r="I5188" s="9" t="s">
        <v>9605</v>
      </c>
      <c r="J5188" s="9" t="s">
        <v>9606</v>
      </c>
      <c r="K5188" s="5" t="s">
        <v>15173</v>
      </c>
      <c r="L5188" s="13">
        <v>15877</v>
      </c>
      <c r="M5188" t="str">
        <f>VLOOKUP(L5188,[1]DevMouse!$B$2:$C$2693,2,FALSE)</f>
        <v>AStrs</v>
      </c>
    </row>
    <row r="5189" spans="2:13" x14ac:dyDescent="0.25">
      <c r="B5189" s="36"/>
      <c r="C5189" s="20"/>
      <c r="D5189" s="25" t="s">
        <v>26232</v>
      </c>
      <c r="E5189" s="25"/>
      <c r="F5189" s="9" t="str">
        <f t="shared" si="74"/>
        <v>structure with developmental contribution from neural crest</v>
      </c>
      <c r="G5189" s="9" t="s">
        <v>5090</v>
      </c>
      <c r="H5189" s="9" t="s">
        <v>15666</v>
      </c>
      <c r="I5189" s="9" t="s">
        <v>9607</v>
      </c>
      <c r="J5189" s="9" t="s">
        <v>9608</v>
      </c>
      <c r="K5189" s="5" t="s">
        <v>15173</v>
      </c>
      <c r="L5189" s="13">
        <v>15878</v>
      </c>
      <c r="M5189" t="str">
        <f>VLOOKUP(L5189,[1]DevMouse!$B$2:$C$2693,2,FALSE)</f>
        <v>APal</v>
      </c>
    </row>
    <row r="5190" spans="2:13" x14ac:dyDescent="0.25">
      <c r="B5190" s="36"/>
      <c r="C5190" s="20"/>
      <c r="D5190" s="25" t="s">
        <v>26232</v>
      </c>
      <c r="E5190" s="25"/>
      <c r="F5190" s="9" t="str">
        <f t="shared" si="74"/>
        <v>structure with developmental contribution from neural crest</v>
      </c>
      <c r="G5190" s="9" t="s">
        <v>5090</v>
      </c>
      <c r="H5190" s="9" t="s">
        <v>15667</v>
      </c>
      <c r="I5190" s="9" t="s">
        <v>9609</v>
      </c>
      <c r="J5190" s="9" t="s">
        <v>9610</v>
      </c>
      <c r="K5190" s="5" t="s">
        <v>15173</v>
      </c>
      <c r="L5190" s="13">
        <v>15879</v>
      </c>
      <c r="M5190" t="str">
        <f>VLOOKUP(L5190,[1]DevMouse!$B$2:$C$2693,2,FALSE)</f>
        <v>APalv</v>
      </c>
    </row>
    <row r="5191" spans="2:13" x14ac:dyDescent="0.25">
      <c r="B5191" s="31" t="s">
        <v>26303</v>
      </c>
      <c r="C5191" s="20"/>
      <c r="D5191" s="25" t="s">
        <v>26232</v>
      </c>
      <c r="E5191" s="20" t="s">
        <v>26300</v>
      </c>
      <c r="F5191" s="9" t="str">
        <f t="shared" si="74"/>
        <v>structure with developmental contribution from neural crest</v>
      </c>
      <c r="G5191" s="9" t="s">
        <v>5090</v>
      </c>
      <c r="H5191" s="9" t="s">
        <v>15668</v>
      </c>
      <c r="I5191" s="9" t="s">
        <v>9611</v>
      </c>
      <c r="J5191" s="9" t="s">
        <v>9612</v>
      </c>
      <c r="K5191" s="5" t="s">
        <v>15173</v>
      </c>
      <c r="L5191" s="13">
        <v>15880</v>
      </c>
      <c r="M5191" t="str">
        <f>VLOOKUP(L5191,[1]DevMouse!$B$2:$C$2693,2,FALSE)</f>
        <v>APalm</v>
      </c>
    </row>
    <row r="5192" spans="2:13" x14ac:dyDescent="0.25">
      <c r="B5192" s="36"/>
      <c r="C5192" s="20"/>
      <c r="D5192" s="25" t="s">
        <v>26232</v>
      </c>
      <c r="E5192" s="20" t="s">
        <v>26300</v>
      </c>
      <c r="F5192" s="9" t="str">
        <f t="shared" si="74"/>
        <v>structure with developmental contribution from neural crest</v>
      </c>
      <c r="G5192" s="9" t="s">
        <v>5090</v>
      </c>
      <c r="H5192" s="9" t="s">
        <v>15669</v>
      </c>
      <c r="I5192" s="9" t="s">
        <v>9613</v>
      </c>
      <c r="J5192" s="9" t="s">
        <v>9614</v>
      </c>
      <c r="K5192" s="5" t="s">
        <v>15173</v>
      </c>
      <c r="L5192" s="13">
        <v>15881</v>
      </c>
      <c r="M5192" t="str">
        <f>VLOOKUP(L5192,[1]DevMouse!$B$2:$C$2693,2,FALSE)</f>
        <v>APalp</v>
      </c>
    </row>
    <row r="5193" spans="2:13" x14ac:dyDescent="0.25">
      <c r="B5193" s="31" t="s">
        <v>26303</v>
      </c>
      <c r="C5193" s="25" t="s">
        <v>561</v>
      </c>
      <c r="D5193" s="25" t="s">
        <v>26185</v>
      </c>
      <c r="E5193" s="20" t="s">
        <v>26300</v>
      </c>
      <c r="F5193" s="9" t="str">
        <f t="shared" si="74"/>
        <v>structure with developmental contribution from neural crest</v>
      </c>
      <c r="G5193" s="9" t="s">
        <v>5090</v>
      </c>
      <c r="H5193" s="9" t="s">
        <v>15670</v>
      </c>
      <c r="I5193" s="9" t="s">
        <v>9615</v>
      </c>
      <c r="J5193" s="9" t="s">
        <v>9616</v>
      </c>
      <c r="K5193" s="5" t="s">
        <v>15173</v>
      </c>
      <c r="L5193" s="13">
        <v>15882</v>
      </c>
      <c r="M5193" t="str">
        <f>VLOOKUP(L5193,[1]DevMouse!$B$2:$C$2693,2,FALSE)</f>
        <v>BSTLA</v>
      </c>
    </row>
    <row r="5194" spans="2:13" x14ac:dyDescent="0.25">
      <c r="B5194" s="36"/>
      <c r="C5194" s="20"/>
      <c r="D5194" s="25" t="s">
        <v>26232</v>
      </c>
      <c r="E5194" s="25"/>
      <c r="F5194" s="9" t="str">
        <f t="shared" si="74"/>
        <v>structure with developmental contribution from neural crest</v>
      </c>
      <c r="G5194" s="9" t="s">
        <v>5090</v>
      </c>
      <c r="H5194" s="9" t="s">
        <v>15671</v>
      </c>
      <c r="I5194" s="9" t="s">
        <v>9617</v>
      </c>
      <c r="J5194" s="9" t="s">
        <v>9618</v>
      </c>
      <c r="K5194" s="5" t="s">
        <v>15173</v>
      </c>
      <c r="L5194" s="13">
        <v>15883</v>
      </c>
      <c r="M5194" t="str">
        <f>VLOOKUP(L5194,[1]DevMouse!$B$2:$C$2693,2,FALSE)</f>
        <v>APali</v>
      </c>
    </row>
    <row r="5195" spans="2:13" x14ac:dyDescent="0.25">
      <c r="B5195" s="31" t="s">
        <v>26303</v>
      </c>
      <c r="C5195" s="25" t="s">
        <v>920</v>
      </c>
      <c r="D5195" s="25" t="s">
        <v>26232</v>
      </c>
      <c r="E5195" s="25"/>
      <c r="F5195" s="9" t="str">
        <f t="shared" si="74"/>
        <v>structure with developmental contribution from neural crest</v>
      </c>
      <c r="G5195" s="9" t="s">
        <v>5090</v>
      </c>
      <c r="H5195" s="9" t="s">
        <v>15672</v>
      </c>
      <c r="I5195" s="9" t="s">
        <v>9619</v>
      </c>
      <c r="J5195" s="9" t="s">
        <v>9620</v>
      </c>
      <c r="K5195" s="5" t="s">
        <v>15173</v>
      </c>
      <c r="L5195" s="13">
        <v>15884</v>
      </c>
      <c r="M5195" t="str">
        <f>VLOOKUP(L5195,[1]DevMouse!$B$2:$C$2693,2,FALSE)</f>
        <v>CeM</v>
      </c>
    </row>
    <row r="5196" spans="2:13" x14ac:dyDescent="0.25">
      <c r="B5196" s="36"/>
      <c r="C5196" s="20"/>
      <c r="D5196" s="25" t="s">
        <v>26232</v>
      </c>
      <c r="E5196" s="25"/>
      <c r="F5196" s="9" t="str">
        <f t="shared" si="74"/>
        <v>structure with developmental contribution from neural crest</v>
      </c>
      <c r="G5196" s="9" t="s">
        <v>5090</v>
      </c>
      <c r="H5196" s="9" t="s">
        <v>15673</v>
      </c>
      <c r="I5196" s="9" t="s">
        <v>9621</v>
      </c>
      <c r="J5196" s="9" t="s">
        <v>9622</v>
      </c>
      <c r="K5196" s="5" t="s">
        <v>15173</v>
      </c>
      <c r="L5196" s="13">
        <v>15885</v>
      </c>
      <c r="M5196" t="str">
        <f>VLOOKUP(L5196,[1]DevMouse!$B$2:$C$2693,2,FALSE)</f>
        <v>APals</v>
      </c>
    </row>
    <row r="5197" spans="2:13" x14ac:dyDescent="0.25">
      <c r="B5197" s="31" t="s">
        <v>26303</v>
      </c>
      <c r="C5197" s="20"/>
      <c r="D5197" s="25" t="s">
        <v>26185</v>
      </c>
      <c r="E5197" s="25" t="s">
        <v>26300</v>
      </c>
      <c r="F5197" s="9" t="str">
        <f t="shared" si="74"/>
        <v>structure with developmental contribution from neural crest</v>
      </c>
      <c r="G5197" s="9" t="s">
        <v>5090</v>
      </c>
      <c r="H5197" s="9" t="s">
        <v>15674</v>
      </c>
      <c r="I5197" s="9" t="s">
        <v>9623</v>
      </c>
      <c r="J5197" s="9" t="s">
        <v>9624</v>
      </c>
      <c r="K5197" s="5" t="s">
        <v>15173</v>
      </c>
      <c r="L5197" s="13">
        <v>15886</v>
      </c>
      <c r="M5197" t="str">
        <f>VLOOKUP(L5197,[1]DevMouse!$B$2:$C$2693,2,FALSE)</f>
        <v>ADg</v>
      </c>
    </row>
    <row r="5198" spans="2:13" x14ac:dyDescent="0.25">
      <c r="B5198" s="36"/>
      <c r="C5198" s="20"/>
      <c r="D5198" s="25" t="s">
        <v>26232</v>
      </c>
      <c r="E5198" s="25"/>
      <c r="F5198" s="9" t="str">
        <f t="shared" si="74"/>
        <v>structure with developmental contribution from neural crest</v>
      </c>
      <c r="G5198" s="9" t="s">
        <v>5090</v>
      </c>
      <c r="H5198" s="9" t="s">
        <v>15675</v>
      </c>
      <c r="I5198" s="9" t="s">
        <v>9625</v>
      </c>
      <c r="J5198" s="9" t="s">
        <v>9626</v>
      </c>
      <c r="K5198" s="5" t="s">
        <v>15173</v>
      </c>
      <c r="L5198" s="13">
        <v>15887</v>
      </c>
      <c r="M5198" t="str">
        <f>VLOOKUP(L5198,[1]DevMouse!$B$2:$C$2693,2,FALSE)</f>
        <v>ADgv</v>
      </c>
    </row>
    <row r="5199" spans="2:13" x14ac:dyDescent="0.25">
      <c r="B5199" s="31" t="s">
        <v>26303</v>
      </c>
      <c r="C5199" s="20"/>
      <c r="D5199" s="25" t="s">
        <v>26232</v>
      </c>
      <c r="E5199" s="20" t="s">
        <v>26300</v>
      </c>
      <c r="F5199" s="9" t="str">
        <f t="shared" si="74"/>
        <v>structure with developmental contribution from neural crest</v>
      </c>
      <c r="G5199" s="9" t="s">
        <v>5090</v>
      </c>
      <c r="H5199" s="9" t="s">
        <v>15676</v>
      </c>
      <c r="I5199" s="9" t="s">
        <v>9627</v>
      </c>
      <c r="J5199" s="9" t="s">
        <v>9628</v>
      </c>
      <c r="K5199" s="5" t="s">
        <v>15173</v>
      </c>
      <c r="L5199" s="13">
        <v>15888</v>
      </c>
      <c r="M5199" t="str">
        <f>VLOOKUP(L5199,[1]DevMouse!$B$2:$C$2693,2,FALSE)</f>
        <v>ADgm</v>
      </c>
    </row>
    <row r="5200" spans="2:13" x14ac:dyDescent="0.25">
      <c r="B5200" s="36"/>
      <c r="C5200" s="20"/>
      <c r="D5200" s="25" t="s">
        <v>26232</v>
      </c>
      <c r="E5200" s="20" t="s">
        <v>26300</v>
      </c>
      <c r="F5200" s="9" t="str">
        <f t="shared" si="74"/>
        <v>structure with developmental contribution from neural crest</v>
      </c>
      <c r="G5200" s="9" t="s">
        <v>5090</v>
      </c>
      <c r="H5200" s="9" t="s">
        <v>15677</v>
      </c>
      <c r="I5200" s="9" t="s">
        <v>9629</v>
      </c>
      <c r="J5200" s="9" t="s">
        <v>9630</v>
      </c>
      <c r="K5200" s="5" t="s">
        <v>15173</v>
      </c>
      <c r="L5200" s="13">
        <v>15889</v>
      </c>
      <c r="M5200" t="str">
        <f>VLOOKUP(L5200,[1]DevMouse!$B$2:$C$2693,2,FALSE)</f>
        <v>ADgp</v>
      </c>
    </row>
    <row r="5201" spans="2:13" x14ac:dyDescent="0.25">
      <c r="B5201" s="31" t="s">
        <v>26303</v>
      </c>
      <c r="C5201" s="25" t="s">
        <v>561</v>
      </c>
      <c r="D5201" s="25" t="s">
        <v>26232</v>
      </c>
      <c r="E5201" s="20" t="s">
        <v>26300</v>
      </c>
      <c r="F5201" s="9" t="str">
        <f t="shared" si="74"/>
        <v>structure with developmental contribution from neural crest</v>
      </c>
      <c r="G5201" s="9" t="s">
        <v>5090</v>
      </c>
      <c r="H5201" s="9" t="s">
        <v>15678</v>
      </c>
      <c r="I5201" s="9" t="s">
        <v>9631</v>
      </c>
      <c r="J5201" s="9" t="s">
        <v>9632</v>
      </c>
      <c r="K5201" s="5" t="s">
        <v>15173</v>
      </c>
      <c r="L5201" s="13">
        <v>15890</v>
      </c>
      <c r="M5201" t="str">
        <f>VLOOKUP(L5201,[1]DevMouse!$B$2:$C$2693,2,FALSE)</f>
        <v>BSTMA</v>
      </c>
    </row>
    <row r="5202" spans="2:13" x14ac:dyDescent="0.25">
      <c r="B5202" s="36"/>
      <c r="C5202" s="20"/>
      <c r="D5202" s="25" t="s">
        <v>26232</v>
      </c>
      <c r="E5202" s="25"/>
      <c r="F5202" s="9" t="str">
        <f t="shared" si="74"/>
        <v>structure with developmental contribution from neural crest</v>
      </c>
      <c r="G5202" s="9" t="s">
        <v>5090</v>
      </c>
      <c r="H5202" s="9" t="s">
        <v>15679</v>
      </c>
      <c r="I5202" s="9" t="s">
        <v>9633</v>
      </c>
      <c r="J5202" s="9" t="s">
        <v>9634</v>
      </c>
      <c r="K5202" s="5" t="s">
        <v>15173</v>
      </c>
      <c r="L5202" s="13">
        <v>15891</v>
      </c>
      <c r="M5202" t="str">
        <f>VLOOKUP(L5202,[1]DevMouse!$B$2:$C$2693,2,FALSE)</f>
        <v>ADgi</v>
      </c>
    </row>
    <row r="5203" spans="2:13" x14ac:dyDescent="0.25">
      <c r="B5203" s="36"/>
      <c r="C5203" s="20"/>
      <c r="D5203" s="25" t="s">
        <v>26232</v>
      </c>
      <c r="E5203" s="25"/>
      <c r="F5203" s="9" t="str">
        <f t="shared" si="74"/>
        <v>structure with developmental contribution from neural crest</v>
      </c>
      <c r="G5203" s="9" t="s">
        <v>5090</v>
      </c>
      <c r="H5203" s="9" t="s">
        <v>15680</v>
      </c>
      <c r="I5203" s="9" t="s">
        <v>9635</v>
      </c>
      <c r="J5203" s="9" t="s">
        <v>9636</v>
      </c>
      <c r="K5203" s="5" t="s">
        <v>15173</v>
      </c>
      <c r="L5203" s="13">
        <v>15892</v>
      </c>
      <c r="M5203" t="str">
        <f>VLOOKUP(L5203,[1]DevMouse!$B$2:$C$2693,2,FALSE)</f>
        <v>ADgs</v>
      </c>
    </row>
    <row r="5204" spans="2:13" x14ac:dyDescent="0.25">
      <c r="B5204" s="36"/>
      <c r="C5204" s="20"/>
      <c r="D5204" s="25" t="s">
        <v>26232</v>
      </c>
      <c r="E5204" s="25"/>
      <c r="F5204" s="9" t="str">
        <f t="shared" si="74"/>
        <v>structure with developmental contribution from neural crest</v>
      </c>
      <c r="G5204" s="9" t="s">
        <v>5090</v>
      </c>
      <c r="H5204" s="9" t="s">
        <v>15681</v>
      </c>
      <c r="I5204" s="9" t="s">
        <v>9637</v>
      </c>
      <c r="J5204" s="9" t="s">
        <v>9638</v>
      </c>
      <c r="K5204" s="5" t="s">
        <v>15173</v>
      </c>
      <c r="L5204" s="13">
        <v>15893</v>
      </c>
      <c r="M5204" t="str">
        <f>VLOOKUP(L5204,[1]DevMouse!$B$2:$C$2693,2,FALSE)</f>
        <v>AHy</v>
      </c>
    </row>
    <row r="5205" spans="2:13" x14ac:dyDescent="0.25">
      <c r="B5205" s="36"/>
      <c r="C5205" s="20"/>
      <c r="D5205" s="25" t="s">
        <v>26232</v>
      </c>
      <c r="E5205" s="25"/>
      <c r="F5205" s="9" t="str">
        <f t="shared" si="74"/>
        <v>structure with developmental contribution from neural crest</v>
      </c>
      <c r="G5205" s="9" t="s">
        <v>5090</v>
      </c>
      <c r="H5205" s="9" t="s">
        <v>15682</v>
      </c>
      <c r="I5205" s="9" t="s">
        <v>9639</v>
      </c>
      <c r="J5205" s="9" t="s">
        <v>9640</v>
      </c>
      <c r="K5205" s="5" t="s">
        <v>15173</v>
      </c>
      <c r="L5205" s="13">
        <v>15894</v>
      </c>
      <c r="M5205" t="str">
        <f>VLOOKUP(L5205,[1]DevMouse!$B$2:$C$2693,2,FALSE)</f>
        <v>AHyv</v>
      </c>
    </row>
    <row r="5206" spans="2:13" x14ac:dyDescent="0.25">
      <c r="B5206" s="31" t="s">
        <v>26303</v>
      </c>
      <c r="C5206" s="20"/>
      <c r="D5206" s="25" t="s">
        <v>26232</v>
      </c>
      <c r="E5206" s="20" t="s">
        <v>26300</v>
      </c>
      <c r="F5206" s="9" t="str">
        <f t="shared" si="74"/>
        <v>structure with developmental contribution from neural crest</v>
      </c>
      <c r="G5206" s="9" t="s">
        <v>5090</v>
      </c>
      <c r="H5206" s="9" t="s">
        <v>15683</v>
      </c>
      <c r="I5206" s="9" t="s">
        <v>9641</v>
      </c>
      <c r="J5206" s="9" t="s">
        <v>9642</v>
      </c>
      <c r="K5206" s="5" t="s">
        <v>15173</v>
      </c>
      <c r="L5206" s="13">
        <v>15895</v>
      </c>
      <c r="M5206" t="str">
        <f>VLOOKUP(L5206,[1]DevMouse!$B$2:$C$2693,2,FALSE)</f>
        <v>AHym</v>
      </c>
    </row>
    <row r="5207" spans="2:13" x14ac:dyDescent="0.25">
      <c r="B5207" s="36"/>
      <c r="C5207" s="20"/>
      <c r="D5207" s="25" t="s">
        <v>26232</v>
      </c>
      <c r="E5207" s="20" t="s">
        <v>26300</v>
      </c>
      <c r="F5207" s="9" t="str">
        <f t="shared" si="74"/>
        <v>structure with developmental contribution from neural crest</v>
      </c>
      <c r="G5207" s="9" t="s">
        <v>5090</v>
      </c>
      <c r="H5207" s="9" t="s">
        <v>15684</v>
      </c>
      <c r="I5207" s="9" t="s">
        <v>9643</v>
      </c>
      <c r="J5207" s="9" t="s">
        <v>9644</v>
      </c>
      <c r="K5207" s="5" t="s">
        <v>15173</v>
      </c>
      <c r="L5207" s="13">
        <v>15896</v>
      </c>
      <c r="M5207" t="str">
        <f>VLOOKUP(L5207,[1]DevMouse!$B$2:$C$2693,2,FALSE)</f>
        <v>AHyp</v>
      </c>
    </row>
    <row r="5208" spans="2:13" x14ac:dyDescent="0.25">
      <c r="B5208" s="36"/>
      <c r="C5208" s="20"/>
      <c r="D5208" s="25" t="s">
        <v>26232</v>
      </c>
      <c r="E5208" s="25"/>
      <c r="F5208" s="9" t="str">
        <f t="shared" si="74"/>
        <v>structure with developmental contribution from neural crest</v>
      </c>
      <c r="G5208" s="9" t="s">
        <v>5090</v>
      </c>
      <c r="H5208" s="9" t="s">
        <v>15685</v>
      </c>
      <c r="I5208" s="9" t="s">
        <v>9645</v>
      </c>
      <c r="J5208" s="9" t="s">
        <v>9646</v>
      </c>
      <c r="K5208" s="5" t="s">
        <v>15173</v>
      </c>
      <c r="L5208" s="13">
        <v>15897</v>
      </c>
      <c r="M5208" t="str">
        <f>VLOOKUP(L5208,[1]DevMouse!$B$2:$C$2693,2,FALSE)</f>
        <v>AHyi</v>
      </c>
    </row>
    <row r="5209" spans="2:13" x14ac:dyDescent="0.25">
      <c r="B5209" s="36"/>
      <c r="C5209" s="20"/>
      <c r="D5209" s="25" t="s">
        <v>26232</v>
      </c>
      <c r="E5209" s="25"/>
      <c r="F5209" s="9" t="str">
        <f t="shared" si="74"/>
        <v>structure with developmental contribution from neural crest</v>
      </c>
      <c r="G5209" s="9" t="s">
        <v>5090</v>
      </c>
      <c r="H5209" s="9" t="s">
        <v>15686</v>
      </c>
      <c r="I5209" s="9" t="s">
        <v>9647</v>
      </c>
      <c r="J5209" s="9" t="s">
        <v>9648</v>
      </c>
      <c r="K5209" s="5" t="s">
        <v>15173</v>
      </c>
      <c r="L5209" s="13">
        <v>15898</v>
      </c>
      <c r="M5209" t="str">
        <f>VLOOKUP(L5209,[1]DevMouse!$B$2:$C$2693,2,FALSE)</f>
        <v>AHys</v>
      </c>
    </row>
    <row r="5210" spans="2:13" x14ac:dyDescent="0.25">
      <c r="B5210" s="31" t="s">
        <v>26303</v>
      </c>
      <c r="C5210" s="25" t="s">
        <v>26018</v>
      </c>
      <c r="D5210" s="25" t="s">
        <v>26232</v>
      </c>
      <c r="E5210" s="25"/>
      <c r="F5210" s="9" t="str">
        <f t="shared" si="74"/>
        <v>structure with developmental contribution from neural crest</v>
      </c>
      <c r="G5210" s="9" t="s">
        <v>5090</v>
      </c>
      <c r="H5210" s="9" t="s">
        <v>15687</v>
      </c>
      <c r="I5210" s="9" t="s">
        <v>9649</v>
      </c>
      <c r="J5210" s="9" t="s">
        <v>9650</v>
      </c>
      <c r="K5210" s="5" t="s">
        <v>15173</v>
      </c>
      <c r="L5210" s="13">
        <v>15899</v>
      </c>
      <c r="M5210" t="str">
        <f>VLOOKUP(L5210,[1]DevMouse!$B$2:$C$2693,2,FALSE)</f>
        <v>MePD</v>
      </c>
    </row>
    <row r="5211" spans="2:13" x14ac:dyDescent="0.25">
      <c r="B5211" s="31" t="s">
        <v>26303</v>
      </c>
      <c r="C5211" s="25" t="s">
        <v>26018</v>
      </c>
      <c r="D5211" s="25" t="s">
        <v>26232</v>
      </c>
      <c r="E5211" s="25"/>
      <c r="F5211" s="9" t="str">
        <f t="shared" si="74"/>
        <v>structure with developmental contribution from neural crest</v>
      </c>
      <c r="G5211" s="9" t="s">
        <v>5090</v>
      </c>
      <c r="H5211" s="9" t="s">
        <v>15688</v>
      </c>
      <c r="I5211" s="9" t="s">
        <v>9651</v>
      </c>
      <c r="J5211" s="9" t="s">
        <v>9652</v>
      </c>
      <c r="K5211" s="5" t="s">
        <v>15173</v>
      </c>
      <c r="L5211" s="13">
        <v>15900</v>
      </c>
      <c r="M5211" t="str">
        <f>VLOOKUP(L5211,[1]DevMouse!$B$2:$C$2693,2,FALSE)</f>
        <v>MePV</v>
      </c>
    </row>
    <row r="5212" spans="2:13" x14ac:dyDescent="0.25">
      <c r="B5212" s="31" t="s">
        <v>26303</v>
      </c>
      <c r="C5212" s="25" t="s">
        <v>26018</v>
      </c>
      <c r="D5212" s="25" t="s">
        <v>26232</v>
      </c>
      <c r="E5212" s="25"/>
      <c r="F5212" s="9" t="str">
        <f t="shared" si="74"/>
        <v>structure with developmental contribution from neural crest</v>
      </c>
      <c r="G5212" s="9" t="s">
        <v>5090</v>
      </c>
      <c r="H5212" s="9" t="s">
        <v>15689</v>
      </c>
      <c r="I5212" s="9" t="s">
        <v>9653</v>
      </c>
      <c r="J5212" s="9" t="s">
        <v>9654</v>
      </c>
      <c r="K5212" s="5" t="s">
        <v>15173</v>
      </c>
      <c r="L5212" s="13">
        <v>15901</v>
      </c>
      <c r="M5212" t="str">
        <f>VLOOKUP(L5212,[1]DevMouse!$B$2:$C$2693,2,FALSE)</f>
        <v>MeAD</v>
      </c>
    </row>
    <row r="5213" spans="2:13" x14ac:dyDescent="0.25">
      <c r="B5213" s="31" t="s">
        <v>26303</v>
      </c>
      <c r="C5213" s="25" t="s">
        <v>26018</v>
      </c>
      <c r="D5213" s="25" t="s">
        <v>26232</v>
      </c>
      <c r="E5213" s="25"/>
      <c r="F5213" s="9" t="str">
        <f t="shared" si="74"/>
        <v>structure with developmental contribution from neural crest</v>
      </c>
      <c r="G5213" s="9" t="s">
        <v>5090</v>
      </c>
      <c r="H5213" s="9" t="s">
        <v>15690</v>
      </c>
      <c r="I5213" s="9" t="s">
        <v>9655</v>
      </c>
      <c r="J5213" s="9" t="s">
        <v>9656</v>
      </c>
      <c r="K5213" s="5" t="s">
        <v>15173</v>
      </c>
      <c r="L5213" s="13">
        <v>15902</v>
      </c>
      <c r="M5213" t="str">
        <f>VLOOKUP(L5213,[1]DevMouse!$B$2:$C$2693,2,FALSE)</f>
        <v>MeAV</v>
      </c>
    </row>
    <row r="5214" spans="2:13" x14ac:dyDescent="0.25">
      <c r="B5214" s="31" t="s">
        <v>26303</v>
      </c>
      <c r="C5214" s="25" t="s">
        <v>3417</v>
      </c>
      <c r="D5214" s="25" t="s">
        <v>26232</v>
      </c>
      <c r="E5214" s="25"/>
      <c r="F5214" s="9" t="str">
        <f t="shared" si="74"/>
        <v>structure with developmental contribution from neural crest</v>
      </c>
      <c r="G5214" s="9" t="s">
        <v>5090</v>
      </c>
      <c r="H5214" s="9" t="s">
        <v>15695</v>
      </c>
      <c r="I5214" s="9" t="s">
        <v>9657</v>
      </c>
      <c r="J5214" s="9" t="s">
        <v>9658</v>
      </c>
      <c r="K5214" s="5" t="s">
        <v>15173</v>
      </c>
      <c r="L5214" s="13">
        <v>15905</v>
      </c>
      <c r="M5214" t="str">
        <f>VLOOKUP(L5214,[1]DevMouse!$B$2:$C$2693,2,FALSE)</f>
        <v>OB</v>
      </c>
    </row>
    <row r="5215" spans="2:13" x14ac:dyDescent="0.25">
      <c r="B5215" s="36"/>
      <c r="C5215" s="20"/>
      <c r="D5215" s="25" t="s">
        <v>26232</v>
      </c>
      <c r="E5215" s="25"/>
      <c r="F5215" s="9" t="str">
        <f t="shared" si="74"/>
        <v>structure with developmental contribution from neural crest</v>
      </c>
      <c r="G5215" s="9" t="s">
        <v>5090</v>
      </c>
      <c r="H5215" s="9" t="s">
        <v>15696</v>
      </c>
      <c r="I5215" s="9" t="s">
        <v>9659</v>
      </c>
      <c r="J5215" s="9" t="s">
        <v>9660</v>
      </c>
      <c r="K5215" s="5" t="s">
        <v>15173</v>
      </c>
      <c r="L5215" s="13">
        <v>15906</v>
      </c>
      <c r="M5215" t="str">
        <f>VLOOKUP(L5215,[1]DevMouse!$B$2:$C$2693,2,FALSE)</f>
        <v>OBv</v>
      </c>
    </row>
    <row r="5216" spans="2:13" x14ac:dyDescent="0.25">
      <c r="B5216" s="31" t="s">
        <v>26303</v>
      </c>
      <c r="C5216" s="20"/>
      <c r="D5216" s="25" t="s">
        <v>26232</v>
      </c>
      <c r="E5216" s="20" t="s">
        <v>26300</v>
      </c>
      <c r="F5216" s="9" t="str">
        <f t="shared" si="74"/>
        <v>structure with developmental contribution from neural crest</v>
      </c>
      <c r="G5216" s="9" t="s">
        <v>5090</v>
      </c>
      <c r="H5216" s="9" t="s">
        <v>15697</v>
      </c>
      <c r="I5216" s="9" t="s">
        <v>9661</v>
      </c>
      <c r="J5216" s="9" t="s">
        <v>9662</v>
      </c>
      <c r="K5216" s="5" t="s">
        <v>15173</v>
      </c>
      <c r="L5216" s="13">
        <v>15907</v>
      </c>
      <c r="M5216" t="str">
        <f>VLOOKUP(L5216,[1]DevMouse!$B$2:$C$2693,2,FALSE)</f>
        <v>OBm</v>
      </c>
    </row>
    <row r="5217" spans="2:13" x14ac:dyDescent="0.25">
      <c r="B5217" s="36"/>
      <c r="C5217" s="20"/>
      <c r="D5217" s="25" t="s">
        <v>26232</v>
      </c>
      <c r="E5217" s="20" t="s">
        <v>26300</v>
      </c>
      <c r="F5217" s="9" t="str">
        <f t="shared" si="74"/>
        <v>structure with developmental contribution from neural crest</v>
      </c>
      <c r="G5217" s="9" t="s">
        <v>5090</v>
      </c>
      <c r="H5217" s="9" t="s">
        <v>15698</v>
      </c>
      <c r="I5217" s="9" t="s">
        <v>9663</v>
      </c>
      <c r="J5217" s="9" t="s">
        <v>9664</v>
      </c>
      <c r="K5217" s="5" t="s">
        <v>15173</v>
      </c>
      <c r="L5217" s="13">
        <v>15908</v>
      </c>
      <c r="M5217" t="str">
        <f>VLOOKUP(L5217,[1]DevMouse!$B$2:$C$2693,2,FALSE)</f>
        <v>OBp</v>
      </c>
    </row>
    <row r="5218" spans="2:13" x14ac:dyDescent="0.25">
      <c r="B5218" s="36"/>
      <c r="C5218" s="20"/>
      <c r="D5218" s="25" t="s">
        <v>26232</v>
      </c>
      <c r="E5218" s="25"/>
      <c r="F5218" s="9" t="str">
        <f t="shared" si="74"/>
        <v>structure with developmental contribution from neural crest</v>
      </c>
      <c r="G5218" s="9" t="s">
        <v>5090</v>
      </c>
      <c r="H5218" s="9" t="s">
        <v>15699</v>
      </c>
      <c r="I5218" s="9" t="s">
        <v>3430</v>
      </c>
      <c r="J5218" s="9" t="s">
        <v>3431</v>
      </c>
      <c r="K5218" s="5" t="s">
        <v>15173</v>
      </c>
      <c r="L5218" s="13">
        <v>15909</v>
      </c>
      <c r="M5218" t="str">
        <f>VLOOKUP(L5218,[1]DevMouse!$B$2:$C$2693,2,FALSE)</f>
        <v>OB-Gr</v>
      </c>
    </row>
    <row r="5219" spans="2:13" x14ac:dyDescent="0.25">
      <c r="B5219" s="31" t="s">
        <v>26303</v>
      </c>
      <c r="C5219" s="25" t="s">
        <v>26069</v>
      </c>
      <c r="D5219" s="25" t="s">
        <v>26232</v>
      </c>
      <c r="E5219" s="25"/>
      <c r="F5219" s="9" t="str">
        <f t="shared" si="74"/>
        <v>structure with developmental contribution from neural crest</v>
      </c>
      <c r="G5219" s="9" t="s">
        <v>5090</v>
      </c>
      <c r="H5219" s="9" t="s">
        <v>15700</v>
      </c>
      <c r="I5219" s="9" t="s">
        <v>3437</v>
      </c>
      <c r="J5219" s="9" t="s">
        <v>3438</v>
      </c>
      <c r="K5219" s="5" t="s">
        <v>15173</v>
      </c>
      <c r="L5219" s="13">
        <v>15910</v>
      </c>
      <c r="M5219" t="str">
        <f>VLOOKUP(L5219,[1]DevMouse!$B$2:$C$2693,2,FALSE)</f>
        <v>OB-Ipl</v>
      </c>
    </row>
    <row r="5220" spans="2:13" x14ac:dyDescent="0.25">
      <c r="B5220" s="36"/>
      <c r="C5220" s="20"/>
      <c r="D5220" s="25" t="s">
        <v>26232</v>
      </c>
      <c r="E5220" s="25"/>
      <c r="F5220" s="9" t="str">
        <f t="shared" si="74"/>
        <v>structure with developmental contribution from neural crest</v>
      </c>
      <c r="G5220" s="9" t="s">
        <v>5090</v>
      </c>
      <c r="H5220" s="9" t="s">
        <v>15701</v>
      </c>
      <c r="I5220" s="9" t="s">
        <v>9665</v>
      </c>
      <c r="J5220" s="9" t="s">
        <v>9666</v>
      </c>
      <c r="K5220" s="5" t="s">
        <v>15173</v>
      </c>
      <c r="L5220" s="13">
        <v>15911</v>
      </c>
      <c r="M5220" t="str">
        <f>VLOOKUP(L5220,[1]DevMouse!$B$2:$C$2693,2,FALSE)</f>
        <v>OBi</v>
      </c>
    </row>
    <row r="5221" spans="2:13" x14ac:dyDescent="0.25">
      <c r="B5221" s="31" t="s">
        <v>26303</v>
      </c>
      <c r="C5221" s="25" t="s">
        <v>26071</v>
      </c>
      <c r="D5221" s="25" t="s">
        <v>26232</v>
      </c>
      <c r="E5221" s="25"/>
      <c r="F5221" s="9" t="str">
        <f t="shared" si="74"/>
        <v>structure with developmental contribution from neural crest</v>
      </c>
      <c r="G5221" s="9" t="s">
        <v>5090</v>
      </c>
      <c r="H5221" s="9" t="s">
        <v>15702</v>
      </c>
      <c r="I5221" s="9" t="s">
        <v>3445</v>
      </c>
      <c r="J5221" s="9" t="s">
        <v>3446</v>
      </c>
      <c r="K5221" s="5" t="s">
        <v>15173</v>
      </c>
      <c r="L5221" s="13">
        <v>15912</v>
      </c>
      <c r="M5221" t="str">
        <f>VLOOKUP(L5221,[1]DevMouse!$B$2:$C$2693,2,FALSE)</f>
        <v>OB-Mtr</v>
      </c>
    </row>
    <row r="5222" spans="2:13" x14ac:dyDescent="0.25">
      <c r="B5222" s="31" t="s">
        <v>26303</v>
      </c>
      <c r="C5222" s="25" t="s">
        <v>26066</v>
      </c>
      <c r="D5222" s="25" t="s">
        <v>26232</v>
      </c>
      <c r="E5222" s="25"/>
      <c r="F5222" s="9" t="str">
        <f t="shared" si="74"/>
        <v>structure with developmental contribution from neural crest</v>
      </c>
      <c r="G5222" s="9" t="s">
        <v>5090</v>
      </c>
      <c r="H5222" s="9" t="s">
        <v>15703</v>
      </c>
      <c r="I5222" s="9" t="s">
        <v>3422</v>
      </c>
      <c r="J5222" s="9" t="s">
        <v>3423</v>
      </c>
      <c r="K5222" s="5" t="s">
        <v>15173</v>
      </c>
      <c r="L5222" s="13">
        <v>15913</v>
      </c>
      <c r="M5222" t="str">
        <f>VLOOKUP(L5222,[1]DevMouse!$B$2:$C$2693,2,FALSE)</f>
        <v>OB-Opl</v>
      </c>
    </row>
    <row r="5223" spans="2:13" x14ac:dyDescent="0.25">
      <c r="B5223" s="36"/>
      <c r="C5223" s="20"/>
      <c r="D5223" s="25" t="s">
        <v>26232</v>
      </c>
      <c r="E5223" s="25"/>
      <c r="F5223" s="9" t="str">
        <f t="shared" si="74"/>
        <v>structure with developmental contribution from neural crest</v>
      </c>
      <c r="G5223" s="9" t="s">
        <v>5090</v>
      </c>
      <c r="H5223" s="9" t="s">
        <v>15704</v>
      </c>
      <c r="I5223" s="9" t="s">
        <v>9667</v>
      </c>
      <c r="J5223" s="9" t="s">
        <v>9668</v>
      </c>
      <c r="K5223" s="5" t="s">
        <v>15173</v>
      </c>
      <c r="L5223" s="13">
        <v>15914</v>
      </c>
      <c r="M5223" t="str">
        <f>VLOOKUP(L5223,[1]DevMouse!$B$2:$C$2693,2,FALSE)</f>
        <v>OBs</v>
      </c>
    </row>
    <row r="5224" spans="2:13" x14ac:dyDescent="0.25">
      <c r="B5224" s="36"/>
      <c r="C5224" s="20"/>
      <c r="D5224" s="25" t="s">
        <v>26232</v>
      </c>
      <c r="E5224" s="25"/>
      <c r="F5224" s="9" t="str">
        <f t="shared" si="74"/>
        <v>structure with developmental contribution from neural crest</v>
      </c>
      <c r="G5224" s="9" t="s">
        <v>5090</v>
      </c>
      <c r="H5224" s="9" t="s">
        <v>15705</v>
      </c>
      <c r="I5224" s="9" t="s">
        <v>9669</v>
      </c>
      <c r="J5224" s="9" t="s">
        <v>9670</v>
      </c>
      <c r="K5224" s="5" t="s">
        <v>15173</v>
      </c>
      <c r="L5224" s="13">
        <v>15915</v>
      </c>
      <c r="M5224" t="str">
        <f>VLOOKUP(L5224,[1]DevMouse!$B$2:$C$2693,2,FALSE)</f>
        <v>OB-Glom</v>
      </c>
    </row>
    <row r="5225" spans="2:13" x14ac:dyDescent="0.25">
      <c r="B5225" s="31" t="s">
        <v>26303</v>
      </c>
      <c r="C5225" s="20"/>
      <c r="D5225" s="25" t="s">
        <v>26232</v>
      </c>
      <c r="E5225" s="25" t="s">
        <v>26300</v>
      </c>
      <c r="F5225" s="9" t="str">
        <f t="shared" si="74"/>
        <v>structure with developmental contribution from neural crest</v>
      </c>
      <c r="G5225" s="9" t="s">
        <v>5090</v>
      </c>
      <c r="H5225" s="9" t="s">
        <v>15706</v>
      </c>
      <c r="I5225" s="9" t="s">
        <v>9671</v>
      </c>
      <c r="J5225" s="9" t="s">
        <v>9672</v>
      </c>
      <c r="K5225" s="5" t="s">
        <v>15173</v>
      </c>
      <c r="L5225" s="13">
        <v>15916</v>
      </c>
      <c r="M5225" t="str">
        <f>VLOOKUP(L5225,[1]DevMouse!$B$2:$C$2693,2,FALSE)</f>
        <v>OB-OF</v>
      </c>
    </row>
    <row r="5226" spans="2:13" x14ac:dyDescent="0.25">
      <c r="B5226" s="31" t="s">
        <v>26303</v>
      </c>
      <c r="C5226" s="25" t="s">
        <v>387</v>
      </c>
      <c r="D5226" s="25" t="s">
        <v>26232</v>
      </c>
      <c r="E5226" s="25" t="s">
        <v>26300</v>
      </c>
      <c r="F5226" s="9" t="str">
        <f t="shared" si="74"/>
        <v>structure with developmental contribution from neural crest</v>
      </c>
      <c r="G5226" s="9" t="s">
        <v>5090</v>
      </c>
      <c r="H5226" s="9" t="s">
        <v>15707</v>
      </c>
      <c r="I5226" s="9" t="s">
        <v>9673</v>
      </c>
      <c r="J5226" s="9" t="s">
        <v>9674</v>
      </c>
      <c r="K5226" s="5" t="s">
        <v>15173</v>
      </c>
      <c r="L5226" s="13">
        <v>15917</v>
      </c>
      <c r="M5226" t="str">
        <f>VLOOKUP(L5226,[1]DevMouse!$B$2:$C$2693,2,FALSE)</f>
        <v>AOV</v>
      </c>
    </row>
    <row r="5227" spans="2:13" x14ac:dyDescent="0.25">
      <c r="B5227" s="36"/>
      <c r="C5227" s="20"/>
      <c r="D5227" s="25" t="s">
        <v>26232</v>
      </c>
      <c r="E5227" s="25"/>
      <c r="F5227" s="9" t="str">
        <f t="shared" si="74"/>
        <v>structure with developmental contribution from neural crest</v>
      </c>
      <c r="G5227" s="9" t="s">
        <v>5090</v>
      </c>
      <c r="H5227" s="9" t="s">
        <v>15708</v>
      </c>
      <c r="I5227" s="9" t="s">
        <v>9675</v>
      </c>
      <c r="J5227" s="9" t="s">
        <v>9676</v>
      </c>
      <c r="K5227" s="5" t="s">
        <v>15173</v>
      </c>
      <c r="L5227" s="13">
        <v>15918</v>
      </c>
      <c r="M5227" t="str">
        <f>VLOOKUP(L5227,[1]DevMouse!$B$2:$C$2693,2,FALSE)</f>
        <v>AOVv</v>
      </c>
    </row>
    <row r="5228" spans="2:13" x14ac:dyDescent="0.25">
      <c r="B5228" s="31" t="s">
        <v>26303</v>
      </c>
      <c r="C5228" s="20"/>
      <c r="D5228" s="25" t="s">
        <v>26232</v>
      </c>
      <c r="E5228" s="20" t="s">
        <v>26300</v>
      </c>
      <c r="F5228" s="9" t="str">
        <f t="shared" si="74"/>
        <v>structure with developmental contribution from neural crest</v>
      </c>
      <c r="G5228" s="9" t="s">
        <v>5090</v>
      </c>
      <c r="H5228" s="9" t="s">
        <v>15709</v>
      </c>
      <c r="I5228" s="9" t="s">
        <v>9677</v>
      </c>
      <c r="J5228" s="9" t="s">
        <v>9678</v>
      </c>
      <c r="K5228" s="5" t="s">
        <v>15173</v>
      </c>
      <c r="L5228" s="13">
        <v>15919</v>
      </c>
      <c r="M5228" t="str">
        <f>VLOOKUP(L5228,[1]DevMouse!$B$2:$C$2693,2,FALSE)</f>
        <v>AOVm</v>
      </c>
    </row>
    <row r="5229" spans="2:13" x14ac:dyDescent="0.25">
      <c r="B5229" s="36"/>
      <c r="C5229" s="20"/>
      <c r="D5229" s="25" t="s">
        <v>26232</v>
      </c>
      <c r="E5229" s="20" t="s">
        <v>26300</v>
      </c>
      <c r="F5229" s="9" t="str">
        <f t="shared" si="74"/>
        <v>structure with developmental contribution from neural crest</v>
      </c>
      <c r="G5229" s="9" t="s">
        <v>5090</v>
      </c>
      <c r="H5229" s="9" t="s">
        <v>15710</v>
      </c>
      <c r="I5229" s="9" t="s">
        <v>9679</v>
      </c>
      <c r="J5229" s="9" t="s">
        <v>9680</v>
      </c>
      <c r="K5229" s="5" t="s">
        <v>15173</v>
      </c>
      <c r="L5229" s="13">
        <v>15920</v>
      </c>
      <c r="M5229" t="str">
        <f>VLOOKUP(L5229,[1]DevMouse!$B$2:$C$2693,2,FALSE)</f>
        <v>AOVp</v>
      </c>
    </row>
    <row r="5230" spans="2:13" x14ac:dyDescent="0.25">
      <c r="B5230" s="36"/>
      <c r="C5230" s="20"/>
      <c r="D5230" s="25" t="s">
        <v>26232</v>
      </c>
      <c r="E5230" s="25"/>
      <c r="F5230" s="9" t="str">
        <f t="shared" si="74"/>
        <v>structure with developmental contribution from neural crest</v>
      </c>
      <c r="G5230" s="9" t="s">
        <v>5090</v>
      </c>
      <c r="H5230" s="9" t="s">
        <v>15711</v>
      </c>
      <c r="I5230" s="9" t="s">
        <v>9681</v>
      </c>
      <c r="J5230" s="9" t="s">
        <v>9682</v>
      </c>
      <c r="K5230" s="5" t="s">
        <v>15173</v>
      </c>
      <c r="L5230" s="13">
        <v>15921</v>
      </c>
      <c r="M5230" t="str">
        <f>VLOOKUP(L5230,[1]DevMouse!$B$2:$C$2693,2,FALSE)</f>
        <v>AOVi</v>
      </c>
    </row>
    <row r="5231" spans="2:13" x14ac:dyDescent="0.25">
      <c r="B5231" s="36"/>
      <c r="C5231" s="20"/>
      <c r="D5231" s="25" t="s">
        <v>26232</v>
      </c>
      <c r="E5231" s="25"/>
      <c r="F5231" s="9" t="str">
        <f t="shared" si="74"/>
        <v>structure with developmental contribution from neural crest</v>
      </c>
      <c r="G5231" s="9" t="s">
        <v>5090</v>
      </c>
      <c r="H5231" s="9" t="s">
        <v>15712</v>
      </c>
      <c r="I5231" s="9" t="s">
        <v>9683</v>
      </c>
      <c r="J5231" s="9" t="s">
        <v>9684</v>
      </c>
      <c r="K5231" s="5" t="s">
        <v>15173</v>
      </c>
      <c r="L5231" s="13">
        <v>15922</v>
      </c>
      <c r="M5231" t="str">
        <f>VLOOKUP(L5231,[1]DevMouse!$B$2:$C$2693,2,FALSE)</f>
        <v>AOVs</v>
      </c>
    </row>
    <row r="5232" spans="2:13" x14ac:dyDescent="0.25">
      <c r="B5232" s="36"/>
      <c r="C5232" s="20"/>
      <c r="D5232" s="25" t="s">
        <v>26232</v>
      </c>
      <c r="E5232" s="25" t="s">
        <v>26306</v>
      </c>
      <c r="F5232" s="9" t="str">
        <f t="shared" si="74"/>
        <v>structure with developmental contribution from neural crest</v>
      </c>
      <c r="G5232" s="9" t="s">
        <v>5090</v>
      </c>
      <c r="H5232" s="9" t="s">
        <v>15713</v>
      </c>
      <c r="I5232" s="9" t="s">
        <v>9685</v>
      </c>
      <c r="J5232" s="9" t="s">
        <v>9686</v>
      </c>
      <c r="K5232" s="5" t="s">
        <v>15173</v>
      </c>
      <c r="L5232" s="13">
        <v>15923</v>
      </c>
      <c r="M5232" t="str">
        <f>VLOOKUP(L5232,[1]DevMouse!$B$2:$C$2693,2,FALSE)</f>
        <v>AOV1</v>
      </c>
    </row>
    <row r="5233" spans="2:13" x14ac:dyDescent="0.25">
      <c r="B5233" s="36"/>
      <c r="C5233" s="20"/>
      <c r="D5233" s="25" t="s">
        <v>26232</v>
      </c>
      <c r="E5233" s="25" t="s">
        <v>26306</v>
      </c>
      <c r="F5233" s="9" t="str">
        <f t="shared" si="74"/>
        <v>structure with developmental contribution from neural crest</v>
      </c>
      <c r="G5233" s="9" t="s">
        <v>5090</v>
      </c>
      <c r="H5233" s="9" t="s">
        <v>15714</v>
      </c>
      <c r="I5233" s="9" t="s">
        <v>9687</v>
      </c>
      <c r="J5233" s="9" t="s">
        <v>9688</v>
      </c>
      <c r="K5233" s="5" t="s">
        <v>15173</v>
      </c>
      <c r="L5233" s="13">
        <v>15924</v>
      </c>
      <c r="M5233" t="str">
        <f>VLOOKUP(L5233,[1]DevMouse!$B$2:$C$2693,2,FALSE)</f>
        <v>AOV2</v>
      </c>
    </row>
    <row r="5234" spans="2:13" x14ac:dyDescent="0.25">
      <c r="B5234" s="36"/>
      <c r="C5234" s="20"/>
      <c r="D5234" s="25" t="s">
        <v>26232</v>
      </c>
      <c r="E5234" s="25" t="s">
        <v>26306</v>
      </c>
      <c r="F5234" s="9" t="str">
        <f t="shared" si="74"/>
        <v>structure with developmental contribution from neural crest</v>
      </c>
      <c r="G5234" s="9" t="s">
        <v>5090</v>
      </c>
      <c r="H5234" s="9" t="s">
        <v>15715</v>
      </c>
      <c r="I5234" s="9" t="s">
        <v>9689</v>
      </c>
      <c r="J5234" s="9" t="s">
        <v>9690</v>
      </c>
      <c r="K5234" s="5" t="s">
        <v>15173</v>
      </c>
      <c r="L5234" s="13">
        <v>15925</v>
      </c>
      <c r="M5234" t="str">
        <f>VLOOKUP(L5234,[1]DevMouse!$B$2:$C$2693,2,FALSE)</f>
        <v>AOV3</v>
      </c>
    </row>
    <row r="5235" spans="2:13" x14ac:dyDescent="0.25">
      <c r="B5235" s="36"/>
      <c r="C5235" s="20"/>
      <c r="D5235" s="25" t="s">
        <v>26232</v>
      </c>
      <c r="E5235" s="25"/>
      <c r="F5235" s="9" t="str">
        <f t="shared" si="74"/>
        <v>structure with developmental contribution from neural crest</v>
      </c>
      <c r="G5235" s="9" t="s">
        <v>5090</v>
      </c>
      <c r="H5235" s="9" t="s">
        <v>15716</v>
      </c>
      <c r="I5235" s="9" t="s">
        <v>9691</v>
      </c>
      <c r="J5235" s="9" t="s">
        <v>9692</v>
      </c>
      <c r="K5235" s="5" t="s">
        <v>15173</v>
      </c>
      <c r="L5235" s="13">
        <v>15926</v>
      </c>
      <c r="M5235" t="str">
        <f>VLOOKUP(L5235,[1]DevMouse!$B$2:$C$2693,2,FALSE)</f>
        <v>AOVE</v>
      </c>
    </row>
    <row r="5236" spans="2:13" x14ac:dyDescent="0.25">
      <c r="B5236" s="36"/>
      <c r="C5236" s="20"/>
      <c r="D5236" s="25" t="s">
        <v>26232</v>
      </c>
      <c r="E5236" s="25"/>
      <c r="F5236" s="9" t="str">
        <f t="shared" si="74"/>
        <v>structure with developmental contribution from neural crest</v>
      </c>
      <c r="G5236" s="9" t="s">
        <v>5090</v>
      </c>
      <c r="H5236" s="9" t="s">
        <v>15717</v>
      </c>
      <c r="I5236" s="9" t="s">
        <v>9693</v>
      </c>
      <c r="J5236" s="9" t="s">
        <v>9694</v>
      </c>
      <c r="K5236" s="5" t="s">
        <v>15173</v>
      </c>
      <c r="L5236" s="13">
        <v>15927</v>
      </c>
      <c r="M5236" t="str">
        <f>VLOOKUP(L5236,[1]DevMouse!$B$2:$C$2693,2,FALSE)</f>
        <v>Nv</v>
      </c>
    </row>
    <row r="5237" spans="2:13" x14ac:dyDescent="0.25">
      <c r="B5237" s="31" t="s">
        <v>26303</v>
      </c>
      <c r="C5237" s="25" t="s">
        <v>26161</v>
      </c>
      <c r="D5237" s="25" t="s">
        <v>26232</v>
      </c>
      <c r="E5237" s="25"/>
      <c r="F5237" s="9" t="str">
        <f t="shared" si="74"/>
        <v>structure with developmental contribution from neural crest</v>
      </c>
      <c r="G5237" s="9" t="s">
        <v>5090</v>
      </c>
      <c r="H5237" s="9" t="s">
        <v>15718</v>
      </c>
      <c r="I5237" s="9" t="s">
        <v>9695</v>
      </c>
      <c r="J5237" s="9" t="s">
        <v>9696</v>
      </c>
      <c r="K5237" s="5" t="s">
        <v>15173</v>
      </c>
      <c r="L5237" s="13">
        <v>15928</v>
      </c>
      <c r="M5237" t="str">
        <f>VLOOKUP(L5237,[1]DevMouse!$B$2:$C$2693,2,FALSE)</f>
        <v>VPrP</v>
      </c>
    </row>
    <row r="5238" spans="2:13" x14ac:dyDescent="0.25">
      <c r="B5238" s="36"/>
      <c r="C5238" s="20"/>
      <c r="D5238" s="25" t="s">
        <v>26232</v>
      </c>
      <c r="E5238" s="25"/>
      <c r="F5238" s="9" t="str">
        <f t="shared" si="74"/>
        <v>structure with developmental contribution from neural crest</v>
      </c>
      <c r="G5238" s="9" t="s">
        <v>5090</v>
      </c>
      <c r="H5238" s="9" t="s">
        <v>15719</v>
      </c>
      <c r="I5238" s="9" t="s">
        <v>9697</v>
      </c>
      <c r="J5238" s="9" t="s">
        <v>9698</v>
      </c>
      <c r="K5238" s="5" t="s">
        <v>15173</v>
      </c>
      <c r="L5238" s="13">
        <v>15929</v>
      </c>
      <c r="M5238" t="str">
        <f>VLOOKUP(L5238,[1]DevMouse!$B$2:$C$2693,2,FALSE)</f>
        <v>VPrPv</v>
      </c>
    </row>
    <row r="5239" spans="2:13" x14ac:dyDescent="0.25">
      <c r="B5239" s="31" t="s">
        <v>26303</v>
      </c>
      <c r="C5239" s="20"/>
      <c r="D5239" s="25" t="s">
        <v>26232</v>
      </c>
      <c r="E5239" s="20" t="s">
        <v>26300</v>
      </c>
      <c r="F5239" s="9" t="str">
        <f t="shared" ref="F5239:F5302" si="75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5239" s="9" t="s">
        <v>5090</v>
      </c>
      <c r="H5239" s="9" t="s">
        <v>15720</v>
      </c>
      <c r="I5239" s="9" t="s">
        <v>9699</v>
      </c>
      <c r="J5239" s="9" t="s">
        <v>9700</v>
      </c>
      <c r="K5239" s="5" t="s">
        <v>15173</v>
      </c>
      <c r="L5239" s="13">
        <v>15930</v>
      </c>
      <c r="M5239" t="str">
        <f>VLOOKUP(L5239,[1]DevMouse!$B$2:$C$2693,2,FALSE)</f>
        <v>VPrPm</v>
      </c>
    </row>
    <row r="5240" spans="2:13" x14ac:dyDescent="0.25">
      <c r="B5240" s="36"/>
      <c r="C5240" s="20"/>
      <c r="D5240" s="25" t="s">
        <v>26232</v>
      </c>
      <c r="E5240" s="20" t="s">
        <v>26300</v>
      </c>
      <c r="F5240" s="9" t="str">
        <f t="shared" si="75"/>
        <v>structure with developmental contribution from neural crest</v>
      </c>
      <c r="G5240" s="9" t="s">
        <v>5090</v>
      </c>
      <c r="H5240" s="9" t="s">
        <v>15721</v>
      </c>
      <c r="I5240" s="9" t="s">
        <v>9701</v>
      </c>
      <c r="J5240" s="9" t="s">
        <v>9702</v>
      </c>
      <c r="K5240" s="5" t="s">
        <v>15173</v>
      </c>
      <c r="L5240" s="13">
        <v>15931</v>
      </c>
      <c r="M5240" t="str">
        <f>VLOOKUP(L5240,[1]DevMouse!$B$2:$C$2693,2,FALSE)</f>
        <v>VPrPp</v>
      </c>
    </row>
    <row r="5241" spans="2:13" x14ac:dyDescent="0.25">
      <c r="B5241" s="36"/>
      <c r="C5241" s="20"/>
      <c r="D5241" s="25" t="s">
        <v>26232</v>
      </c>
      <c r="E5241" s="25"/>
      <c r="F5241" s="9" t="str">
        <f t="shared" si="75"/>
        <v>structure with developmental contribution from neural crest</v>
      </c>
      <c r="G5241" s="9" t="s">
        <v>5090</v>
      </c>
      <c r="H5241" s="9" t="s">
        <v>15722</v>
      </c>
      <c r="I5241" s="9" t="s">
        <v>9703</v>
      </c>
      <c r="J5241" s="9" t="s">
        <v>9704</v>
      </c>
      <c r="K5241" s="5" t="s">
        <v>15173</v>
      </c>
      <c r="L5241" s="13">
        <v>15932</v>
      </c>
      <c r="M5241" t="str">
        <f>VLOOKUP(L5241,[1]DevMouse!$B$2:$C$2693,2,FALSE)</f>
        <v>VPrPi</v>
      </c>
    </row>
    <row r="5242" spans="2:13" x14ac:dyDescent="0.25">
      <c r="B5242" s="31" t="s">
        <v>26303</v>
      </c>
      <c r="C5242" s="25" t="s">
        <v>561</v>
      </c>
      <c r="D5242" s="25" t="s">
        <v>26232</v>
      </c>
      <c r="E5242" s="20" t="s">
        <v>26300</v>
      </c>
      <c r="F5242" s="9" t="str">
        <f t="shared" si="75"/>
        <v>structure with developmental contribution from neural crest</v>
      </c>
      <c r="G5242" s="9" t="s">
        <v>5090</v>
      </c>
      <c r="H5242" s="9" t="s">
        <v>15723</v>
      </c>
      <c r="I5242" s="9" t="s">
        <v>9705</v>
      </c>
      <c r="J5242" s="9" t="s">
        <v>9706</v>
      </c>
      <c r="K5242" s="5" t="s">
        <v>15173</v>
      </c>
      <c r="L5242" s="13">
        <v>15933</v>
      </c>
      <c r="M5242" t="str">
        <f>VLOOKUP(L5242,[1]DevMouse!$B$2:$C$2693,2,FALSE)</f>
        <v>BEC</v>
      </c>
    </row>
    <row r="5243" spans="2:13" x14ac:dyDescent="0.25">
      <c r="B5243" s="31" t="s">
        <v>26303</v>
      </c>
      <c r="C5243" s="25" t="s">
        <v>1761</v>
      </c>
      <c r="D5243" s="25" t="s">
        <v>26232</v>
      </c>
      <c r="E5243" s="25"/>
      <c r="F5243" s="9" t="str">
        <f t="shared" si="75"/>
        <v>structure with developmental contribution from neural crest</v>
      </c>
      <c r="G5243" s="9" t="s">
        <v>5090</v>
      </c>
      <c r="H5243" s="9" t="s">
        <v>15724</v>
      </c>
      <c r="I5243" s="9" t="s">
        <v>9707</v>
      </c>
      <c r="J5243" s="9" t="s">
        <v>9708</v>
      </c>
      <c r="K5243" s="5" t="s">
        <v>15173</v>
      </c>
      <c r="L5243" s="13">
        <v>15934</v>
      </c>
      <c r="M5243" t="str">
        <f>VLOOKUP(L5243,[1]DevMouse!$B$2:$C$2693,2,FALSE)</f>
        <v>DEn</v>
      </c>
    </row>
    <row r="5244" spans="2:13" x14ac:dyDescent="0.25">
      <c r="B5244" s="31" t="s">
        <v>26303</v>
      </c>
      <c r="C5244" s="25" t="s">
        <v>1761</v>
      </c>
      <c r="D5244" s="25" t="s">
        <v>26232</v>
      </c>
      <c r="E5244" s="25"/>
      <c r="F5244" s="9" t="str">
        <f t="shared" si="75"/>
        <v>structure with developmental contribution from neural crest</v>
      </c>
      <c r="G5244" s="9" t="s">
        <v>5090</v>
      </c>
      <c r="H5244" s="9" t="s">
        <v>15725</v>
      </c>
      <c r="I5244" s="9" t="s">
        <v>9709</v>
      </c>
      <c r="J5244" s="9" t="s">
        <v>9710</v>
      </c>
      <c r="K5244" s="5" t="s">
        <v>15173</v>
      </c>
      <c r="L5244" s="13">
        <v>15935</v>
      </c>
      <c r="M5244" t="str">
        <f>VLOOKUP(L5244,[1]DevMouse!$B$2:$C$2693,2,FALSE)</f>
        <v>VEn</v>
      </c>
    </row>
    <row r="5245" spans="2:13" x14ac:dyDescent="0.25">
      <c r="B5245" s="36"/>
      <c r="C5245" s="20"/>
      <c r="D5245" s="25" t="s">
        <v>26232</v>
      </c>
      <c r="E5245" s="25"/>
      <c r="F5245" s="9" t="str">
        <f t="shared" si="75"/>
        <v>structure with developmental contribution from neural crest</v>
      </c>
      <c r="G5245" s="9" t="s">
        <v>5090</v>
      </c>
      <c r="H5245" s="9" t="s">
        <v>15726</v>
      </c>
      <c r="I5245" s="9" t="s">
        <v>9711</v>
      </c>
      <c r="J5245" s="9" t="s">
        <v>9712</v>
      </c>
      <c r="K5245" s="5" t="s">
        <v>15173</v>
      </c>
      <c r="L5245" s="13">
        <v>15936</v>
      </c>
      <c r="M5245" t="str">
        <f>VLOOKUP(L5245,[1]DevMouse!$B$2:$C$2693,2,FALSE)</f>
        <v>VPrPs</v>
      </c>
    </row>
    <row r="5246" spans="2:13" x14ac:dyDescent="0.25">
      <c r="B5246" s="36"/>
      <c r="C5246" s="20"/>
      <c r="D5246" s="25" t="s">
        <v>26232</v>
      </c>
      <c r="E5246" s="25" t="s">
        <v>26306</v>
      </c>
      <c r="F5246" s="9" t="str">
        <f t="shared" si="75"/>
        <v>structure with developmental contribution from neural crest</v>
      </c>
      <c r="G5246" s="9" t="s">
        <v>5090</v>
      </c>
      <c r="H5246" s="9" t="s">
        <v>15727</v>
      </c>
      <c r="I5246" s="9" t="s">
        <v>9713</v>
      </c>
      <c r="J5246" s="9" t="s">
        <v>9714</v>
      </c>
      <c r="K5246" s="5" t="s">
        <v>15173</v>
      </c>
      <c r="L5246" s="13">
        <v>15937</v>
      </c>
      <c r="M5246" t="str">
        <f>VLOOKUP(L5246,[1]DevMouse!$B$2:$C$2693,2,FALSE)</f>
        <v>VPrP1</v>
      </c>
    </row>
    <row r="5247" spans="2:13" x14ac:dyDescent="0.25">
      <c r="B5247" s="36"/>
      <c r="C5247" s="20"/>
      <c r="D5247" s="25" t="s">
        <v>26232</v>
      </c>
      <c r="E5247" s="25" t="s">
        <v>26306</v>
      </c>
      <c r="F5247" s="9" t="str">
        <f t="shared" si="75"/>
        <v>structure with developmental contribution from neural crest</v>
      </c>
      <c r="G5247" s="9" t="s">
        <v>5090</v>
      </c>
      <c r="H5247" s="9" t="s">
        <v>15728</v>
      </c>
      <c r="I5247" s="9" t="s">
        <v>9715</v>
      </c>
      <c r="J5247" s="9" t="s">
        <v>9716</v>
      </c>
      <c r="K5247" s="5" t="s">
        <v>15173</v>
      </c>
      <c r="L5247" s="13">
        <v>15938</v>
      </c>
      <c r="M5247" t="str">
        <f>VLOOKUP(L5247,[1]DevMouse!$B$2:$C$2693,2,FALSE)</f>
        <v>VPrP2</v>
      </c>
    </row>
    <row r="5248" spans="2:13" x14ac:dyDescent="0.25">
      <c r="B5248" s="36"/>
      <c r="C5248" s="20"/>
      <c r="D5248" s="25" t="s">
        <v>26232</v>
      </c>
      <c r="E5248" s="25" t="s">
        <v>26306</v>
      </c>
      <c r="F5248" s="9" t="str">
        <f t="shared" si="75"/>
        <v>structure with developmental contribution from neural crest</v>
      </c>
      <c r="G5248" s="9" t="s">
        <v>5090</v>
      </c>
      <c r="H5248" s="9" t="s">
        <v>15729</v>
      </c>
      <c r="I5248" s="9" t="s">
        <v>9717</v>
      </c>
      <c r="J5248" s="9" t="s">
        <v>9718</v>
      </c>
      <c r="K5248" s="5" t="s">
        <v>15173</v>
      </c>
      <c r="L5248" s="13">
        <v>15939</v>
      </c>
      <c r="M5248" t="str">
        <f>VLOOKUP(L5248,[1]DevMouse!$B$2:$C$2693,2,FALSE)</f>
        <v>VPrP3</v>
      </c>
    </row>
    <row r="5249" spans="2:13" x14ac:dyDescent="0.25">
      <c r="B5249" s="31" t="s">
        <v>26303</v>
      </c>
      <c r="C5249" s="25" t="s">
        <v>257</v>
      </c>
      <c r="D5249" s="25" t="s">
        <v>26232</v>
      </c>
      <c r="E5249" s="25"/>
      <c r="F5249" s="9" t="str">
        <f t="shared" si="75"/>
        <v>structure with developmental contribution from neural crest</v>
      </c>
      <c r="G5249" s="9" t="s">
        <v>5090</v>
      </c>
      <c r="H5249" s="9" t="s">
        <v>15730</v>
      </c>
      <c r="I5249" s="9" t="s">
        <v>9719</v>
      </c>
      <c r="J5249" s="9" t="s">
        <v>9720</v>
      </c>
      <c r="K5249" s="5" t="s">
        <v>15173</v>
      </c>
      <c r="L5249" s="13">
        <v>15940</v>
      </c>
      <c r="M5249" t="str">
        <f>VLOOKUP(L5249,[1]DevMouse!$B$2:$C$2693,2,FALSE)</f>
        <v>VAP</v>
      </c>
    </row>
    <row r="5250" spans="2:13" x14ac:dyDescent="0.25">
      <c r="B5250" s="36"/>
      <c r="C5250" s="20"/>
      <c r="D5250" s="25" t="s">
        <v>26232</v>
      </c>
      <c r="E5250" s="25"/>
      <c r="F5250" s="9" t="str">
        <f t="shared" si="75"/>
        <v>structure with developmental contribution from neural crest</v>
      </c>
      <c r="G5250" s="9" t="s">
        <v>5090</v>
      </c>
      <c r="H5250" s="9" t="s">
        <v>15731</v>
      </c>
      <c r="I5250" s="9" t="s">
        <v>9721</v>
      </c>
      <c r="J5250" s="9" t="s">
        <v>9722</v>
      </c>
      <c r="K5250" s="5" t="s">
        <v>15173</v>
      </c>
      <c r="L5250" s="13">
        <v>15941</v>
      </c>
      <c r="M5250" t="str">
        <f>VLOOKUP(L5250,[1]DevMouse!$B$2:$C$2693,2,FALSE)</f>
        <v>VAPv</v>
      </c>
    </row>
    <row r="5251" spans="2:13" x14ac:dyDescent="0.25">
      <c r="B5251" s="31" t="s">
        <v>26303</v>
      </c>
      <c r="C5251" s="20"/>
      <c r="D5251" s="25" t="s">
        <v>26232</v>
      </c>
      <c r="E5251" s="20" t="s">
        <v>26300</v>
      </c>
      <c r="F5251" s="9" t="str">
        <f t="shared" si="75"/>
        <v>structure with developmental contribution from neural crest</v>
      </c>
      <c r="G5251" s="9" t="s">
        <v>5090</v>
      </c>
      <c r="H5251" s="9" t="s">
        <v>15732</v>
      </c>
      <c r="I5251" s="9" t="s">
        <v>9723</v>
      </c>
      <c r="J5251" s="9" t="s">
        <v>9724</v>
      </c>
      <c r="K5251" s="5" t="s">
        <v>15173</v>
      </c>
      <c r="L5251" s="13">
        <v>15942</v>
      </c>
      <c r="M5251" t="str">
        <f>VLOOKUP(L5251,[1]DevMouse!$B$2:$C$2693,2,FALSE)</f>
        <v>VAPm</v>
      </c>
    </row>
    <row r="5252" spans="2:13" x14ac:dyDescent="0.25">
      <c r="B5252" s="36"/>
      <c r="C5252" s="20"/>
      <c r="D5252" s="25" t="s">
        <v>26232</v>
      </c>
      <c r="E5252" s="20" t="s">
        <v>26300</v>
      </c>
      <c r="F5252" s="9" t="str">
        <f t="shared" si="75"/>
        <v>structure with developmental contribution from neural crest</v>
      </c>
      <c r="G5252" s="9" t="s">
        <v>5090</v>
      </c>
      <c r="H5252" s="9" t="s">
        <v>15733</v>
      </c>
      <c r="I5252" s="9" t="s">
        <v>9725</v>
      </c>
      <c r="J5252" s="9" t="s">
        <v>9726</v>
      </c>
      <c r="K5252" s="5" t="s">
        <v>15173</v>
      </c>
      <c r="L5252" s="13">
        <v>15943</v>
      </c>
      <c r="M5252" t="str">
        <f>VLOOKUP(L5252,[1]DevMouse!$B$2:$C$2693,2,FALSE)</f>
        <v>VAPp</v>
      </c>
    </row>
    <row r="5253" spans="2:13" x14ac:dyDescent="0.25">
      <c r="B5253" s="31" t="s">
        <v>26303</v>
      </c>
      <c r="C5253" s="25" t="s">
        <v>2559</v>
      </c>
      <c r="D5253" s="25" t="s">
        <v>26232</v>
      </c>
      <c r="E5253" s="25"/>
      <c r="F5253" s="9" t="str">
        <f t="shared" si="75"/>
        <v>structure with developmental contribution from neural crest</v>
      </c>
      <c r="G5253" s="9" t="s">
        <v>5090</v>
      </c>
      <c r="H5253" s="9" t="s">
        <v>15734</v>
      </c>
      <c r="I5253" s="9" t="s">
        <v>2559</v>
      </c>
      <c r="J5253" s="9" t="s">
        <v>2560</v>
      </c>
      <c r="K5253" s="5" t="s">
        <v>15173</v>
      </c>
      <c r="L5253" s="13">
        <v>15944</v>
      </c>
      <c r="M5253" t="str">
        <f>VLOOKUP(L5253,[1]DevMouse!$B$2:$C$2693,2,FALSE)</f>
        <v>La</v>
      </c>
    </row>
    <row r="5254" spans="2:13" x14ac:dyDescent="0.25">
      <c r="B5254" s="31" t="s">
        <v>26303</v>
      </c>
      <c r="C5254" s="25" t="s">
        <v>237</v>
      </c>
      <c r="D5254" s="25" t="s">
        <v>26232</v>
      </c>
      <c r="E5254" s="25"/>
      <c r="F5254" s="9" t="str">
        <f t="shared" si="75"/>
        <v>structure with developmental contribution from neural crest</v>
      </c>
      <c r="G5254" s="9" t="s">
        <v>5090</v>
      </c>
      <c r="H5254" s="9" t="s">
        <v>15735</v>
      </c>
      <c r="I5254" s="9" t="s">
        <v>237</v>
      </c>
      <c r="J5254" s="9" t="s">
        <v>239</v>
      </c>
      <c r="K5254" s="5" t="s">
        <v>15173</v>
      </c>
      <c r="L5254" s="13">
        <v>15945</v>
      </c>
      <c r="M5254" t="str">
        <f>VLOOKUP(L5254,[1]DevMouse!$B$2:$C$2693,2,FALSE)</f>
        <v>AHi</v>
      </c>
    </row>
    <row r="5255" spans="2:13" x14ac:dyDescent="0.25">
      <c r="B5255" s="36"/>
      <c r="C5255" s="20"/>
      <c r="D5255" s="25" t="s">
        <v>26232</v>
      </c>
      <c r="E5255" s="25"/>
      <c r="F5255" s="9" t="str">
        <f t="shared" si="75"/>
        <v>structure with developmental contribution from neural crest</v>
      </c>
      <c r="G5255" s="9" t="s">
        <v>5090</v>
      </c>
      <c r="H5255" s="9" t="s">
        <v>15736</v>
      </c>
      <c r="I5255" s="9" t="s">
        <v>9727</v>
      </c>
      <c r="J5255" s="9" t="s">
        <v>9728</v>
      </c>
      <c r="K5255" s="5" t="s">
        <v>15173</v>
      </c>
      <c r="L5255" s="13">
        <v>15946</v>
      </c>
      <c r="M5255" t="str">
        <f>VLOOKUP(L5255,[1]DevMouse!$B$2:$C$2693,2,FALSE)</f>
        <v>VAPi</v>
      </c>
    </row>
    <row r="5256" spans="2:13" x14ac:dyDescent="0.25">
      <c r="B5256" s="31" t="s">
        <v>25743</v>
      </c>
      <c r="C5256" s="25" t="s">
        <v>26026</v>
      </c>
      <c r="D5256" s="25" t="s">
        <v>26232</v>
      </c>
      <c r="E5256" s="25"/>
      <c r="F5256" s="9" t="str">
        <f t="shared" si="75"/>
        <v>structure with developmental contribution from neural crest</v>
      </c>
      <c r="G5256" s="9" t="s">
        <v>5090</v>
      </c>
      <c r="H5256" s="9" t="s">
        <v>15737</v>
      </c>
      <c r="I5256" s="9" t="s">
        <v>2981</v>
      </c>
      <c r="J5256" s="9" t="s">
        <v>2982</v>
      </c>
      <c r="K5256" s="5" t="s">
        <v>15173</v>
      </c>
      <c r="L5256" s="13">
        <v>15947</v>
      </c>
      <c r="M5256" t="str">
        <f>VLOOKUP(L5256,[1]DevMouse!$B$2:$C$2693,2,FALSE)</f>
        <v>BMA</v>
      </c>
    </row>
    <row r="5257" spans="2:13" x14ac:dyDescent="0.25">
      <c r="B5257" s="31" t="s">
        <v>25743</v>
      </c>
      <c r="C5257" s="25" t="s">
        <v>26026</v>
      </c>
      <c r="D5257" s="25" t="s">
        <v>26232</v>
      </c>
      <c r="E5257" s="25"/>
      <c r="F5257" s="9" t="str">
        <f t="shared" si="75"/>
        <v>structure with developmental contribution from neural crest</v>
      </c>
      <c r="G5257" s="9" t="s">
        <v>5090</v>
      </c>
      <c r="H5257" s="9" t="s">
        <v>15738</v>
      </c>
      <c r="I5257" s="9" t="s">
        <v>9729</v>
      </c>
      <c r="J5257" s="9" t="s">
        <v>9730</v>
      </c>
      <c r="K5257" s="5" t="s">
        <v>15173</v>
      </c>
      <c r="L5257" s="13">
        <v>15948</v>
      </c>
      <c r="M5257" t="str">
        <f>VLOOKUP(L5257,[1]DevMouse!$B$2:$C$2693,2,FALSE)</f>
        <v>BMP</v>
      </c>
    </row>
    <row r="5258" spans="2:13" x14ac:dyDescent="0.25">
      <c r="B5258" s="36"/>
      <c r="C5258" s="20"/>
      <c r="D5258" s="25" t="s">
        <v>26232</v>
      </c>
      <c r="E5258" s="25"/>
      <c r="F5258" s="9" t="str">
        <f t="shared" si="75"/>
        <v>structure with developmental contribution from neural crest</v>
      </c>
      <c r="G5258" s="9" t="s">
        <v>5090</v>
      </c>
      <c r="H5258" s="9" t="s">
        <v>15739</v>
      </c>
      <c r="I5258" s="9" t="s">
        <v>9731</v>
      </c>
      <c r="J5258" s="9" t="s">
        <v>9732</v>
      </c>
      <c r="K5258" s="5" t="s">
        <v>15173</v>
      </c>
      <c r="L5258" s="13">
        <v>15949</v>
      </c>
      <c r="M5258" t="str">
        <f>VLOOKUP(L5258,[1]DevMouse!$B$2:$C$2693,2,FALSE)</f>
        <v>VAPs</v>
      </c>
    </row>
    <row r="5259" spans="2:13" x14ac:dyDescent="0.25">
      <c r="B5259" s="31" t="s">
        <v>26299</v>
      </c>
      <c r="C5259" s="25" t="s">
        <v>26149</v>
      </c>
      <c r="D5259" s="25" t="s">
        <v>26232</v>
      </c>
      <c r="E5259" s="25"/>
      <c r="F5259" s="9" t="str">
        <f t="shared" si="75"/>
        <v>structure with developmental contribution from neural crest</v>
      </c>
      <c r="G5259" s="9" t="s">
        <v>5090</v>
      </c>
      <c r="H5259" s="9" t="s">
        <v>15740</v>
      </c>
      <c r="I5259" s="9" t="s">
        <v>4021</v>
      </c>
      <c r="J5259" s="9" t="s">
        <v>4022</v>
      </c>
      <c r="K5259" s="5" t="s">
        <v>15173</v>
      </c>
      <c r="L5259" s="13">
        <v>15950</v>
      </c>
      <c r="M5259" t="str">
        <f>VLOOKUP(L5259,[1]DevMouse!$B$2:$C$2693,2,FALSE)</f>
        <v>PMCo</v>
      </c>
    </row>
    <row r="5260" spans="2:13" x14ac:dyDescent="0.25">
      <c r="B5260" s="31" t="s">
        <v>26303</v>
      </c>
      <c r="C5260" s="25" t="s">
        <v>3283</v>
      </c>
      <c r="D5260" s="25" t="s">
        <v>26232</v>
      </c>
      <c r="E5260" s="25"/>
      <c r="F5260" s="9" t="str">
        <f t="shared" si="75"/>
        <v>structure with developmental contribution from neural crest</v>
      </c>
      <c r="G5260" s="9" t="s">
        <v>5090</v>
      </c>
      <c r="H5260" s="9" t="s">
        <v>15741</v>
      </c>
      <c r="I5260" s="9" t="s">
        <v>3285</v>
      </c>
      <c r="J5260" s="9" t="s">
        <v>3286</v>
      </c>
      <c r="K5260" s="5" t="s">
        <v>15173</v>
      </c>
      <c r="L5260" s="13">
        <v>15951</v>
      </c>
      <c r="M5260" t="str">
        <f>VLOOKUP(L5260,[1]DevMouse!$B$2:$C$2693,2,FALSE)</f>
        <v>LOT</v>
      </c>
    </row>
    <row r="5261" spans="2:13" x14ac:dyDescent="0.25">
      <c r="B5261" s="36"/>
      <c r="C5261" s="20"/>
      <c r="D5261" s="25" t="s">
        <v>26232</v>
      </c>
      <c r="E5261" s="25" t="s">
        <v>26306</v>
      </c>
      <c r="F5261" s="9" t="str">
        <f t="shared" si="75"/>
        <v>structure with developmental contribution from neural crest</v>
      </c>
      <c r="G5261" s="9" t="s">
        <v>5090</v>
      </c>
      <c r="H5261" s="9" t="s">
        <v>15742</v>
      </c>
      <c r="I5261" s="9" t="s">
        <v>9733</v>
      </c>
      <c r="J5261" s="9" t="s">
        <v>9734</v>
      </c>
      <c r="K5261" s="5" t="s">
        <v>15173</v>
      </c>
      <c r="L5261" s="13">
        <v>15952</v>
      </c>
      <c r="M5261" t="str">
        <f>VLOOKUP(L5261,[1]DevMouse!$B$2:$C$2693,2,FALSE)</f>
        <v>LOT3</v>
      </c>
    </row>
    <row r="5262" spans="2:13" x14ac:dyDescent="0.25">
      <c r="B5262" s="36"/>
      <c r="C5262" s="20"/>
      <c r="D5262" s="25" t="s">
        <v>26232</v>
      </c>
      <c r="E5262" s="25" t="s">
        <v>26306</v>
      </c>
      <c r="F5262" s="9" t="str">
        <f t="shared" si="75"/>
        <v>structure with developmental contribution from neural crest</v>
      </c>
      <c r="G5262" s="9" t="s">
        <v>5090</v>
      </c>
      <c r="H5262" s="9" t="s">
        <v>15743</v>
      </c>
      <c r="I5262" s="9" t="s">
        <v>9735</v>
      </c>
      <c r="J5262" s="9" t="s">
        <v>9736</v>
      </c>
      <c r="K5262" s="5" t="s">
        <v>15173</v>
      </c>
      <c r="L5262" s="13">
        <v>15953</v>
      </c>
      <c r="M5262" t="str">
        <f>VLOOKUP(L5262,[1]DevMouse!$B$2:$C$2693,2,FALSE)</f>
        <v>LOT2</v>
      </c>
    </row>
    <row r="5263" spans="2:13" x14ac:dyDescent="0.25">
      <c r="B5263" s="36"/>
      <c r="C5263" s="20"/>
      <c r="D5263" s="25" t="s">
        <v>26232</v>
      </c>
      <c r="E5263" s="25" t="s">
        <v>26306</v>
      </c>
      <c r="F5263" s="9" t="str">
        <f t="shared" si="75"/>
        <v>structure with developmental contribution from neural crest</v>
      </c>
      <c r="G5263" s="9" t="s">
        <v>5090</v>
      </c>
      <c r="H5263" s="9" t="s">
        <v>15744</v>
      </c>
      <c r="I5263" s="9" t="s">
        <v>9737</v>
      </c>
      <c r="J5263" s="9" t="s">
        <v>9738</v>
      </c>
      <c r="K5263" s="5" t="s">
        <v>15173</v>
      </c>
      <c r="L5263" s="13">
        <v>15954</v>
      </c>
      <c r="M5263" t="str">
        <f>VLOOKUP(L5263,[1]DevMouse!$B$2:$C$2693,2,FALSE)</f>
        <v>LOT1</v>
      </c>
    </row>
    <row r="5264" spans="2:13" x14ac:dyDescent="0.25">
      <c r="B5264" s="31" t="s">
        <v>26303</v>
      </c>
      <c r="C5264" s="25" t="s">
        <v>3283</v>
      </c>
      <c r="D5264" s="25" t="s">
        <v>26232</v>
      </c>
      <c r="E5264" s="25"/>
      <c r="F5264" s="9" t="str">
        <f t="shared" si="75"/>
        <v>structure with developmental contribution from neural crest</v>
      </c>
      <c r="G5264" s="9" t="s">
        <v>5090</v>
      </c>
      <c r="H5264" s="9" t="s">
        <v>15745</v>
      </c>
      <c r="I5264" s="9" t="s">
        <v>9739</v>
      </c>
      <c r="J5264" s="9" t="s">
        <v>9740</v>
      </c>
      <c r="K5264" s="5" t="s">
        <v>15173</v>
      </c>
      <c r="L5264" s="13">
        <v>15955</v>
      </c>
      <c r="M5264" t="str">
        <f>VLOOKUP(L5264,[1]DevMouse!$B$2:$C$2693,2,FALSE)</f>
        <v>NAOT</v>
      </c>
    </row>
    <row r="5265" spans="2:13" x14ac:dyDescent="0.25">
      <c r="B5265" s="36"/>
      <c r="C5265" s="20"/>
      <c r="D5265" s="25" t="s">
        <v>26232</v>
      </c>
      <c r="E5265" s="25"/>
      <c r="F5265" s="9" t="str">
        <f t="shared" si="75"/>
        <v>structure with developmental contribution from neural crest</v>
      </c>
      <c r="G5265" s="9" t="s">
        <v>5090</v>
      </c>
      <c r="H5265" s="9" t="s">
        <v>15748</v>
      </c>
      <c r="I5265" s="9" t="s">
        <v>9741</v>
      </c>
      <c r="J5265" s="9" t="s">
        <v>9742</v>
      </c>
      <c r="K5265" s="5" t="s">
        <v>15173</v>
      </c>
      <c r="L5265" s="13">
        <v>15958</v>
      </c>
      <c r="M5265" t="str">
        <f>VLOOKUP(L5265,[1]DevMouse!$B$2:$C$2693,2,FALSE)</f>
        <v>AOBv</v>
      </c>
    </row>
    <row r="5266" spans="2:13" x14ac:dyDescent="0.25">
      <c r="B5266" s="31" t="s">
        <v>26303</v>
      </c>
      <c r="C5266" s="20"/>
      <c r="D5266" s="25" t="s">
        <v>26232</v>
      </c>
      <c r="E5266" s="20" t="s">
        <v>26300</v>
      </c>
      <c r="F5266" s="9" t="str">
        <f t="shared" si="75"/>
        <v>structure with developmental contribution from neural crest</v>
      </c>
      <c r="G5266" s="9" t="s">
        <v>5090</v>
      </c>
      <c r="H5266" s="9" t="s">
        <v>15749</v>
      </c>
      <c r="I5266" s="9" t="s">
        <v>9743</v>
      </c>
      <c r="J5266" s="9" t="s">
        <v>9744</v>
      </c>
      <c r="K5266" s="5" t="s">
        <v>15173</v>
      </c>
      <c r="L5266" s="13">
        <v>15959</v>
      </c>
      <c r="M5266" t="str">
        <f>VLOOKUP(L5266,[1]DevMouse!$B$2:$C$2693,2,FALSE)</f>
        <v>AOBm</v>
      </c>
    </row>
    <row r="5267" spans="2:13" x14ac:dyDescent="0.25">
      <c r="B5267" s="36"/>
      <c r="C5267" s="20"/>
      <c r="D5267" s="25" t="s">
        <v>26232</v>
      </c>
      <c r="E5267" s="20" t="s">
        <v>26300</v>
      </c>
      <c r="F5267" s="9" t="str">
        <f t="shared" si="75"/>
        <v>structure with developmental contribution from neural crest</v>
      </c>
      <c r="G5267" s="9" t="s">
        <v>5090</v>
      </c>
      <c r="H5267" s="9" t="s">
        <v>15750</v>
      </c>
      <c r="I5267" s="9" t="s">
        <v>9745</v>
      </c>
      <c r="J5267" s="9" t="s">
        <v>9746</v>
      </c>
      <c r="K5267" s="5" t="s">
        <v>15173</v>
      </c>
      <c r="L5267" s="13">
        <v>15960</v>
      </c>
      <c r="M5267" t="str">
        <f>VLOOKUP(L5267,[1]DevMouse!$B$2:$C$2693,2,FALSE)</f>
        <v>AOBp</v>
      </c>
    </row>
    <row r="5268" spans="2:13" x14ac:dyDescent="0.25">
      <c r="B5268" s="31" t="s">
        <v>26303</v>
      </c>
      <c r="C5268" s="25" t="s">
        <v>25768</v>
      </c>
      <c r="D5268" s="25" t="s">
        <v>26232</v>
      </c>
      <c r="E5268" s="25"/>
      <c r="F5268" s="9" t="str">
        <f t="shared" si="75"/>
        <v>structure with developmental contribution from neural crest</v>
      </c>
      <c r="G5268" s="9" t="s">
        <v>5090</v>
      </c>
      <c r="H5268" s="9" t="s">
        <v>15751</v>
      </c>
      <c r="I5268" s="9" t="s">
        <v>202</v>
      </c>
      <c r="J5268" s="9" t="s">
        <v>203</v>
      </c>
      <c r="K5268" s="5" t="s">
        <v>15173</v>
      </c>
      <c r="L5268" s="13">
        <v>15961</v>
      </c>
      <c r="M5268" t="str">
        <f>VLOOKUP(L5268,[1]DevMouse!$B$2:$C$2693,2,FALSE)</f>
        <v>AGr</v>
      </c>
    </row>
    <row r="5269" spans="2:13" x14ac:dyDescent="0.25">
      <c r="B5269" s="31" t="s">
        <v>26303</v>
      </c>
      <c r="C5269" s="25" t="s">
        <v>25769</v>
      </c>
      <c r="D5269" s="25" t="s">
        <v>26232</v>
      </c>
      <c r="E5269" s="25"/>
      <c r="F5269" s="9" t="str">
        <f t="shared" si="75"/>
        <v>structure with developmental contribution from neural crest</v>
      </c>
      <c r="G5269" s="9" t="s">
        <v>5090</v>
      </c>
      <c r="H5269" s="9" t="s">
        <v>15752</v>
      </c>
      <c r="I5269" s="9" t="s">
        <v>207</v>
      </c>
      <c r="J5269" s="9" t="s">
        <v>208</v>
      </c>
      <c r="K5269" s="5" t="s">
        <v>15173</v>
      </c>
      <c r="L5269" s="13">
        <v>15962</v>
      </c>
      <c r="M5269" t="str">
        <f>VLOOKUP(L5269,[1]DevMouse!$B$2:$C$2693,2,FALSE)</f>
        <v>AIPl</v>
      </c>
    </row>
    <row r="5270" spans="2:13" x14ac:dyDescent="0.25">
      <c r="B5270" s="36"/>
      <c r="C5270" s="20"/>
      <c r="D5270" s="25" t="s">
        <v>26232</v>
      </c>
      <c r="E5270" s="25"/>
      <c r="F5270" s="9" t="str">
        <f t="shared" si="75"/>
        <v>structure with developmental contribution from neural crest</v>
      </c>
      <c r="G5270" s="9" t="s">
        <v>5090</v>
      </c>
      <c r="H5270" s="9" t="s">
        <v>15753</v>
      </c>
      <c r="I5270" s="9" t="s">
        <v>9747</v>
      </c>
      <c r="J5270" s="9" t="s">
        <v>9748</v>
      </c>
      <c r="K5270" s="5" t="s">
        <v>15173</v>
      </c>
      <c r="L5270" s="13">
        <v>15963</v>
      </c>
      <c r="M5270" t="str">
        <f>VLOOKUP(L5270,[1]DevMouse!$B$2:$C$2693,2,FALSE)</f>
        <v>AOBi</v>
      </c>
    </row>
    <row r="5271" spans="2:13" x14ac:dyDescent="0.25">
      <c r="B5271" s="31" t="s">
        <v>26303</v>
      </c>
      <c r="C5271" s="25" t="s">
        <v>25770</v>
      </c>
      <c r="D5271" s="25" t="s">
        <v>26232</v>
      </c>
      <c r="E5271" s="25"/>
      <c r="F5271" s="9" t="str">
        <f t="shared" si="75"/>
        <v>structure with developmental contribution from neural crest</v>
      </c>
      <c r="G5271" s="9" t="s">
        <v>5090</v>
      </c>
      <c r="H5271" s="9" t="s">
        <v>15754</v>
      </c>
      <c r="I5271" s="9" t="s">
        <v>9749</v>
      </c>
      <c r="J5271" s="9" t="s">
        <v>9750</v>
      </c>
      <c r="K5271" s="5" t="s">
        <v>15173</v>
      </c>
      <c r="L5271" s="13">
        <v>15964</v>
      </c>
      <c r="M5271" t="str">
        <f>VLOOKUP(L5271,[1]DevMouse!$B$2:$C$2693,2,FALSE)</f>
        <v>AMtr</v>
      </c>
    </row>
    <row r="5272" spans="2:13" x14ac:dyDescent="0.25">
      <c r="B5272" s="31" t="s">
        <v>26303</v>
      </c>
      <c r="C5272" s="25" t="s">
        <v>25766</v>
      </c>
      <c r="D5272" s="25" t="s">
        <v>26232</v>
      </c>
      <c r="E5272" s="25"/>
      <c r="F5272" s="9" t="str">
        <f t="shared" si="75"/>
        <v>structure with developmental contribution from neural crest</v>
      </c>
      <c r="G5272" s="9" t="s">
        <v>5090</v>
      </c>
      <c r="H5272" s="9" t="s">
        <v>15755</v>
      </c>
      <c r="I5272" s="9" t="s">
        <v>194</v>
      </c>
      <c r="J5272" s="9" t="s">
        <v>195</v>
      </c>
      <c r="K5272" s="5" t="s">
        <v>15173</v>
      </c>
      <c r="L5272" s="13">
        <v>15965</v>
      </c>
      <c r="M5272" t="str">
        <f>VLOOKUP(L5272,[1]DevMouse!$B$2:$C$2693,2,FALSE)</f>
        <v>AOPl</v>
      </c>
    </row>
    <row r="5273" spans="2:13" x14ac:dyDescent="0.25">
      <c r="B5273" s="36"/>
      <c r="C5273" s="20"/>
      <c r="D5273" s="25" t="s">
        <v>26232</v>
      </c>
      <c r="E5273" s="25"/>
      <c r="F5273" s="9" t="str">
        <f t="shared" si="75"/>
        <v>structure with developmental contribution from neural crest</v>
      </c>
      <c r="G5273" s="9" t="s">
        <v>5090</v>
      </c>
      <c r="H5273" s="9" t="s">
        <v>15756</v>
      </c>
      <c r="I5273" s="9" t="s">
        <v>9751</v>
      </c>
      <c r="J5273" s="9" t="s">
        <v>9752</v>
      </c>
      <c r="K5273" s="5" t="s">
        <v>15173</v>
      </c>
      <c r="L5273" s="13">
        <v>15966</v>
      </c>
      <c r="M5273" t="str">
        <f>VLOOKUP(L5273,[1]DevMouse!$B$2:$C$2693,2,FALSE)</f>
        <v>AOBs</v>
      </c>
    </row>
    <row r="5274" spans="2:13" x14ac:dyDescent="0.25">
      <c r="B5274" s="31" t="s">
        <v>26303</v>
      </c>
      <c r="C5274" s="25" t="s">
        <v>25767</v>
      </c>
      <c r="D5274" s="25" t="s">
        <v>26232</v>
      </c>
      <c r="E5274" s="25"/>
      <c r="F5274" s="9" t="str">
        <f t="shared" si="75"/>
        <v>structure with developmental contribution from neural crest</v>
      </c>
      <c r="G5274" s="9" t="s">
        <v>5090</v>
      </c>
      <c r="H5274" s="9" t="s">
        <v>15757</v>
      </c>
      <c r="I5274" s="9" t="s">
        <v>197</v>
      </c>
      <c r="J5274" s="9" t="s">
        <v>198</v>
      </c>
      <c r="K5274" s="5" t="s">
        <v>15173</v>
      </c>
      <c r="L5274" s="13">
        <v>15967</v>
      </c>
      <c r="M5274" t="str">
        <f>VLOOKUP(L5274,[1]DevMouse!$B$2:$C$2693,2,FALSE)</f>
        <v>AGlom</v>
      </c>
    </row>
    <row r="5275" spans="2:13" x14ac:dyDescent="0.25">
      <c r="B5275" s="31" t="s">
        <v>26303</v>
      </c>
      <c r="C5275" s="20"/>
      <c r="D5275" s="25" t="s">
        <v>26232</v>
      </c>
      <c r="E5275" s="25" t="s">
        <v>26300</v>
      </c>
      <c r="F5275" s="9" t="str">
        <f t="shared" si="75"/>
        <v>structure with developmental contribution from neural crest</v>
      </c>
      <c r="G5275" s="9" t="s">
        <v>5090</v>
      </c>
      <c r="H5275" s="9" t="s">
        <v>15758</v>
      </c>
      <c r="I5275" s="9" t="s">
        <v>9753</v>
      </c>
      <c r="J5275" s="9" t="s">
        <v>9754</v>
      </c>
      <c r="K5275" s="5" t="s">
        <v>15173</v>
      </c>
      <c r="L5275" s="13">
        <v>15968</v>
      </c>
      <c r="M5275" t="str">
        <f>VLOOKUP(L5275,[1]DevMouse!$B$2:$C$2693,2,FALSE)</f>
        <v>AOF</v>
      </c>
    </row>
    <row r="5276" spans="2:13" x14ac:dyDescent="0.25">
      <c r="B5276" s="31" t="s">
        <v>26303</v>
      </c>
      <c r="C5276" s="25" t="s">
        <v>387</v>
      </c>
      <c r="D5276" s="25" t="s">
        <v>26232</v>
      </c>
      <c r="E5276" s="25" t="s">
        <v>26300</v>
      </c>
      <c r="F5276" s="9" t="str">
        <f t="shared" si="75"/>
        <v>structure with developmental contribution from neural crest</v>
      </c>
      <c r="G5276" s="9" t="s">
        <v>5090</v>
      </c>
      <c r="H5276" s="9" t="s">
        <v>15759</v>
      </c>
      <c r="I5276" s="9" t="s">
        <v>9755</v>
      </c>
      <c r="J5276" s="9" t="s">
        <v>9756</v>
      </c>
      <c r="K5276" s="5" t="s">
        <v>15173</v>
      </c>
      <c r="L5276" s="13">
        <v>15969</v>
      </c>
      <c r="M5276" t="str">
        <f>VLOOKUP(L5276,[1]DevMouse!$B$2:$C$2693,2,FALSE)</f>
        <v>AOD</v>
      </c>
    </row>
    <row r="5277" spans="2:13" x14ac:dyDescent="0.25">
      <c r="B5277" s="36"/>
      <c r="C5277" s="20"/>
      <c r="D5277" s="25" t="s">
        <v>26232</v>
      </c>
      <c r="E5277" s="25"/>
      <c r="F5277" s="9" t="str">
        <f t="shared" si="75"/>
        <v>structure with developmental contribution from neural crest</v>
      </c>
      <c r="G5277" s="9" t="s">
        <v>5090</v>
      </c>
      <c r="H5277" s="9" t="s">
        <v>15760</v>
      </c>
      <c r="I5277" s="9" t="s">
        <v>9757</v>
      </c>
      <c r="J5277" s="9" t="s">
        <v>9758</v>
      </c>
      <c r="K5277" s="5" t="s">
        <v>15173</v>
      </c>
      <c r="L5277" s="13">
        <v>15970</v>
      </c>
      <c r="M5277" t="str">
        <f>VLOOKUP(L5277,[1]DevMouse!$B$2:$C$2693,2,FALSE)</f>
        <v>AODv</v>
      </c>
    </row>
    <row r="5278" spans="2:13" x14ac:dyDescent="0.25">
      <c r="B5278" s="31" t="s">
        <v>26303</v>
      </c>
      <c r="C5278" s="20"/>
      <c r="D5278" s="25" t="s">
        <v>26232</v>
      </c>
      <c r="E5278" s="20" t="s">
        <v>26300</v>
      </c>
      <c r="F5278" s="9" t="str">
        <f t="shared" si="75"/>
        <v>structure with developmental contribution from neural crest</v>
      </c>
      <c r="G5278" s="9" t="s">
        <v>5090</v>
      </c>
      <c r="H5278" s="9" t="s">
        <v>15761</v>
      </c>
      <c r="I5278" s="9" t="s">
        <v>9759</v>
      </c>
      <c r="J5278" s="9" t="s">
        <v>9760</v>
      </c>
      <c r="K5278" s="5" t="s">
        <v>15173</v>
      </c>
      <c r="L5278" s="13">
        <v>15971</v>
      </c>
      <c r="M5278" t="str">
        <f>VLOOKUP(L5278,[1]DevMouse!$B$2:$C$2693,2,FALSE)</f>
        <v>AODm</v>
      </c>
    </row>
    <row r="5279" spans="2:13" x14ac:dyDescent="0.25">
      <c r="B5279" s="36"/>
      <c r="C5279" s="20"/>
      <c r="D5279" s="25" t="s">
        <v>26232</v>
      </c>
      <c r="E5279" s="20" t="s">
        <v>26300</v>
      </c>
      <c r="F5279" s="9" t="str">
        <f t="shared" si="75"/>
        <v>structure with developmental contribution from neural crest</v>
      </c>
      <c r="G5279" s="9" t="s">
        <v>5090</v>
      </c>
      <c r="H5279" s="9" t="s">
        <v>15762</v>
      </c>
      <c r="I5279" s="9" t="s">
        <v>9761</v>
      </c>
      <c r="J5279" s="9" t="s">
        <v>9762</v>
      </c>
      <c r="K5279" s="5" t="s">
        <v>15173</v>
      </c>
      <c r="L5279" s="13">
        <v>15972</v>
      </c>
      <c r="M5279" t="str">
        <f>VLOOKUP(L5279,[1]DevMouse!$B$2:$C$2693,2,FALSE)</f>
        <v>AODp</v>
      </c>
    </row>
    <row r="5280" spans="2:13" x14ac:dyDescent="0.25">
      <c r="B5280" s="36"/>
      <c r="C5280" s="20"/>
      <c r="D5280" s="25" t="s">
        <v>26232</v>
      </c>
      <c r="E5280" s="25"/>
      <c r="F5280" s="9" t="str">
        <f t="shared" si="75"/>
        <v>structure with developmental contribution from neural crest</v>
      </c>
      <c r="G5280" s="9" t="s">
        <v>5090</v>
      </c>
      <c r="H5280" s="9" t="s">
        <v>15763</v>
      </c>
      <c r="I5280" s="9" t="s">
        <v>9763</v>
      </c>
      <c r="J5280" s="9" t="s">
        <v>9764</v>
      </c>
      <c r="K5280" s="5" t="s">
        <v>15173</v>
      </c>
      <c r="L5280" s="13">
        <v>15973</v>
      </c>
      <c r="M5280" t="str">
        <f>VLOOKUP(L5280,[1]DevMouse!$B$2:$C$2693,2,FALSE)</f>
        <v>AODi</v>
      </c>
    </row>
    <row r="5281" spans="2:13" x14ac:dyDescent="0.25">
      <c r="B5281" s="36"/>
      <c r="C5281" s="20"/>
      <c r="D5281" s="25" t="s">
        <v>26232</v>
      </c>
      <c r="E5281" s="25"/>
      <c r="F5281" s="9" t="str">
        <f t="shared" si="75"/>
        <v>structure with developmental contribution from neural crest</v>
      </c>
      <c r="G5281" s="9" t="s">
        <v>5090</v>
      </c>
      <c r="H5281" s="9" t="s">
        <v>15764</v>
      </c>
      <c r="I5281" s="9" t="s">
        <v>9765</v>
      </c>
      <c r="J5281" s="9" t="s">
        <v>9766</v>
      </c>
      <c r="K5281" s="5" t="s">
        <v>15173</v>
      </c>
      <c r="L5281" s="13">
        <v>15974</v>
      </c>
      <c r="M5281" t="str">
        <f>VLOOKUP(L5281,[1]DevMouse!$B$2:$C$2693,2,FALSE)</f>
        <v>AODs</v>
      </c>
    </row>
    <row r="5282" spans="2:13" x14ac:dyDescent="0.25">
      <c r="B5282" s="36"/>
      <c r="C5282" s="20"/>
      <c r="D5282" s="25" t="s">
        <v>26232</v>
      </c>
      <c r="E5282" s="25" t="s">
        <v>26306</v>
      </c>
      <c r="F5282" s="9" t="str">
        <f t="shared" si="75"/>
        <v>structure with developmental contribution from neural crest</v>
      </c>
      <c r="G5282" s="9" t="s">
        <v>5090</v>
      </c>
      <c r="H5282" s="9" t="s">
        <v>15765</v>
      </c>
      <c r="I5282" s="9" t="s">
        <v>9767</v>
      </c>
      <c r="J5282" s="9" t="s">
        <v>9768</v>
      </c>
      <c r="K5282" s="5" t="s">
        <v>15173</v>
      </c>
      <c r="L5282" s="13">
        <v>15975</v>
      </c>
      <c r="M5282" t="str">
        <f>VLOOKUP(L5282,[1]DevMouse!$B$2:$C$2693,2,FALSE)</f>
        <v>AOD1</v>
      </c>
    </row>
    <row r="5283" spans="2:13" x14ac:dyDescent="0.25">
      <c r="B5283" s="36"/>
      <c r="C5283" s="20"/>
      <c r="D5283" s="25" t="s">
        <v>26232</v>
      </c>
      <c r="E5283" s="25" t="s">
        <v>26306</v>
      </c>
      <c r="F5283" s="9" t="str">
        <f t="shared" si="75"/>
        <v>structure with developmental contribution from neural crest</v>
      </c>
      <c r="G5283" s="9" t="s">
        <v>5090</v>
      </c>
      <c r="H5283" s="9" t="s">
        <v>15766</v>
      </c>
      <c r="I5283" s="9" t="s">
        <v>9769</v>
      </c>
      <c r="J5283" s="9" t="s">
        <v>9770</v>
      </c>
      <c r="K5283" s="5" t="s">
        <v>15173</v>
      </c>
      <c r="L5283" s="13">
        <v>15976</v>
      </c>
      <c r="M5283" t="str">
        <f>VLOOKUP(L5283,[1]DevMouse!$B$2:$C$2693,2,FALSE)</f>
        <v>AOD2</v>
      </c>
    </row>
    <row r="5284" spans="2:13" x14ac:dyDescent="0.25">
      <c r="B5284" s="36"/>
      <c r="C5284" s="20"/>
      <c r="D5284" s="25" t="s">
        <v>26232</v>
      </c>
      <c r="E5284" s="25" t="s">
        <v>26306</v>
      </c>
      <c r="F5284" s="9" t="str">
        <f t="shared" si="75"/>
        <v>structure with developmental contribution from neural crest</v>
      </c>
      <c r="G5284" s="9" t="s">
        <v>5090</v>
      </c>
      <c r="H5284" s="9" t="s">
        <v>15767</v>
      </c>
      <c r="I5284" s="9" t="s">
        <v>9771</v>
      </c>
      <c r="J5284" s="9" t="s">
        <v>9772</v>
      </c>
      <c r="K5284" s="5" t="s">
        <v>15173</v>
      </c>
      <c r="L5284" s="13">
        <v>15977</v>
      </c>
      <c r="M5284" t="str">
        <f>VLOOKUP(L5284,[1]DevMouse!$B$2:$C$2693,2,FALSE)</f>
        <v>AOD3</v>
      </c>
    </row>
    <row r="5285" spans="2:13" x14ac:dyDescent="0.25">
      <c r="B5285" s="36"/>
      <c r="C5285" s="20"/>
      <c r="D5285" s="25" t="s">
        <v>26232</v>
      </c>
      <c r="E5285" s="25"/>
      <c r="F5285" s="9" t="str">
        <f t="shared" si="75"/>
        <v>structure with developmental contribution from neural crest</v>
      </c>
      <c r="G5285" s="9" t="s">
        <v>5090</v>
      </c>
      <c r="H5285" s="9" t="s">
        <v>15768</v>
      </c>
      <c r="I5285" s="9" t="s">
        <v>9773</v>
      </c>
      <c r="J5285" s="9" t="s">
        <v>9774</v>
      </c>
      <c r="K5285" s="5" t="s">
        <v>15173</v>
      </c>
      <c r="L5285" s="13">
        <v>15978</v>
      </c>
      <c r="M5285" t="str">
        <f>VLOOKUP(L5285,[1]DevMouse!$B$2:$C$2693,2,FALSE)</f>
        <v>AODE</v>
      </c>
    </row>
    <row r="5286" spans="2:13" x14ac:dyDescent="0.25">
      <c r="B5286" s="31" t="s">
        <v>26303</v>
      </c>
      <c r="C5286" s="25" t="s">
        <v>26161</v>
      </c>
      <c r="D5286" s="25" t="s">
        <v>26232</v>
      </c>
      <c r="E5286" s="25"/>
      <c r="F5286" s="9" t="str">
        <f t="shared" si="75"/>
        <v>structure with developmental contribution from neural crest</v>
      </c>
      <c r="G5286" s="9" t="s">
        <v>5090</v>
      </c>
      <c r="H5286" s="9" t="s">
        <v>15769</v>
      </c>
      <c r="I5286" s="9" t="s">
        <v>9775</v>
      </c>
      <c r="J5286" s="9" t="s">
        <v>9776</v>
      </c>
      <c r="K5286" s="5" t="s">
        <v>15173</v>
      </c>
      <c r="L5286" s="13">
        <v>15979</v>
      </c>
      <c r="M5286" t="str">
        <f>VLOOKUP(L5286,[1]DevMouse!$B$2:$C$2693,2,FALSE)</f>
        <v>LPrP</v>
      </c>
    </row>
    <row r="5287" spans="2:13" x14ac:dyDescent="0.25">
      <c r="B5287" s="36"/>
      <c r="C5287" s="20"/>
      <c r="D5287" s="25" t="s">
        <v>26232</v>
      </c>
      <c r="E5287" s="25"/>
      <c r="F5287" s="9" t="str">
        <f t="shared" si="75"/>
        <v>structure with developmental contribution from neural crest</v>
      </c>
      <c r="G5287" s="9" t="s">
        <v>5090</v>
      </c>
      <c r="H5287" s="9" t="s">
        <v>15770</v>
      </c>
      <c r="I5287" s="9" t="s">
        <v>9777</v>
      </c>
      <c r="J5287" s="9" t="s">
        <v>9778</v>
      </c>
      <c r="K5287" s="5" t="s">
        <v>15173</v>
      </c>
      <c r="L5287" s="13">
        <v>15980</v>
      </c>
      <c r="M5287" t="str">
        <f>VLOOKUP(L5287,[1]DevMouse!$B$2:$C$2693,2,FALSE)</f>
        <v>LPrPv</v>
      </c>
    </row>
    <row r="5288" spans="2:13" x14ac:dyDescent="0.25">
      <c r="B5288" s="31" t="s">
        <v>26303</v>
      </c>
      <c r="C5288" s="20"/>
      <c r="D5288" s="25" t="s">
        <v>26232</v>
      </c>
      <c r="E5288" s="20" t="s">
        <v>26300</v>
      </c>
      <c r="F5288" s="9" t="str">
        <f t="shared" si="75"/>
        <v>structure with developmental contribution from neural crest</v>
      </c>
      <c r="G5288" s="9" t="s">
        <v>5090</v>
      </c>
      <c r="H5288" s="9" t="s">
        <v>15771</v>
      </c>
      <c r="I5288" s="9" t="s">
        <v>9779</v>
      </c>
      <c r="J5288" s="9" t="s">
        <v>9780</v>
      </c>
      <c r="K5288" s="5" t="s">
        <v>15173</v>
      </c>
      <c r="L5288" s="13">
        <v>15981</v>
      </c>
      <c r="M5288" t="str">
        <f>VLOOKUP(L5288,[1]DevMouse!$B$2:$C$2693,2,FALSE)</f>
        <v>LPrPm</v>
      </c>
    </row>
    <row r="5289" spans="2:13" x14ac:dyDescent="0.25">
      <c r="B5289" s="36"/>
      <c r="C5289" s="20"/>
      <c r="D5289" s="25" t="s">
        <v>26232</v>
      </c>
      <c r="E5289" s="20" t="s">
        <v>26300</v>
      </c>
      <c r="F5289" s="9" t="str">
        <f t="shared" si="75"/>
        <v>structure with developmental contribution from neural crest</v>
      </c>
      <c r="G5289" s="9" t="s">
        <v>5090</v>
      </c>
      <c r="H5289" s="9" t="s">
        <v>15772</v>
      </c>
      <c r="I5289" s="9" t="s">
        <v>9781</v>
      </c>
      <c r="J5289" s="9" t="s">
        <v>9782</v>
      </c>
      <c r="K5289" s="5" t="s">
        <v>15173</v>
      </c>
      <c r="L5289" s="13">
        <v>15982</v>
      </c>
      <c r="M5289" t="str">
        <f>VLOOKUP(L5289,[1]DevMouse!$B$2:$C$2693,2,FALSE)</f>
        <v>LPrPp</v>
      </c>
    </row>
    <row r="5290" spans="2:13" x14ac:dyDescent="0.25">
      <c r="B5290" s="36"/>
      <c r="C5290" s="20"/>
      <c r="D5290" s="25" t="s">
        <v>26232</v>
      </c>
      <c r="E5290" s="25"/>
      <c r="F5290" s="9" t="str">
        <f t="shared" si="75"/>
        <v>structure with developmental contribution from neural crest</v>
      </c>
      <c r="G5290" s="9" t="s">
        <v>5090</v>
      </c>
      <c r="H5290" s="9" t="s">
        <v>15773</v>
      </c>
      <c r="I5290" s="9" t="s">
        <v>9783</v>
      </c>
      <c r="J5290" s="9" t="s">
        <v>9784</v>
      </c>
      <c r="K5290" s="5" t="s">
        <v>15173</v>
      </c>
      <c r="L5290" s="13">
        <v>15983</v>
      </c>
      <c r="M5290" t="str">
        <f>VLOOKUP(L5290,[1]DevMouse!$B$2:$C$2693,2,FALSE)</f>
        <v>LPrPi</v>
      </c>
    </row>
    <row r="5291" spans="2:13" x14ac:dyDescent="0.25">
      <c r="B5291" s="31" t="s">
        <v>26303</v>
      </c>
      <c r="C5291" s="25" t="s">
        <v>25876</v>
      </c>
      <c r="D5291" s="25" t="s">
        <v>26232</v>
      </c>
      <c r="E5291" s="25"/>
      <c r="F5291" s="9" t="str">
        <f t="shared" si="75"/>
        <v>structure with developmental contribution from neural crest</v>
      </c>
      <c r="G5291" s="9" t="s">
        <v>5090</v>
      </c>
      <c r="H5291" s="9" t="s">
        <v>15774</v>
      </c>
      <c r="I5291" s="9" t="s">
        <v>1268</v>
      </c>
      <c r="J5291" s="9" t="s">
        <v>1270</v>
      </c>
      <c r="K5291" s="5" t="s">
        <v>15173</v>
      </c>
      <c r="L5291" s="13">
        <v>15984</v>
      </c>
      <c r="M5291" t="str">
        <f>VLOOKUP(L5291,[1]DevMouse!$B$2:$C$2693,2,FALSE)</f>
        <v>Cl</v>
      </c>
    </row>
    <row r="5292" spans="2:13" x14ac:dyDescent="0.25">
      <c r="B5292" s="36"/>
      <c r="C5292" s="20"/>
      <c r="D5292" s="25" t="s">
        <v>26232</v>
      </c>
      <c r="E5292" s="25"/>
      <c r="F5292" s="9" t="str">
        <f t="shared" si="75"/>
        <v>structure with developmental contribution from neural crest</v>
      </c>
      <c r="G5292" s="9" t="s">
        <v>5090</v>
      </c>
      <c r="H5292" s="9" t="s">
        <v>15775</v>
      </c>
      <c r="I5292" s="9" t="s">
        <v>9785</v>
      </c>
      <c r="J5292" s="9" t="s">
        <v>9786</v>
      </c>
      <c r="K5292" s="5" t="s">
        <v>15173</v>
      </c>
      <c r="L5292" s="13">
        <v>15985</v>
      </c>
      <c r="M5292" t="str">
        <f>VLOOKUP(L5292,[1]DevMouse!$B$2:$C$2693,2,FALSE)</f>
        <v>LPrPs</v>
      </c>
    </row>
    <row r="5293" spans="2:13" x14ac:dyDescent="0.25">
      <c r="B5293" s="36"/>
      <c r="C5293" s="20"/>
      <c r="D5293" s="25" t="s">
        <v>26232</v>
      </c>
      <c r="E5293" s="25" t="s">
        <v>26306</v>
      </c>
      <c r="F5293" s="9" t="str">
        <f t="shared" si="75"/>
        <v>structure with developmental contribution from neural crest</v>
      </c>
      <c r="G5293" s="9" t="s">
        <v>5090</v>
      </c>
      <c r="H5293" s="9" t="s">
        <v>15776</v>
      </c>
      <c r="I5293" s="9" t="s">
        <v>9787</v>
      </c>
      <c r="J5293" s="9" t="s">
        <v>9788</v>
      </c>
      <c r="K5293" s="5" t="s">
        <v>15173</v>
      </c>
      <c r="L5293" s="13">
        <v>15986</v>
      </c>
      <c r="M5293" t="str">
        <f>VLOOKUP(L5293,[1]DevMouse!$B$2:$C$2693,2,FALSE)</f>
        <v>LPrP1</v>
      </c>
    </row>
    <row r="5294" spans="2:13" x14ac:dyDescent="0.25">
      <c r="B5294" s="36"/>
      <c r="C5294" s="20"/>
      <c r="D5294" s="25" t="s">
        <v>26232</v>
      </c>
      <c r="E5294" s="25" t="s">
        <v>26306</v>
      </c>
      <c r="F5294" s="9" t="str">
        <f t="shared" si="75"/>
        <v>structure with developmental contribution from neural crest</v>
      </c>
      <c r="G5294" s="9" t="s">
        <v>5090</v>
      </c>
      <c r="H5294" s="9" t="s">
        <v>15777</v>
      </c>
      <c r="I5294" s="9" t="s">
        <v>9789</v>
      </c>
      <c r="J5294" s="9" t="s">
        <v>9790</v>
      </c>
      <c r="K5294" s="5" t="s">
        <v>15173</v>
      </c>
      <c r="L5294" s="13">
        <v>15987</v>
      </c>
      <c r="M5294" t="str">
        <f>VLOOKUP(L5294,[1]DevMouse!$B$2:$C$2693,2,FALSE)</f>
        <v>LPrP2</v>
      </c>
    </row>
    <row r="5295" spans="2:13" x14ac:dyDescent="0.25">
      <c r="B5295" s="36"/>
      <c r="C5295" s="20"/>
      <c r="D5295" s="25" t="s">
        <v>26232</v>
      </c>
      <c r="E5295" s="25" t="s">
        <v>26306</v>
      </c>
      <c r="F5295" s="9" t="str">
        <f t="shared" si="75"/>
        <v>structure with developmental contribution from neural crest</v>
      </c>
      <c r="G5295" s="9" t="s">
        <v>5090</v>
      </c>
      <c r="H5295" s="9" t="s">
        <v>15778</v>
      </c>
      <c r="I5295" s="9" t="s">
        <v>9791</v>
      </c>
      <c r="J5295" s="9" t="s">
        <v>9792</v>
      </c>
      <c r="K5295" s="5" t="s">
        <v>15173</v>
      </c>
      <c r="L5295" s="13">
        <v>15988</v>
      </c>
      <c r="M5295" t="str">
        <f>VLOOKUP(L5295,[1]DevMouse!$B$2:$C$2693,2,FALSE)</f>
        <v>LPrP3</v>
      </c>
    </row>
    <row r="5296" spans="2:13" x14ac:dyDescent="0.25">
      <c r="B5296" s="31" t="s">
        <v>26303</v>
      </c>
      <c r="C5296" s="25" t="s">
        <v>257</v>
      </c>
      <c r="D5296" s="25" t="s">
        <v>26232</v>
      </c>
      <c r="E5296" s="25"/>
      <c r="F5296" s="9" t="str">
        <f t="shared" si="75"/>
        <v>structure with developmental contribution from neural crest</v>
      </c>
      <c r="G5296" s="9" t="s">
        <v>5090</v>
      </c>
      <c r="H5296" s="9" t="s">
        <v>15779</v>
      </c>
      <c r="I5296" s="9" t="s">
        <v>9793</v>
      </c>
      <c r="J5296" s="9" t="s">
        <v>9794</v>
      </c>
      <c r="K5296" s="5" t="s">
        <v>15173</v>
      </c>
      <c r="L5296" s="13">
        <v>15989</v>
      </c>
      <c r="M5296" t="str">
        <f>VLOOKUP(L5296,[1]DevMouse!$B$2:$C$2693,2,FALSE)</f>
        <v>LAP</v>
      </c>
    </row>
    <row r="5297" spans="2:13" x14ac:dyDescent="0.25">
      <c r="B5297" s="36"/>
      <c r="C5297" s="20"/>
      <c r="D5297" s="25" t="s">
        <v>26232</v>
      </c>
      <c r="E5297" s="25"/>
      <c r="F5297" s="9" t="str">
        <f t="shared" si="75"/>
        <v>structure with developmental contribution from neural crest</v>
      </c>
      <c r="G5297" s="9" t="s">
        <v>5090</v>
      </c>
      <c r="H5297" s="9" t="s">
        <v>15780</v>
      </c>
      <c r="I5297" s="9" t="s">
        <v>9795</v>
      </c>
      <c r="J5297" s="9" t="s">
        <v>9796</v>
      </c>
      <c r="K5297" s="5" t="s">
        <v>15173</v>
      </c>
      <c r="L5297" s="13">
        <v>15990</v>
      </c>
      <c r="M5297" t="str">
        <f>VLOOKUP(L5297,[1]DevMouse!$B$2:$C$2693,2,FALSE)</f>
        <v>LAPv</v>
      </c>
    </row>
    <row r="5298" spans="2:13" x14ac:dyDescent="0.25">
      <c r="B5298" s="31" t="s">
        <v>26303</v>
      </c>
      <c r="C5298" s="20"/>
      <c r="D5298" s="25" t="s">
        <v>26232</v>
      </c>
      <c r="E5298" s="20" t="s">
        <v>26300</v>
      </c>
      <c r="F5298" s="9" t="str">
        <f t="shared" si="75"/>
        <v>structure with developmental contribution from neural crest</v>
      </c>
      <c r="G5298" s="9" t="s">
        <v>5090</v>
      </c>
      <c r="H5298" s="9" t="s">
        <v>15781</v>
      </c>
      <c r="I5298" s="9" t="s">
        <v>9797</v>
      </c>
      <c r="J5298" s="9" t="s">
        <v>9798</v>
      </c>
      <c r="K5298" s="5" t="s">
        <v>15173</v>
      </c>
      <c r="L5298" s="13">
        <v>15991</v>
      </c>
      <c r="M5298" t="str">
        <f>VLOOKUP(L5298,[1]DevMouse!$B$2:$C$2693,2,FALSE)</f>
        <v>LAPm</v>
      </c>
    </row>
    <row r="5299" spans="2:13" x14ac:dyDescent="0.25">
      <c r="B5299" s="36"/>
      <c r="C5299" s="20"/>
      <c r="D5299" s="25" t="s">
        <v>26232</v>
      </c>
      <c r="E5299" s="20" t="s">
        <v>26300</v>
      </c>
      <c r="F5299" s="9" t="str">
        <f t="shared" si="75"/>
        <v>structure with developmental contribution from neural crest</v>
      </c>
      <c r="G5299" s="9" t="s">
        <v>5090</v>
      </c>
      <c r="H5299" s="9" t="s">
        <v>15782</v>
      </c>
      <c r="I5299" s="9" t="s">
        <v>9799</v>
      </c>
      <c r="J5299" s="9" t="s">
        <v>9800</v>
      </c>
      <c r="K5299" s="5" t="s">
        <v>15173</v>
      </c>
      <c r="L5299" s="13">
        <v>15992</v>
      </c>
      <c r="M5299" t="str">
        <f>VLOOKUP(L5299,[1]DevMouse!$B$2:$C$2693,2,FALSE)</f>
        <v>LAPp</v>
      </c>
    </row>
    <row r="5300" spans="2:13" x14ac:dyDescent="0.25">
      <c r="B5300" s="36"/>
      <c r="C5300" s="20"/>
      <c r="D5300" s="25" t="s">
        <v>26232</v>
      </c>
      <c r="E5300" s="25"/>
      <c r="F5300" s="9" t="str">
        <f t="shared" si="75"/>
        <v>structure with developmental contribution from neural crest</v>
      </c>
      <c r="G5300" s="9" t="s">
        <v>5090</v>
      </c>
      <c r="H5300" s="9" t="s">
        <v>15783</v>
      </c>
      <c r="I5300" s="9" t="s">
        <v>9801</v>
      </c>
      <c r="J5300" s="9" t="s">
        <v>9802</v>
      </c>
      <c r="K5300" s="5" t="s">
        <v>15173</v>
      </c>
      <c r="L5300" s="13">
        <v>15993</v>
      </c>
      <c r="M5300" t="str">
        <f>VLOOKUP(L5300,[1]DevMouse!$B$2:$C$2693,2,FALSE)</f>
        <v>LAPi</v>
      </c>
    </row>
    <row r="5301" spans="2:13" x14ac:dyDescent="0.25">
      <c r="B5301" s="31" t="s">
        <v>26303</v>
      </c>
      <c r="C5301" s="25" t="s">
        <v>25804</v>
      </c>
      <c r="D5301" s="25" t="s">
        <v>26185</v>
      </c>
      <c r="E5301" s="20" t="s">
        <v>26300</v>
      </c>
      <c r="F5301" s="9" t="str">
        <f t="shared" si="75"/>
        <v>structure with developmental contribution from neural crest</v>
      </c>
      <c r="G5301" s="9" t="s">
        <v>5090</v>
      </c>
      <c r="H5301" s="9" t="s">
        <v>15784</v>
      </c>
      <c r="I5301" s="9" t="s">
        <v>308</v>
      </c>
      <c r="J5301" s="9" t="s">
        <v>309</v>
      </c>
      <c r="K5301" s="5" t="s">
        <v>15173</v>
      </c>
      <c r="L5301" s="13">
        <v>15994</v>
      </c>
      <c r="M5301" t="str">
        <f>VLOOKUP(L5301,[1]DevMouse!$B$2:$C$2693,2,FALSE)</f>
        <v>BLA</v>
      </c>
    </row>
    <row r="5302" spans="2:13" x14ac:dyDescent="0.25">
      <c r="B5302" s="31" t="s">
        <v>26303</v>
      </c>
      <c r="C5302" s="25" t="s">
        <v>25804</v>
      </c>
      <c r="D5302" s="25" t="s">
        <v>26185</v>
      </c>
      <c r="E5302" s="20" t="s">
        <v>26300</v>
      </c>
      <c r="F5302" s="9" t="str">
        <f t="shared" si="75"/>
        <v>structure with developmental contribution from neural crest</v>
      </c>
      <c r="G5302" s="9" t="s">
        <v>5090</v>
      </c>
      <c r="H5302" s="9" t="s">
        <v>15785</v>
      </c>
      <c r="I5302" s="9" t="s">
        <v>9803</v>
      </c>
      <c r="J5302" s="9" t="s">
        <v>9804</v>
      </c>
      <c r="K5302" s="5" t="s">
        <v>15173</v>
      </c>
      <c r="L5302" s="13">
        <v>15995</v>
      </c>
      <c r="M5302" t="str">
        <f>VLOOKUP(L5302,[1]DevMouse!$B$2:$C$2693,2,FALSE)</f>
        <v>BLP</v>
      </c>
    </row>
    <row r="5303" spans="2:13" x14ac:dyDescent="0.25">
      <c r="B5303" s="31" t="s">
        <v>26303</v>
      </c>
      <c r="C5303" s="25" t="s">
        <v>25804</v>
      </c>
      <c r="D5303" s="25" t="s">
        <v>26185</v>
      </c>
      <c r="E5303" s="20" t="s">
        <v>26300</v>
      </c>
      <c r="F5303" s="9" t="str">
        <f t="shared" ref="F5303:F5366" si="76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5303" s="9" t="s">
        <v>5090</v>
      </c>
      <c r="H5303" s="9" t="s">
        <v>15786</v>
      </c>
      <c r="I5303" s="9" t="s">
        <v>9805</v>
      </c>
      <c r="J5303" s="9" t="s">
        <v>9806</v>
      </c>
      <c r="K5303" s="5" t="s">
        <v>15173</v>
      </c>
      <c r="L5303" s="13">
        <v>15996</v>
      </c>
      <c r="M5303" t="str">
        <f>VLOOKUP(L5303,[1]DevMouse!$B$2:$C$2693,2,FALSE)</f>
        <v>BLV</v>
      </c>
    </row>
    <row r="5304" spans="2:13" x14ac:dyDescent="0.25">
      <c r="B5304" s="36"/>
      <c r="C5304" s="20"/>
      <c r="D5304" s="25" t="s">
        <v>26232</v>
      </c>
      <c r="E5304" s="25"/>
      <c r="F5304" s="9" t="str">
        <f t="shared" si="76"/>
        <v>structure with developmental contribution from neural crest</v>
      </c>
      <c r="G5304" s="9" t="s">
        <v>5090</v>
      </c>
      <c r="H5304" s="9" t="s">
        <v>15787</v>
      </c>
      <c r="I5304" s="9" t="s">
        <v>9807</v>
      </c>
      <c r="J5304" s="9" t="s">
        <v>9808</v>
      </c>
      <c r="K5304" s="5" t="s">
        <v>15173</v>
      </c>
      <c r="L5304" s="13">
        <v>15997</v>
      </c>
      <c r="M5304" t="str">
        <f>VLOOKUP(L5304,[1]DevMouse!$B$2:$C$2693,2,FALSE)</f>
        <v>LAPs</v>
      </c>
    </row>
    <row r="5305" spans="2:13" x14ac:dyDescent="0.25">
      <c r="B5305" s="31" t="s">
        <v>26303</v>
      </c>
      <c r="C5305" s="25" t="s">
        <v>257</v>
      </c>
      <c r="D5305" s="25" t="s">
        <v>26232</v>
      </c>
      <c r="E5305" s="25"/>
      <c r="F5305" s="9" t="str">
        <f t="shared" si="76"/>
        <v>structure with developmental contribution from neural crest</v>
      </c>
      <c r="G5305" s="9" t="s">
        <v>5090</v>
      </c>
      <c r="H5305" s="9" t="s">
        <v>15788</v>
      </c>
      <c r="I5305" s="9" t="s">
        <v>9809</v>
      </c>
      <c r="J5305" s="9" t="s">
        <v>9810</v>
      </c>
      <c r="K5305" s="5" t="s">
        <v>15173</v>
      </c>
      <c r="L5305" s="13">
        <v>15998</v>
      </c>
      <c r="M5305" t="str">
        <f>VLOOKUP(L5305,[1]DevMouse!$B$2:$C$2693,2,FALSE)</f>
        <v>APir</v>
      </c>
    </row>
    <row r="5306" spans="2:13" x14ac:dyDescent="0.25">
      <c r="B5306" s="31" t="s">
        <v>26299</v>
      </c>
      <c r="C5306" s="25" t="s">
        <v>26149</v>
      </c>
      <c r="D5306" s="25" t="s">
        <v>26232</v>
      </c>
      <c r="E5306" s="25"/>
      <c r="F5306" s="9" t="str">
        <f t="shared" si="76"/>
        <v>structure with developmental contribution from neural crest</v>
      </c>
      <c r="G5306" s="9" t="s">
        <v>5090</v>
      </c>
      <c r="H5306" s="9" t="s">
        <v>15789</v>
      </c>
      <c r="I5306" s="9" t="s">
        <v>4008</v>
      </c>
      <c r="J5306" s="9" t="s">
        <v>4009</v>
      </c>
      <c r="K5306" s="5" t="s">
        <v>15173</v>
      </c>
      <c r="L5306" s="13">
        <v>15999</v>
      </c>
      <c r="M5306" t="str">
        <f>VLOOKUP(L5306,[1]DevMouse!$B$2:$C$2693,2,FALSE)</f>
        <v>PLCo</v>
      </c>
    </row>
    <row r="5307" spans="2:13" x14ac:dyDescent="0.25">
      <c r="B5307" s="31" t="s">
        <v>26303</v>
      </c>
      <c r="C5307" s="25" t="s">
        <v>25783</v>
      </c>
      <c r="D5307" s="25" t="s">
        <v>26232</v>
      </c>
      <c r="E5307" s="25"/>
      <c r="F5307" s="9" t="str">
        <f t="shared" si="76"/>
        <v>structure with developmental contribution from neural crest</v>
      </c>
      <c r="G5307" s="9" t="s">
        <v>5090</v>
      </c>
      <c r="H5307" s="9" t="s">
        <v>15790</v>
      </c>
      <c r="I5307" s="9" t="s">
        <v>329</v>
      </c>
      <c r="J5307" s="9" t="s">
        <v>330</v>
      </c>
      <c r="K5307" s="5" t="s">
        <v>15173</v>
      </c>
      <c r="L5307" s="13">
        <v>16000</v>
      </c>
      <c r="M5307" t="str">
        <f>VLOOKUP(L5307,[1]DevMouse!$B$2:$C$2693,2,FALSE)</f>
        <v>ACo</v>
      </c>
    </row>
    <row r="5308" spans="2:13" x14ac:dyDescent="0.25">
      <c r="B5308" s="31" t="s">
        <v>26303</v>
      </c>
      <c r="C5308" s="25" t="s">
        <v>3205</v>
      </c>
      <c r="D5308" s="25" t="s">
        <v>26232</v>
      </c>
      <c r="E5308" s="25"/>
      <c r="F5308" s="9" t="str">
        <f t="shared" si="76"/>
        <v>structure with developmental contribution from neural crest</v>
      </c>
      <c r="G5308" s="9" t="s">
        <v>5090</v>
      </c>
      <c r="H5308" s="9" t="s">
        <v>15791</v>
      </c>
      <c r="I5308" s="9" t="s">
        <v>9811</v>
      </c>
      <c r="J5308" s="9" t="s">
        <v>9812</v>
      </c>
      <c r="K5308" s="5" t="s">
        <v>15173</v>
      </c>
      <c r="L5308" s="13">
        <v>16001</v>
      </c>
      <c r="M5308" t="str">
        <f>VLOOKUP(L5308,[1]DevMouse!$B$2:$C$2693,2,FALSE)</f>
        <v>DPall</v>
      </c>
    </row>
    <row r="5309" spans="2:13" x14ac:dyDescent="0.25">
      <c r="B5309" s="31" t="s">
        <v>26303</v>
      </c>
      <c r="C5309" s="25" t="s">
        <v>2016</v>
      </c>
      <c r="D5309" s="25" t="s">
        <v>26232</v>
      </c>
      <c r="E5309" s="25"/>
      <c r="F5309" s="9" t="str">
        <f t="shared" si="76"/>
        <v>structure with developmental contribution from neural crest</v>
      </c>
      <c r="G5309" s="9" t="s">
        <v>5090</v>
      </c>
      <c r="H5309" s="9" t="s">
        <v>15797</v>
      </c>
      <c r="I5309" s="9" t="s">
        <v>2016</v>
      </c>
      <c r="J5309" s="9" t="s">
        <v>2017</v>
      </c>
      <c r="K5309" s="5" t="s">
        <v>15173</v>
      </c>
      <c r="L5309" s="13">
        <v>16002</v>
      </c>
      <c r="M5309" t="str">
        <f>VLOOKUP(L5309,[1]DevMouse!$B$2:$C$2693,2,FALSE)</f>
        <v>FCx</v>
      </c>
    </row>
    <row r="5310" spans="2:13" x14ac:dyDescent="0.25">
      <c r="B5310" s="36"/>
      <c r="C5310" s="20"/>
      <c r="D5310" s="25" t="s">
        <v>26232</v>
      </c>
      <c r="E5310" s="25"/>
      <c r="F5310" s="9" t="str">
        <f t="shared" si="76"/>
        <v>structure with developmental contribution from neural crest</v>
      </c>
      <c r="G5310" s="9" t="s">
        <v>5090</v>
      </c>
      <c r="H5310" s="9" t="s">
        <v>15798</v>
      </c>
      <c r="I5310" s="9" t="s">
        <v>9813</v>
      </c>
      <c r="J5310" s="9" t="s">
        <v>9814</v>
      </c>
      <c r="K5310" s="5" t="s">
        <v>15173</v>
      </c>
      <c r="L5310" s="13">
        <v>16003</v>
      </c>
      <c r="M5310" t="str">
        <f>VLOOKUP(L5310,[1]DevMouse!$B$2:$C$2693,2,FALSE)</f>
        <v>FCv</v>
      </c>
    </row>
    <row r="5311" spans="2:13" x14ac:dyDescent="0.25">
      <c r="B5311" s="31" t="s">
        <v>26303</v>
      </c>
      <c r="C5311" s="20"/>
      <c r="D5311" s="25" t="s">
        <v>26232</v>
      </c>
      <c r="E5311" s="20" t="s">
        <v>26300</v>
      </c>
      <c r="F5311" s="9" t="str">
        <f t="shared" si="76"/>
        <v>structure with developmental contribution from neural crest</v>
      </c>
      <c r="G5311" s="9" t="s">
        <v>5090</v>
      </c>
      <c r="H5311" s="9" t="s">
        <v>15799</v>
      </c>
      <c r="I5311" s="9" t="s">
        <v>9815</v>
      </c>
      <c r="J5311" s="9" t="s">
        <v>9816</v>
      </c>
      <c r="K5311" s="5" t="s">
        <v>15173</v>
      </c>
      <c r="L5311" s="13">
        <v>16004</v>
      </c>
      <c r="M5311" t="str">
        <f>VLOOKUP(L5311,[1]DevMouse!$B$2:$C$2693,2,FALSE)</f>
        <v>FCm</v>
      </c>
    </row>
    <row r="5312" spans="2:13" x14ac:dyDescent="0.25">
      <c r="B5312" s="36"/>
      <c r="C5312" s="20"/>
      <c r="D5312" s="25" t="s">
        <v>26232</v>
      </c>
      <c r="E5312" s="20" t="s">
        <v>26300</v>
      </c>
      <c r="F5312" s="9" t="str">
        <f t="shared" si="76"/>
        <v>structure with developmental contribution from neural crest</v>
      </c>
      <c r="G5312" s="9" t="s">
        <v>5090</v>
      </c>
      <c r="H5312" s="9" t="s">
        <v>15800</v>
      </c>
      <c r="I5312" s="9" t="s">
        <v>9817</v>
      </c>
      <c r="J5312" s="9" t="s">
        <v>9818</v>
      </c>
      <c r="K5312" s="5" t="s">
        <v>15173</v>
      </c>
      <c r="L5312" s="13">
        <v>16005</v>
      </c>
      <c r="M5312" t="str">
        <f>VLOOKUP(L5312,[1]DevMouse!$B$2:$C$2693,2,FALSE)</f>
        <v>FCp</v>
      </c>
    </row>
    <row r="5313" spans="2:13" x14ac:dyDescent="0.25">
      <c r="B5313" s="36"/>
      <c r="C5313" s="25"/>
      <c r="D5313" s="25" t="s">
        <v>26232</v>
      </c>
      <c r="E5313" s="25" t="s">
        <v>26306</v>
      </c>
      <c r="F5313" s="9" t="str">
        <f t="shared" si="76"/>
        <v>structure with developmental contribution from neural crest</v>
      </c>
      <c r="G5313" s="9" t="s">
        <v>5090</v>
      </c>
      <c r="H5313" s="9" t="s">
        <v>15801</v>
      </c>
      <c r="I5313" s="9" t="s">
        <v>9819</v>
      </c>
      <c r="J5313" s="9" t="s">
        <v>9820</v>
      </c>
      <c r="K5313" s="5" t="s">
        <v>15173</v>
      </c>
      <c r="L5313" s="13">
        <v>16006</v>
      </c>
      <c r="M5313" t="str">
        <f>VLOOKUP(L5313,[1]DevMouse!$B$2:$C$2693,2,FALSE)</f>
        <v>FCi</v>
      </c>
    </row>
    <row r="5314" spans="2:13" x14ac:dyDescent="0.25">
      <c r="B5314" s="31" t="s">
        <v>26303</v>
      </c>
      <c r="C5314" s="20"/>
      <c r="D5314" s="25" t="s">
        <v>26185</v>
      </c>
      <c r="E5314" s="25" t="s">
        <v>26307</v>
      </c>
      <c r="F5314" s="9" t="str">
        <f t="shared" si="76"/>
        <v>structure with developmental contribution from neural crest</v>
      </c>
      <c r="G5314" s="9" t="s">
        <v>5090</v>
      </c>
      <c r="H5314" s="9" t="s">
        <v>15802</v>
      </c>
      <c r="I5314" s="9" t="s">
        <v>9821</v>
      </c>
      <c r="J5314" s="9" t="s">
        <v>9822</v>
      </c>
      <c r="K5314" s="5" t="s">
        <v>15173</v>
      </c>
      <c r="L5314" s="13">
        <v>16007</v>
      </c>
      <c r="M5314" t="str">
        <f>VLOOKUP(L5314,[1]DevMouse!$B$2:$C$2693,2,FALSE)</f>
        <v>FCs</v>
      </c>
    </row>
    <row r="5315" spans="2:13" x14ac:dyDescent="0.25">
      <c r="B5315" s="36"/>
      <c r="C5315" s="20"/>
      <c r="D5315" s="25" t="s">
        <v>26232</v>
      </c>
      <c r="E5315" s="25" t="s">
        <v>26306</v>
      </c>
      <c r="F5315" s="9" t="str">
        <f t="shared" si="76"/>
        <v>structure with developmental contribution from neural crest</v>
      </c>
      <c r="G5315" s="9" t="s">
        <v>5090</v>
      </c>
      <c r="H5315" s="9" t="s">
        <v>15803</v>
      </c>
      <c r="I5315" s="9" t="s">
        <v>9823</v>
      </c>
      <c r="J5315" s="9" t="s">
        <v>9824</v>
      </c>
      <c r="K5315" s="5" t="s">
        <v>15173</v>
      </c>
      <c r="L5315" s="13">
        <v>16008</v>
      </c>
      <c r="M5315" t="str">
        <f>VLOOKUP(L5315,[1]DevMouse!$B$2:$C$2693,2,FALSE)</f>
        <v>FC-1</v>
      </c>
    </row>
    <row r="5316" spans="2:13" x14ac:dyDescent="0.25">
      <c r="B5316" s="36"/>
      <c r="C5316" s="20"/>
      <c r="D5316" s="25" t="s">
        <v>26232</v>
      </c>
      <c r="E5316" s="25" t="s">
        <v>26306</v>
      </c>
      <c r="F5316" s="9" t="str">
        <f t="shared" si="76"/>
        <v>structure with developmental contribution from neural crest</v>
      </c>
      <c r="G5316" s="9" t="s">
        <v>5090</v>
      </c>
      <c r="H5316" s="9" t="s">
        <v>15804</v>
      </c>
      <c r="I5316" s="9" t="s">
        <v>9825</v>
      </c>
      <c r="J5316" s="9" t="s">
        <v>9826</v>
      </c>
      <c r="K5316" s="5" t="s">
        <v>15173</v>
      </c>
      <c r="L5316" s="13">
        <v>16009</v>
      </c>
      <c r="M5316" t="str">
        <f>VLOOKUP(L5316,[1]DevMouse!$B$2:$C$2693,2,FALSE)</f>
        <v>FC-2</v>
      </c>
    </row>
    <row r="5317" spans="2:13" x14ac:dyDescent="0.25">
      <c r="B5317" s="36"/>
      <c r="C5317" s="20"/>
      <c r="D5317" s="25" t="s">
        <v>26232</v>
      </c>
      <c r="E5317" s="25" t="s">
        <v>26306</v>
      </c>
      <c r="F5317" s="9" t="str">
        <f t="shared" si="76"/>
        <v>structure with developmental contribution from neural crest</v>
      </c>
      <c r="G5317" s="9" t="s">
        <v>5090</v>
      </c>
      <c r="H5317" s="9" t="s">
        <v>15805</v>
      </c>
      <c r="I5317" s="9" t="s">
        <v>9827</v>
      </c>
      <c r="J5317" s="9" t="s">
        <v>9828</v>
      </c>
      <c r="K5317" s="5" t="s">
        <v>15173</v>
      </c>
      <c r="L5317" s="13">
        <v>16010</v>
      </c>
      <c r="M5317" t="str">
        <f>VLOOKUP(L5317,[1]DevMouse!$B$2:$C$2693,2,FALSE)</f>
        <v>FC-3</v>
      </c>
    </row>
    <row r="5318" spans="2:13" x14ac:dyDescent="0.25">
      <c r="B5318" s="36"/>
      <c r="C5318" s="20"/>
      <c r="D5318" s="25" t="s">
        <v>26232</v>
      </c>
      <c r="E5318" s="25" t="s">
        <v>26306</v>
      </c>
      <c r="F5318" s="9" t="str">
        <f t="shared" si="76"/>
        <v>structure with developmental contribution from neural crest</v>
      </c>
      <c r="G5318" s="9" t="s">
        <v>5090</v>
      </c>
      <c r="H5318" s="9" t="s">
        <v>15806</v>
      </c>
      <c r="I5318" s="9" t="s">
        <v>9829</v>
      </c>
      <c r="J5318" s="9" t="s">
        <v>9830</v>
      </c>
      <c r="K5318" s="5" t="s">
        <v>15173</v>
      </c>
      <c r="L5318" s="13">
        <v>16011</v>
      </c>
      <c r="M5318" t="str">
        <f>VLOOKUP(L5318,[1]DevMouse!$B$2:$C$2693,2,FALSE)</f>
        <v>FC-4</v>
      </c>
    </row>
    <row r="5319" spans="2:13" x14ac:dyDescent="0.25">
      <c r="B5319" s="36"/>
      <c r="C5319" s="20"/>
      <c r="D5319" s="25" t="s">
        <v>26232</v>
      </c>
      <c r="E5319" s="25" t="s">
        <v>26306</v>
      </c>
      <c r="F5319" s="9" t="str">
        <f t="shared" si="76"/>
        <v>structure with developmental contribution from neural crest</v>
      </c>
      <c r="G5319" s="9" t="s">
        <v>5090</v>
      </c>
      <c r="H5319" s="9" t="s">
        <v>15807</v>
      </c>
      <c r="I5319" s="9" t="s">
        <v>9831</v>
      </c>
      <c r="J5319" s="9" t="s">
        <v>9832</v>
      </c>
      <c r="K5319" s="5" t="s">
        <v>15173</v>
      </c>
      <c r="L5319" s="13">
        <v>16012</v>
      </c>
      <c r="M5319" t="str">
        <f>VLOOKUP(L5319,[1]DevMouse!$B$2:$C$2693,2,FALSE)</f>
        <v>FC-5</v>
      </c>
    </row>
    <row r="5320" spans="2:13" x14ac:dyDescent="0.25">
      <c r="B5320" s="36"/>
      <c r="C5320" s="20"/>
      <c r="D5320" s="25" t="s">
        <v>26232</v>
      </c>
      <c r="E5320" s="25" t="s">
        <v>26306</v>
      </c>
      <c r="F5320" s="9" t="str">
        <f t="shared" si="76"/>
        <v>structure with developmental contribution from neural crest</v>
      </c>
      <c r="G5320" s="9" t="s">
        <v>5090</v>
      </c>
      <c r="H5320" s="9" t="s">
        <v>15808</v>
      </c>
      <c r="I5320" s="9" t="s">
        <v>9833</v>
      </c>
      <c r="J5320" s="9" t="s">
        <v>9834</v>
      </c>
      <c r="K5320" s="5" t="s">
        <v>15173</v>
      </c>
      <c r="L5320" s="13">
        <v>16013</v>
      </c>
      <c r="M5320" t="str">
        <f>VLOOKUP(L5320,[1]DevMouse!$B$2:$C$2693,2,FALSE)</f>
        <v>FC-6</v>
      </c>
    </row>
    <row r="5321" spans="2:13" x14ac:dyDescent="0.25">
      <c r="B5321" s="36"/>
      <c r="C5321" s="20"/>
      <c r="D5321" s="25" t="s">
        <v>26232</v>
      </c>
      <c r="E5321" s="25" t="s">
        <v>26306</v>
      </c>
      <c r="F5321" s="9" t="str">
        <f t="shared" si="76"/>
        <v>structure with developmental contribution from neural crest</v>
      </c>
      <c r="G5321" s="9" t="s">
        <v>5090</v>
      </c>
      <c r="H5321" s="9" t="s">
        <v>15809</v>
      </c>
      <c r="I5321" s="9" t="s">
        <v>9835</v>
      </c>
      <c r="J5321" s="9" t="s">
        <v>9836</v>
      </c>
      <c r="K5321" s="5" t="s">
        <v>15173</v>
      </c>
      <c r="L5321" s="13">
        <v>16014</v>
      </c>
      <c r="M5321" t="str">
        <f>VLOOKUP(L5321,[1]DevMouse!$B$2:$C$2693,2,FALSE)</f>
        <v>FC-6a</v>
      </c>
    </row>
    <row r="5322" spans="2:13" x14ac:dyDescent="0.25">
      <c r="B5322" s="36"/>
      <c r="C5322" s="20"/>
      <c r="D5322" s="25" t="s">
        <v>26232</v>
      </c>
      <c r="E5322" s="25" t="s">
        <v>26306</v>
      </c>
      <c r="F5322" s="9" t="str">
        <f t="shared" si="76"/>
        <v>structure with developmental contribution from neural crest</v>
      </c>
      <c r="G5322" s="9" t="s">
        <v>5090</v>
      </c>
      <c r="H5322" s="9" t="s">
        <v>15810</v>
      </c>
      <c r="I5322" s="9" t="s">
        <v>9837</v>
      </c>
      <c r="J5322" s="9" t="s">
        <v>9838</v>
      </c>
      <c r="K5322" s="5" t="s">
        <v>15173</v>
      </c>
      <c r="L5322" s="13">
        <v>16015</v>
      </c>
      <c r="M5322" t="str">
        <f>VLOOKUP(L5322,[1]DevMouse!$B$2:$C$2693,2,FALSE)</f>
        <v>FC-6b</v>
      </c>
    </row>
    <row r="5323" spans="2:13" x14ac:dyDescent="0.25">
      <c r="B5323" s="31" t="s">
        <v>26303</v>
      </c>
      <c r="C5323" s="25" t="s">
        <v>3729</v>
      </c>
      <c r="D5323" s="25" t="s">
        <v>26232</v>
      </c>
      <c r="E5323" s="25"/>
      <c r="F5323" s="9" t="str">
        <f t="shared" si="76"/>
        <v>structure with developmental contribution from neural crest</v>
      </c>
      <c r="G5323" s="9" t="s">
        <v>5090</v>
      </c>
      <c r="H5323" s="9" t="s">
        <v>15811</v>
      </c>
      <c r="I5323" s="9" t="s">
        <v>3729</v>
      </c>
      <c r="J5323" s="9" t="s">
        <v>3730</v>
      </c>
      <c r="K5323" s="5" t="s">
        <v>15173</v>
      </c>
      <c r="L5323" s="13">
        <v>16016</v>
      </c>
      <c r="M5323" t="str">
        <f>VLOOKUP(L5323,[1]DevMouse!$B$2:$C$2693,2,FALSE)</f>
        <v>PCx</v>
      </c>
    </row>
    <row r="5324" spans="2:13" x14ac:dyDescent="0.25">
      <c r="B5324" s="36"/>
      <c r="C5324" s="20"/>
      <c r="D5324" s="25" t="s">
        <v>26232</v>
      </c>
      <c r="E5324" s="25"/>
      <c r="F5324" s="9" t="str">
        <f t="shared" si="76"/>
        <v>structure with developmental contribution from neural crest</v>
      </c>
      <c r="G5324" s="9" t="s">
        <v>5090</v>
      </c>
      <c r="H5324" s="9" t="s">
        <v>15812</v>
      </c>
      <c r="I5324" s="9" t="s">
        <v>9839</v>
      </c>
      <c r="J5324" s="9" t="s">
        <v>9840</v>
      </c>
      <c r="K5324" s="5" t="s">
        <v>15173</v>
      </c>
      <c r="L5324" s="13">
        <v>16017</v>
      </c>
      <c r="M5324" t="str">
        <f>VLOOKUP(L5324,[1]DevMouse!$B$2:$C$2693,2,FALSE)</f>
        <v>PCv</v>
      </c>
    </row>
    <row r="5325" spans="2:13" x14ac:dyDescent="0.25">
      <c r="B5325" s="31" t="s">
        <v>26303</v>
      </c>
      <c r="C5325" s="20"/>
      <c r="D5325" s="25" t="s">
        <v>26232</v>
      </c>
      <c r="E5325" s="20" t="s">
        <v>26300</v>
      </c>
      <c r="F5325" s="9" t="str">
        <f t="shared" si="76"/>
        <v>structure with developmental contribution from neural crest</v>
      </c>
      <c r="G5325" s="9" t="s">
        <v>5090</v>
      </c>
      <c r="H5325" s="9" t="s">
        <v>15813</v>
      </c>
      <c r="I5325" s="9" t="s">
        <v>9841</v>
      </c>
      <c r="J5325" s="9" t="s">
        <v>9842</v>
      </c>
      <c r="K5325" s="5" t="s">
        <v>15173</v>
      </c>
      <c r="L5325" s="13">
        <v>16018</v>
      </c>
      <c r="M5325" t="str">
        <f>VLOOKUP(L5325,[1]DevMouse!$B$2:$C$2693,2,FALSE)</f>
        <v>PCm</v>
      </c>
    </row>
    <row r="5326" spans="2:13" x14ac:dyDescent="0.25">
      <c r="B5326" s="36"/>
      <c r="C5326" s="20"/>
      <c r="D5326" s="25" t="s">
        <v>26232</v>
      </c>
      <c r="E5326" s="20" t="s">
        <v>26300</v>
      </c>
      <c r="F5326" s="9" t="str">
        <f t="shared" si="76"/>
        <v>structure with developmental contribution from neural crest</v>
      </c>
      <c r="G5326" s="9" t="s">
        <v>5090</v>
      </c>
      <c r="H5326" s="9" t="s">
        <v>15814</v>
      </c>
      <c r="I5326" s="9" t="s">
        <v>9843</v>
      </c>
      <c r="J5326" s="9" t="s">
        <v>9844</v>
      </c>
      <c r="K5326" s="5" t="s">
        <v>15173</v>
      </c>
      <c r="L5326" s="13">
        <v>16019</v>
      </c>
      <c r="M5326" t="str">
        <f>VLOOKUP(L5326,[1]DevMouse!$B$2:$C$2693,2,FALSE)</f>
        <v>PCp</v>
      </c>
    </row>
    <row r="5327" spans="2:13" x14ac:dyDescent="0.25">
      <c r="B5327" s="36"/>
      <c r="C5327" s="25"/>
      <c r="D5327" s="25" t="s">
        <v>26232</v>
      </c>
      <c r="E5327" s="25" t="s">
        <v>26306</v>
      </c>
      <c r="F5327" s="9" t="str">
        <f t="shared" si="76"/>
        <v>structure with developmental contribution from neural crest</v>
      </c>
      <c r="G5327" s="9" t="s">
        <v>5090</v>
      </c>
      <c r="H5327" s="9" t="s">
        <v>15815</v>
      </c>
      <c r="I5327" s="9" t="s">
        <v>9845</v>
      </c>
      <c r="J5327" s="9" t="s">
        <v>9846</v>
      </c>
      <c r="K5327" s="5" t="s">
        <v>15173</v>
      </c>
      <c r="L5327" s="13">
        <v>16020</v>
      </c>
      <c r="M5327" t="str">
        <f>VLOOKUP(L5327,[1]DevMouse!$B$2:$C$2693,2,FALSE)</f>
        <v>PCi</v>
      </c>
    </row>
    <row r="5328" spans="2:13" x14ac:dyDescent="0.25">
      <c r="B5328" s="31" t="s">
        <v>26303</v>
      </c>
      <c r="C5328" s="20"/>
      <c r="D5328" s="25" t="s">
        <v>26185</v>
      </c>
      <c r="E5328" s="25" t="s">
        <v>26307</v>
      </c>
      <c r="F5328" s="9" t="str">
        <f t="shared" si="76"/>
        <v>structure with developmental contribution from neural crest</v>
      </c>
      <c r="G5328" s="9" t="s">
        <v>5090</v>
      </c>
      <c r="H5328" s="9" t="s">
        <v>15816</v>
      </c>
      <c r="I5328" s="9" t="s">
        <v>9847</v>
      </c>
      <c r="J5328" s="9" t="s">
        <v>9848</v>
      </c>
      <c r="K5328" s="5" t="s">
        <v>15173</v>
      </c>
      <c r="L5328" s="13">
        <v>16021</v>
      </c>
      <c r="M5328" t="str">
        <f>VLOOKUP(L5328,[1]DevMouse!$B$2:$C$2693,2,FALSE)</f>
        <v>PCs</v>
      </c>
    </row>
    <row r="5329" spans="2:13" x14ac:dyDescent="0.25">
      <c r="B5329" s="36"/>
      <c r="C5329" s="20"/>
      <c r="D5329" s="25" t="s">
        <v>26232</v>
      </c>
      <c r="E5329" s="25" t="s">
        <v>26306</v>
      </c>
      <c r="F5329" s="9" t="str">
        <f t="shared" si="76"/>
        <v>structure with developmental contribution from neural crest</v>
      </c>
      <c r="G5329" s="9" t="s">
        <v>5090</v>
      </c>
      <c r="H5329" s="9" t="s">
        <v>15817</v>
      </c>
      <c r="I5329" s="9" t="s">
        <v>9849</v>
      </c>
      <c r="J5329" s="9" t="s">
        <v>9850</v>
      </c>
      <c r="K5329" s="5" t="s">
        <v>15173</v>
      </c>
      <c r="L5329" s="13">
        <v>16022</v>
      </c>
      <c r="M5329" t="str">
        <f>VLOOKUP(L5329,[1]DevMouse!$B$2:$C$2693,2,FALSE)</f>
        <v>PC-1</v>
      </c>
    </row>
    <row r="5330" spans="2:13" x14ac:dyDescent="0.25">
      <c r="B5330" s="36"/>
      <c r="C5330" s="20"/>
      <c r="D5330" s="25" t="s">
        <v>26232</v>
      </c>
      <c r="E5330" s="25" t="s">
        <v>26306</v>
      </c>
      <c r="F5330" s="9" t="str">
        <f t="shared" si="76"/>
        <v>structure with developmental contribution from neural crest</v>
      </c>
      <c r="G5330" s="9" t="s">
        <v>5090</v>
      </c>
      <c r="H5330" s="9" t="s">
        <v>15818</v>
      </c>
      <c r="I5330" s="9" t="s">
        <v>9851</v>
      </c>
      <c r="J5330" s="9" t="s">
        <v>9852</v>
      </c>
      <c r="K5330" s="5" t="s">
        <v>15173</v>
      </c>
      <c r="L5330" s="13">
        <v>16023</v>
      </c>
      <c r="M5330" t="str">
        <f>VLOOKUP(L5330,[1]DevMouse!$B$2:$C$2693,2,FALSE)</f>
        <v>PC-2</v>
      </c>
    </row>
    <row r="5331" spans="2:13" x14ac:dyDescent="0.25">
      <c r="B5331" s="36"/>
      <c r="C5331" s="20"/>
      <c r="D5331" s="25" t="s">
        <v>26232</v>
      </c>
      <c r="E5331" s="25" t="s">
        <v>26306</v>
      </c>
      <c r="F5331" s="9" t="str">
        <f t="shared" si="76"/>
        <v>structure with developmental contribution from neural crest</v>
      </c>
      <c r="G5331" s="9" t="s">
        <v>5090</v>
      </c>
      <c r="H5331" s="9" t="s">
        <v>15819</v>
      </c>
      <c r="I5331" s="9" t="s">
        <v>9853</v>
      </c>
      <c r="J5331" s="9" t="s">
        <v>9854</v>
      </c>
      <c r="K5331" s="5" t="s">
        <v>15173</v>
      </c>
      <c r="L5331" s="13">
        <v>16024</v>
      </c>
      <c r="M5331" t="str">
        <f>VLOOKUP(L5331,[1]DevMouse!$B$2:$C$2693,2,FALSE)</f>
        <v>PC-3</v>
      </c>
    </row>
    <row r="5332" spans="2:13" x14ac:dyDescent="0.25">
      <c r="B5332" s="36"/>
      <c r="C5332" s="20"/>
      <c r="D5332" s="25" t="s">
        <v>26232</v>
      </c>
      <c r="E5332" s="25" t="s">
        <v>26306</v>
      </c>
      <c r="F5332" s="9" t="str">
        <f t="shared" si="76"/>
        <v>structure with developmental contribution from neural crest</v>
      </c>
      <c r="G5332" s="9" t="s">
        <v>5090</v>
      </c>
      <c r="H5332" s="9" t="s">
        <v>15820</v>
      </c>
      <c r="I5332" s="9" t="s">
        <v>9855</v>
      </c>
      <c r="J5332" s="9" t="s">
        <v>9856</v>
      </c>
      <c r="K5332" s="5" t="s">
        <v>15173</v>
      </c>
      <c r="L5332" s="13">
        <v>16025</v>
      </c>
      <c r="M5332" t="str">
        <f>VLOOKUP(L5332,[1]DevMouse!$B$2:$C$2693,2,FALSE)</f>
        <v>PC-4</v>
      </c>
    </row>
    <row r="5333" spans="2:13" x14ac:dyDescent="0.25">
      <c r="B5333" s="36"/>
      <c r="C5333" s="20"/>
      <c r="D5333" s="25" t="s">
        <v>26232</v>
      </c>
      <c r="E5333" s="25" t="s">
        <v>26306</v>
      </c>
      <c r="F5333" s="9" t="str">
        <f t="shared" si="76"/>
        <v>structure with developmental contribution from neural crest</v>
      </c>
      <c r="G5333" s="9" t="s">
        <v>5090</v>
      </c>
      <c r="H5333" s="9" t="s">
        <v>15821</v>
      </c>
      <c r="I5333" s="9" t="s">
        <v>9857</v>
      </c>
      <c r="J5333" s="9" t="s">
        <v>9858</v>
      </c>
      <c r="K5333" s="5" t="s">
        <v>15173</v>
      </c>
      <c r="L5333" s="13">
        <v>16026</v>
      </c>
      <c r="M5333" t="str">
        <f>VLOOKUP(L5333,[1]DevMouse!$B$2:$C$2693,2,FALSE)</f>
        <v>PC-5</v>
      </c>
    </row>
    <row r="5334" spans="2:13" x14ac:dyDescent="0.25">
      <c r="B5334" s="36"/>
      <c r="C5334" s="20"/>
      <c r="D5334" s="25" t="s">
        <v>26232</v>
      </c>
      <c r="E5334" s="25" t="s">
        <v>26306</v>
      </c>
      <c r="F5334" s="9" t="str">
        <f t="shared" si="76"/>
        <v>structure with developmental contribution from neural crest</v>
      </c>
      <c r="G5334" s="9" t="s">
        <v>5090</v>
      </c>
      <c r="H5334" s="9" t="s">
        <v>15822</v>
      </c>
      <c r="I5334" s="9" t="s">
        <v>9859</v>
      </c>
      <c r="J5334" s="9" t="s">
        <v>9860</v>
      </c>
      <c r="K5334" s="5" t="s">
        <v>15173</v>
      </c>
      <c r="L5334" s="13">
        <v>16027</v>
      </c>
      <c r="M5334" t="str">
        <f>VLOOKUP(L5334,[1]DevMouse!$B$2:$C$2693,2,FALSE)</f>
        <v>PC-6</v>
      </c>
    </row>
    <row r="5335" spans="2:13" x14ac:dyDescent="0.25">
      <c r="B5335" s="36"/>
      <c r="C5335" s="20"/>
      <c r="D5335" s="25" t="s">
        <v>26232</v>
      </c>
      <c r="E5335" s="25" t="s">
        <v>26306</v>
      </c>
      <c r="F5335" s="9" t="str">
        <f t="shared" si="76"/>
        <v>structure with developmental contribution from neural crest</v>
      </c>
      <c r="G5335" s="9" t="s">
        <v>5090</v>
      </c>
      <c r="H5335" s="9" t="s">
        <v>15823</v>
      </c>
      <c r="I5335" s="9" t="s">
        <v>9861</v>
      </c>
      <c r="J5335" s="9" t="s">
        <v>9862</v>
      </c>
      <c r="K5335" s="5" t="s">
        <v>15173</v>
      </c>
      <c r="L5335" s="13">
        <v>16028</v>
      </c>
      <c r="M5335" t="str">
        <f>VLOOKUP(L5335,[1]DevMouse!$B$2:$C$2693,2,FALSE)</f>
        <v>PC-6a</v>
      </c>
    </row>
    <row r="5336" spans="2:13" x14ac:dyDescent="0.25">
      <c r="B5336" s="36"/>
      <c r="C5336" s="20"/>
      <c r="D5336" s="25" t="s">
        <v>26232</v>
      </c>
      <c r="E5336" s="25" t="s">
        <v>26306</v>
      </c>
      <c r="F5336" s="9" t="str">
        <f t="shared" si="76"/>
        <v>structure with developmental contribution from neural crest</v>
      </c>
      <c r="G5336" s="9" t="s">
        <v>5090</v>
      </c>
      <c r="H5336" s="9" t="s">
        <v>15824</v>
      </c>
      <c r="I5336" s="9" t="s">
        <v>9863</v>
      </c>
      <c r="J5336" s="9" t="s">
        <v>9864</v>
      </c>
      <c r="K5336" s="5" t="s">
        <v>15173</v>
      </c>
      <c r="L5336" s="13">
        <v>16029</v>
      </c>
      <c r="M5336" t="str">
        <f>VLOOKUP(L5336,[1]DevMouse!$B$2:$C$2693,2,FALSE)</f>
        <v>PC-6b</v>
      </c>
    </row>
    <row r="5337" spans="2:13" x14ac:dyDescent="0.25">
      <c r="B5337" s="31" t="s">
        <v>26303</v>
      </c>
      <c r="C5337" s="25" t="s">
        <v>3376</v>
      </c>
      <c r="D5337" s="25" t="s">
        <v>26232</v>
      </c>
      <c r="E5337" s="25"/>
      <c r="F5337" s="9" t="str">
        <f t="shared" si="76"/>
        <v>structure with developmental contribution from neural crest</v>
      </c>
      <c r="G5337" s="9" t="s">
        <v>5090</v>
      </c>
      <c r="H5337" s="9" t="s">
        <v>15825</v>
      </c>
      <c r="I5337" s="9" t="s">
        <v>3376</v>
      </c>
      <c r="J5337" s="9" t="s">
        <v>3377</v>
      </c>
      <c r="K5337" s="5" t="s">
        <v>15173</v>
      </c>
      <c r="L5337" s="13">
        <v>16030</v>
      </c>
      <c r="M5337" t="str">
        <f>VLOOKUP(L5337,[1]DevMouse!$B$2:$C$2693,2,FALSE)</f>
        <v>OCx</v>
      </c>
    </row>
    <row r="5338" spans="2:13" x14ac:dyDescent="0.25">
      <c r="B5338" s="36"/>
      <c r="C5338" s="20"/>
      <c r="D5338" s="25" t="s">
        <v>26232</v>
      </c>
      <c r="E5338" s="25"/>
      <c r="F5338" s="9" t="str">
        <f t="shared" si="76"/>
        <v>structure with developmental contribution from neural crest</v>
      </c>
      <c r="G5338" s="9" t="s">
        <v>5090</v>
      </c>
      <c r="H5338" s="9" t="s">
        <v>15826</v>
      </c>
      <c r="I5338" s="9" t="s">
        <v>9865</v>
      </c>
      <c r="J5338" s="9" t="s">
        <v>9866</v>
      </c>
      <c r="K5338" s="5" t="s">
        <v>15173</v>
      </c>
      <c r="L5338" s="13">
        <v>16031</v>
      </c>
      <c r="M5338" t="str">
        <f>VLOOKUP(L5338,[1]DevMouse!$B$2:$C$2693,2,FALSE)</f>
        <v>OCv</v>
      </c>
    </row>
    <row r="5339" spans="2:13" x14ac:dyDescent="0.25">
      <c r="B5339" s="31" t="s">
        <v>26303</v>
      </c>
      <c r="C5339" s="20"/>
      <c r="D5339" s="25" t="s">
        <v>26232</v>
      </c>
      <c r="E5339" s="20" t="s">
        <v>26300</v>
      </c>
      <c r="F5339" s="9" t="str">
        <f t="shared" si="76"/>
        <v>structure with developmental contribution from neural crest</v>
      </c>
      <c r="G5339" s="9" t="s">
        <v>5090</v>
      </c>
      <c r="H5339" s="9" t="s">
        <v>15827</v>
      </c>
      <c r="I5339" s="9" t="s">
        <v>9867</v>
      </c>
      <c r="J5339" s="9" t="s">
        <v>9868</v>
      </c>
      <c r="K5339" s="5" t="s">
        <v>15173</v>
      </c>
      <c r="L5339" s="13">
        <v>16032</v>
      </c>
      <c r="M5339" t="str">
        <f>VLOOKUP(L5339,[1]DevMouse!$B$2:$C$2693,2,FALSE)</f>
        <v>OCm</v>
      </c>
    </row>
    <row r="5340" spans="2:13" x14ac:dyDescent="0.25">
      <c r="B5340" s="36"/>
      <c r="C5340" s="20"/>
      <c r="D5340" s="25" t="s">
        <v>26232</v>
      </c>
      <c r="E5340" s="20" t="s">
        <v>26300</v>
      </c>
      <c r="F5340" s="9" t="str">
        <f t="shared" si="76"/>
        <v>structure with developmental contribution from neural crest</v>
      </c>
      <c r="G5340" s="9" t="s">
        <v>5090</v>
      </c>
      <c r="H5340" s="9" t="s">
        <v>15828</v>
      </c>
      <c r="I5340" s="9" t="s">
        <v>9869</v>
      </c>
      <c r="J5340" s="9" t="s">
        <v>9870</v>
      </c>
      <c r="K5340" s="5" t="s">
        <v>15173</v>
      </c>
      <c r="L5340" s="13">
        <v>16033</v>
      </c>
      <c r="M5340" t="str">
        <f>VLOOKUP(L5340,[1]DevMouse!$B$2:$C$2693,2,FALSE)</f>
        <v>OCp</v>
      </c>
    </row>
    <row r="5341" spans="2:13" x14ac:dyDescent="0.25">
      <c r="B5341" s="36"/>
      <c r="C5341" s="25"/>
      <c r="D5341" s="25" t="s">
        <v>26232</v>
      </c>
      <c r="E5341" s="25" t="s">
        <v>26306</v>
      </c>
      <c r="F5341" s="9" t="str">
        <f t="shared" si="76"/>
        <v>structure with developmental contribution from neural crest</v>
      </c>
      <c r="G5341" s="9" t="s">
        <v>5090</v>
      </c>
      <c r="H5341" s="9" t="s">
        <v>15829</v>
      </c>
      <c r="I5341" s="9" t="s">
        <v>9871</v>
      </c>
      <c r="J5341" s="9" t="s">
        <v>9872</v>
      </c>
      <c r="K5341" s="5" t="s">
        <v>15173</v>
      </c>
      <c r="L5341" s="13">
        <v>16034</v>
      </c>
      <c r="M5341" t="str">
        <f>VLOOKUP(L5341,[1]DevMouse!$B$2:$C$2693,2,FALSE)</f>
        <v>OCi</v>
      </c>
    </row>
    <row r="5342" spans="2:13" x14ac:dyDescent="0.25">
      <c r="B5342" s="31" t="s">
        <v>26303</v>
      </c>
      <c r="C5342" s="20"/>
      <c r="D5342" s="25" t="s">
        <v>26185</v>
      </c>
      <c r="E5342" s="25" t="s">
        <v>26307</v>
      </c>
      <c r="F5342" s="9" t="str">
        <f t="shared" si="76"/>
        <v>structure with developmental contribution from neural crest</v>
      </c>
      <c r="G5342" s="9" t="s">
        <v>5090</v>
      </c>
      <c r="H5342" s="9" t="s">
        <v>15830</v>
      </c>
      <c r="I5342" s="9" t="s">
        <v>9873</v>
      </c>
      <c r="J5342" s="9" t="s">
        <v>9874</v>
      </c>
      <c r="K5342" s="5" t="s">
        <v>15173</v>
      </c>
      <c r="L5342" s="13">
        <v>16035</v>
      </c>
      <c r="M5342" t="str">
        <f>VLOOKUP(L5342,[1]DevMouse!$B$2:$C$2693,2,FALSE)</f>
        <v>OCs</v>
      </c>
    </row>
    <row r="5343" spans="2:13" x14ac:dyDescent="0.25">
      <c r="B5343" s="36"/>
      <c r="C5343" s="20"/>
      <c r="D5343" s="25" t="s">
        <v>26232</v>
      </c>
      <c r="E5343" s="25" t="s">
        <v>26306</v>
      </c>
      <c r="F5343" s="9" t="str">
        <f t="shared" si="76"/>
        <v>structure with developmental contribution from neural crest</v>
      </c>
      <c r="G5343" s="9" t="s">
        <v>5090</v>
      </c>
      <c r="H5343" s="9" t="s">
        <v>15831</v>
      </c>
      <c r="I5343" s="9" t="s">
        <v>9875</v>
      </c>
      <c r="J5343" s="9" t="s">
        <v>9876</v>
      </c>
      <c r="K5343" s="5" t="s">
        <v>15173</v>
      </c>
      <c r="L5343" s="13">
        <v>16036</v>
      </c>
      <c r="M5343" t="str">
        <f>VLOOKUP(L5343,[1]DevMouse!$B$2:$C$2693,2,FALSE)</f>
        <v>OC-1</v>
      </c>
    </row>
    <row r="5344" spans="2:13" x14ac:dyDescent="0.25">
      <c r="B5344" s="36"/>
      <c r="C5344" s="20"/>
      <c r="D5344" s="25" t="s">
        <v>26232</v>
      </c>
      <c r="E5344" s="25" t="s">
        <v>26306</v>
      </c>
      <c r="F5344" s="9" t="str">
        <f t="shared" si="76"/>
        <v>structure with developmental contribution from neural crest</v>
      </c>
      <c r="G5344" s="9" t="s">
        <v>5090</v>
      </c>
      <c r="H5344" s="9" t="s">
        <v>15832</v>
      </c>
      <c r="I5344" s="9" t="s">
        <v>9877</v>
      </c>
      <c r="J5344" s="9" t="s">
        <v>9878</v>
      </c>
      <c r="K5344" s="5" t="s">
        <v>15173</v>
      </c>
      <c r="L5344" s="13">
        <v>16037</v>
      </c>
      <c r="M5344" t="str">
        <f>VLOOKUP(L5344,[1]DevMouse!$B$2:$C$2693,2,FALSE)</f>
        <v>OC-2</v>
      </c>
    </row>
    <row r="5345" spans="2:13" x14ac:dyDescent="0.25">
      <c r="B5345" s="36"/>
      <c r="C5345" s="20"/>
      <c r="D5345" s="25" t="s">
        <v>26232</v>
      </c>
      <c r="E5345" s="25" t="s">
        <v>26306</v>
      </c>
      <c r="F5345" s="9" t="str">
        <f t="shared" si="76"/>
        <v>structure with developmental contribution from neural crest</v>
      </c>
      <c r="G5345" s="9" t="s">
        <v>5090</v>
      </c>
      <c r="H5345" s="9" t="s">
        <v>15833</v>
      </c>
      <c r="I5345" s="9" t="s">
        <v>9879</v>
      </c>
      <c r="J5345" s="9" t="s">
        <v>9880</v>
      </c>
      <c r="K5345" s="5" t="s">
        <v>15173</v>
      </c>
      <c r="L5345" s="13">
        <v>16038</v>
      </c>
      <c r="M5345" t="str">
        <f>VLOOKUP(L5345,[1]DevMouse!$B$2:$C$2693,2,FALSE)</f>
        <v>OC-3</v>
      </c>
    </row>
    <row r="5346" spans="2:13" x14ac:dyDescent="0.25">
      <c r="B5346" s="36"/>
      <c r="C5346" s="20"/>
      <c r="D5346" s="25" t="s">
        <v>26232</v>
      </c>
      <c r="E5346" s="25" t="s">
        <v>26306</v>
      </c>
      <c r="F5346" s="9" t="str">
        <f t="shared" si="76"/>
        <v>structure with developmental contribution from neural crest</v>
      </c>
      <c r="G5346" s="9" t="s">
        <v>5090</v>
      </c>
      <c r="H5346" s="9" t="s">
        <v>15834</v>
      </c>
      <c r="I5346" s="9" t="s">
        <v>9881</v>
      </c>
      <c r="J5346" s="9" t="s">
        <v>9882</v>
      </c>
      <c r="K5346" s="5" t="s">
        <v>15173</v>
      </c>
      <c r="L5346" s="13">
        <v>16039</v>
      </c>
      <c r="M5346" t="str">
        <f>VLOOKUP(L5346,[1]DevMouse!$B$2:$C$2693,2,FALSE)</f>
        <v>OC-4</v>
      </c>
    </row>
    <row r="5347" spans="2:13" x14ac:dyDescent="0.25">
      <c r="B5347" s="36"/>
      <c r="C5347" s="20"/>
      <c r="D5347" s="25" t="s">
        <v>26232</v>
      </c>
      <c r="E5347" s="25" t="s">
        <v>26306</v>
      </c>
      <c r="F5347" s="9" t="str">
        <f t="shared" si="76"/>
        <v>structure with developmental contribution from neural crest</v>
      </c>
      <c r="G5347" s="9" t="s">
        <v>5090</v>
      </c>
      <c r="H5347" s="9" t="s">
        <v>15835</v>
      </c>
      <c r="I5347" s="9" t="s">
        <v>9883</v>
      </c>
      <c r="J5347" s="9" t="s">
        <v>9884</v>
      </c>
      <c r="K5347" s="5" t="s">
        <v>15173</v>
      </c>
      <c r="L5347" s="13">
        <v>16040</v>
      </c>
      <c r="M5347" t="str">
        <f>VLOOKUP(L5347,[1]DevMouse!$B$2:$C$2693,2,FALSE)</f>
        <v>OC-5</v>
      </c>
    </row>
    <row r="5348" spans="2:13" x14ac:dyDescent="0.25">
      <c r="B5348" s="36"/>
      <c r="C5348" s="20"/>
      <c r="D5348" s="25" t="s">
        <v>26232</v>
      </c>
      <c r="E5348" s="25" t="s">
        <v>26306</v>
      </c>
      <c r="F5348" s="9" t="str">
        <f t="shared" si="76"/>
        <v>structure with developmental contribution from neural crest</v>
      </c>
      <c r="G5348" s="9" t="s">
        <v>5090</v>
      </c>
      <c r="H5348" s="9" t="s">
        <v>15836</v>
      </c>
      <c r="I5348" s="9" t="s">
        <v>9885</v>
      </c>
      <c r="J5348" s="9" t="s">
        <v>9886</v>
      </c>
      <c r="K5348" s="5" t="s">
        <v>15173</v>
      </c>
      <c r="L5348" s="13">
        <v>16041</v>
      </c>
      <c r="M5348" t="str">
        <f>VLOOKUP(L5348,[1]DevMouse!$B$2:$C$2693,2,FALSE)</f>
        <v>OC-6</v>
      </c>
    </row>
    <row r="5349" spans="2:13" x14ac:dyDescent="0.25">
      <c r="B5349" s="36"/>
      <c r="C5349" s="20"/>
      <c r="D5349" s="25" t="s">
        <v>26232</v>
      </c>
      <c r="E5349" s="25" t="s">
        <v>26306</v>
      </c>
      <c r="F5349" s="9" t="str">
        <f t="shared" si="76"/>
        <v>structure with developmental contribution from neural crest</v>
      </c>
      <c r="G5349" s="9" t="s">
        <v>5090</v>
      </c>
      <c r="H5349" s="9" t="s">
        <v>15837</v>
      </c>
      <c r="I5349" s="9" t="s">
        <v>9887</v>
      </c>
      <c r="J5349" s="9" t="s">
        <v>9888</v>
      </c>
      <c r="K5349" s="5" t="s">
        <v>15173</v>
      </c>
      <c r="L5349" s="13">
        <v>16042</v>
      </c>
      <c r="M5349" t="str">
        <f>VLOOKUP(L5349,[1]DevMouse!$B$2:$C$2693,2,FALSE)</f>
        <v>OC-6a</v>
      </c>
    </row>
    <row r="5350" spans="2:13" x14ac:dyDescent="0.25">
      <c r="B5350" s="36"/>
      <c r="C5350" s="20"/>
      <c r="D5350" s="25" t="s">
        <v>26232</v>
      </c>
      <c r="E5350" s="25" t="s">
        <v>26306</v>
      </c>
      <c r="F5350" s="9" t="str">
        <f t="shared" si="76"/>
        <v>structure with developmental contribution from neural crest</v>
      </c>
      <c r="G5350" s="9" t="s">
        <v>5090</v>
      </c>
      <c r="H5350" s="9" t="s">
        <v>15838</v>
      </c>
      <c r="I5350" s="9" t="s">
        <v>9889</v>
      </c>
      <c r="J5350" s="9" t="s">
        <v>9890</v>
      </c>
      <c r="K5350" s="5" t="s">
        <v>15173</v>
      </c>
      <c r="L5350" s="13">
        <v>16043</v>
      </c>
      <c r="M5350" t="str">
        <f>VLOOKUP(L5350,[1]DevMouse!$B$2:$C$2693,2,FALSE)</f>
        <v>OC-6b</v>
      </c>
    </row>
    <row r="5351" spans="2:13" x14ac:dyDescent="0.25">
      <c r="B5351" s="31" t="s">
        <v>26303</v>
      </c>
      <c r="C5351" s="9" t="s">
        <v>9891</v>
      </c>
      <c r="D5351" s="25" t="s">
        <v>26232</v>
      </c>
      <c r="E5351" s="25"/>
      <c r="F5351" s="9" t="str">
        <f t="shared" si="76"/>
        <v>structure with developmental contribution from neural crest</v>
      </c>
      <c r="G5351" s="9" t="s">
        <v>5090</v>
      </c>
      <c r="H5351" s="9" t="s">
        <v>15839</v>
      </c>
      <c r="I5351" s="9" t="s">
        <v>9891</v>
      </c>
      <c r="J5351" s="9" t="s">
        <v>9892</v>
      </c>
      <c r="K5351" s="5" t="s">
        <v>15173</v>
      </c>
      <c r="L5351" s="13">
        <v>16044</v>
      </c>
      <c r="M5351" t="str">
        <f>VLOOKUP(L5351,[1]DevMouse!$B$2:$C$2693,2,FALSE)</f>
        <v>TCx</v>
      </c>
    </row>
    <row r="5352" spans="2:13" x14ac:dyDescent="0.25">
      <c r="B5352" s="36"/>
      <c r="C5352" s="20"/>
      <c r="D5352" s="25" t="s">
        <v>26232</v>
      </c>
      <c r="E5352" s="25"/>
      <c r="F5352" s="9" t="str">
        <f t="shared" si="76"/>
        <v>structure with developmental contribution from neural crest</v>
      </c>
      <c r="G5352" s="9" t="s">
        <v>5090</v>
      </c>
      <c r="H5352" s="9" t="s">
        <v>15840</v>
      </c>
      <c r="I5352" s="9" t="s">
        <v>9893</v>
      </c>
      <c r="J5352" s="9" t="s">
        <v>9894</v>
      </c>
      <c r="K5352" s="5" t="s">
        <v>15173</v>
      </c>
      <c r="L5352" s="13">
        <v>16045</v>
      </c>
      <c r="M5352" t="str">
        <f>VLOOKUP(L5352,[1]DevMouse!$B$2:$C$2693,2,FALSE)</f>
        <v>TCv</v>
      </c>
    </row>
    <row r="5353" spans="2:13" x14ac:dyDescent="0.25">
      <c r="B5353" s="31" t="s">
        <v>26303</v>
      </c>
      <c r="C5353" s="20"/>
      <c r="D5353" s="25" t="s">
        <v>26232</v>
      </c>
      <c r="E5353" s="20" t="s">
        <v>26300</v>
      </c>
      <c r="F5353" s="9" t="str">
        <f t="shared" si="76"/>
        <v>structure with developmental contribution from neural crest</v>
      </c>
      <c r="G5353" s="9" t="s">
        <v>5090</v>
      </c>
      <c r="H5353" s="9" t="s">
        <v>15841</v>
      </c>
      <c r="I5353" s="9" t="s">
        <v>9895</v>
      </c>
      <c r="J5353" s="9" t="s">
        <v>9896</v>
      </c>
      <c r="K5353" s="5" t="s">
        <v>15173</v>
      </c>
      <c r="L5353" s="13">
        <v>16046</v>
      </c>
      <c r="M5353" t="str">
        <f>VLOOKUP(L5353,[1]DevMouse!$B$2:$C$2693,2,FALSE)</f>
        <v>TCm</v>
      </c>
    </row>
    <row r="5354" spans="2:13" x14ac:dyDescent="0.25">
      <c r="B5354" s="36"/>
      <c r="C5354" s="20"/>
      <c r="D5354" s="25" t="s">
        <v>26232</v>
      </c>
      <c r="E5354" s="20" t="s">
        <v>26300</v>
      </c>
      <c r="F5354" s="9" t="str">
        <f t="shared" si="76"/>
        <v>structure with developmental contribution from neural crest</v>
      </c>
      <c r="G5354" s="9" t="s">
        <v>5090</v>
      </c>
      <c r="H5354" s="9" t="s">
        <v>15842</v>
      </c>
      <c r="I5354" s="9" t="s">
        <v>9897</v>
      </c>
      <c r="J5354" s="9" t="s">
        <v>9898</v>
      </c>
      <c r="K5354" s="5" t="s">
        <v>15173</v>
      </c>
      <c r="L5354" s="13">
        <v>16047</v>
      </c>
      <c r="M5354" t="str">
        <f>VLOOKUP(L5354,[1]DevMouse!$B$2:$C$2693,2,FALSE)</f>
        <v>TCp</v>
      </c>
    </row>
    <row r="5355" spans="2:13" x14ac:dyDescent="0.25">
      <c r="B5355" s="36"/>
      <c r="C5355" s="25"/>
      <c r="D5355" s="25" t="s">
        <v>26232</v>
      </c>
      <c r="E5355" s="25" t="s">
        <v>26306</v>
      </c>
      <c r="F5355" s="9" t="str">
        <f t="shared" si="76"/>
        <v>structure with developmental contribution from neural crest</v>
      </c>
      <c r="G5355" s="9" t="s">
        <v>5090</v>
      </c>
      <c r="H5355" s="9" t="s">
        <v>15843</v>
      </c>
      <c r="I5355" s="9" t="s">
        <v>9899</v>
      </c>
      <c r="J5355" s="9" t="s">
        <v>9900</v>
      </c>
      <c r="K5355" s="5" t="s">
        <v>15173</v>
      </c>
      <c r="L5355" s="13">
        <v>16048</v>
      </c>
      <c r="M5355" t="str">
        <f>VLOOKUP(L5355,[1]DevMouse!$B$2:$C$2693,2,FALSE)</f>
        <v>TCi</v>
      </c>
    </row>
    <row r="5356" spans="2:13" x14ac:dyDescent="0.25">
      <c r="B5356" s="31" t="s">
        <v>26303</v>
      </c>
      <c r="C5356" s="20"/>
      <c r="D5356" s="25" t="s">
        <v>26185</v>
      </c>
      <c r="E5356" s="25" t="s">
        <v>26307</v>
      </c>
      <c r="F5356" s="9" t="str">
        <f t="shared" si="76"/>
        <v>structure with developmental contribution from neural crest</v>
      </c>
      <c r="G5356" s="9" t="s">
        <v>5090</v>
      </c>
      <c r="H5356" s="9" t="s">
        <v>15844</v>
      </c>
      <c r="I5356" s="9" t="s">
        <v>9901</v>
      </c>
      <c r="J5356" s="9" t="s">
        <v>9902</v>
      </c>
      <c r="K5356" s="5" t="s">
        <v>15173</v>
      </c>
      <c r="L5356" s="13">
        <v>16049</v>
      </c>
      <c r="M5356" t="str">
        <f>VLOOKUP(L5356,[1]DevMouse!$B$2:$C$2693,2,FALSE)</f>
        <v>TCs</v>
      </c>
    </row>
    <row r="5357" spans="2:13" x14ac:dyDescent="0.25">
      <c r="B5357" s="36"/>
      <c r="C5357" s="20"/>
      <c r="D5357" s="25" t="s">
        <v>26232</v>
      </c>
      <c r="E5357" s="25" t="s">
        <v>26306</v>
      </c>
      <c r="F5357" s="9" t="str">
        <f t="shared" si="76"/>
        <v>structure with developmental contribution from neural crest</v>
      </c>
      <c r="G5357" s="9" t="s">
        <v>5090</v>
      </c>
      <c r="H5357" s="9" t="s">
        <v>15845</v>
      </c>
      <c r="I5357" s="9" t="s">
        <v>9903</v>
      </c>
      <c r="J5357" s="9" t="s">
        <v>9904</v>
      </c>
      <c r="K5357" s="5" t="s">
        <v>15173</v>
      </c>
      <c r="L5357" s="13">
        <v>16050</v>
      </c>
      <c r="M5357" t="str">
        <f>VLOOKUP(L5357,[1]DevMouse!$B$2:$C$2693,2,FALSE)</f>
        <v>TC-1</v>
      </c>
    </row>
    <row r="5358" spans="2:13" x14ac:dyDescent="0.25">
      <c r="B5358" s="36"/>
      <c r="C5358" s="20"/>
      <c r="D5358" s="25" t="s">
        <v>26232</v>
      </c>
      <c r="E5358" s="25" t="s">
        <v>26306</v>
      </c>
      <c r="F5358" s="9" t="str">
        <f t="shared" si="76"/>
        <v>structure with developmental contribution from neural crest</v>
      </c>
      <c r="G5358" s="9" t="s">
        <v>5090</v>
      </c>
      <c r="H5358" s="9" t="s">
        <v>15846</v>
      </c>
      <c r="I5358" s="9" t="s">
        <v>9905</v>
      </c>
      <c r="J5358" s="9" t="s">
        <v>9906</v>
      </c>
      <c r="K5358" s="5" t="s">
        <v>15173</v>
      </c>
      <c r="L5358" s="13">
        <v>16051</v>
      </c>
      <c r="M5358" t="str">
        <f>VLOOKUP(L5358,[1]DevMouse!$B$2:$C$2693,2,FALSE)</f>
        <v>TC-2</v>
      </c>
    </row>
    <row r="5359" spans="2:13" x14ac:dyDescent="0.25">
      <c r="B5359" s="36"/>
      <c r="C5359" s="20"/>
      <c r="D5359" s="25" t="s">
        <v>26232</v>
      </c>
      <c r="E5359" s="25" t="s">
        <v>26306</v>
      </c>
      <c r="F5359" s="9" t="str">
        <f t="shared" si="76"/>
        <v>structure with developmental contribution from neural crest</v>
      </c>
      <c r="G5359" s="9" t="s">
        <v>5090</v>
      </c>
      <c r="H5359" s="9" t="s">
        <v>15847</v>
      </c>
      <c r="I5359" s="9" t="s">
        <v>9907</v>
      </c>
      <c r="J5359" s="9" t="s">
        <v>9908</v>
      </c>
      <c r="K5359" s="5" t="s">
        <v>15173</v>
      </c>
      <c r="L5359" s="13">
        <v>16052</v>
      </c>
      <c r="M5359" t="str">
        <f>VLOOKUP(L5359,[1]DevMouse!$B$2:$C$2693,2,FALSE)</f>
        <v>TC-3</v>
      </c>
    </row>
    <row r="5360" spans="2:13" x14ac:dyDescent="0.25">
      <c r="B5360" s="36"/>
      <c r="C5360" s="20"/>
      <c r="D5360" s="25" t="s">
        <v>26232</v>
      </c>
      <c r="E5360" s="25" t="s">
        <v>26306</v>
      </c>
      <c r="F5360" s="9" t="str">
        <f t="shared" si="76"/>
        <v>structure with developmental contribution from neural crest</v>
      </c>
      <c r="G5360" s="9" t="s">
        <v>5090</v>
      </c>
      <c r="H5360" s="9" t="s">
        <v>15848</v>
      </c>
      <c r="I5360" s="9" t="s">
        <v>9909</v>
      </c>
      <c r="J5360" s="9" t="s">
        <v>9910</v>
      </c>
      <c r="K5360" s="5" t="s">
        <v>15173</v>
      </c>
      <c r="L5360" s="13">
        <v>16053</v>
      </c>
      <c r="M5360" t="str">
        <f>VLOOKUP(L5360,[1]DevMouse!$B$2:$C$2693,2,FALSE)</f>
        <v>TC-4</v>
      </c>
    </row>
    <row r="5361" spans="2:13" x14ac:dyDescent="0.25">
      <c r="B5361" s="36"/>
      <c r="C5361" s="20"/>
      <c r="D5361" s="25" t="s">
        <v>26232</v>
      </c>
      <c r="E5361" s="25" t="s">
        <v>26306</v>
      </c>
      <c r="F5361" s="9" t="str">
        <f t="shared" si="76"/>
        <v>structure with developmental contribution from neural crest</v>
      </c>
      <c r="G5361" s="9" t="s">
        <v>5090</v>
      </c>
      <c r="H5361" s="9" t="s">
        <v>15849</v>
      </c>
      <c r="I5361" s="9" t="s">
        <v>9911</v>
      </c>
      <c r="J5361" s="9" t="s">
        <v>9912</v>
      </c>
      <c r="K5361" s="5" t="s">
        <v>15173</v>
      </c>
      <c r="L5361" s="13">
        <v>16054</v>
      </c>
      <c r="M5361" t="str">
        <f>VLOOKUP(L5361,[1]DevMouse!$B$2:$C$2693,2,FALSE)</f>
        <v>TC-5</v>
      </c>
    </row>
    <row r="5362" spans="2:13" x14ac:dyDescent="0.25">
      <c r="B5362" s="36"/>
      <c r="C5362" s="20"/>
      <c r="D5362" s="25" t="s">
        <v>26232</v>
      </c>
      <c r="E5362" s="25" t="s">
        <v>26306</v>
      </c>
      <c r="F5362" s="9" t="str">
        <f t="shared" si="76"/>
        <v>structure with developmental contribution from neural crest</v>
      </c>
      <c r="G5362" s="9" t="s">
        <v>5090</v>
      </c>
      <c r="H5362" s="9" t="s">
        <v>15850</v>
      </c>
      <c r="I5362" s="9" t="s">
        <v>9913</v>
      </c>
      <c r="J5362" s="9" t="s">
        <v>9914</v>
      </c>
      <c r="K5362" s="5" t="s">
        <v>15173</v>
      </c>
      <c r="L5362" s="13">
        <v>16055</v>
      </c>
      <c r="M5362" t="str">
        <f>VLOOKUP(L5362,[1]DevMouse!$B$2:$C$2693,2,FALSE)</f>
        <v>TC-6</v>
      </c>
    </row>
    <row r="5363" spans="2:13" x14ac:dyDescent="0.25">
      <c r="B5363" s="36"/>
      <c r="C5363" s="20"/>
      <c r="D5363" s="25" t="s">
        <v>26232</v>
      </c>
      <c r="E5363" s="25" t="s">
        <v>26306</v>
      </c>
      <c r="F5363" s="9" t="str">
        <f t="shared" si="76"/>
        <v>structure with developmental contribution from neural crest</v>
      </c>
      <c r="G5363" s="9" t="s">
        <v>5090</v>
      </c>
      <c r="H5363" s="9" t="s">
        <v>15851</v>
      </c>
      <c r="I5363" s="9" t="s">
        <v>9915</v>
      </c>
      <c r="J5363" s="9" t="s">
        <v>9916</v>
      </c>
      <c r="K5363" s="5" t="s">
        <v>15173</v>
      </c>
      <c r="L5363" s="13">
        <v>16056</v>
      </c>
      <c r="M5363" t="str">
        <f>VLOOKUP(L5363,[1]DevMouse!$B$2:$C$2693,2,FALSE)</f>
        <v>TC-6a</v>
      </c>
    </row>
    <row r="5364" spans="2:13" x14ac:dyDescent="0.25">
      <c r="B5364" s="36"/>
      <c r="C5364" s="20"/>
      <c r="D5364" s="25" t="s">
        <v>26232</v>
      </c>
      <c r="E5364" s="25" t="s">
        <v>26306</v>
      </c>
      <c r="F5364" s="9" t="str">
        <f t="shared" si="76"/>
        <v>structure with developmental contribution from neural crest</v>
      </c>
      <c r="G5364" s="9" t="s">
        <v>5090</v>
      </c>
      <c r="H5364" s="9" t="s">
        <v>15852</v>
      </c>
      <c r="I5364" s="9" t="s">
        <v>9917</v>
      </c>
      <c r="J5364" s="9" t="s">
        <v>9918</v>
      </c>
      <c r="K5364" s="5" t="s">
        <v>15173</v>
      </c>
      <c r="L5364" s="13">
        <v>16057</v>
      </c>
      <c r="M5364" t="str">
        <f>VLOOKUP(L5364,[1]DevMouse!$B$2:$C$2693,2,FALSE)</f>
        <v>TC-6b</v>
      </c>
    </row>
    <row r="5365" spans="2:13" x14ac:dyDescent="0.25">
      <c r="B5365" s="31" t="s">
        <v>26303</v>
      </c>
      <c r="C5365" s="25" t="s">
        <v>2440</v>
      </c>
      <c r="D5365" s="25" t="s">
        <v>26232</v>
      </c>
      <c r="E5365" s="25"/>
      <c r="F5365" s="9" t="str">
        <f t="shared" si="76"/>
        <v>structure with developmental contribution from neural crest</v>
      </c>
      <c r="G5365" s="9" t="s">
        <v>5090</v>
      </c>
      <c r="H5365" s="9" t="s">
        <v>15853</v>
      </c>
      <c r="I5365" s="9" t="s">
        <v>2440</v>
      </c>
      <c r="J5365" s="9" t="s">
        <v>2441</v>
      </c>
      <c r="K5365" s="5" t="s">
        <v>15173</v>
      </c>
      <c r="L5365" s="13">
        <v>16058</v>
      </c>
      <c r="M5365" t="str">
        <f>VLOOKUP(L5365,[1]DevMouse!$B$2:$C$2693,2,FALSE)</f>
        <v>InsCx</v>
      </c>
    </row>
    <row r="5366" spans="2:13" x14ac:dyDescent="0.25">
      <c r="B5366" s="36"/>
      <c r="C5366" s="20"/>
      <c r="D5366" s="25" t="s">
        <v>26232</v>
      </c>
      <c r="E5366" s="25"/>
      <c r="F5366" s="9" t="str">
        <f t="shared" si="76"/>
        <v>structure with developmental contribution from neural crest</v>
      </c>
      <c r="G5366" s="9" t="s">
        <v>5090</v>
      </c>
      <c r="H5366" s="9" t="s">
        <v>15854</v>
      </c>
      <c r="I5366" s="9" t="s">
        <v>9919</v>
      </c>
      <c r="J5366" s="9" t="s">
        <v>9920</v>
      </c>
      <c r="K5366" s="5" t="s">
        <v>15173</v>
      </c>
      <c r="L5366" s="13">
        <v>16059</v>
      </c>
      <c r="M5366" t="str">
        <f>VLOOKUP(L5366,[1]DevMouse!$B$2:$C$2693,2,FALSE)</f>
        <v>InsCv</v>
      </c>
    </row>
    <row r="5367" spans="2:13" x14ac:dyDescent="0.25">
      <c r="B5367" s="31" t="s">
        <v>26303</v>
      </c>
      <c r="C5367" s="20"/>
      <c r="D5367" s="25" t="s">
        <v>26232</v>
      </c>
      <c r="E5367" s="20" t="s">
        <v>26300</v>
      </c>
      <c r="F5367" s="9" t="str">
        <f t="shared" ref="F5367:F5430" si="77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5367" s="9" t="s">
        <v>5090</v>
      </c>
      <c r="H5367" s="9" t="s">
        <v>15855</v>
      </c>
      <c r="I5367" s="9" t="s">
        <v>9921</v>
      </c>
      <c r="J5367" s="9" t="s">
        <v>9922</v>
      </c>
      <c r="K5367" s="5" t="s">
        <v>15173</v>
      </c>
      <c r="L5367" s="13">
        <v>16060</v>
      </c>
      <c r="M5367" t="str">
        <f>VLOOKUP(L5367,[1]DevMouse!$B$2:$C$2693,2,FALSE)</f>
        <v>InsCm</v>
      </c>
    </row>
    <row r="5368" spans="2:13" x14ac:dyDescent="0.25">
      <c r="B5368" s="36"/>
      <c r="C5368" s="20"/>
      <c r="D5368" s="25" t="s">
        <v>26232</v>
      </c>
      <c r="E5368" s="20" t="s">
        <v>26300</v>
      </c>
      <c r="F5368" s="9" t="str">
        <f t="shared" si="77"/>
        <v>structure with developmental contribution from neural crest</v>
      </c>
      <c r="G5368" s="9" t="s">
        <v>5090</v>
      </c>
      <c r="H5368" s="9" t="s">
        <v>15856</v>
      </c>
      <c r="I5368" s="9" t="s">
        <v>9923</v>
      </c>
      <c r="J5368" s="9" t="s">
        <v>9924</v>
      </c>
      <c r="K5368" s="5" t="s">
        <v>15173</v>
      </c>
      <c r="L5368" s="13">
        <v>16061</v>
      </c>
      <c r="M5368" t="str">
        <f>VLOOKUP(L5368,[1]DevMouse!$B$2:$C$2693,2,FALSE)</f>
        <v>InsCp</v>
      </c>
    </row>
    <row r="5369" spans="2:13" x14ac:dyDescent="0.25">
      <c r="B5369" s="36"/>
      <c r="C5369" s="25"/>
      <c r="D5369" s="25" t="s">
        <v>26232</v>
      </c>
      <c r="E5369" s="25" t="s">
        <v>26306</v>
      </c>
      <c r="F5369" s="9" t="str">
        <f t="shared" si="77"/>
        <v>structure with developmental contribution from neural crest</v>
      </c>
      <c r="G5369" s="9" t="s">
        <v>5090</v>
      </c>
      <c r="H5369" s="9" t="s">
        <v>15857</v>
      </c>
      <c r="I5369" s="9" t="s">
        <v>9925</v>
      </c>
      <c r="J5369" s="9" t="s">
        <v>9926</v>
      </c>
      <c r="K5369" s="5" t="s">
        <v>15173</v>
      </c>
      <c r="L5369" s="13">
        <v>16062</v>
      </c>
      <c r="M5369" t="str">
        <f>VLOOKUP(L5369,[1]DevMouse!$B$2:$C$2693,2,FALSE)</f>
        <v>InsCi</v>
      </c>
    </row>
    <row r="5370" spans="2:13" x14ac:dyDescent="0.25">
      <c r="B5370" s="31" t="s">
        <v>26303</v>
      </c>
      <c r="C5370" s="20"/>
      <c r="D5370" s="25" t="s">
        <v>26185</v>
      </c>
      <c r="E5370" s="25" t="s">
        <v>26307</v>
      </c>
      <c r="F5370" s="9" t="str">
        <f t="shared" si="77"/>
        <v>structure with developmental contribution from neural crest</v>
      </c>
      <c r="G5370" s="9" t="s">
        <v>5090</v>
      </c>
      <c r="H5370" s="9" t="s">
        <v>15858</v>
      </c>
      <c r="I5370" s="9" t="s">
        <v>9927</v>
      </c>
      <c r="J5370" s="9" t="s">
        <v>9928</v>
      </c>
      <c r="K5370" s="5" t="s">
        <v>15173</v>
      </c>
      <c r="L5370" s="13">
        <v>16063</v>
      </c>
      <c r="M5370" t="str">
        <f>VLOOKUP(L5370,[1]DevMouse!$B$2:$C$2693,2,FALSE)</f>
        <v>InsCs</v>
      </c>
    </row>
    <row r="5371" spans="2:13" x14ac:dyDescent="0.25">
      <c r="B5371" s="36"/>
      <c r="C5371" s="20"/>
      <c r="D5371" s="25" t="s">
        <v>26232</v>
      </c>
      <c r="E5371" s="25" t="s">
        <v>26306</v>
      </c>
      <c r="F5371" s="9" t="str">
        <f t="shared" si="77"/>
        <v>structure with developmental contribution from neural crest</v>
      </c>
      <c r="G5371" s="9" t="s">
        <v>5090</v>
      </c>
      <c r="H5371" s="9" t="s">
        <v>15859</v>
      </c>
      <c r="I5371" s="9" t="s">
        <v>9929</v>
      </c>
      <c r="J5371" s="9" t="s">
        <v>9930</v>
      </c>
      <c r="K5371" s="5" t="s">
        <v>15173</v>
      </c>
      <c r="L5371" s="13">
        <v>16064</v>
      </c>
      <c r="M5371" t="str">
        <f>VLOOKUP(L5371,[1]DevMouse!$B$2:$C$2693,2,FALSE)</f>
        <v>InsC-1</v>
      </c>
    </row>
    <row r="5372" spans="2:13" x14ac:dyDescent="0.25">
      <c r="B5372" s="36"/>
      <c r="C5372" s="20"/>
      <c r="D5372" s="25" t="s">
        <v>26232</v>
      </c>
      <c r="E5372" s="25" t="s">
        <v>26306</v>
      </c>
      <c r="F5372" s="9" t="str">
        <f t="shared" si="77"/>
        <v>structure with developmental contribution from neural crest</v>
      </c>
      <c r="G5372" s="9" t="s">
        <v>5090</v>
      </c>
      <c r="H5372" s="9" t="s">
        <v>15860</v>
      </c>
      <c r="I5372" s="9" t="s">
        <v>9931</v>
      </c>
      <c r="J5372" s="9" t="s">
        <v>9932</v>
      </c>
      <c r="K5372" s="5" t="s">
        <v>15173</v>
      </c>
      <c r="L5372" s="13">
        <v>16065</v>
      </c>
      <c r="M5372" t="str">
        <f>VLOOKUP(L5372,[1]DevMouse!$B$2:$C$2693,2,FALSE)</f>
        <v>InsC-2</v>
      </c>
    </row>
    <row r="5373" spans="2:13" x14ac:dyDescent="0.25">
      <c r="B5373" s="36"/>
      <c r="C5373" s="20"/>
      <c r="D5373" s="25" t="s">
        <v>26232</v>
      </c>
      <c r="E5373" s="25" t="s">
        <v>26306</v>
      </c>
      <c r="F5373" s="9" t="str">
        <f t="shared" si="77"/>
        <v>structure with developmental contribution from neural crest</v>
      </c>
      <c r="G5373" s="9" t="s">
        <v>5090</v>
      </c>
      <c r="H5373" s="9" t="s">
        <v>15861</v>
      </c>
      <c r="I5373" s="9" t="s">
        <v>9933</v>
      </c>
      <c r="J5373" s="9" t="s">
        <v>9934</v>
      </c>
      <c r="K5373" s="5" t="s">
        <v>15173</v>
      </c>
      <c r="L5373" s="13">
        <v>16066</v>
      </c>
      <c r="M5373" t="str">
        <f>VLOOKUP(L5373,[1]DevMouse!$B$2:$C$2693,2,FALSE)</f>
        <v>InsC-3</v>
      </c>
    </row>
    <row r="5374" spans="2:13" x14ac:dyDescent="0.25">
      <c r="B5374" s="36"/>
      <c r="C5374" s="20"/>
      <c r="D5374" s="25" t="s">
        <v>26232</v>
      </c>
      <c r="E5374" s="25" t="s">
        <v>26306</v>
      </c>
      <c r="F5374" s="9" t="str">
        <f t="shared" si="77"/>
        <v>structure with developmental contribution from neural crest</v>
      </c>
      <c r="G5374" s="9" t="s">
        <v>5090</v>
      </c>
      <c r="H5374" s="9" t="s">
        <v>15862</v>
      </c>
      <c r="I5374" s="9" t="s">
        <v>9935</v>
      </c>
      <c r="J5374" s="9" t="s">
        <v>9936</v>
      </c>
      <c r="K5374" s="5" t="s">
        <v>15173</v>
      </c>
      <c r="L5374" s="13">
        <v>16067</v>
      </c>
      <c r="M5374" t="str">
        <f>VLOOKUP(L5374,[1]DevMouse!$B$2:$C$2693,2,FALSE)</f>
        <v>InsC-4</v>
      </c>
    </row>
    <row r="5375" spans="2:13" x14ac:dyDescent="0.25">
      <c r="B5375" s="36"/>
      <c r="C5375" s="20"/>
      <c r="D5375" s="25" t="s">
        <v>26232</v>
      </c>
      <c r="E5375" s="25" t="s">
        <v>26306</v>
      </c>
      <c r="F5375" s="9" t="str">
        <f t="shared" si="77"/>
        <v>structure with developmental contribution from neural crest</v>
      </c>
      <c r="G5375" s="9" t="s">
        <v>5090</v>
      </c>
      <c r="H5375" s="9" t="s">
        <v>15863</v>
      </c>
      <c r="I5375" s="9" t="s">
        <v>9937</v>
      </c>
      <c r="J5375" s="9" t="s">
        <v>9938</v>
      </c>
      <c r="K5375" s="5" t="s">
        <v>15173</v>
      </c>
      <c r="L5375" s="13">
        <v>16068</v>
      </c>
      <c r="M5375" t="str">
        <f>VLOOKUP(L5375,[1]DevMouse!$B$2:$C$2693,2,FALSE)</f>
        <v>InsC-5</v>
      </c>
    </row>
    <row r="5376" spans="2:13" x14ac:dyDescent="0.25">
      <c r="B5376" s="36"/>
      <c r="C5376" s="20"/>
      <c r="D5376" s="25" t="s">
        <v>26232</v>
      </c>
      <c r="E5376" s="25" t="s">
        <v>26306</v>
      </c>
      <c r="F5376" s="9" t="str">
        <f t="shared" si="77"/>
        <v>structure with developmental contribution from neural crest</v>
      </c>
      <c r="G5376" s="9" t="s">
        <v>5090</v>
      </c>
      <c r="H5376" s="9" t="s">
        <v>15864</v>
      </c>
      <c r="I5376" s="9" t="s">
        <v>9939</v>
      </c>
      <c r="J5376" s="9" t="s">
        <v>9940</v>
      </c>
      <c r="K5376" s="5" t="s">
        <v>15173</v>
      </c>
      <c r="L5376" s="13">
        <v>16069</v>
      </c>
      <c r="M5376" t="str">
        <f>VLOOKUP(L5376,[1]DevMouse!$B$2:$C$2693,2,FALSE)</f>
        <v>InsC-6</v>
      </c>
    </row>
    <row r="5377" spans="2:13" x14ac:dyDescent="0.25">
      <c r="B5377" s="36"/>
      <c r="C5377" s="20"/>
      <c r="D5377" s="25" t="s">
        <v>26232</v>
      </c>
      <c r="E5377" s="25" t="s">
        <v>26306</v>
      </c>
      <c r="F5377" s="9" t="str">
        <f t="shared" si="77"/>
        <v>structure with developmental contribution from neural crest</v>
      </c>
      <c r="G5377" s="9" t="s">
        <v>5090</v>
      </c>
      <c r="H5377" s="9" t="s">
        <v>15865</v>
      </c>
      <c r="I5377" s="9" t="s">
        <v>9941</v>
      </c>
      <c r="J5377" s="9" t="s">
        <v>9942</v>
      </c>
      <c r="K5377" s="5" t="s">
        <v>15173</v>
      </c>
      <c r="L5377" s="13">
        <v>16070</v>
      </c>
      <c r="M5377" t="str">
        <f>VLOOKUP(L5377,[1]DevMouse!$B$2:$C$2693,2,FALSE)</f>
        <v>InsC-6a</v>
      </c>
    </row>
    <row r="5378" spans="2:13" x14ac:dyDescent="0.25">
      <c r="B5378" s="36"/>
      <c r="C5378" s="20"/>
      <c r="D5378" s="25" t="s">
        <v>26232</v>
      </c>
      <c r="E5378" s="25" t="s">
        <v>26306</v>
      </c>
      <c r="F5378" s="9" t="str">
        <f t="shared" si="77"/>
        <v>structure with developmental contribution from neural crest</v>
      </c>
      <c r="G5378" s="9" t="s">
        <v>5090</v>
      </c>
      <c r="H5378" s="9" t="s">
        <v>15866</v>
      </c>
      <c r="I5378" s="9" t="s">
        <v>9943</v>
      </c>
      <c r="J5378" s="9" t="s">
        <v>9944</v>
      </c>
      <c r="K5378" s="5" t="s">
        <v>15173</v>
      </c>
      <c r="L5378" s="13">
        <v>16071</v>
      </c>
      <c r="M5378" t="str">
        <f>VLOOKUP(L5378,[1]DevMouse!$B$2:$C$2693,2,FALSE)</f>
        <v>InsC-6b</v>
      </c>
    </row>
    <row r="5379" spans="2:13" x14ac:dyDescent="0.25">
      <c r="B5379" s="31" t="s">
        <v>26303</v>
      </c>
      <c r="C5379" s="25" t="s">
        <v>1242</v>
      </c>
      <c r="D5379" s="25" t="s">
        <v>26232</v>
      </c>
      <c r="E5379" s="25" t="s">
        <v>26306</v>
      </c>
      <c r="F5379" s="9" t="str">
        <f t="shared" si="77"/>
        <v>structure with developmental contribution from neural crest</v>
      </c>
      <c r="G5379" s="9" t="s">
        <v>5090</v>
      </c>
      <c r="H5379" s="9" t="s">
        <v>15868</v>
      </c>
      <c r="I5379" s="9" t="s">
        <v>9945</v>
      </c>
      <c r="J5379" s="9" t="s">
        <v>9946</v>
      </c>
      <c r="K5379" s="5" t="s">
        <v>15173</v>
      </c>
      <c r="L5379" s="13">
        <v>16073</v>
      </c>
      <c r="M5379" t="str">
        <f>VLOOKUP(L5379,[1]DevMouse!$B$2:$C$2693,2,FALSE)</f>
        <v>CCv</v>
      </c>
    </row>
    <row r="5380" spans="2:13" x14ac:dyDescent="0.25">
      <c r="B5380" s="31" t="s">
        <v>26303</v>
      </c>
      <c r="C5380" s="25" t="s">
        <v>1242</v>
      </c>
      <c r="D5380" s="25" t="s">
        <v>26232</v>
      </c>
      <c r="E5380" s="25" t="s">
        <v>26306</v>
      </c>
      <c r="F5380" s="9" t="str">
        <f t="shared" si="77"/>
        <v>structure with developmental contribution from neural crest</v>
      </c>
      <c r="G5380" s="9" t="s">
        <v>5090</v>
      </c>
      <c r="H5380" s="9" t="s">
        <v>15869</v>
      </c>
      <c r="I5380" s="9" t="s">
        <v>9947</v>
      </c>
      <c r="J5380" s="9" t="s">
        <v>9948</v>
      </c>
      <c r="K5380" s="5" t="s">
        <v>15173</v>
      </c>
      <c r="L5380" s="13">
        <v>16074</v>
      </c>
      <c r="M5380" t="str">
        <f>VLOOKUP(L5380,[1]DevMouse!$B$2:$C$2693,2,FALSE)</f>
        <v>CCm</v>
      </c>
    </row>
    <row r="5381" spans="2:13" x14ac:dyDescent="0.25">
      <c r="B5381" s="31" t="s">
        <v>26303</v>
      </c>
      <c r="C5381" s="25" t="s">
        <v>1242</v>
      </c>
      <c r="D5381" s="25" t="s">
        <v>26232</v>
      </c>
      <c r="E5381" s="25" t="s">
        <v>26306</v>
      </c>
      <c r="F5381" s="9" t="str">
        <f t="shared" si="77"/>
        <v>structure with developmental contribution from neural crest</v>
      </c>
      <c r="G5381" s="9" t="s">
        <v>5090</v>
      </c>
      <c r="H5381" s="9" t="s">
        <v>15870</v>
      </c>
      <c r="I5381" s="9" t="s">
        <v>9949</v>
      </c>
      <c r="J5381" s="9" t="s">
        <v>9950</v>
      </c>
      <c r="K5381" s="5" t="s">
        <v>15173</v>
      </c>
      <c r="L5381" s="13">
        <v>16075</v>
      </c>
      <c r="M5381" t="str">
        <f>VLOOKUP(L5381,[1]DevMouse!$B$2:$C$2693,2,FALSE)</f>
        <v>CCp</v>
      </c>
    </row>
    <row r="5382" spans="2:13" x14ac:dyDescent="0.25">
      <c r="B5382" s="31" t="s">
        <v>26303</v>
      </c>
      <c r="C5382" s="25" t="s">
        <v>1242</v>
      </c>
      <c r="D5382" s="25" t="s">
        <v>26232</v>
      </c>
      <c r="E5382" s="25" t="s">
        <v>26306</v>
      </c>
      <c r="F5382" s="9" t="str">
        <f t="shared" si="77"/>
        <v>structure with developmental contribution from neural crest</v>
      </c>
      <c r="G5382" s="9" t="s">
        <v>5090</v>
      </c>
      <c r="H5382" s="9" t="s">
        <v>15871</v>
      </c>
      <c r="I5382" s="9" t="s">
        <v>9951</v>
      </c>
      <c r="J5382" s="9" t="s">
        <v>9952</v>
      </c>
      <c r="K5382" s="5" t="s">
        <v>15173</v>
      </c>
      <c r="L5382" s="13">
        <v>16076</v>
      </c>
      <c r="M5382" t="str">
        <f>VLOOKUP(L5382,[1]DevMouse!$B$2:$C$2693,2,FALSE)</f>
        <v>CCi</v>
      </c>
    </row>
    <row r="5383" spans="2:13" x14ac:dyDescent="0.25">
      <c r="B5383" s="31" t="s">
        <v>26303</v>
      </c>
      <c r="C5383" s="25" t="s">
        <v>1242</v>
      </c>
      <c r="D5383" s="25" t="s">
        <v>26185</v>
      </c>
      <c r="E5383" s="25" t="s">
        <v>26306</v>
      </c>
      <c r="F5383" s="9" t="str">
        <f t="shared" si="77"/>
        <v>structure with developmental contribution from neural crest</v>
      </c>
      <c r="G5383" s="9" t="s">
        <v>5090</v>
      </c>
      <c r="H5383" s="9" t="s">
        <v>15872</v>
      </c>
      <c r="I5383" s="9" t="s">
        <v>9953</v>
      </c>
      <c r="J5383" s="9" t="s">
        <v>9954</v>
      </c>
      <c r="K5383" s="5" t="s">
        <v>15173</v>
      </c>
      <c r="L5383" s="13">
        <v>16077</v>
      </c>
      <c r="M5383" t="str">
        <f>VLOOKUP(L5383,[1]DevMouse!$B$2:$C$2693,2,FALSE)</f>
        <v>CCs</v>
      </c>
    </row>
    <row r="5384" spans="2:13" x14ac:dyDescent="0.25">
      <c r="B5384" s="31" t="s">
        <v>26303</v>
      </c>
      <c r="C5384" s="25" t="s">
        <v>1242</v>
      </c>
      <c r="D5384" s="25" t="s">
        <v>26232</v>
      </c>
      <c r="E5384" s="25" t="s">
        <v>26306</v>
      </c>
      <c r="F5384" s="9" t="str">
        <f t="shared" si="77"/>
        <v>structure with developmental contribution from neural crest</v>
      </c>
      <c r="G5384" s="9" t="s">
        <v>5090</v>
      </c>
      <c r="H5384" s="9" t="s">
        <v>15873</v>
      </c>
      <c r="I5384" s="9" t="s">
        <v>9955</v>
      </c>
      <c r="J5384" s="9" t="s">
        <v>9956</v>
      </c>
      <c r="K5384" s="5" t="s">
        <v>15173</v>
      </c>
      <c r="L5384" s="13">
        <v>16078</v>
      </c>
      <c r="M5384" t="str">
        <f>VLOOKUP(L5384,[1]DevMouse!$B$2:$C$2693,2,FALSE)</f>
        <v>CC-1</v>
      </c>
    </row>
    <row r="5385" spans="2:13" x14ac:dyDescent="0.25">
      <c r="B5385" s="31" t="s">
        <v>26303</v>
      </c>
      <c r="C5385" s="25" t="s">
        <v>1242</v>
      </c>
      <c r="D5385" s="25" t="s">
        <v>26232</v>
      </c>
      <c r="E5385" s="25" t="s">
        <v>26306</v>
      </c>
      <c r="F5385" s="9" t="str">
        <f t="shared" si="77"/>
        <v>structure with developmental contribution from neural crest</v>
      </c>
      <c r="G5385" s="9" t="s">
        <v>5090</v>
      </c>
      <c r="H5385" s="9" t="s">
        <v>15874</v>
      </c>
      <c r="I5385" s="9" t="s">
        <v>9957</v>
      </c>
      <c r="J5385" s="9" t="s">
        <v>9958</v>
      </c>
      <c r="K5385" s="5" t="s">
        <v>15173</v>
      </c>
      <c r="L5385" s="13">
        <v>16079</v>
      </c>
      <c r="M5385" t="str">
        <f>VLOOKUP(L5385,[1]DevMouse!$B$2:$C$2693,2,FALSE)</f>
        <v>CC-2</v>
      </c>
    </row>
    <row r="5386" spans="2:13" x14ac:dyDescent="0.25">
      <c r="B5386" s="31" t="s">
        <v>26303</v>
      </c>
      <c r="C5386" s="25" t="s">
        <v>1242</v>
      </c>
      <c r="D5386" s="25" t="s">
        <v>26232</v>
      </c>
      <c r="E5386" s="25" t="s">
        <v>26306</v>
      </c>
      <c r="F5386" s="9" t="str">
        <f t="shared" si="77"/>
        <v>structure with developmental contribution from neural crest</v>
      </c>
      <c r="G5386" s="9" t="s">
        <v>5090</v>
      </c>
      <c r="H5386" s="9" t="s">
        <v>15875</v>
      </c>
      <c r="I5386" s="9" t="s">
        <v>9959</v>
      </c>
      <c r="J5386" s="9" t="s">
        <v>9960</v>
      </c>
      <c r="K5386" s="5" t="s">
        <v>15173</v>
      </c>
      <c r="L5386" s="13">
        <v>16080</v>
      </c>
      <c r="M5386" t="str">
        <f>VLOOKUP(L5386,[1]DevMouse!$B$2:$C$2693,2,FALSE)</f>
        <v>CC-3</v>
      </c>
    </row>
    <row r="5387" spans="2:13" x14ac:dyDescent="0.25">
      <c r="B5387" s="31" t="s">
        <v>26303</v>
      </c>
      <c r="C5387" s="25" t="s">
        <v>1242</v>
      </c>
      <c r="D5387" s="25" t="s">
        <v>26232</v>
      </c>
      <c r="E5387" s="25" t="s">
        <v>26306</v>
      </c>
      <c r="F5387" s="9" t="str">
        <f t="shared" si="77"/>
        <v>structure with developmental contribution from neural crest</v>
      </c>
      <c r="G5387" s="9" t="s">
        <v>5090</v>
      </c>
      <c r="H5387" s="9" t="s">
        <v>15876</v>
      </c>
      <c r="I5387" s="9" t="s">
        <v>9961</v>
      </c>
      <c r="J5387" s="9" t="s">
        <v>9962</v>
      </c>
      <c r="K5387" s="5" t="s">
        <v>15173</v>
      </c>
      <c r="L5387" s="13">
        <v>16081</v>
      </c>
      <c r="M5387" t="str">
        <f>VLOOKUP(L5387,[1]DevMouse!$B$2:$C$2693,2,FALSE)</f>
        <v>CC-4</v>
      </c>
    </row>
    <row r="5388" spans="2:13" x14ac:dyDescent="0.25">
      <c r="B5388" s="31" t="s">
        <v>26303</v>
      </c>
      <c r="C5388" s="25" t="s">
        <v>1242</v>
      </c>
      <c r="D5388" s="25" t="s">
        <v>26232</v>
      </c>
      <c r="E5388" s="25" t="s">
        <v>26306</v>
      </c>
      <c r="F5388" s="9" t="str">
        <f t="shared" si="77"/>
        <v>structure with developmental contribution from neural crest</v>
      </c>
      <c r="G5388" s="9" t="s">
        <v>5090</v>
      </c>
      <c r="H5388" s="9" t="s">
        <v>15877</v>
      </c>
      <c r="I5388" s="9" t="s">
        <v>9963</v>
      </c>
      <c r="J5388" s="9" t="s">
        <v>9964</v>
      </c>
      <c r="K5388" s="5" t="s">
        <v>15173</v>
      </c>
      <c r="L5388" s="13">
        <v>16082</v>
      </c>
      <c r="M5388" t="str">
        <f>VLOOKUP(L5388,[1]DevMouse!$B$2:$C$2693,2,FALSE)</f>
        <v>CC-5</v>
      </c>
    </row>
    <row r="5389" spans="2:13" x14ac:dyDescent="0.25">
      <c r="B5389" s="31" t="s">
        <v>26303</v>
      </c>
      <c r="C5389" s="25" t="s">
        <v>1242</v>
      </c>
      <c r="D5389" s="25" t="s">
        <v>26232</v>
      </c>
      <c r="E5389" s="25" t="s">
        <v>26306</v>
      </c>
      <c r="F5389" s="9" t="str">
        <f t="shared" si="77"/>
        <v>structure with developmental contribution from neural crest</v>
      </c>
      <c r="G5389" s="9" t="s">
        <v>5090</v>
      </c>
      <c r="H5389" s="9" t="s">
        <v>15878</v>
      </c>
      <c r="I5389" s="9" t="s">
        <v>9965</v>
      </c>
      <c r="J5389" s="9" t="s">
        <v>9966</v>
      </c>
      <c r="K5389" s="5" t="s">
        <v>15173</v>
      </c>
      <c r="L5389" s="13">
        <v>16083</v>
      </c>
      <c r="M5389" t="str">
        <f>VLOOKUP(L5389,[1]DevMouse!$B$2:$C$2693,2,FALSE)</f>
        <v>CC-6</v>
      </c>
    </row>
    <row r="5390" spans="2:13" x14ac:dyDescent="0.25">
      <c r="B5390" s="31" t="s">
        <v>26303</v>
      </c>
      <c r="C5390" s="25" t="s">
        <v>1242</v>
      </c>
      <c r="D5390" s="25" t="s">
        <v>26232</v>
      </c>
      <c r="E5390" s="25" t="s">
        <v>26306</v>
      </c>
      <c r="F5390" s="9" t="str">
        <f t="shared" si="77"/>
        <v>structure with developmental contribution from neural crest</v>
      </c>
      <c r="G5390" s="9" t="s">
        <v>5090</v>
      </c>
      <c r="H5390" s="9" t="s">
        <v>15879</v>
      </c>
      <c r="I5390" s="9" t="s">
        <v>9967</v>
      </c>
      <c r="J5390" s="9" t="s">
        <v>9968</v>
      </c>
      <c r="K5390" s="5" t="s">
        <v>15173</v>
      </c>
      <c r="L5390" s="13">
        <v>16084</v>
      </c>
      <c r="M5390" t="str">
        <f>VLOOKUP(L5390,[1]DevMouse!$B$2:$C$2693,2,FALSE)</f>
        <v>CC-6a</v>
      </c>
    </row>
    <row r="5391" spans="2:13" x14ac:dyDescent="0.25">
      <c r="B5391" s="31" t="s">
        <v>26303</v>
      </c>
      <c r="C5391" s="25" t="s">
        <v>1242</v>
      </c>
      <c r="D5391" s="25" t="s">
        <v>26232</v>
      </c>
      <c r="E5391" s="25" t="s">
        <v>26306</v>
      </c>
      <c r="F5391" s="9" t="str">
        <f t="shared" si="77"/>
        <v>structure with developmental contribution from neural crest</v>
      </c>
      <c r="G5391" s="9" t="s">
        <v>5090</v>
      </c>
      <c r="H5391" s="9" t="s">
        <v>15880</v>
      </c>
      <c r="I5391" s="9" t="s">
        <v>9969</v>
      </c>
      <c r="J5391" s="9" t="s">
        <v>9970</v>
      </c>
      <c r="K5391" s="5" t="s">
        <v>15173</v>
      </c>
      <c r="L5391" s="13">
        <v>16085</v>
      </c>
      <c r="M5391" t="str">
        <f>VLOOKUP(L5391,[1]DevMouse!$B$2:$C$2693,2,FALSE)</f>
        <v>CC-6b</v>
      </c>
    </row>
    <row r="5392" spans="2:13" x14ac:dyDescent="0.25">
      <c r="B5392" s="36"/>
      <c r="C5392" s="20"/>
      <c r="D5392" s="25" t="s">
        <v>26232</v>
      </c>
      <c r="E5392" s="25" t="s">
        <v>26306</v>
      </c>
      <c r="F5392" s="9" t="str">
        <f t="shared" si="77"/>
        <v>structure with developmental contribution from neural crest</v>
      </c>
      <c r="G5392" s="9" t="s">
        <v>5090</v>
      </c>
      <c r="H5392" s="9" t="s">
        <v>15882</v>
      </c>
      <c r="I5392" s="9" t="s">
        <v>9971</v>
      </c>
      <c r="J5392" s="9" t="s">
        <v>9972</v>
      </c>
      <c r="K5392" s="5" t="s">
        <v>15173</v>
      </c>
      <c r="L5392" s="13">
        <v>16087</v>
      </c>
      <c r="M5392" t="str">
        <f>VLOOKUP(L5392,[1]DevMouse!$B$2:$C$2693,2,FALSE)</f>
        <v>PRh-Ect-1</v>
      </c>
    </row>
    <row r="5393" spans="2:13" x14ac:dyDescent="0.25">
      <c r="B5393" s="36"/>
      <c r="C5393" s="20"/>
      <c r="D5393" s="25" t="s">
        <v>26232</v>
      </c>
      <c r="E5393" s="25" t="s">
        <v>26306</v>
      </c>
      <c r="F5393" s="9" t="str">
        <f t="shared" si="77"/>
        <v>structure with developmental contribution from neural crest</v>
      </c>
      <c r="G5393" s="9" t="s">
        <v>5090</v>
      </c>
      <c r="H5393" s="9" t="s">
        <v>15883</v>
      </c>
      <c r="I5393" s="9" t="s">
        <v>9973</v>
      </c>
      <c r="J5393" s="9" t="s">
        <v>9974</v>
      </c>
      <c r="K5393" s="5" t="s">
        <v>15173</v>
      </c>
      <c r="L5393" s="13">
        <v>16088</v>
      </c>
      <c r="M5393" t="str">
        <f>VLOOKUP(L5393,[1]DevMouse!$B$2:$C$2693,2,FALSE)</f>
        <v>PRh-Ect-2</v>
      </c>
    </row>
    <row r="5394" spans="2:13" x14ac:dyDescent="0.25">
      <c r="B5394" s="36"/>
      <c r="C5394" s="20"/>
      <c r="D5394" s="25" t="s">
        <v>26232</v>
      </c>
      <c r="E5394" s="25" t="s">
        <v>26306</v>
      </c>
      <c r="F5394" s="9" t="str">
        <f t="shared" si="77"/>
        <v>structure with developmental contribution from neural crest</v>
      </c>
      <c r="G5394" s="9" t="s">
        <v>5090</v>
      </c>
      <c r="H5394" s="9" t="s">
        <v>15884</v>
      </c>
      <c r="I5394" s="9" t="s">
        <v>9975</v>
      </c>
      <c r="J5394" s="9" t="s">
        <v>9976</v>
      </c>
      <c r="K5394" s="5" t="s">
        <v>15173</v>
      </c>
      <c r="L5394" s="13">
        <v>16089</v>
      </c>
      <c r="M5394" t="str">
        <f>VLOOKUP(L5394,[1]DevMouse!$B$2:$C$2693,2,FALSE)</f>
        <v>PRh-Ect-3</v>
      </c>
    </row>
    <row r="5395" spans="2:13" x14ac:dyDescent="0.25">
      <c r="B5395" s="36"/>
      <c r="C5395" s="20"/>
      <c r="D5395" s="25" t="s">
        <v>26232</v>
      </c>
      <c r="E5395" s="25" t="s">
        <v>26306</v>
      </c>
      <c r="F5395" s="9" t="str">
        <f t="shared" si="77"/>
        <v>structure with developmental contribution from neural crest</v>
      </c>
      <c r="G5395" s="9" t="s">
        <v>5090</v>
      </c>
      <c r="H5395" s="9" t="s">
        <v>15885</v>
      </c>
      <c r="I5395" s="9" t="s">
        <v>9977</v>
      </c>
      <c r="J5395" s="9" t="s">
        <v>9978</v>
      </c>
      <c r="K5395" s="5" t="s">
        <v>15173</v>
      </c>
      <c r="L5395" s="13">
        <v>16090</v>
      </c>
      <c r="M5395" t="str">
        <f>VLOOKUP(L5395,[1]DevMouse!$B$2:$C$2693,2,FALSE)</f>
        <v>PRh-Ect-4</v>
      </c>
    </row>
    <row r="5396" spans="2:13" x14ac:dyDescent="0.25">
      <c r="B5396" s="36"/>
      <c r="C5396" s="20"/>
      <c r="D5396" s="25" t="s">
        <v>26232</v>
      </c>
      <c r="E5396" s="25" t="s">
        <v>26306</v>
      </c>
      <c r="F5396" s="9" t="str">
        <f t="shared" si="77"/>
        <v>structure with developmental contribution from neural crest</v>
      </c>
      <c r="G5396" s="9" t="s">
        <v>5090</v>
      </c>
      <c r="H5396" s="9" t="s">
        <v>15886</v>
      </c>
      <c r="I5396" s="9" t="s">
        <v>9979</v>
      </c>
      <c r="J5396" s="9" t="s">
        <v>9980</v>
      </c>
      <c r="K5396" s="5" t="s">
        <v>15173</v>
      </c>
      <c r="L5396" s="13">
        <v>16091</v>
      </c>
      <c r="M5396" t="str">
        <f>VLOOKUP(L5396,[1]DevMouse!$B$2:$C$2693,2,FALSE)</f>
        <v>PRh-Ect-5</v>
      </c>
    </row>
    <row r="5397" spans="2:13" x14ac:dyDescent="0.25">
      <c r="B5397" s="36"/>
      <c r="C5397" s="20"/>
      <c r="D5397" s="25" t="s">
        <v>26232</v>
      </c>
      <c r="E5397" s="25" t="s">
        <v>26306</v>
      </c>
      <c r="F5397" s="9" t="str">
        <f t="shared" si="77"/>
        <v>structure with developmental contribution from neural crest</v>
      </c>
      <c r="G5397" s="9" t="s">
        <v>5090</v>
      </c>
      <c r="H5397" s="9" t="s">
        <v>15887</v>
      </c>
      <c r="I5397" s="9" t="s">
        <v>9981</v>
      </c>
      <c r="J5397" s="9" t="s">
        <v>9982</v>
      </c>
      <c r="K5397" s="5" t="s">
        <v>15173</v>
      </c>
      <c r="L5397" s="13">
        <v>16092</v>
      </c>
      <c r="M5397" t="str">
        <f>VLOOKUP(L5397,[1]DevMouse!$B$2:$C$2693,2,FALSE)</f>
        <v>PRh-Ect-6</v>
      </c>
    </row>
    <row r="5398" spans="2:13" x14ac:dyDescent="0.25">
      <c r="B5398" s="36"/>
      <c r="C5398" s="20"/>
      <c r="D5398" s="25" t="s">
        <v>26232</v>
      </c>
      <c r="E5398" s="25" t="s">
        <v>26306</v>
      </c>
      <c r="F5398" s="9" t="str">
        <f t="shared" si="77"/>
        <v>structure with developmental contribution from neural crest</v>
      </c>
      <c r="G5398" s="9" t="s">
        <v>5090</v>
      </c>
      <c r="H5398" s="9" t="s">
        <v>15889</v>
      </c>
      <c r="I5398" s="9" t="s">
        <v>9983</v>
      </c>
      <c r="J5398" s="9" t="s">
        <v>9984</v>
      </c>
      <c r="K5398" s="5" t="s">
        <v>15173</v>
      </c>
      <c r="L5398" s="13">
        <v>16094</v>
      </c>
      <c r="M5398" t="str">
        <f>VLOOKUP(L5398,[1]DevMouse!$B$2:$C$2693,2,FALSE)</f>
        <v>RSC-1</v>
      </c>
    </row>
    <row r="5399" spans="2:13" x14ac:dyDescent="0.25">
      <c r="B5399" s="36"/>
      <c r="C5399" s="20"/>
      <c r="D5399" s="25" t="s">
        <v>26232</v>
      </c>
      <c r="E5399" s="25" t="s">
        <v>26306</v>
      </c>
      <c r="F5399" s="9" t="str">
        <f t="shared" si="77"/>
        <v>structure with developmental contribution from neural crest</v>
      </c>
      <c r="G5399" s="9" t="s">
        <v>5090</v>
      </c>
      <c r="H5399" s="9" t="s">
        <v>15890</v>
      </c>
      <c r="I5399" s="9" t="s">
        <v>9985</v>
      </c>
      <c r="J5399" s="9" t="s">
        <v>9986</v>
      </c>
      <c r="K5399" s="5" t="s">
        <v>15173</v>
      </c>
      <c r="L5399" s="13">
        <v>16095</v>
      </c>
      <c r="M5399" t="str">
        <f>VLOOKUP(L5399,[1]DevMouse!$B$2:$C$2693,2,FALSE)</f>
        <v>RSC-2</v>
      </c>
    </row>
    <row r="5400" spans="2:13" x14ac:dyDescent="0.25">
      <c r="B5400" s="36"/>
      <c r="C5400" s="20"/>
      <c r="D5400" s="25" t="s">
        <v>26232</v>
      </c>
      <c r="E5400" s="25" t="s">
        <v>26306</v>
      </c>
      <c r="F5400" s="9" t="str">
        <f t="shared" si="77"/>
        <v>structure with developmental contribution from neural crest</v>
      </c>
      <c r="G5400" s="9" t="s">
        <v>5090</v>
      </c>
      <c r="H5400" s="9" t="s">
        <v>15891</v>
      </c>
      <c r="I5400" s="9" t="s">
        <v>9987</v>
      </c>
      <c r="J5400" s="9" t="s">
        <v>9988</v>
      </c>
      <c r="K5400" s="5" t="s">
        <v>15173</v>
      </c>
      <c r="L5400" s="13">
        <v>16096</v>
      </c>
      <c r="M5400" t="str">
        <f>VLOOKUP(L5400,[1]DevMouse!$B$2:$C$2693,2,FALSE)</f>
        <v>RSC-3</v>
      </c>
    </row>
    <row r="5401" spans="2:13" x14ac:dyDescent="0.25">
      <c r="B5401" s="36"/>
      <c r="C5401" s="20"/>
      <c r="D5401" s="25" t="s">
        <v>26232</v>
      </c>
      <c r="E5401" s="25" t="s">
        <v>26306</v>
      </c>
      <c r="F5401" s="9" t="str">
        <f t="shared" si="77"/>
        <v>structure with developmental contribution from neural crest</v>
      </c>
      <c r="G5401" s="9" t="s">
        <v>5090</v>
      </c>
      <c r="H5401" s="9" t="s">
        <v>15892</v>
      </c>
      <c r="I5401" s="9" t="s">
        <v>9989</v>
      </c>
      <c r="J5401" s="9" t="s">
        <v>9990</v>
      </c>
      <c r="K5401" s="5" t="s">
        <v>15173</v>
      </c>
      <c r="L5401" s="13">
        <v>16097</v>
      </c>
      <c r="M5401" t="str">
        <f>VLOOKUP(L5401,[1]DevMouse!$B$2:$C$2693,2,FALSE)</f>
        <v>RSC-4</v>
      </c>
    </row>
    <row r="5402" spans="2:13" x14ac:dyDescent="0.25">
      <c r="B5402" s="36"/>
      <c r="C5402" s="20"/>
      <c r="D5402" s="25" t="s">
        <v>26232</v>
      </c>
      <c r="E5402" s="25" t="s">
        <v>26306</v>
      </c>
      <c r="F5402" s="9" t="str">
        <f t="shared" si="77"/>
        <v>structure with developmental contribution from neural crest</v>
      </c>
      <c r="G5402" s="9" t="s">
        <v>5090</v>
      </c>
      <c r="H5402" s="9" t="s">
        <v>15893</v>
      </c>
      <c r="I5402" s="9" t="s">
        <v>9991</v>
      </c>
      <c r="J5402" s="9" t="s">
        <v>9992</v>
      </c>
      <c r="K5402" s="5" t="s">
        <v>15173</v>
      </c>
      <c r="L5402" s="13">
        <v>16098</v>
      </c>
      <c r="M5402" t="str">
        <f>VLOOKUP(L5402,[1]DevMouse!$B$2:$C$2693,2,FALSE)</f>
        <v>RSC-5</v>
      </c>
    </row>
    <row r="5403" spans="2:13" x14ac:dyDescent="0.25">
      <c r="B5403" s="36"/>
      <c r="C5403" s="20"/>
      <c r="D5403" s="25" t="s">
        <v>26232</v>
      </c>
      <c r="E5403" s="25" t="s">
        <v>26306</v>
      </c>
      <c r="F5403" s="9" t="str">
        <f t="shared" si="77"/>
        <v>structure with developmental contribution from neural crest</v>
      </c>
      <c r="G5403" s="9" t="s">
        <v>5090</v>
      </c>
      <c r="H5403" s="9" t="s">
        <v>15894</v>
      </c>
      <c r="I5403" s="9" t="s">
        <v>9993</v>
      </c>
      <c r="J5403" s="9" t="s">
        <v>9994</v>
      </c>
      <c r="K5403" s="5" t="s">
        <v>15173</v>
      </c>
      <c r="L5403" s="13">
        <v>16099</v>
      </c>
      <c r="M5403" t="str">
        <f>VLOOKUP(L5403,[1]DevMouse!$B$2:$C$2693,2,FALSE)</f>
        <v>RSC-6</v>
      </c>
    </row>
    <row r="5404" spans="2:13" x14ac:dyDescent="0.25">
      <c r="B5404" s="36"/>
      <c r="C5404" s="20"/>
      <c r="D5404" s="25" t="s">
        <v>26232</v>
      </c>
      <c r="E5404" s="25" t="s">
        <v>26306</v>
      </c>
      <c r="F5404" s="9" t="str">
        <f t="shared" si="77"/>
        <v>structure with developmental contribution from neural crest</v>
      </c>
      <c r="G5404" s="9" t="s">
        <v>5090</v>
      </c>
      <c r="H5404" s="9" t="s">
        <v>15895</v>
      </c>
      <c r="I5404" s="9" t="s">
        <v>9995</v>
      </c>
      <c r="J5404" s="9" t="s">
        <v>9996</v>
      </c>
      <c r="K5404" s="5" t="s">
        <v>15173</v>
      </c>
      <c r="L5404" s="13">
        <v>16100</v>
      </c>
      <c r="M5404" t="str">
        <f>VLOOKUP(L5404,[1]DevMouse!$B$2:$C$2693,2,FALSE)</f>
        <v>RSC-6a</v>
      </c>
    </row>
    <row r="5405" spans="2:13" x14ac:dyDescent="0.25">
      <c r="B5405" s="36"/>
      <c r="C5405" s="20"/>
      <c r="D5405" s="25" t="s">
        <v>26232</v>
      </c>
      <c r="E5405" s="25" t="s">
        <v>26306</v>
      </c>
      <c r="F5405" s="9" t="str">
        <f t="shared" si="77"/>
        <v>structure with developmental contribution from neural crest</v>
      </c>
      <c r="G5405" s="9" t="s">
        <v>5090</v>
      </c>
      <c r="H5405" s="9" t="s">
        <v>15896</v>
      </c>
      <c r="I5405" s="9" t="s">
        <v>9997</v>
      </c>
      <c r="J5405" s="9" t="s">
        <v>9998</v>
      </c>
      <c r="K5405" s="5" t="s">
        <v>15173</v>
      </c>
      <c r="L5405" s="13">
        <v>16101</v>
      </c>
      <c r="M5405" t="str">
        <f>VLOOKUP(L5405,[1]DevMouse!$B$2:$C$2693,2,FALSE)</f>
        <v>RSC-6b</v>
      </c>
    </row>
    <row r="5406" spans="2:13" x14ac:dyDescent="0.25">
      <c r="B5406" s="36"/>
      <c r="C5406" s="20"/>
      <c r="D5406" s="25" t="s">
        <v>26232</v>
      </c>
      <c r="E5406" s="25"/>
      <c r="F5406" s="9" t="str">
        <f t="shared" si="77"/>
        <v>structure with developmental contribution from neural crest</v>
      </c>
      <c r="G5406" s="9" t="s">
        <v>5090</v>
      </c>
      <c r="H5406" s="9" t="s">
        <v>15898</v>
      </c>
      <c r="I5406" s="9" t="s">
        <v>9999</v>
      </c>
      <c r="J5406" s="9" t="s">
        <v>10000</v>
      </c>
      <c r="K5406" s="5" t="s">
        <v>15173</v>
      </c>
      <c r="L5406" s="13">
        <v>16103</v>
      </c>
      <c r="M5406" t="str">
        <f>VLOOKUP(L5406,[1]DevMouse!$B$2:$C$2693,2,FALSE)</f>
        <v>ERv</v>
      </c>
    </row>
    <row r="5407" spans="2:13" x14ac:dyDescent="0.25">
      <c r="B5407" s="31" t="s">
        <v>26303</v>
      </c>
      <c r="C5407" s="20"/>
      <c r="D5407" s="25" t="s">
        <v>26232</v>
      </c>
      <c r="E5407" s="20" t="s">
        <v>26300</v>
      </c>
      <c r="F5407" s="9" t="str">
        <f t="shared" si="77"/>
        <v>structure with developmental contribution from neural crest</v>
      </c>
      <c r="G5407" s="9" t="s">
        <v>5090</v>
      </c>
      <c r="H5407" s="9" t="s">
        <v>15899</v>
      </c>
      <c r="I5407" s="9" t="s">
        <v>10001</v>
      </c>
      <c r="J5407" s="9" t="s">
        <v>10002</v>
      </c>
      <c r="K5407" s="5" t="s">
        <v>15173</v>
      </c>
      <c r="L5407" s="13">
        <v>16104</v>
      </c>
      <c r="M5407" t="str">
        <f>VLOOKUP(L5407,[1]DevMouse!$B$2:$C$2693,2,FALSE)</f>
        <v>ERm</v>
      </c>
    </row>
    <row r="5408" spans="2:13" x14ac:dyDescent="0.25">
      <c r="B5408" s="36"/>
      <c r="C5408" s="20"/>
      <c r="D5408" s="25" t="s">
        <v>26232</v>
      </c>
      <c r="E5408" s="20" t="s">
        <v>26300</v>
      </c>
      <c r="F5408" s="9" t="str">
        <f t="shared" si="77"/>
        <v>structure with developmental contribution from neural crest</v>
      </c>
      <c r="G5408" s="9" t="s">
        <v>5090</v>
      </c>
      <c r="H5408" s="9" t="s">
        <v>15900</v>
      </c>
      <c r="I5408" s="9" t="s">
        <v>10003</v>
      </c>
      <c r="J5408" s="9" t="s">
        <v>10004</v>
      </c>
      <c r="K5408" s="5" t="s">
        <v>15173</v>
      </c>
      <c r="L5408" s="13">
        <v>16105</v>
      </c>
      <c r="M5408" t="str">
        <f>VLOOKUP(L5408,[1]DevMouse!$B$2:$C$2693,2,FALSE)</f>
        <v>ERp</v>
      </c>
    </row>
    <row r="5409" spans="2:13" x14ac:dyDescent="0.25">
      <c r="B5409" s="36"/>
      <c r="C5409" s="25"/>
      <c r="D5409" s="25" t="s">
        <v>26232</v>
      </c>
      <c r="E5409" s="25" t="s">
        <v>26306</v>
      </c>
      <c r="F5409" s="9" t="str">
        <f t="shared" si="77"/>
        <v>structure with developmental contribution from neural crest</v>
      </c>
      <c r="G5409" s="9" t="s">
        <v>5090</v>
      </c>
      <c r="H5409" s="9" t="s">
        <v>15901</v>
      </c>
      <c r="I5409" s="9" t="s">
        <v>10005</v>
      </c>
      <c r="J5409" s="9" t="s">
        <v>10006</v>
      </c>
      <c r="K5409" s="5" t="s">
        <v>15173</v>
      </c>
      <c r="L5409" s="13">
        <v>16106</v>
      </c>
      <c r="M5409" t="str">
        <f>VLOOKUP(L5409,[1]DevMouse!$B$2:$C$2693,2,FALSE)</f>
        <v>ERi</v>
      </c>
    </row>
    <row r="5410" spans="2:13" x14ac:dyDescent="0.25">
      <c r="B5410" s="31" t="s">
        <v>26303</v>
      </c>
      <c r="C5410" s="20"/>
      <c r="D5410" s="25" t="s">
        <v>26185</v>
      </c>
      <c r="E5410" s="25" t="s">
        <v>26307</v>
      </c>
      <c r="F5410" s="9" t="str">
        <f t="shared" si="77"/>
        <v>structure with developmental contribution from neural crest</v>
      </c>
      <c r="G5410" s="9" t="s">
        <v>5090</v>
      </c>
      <c r="H5410" s="9" t="s">
        <v>15902</v>
      </c>
      <c r="I5410" s="9" t="s">
        <v>10007</v>
      </c>
      <c r="J5410" s="9" t="s">
        <v>10008</v>
      </c>
      <c r="K5410" s="5" t="s">
        <v>15173</v>
      </c>
      <c r="L5410" s="13">
        <v>16107</v>
      </c>
      <c r="M5410" t="str">
        <f>VLOOKUP(L5410,[1]DevMouse!$B$2:$C$2693,2,FALSE)</f>
        <v>ERs</v>
      </c>
    </row>
    <row r="5411" spans="2:13" x14ac:dyDescent="0.25">
      <c r="B5411" s="36"/>
      <c r="C5411" s="20"/>
      <c r="D5411" s="25" t="s">
        <v>26232</v>
      </c>
      <c r="E5411" s="25" t="s">
        <v>26306</v>
      </c>
      <c r="F5411" s="9" t="str">
        <f t="shared" si="77"/>
        <v>structure with developmental contribution from neural crest</v>
      </c>
      <c r="G5411" s="9" t="s">
        <v>5090</v>
      </c>
      <c r="H5411" s="9" t="s">
        <v>15903</v>
      </c>
      <c r="I5411" s="9" t="s">
        <v>10009</v>
      </c>
      <c r="J5411" s="9" t="s">
        <v>10010</v>
      </c>
      <c r="K5411" s="5" t="s">
        <v>15173</v>
      </c>
      <c r="L5411" s="13">
        <v>16108</v>
      </c>
      <c r="M5411" t="str">
        <f>VLOOKUP(L5411,[1]DevMouse!$B$2:$C$2693,2,FALSE)</f>
        <v>ER-1</v>
      </c>
    </row>
    <row r="5412" spans="2:13" x14ac:dyDescent="0.25">
      <c r="B5412" s="36"/>
      <c r="C5412" s="20"/>
      <c r="D5412" s="25" t="s">
        <v>26232</v>
      </c>
      <c r="E5412" s="25" t="s">
        <v>26306</v>
      </c>
      <c r="F5412" s="9" t="str">
        <f t="shared" si="77"/>
        <v>structure with developmental contribution from neural crest</v>
      </c>
      <c r="G5412" s="9" t="s">
        <v>5090</v>
      </c>
      <c r="H5412" s="9" t="s">
        <v>15904</v>
      </c>
      <c r="I5412" s="9" t="s">
        <v>10011</v>
      </c>
      <c r="J5412" s="9" t="s">
        <v>10012</v>
      </c>
      <c r="K5412" s="5" t="s">
        <v>15173</v>
      </c>
      <c r="L5412" s="13">
        <v>16109</v>
      </c>
      <c r="M5412" t="str">
        <f>VLOOKUP(L5412,[1]DevMouse!$B$2:$C$2693,2,FALSE)</f>
        <v>ER-2</v>
      </c>
    </row>
    <row r="5413" spans="2:13" x14ac:dyDescent="0.25">
      <c r="B5413" s="36"/>
      <c r="C5413" s="20"/>
      <c r="D5413" s="25" t="s">
        <v>26232</v>
      </c>
      <c r="E5413" s="25" t="s">
        <v>26306</v>
      </c>
      <c r="F5413" s="9" t="str">
        <f t="shared" si="77"/>
        <v>structure with developmental contribution from neural crest</v>
      </c>
      <c r="G5413" s="9" t="s">
        <v>5090</v>
      </c>
      <c r="H5413" s="9" t="s">
        <v>15905</v>
      </c>
      <c r="I5413" s="9" t="s">
        <v>10013</v>
      </c>
      <c r="J5413" s="9" t="s">
        <v>10014</v>
      </c>
      <c r="K5413" s="5" t="s">
        <v>15173</v>
      </c>
      <c r="L5413" s="13">
        <v>16110</v>
      </c>
      <c r="M5413" t="str">
        <f>VLOOKUP(L5413,[1]DevMouse!$B$2:$C$2693,2,FALSE)</f>
        <v>ER-3</v>
      </c>
    </row>
    <row r="5414" spans="2:13" x14ac:dyDescent="0.25">
      <c r="B5414" s="36"/>
      <c r="C5414" s="20"/>
      <c r="D5414" s="25" t="s">
        <v>26232</v>
      </c>
      <c r="E5414" s="25" t="s">
        <v>26306</v>
      </c>
      <c r="F5414" s="9" t="str">
        <f t="shared" si="77"/>
        <v>structure with developmental contribution from neural crest</v>
      </c>
      <c r="G5414" s="9" t="s">
        <v>5090</v>
      </c>
      <c r="H5414" s="9" t="s">
        <v>15906</v>
      </c>
      <c r="I5414" s="9" t="s">
        <v>10015</v>
      </c>
      <c r="J5414" s="9" t="s">
        <v>10016</v>
      </c>
      <c r="K5414" s="5" t="s">
        <v>15173</v>
      </c>
      <c r="L5414" s="13">
        <v>16111</v>
      </c>
      <c r="M5414" t="str">
        <f>VLOOKUP(L5414,[1]DevMouse!$B$2:$C$2693,2,FALSE)</f>
        <v>ER-4</v>
      </c>
    </row>
    <row r="5415" spans="2:13" x14ac:dyDescent="0.25">
      <c r="B5415" s="36"/>
      <c r="C5415" s="20"/>
      <c r="D5415" s="25" t="s">
        <v>26232</v>
      </c>
      <c r="E5415" s="25" t="s">
        <v>26306</v>
      </c>
      <c r="F5415" s="9" t="str">
        <f t="shared" si="77"/>
        <v>structure with developmental contribution from neural crest</v>
      </c>
      <c r="G5415" s="9" t="s">
        <v>5090</v>
      </c>
      <c r="H5415" s="9" t="s">
        <v>15907</v>
      </c>
      <c r="I5415" s="9" t="s">
        <v>10017</v>
      </c>
      <c r="J5415" s="9" t="s">
        <v>10018</v>
      </c>
      <c r="K5415" s="5" t="s">
        <v>15173</v>
      </c>
      <c r="L5415" s="13">
        <v>16112</v>
      </c>
      <c r="M5415" t="str">
        <f>VLOOKUP(L5415,[1]DevMouse!$B$2:$C$2693,2,FALSE)</f>
        <v>ER-5</v>
      </c>
    </row>
    <row r="5416" spans="2:13" x14ac:dyDescent="0.25">
      <c r="B5416" s="36"/>
      <c r="C5416" s="20"/>
      <c r="D5416" s="25" t="s">
        <v>26232</v>
      </c>
      <c r="E5416" s="25" t="s">
        <v>26306</v>
      </c>
      <c r="F5416" s="9" t="str">
        <f t="shared" si="77"/>
        <v>structure with developmental contribution from neural crest</v>
      </c>
      <c r="G5416" s="9" t="s">
        <v>5090</v>
      </c>
      <c r="H5416" s="9" t="s">
        <v>15908</v>
      </c>
      <c r="I5416" s="9" t="s">
        <v>10019</v>
      </c>
      <c r="J5416" s="9" t="s">
        <v>10020</v>
      </c>
      <c r="K5416" s="5" t="s">
        <v>15173</v>
      </c>
      <c r="L5416" s="13">
        <v>16113</v>
      </c>
      <c r="M5416" t="str">
        <f>VLOOKUP(L5416,[1]DevMouse!$B$2:$C$2693,2,FALSE)</f>
        <v>ER-6</v>
      </c>
    </row>
    <row r="5417" spans="2:13" x14ac:dyDescent="0.25">
      <c r="B5417" s="31" t="s">
        <v>26299</v>
      </c>
      <c r="C5417" s="25" t="s">
        <v>221</v>
      </c>
      <c r="D5417" s="25" t="s">
        <v>26232</v>
      </c>
      <c r="E5417" s="25"/>
      <c r="F5417" s="9" t="str">
        <f t="shared" si="77"/>
        <v>structure with developmental contribution from neural crest</v>
      </c>
      <c r="G5417" s="9" t="s">
        <v>5090</v>
      </c>
      <c r="H5417" s="9" t="s">
        <v>15909</v>
      </c>
      <c r="I5417" s="9" t="s">
        <v>10021</v>
      </c>
      <c r="J5417" s="9" t="s">
        <v>10022</v>
      </c>
      <c r="K5417" s="5" t="s">
        <v>15173</v>
      </c>
      <c r="L5417" s="13">
        <v>16114</v>
      </c>
      <c r="M5417" t="str">
        <f>VLOOKUP(L5417,[1]DevMouse!$B$2:$C$2693,2,FALSE)</f>
        <v>MPall</v>
      </c>
    </row>
    <row r="5418" spans="2:13" x14ac:dyDescent="0.25">
      <c r="B5418" s="36"/>
      <c r="C5418" s="20"/>
      <c r="D5418" s="25" t="s">
        <v>26232</v>
      </c>
      <c r="E5418" s="25"/>
      <c r="F5418" s="9" t="str">
        <f t="shared" si="77"/>
        <v>structure with developmental contribution from neural crest</v>
      </c>
      <c r="G5418" s="9" t="s">
        <v>5090</v>
      </c>
      <c r="H5418" s="9" t="s">
        <v>15916</v>
      </c>
      <c r="I5418" s="9" t="s">
        <v>10023</v>
      </c>
      <c r="J5418" s="9" t="s">
        <v>10024</v>
      </c>
      <c r="K5418" s="5" t="s">
        <v>15173</v>
      </c>
      <c r="L5418" s="13">
        <v>16116</v>
      </c>
      <c r="M5418" t="str">
        <f>VLOOKUP(L5418,[1]DevMouse!$B$2:$C$2693,2,FALSE)</f>
        <v>DGv</v>
      </c>
    </row>
    <row r="5419" spans="2:13" x14ac:dyDescent="0.25">
      <c r="B5419" s="31" t="s">
        <v>26303</v>
      </c>
      <c r="C5419" s="20"/>
      <c r="D5419" s="25" t="s">
        <v>26232</v>
      </c>
      <c r="E5419" s="20" t="s">
        <v>26300</v>
      </c>
      <c r="F5419" s="9" t="str">
        <f t="shared" si="77"/>
        <v>structure with developmental contribution from neural crest</v>
      </c>
      <c r="G5419" s="9" t="s">
        <v>5090</v>
      </c>
      <c r="H5419" s="9" t="s">
        <v>15917</v>
      </c>
      <c r="I5419" s="9" t="s">
        <v>10025</v>
      </c>
      <c r="J5419" s="9" t="s">
        <v>10026</v>
      </c>
      <c r="K5419" s="5" t="s">
        <v>15173</v>
      </c>
      <c r="L5419" s="13">
        <v>16117</v>
      </c>
      <c r="M5419" t="str">
        <f>VLOOKUP(L5419,[1]DevMouse!$B$2:$C$2693,2,FALSE)</f>
        <v>DGm</v>
      </c>
    </row>
    <row r="5420" spans="2:13" x14ac:dyDescent="0.25">
      <c r="B5420" s="36"/>
      <c r="C5420" s="20"/>
      <c r="D5420" s="25" t="s">
        <v>26232</v>
      </c>
      <c r="E5420" s="20" t="s">
        <v>26300</v>
      </c>
      <c r="F5420" s="9" t="str">
        <f t="shared" si="77"/>
        <v>structure with developmental contribution from neural crest</v>
      </c>
      <c r="G5420" s="9" t="s">
        <v>5090</v>
      </c>
      <c r="H5420" s="9" t="s">
        <v>15918</v>
      </c>
      <c r="I5420" s="9" t="s">
        <v>10027</v>
      </c>
      <c r="J5420" s="9" t="s">
        <v>10028</v>
      </c>
      <c r="K5420" s="5" t="s">
        <v>15173</v>
      </c>
      <c r="L5420" s="13">
        <v>16118</v>
      </c>
      <c r="M5420" t="str">
        <f>VLOOKUP(L5420,[1]DevMouse!$B$2:$C$2693,2,FALSE)</f>
        <v>DGp</v>
      </c>
    </row>
    <row r="5421" spans="2:13" x14ac:dyDescent="0.25">
      <c r="B5421" s="36"/>
      <c r="C5421" s="20"/>
      <c r="D5421" s="25" t="s">
        <v>26232</v>
      </c>
      <c r="E5421" s="25"/>
      <c r="F5421" s="9" t="str">
        <f t="shared" si="77"/>
        <v>structure with developmental contribution from neural crest</v>
      </c>
      <c r="G5421" s="9" t="s">
        <v>5090</v>
      </c>
      <c r="H5421" s="9" t="s">
        <v>15919</v>
      </c>
      <c r="I5421" s="9" t="s">
        <v>10029</v>
      </c>
      <c r="J5421" s="9" t="s">
        <v>10030</v>
      </c>
      <c r="K5421" s="5" t="s">
        <v>15173</v>
      </c>
      <c r="L5421" s="13">
        <v>16119</v>
      </c>
      <c r="M5421" t="str">
        <f>VLOOKUP(L5421,[1]DevMouse!$B$2:$C$2693,2,FALSE)</f>
        <v>DGi</v>
      </c>
    </row>
    <row r="5422" spans="2:13" x14ac:dyDescent="0.25">
      <c r="B5422" s="36"/>
      <c r="C5422" s="20"/>
      <c r="D5422" s="25" t="s">
        <v>26232</v>
      </c>
      <c r="E5422" s="25"/>
      <c r="F5422" s="9" t="str">
        <f t="shared" si="77"/>
        <v>structure with developmental contribution from neural crest</v>
      </c>
      <c r="G5422" s="9" t="s">
        <v>5090</v>
      </c>
      <c r="H5422" s="9" t="s">
        <v>15920</v>
      </c>
      <c r="I5422" s="9" t="s">
        <v>10031</v>
      </c>
      <c r="J5422" s="9" t="s">
        <v>10032</v>
      </c>
      <c r="K5422" s="5" t="s">
        <v>15173</v>
      </c>
      <c r="L5422" s="13">
        <v>16120</v>
      </c>
      <c r="M5422" t="str">
        <f>VLOOKUP(L5422,[1]DevMouse!$B$2:$C$2693,2,FALSE)</f>
        <v>DGHil</v>
      </c>
    </row>
    <row r="5423" spans="2:13" x14ac:dyDescent="0.25">
      <c r="B5423" s="36"/>
      <c r="C5423" s="20"/>
      <c r="D5423" s="25" t="s">
        <v>26232</v>
      </c>
      <c r="E5423" s="25"/>
      <c r="F5423" s="9" t="str">
        <f t="shared" si="77"/>
        <v>structure with developmental contribution from neural crest</v>
      </c>
      <c r="G5423" s="9" t="s">
        <v>5090</v>
      </c>
      <c r="H5423" s="9" t="s">
        <v>15921</v>
      </c>
      <c r="I5423" s="9" t="s">
        <v>10033</v>
      </c>
      <c r="J5423" s="9" t="s">
        <v>10034</v>
      </c>
      <c r="K5423" s="5" t="s">
        <v>15173</v>
      </c>
      <c r="L5423" s="13">
        <v>16121</v>
      </c>
      <c r="M5423" t="str">
        <f>VLOOKUP(L5423,[1]DevMouse!$B$2:$C$2693,2,FALSE)</f>
        <v>DGs</v>
      </c>
    </row>
    <row r="5424" spans="2:13" x14ac:dyDescent="0.25">
      <c r="B5424" s="31" t="s">
        <v>26303</v>
      </c>
      <c r="C5424" s="25" t="s">
        <v>25899</v>
      </c>
      <c r="D5424" s="25" t="s">
        <v>26232</v>
      </c>
      <c r="E5424" s="25"/>
      <c r="F5424" s="9" t="str">
        <f t="shared" si="77"/>
        <v>structure with developmental contribution from neural crest</v>
      </c>
      <c r="G5424" s="9" t="s">
        <v>5090</v>
      </c>
      <c r="H5424" s="9" t="s">
        <v>15922</v>
      </c>
      <c r="I5424" s="9" t="s">
        <v>1451</v>
      </c>
      <c r="J5424" s="9" t="s">
        <v>1452</v>
      </c>
      <c r="K5424" s="5" t="s">
        <v>15173</v>
      </c>
      <c r="L5424" s="13">
        <v>16122</v>
      </c>
      <c r="M5424" t="str">
        <f>VLOOKUP(L5424,[1]DevMouse!$B$2:$C$2693,2,FALSE)</f>
        <v>DGGran</v>
      </c>
    </row>
    <row r="5425" spans="2:13" x14ac:dyDescent="0.25">
      <c r="B5425" s="31" t="s">
        <v>26303</v>
      </c>
      <c r="C5425" s="25" t="s">
        <v>25900</v>
      </c>
      <c r="D5425" s="25" t="s">
        <v>26232</v>
      </c>
      <c r="E5425" s="35" t="s">
        <v>26306</v>
      </c>
      <c r="F5425" s="9" t="str">
        <f t="shared" si="77"/>
        <v>structure with developmental contribution from neural crest</v>
      </c>
      <c r="G5425" s="9" t="s">
        <v>5090</v>
      </c>
      <c r="H5425" s="9" t="s">
        <v>15923</v>
      </c>
      <c r="I5425" s="9" t="s">
        <v>10035</v>
      </c>
      <c r="J5425" s="9" t="s">
        <v>10036</v>
      </c>
      <c r="K5425" s="5" t="s">
        <v>15173</v>
      </c>
      <c r="L5425" s="13">
        <v>16123</v>
      </c>
      <c r="M5425" t="str">
        <f>VLOOKUP(L5425,[1]DevMouse!$B$2:$C$2693,2,FALSE)</f>
        <v>DGMol</v>
      </c>
    </row>
    <row r="5426" spans="2:13" x14ac:dyDescent="0.25">
      <c r="B5426" s="36"/>
      <c r="C5426" s="25"/>
      <c r="D5426" s="25" t="s">
        <v>26232</v>
      </c>
      <c r="E5426" s="25"/>
      <c r="F5426" s="9" t="str">
        <f t="shared" si="77"/>
        <v>structure with developmental contribution from neural crest</v>
      </c>
      <c r="G5426" s="9" t="s">
        <v>5090</v>
      </c>
      <c r="H5426" s="9" t="s">
        <v>15925</v>
      </c>
      <c r="I5426" s="9" t="s">
        <v>10037</v>
      </c>
      <c r="J5426" s="9" t="s">
        <v>10038</v>
      </c>
      <c r="K5426" s="5" t="s">
        <v>15173</v>
      </c>
      <c r="L5426" s="13">
        <v>16125</v>
      </c>
      <c r="M5426" t="str">
        <f>VLOOKUP(L5426,[1]DevMouse!$B$2:$C$2693,2,FALSE)</f>
        <v>CAv</v>
      </c>
    </row>
    <row r="5427" spans="2:13" x14ac:dyDescent="0.25">
      <c r="B5427" s="31" t="s">
        <v>26303</v>
      </c>
      <c r="C5427" s="25" t="s">
        <v>25899</v>
      </c>
      <c r="D5427" s="25" t="s">
        <v>26232</v>
      </c>
      <c r="E5427" s="20" t="s">
        <v>26300</v>
      </c>
      <c r="F5427" s="9" t="str">
        <f t="shared" si="77"/>
        <v>structure with developmental contribution from neural crest</v>
      </c>
      <c r="G5427" s="9" t="s">
        <v>5090</v>
      </c>
      <c r="H5427" s="9" t="s">
        <v>15926</v>
      </c>
      <c r="I5427" s="9" t="s">
        <v>10039</v>
      </c>
      <c r="J5427" s="9" t="s">
        <v>10040</v>
      </c>
      <c r="K5427" s="5" t="s">
        <v>15173</v>
      </c>
      <c r="L5427" s="13">
        <v>16126</v>
      </c>
      <c r="M5427" t="str">
        <f>VLOOKUP(L5427,[1]DevMouse!$B$2:$C$2693,2,FALSE)</f>
        <v>CAm</v>
      </c>
    </row>
    <row r="5428" spans="2:13" x14ac:dyDescent="0.25">
      <c r="B5428" s="36"/>
      <c r="C5428" s="25"/>
      <c r="D5428" s="25" t="s">
        <v>26232</v>
      </c>
      <c r="E5428" s="20" t="s">
        <v>26300</v>
      </c>
      <c r="F5428" s="9" t="str">
        <f t="shared" si="77"/>
        <v>structure with developmental contribution from neural crest</v>
      </c>
      <c r="G5428" s="9" t="s">
        <v>5090</v>
      </c>
      <c r="H5428" s="9" t="s">
        <v>15927</v>
      </c>
      <c r="I5428" s="9" t="s">
        <v>10041</v>
      </c>
      <c r="J5428" s="9" t="s">
        <v>10042</v>
      </c>
      <c r="K5428" s="5" t="s">
        <v>15173</v>
      </c>
      <c r="L5428" s="13">
        <v>16127</v>
      </c>
      <c r="M5428" t="str">
        <f>VLOOKUP(L5428,[1]DevMouse!$B$2:$C$2693,2,FALSE)</f>
        <v>CAp</v>
      </c>
    </row>
    <row r="5429" spans="2:13" x14ac:dyDescent="0.25">
      <c r="B5429" s="36"/>
      <c r="C5429" s="20"/>
      <c r="D5429" s="25" t="s">
        <v>26232</v>
      </c>
      <c r="E5429" s="25"/>
      <c r="F5429" s="9" t="str">
        <f t="shared" si="77"/>
        <v>structure with developmental contribution from neural crest</v>
      </c>
      <c r="G5429" s="9" t="s">
        <v>5090</v>
      </c>
      <c r="H5429" s="9" t="s">
        <v>15928</v>
      </c>
      <c r="I5429" s="9" t="s">
        <v>10043</v>
      </c>
      <c r="J5429" s="9" t="s">
        <v>10044</v>
      </c>
      <c r="K5429" s="5" t="s">
        <v>15173</v>
      </c>
      <c r="L5429" s="13">
        <v>16128</v>
      </c>
      <c r="M5429" t="str">
        <f>VLOOKUP(L5429,[1]DevMouse!$B$2:$C$2693,2,FALSE)</f>
        <v>CAi</v>
      </c>
    </row>
    <row r="5430" spans="2:13" x14ac:dyDescent="0.25">
      <c r="B5430" s="36"/>
      <c r="C5430" s="20"/>
      <c r="D5430" s="25" t="s">
        <v>26232</v>
      </c>
      <c r="E5430" s="25"/>
      <c r="F5430" s="9" t="str">
        <f t="shared" si="77"/>
        <v>structure with developmental contribution from neural crest</v>
      </c>
      <c r="G5430" s="9" t="s">
        <v>5090</v>
      </c>
      <c r="H5430" s="9" t="s">
        <v>15929</v>
      </c>
      <c r="I5430" s="9" t="s">
        <v>10045</v>
      </c>
      <c r="J5430" s="9" t="s">
        <v>10046</v>
      </c>
      <c r="K5430" s="5" t="s">
        <v>15173</v>
      </c>
      <c r="L5430" s="13">
        <v>16130</v>
      </c>
      <c r="M5430" t="str">
        <f>VLOOKUP(L5430,[1]DevMouse!$B$2:$C$2693,2,FALSE)</f>
        <v>CAs</v>
      </c>
    </row>
    <row r="5431" spans="2:13" x14ac:dyDescent="0.25">
      <c r="B5431" s="31" t="s">
        <v>26303</v>
      </c>
      <c r="C5431" s="25" t="s">
        <v>25751</v>
      </c>
      <c r="D5431" s="25" t="s">
        <v>26232</v>
      </c>
      <c r="E5431" s="25"/>
      <c r="F5431" s="9" t="str">
        <f t="shared" ref="F5431:F5494" si="78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5431" s="9" t="s">
        <v>5090</v>
      </c>
      <c r="H5431" s="9" t="s">
        <v>15931</v>
      </c>
      <c r="I5431" s="9" t="s">
        <v>58</v>
      </c>
      <c r="J5431" s="9" t="s">
        <v>59</v>
      </c>
      <c r="K5431" s="5" t="s">
        <v>15173</v>
      </c>
      <c r="L5431" s="13">
        <v>16132</v>
      </c>
      <c r="M5431" t="str">
        <f>VLOOKUP(L5431,[1]DevMouse!$B$2:$C$2693,2,FALSE)</f>
        <v>CA1so</v>
      </c>
    </row>
    <row r="5432" spans="2:13" x14ac:dyDescent="0.25">
      <c r="B5432" s="31" t="s">
        <v>26303</v>
      </c>
      <c r="C5432" s="35" t="s">
        <v>26180</v>
      </c>
      <c r="D5432" s="35" t="s">
        <v>26232</v>
      </c>
      <c r="E5432" s="35"/>
      <c r="F5432" s="9" t="str">
        <f t="shared" si="78"/>
        <v>structure with developmental contribution from neural crest</v>
      </c>
      <c r="G5432" s="9" t="s">
        <v>5090</v>
      </c>
      <c r="H5432" s="9" t="s">
        <v>15932</v>
      </c>
      <c r="I5432" s="9" t="s">
        <v>4220</v>
      </c>
      <c r="J5432" s="9" t="s">
        <v>4221</v>
      </c>
      <c r="K5432" s="5" t="s">
        <v>15173</v>
      </c>
      <c r="L5432" s="13">
        <v>16133</v>
      </c>
      <c r="M5432" t="str">
        <f>VLOOKUP(L5432,[1]DevMouse!$B$2:$C$2693,2,FALSE)</f>
        <v>CA1sp</v>
      </c>
    </row>
    <row r="5433" spans="2:13" x14ac:dyDescent="0.25">
      <c r="B5433" s="31" t="s">
        <v>26303</v>
      </c>
      <c r="C5433" s="20" t="s">
        <v>25752</v>
      </c>
      <c r="D5433" s="25" t="s">
        <v>26232</v>
      </c>
      <c r="E5433" s="25"/>
      <c r="F5433" s="9" t="str">
        <f t="shared" si="78"/>
        <v>structure with developmental contribution from neural crest</v>
      </c>
      <c r="G5433" s="9" t="s">
        <v>5090</v>
      </c>
      <c r="H5433" s="9" t="s">
        <v>15933</v>
      </c>
      <c r="I5433" s="9" t="s">
        <v>65</v>
      </c>
      <c r="J5433" s="9" t="s">
        <v>66</v>
      </c>
      <c r="K5433" s="5" t="s">
        <v>15173</v>
      </c>
      <c r="L5433" s="13">
        <v>16134</v>
      </c>
      <c r="M5433" t="str">
        <f>VLOOKUP(L5433,[1]DevMouse!$B$2:$C$2693,2,FALSE)</f>
        <v>CA1sr</v>
      </c>
    </row>
    <row r="5434" spans="2:13" x14ac:dyDescent="0.25">
      <c r="B5434" s="31" t="s">
        <v>26303</v>
      </c>
      <c r="C5434" s="20" t="s">
        <v>25750</v>
      </c>
      <c r="D5434" s="25" t="s">
        <v>26232</v>
      </c>
      <c r="E5434" s="35" t="s">
        <v>26306</v>
      </c>
      <c r="F5434" s="9" t="str">
        <f t="shared" si="78"/>
        <v>structure with developmental contribution from neural crest</v>
      </c>
      <c r="G5434" s="9" t="s">
        <v>5090</v>
      </c>
      <c r="H5434" s="9" t="s">
        <v>15934</v>
      </c>
      <c r="I5434" s="9" t="s">
        <v>51</v>
      </c>
      <c r="J5434" s="9" t="s">
        <v>52</v>
      </c>
      <c r="K5434" s="5" t="s">
        <v>15173</v>
      </c>
      <c r="L5434" s="13">
        <v>16135</v>
      </c>
      <c r="M5434" t="str">
        <f>VLOOKUP(L5434,[1]DevMouse!$B$2:$C$2693,2,FALSE)</f>
        <v>CA1slm</v>
      </c>
    </row>
    <row r="5435" spans="2:13" x14ac:dyDescent="0.25">
      <c r="B5435" s="31" t="s">
        <v>26303</v>
      </c>
      <c r="C5435" s="20" t="s">
        <v>25754</v>
      </c>
      <c r="D5435" s="25" t="s">
        <v>26232</v>
      </c>
      <c r="E5435" s="35" t="s">
        <v>26306</v>
      </c>
      <c r="F5435" s="9" t="str">
        <f t="shared" si="78"/>
        <v>structure with developmental contribution from neural crest</v>
      </c>
      <c r="G5435" s="9" t="s">
        <v>5090</v>
      </c>
      <c r="H5435" s="9" t="s">
        <v>15936</v>
      </c>
      <c r="I5435" s="9" t="s">
        <v>83</v>
      </c>
      <c r="J5435" s="9" t="s">
        <v>84</v>
      </c>
      <c r="K5435" s="5" t="s">
        <v>15173</v>
      </c>
      <c r="L5435" s="13">
        <v>16137</v>
      </c>
      <c r="M5435" t="str">
        <f>VLOOKUP(L5435,[1]DevMouse!$B$2:$C$2693,2,FALSE)</f>
        <v>CA2slm</v>
      </c>
    </row>
    <row r="5436" spans="2:13" x14ac:dyDescent="0.25">
      <c r="B5436" s="31" t="s">
        <v>26303</v>
      </c>
      <c r="C5436" s="25" t="s">
        <v>25755</v>
      </c>
      <c r="D5436" s="25" t="s">
        <v>26232</v>
      </c>
      <c r="E5436" s="25"/>
      <c r="F5436" s="9" t="str">
        <f t="shared" si="78"/>
        <v>structure with developmental contribution from neural crest</v>
      </c>
      <c r="G5436" s="9" t="s">
        <v>5090</v>
      </c>
      <c r="H5436" s="9" t="s">
        <v>15937</v>
      </c>
      <c r="I5436" s="9" t="s">
        <v>90</v>
      </c>
      <c r="J5436" s="9" t="s">
        <v>91</v>
      </c>
      <c r="K5436" s="5" t="s">
        <v>15173</v>
      </c>
      <c r="L5436" s="13">
        <v>16138</v>
      </c>
      <c r="M5436" t="str">
        <f>VLOOKUP(L5436,[1]DevMouse!$B$2:$C$2693,2,FALSE)</f>
        <v>CA2so</v>
      </c>
    </row>
    <row r="5437" spans="2:13" x14ac:dyDescent="0.25">
      <c r="B5437" s="31" t="s">
        <v>26303</v>
      </c>
      <c r="C5437" s="35" t="s">
        <v>26181</v>
      </c>
      <c r="D5437" s="35" t="s">
        <v>26232</v>
      </c>
      <c r="E5437" s="35"/>
      <c r="F5437" s="9" t="str">
        <f t="shared" si="78"/>
        <v>structure with developmental contribution from neural crest</v>
      </c>
      <c r="G5437" s="9" t="s">
        <v>5090</v>
      </c>
      <c r="H5437" s="9" t="s">
        <v>15938</v>
      </c>
      <c r="I5437" s="9" t="s">
        <v>10047</v>
      </c>
      <c r="J5437" s="9" t="s">
        <v>10048</v>
      </c>
      <c r="K5437" s="5" t="s">
        <v>15173</v>
      </c>
      <c r="L5437" s="13">
        <v>16139</v>
      </c>
      <c r="M5437" t="str">
        <f>VLOOKUP(L5437,[1]DevMouse!$B$2:$C$2693,2,FALSE)</f>
        <v>CA2sp</v>
      </c>
    </row>
    <row r="5438" spans="2:13" x14ac:dyDescent="0.25">
      <c r="B5438" s="31" t="s">
        <v>26303</v>
      </c>
      <c r="C5438" s="20" t="s">
        <v>25756</v>
      </c>
      <c r="D5438" s="25" t="s">
        <v>26232</v>
      </c>
      <c r="E5438" s="25"/>
      <c r="F5438" s="9" t="str">
        <f t="shared" si="78"/>
        <v>structure with developmental contribution from neural crest</v>
      </c>
      <c r="G5438" s="9" t="s">
        <v>5090</v>
      </c>
      <c r="H5438" s="9" t="s">
        <v>15939</v>
      </c>
      <c r="I5438" s="9" t="s">
        <v>97</v>
      </c>
      <c r="J5438" s="9" t="s">
        <v>98</v>
      </c>
      <c r="K5438" s="5" t="s">
        <v>15173</v>
      </c>
      <c r="L5438" s="13">
        <v>16140</v>
      </c>
      <c r="M5438" t="str">
        <f>VLOOKUP(L5438,[1]DevMouse!$B$2:$C$2693,2,FALSE)</f>
        <v>CA2sr</v>
      </c>
    </row>
    <row r="5439" spans="2:13" x14ac:dyDescent="0.25">
      <c r="B5439" s="31" t="s">
        <v>26303</v>
      </c>
      <c r="C5439" s="25" t="s">
        <v>25760</v>
      </c>
      <c r="D5439" s="25" t="s">
        <v>26232</v>
      </c>
      <c r="E5439" s="25"/>
      <c r="F5439" s="9" t="str">
        <f t="shared" si="78"/>
        <v>structure with developmental contribution from neural crest</v>
      </c>
      <c r="G5439" s="9" t="s">
        <v>5090</v>
      </c>
      <c r="H5439" s="9" t="s">
        <v>15941</v>
      </c>
      <c r="I5439" s="9" t="s">
        <v>129</v>
      </c>
      <c r="J5439" s="9" t="s">
        <v>130</v>
      </c>
      <c r="K5439" s="5" t="s">
        <v>15173</v>
      </c>
      <c r="L5439" s="13">
        <v>16142</v>
      </c>
      <c r="M5439" t="str">
        <f>VLOOKUP(L5439,[1]DevMouse!$B$2:$C$2693,2,FALSE)</f>
        <v>CA3so</v>
      </c>
    </row>
    <row r="5440" spans="2:13" x14ac:dyDescent="0.25">
      <c r="B5440" s="31" t="s">
        <v>26303</v>
      </c>
      <c r="C5440" s="35" t="s">
        <v>26182</v>
      </c>
      <c r="D5440" s="35" t="s">
        <v>26232</v>
      </c>
      <c r="E5440" s="35"/>
      <c r="F5440" s="9" t="str">
        <f t="shared" si="78"/>
        <v>structure with developmental contribution from neural crest</v>
      </c>
      <c r="G5440" s="9" t="s">
        <v>5090</v>
      </c>
      <c r="H5440" s="9" t="s">
        <v>15942</v>
      </c>
      <c r="I5440" s="9" t="s">
        <v>10049</v>
      </c>
      <c r="J5440" s="9" t="s">
        <v>10050</v>
      </c>
      <c r="K5440" s="5" t="s">
        <v>15173</v>
      </c>
      <c r="L5440" s="13">
        <v>16143</v>
      </c>
      <c r="M5440" t="str">
        <f>VLOOKUP(L5440,[1]DevMouse!$B$2:$C$2693,2,FALSE)</f>
        <v>CA3sp</v>
      </c>
    </row>
    <row r="5441" spans="2:13" x14ac:dyDescent="0.25">
      <c r="B5441" s="31" t="s">
        <v>26303</v>
      </c>
      <c r="C5441" s="20" t="s">
        <v>25761</v>
      </c>
      <c r="D5441" s="25" t="s">
        <v>26232</v>
      </c>
      <c r="E5441" s="25"/>
      <c r="F5441" s="9" t="str">
        <f t="shared" si="78"/>
        <v>structure with developmental contribution from neural crest</v>
      </c>
      <c r="G5441" s="9" t="s">
        <v>5090</v>
      </c>
      <c r="H5441" s="9" t="s">
        <v>15944</v>
      </c>
      <c r="I5441" s="9" t="s">
        <v>136</v>
      </c>
      <c r="J5441" s="9" t="s">
        <v>137</v>
      </c>
      <c r="K5441" s="5" t="s">
        <v>15173</v>
      </c>
      <c r="L5441" s="13">
        <v>16145</v>
      </c>
      <c r="M5441" t="str">
        <f>VLOOKUP(L5441,[1]DevMouse!$B$2:$C$2693,2,FALSE)</f>
        <v>CA3sr</v>
      </c>
    </row>
    <row r="5442" spans="2:13" x14ac:dyDescent="0.25">
      <c r="B5442" s="31" t="s">
        <v>26303</v>
      </c>
      <c r="C5442" s="20" t="s">
        <v>25758</v>
      </c>
      <c r="D5442" s="25" t="s">
        <v>26232</v>
      </c>
      <c r="E5442" s="35" t="s">
        <v>26306</v>
      </c>
      <c r="F5442" s="9" t="str">
        <f t="shared" si="78"/>
        <v>structure with developmental contribution from neural crest</v>
      </c>
      <c r="G5442" s="9" t="s">
        <v>5090</v>
      </c>
      <c r="H5442" s="9" t="s">
        <v>15945</v>
      </c>
      <c r="I5442" s="9" t="s">
        <v>115</v>
      </c>
      <c r="J5442" s="9" t="s">
        <v>116</v>
      </c>
      <c r="K5442" s="5" t="s">
        <v>15173</v>
      </c>
      <c r="L5442" s="13">
        <v>16146</v>
      </c>
      <c r="M5442" t="str">
        <f>VLOOKUP(L5442,[1]DevMouse!$B$2:$C$2693,2,FALSE)</f>
        <v>CA3slm</v>
      </c>
    </row>
    <row r="5443" spans="2:13" x14ac:dyDescent="0.25">
      <c r="B5443" s="31" t="s">
        <v>26303</v>
      </c>
      <c r="C5443" s="25" t="s">
        <v>2345</v>
      </c>
      <c r="D5443" s="25" t="s">
        <v>26232</v>
      </c>
      <c r="E5443" s="25"/>
      <c r="F5443" s="9" t="str">
        <f t="shared" si="78"/>
        <v>structure with developmental contribution from neural crest</v>
      </c>
      <c r="G5443" s="9" t="s">
        <v>5090</v>
      </c>
      <c r="H5443" s="9" t="s">
        <v>15946</v>
      </c>
      <c r="I5443" s="9" t="s">
        <v>2345</v>
      </c>
      <c r="J5443" s="9" t="s">
        <v>2346</v>
      </c>
      <c r="K5443" s="5" t="s">
        <v>15173</v>
      </c>
      <c r="L5443" s="13">
        <v>16147</v>
      </c>
      <c r="M5443" t="str">
        <f>VLOOKUP(L5443,[1]DevMouse!$B$2:$C$2693,2,FALSE)</f>
        <v>IG</v>
      </c>
    </row>
    <row r="5444" spans="2:13" x14ac:dyDescent="0.25">
      <c r="B5444" s="31" t="s">
        <v>26303</v>
      </c>
      <c r="C5444" s="25" t="s">
        <v>2345</v>
      </c>
      <c r="D5444" s="25" t="s">
        <v>26232</v>
      </c>
      <c r="E5444" s="25"/>
      <c r="F5444" s="9" t="str">
        <f t="shared" si="78"/>
        <v>structure with developmental contribution from neural crest</v>
      </c>
      <c r="G5444" s="9" t="s">
        <v>5090</v>
      </c>
      <c r="H5444" s="9" t="s">
        <v>15947</v>
      </c>
      <c r="I5444" s="9" t="s">
        <v>10051</v>
      </c>
      <c r="J5444" s="9" t="s">
        <v>10052</v>
      </c>
      <c r="K5444" s="5" t="s">
        <v>15173</v>
      </c>
      <c r="L5444" s="13">
        <v>16148</v>
      </c>
      <c r="M5444" t="str">
        <f>VLOOKUP(L5444,[1]DevMouse!$B$2:$C$2693,2,FALSE)</f>
        <v>IGv</v>
      </c>
    </row>
    <row r="5445" spans="2:13" x14ac:dyDescent="0.25">
      <c r="B5445" s="31" t="s">
        <v>26303</v>
      </c>
      <c r="C5445" s="20"/>
      <c r="D5445" s="25" t="s">
        <v>26232</v>
      </c>
      <c r="E5445" s="20" t="s">
        <v>26300</v>
      </c>
      <c r="F5445" s="9" t="str">
        <f t="shared" si="78"/>
        <v>structure with developmental contribution from neural crest</v>
      </c>
      <c r="G5445" s="9" t="s">
        <v>5090</v>
      </c>
      <c r="H5445" s="9" t="s">
        <v>15948</v>
      </c>
      <c r="I5445" s="9" t="s">
        <v>10053</v>
      </c>
      <c r="J5445" s="9" t="s">
        <v>10054</v>
      </c>
      <c r="K5445" s="5" t="s">
        <v>15173</v>
      </c>
      <c r="L5445" s="13">
        <v>16149</v>
      </c>
      <c r="M5445" t="str">
        <f>VLOOKUP(L5445,[1]DevMouse!$B$2:$C$2693,2,FALSE)</f>
        <v>IGm</v>
      </c>
    </row>
    <row r="5446" spans="2:13" x14ac:dyDescent="0.25">
      <c r="B5446" s="31" t="s">
        <v>26303</v>
      </c>
      <c r="C5446" s="25" t="s">
        <v>2345</v>
      </c>
      <c r="D5446" s="25" t="s">
        <v>26232</v>
      </c>
      <c r="E5446" s="20" t="s">
        <v>26300</v>
      </c>
      <c r="F5446" s="9" t="str">
        <f t="shared" si="78"/>
        <v>structure with developmental contribution from neural crest</v>
      </c>
      <c r="G5446" s="9" t="s">
        <v>5090</v>
      </c>
      <c r="H5446" s="9" t="s">
        <v>15949</v>
      </c>
      <c r="I5446" s="9" t="s">
        <v>10055</v>
      </c>
      <c r="J5446" s="9" t="s">
        <v>10056</v>
      </c>
      <c r="K5446" s="5" t="s">
        <v>15173</v>
      </c>
      <c r="L5446" s="13">
        <v>16150</v>
      </c>
      <c r="M5446" t="str">
        <f>VLOOKUP(L5446,[1]DevMouse!$B$2:$C$2693,2,FALSE)</f>
        <v>IGp</v>
      </c>
    </row>
    <row r="5447" spans="2:13" x14ac:dyDescent="0.25">
      <c r="B5447" s="31" t="s">
        <v>26303</v>
      </c>
      <c r="C5447" s="25" t="s">
        <v>2345</v>
      </c>
      <c r="D5447" s="25" t="s">
        <v>26232</v>
      </c>
      <c r="E5447" s="25"/>
      <c r="F5447" s="9" t="str">
        <f t="shared" si="78"/>
        <v>structure with developmental contribution from neural crest</v>
      </c>
      <c r="G5447" s="9" t="s">
        <v>5090</v>
      </c>
      <c r="H5447" s="9" t="s">
        <v>15950</v>
      </c>
      <c r="I5447" s="9" t="s">
        <v>10057</v>
      </c>
      <c r="J5447" s="9" t="s">
        <v>10058</v>
      </c>
      <c r="K5447" s="5" t="s">
        <v>15173</v>
      </c>
      <c r="L5447" s="13">
        <v>16151</v>
      </c>
      <c r="M5447" t="str">
        <f>VLOOKUP(L5447,[1]DevMouse!$B$2:$C$2693,2,FALSE)</f>
        <v>IGi</v>
      </c>
    </row>
    <row r="5448" spans="2:13" x14ac:dyDescent="0.25">
      <c r="B5448" s="31" t="s">
        <v>26303</v>
      </c>
      <c r="C5448" s="25" t="s">
        <v>2345</v>
      </c>
      <c r="D5448" s="25" t="s">
        <v>26232</v>
      </c>
      <c r="E5448" s="25"/>
      <c r="F5448" s="9" t="str">
        <f t="shared" si="78"/>
        <v>structure with developmental contribution from neural crest</v>
      </c>
      <c r="G5448" s="9" t="s">
        <v>5090</v>
      </c>
      <c r="H5448" s="9" t="s">
        <v>15951</v>
      </c>
      <c r="I5448" s="9" t="s">
        <v>10059</v>
      </c>
      <c r="J5448" s="9" t="s">
        <v>10060</v>
      </c>
      <c r="K5448" s="5" t="s">
        <v>15173</v>
      </c>
      <c r="L5448" s="13">
        <v>16152</v>
      </c>
      <c r="M5448" t="str">
        <f>VLOOKUP(L5448,[1]DevMouse!$B$2:$C$2693,2,FALSE)</f>
        <v>IGs</v>
      </c>
    </row>
    <row r="5449" spans="2:13" x14ac:dyDescent="0.25">
      <c r="B5449" s="31" t="s">
        <v>26303</v>
      </c>
      <c r="C5449" s="25" t="s">
        <v>2345</v>
      </c>
      <c r="D5449" s="25" t="s">
        <v>26232</v>
      </c>
      <c r="E5449" s="35" t="s">
        <v>26306</v>
      </c>
      <c r="F5449" s="9" t="str">
        <f t="shared" si="78"/>
        <v>structure with developmental contribution from neural crest</v>
      </c>
      <c r="G5449" s="9" t="s">
        <v>5090</v>
      </c>
      <c r="H5449" s="9" t="s">
        <v>15952</v>
      </c>
      <c r="I5449" s="9" t="s">
        <v>10061</v>
      </c>
      <c r="J5449" s="9" t="s">
        <v>10062</v>
      </c>
      <c r="K5449" s="5" t="s">
        <v>15173</v>
      </c>
      <c r="L5449" s="13">
        <v>16153</v>
      </c>
      <c r="M5449" t="str">
        <f>VLOOKUP(L5449,[1]DevMouse!$B$2:$C$2693,2,FALSE)</f>
        <v>PyIG</v>
      </c>
    </row>
    <row r="5450" spans="2:13" x14ac:dyDescent="0.25">
      <c r="B5450" s="31" t="s">
        <v>26303</v>
      </c>
      <c r="C5450" s="25" t="s">
        <v>26252</v>
      </c>
      <c r="D5450" s="25" t="s">
        <v>26232</v>
      </c>
      <c r="E5450" s="25"/>
      <c r="F5450" s="9" t="str">
        <f t="shared" si="78"/>
        <v>structure with developmental contribution from neural crest</v>
      </c>
      <c r="G5450" s="9" t="s">
        <v>5090</v>
      </c>
      <c r="H5450" s="9" t="s">
        <v>15953</v>
      </c>
      <c r="I5450" s="9" t="s">
        <v>10063</v>
      </c>
      <c r="J5450" s="9" t="s">
        <v>10064</v>
      </c>
      <c r="K5450" s="5" t="s">
        <v>15173</v>
      </c>
      <c r="L5450" s="13">
        <v>16154</v>
      </c>
      <c r="M5450" t="str">
        <f>VLOOKUP(L5450,[1]DevMouse!$B$2:$C$2693,2,FALSE)</f>
        <v>TTe</v>
      </c>
    </row>
    <row r="5451" spans="2:13" x14ac:dyDescent="0.25">
      <c r="B5451" s="31" t="s">
        <v>26303</v>
      </c>
      <c r="C5451" s="25" t="s">
        <v>26252</v>
      </c>
      <c r="D5451" s="25" t="s">
        <v>26232</v>
      </c>
      <c r="E5451" s="25" t="s">
        <v>26306</v>
      </c>
      <c r="F5451" s="9" t="str">
        <f t="shared" si="78"/>
        <v>structure with developmental contribution from neural crest</v>
      </c>
      <c r="G5451" s="9" t="s">
        <v>5090</v>
      </c>
      <c r="H5451" s="9" t="s">
        <v>15954</v>
      </c>
      <c r="I5451" s="9" t="s">
        <v>10065</v>
      </c>
      <c r="J5451" s="9" t="s">
        <v>10066</v>
      </c>
      <c r="K5451" s="5" t="s">
        <v>15173</v>
      </c>
      <c r="L5451" s="13">
        <v>16155</v>
      </c>
      <c r="M5451" t="str">
        <f>VLOOKUP(L5451,[1]DevMouse!$B$2:$C$2693,2,FALSE)</f>
        <v>TTev</v>
      </c>
    </row>
    <row r="5452" spans="2:13" x14ac:dyDescent="0.25">
      <c r="B5452" s="31" t="s">
        <v>26303</v>
      </c>
      <c r="C5452" s="20"/>
      <c r="D5452" s="25" t="s">
        <v>26232</v>
      </c>
      <c r="E5452" s="25" t="s">
        <v>26306</v>
      </c>
      <c r="F5452" s="9" t="str">
        <f t="shared" si="78"/>
        <v>structure with developmental contribution from neural crest</v>
      </c>
      <c r="G5452" s="9" t="s">
        <v>5090</v>
      </c>
      <c r="H5452" s="9" t="s">
        <v>15955</v>
      </c>
      <c r="I5452" s="9" t="s">
        <v>10067</v>
      </c>
      <c r="J5452" s="9" t="s">
        <v>10068</v>
      </c>
      <c r="K5452" s="5" t="s">
        <v>15173</v>
      </c>
      <c r="L5452" s="13">
        <v>16156</v>
      </c>
      <c r="M5452" t="str">
        <f>VLOOKUP(L5452,[1]DevMouse!$B$2:$C$2693,2,FALSE)</f>
        <v>TTem</v>
      </c>
    </row>
    <row r="5453" spans="2:13" x14ac:dyDescent="0.25">
      <c r="B5453" s="31" t="s">
        <v>26303</v>
      </c>
      <c r="C5453" s="25" t="s">
        <v>26252</v>
      </c>
      <c r="D5453" s="25" t="s">
        <v>26232</v>
      </c>
      <c r="E5453" s="25" t="s">
        <v>26306</v>
      </c>
      <c r="F5453" s="9" t="str">
        <f t="shared" si="78"/>
        <v>structure with developmental contribution from neural crest</v>
      </c>
      <c r="G5453" s="9" t="s">
        <v>5090</v>
      </c>
      <c r="H5453" s="9" t="s">
        <v>15956</v>
      </c>
      <c r="I5453" s="9" t="s">
        <v>10069</v>
      </c>
      <c r="J5453" s="9" t="s">
        <v>10070</v>
      </c>
      <c r="K5453" s="5" t="s">
        <v>15173</v>
      </c>
      <c r="L5453" s="13">
        <v>16157</v>
      </c>
      <c r="M5453" t="str">
        <f>VLOOKUP(L5453,[1]DevMouse!$B$2:$C$2693,2,FALSE)</f>
        <v>TTep</v>
      </c>
    </row>
    <row r="5454" spans="2:13" x14ac:dyDescent="0.25">
      <c r="B5454" s="31" t="s">
        <v>26303</v>
      </c>
      <c r="C5454" s="20"/>
      <c r="D5454" s="25" t="s">
        <v>26185</v>
      </c>
      <c r="E5454" s="20" t="s">
        <v>26300</v>
      </c>
      <c r="F5454" s="9" t="str">
        <f t="shared" si="78"/>
        <v>structure with developmental contribution from neural crest</v>
      </c>
      <c r="G5454" s="9" t="s">
        <v>5090</v>
      </c>
      <c r="H5454" s="9" t="s">
        <v>15957</v>
      </c>
      <c r="I5454" s="9" t="s">
        <v>10071</v>
      </c>
      <c r="J5454" s="9" t="s">
        <v>10072</v>
      </c>
      <c r="K5454" s="5" t="s">
        <v>15173</v>
      </c>
      <c r="L5454" s="13">
        <v>16158</v>
      </c>
      <c r="M5454" t="str">
        <f>VLOOKUP(L5454,[1]DevMouse!$B$2:$C$2693,2,FALSE)</f>
        <v>DPp</v>
      </c>
    </row>
    <row r="5455" spans="2:13" x14ac:dyDescent="0.25">
      <c r="B5455" s="31" t="s">
        <v>26303</v>
      </c>
      <c r="C5455" s="25" t="s">
        <v>26252</v>
      </c>
      <c r="D5455" s="25" t="s">
        <v>26232</v>
      </c>
      <c r="E5455" s="25" t="s">
        <v>26306</v>
      </c>
      <c r="F5455" s="9" t="str">
        <f t="shared" si="78"/>
        <v>structure with developmental contribution from neural crest</v>
      </c>
      <c r="G5455" s="9" t="s">
        <v>5090</v>
      </c>
      <c r="H5455" s="9" t="s">
        <v>15958</v>
      </c>
      <c r="I5455" s="9" t="s">
        <v>10073</v>
      </c>
      <c r="J5455" s="9" t="s">
        <v>10074</v>
      </c>
      <c r="K5455" s="5" t="s">
        <v>15173</v>
      </c>
      <c r="L5455" s="13">
        <v>16159</v>
      </c>
      <c r="M5455" t="str">
        <f>VLOOKUP(L5455,[1]DevMouse!$B$2:$C$2693,2,FALSE)</f>
        <v>TTei</v>
      </c>
    </row>
    <row r="5456" spans="2:13" x14ac:dyDescent="0.25">
      <c r="B5456" s="31" t="s">
        <v>26303</v>
      </c>
      <c r="C5456" s="20"/>
      <c r="D5456" s="25" t="s">
        <v>26185</v>
      </c>
      <c r="E5456" s="25" t="s">
        <v>26300</v>
      </c>
      <c r="F5456" s="9" t="str">
        <f t="shared" si="78"/>
        <v>structure with developmental contribution from neural crest</v>
      </c>
      <c r="G5456" s="9" t="s">
        <v>5090</v>
      </c>
      <c r="H5456" s="9" t="s">
        <v>15959</v>
      </c>
      <c r="I5456" s="9" t="s">
        <v>10075</v>
      </c>
      <c r="J5456" s="9" t="s">
        <v>10076</v>
      </c>
      <c r="K5456" s="5" t="s">
        <v>15173</v>
      </c>
      <c r="L5456" s="13">
        <v>16160</v>
      </c>
      <c r="M5456" t="str">
        <f>VLOOKUP(L5456,[1]DevMouse!$B$2:$C$2693,2,FALSE)</f>
        <v>DPi</v>
      </c>
    </row>
    <row r="5457" spans="2:13" x14ac:dyDescent="0.25">
      <c r="B5457" s="31" t="s">
        <v>26303</v>
      </c>
      <c r="C5457" s="25" t="s">
        <v>26252</v>
      </c>
      <c r="D5457" s="25" t="s">
        <v>26232</v>
      </c>
      <c r="E5457" s="25" t="s">
        <v>26306</v>
      </c>
      <c r="F5457" s="9" t="str">
        <f t="shared" si="78"/>
        <v>structure with developmental contribution from neural crest</v>
      </c>
      <c r="G5457" s="9" t="s">
        <v>5090</v>
      </c>
      <c r="H5457" s="9" t="s">
        <v>15960</v>
      </c>
      <c r="I5457" s="9" t="s">
        <v>10077</v>
      </c>
      <c r="J5457" s="9" t="s">
        <v>10078</v>
      </c>
      <c r="K5457" s="5" t="s">
        <v>15173</v>
      </c>
      <c r="L5457" s="13">
        <v>16161</v>
      </c>
      <c r="M5457" t="str">
        <f>VLOOKUP(L5457,[1]DevMouse!$B$2:$C$2693,2,FALSE)</f>
        <v>TTes</v>
      </c>
    </row>
    <row r="5458" spans="2:13" x14ac:dyDescent="0.25">
      <c r="B5458" s="31" t="s">
        <v>26303</v>
      </c>
      <c r="C5458" s="25" t="s">
        <v>26252</v>
      </c>
      <c r="D5458" s="25" t="s">
        <v>26232</v>
      </c>
      <c r="E5458" s="35" t="s">
        <v>26306</v>
      </c>
      <c r="F5458" s="9" t="str">
        <f t="shared" si="78"/>
        <v>structure with developmental contribution from neural crest</v>
      </c>
      <c r="G5458" s="9" t="s">
        <v>5090</v>
      </c>
      <c r="H5458" s="9" t="s">
        <v>15961</v>
      </c>
      <c r="I5458" s="9" t="s">
        <v>10079</v>
      </c>
      <c r="J5458" s="9" t="s">
        <v>10080</v>
      </c>
      <c r="K5458" s="5" t="s">
        <v>15173</v>
      </c>
      <c r="L5458" s="13">
        <v>16162</v>
      </c>
      <c r="M5458" t="str">
        <f>VLOOKUP(L5458,[1]DevMouse!$B$2:$C$2693,2,FALSE)</f>
        <v>PyTT</v>
      </c>
    </row>
    <row r="5459" spans="2:13" x14ac:dyDescent="0.25">
      <c r="B5459" s="36"/>
      <c r="C5459" s="20"/>
      <c r="D5459" s="25" t="s">
        <v>26232</v>
      </c>
      <c r="E5459" s="25"/>
      <c r="F5459" s="9" t="str">
        <f t="shared" si="78"/>
        <v>structure with developmental contribution from neural crest</v>
      </c>
      <c r="G5459" s="9" t="s">
        <v>5090</v>
      </c>
      <c r="H5459" s="9" t="s">
        <v>15963</v>
      </c>
      <c r="I5459" s="9" t="s">
        <v>10081</v>
      </c>
      <c r="J5459" s="9" t="s">
        <v>10082</v>
      </c>
      <c r="K5459" s="5" t="s">
        <v>15173</v>
      </c>
      <c r="L5459" s="13">
        <v>16164</v>
      </c>
      <c r="M5459" t="str">
        <f>VLOOKUP(L5459,[1]DevMouse!$B$2:$C$2693,2,FALSE)</f>
        <v>Sv</v>
      </c>
    </row>
    <row r="5460" spans="2:13" x14ac:dyDescent="0.25">
      <c r="B5460" s="31" t="s">
        <v>26303</v>
      </c>
      <c r="C5460" s="20"/>
      <c r="D5460" s="25" t="s">
        <v>26232</v>
      </c>
      <c r="E5460" s="20" t="s">
        <v>26300</v>
      </c>
      <c r="F5460" s="9" t="str">
        <f t="shared" si="78"/>
        <v>structure with developmental contribution from neural crest</v>
      </c>
      <c r="G5460" s="9" t="s">
        <v>5090</v>
      </c>
      <c r="H5460" s="9" t="s">
        <v>15964</v>
      </c>
      <c r="I5460" s="9" t="s">
        <v>10083</v>
      </c>
      <c r="J5460" s="9" t="s">
        <v>10084</v>
      </c>
      <c r="K5460" s="5" t="s">
        <v>15173</v>
      </c>
      <c r="L5460" s="13">
        <v>16165</v>
      </c>
      <c r="M5460" t="str">
        <f>VLOOKUP(L5460,[1]DevMouse!$B$2:$C$2693,2,FALSE)</f>
        <v>Sm</v>
      </c>
    </row>
    <row r="5461" spans="2:13" x14ac:dyDescent="0.25">
      <c r="B5461" s="36"/>
      <c r="C5461" s="20"/>
      <c r="D5461" s="25" t="s">
        <v>26232</v>
      </c>
      <c r="E5461" s="20" t="s">
        <v>26300</v>
      </c>
      <c r="F5461" s="9" t="str">
        <f t="shared" si="78"/>
        <v>structure with developmental contribution from neural crest</v>
      </c>
      <c r="G5461" s="9" t="s">
        <v>5090</v>
      </c>
      <c r="H5461" s="9" t="s">
        <v>15965</v>
      </c>
      <c r="I5461" s="9" t="s">
        <v>10085</v>
      </c>
      <c r="J5461" s="9" t="s">
        <v>10086</v>
      </c>
      <c r="K5461" s="5" t="s">
        <v>15173</v>
      </c>
      <c r="L5461" s="13">
        <v>16166</v>
      </c>
      <c r="M5461" t="str">
        <f>VLOOKUP(L5461,[1]DevMouse!$B$2:$C$2693,2,FALSE)</f>
        <v>Sp</v>
      </c>
    </row>
    <row r="5462" spans="2:13" x14ac:dyDescent="0.25">
      <c r="B5462" s="36"/>
      <c r="C5462" s="20"/>
      <c r="D5462" s="25" t="s">
        <v>26232</v>
      </c>
      <c r="E5462" s="25"/>
      <c r="F5462" s="9" t="str">
        <f t="shared" si="78"/>
        <v>structure with developmental contribution from neural crest</v>
      </c>
      <c r="G5462" s="9" t="s">
        <v>5090</v>
      </c>
      <c r="H5462" s="9" t="s">
        <v>15966</v>
      </c>
      <c r="I5462" s="9" t="s">
        <v>10087</v>
      </c>
      <c r="J5462" s="9" t="s">
        <v>10088</v>
      </c>
      <c r="K5462" s="5" t="s">
        <v>15173</v>
      </c>
      <c r="L5462" s="13">
        <v>16167</v>
      </c>
      <c r="M5462" t="str">
        <f>VLOOKUP(L5462,[1]DevMouse!$B$2:$C$2693,2,FALSE)</f>
        <v>Si</v>
      </c>
    </row>
    <row r="5463" spans="2:13" x14ac:dyDescent="0.25">
      <c r="B5463" s="36"/>
      <c r="C5463" s="20"/>
      <c r="D5463" s="25" t="s">
        <v>26232</v>
      </c>
      <c r="E5463" s="25"/>
      <c r="F5463" s="9" t="str">
        <f t="shared" si="78"/>
        <v>structure with developmental contribution from neural crest</v>
      </c>
      <c r="G5463" s="9" t="s">
        <v>5090</v>
      </c>
      <c r="H5463" s="9" t="s">
        <v>15967</v>
      </c>
      <c r="I5463" s="9" t="s">
        <v>10089</v>
      </c>
      <c r="J5463" s="9" t="s">
        <v>10090</v>
      </c>
      <c r="K5463" s="5" t="s">
        <v>15173</v>
      </c>
      <c r="L5463" s="13">
        <v>16169</v>
      </c>
      <c r="M5463" t="str">
        <f>VLOOKUP(L5463,[1]DevMouse!$B$2:$C$2693,2,FALSE)</f>
        <v>Ss</v>
      </c>
    </row>
    <row r="5464" spans="2:13" x14ac:dyDescent="0.25">
      <c r="B5464" s="36"/>
      <c r="C5464" s="20"/>
      <c r="D5464" s="25" t="s">
        <v>26232</v>
      </c>
      <c r="E5464" s="35" t="s">
        <v>26306</v>
      </c>
      <c r="F5464" s="9" t="str">
        <f t="shared" si="78"/>
        <v>structure with developmental contribution from neural crest</v>
      </c>
      <c r="G5464" s="9" t="s">
        <v>5090</v>
      </c>
      <c r="H5464" s="9" t="s">
        <v>15968</v>
      </c>
      <c r="I5464" s="9" t="s">
        <v>10091</v>
      </c>
      <c r="J5464" s="9" t="s">
        <v>10092</v>
      </c>
      <c r="K5464" s="5" t="s">
        <v>15173</v>
      </c>
      <c r="L5464" s="13">
        <v>16170</v>
      </c>
      <c r="M5464" t="str">
        <f>VLOOKUP(L5464,[1]DevMouse!$B$2:$C$2693,2,FALSE)</f>
        <v>PyS</v>
      </c>
    </row>
    <row r="5465" spans="2:13" x14ac:dyDescent="0.25">
      <c r="B5465" s="36"/>
      <c r="C5465" s="25" t="s">
        <v>14722</v>
      </c>
      <c r="D5465" s="25" t="s">
        <v>26232</v>
      </c>
      <c r="E5465" s="25" t="s">
        <v>26306</v>
      </c>
      <c r="F5465" s="9" t="str">
        <f t="shared" si="78"/>
        <v>structure with developmental contribution from neural crest</v>
      </c>
      <c r="G5465" s="9" t="s">
        <v>5090</v>
      </c>
      <c r="H5465" s="9" t="s">
        <v>15969</v>
      </c>
      <c r="I5465" s="9" t="s">
        <v>10093</v>
      </c>
      <c r="J5465" s="9" t="s">
        <v>10094</v>
      </c>
      <c r="K5465" s="5" t="s">
        <v>15173</v>
      </c>
      <c r="L5465" s="13">
        <v>16171</v>
      </c>
      <c r="M5465" t="str">
        <f>VLOOKUP(L5465,[1]DevMouse!$B$2:$C$2693,2,FALSE)</f>
        <v>SMol</v>
      </c>
    </row>
    <row r="5466" spans="2:13" x14ac:dyDescent="0.25">
      <c r="B5466" s="36"/>
      <c r="C5466" s="20"/>
      <c r="D5466" s="25" t="s">
        <v>26232</v>
      </c>
      <c r="E5466" s="25"/>
      <c r="F5466" s="9" t="str">
        <f t="shared" si="78"/>
        <v>structure with developmental contribution from neural crest</v>
      </c>
      <c r="G5466" s="9" t="s">
        <v>5090</v>
      </c>
      <c r="H5466" s="9" t="s">
        <v>15971</v>
      </c>
      <c r="I5466" s="9" t="s">
        <v>10095</v>
      </c>
      <c r="J5466" s="9" t="s">
        <v>10096</v>
      </c>
      <c r="K5466" s="5" t="s">
        <v>15173</v>
      </c>
      <c r="L5466" s="13">
        <v>16173</v>
      </c>
      <c r="M5466" t="str">
        <f>VLOOKUP(L5466,[1]DevMouse!$B$2:$C$2693,2,FALSE)</f>
        <v>PrSv</v>
      </c>
    </row>
    <row r="5467" spans="2:13" x14ac:dyDescent="0.25">
      <c r="B5467" s="31" t="s">
        <v>26303</v>
      </c>
      <c r="C5467" s="20"/>
      <c r="D5467" s="25" t="s">
        <v>26232</v>
      </c>
      <c r="E5467" s="20" t="s">
        <v>26300</v>
      </c>
      <c r="F5467" s="9" t="str">
        <f t="shared" si="78"/>
        <v>structure with developmental contribution from neural crest</v>
      </c>
      <c r="G5467" s="9" t="s">
        <v>5090</v>
      </c>
      <c r="H5467" s="9" t="s">
        <v>15972</v>
      </c>
      <c r="I5467" s="9" t="s">
        <v>10097</v>
      </c>
      <c r="J5467" s="9" t="s">
        <v>10098</v>
      </c>
      <c r="K5467" s="5" t="s">
        <v>15173</v>
      </c>
      <c r="L5467" s="13">
        <v>16174</v>
      </c>
      <c r="M5467" t="str">
        <f>VLOOKUP(L5467,[1]DevMouse!$B$2:$C$2693,2,FALSE)</f>
        <v>PrSm</v>
      </c>
    </row>
    <row r="5468" spans="2:13" x14ac:dyDescent="0.25">
      <c r="B5468" s="36"/>
      <c r="C5468" s="20"/>
      <c r="D5468" s="25" t="s">
        <v>26232</v>
      </c>
      <c r="E5468" s="20" t="s">
        <v>26300</v>
      </c>
      <c r="F5468" s="9" t="str">
        <f t="shared" si="78"/>
        <v>structure with developmental contribution from neural crest</v>
      </c>
      <c r="G5468" s="9" t="s">
        <v>5090</v>
      </c>
      <c r="H5468" s="9" t="s">
        <v>15973</v>
      </c>
      <c r="I5468" s="9" t="s">
        <v>10099</v>
      </c>
      <c r="J5468" s="9" t="s">
        <v>10100</v>
      </c>
      <c r="K5468" s="5" t="s">
        <v>15173</v>
      </c>
      <c r="L5468" s="13">
        <v>16175</v>
      </c>
      <c r="M5468" t="str">
        <f>VLOOKUP(L5468,[1]DevMouse!$B$2:$C$2693,2,FALSE)</f>
        <v>PrSp</v>
      </c>
    </row>
    <row r="5469" spans="2:13" x14ac:dyDescent="0.25">
      <c r="B5469" s="36"/>
      <c r="C5469" s="25"/>
      <c r="D5469" s="25" t="s">
        <v>26232</v>
      </c>
      <c r="E5469" s="25" t="s">
        <v>26306</v>
      </c>
      <c r="F5469" s="9" t="str">
        <f t="shared" si="78"/>
        <v>structure with developmental contribution from neural crest</v>
      </c>
      <c r="G5469" s="9" t="s">
        <v>5090</v>
      </c>
      <c r="H5469" s="9" t="s">
        <v>15974</v>
      </c>
      <c r="I5469" s="9" t="s">
        <v>10101</v>
      </c>
      <c r="J5469" s="9" t="s">
        <v>10102</v>
      </c>
      <c r="K5469" s="5" t="s">
        <v>15173</v>
      </c>
      <c r="L5469" s="13">
        <v>16176</v>
      </c>
      <c r="M5469" t="str">
        <f>VLOOKUP(L5469,[1]DevMouse!$B$2:$C$2693,2,FALSE)</f>
        <v>PrSi</v>
      </c>
    </row>
    <row r="5470" spans="2:13" x14ac:dyDescent="0.25">
      <c r="B5470" s="31" t="s">
        <v>26303</v>
      </c>
      <c r="C5470" s="20"/>
      <c r="D5470" s="25" t="s">
        <v>26185</v>
      </c>
      <c r="E5470" s="25" t="s">
        <v>26307</v>
      </c>
      <c r="F5470" s="9" t="str">
        <f t="shared" si="78"/>
        <v>structure with developmental contribution from neural crest</v>
      </c>
      <c r="G5470" s="9" t="s">
        <v>5090</v>
      </c>
      <c r="H5470" s="9" t="s">
        <v>15975</v>
      </c>
      <c r="I5470" s="9" t="s">
        <v>10103</v>
      </c>
      <c r="J5470" s="9" t="s">
        <v>10104</v>
      </c>
      <c r="K5470" s="5" t="s">
        <v>15173</v>
      </c>
      <c r="L5470" s="13">
        <v>16177</v>
      </c>
      <c r="M5470" t="str">
        <f>VLOOKUP(L5470,[1]DevMouse!$B$2:$C$2693,2,FALSE)</f>
        <v>PrSs</v>
      </c>
    </row>
    <row r="5471" spans="2:13" x14ac:dyDescent="0.25">
      <c r="B5471" s="36"/>
      <c r="C5471" s="20"/>
      <c r="D5471" s="25" t="s">
        <v>26232</v>
      </c>
      <c r="E5471" s="25" t="s">
        <v>26306</v>
      </c>
      <c r="F5471" s="9" t="str">
        <f t="shared" si="78"/>
        <v>structure with developmental contribution from neural crest</v>
      </c>
      <c r="G5471" s="9" t="s">
        <v>5090</v>
      </c>
      <c r="H5471" s="9" t="s">
        <v>15976</v>
      </c>
      <c r="I5471" s="9" t="s">
        <v>10105</v>
      </c>
      <c r="J5471" s="9" t="s">
        <v>10106</v>
      </c>
      <c r="K5471" s="5" t="s">
        <v>15173</v>
      </c>
      <c r="L5471" s="13">
        <v>16178</v>
      </c>
      <c r="M5471" t="str">
        <f>VLOOKUP(L5471,[1]DevMouse!$B$2:$C$2693,2,FALSE)</f>
        <v>PrS-1</v>
      </c>
    </row>
    <row r="5472" spans="2:13" x14ac:dyDescent="0.25">
      <c r="B5472" s="36"/>
      <c r="C5472" s="20"/>
      <c r="D5472" s="25" t="s">
        <v>26232</v>
      </c>
      <c r="E5472" s="25" t="s">
        <v>26306</v>
      </c>
      <c r="F5472" s="9" t="str">
        <f t="shared" si="78"/>
        <v>structure with developmental contribution from neural crest</v>
      </c>
      <c r="G5472" s="9" t="s">
        <v>5090</v>
      </c>
      <c r="H5472" s="9" t="s">
        <v>15977</v>
      </c>
      <c r="I5472" s="9" t="s">
        <v>10107</v>
      </c>
      <c r="J5472" s="9" t="s">
        <v>10108</v>
      </c>
      <c r="K5472" s="5" t="s">
        <v>15173</v>
      </c>
      <c r="L5472" s="13">
        <v>16179</v>
      </c>
      <c r="M5472" t="str">
        <f>VLOOKUP(L5472,[1]DevMouse!$B$2:$C$2693,2,FALSE)</f>
        <v>PrS-2</v>
      </c>
    </row>
    <row r="5473" spans="2:13" x14ac:dyDescent="0.25">
      <c r="B5473" s="36"/>
      <c r="C5473" s="20"/>
      <c r="D5473" s="25" t="s">
        <v>26232</v>
      </c>
      <c r="E5473" s="25" t="s">
        <v>26306</v>
      </c>
      <c r="F5473" s="9" t="str">
        <f t="shared" si="78"/>
        <v>structure with developmental contribution from neural crest</v>
      </c>
      <c r="G5473" s="9" t="s">
        <v>5090</v>
      </c>
      <c r="H5473" s="9" t="s">
        <v>15978</v>
      </c>
      <c r="I5473" s="9" t="s">
        <v>10109</v>
      </c>
      <c r="J5473" s="9" t="s">
        <v>10110</v>
      </c>
      <c r="K5473" s="5" t="s">
        <v>15173</v>
      </c>
      <c r="L5473" s="13">
        <v>16180</v>
      </c>
      <c r="M5473" t="str">
        <f>VLOOKUP(L5473,[1]DevMouse!$B$2:$C$2693,2,FALSE)</f>
        <v>PrS-3</v>
      </c>
    </row>
    <row r="5474" spans="2:13" x14ac:dyDescent="0.25">
      <c r="B5474" s="36"/>
      <c r="C5474" s="20"/>
      <c r="D5474" s="25" t="s">
        <v>26232</v>
      </c>
      <c r="E5474" s="25" t="s">
        <v>26306</v>
      </c>
      <c r="F5474" s="9" t="str">
        <f t="shared" si="78"/>
        <v>structure with developmental contribution from neural crest</v>
      </c>
      <c r="G5474" s="9" t="s">
        <v>5090</v>
      </c>
      <c r="H5474" s="9" t="s">
        <v>15979</v>
      </c>
      <c r="I5474" s="9" t="s">
        <v>10111</v>
      </c>
      <c r="J5474" s="9" t="s">
        <v>10112</v>
      </c>
      <c r="K5474" s="5" t="s">
        <v>15173</v>
      </c>
      <c r="L5474" s="13">
        <v>16181</v>
      </c>
      <c r="M5474" t="str">
        <f>VLOOKUP(L5474,[1]DevMouse!$B$2:$C$2693,2,FALSE)</f>
        <v>PrS-4</v>
      </c>
    </row>
    <row r="5475" spans="2:13" x14ac:dyDescent="0.25">
      <c r="B5475" s="36"/>
      <c r="C5475" s="20"/>
      <c r="D5475" s="25" t="s">
        <v>26232</v>
      </c>
      <c r="E5475" s="25" t="s">
        <v>26306</v>
      </c>
      <c r="F5475" s="9" t="str">
        <f t="shared" si="78"/>
        <v>structure with developmental contribution from neural crest</v>
      </c>
      <c r="G5475" s="9" t="s">
        <v>5090</v>
      </c>
      <c r="H5475" s="9" t="s">
        <v>15980</v>
      </c>
      <c r="I5475" s="9" t="s">
        <v>10113</v>
      </c>
      <c r="J5475" s="9" t="s">
        <v>10114</v>
      </c>
      <c r="K5475" s="5" t="s">
        <v>15173</v>
      </c>
      <c r="L5475" s="13">
        <v>16182</v>
      </c>
      <c r="M5475" t="str">
        <f>VLOOKUP(L5475,[1]DevMouse!$B$2:$C$2693,2,FALSE)</f>
        <v>PrS-5</v>
      </c>
    </row>
    <row r="5476" spans="2:13" x14ac:dyDescent="0.25">
      <c r="B5476" s="36"/>
      <c r="C5476" s="20"/>
      <c r="D5476" s="25" t="s">
        <v>26232</v>
      </c>
      <c r="E5476" s="25" t="s">
        <v>26306</v>
      </c>
      <c r="F5476" s="9" t="str">
        <f t="shared" si="78"/>
        <v>structure with developmental contribution from neural crest</v>
      </c>
      <c r="G5476" s="9" t="s">
        <v>5090</v>
      </c>
      <c r="H5476" s="9" t="s">
        <v>15981</v>
      </c>
      <c r="I5476" s="9" t="s">
        <v>10115</v>
      </c>
      <c r="J5476" s="9" t="s">
        <v>10116</v>
      </c>
      <c r="K5476" s="5" t="s">
        <v>15173</v>
      </c>
      <c r="L5476" s="13">
        <v>16183</v>
      </c>
      <c r="M5476" t="str">
        <f>VLOOKUP(L5476,[1]DevMouse!$B$2:$C$2693,2,FALSE)</f>
        <v>PrS-6</v>
      </c>
    </row>
    <row r="5477" spans="2:13" x14ac:dyDescent="0.25">
      <c r="B5477" s="36"/>
      <c r="C5477" s="20"/>
      <c r="D5477" s="25" t="s">
        <v>26232</v>
      </c>
      <c r="E5477" s="25" t="s">
        <v>26306</v>
      </c>
      <c r="F5477" s="9" t="str">
        <f t="shared" si="78"/>
        <v>structure with developmental contribution from neural crest</v>
      </c>
      <c r="G5477" s="9" t="s">
        <v>5090</v>
      </c>
      <c r="H5477" s="9" t="s">
        <v>15982</v>
      </c>
      <c r="I5477" s="9" t="s">
        <v>10117</v>
      </c>
      <c r="J5477" s="9" t="s">
        <v>10118</v>
      </c>
      <c r="K5477" s="5" t="s">
        <v>15173</v>
      </c>
      <c r="L5477" s="13">
        <v>16184</v>
      </c>
      <c r="M5477" t="str">
        <f>VLOOKUP(L5477,[1]DevMouse!$B$2:$C$2693,2,FALSE)</f>
        <v>PrS-6a</v>
      </c>
    </row>
    <row r="5478" spans="2:13" x14ac:dyDescent="0.25">
      <c r="B5478" s="36"/>
      <c r="C5478" s="20"/>
      <c r="D5478" s="25" t="s">
        <v>26232</v>
      </c>
      <c r="E5478" s="25" t="s">
        <v>26306</v>
      </c>
      <c r="F5478" s="9" t="str">
        <f t="shared" si="78"/>
        <v>structure with developmental contribution from neural crest</v>
      </c>
      <c r="G5478" s="9" t="s">
        <v>5090</v>
      </c>
      <c r="H5478" s="9" t="s">
        <v>15983</v>
      </c>
      <c r="I5478" s="9" t="s">
        <v>10119</v>
      </c>
      <c r="J5478" s="9" t="s">
        <v>10120</v>
      </c>
      <c r="K5478" s="5" t="s">
        <v>15173</v>
      </c>
      <c r="L5478" s="13">
        <v>16185</v>
      </c>
      <c r="M5478" t="str">
        <f>VLOOKUP(L5478,[1]DevMouse!$B$2:$C$2693,2,FALSE)</f>
        <v>PrS-6b</v>
      </c>
    </row>
    <row r="5479" spans="2:13" x14ac:dyDescent="0.25">
      <c r="B5479" s="36"/>
      <c r="C5479" s="20"/>
      <c r="D5479" s="25" t="s">
        <v>26232</v>
      </c>
      <c r="E5479" s="25"/>
      <c r="F5479" s="9" t="str">
        <f t="shared" si="78"/>
        <v>structure with developmental contribution from neural crest</v>
      </c>
      <c r="G5479" s="9" t="s">
        <v>5090</v>
      </c>
      <c r="H5479" s="9" t="s">
        <v>15985</v>
      </c>
      <c r="I5479" s="9" t="s">
        <v>10121</v>
      </c>
      <c r="J5479" s="9" t="s">
        <v>10122</v>
      </c>
      <c r="K5479" s="5" t="s">
        <v>15173</v>
      </c>
      <c r="L5479" s="13">
        <v>16187</v>
      </c>
      <c r="M5479" t="str">
        <f>VLOOKUP(L5479,[1]DevMouse!$B$2:$C$2693,2,FALSE)</f>
        <v>PaSv</v>
      </c>
    </row>
    <row r="5480" spans="2:13" x14ac:dyDescent="0.25">
      <c r="B5480" s="31" t="s">
        <v>26303</v>
      </c>
      <c r="C5480" s="20"/>
      <c r="D5480" s="25" t="s">
        <v>26232</v>
      </c>
      <c r="E5480" s="20" t="s">
        <v>26300</v>
      </c>
      <c r="F5480" s="9" t="str">
        <f t="shared" si="78"/>
        <v>structure with developmental contribution from neural crest</v>
      </c>
      <c r="G5480" s="9" t="s">
        <v>5090</v>
      </c>
      <c r="H5480" s="9" t="s">
        <v>15986</v>
      </c>
      <c r="I5480" s="9" t="s">
        <v>10123</v>
      </c>
      <c r="J5480" s="9" t="s">
        <v>10124</v>
      </c>
      <c r="K5480" s="5" t="s">
        <v>15173</v>
      </c>
      <c r="L5480" s="13">
        <v>16188</v>
      </c>
      <c r="M5480" t="str">
        <f>VLOOKUP(L5480,[1]DevMouse!$B$2:$C$2693,2,FALSE)</f>
        <v>PaSm</v>
      </c>
    </row>
    <row r="5481" spans="2:13" x14ac:dyDescent="0.25">
      <c r="B5481" s="36"/>
      <c r="C5481" s="20"/>
      <c r="D5481" s="25" t="s">
        <v>26232</v>
      </c>
      <c r="E5481" s="20" t="s">
        <v>26300</v>
      </c>
      <c r="F5481" s="9" t="str">
        <f t="shared" si="78"/>
        <v>structure with developmental contribution from neural crest</v>
      </c>
      <c r="G5481" s="9" t="s">
        <v>5090</v>
      </c>
      <c r="H5481" s="9" t="s">
        <v>15987</v>
      </c>
      <c r="I5481" s="9" t="s">
        <v>10125</v>
      </c>
      <c r="J5481" s="9" t="s">
        <v>10126</v>
      </c>
      <c r="K5481" s="5" t="s">
        <v>15173</v>
      </c>
      <c r="L5481" s="13">
        <v>16189</v>
      </c>
      <c r="M5481" t="str">
        <f>VLOOKUP(L5481,[1]DevMouse!$B$2:$C$2693,2,FALSE)</f>
        <v>PaSp</v>
      </c>
    </row>
    <row r="5482" spans="2:13" x14ac:dyDescent="0.25">
      <c r="B5482" s="36"/>
      <c r="C5482" s="25"/>
      <c r="D5482" s="25" t="s">
        <v>26232</v>
      </c>
      <c r="E5482" s="25" t="s">
        <v>26306</v>
      </c>
      <c r="F5482" s="9" t="str">
        <f t="shared" si="78"/>
        <v>structure with developmental contribution from neural crest</v>
      </c>
      <c r="G5482" s="9" t="s">
        <v>5090</v>
      </c>
      <c r="H5482" s="9" t="s">
        <v>15988</v>
      </c>
      <c r="I5482" s="9" t="s">
        <v>10127</v>
      </c>
      <c r="J5482" s="9" t="s">
        <v>10128</v>
      </c>
      <c r="K5482" s="5" t="s">
        <v>15173</v>
      </c>
      <c r="L5482" s="13">
        <v>16190</v>
      </c>
      <c r="M5482" t="str">
        <f>VLOOKUP(L5482,[1]DevMouse!$B$2:$C$2693,2,FALSE)</f>
        <v>PaSi</v>
      </c>
    </row>
    <row r="5483" spans="2:13" x14ac:dyDescent="0.25">
      <c r="B5483" s="31" t="s">
        <v>26303</v>
      </c>
      <c r="C5483" s="20"/>
      <c r="D5483" s="25" t="s">
        <v>26185</v>
      </c>
      <c r="E5483" s="25" t="s">
        <v>26307</v>
      </c>
      <c r="F5483" s="9" t="str">
        <f t="shared" si="78"/>
        <v>structure with developmental contribution from neural crest</v>
      </c>
      <c r="G5483" s="9" t="s">
        <v>5090</v>
      </c>
      <c r="H5483" s="9" t="s">
        <v>15989</v>
      </c>
      <c r="I5483" s="9" t="s">
        <v>10129</v>
      </c>
      <c r="J5483" s="9" t="s">
        <v>10130</v>
      </c>
      <c r="K5483" s="5" t="s">
        <v>15173</v>
      </c>
      <c r="L5483" s="13">
        <v>16191</v>
      </c>
      <c r="M5483" t="str">
        <f>VLOOKUP(L5483,[1]DevMouse!$B$2:$C$2693,2,FALSE)</f>
        <v>PaSs</v>
      </c>
    </row>
    <row r="5484" spans="2:13" x14ac:dyDescent="0.25">
      <c r="B5484" s="36"/>
      <c r="C5484" s="20"/>
      <c r="D5484" s="25" t="s">
        <v>26232</v>
      </c>
      <c r="E5484" s="25" t="s">
        <v>26306</v>
      </c>
      <c r="F5484" s="9" t="str">
        <f t="shared" si="78"/>
        <v>structure with developmental contribution from neural crest</v>
      </c>
      <c r="G5484" s="9" t="s">
        <v>5090</v>
      </c>
      <c r="H5484" s="9" t="s">
        <v>15990</v>
      </c>
      <c r="I5484" s="9" t="s">
        <v>10131</v>
      </c>
      <c r="J5484" s="9" t="s">
        <v>10132</v>
      </c>
      <c r="K5484" s="5" t="s">
        <v>15173</v>
      </c>
      <c r="L5484" s="13">
        <v>16192</v>
      </c>
      <c r="M5484" t="str">
        <f>VLOOKUP(L5484,[1]DevMouse!$B$2:$C$2693,2,FALSE)</f>
        <v>PaS-1</v>
      </c>
    </row>
    <row r="5485" spans="2:13" x14ac:dyDescent="0.25">
      <c r="B5485" s="36"/>
      <c r="C5485" s="20"/>
      <c r="D5485" s="25" t="s">
        <v>26232</v>
      </c>
      <c r="E5485" s="25" t="s">
        <v>26306</v>
      </c>
      <c r="F5485" s="9" t="str">
        <f t="shared" si="78"/>
        <v>structure with developmental contribution from neural crest</v>
      </c>
      <c r="G5485" s="9" t="s">
        <v>5090</v>
      </c>
      <c r="H5485" s="9" t="s">
        <v>15991</v>
      </c>
      <c r="I5485" s="9" t="s">
        <v>10133</v>
      </c>
      <c r="J5485" s="9" t="s">
        <v>10134</v>
      </c>
      <c r="K5485" s="5" t="s">
        <v>15173</v>
      </c>
      <c r="L5485" s="13">
        <v>16193</v>
      </c>
      <c r="M5485" t="str">
        <f>VLOOKUP(L5485,[1]DevMouse!$B$2:$C$2693,2,FALSE)</f>
        <v>PaS-2</v>
      </c>
    </row>
    <row r="5486" spans="2:13" x14ac:dyDescent="0.25">
      <c r="B5486" s="36"/>
      <c r="C5486" s="20"/>
      <c r="D5486" s="25" t="s">
        <v>26232</v>
      </c>
      <c r="E5486" s="25" t="s">
        <v>26306</v>
      </c>
      <c r="F5486" s="9" t="str">
        <f t="shared" si="78"/>
        <v>structure with developmental contribution from neural crest</v>
      </c>
      <c r="G5486" s="9" t="s">
        <v>5090</v>
      </c>
      <c r="H5486" s="9" t="s">
        <v>15992</v>
      </c>
      <c r="I5486" s="9" t="s">
        <v>10135</v>
      </c>
      <c r="J5486" s="9" t="s">
        <v>10136</v>
      </c>
      <c r="K5486" s="5" t="s">
        <v>15173</v>
      </c>
      <c r="L5486" s="13">
        <v>16194</v>
      </c>
      <c r="M5486" t="str">
        <f>VLOOKUP(L5486,[1]DevMouse!$B$2:$C$2693,2,FALSE)</f>
        <v>PaS-3</v>
      </c>
    </row>
    <row r="5487" spans="2:13" x14ac:dyDescent="0.25">
      <c r="B5487" s="36"/>
      <c r="C5487" s="20"/>
      <c r="D5487" s="25" t="s">
        <v>26232</v>
      </c>
      <c r="E5487" s="25" t="s">
        <v>26306</v>
      </c>
      <c r="F5487" s="9" t="str">
        <f t="shared" si="78"/>
        <v>structure with developmental contribution from neural crest</v>
      </c>
      <c r="G5487" s="9" t="s">
        <v>5090</v>
      </c>
      <c r="H5487" s="9" t="s">
        <v>15993</v>
      </c>
      <c r="I5487" s="9" t="s">
        <v>10137</v>
      </c>
      <c r="J5487" s="9" t="s">
        <v>10138</v>
      </c>
      <c r="K5487" s="5" t="s">
        <v>15173</v>
      </c>
      <c r="L5487" s="13">
        <v>16195</v>
      </c>
      <c r="M5487" t="str">
        <f>VLOOKUP(L5487,[1]DevMouse!$B$2:$C$2693,2,FALSE)</f>
        <v>PaS-4</v>
      </c>
    </row>
    <row r="5488" spans="2:13" x14ac:dyDescent="0.25">
      <c r="B5488" s="36"/>
      <c r="C5488" s="20"/>
      <c r="D5488" s="25" t="s">
        <v>26232</v>
      </c>
      <c r="E5488" s="25" t="s">
        <v>26306</v>
      </c>
      <c r="F5488" s="9" t="str">
        <f t="shared" si="78"/>
        <v>structure with developmental contribution from neural crest</v>
      </c>
      <c r="G5488" s="9" t="s">
        <v>5090</v>
      </c>
      <c r="H5488" s="9" t="s">
        <v>15994</v>
      </c>
      <c r="I5488" s="9" t="s">
        <v>10139</v>
      </c>
      <c r="J5488" s="9" t="s">
        <v>10140</v>
      </c>
      <c r="K5488" s="5" t="s">
        <v>15173</v>
      </c>
      <c r="L5488" s="13">
        <v>16196</v>
      </c>
      <c r="M5488" t="str">
        <f>VLOOKUP(L5488,[1]DevMouse!$B$2:$C$2693,2,FALSE)</f>
        <v>PaS-5</v>
      </c>
    </row>
    <row r="5489" spans="2:13" x14ac:dyDescent="0.25">
      <c r="B5489" s="36"/>
      <c r="C5489" s="20"/>
      <c r="D5489" s="25" t="s">
        <v>26232</v>
      </c>
      <c r="E5489" s="25" t="s">
        <v>26306</v>
      </c>
      <c r="F5489" s="9" t="str">
        <f t="shared" si="78"/>
        <v>structure with developmental contribution from neural crest</v>
      </c>
      <c r="G5489" s="9" t="s">
        <v>5090</v>
      </c>
      <c r="H5489" s="9" t="s">
        <v>15995</v>
      </c>
      <c r="I5489" s="9" t="s">
        <v>10141</v>
      </c>
      <c r="J5489" s="9" t="s">
        <v>10142</v>
      </c>
      <c r="K5489" s="5" t="s">
        <v>15173</v>
      </c>
      <c r="L5489" s="13">
        <v>16197</v>
      </c>
      <c r="M5489" t="str">
        <f>VLOOKUP(L5489,[1]DevMouse!$B$2:$C$2693,2,FALSE)</f>
        <v>PaS-6</v>
      </c>
    </row>
    <row r="5490" spans="2:13" x14ac:dyDescent="0.25">
      <c r="B5490" s="31" t="s">
        <v>26303</v>
      </c>
      <c r="C5490" s="20"/>
      <c r="D5490" s="25" t="s">
        <v>26232</v>
      </c>
      <c r="E5490" s="25"/>
      <c r="F5490" s="9" t="str">
        <f t="shared" si="78"/>
        <v>structure with developmental contribution from neural crest</v>
      </c>
      <c r="G5490" s="9" t="s">
        <v>5090</v>
      </c>
      <c r="H5490" s="9" t="s">
        <v>16006</v>
      </c>
      <c r="I5490" s="9" t="s">
        <v>10143</v>
      </c>
      <c r="J5490" s="9" t="s">
        <v>10144</v>
      </c>
      <c r="K5490" s="5" t="s">
        <v>15173</v>
      </c>
      <c r="L5490" s="13">
        <v>16198</v>
      </c>
      <c r="M5490" t="str">
        <f>VLOOKUP(L5490,[1]DevMouse!$B$2:$C$2693,2,FALSE)</f>
        <v>SePall</v>
      </c>
    </row>
    <row r="5491" spans="2:13" x14ac:dyDescent="0.25">
      <c r="B5491" s="36"/>
      <c r="C5491" s="20"/>
      <c r="D5491" s="25" t="s">
        <v>26232</v>
      </c>
      <c r="E5491" s="25"/>
      <c r="F5491" s="9" t="str">
        <f t="shared" si="78"/>
        <v>structure with developmental contribution from neural crest</v>
      </c>
      <c r="G5491" s="9" t="s">
        <v>5090</v>
      </c>
      <c r="H5491" s="9" t="s">
        <v>16007</v>
      </c>
      <c r="I5491" s="9" t="s">
        <v>10145</v>
      </c>
      <c r="J5491" s="9" t="s">
        <v>10146</v>
      </c>
      <c r="K5491" s="5" t="s">
        <v>15173</v>
      </c>
      <c r="L5491" s="13">
        <v>16199</v>
      </c>
      <c r="M5491" t="str">
        <f>VLOOKUP(L5491,[1]DevMouse!$B$2:$C$2693,2,FALSE)</f>
        <v>SePallv</v>
      </c>
    </row>
    <row r="5492" spans="2:13" x14ac:dyDescent="0.25">
      <c r="B5492" s="31" t="s">
        <v>26303</v>
      </c>
      <c r="C5492" s="20"/>
      <c r="D5492" s="25" t="s">
        <v>26232</v>
      </c>
      <c r="E5492" s="20" t="s">
        <v>26300</v>
      </c>
      <c r="F5492" s="9" t="str">
        <f t="shared" si="78"/>
        <v>structure with developmental contribution from neural crest</v>
      </c>
      <c r="G5492" s="9" t="s">
        <v>5090</v>
      </c>
      <c r="H5492" s="9" t="s">
        <v>16008</v>
      </c>
      <c r="I5492" s="9" t="s">
        <v>10147</v>
      </c>
      <c r="J5492" s="9" t="s">
        <v>10148</v>
      </c>
      <c r="K5492" s="5" t="s">
        <v>15173</v>
      </c>
      <c r="L5492" s="13">
        <v>16200</v>
      </c>
      <c r="M5492" t="str">
        <f>VLOOKUP(L5492,[1]DevMouse!$B$2:$C$2693,2,FALSE)</f>
        <v>SePallm</v>
      </c>
    </row>
    <row r="5493" spans="2:13" x14ac:dyDescent="0.25">
      <c r="B5493" s="36"/>
      <c r="C5493" s="20"/>
      <c r="D5493" s="25" t="s">
        <v>26232</v>
      </c>
      <c r="E5493" s="20" t="s">
        <v>26300</v>
      </c>
      <c r="F5493" s="9" t="str">
        <f t="shared" si="78"/>
        <v>structure with developmental contribution from neural crest</v>
      </c>
      <c r="G5493" s="9" t="s">
        <v>5090</v>
      </c>
      <c r="H5493" s="9" t="s">
        <v>16009</v>
      </c>
      <c r="I5493" s="9" t="s">
        <v>10149</v>
      </c>
      <c r="J5493" s="9" t="s">
        <v>10150</v>
      </c>
      <c r="K5493" s="5" t="s">
        <v>15173</v>
      </c>
      <c r="L5493" s="13">
        <v>16201</v>
      </c>
      <c r="M5493" t="str">
        <f>VLOOKUP(L5493,[1]DevMouse!$B$2:$C$2693,2,FALSE)</f>
        <v>SePallp</v>
      </c>
    </row>
    <row r="5494" spans="2:13" x14ac:dyDescent="0.25">
      <c r="B5494" s="36"/>
      <c r="C5494" s="20"/>
      <c r="D5494" s="25" t="s">
        <v>26232</v>
      </c>
      <c r="E5494" s="25"/>
      <c r="F5494" s="9" t="str">
        <f t="shared" si="78"/>
        <v>structure with developmental contribution from neural crest</v>
      </c>
      <c r="G5494" s="9" t="s">
        <v>5090</v>
      </c>
      <c r="H5494" s="9" t="s">
        <v>16010</v>
      </c>
      <c r="I5494" s="9" t="s">
        <v>10151</v>
      </c>
      <c r="J5494" s="9" t="s">
        <v>10152</v>
      </c>
      <c r="K5494" s="5" t="s">
        <v>15173</v>
      </c>
      <c r="L5494" s="13">
        <v>16202</v>
      </c>
      <c r="M5494" t="str">
        <f>VLOOKUP(L5494,[1]DevMouse!$B$2:$C$2693,2,FALSE)</f>
        <v>SePalli</v>
      </c>
    </row>
    <row r="5495" spans="2:13" x14ac:dyDescent="0.25">
      <c r="B5495" s="36"/>
      <c r="C5495" s="20"/>
      <c r="D5495" s="25" t="s">
        <v>26232</v>
      </c>
      <c r="E5495" s="25"/>
      <c r="F5495" s="9" t="str">
        <f t="shared" ref="F5495:F5558" si="79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5495" s="9" t="s">
        <v>5090</v>
      </c>
      <c r="H5495" s="9" t="s">
        <v>16011</v>
      </c>
      <c r="I5495" s="9" t="s">
        <v>10153</v>
      </c>
      <c r="J5495" s="9" t="s">
        <v>10154</v>
      </c>
      <c r="K5495" s="5" t="s">
        <v>15173</v>
      </c>
      <c r="L5495" s="13">
        <v>16203</v>
      </c>
      <c r="M5495" t="str">
        <f>VLOOKUP(L5495,[1]DevMouse!$B$2:$C$2693,2,FALSE)</f>
        <v>SePalls</v>
      </c>
    </row>
    <row r="5496" spans="2:13" x14ac:dyDescent="0.25">
      <c r="B5496" s="36"/>
      <c r="C5496" s="20"/>
      <c r="D5496" s="25" t="s">
        <v>26232</v>
      </c>
      <c r="E5496" s="25"/>
      <c r="F5496" s="9" t="str">
        <f t="shared" si="79"/>
        <v>structure with developmental contribution from neural crest</v>
      </c>
      <c r="G5496" s="9" t="s">
        <v>5090</v>
      </c>
      <c r="H5496" s="9" t="s">
        <v>16013</v>
      </c>
      <c r="I5496" s="9" t="s">
        <v>10155</v>
      </c>
      <c r="J5496" s="9" t="s">
        <v>10156</v>
      </c>
      <c r="K5496" s="5" t="s">
        <v>15173</v>
      </c>
      <c r="L5496" s="13">
        <v>16205</v>
      </c>
      <c r="M5496" t="str">
        <f>VLOOKUP(L5496,[1]DevMouse!$B$2:$C$2693,2,FALSE)</f>
        <v>TelH</v>
      </c>
    </row>
    <row r="5497" spans="2:13" x14ac:dyDescent="0.25">
      <c r="B5497" s="36"/>
      <c r="C5497" s="20"/>
      <c r="D5497" s="25" t="s">
        <v>26232</v>
      </c>
      <c r="E5497" s="25"/>
      <c r="F5497" s="9" t="str">
        <f t="shared" si="79"/>
        <v>structure with developmental contribution from neural crest</v>
      </c>
      <c r="G5497" s="9" t="s">
        <v>5090</v>
      </c>
      <c r="H5497" s="9" t="s">
        <v>16014</v>
      </c>
      <c r="I5497" s="9" t="s">
        <v>10157</v>
      </c>
      <c r="J5497" s="9" t="s">
        <v>10158</v>
      </c>
      <c r="K5497" s="5" t="s">
        <v>15173</v>
      </c>
      <c r="L5497" s="13">
        <v>16206</v>
      </c>
      <c r="M5497" t="str">
        <f>VLOOKUP(L5497,[1]DevMouse!$B$2:$C$2693,2,FALSE)</f>
        <v>TelHv</v>
      </c>
    </row>
    <row r="5498" spans="2:13" x14ac:dyDescent="0.25">
      <c r="B5498" s="31" t="s">
        <v>26303</v>
      </c>
      <c r="C5498" s="20"/>
      <c r="D5498" s="25" t="s">
        <v>26232</v>
      </c>
      <c r="E5498" s="20" t="s">
        <v>26300</v>
      </c>
      <c r="F5498" s="9" t="str">
        <f t="shared" si="79"/>
        <v>structure with developmental contribution from neural crest</v>
      </c>
      <c r="G5498" s="9" t="s">
        <v>5090</v>
      </c>
      <c r="H5498" s="9" t="s">
        <v>16015</v>
      </c>
      <c r="I5498" s="9" t="s">
        <v>10159</v>
      </c>
      <c r="J5498" s="9" t="s">
        <v>10160</v>
      </c>
      <c r="K5498" s="5" t="s">
        <v>15173</v>
      </c>
      <c r="L5498" s="13">
        <v>16207</v>
      </c>
      <c r="M5498" t="str">
        <f>VLOOKUP(L5498,[1]DevMouse!$B$2:$C$2693,2,FALSE)</f>
        <v>TelHm</v>
      </c>
    </row>
    <row r="5499" spans="2:13" x14ac:dyDescent="0.25">
      <c r="B5499" s="36"/>
      <c r="C5499" s="20"/>
      <c r="D5499" s="25" t="s">
        <v>26232</v>
      </c>
      <c r="E5499" s="20" t="s">
        <v>26300</v>
      </c>
      <c r="F5499" s="9" t="str">
        <f t="shared" si="79"/>
        <v>structure with developmental contribution from neural crest</v>
      </c>
      <c r="G5499" s="9" t="s">
        <v>5090</v>
      </c>
      <c r="H5499" s="9" t="s">
        <v>16016</v>
      </c>
      <c r="I5499" s="9" t="s">
        <v>10161</v>
      </c>
      <c r="J5499" s="9" t="s">
        <v>10162</v>
      </c>
      <c r="K5499" s="5" t="s">
        <v>15173</v>
      </c>
      <c r="L5499" s="13">
        <v>16208</v>
      </c>
      <c r="M5499" t="str">
        <f>VLOOKUP(L5499,[1]DevMouse!$B$2:$C$2693,2,FALSE)</f>
        <v>TelHp</v>
      </c>
    </row>
    <row r="5500" spans="2:13" x14ac:dyDescent="0.25">
      <c r="B5500" s="36"/>
      <c r="C5500" s="20"/>
      <c r="D5500" s="25" t="s">
        <v>26232</v>
      </c>
      <c r="E5500" s="25"/>
      <c r="F5500" s="9" t="str">
        <f t="shared" si="79"/>
        <v>structure with developmental contribution from neural crest</v>
      </c>
      <c r="G5500" s="9" t="s">
        <v>5090</v>
      </c>
      <c r="H5500" s="9" t="s">
        <v>16017</v>
      </c>
      <c r="I5500" s="9" t="s">
        <v>10163</v>
      </c>
      <c r="J5500" s="9" t="s">
        <v>10164</v>
      </c>
      <c r="K5500" s="5" t="s">
        <v>15173</v>
      </c>
      <c r="L5500" s="13">
        <v>16209</v>
      </c>
      <c r="M5500" t="str">
        <f>VLOOKUP(L5500,[1]DevMouse!$B$2:$C$2693,2,FALSE)</f>
        <v>TelHi</v>
      </c>
    </row>
    <row r="5501" spans="2:13" x14ac:dyDescent="0.25">
      <c r="B5501" s="36"/>
      <c r="C5501" s="20"/>
      <c r="D5501" s="25" t="s">
        <v>26232</v>
      </c>
      <c r="E5501" s="25"/>
      <c r="F5501" s="9" t="str">
        <f t="shared" si="79"/>
        <v>structure with developmental contribution from neural crest</v>
      </c>
      <c r="G5501" s="9" t="s">
        <v>5090</v>
      </c>
      <c r="H5501" s="9" t="s">
        <v>16018</v>
      </c>
      <c r="I5501" s="9" t="s">
        <v>10165</v>
      </c>
      <c r="J5501" s="9" t="s">
        <v>10166</v>
      </c>
      <c r="K5501" s="5" t="s">
        <v>15173</v>
      </c>
      <c r="L5501" s="13">
        <v>16210</v>
      </c>
      <c r="M5501" t="str">
        <f>VLOOKUP(L5501,[1]DevMouse!$B$2:$C$2693,2,FALSE)</f>
        <v>TelHs</v>
      </c>
    </row>
    <row r="5502" spans="2:13" x14ac:dyDescent="0.25">
      <c r="B5502" s="31" t="s">
        <v>26303</v>
      </c>
      <c r="C5502" s="20"/>
      <c r="D5502" s="25" t="s">
        <v>26185</v>
      </c>
      <c r="E5502" s="25" t="s">
        <v>26300</v>
      </c>
      <c r="F5502" s="9" t="str">
        <f t="shared" si="79"/>
        <v>structure with developmental contribution from neural crest</v>
      </c>
      <c r="G5502" s="9" t="s">
        <v>5090</v>
      </c>
      <c r="H5502" s="9" t="s">
        <v>16278</v>
      </c>
      <c r="I5502" s="9" t="s">
        <v>3258</v>
      </c>
      <c r="J5502" s="9" t="s">
        <v>3259</v>
      </c>
      <c r="K5502" s="5" t="s">
        <v>15173</v>
      </c>
      <c r="L5502" s="13">
        <v>16339</v>
      </c>
      <c r="M5502" t="str">
        <f>VLOOKUP(L5502,[1]DevMouse!$B$2:$C$2693,2,FALSE)</f>
        <v>IntC</v>
      </c>
    </row>
    <row r="5503" spans="2:13" x14ac:dyDescent="0.25">
      <c r="B5503" s="31" t="s">
        <v>26303</v>
      </c>
      <c r="C5503" s="25" t="s">
        <v>2247</v>
      </c>
      <c r="D5503" s="25" t="s">
        <v>26232</v>
      </c>
      <c r="E5503" s="25"/>
      <c r="F5503" s="9" t="str">
        <f t="shared" si="79"/>
        <v>structure with developmental contribution from neural crest</v>
      </c>
      <c r="G5503" s="9" t="s">
        <v>5090</v>
      </c>
      <c r="H5503" s="9" t="s">
        <v>17231</v>
      </c>
      <c r="I5503" s="9" t="s">
        <v>10167</v>
      </c>
      <c r="J5503" s="9" t="s">
        <v>10168</v>
      </c>
      <c r="K5503" s="5" t="s">
        <v>15173</v>
      </c>
      <c r="L5503" s="13">
        <v>16809</v>
      </c>
      <c r="M5503" t="str">
        <f>VLOOKUP(L5503,[1]DevMouse!$B$2:$C$2693,2,FALSE)</f>
        <v>PPH</v>
      </c>
    </row>
    <row r="5504" spans="2:13" x14ac:dyDescent="0.25">
      <c r="B5504" s="36"/>
      <c r="C5504" s="20"/>
      <c r="D5504" s="25" t="s">
        <v>26232</v>
      </c>
      <c r="E5504" s="25"/>
      <c r="F5504" s="9" t="str">
        <f t="shared" si="79"/>
        <v>structure with developmental contribution from neural crest</v>
      </c>
      <c r="G5504" s="9" t="s">
        <v>5090</v>
      </c>
      <c r="H5504" s="9" t="s">
        <v>17233</v>
      </c>
      <c r="I5504" s="9" t="s">
        <v>10169</v>
      </c>
      <c r="J5504" s="9" t="s">
        <v>10170</v>
      </c>
      <c r="K5504" s="5" t="s">
        <v>15173</v>
      </c>
      <c r="L5504" s="13">
        <v>16811</v>
      </c>
      <c r="M5504" t="str">
        <f>VLOOKUP(L5504,[1]DevMouse!$B$2:$C$2693,2,FALSE)</f>
        <v>isR</v>
      </c>
    </row>
    <row r="5505" spans="2:13" x14ac:dyDescent="0.25">
      <c r="B5505" s="36"/>
      <c r="C5505" s="20"/>
      <c r="D5505" s="25" t="s">
        <v>26232</v>
      </c>
      <c r="E5505" s="25"/>
      <c r="F5505" s="9" t="str">
        <f t="shared" si="79"/>
        <v>structure with developmental contribution from neural crest</v>
      </c>
      <c r="G5505" s="9" t="s">
        <v>5090</v>
      </c>
      <c r="H5505" s="9" t="s">
        <v>17234</v>
      </c>
      <c r="I5505" s="9" t="s">
        <v>10171</v>
      </c>
      <c r="J5505" s="9" t="s">
        <v>10172</v>
      </c>
      <c r="K5505" s="5" t="s">
        <v>15173</v>
      </c>
      <c r="L5505" s="13">
        <v>16812</v>
      </c>
      <c r="M5505" t="str">
        <f>VLOOKUP(L5505,[1]DevMouse!$B$2:$C$2693,2,FALSE)</f>
        <v>isRv</v>
      </c>
    </row>
    <row r="5506" spans="2:13" x14ac:dyDescent="0.25">
      <c r="B5506" s="36"/>
      <c r="C5506" s="20"/>
      <c r="D5506" s="25" t="s">
        <v>26232</v>
      </c>
      <c r="E5506" s="25"/>
      <c r="F5506" s="9" t="str">
        <f t="shared" si="79"/>
        <v>structure with developmental contribution from neural crest</v>
      </c>
      <c r="G5506" s="9" t="s">
        <v>5090</v>
      </c>
      <c r="H5506" s="9" t="s">
        <v>17239</v>
      </c>
      <c r="I5506" s="9" t="s">
        <v>10173</v>
      </c>
      <c r="J5506" s="9" t="s">
        <v>10174</v>
      </c>
      <c r="K5506" s="5" t="s">
        <v>15173</v>
      </c>
      <c r="L5506" s="13">
        <v>16813</v>
      </c>
      <c r="M5506" t="str">
        <f>VLOOKUP(L5506,[1]DevMouse!$B$2:$C$2693,2,FALSE)</f>
        <v>isA</v>
      </c>
    </row>
    <row r="5507" spans="2:13" x14ac:dyDescent="0.25">
      <c r="B5507" s="36"/>
      <c r="C5507" s="20"/>
      <c r="D5507" s="25" t="s">
        <v>26232</v>
      </c>
      <c r="E5507" s="25"/>
      <c r="F5507" s="9" t="str">
        <f t="shared" si="79"/>
        <v>structure with developmental contribution from neural crest</v>
      </c>
      <c r="G5507" s="9" t="s">
        <v>5090</v>
      </c>
      <c r="H5507" s="9" t="s">
        <v>17269</v>
      </c>
      <c r="I5507" s="9" t="s">
        <v>10175</v>
      </c>
      <c r="J5507" s="9" t="s">
        <v>10176</v>
      </c>
      <c r="K5507" s="5" t="s">
        <v>15173</v>
      </c>
      <c r="L5507" s="13">
        <v>16843</v>
      </c>
      <c r="M5507" t="str">
        <f>VLOOKUP(L5507,[1]DevMouse!$B$2:$C$2693,2,FALSE)</f>
        <v>isADL</v>
      </c>
    </row>
    <row r="5508" spans="2:13" x14ac:dyDescent="0.25">
      <c r="B5508" s="31" t="s">
        <v>26303</v>
      </c>
      <c r="C5508" s="25" t="s">
        <v>3562</v>
      </c>
      <c r="D5508" s="25" t="s">
        <v>26232</v>
      </c>
      <c r="E5508" s="25"/>
      <c r="F5508" s="9" t="str">
        <f t="shared" si="79"/>
        <v>structure with developmental contribution from neural crest</v>
      </c>
      <c r="G5508" s="9" t="s">
        <v>5090</v>
      </c>
      <c r="H5508" s="9" t="s">
        <v>17275</v>
      </c>
      <c r="I5508" s="9" t="s">
        <v>3560</v>
      </c>
      <c r="J5508" s="9" t="s">
        <v>3561</v>
      </c>
      <c r="K5508" s="5" t="s">
        <v>15173</v>
      </c>
      <c r="L5508" s="13">
        <v>16844</v>
      </c>
      <c r="M5508" t="str">
        <f>VLOOKUP(L5508,[1]DevMouse!$B$2:$C$2693,2,FALSE)</f>
        <v>PBC</v>
      </c>
    </row>
    <row r="5509" spans="2:13" x14ac:dyDescent="0.25">
      <c r="B5509" s="36"/>
      <c r="C5509" s="20"/>
      <c r="D5509" s="25" t="s">
        <v>26232</v>
      </c>
      <c r="E5509" s="25"/>
      <c r="F5509" s="9" t="str">
        <f t="shared" si="79"/>
        <v>structure with developmental contribution from neural crest</v>
      </c>
      <c r="G5509" s="9" t="s">
        <v>5090</v>
      </c>
      <c r="H5509" s="9" t="s">
        <v>17276</v>
      </c>
      <c r="I5509" s="9" t="s">
        <v>10177</v>
      </c>
      <c r="J5509" s="9" t="s">
        <v>10178</v>
      </c>
      <c r="K5509" s="5" t="s">
        <v>15173</v>
      </c>
      <c r="L5509" s="13">
        <v>16845</v>
      </c>
      <c r="M5509" t="str">
        <f>VLOOKUP(L5509,[1]DevMouse!$B$2:$C$2693,2,FALSE)</f>
        <v>PBv</v>
      </c>
    </row>
    <row r="5510" spans="2:13" x14ac:dyDescent="0.25">
      <c r="B5510" s="31" t="s">
        <v>26303</v>
      </c>
      <c r="C5510" s="20"/>
      <c r="D5510" s="25" t="s">
        <v>26232</v>
      </c>
      <c r="E5510" s="20" t="s">
        <v>26300</v>
      </c>
      <c r="F5510" s="9" t="str">
        <f t="shared" si="79"/>
        <v>structure with developmental contribution from neural crest</v>
      </c>
      <c r="G5510" s="9" t="s">
        <v>5090</v>
      </c>
      <c r="H5510" s="9" t="s">
        <v>17277</v>
      </c>
      <c r="I5510" s="9" t="s">
        <v>10179</v>
      </c>
      <c r="J5510" s="9" t="s">
        <v>10180</v>
      </c>
      <c r="K5510" s="5" t="s">
        <v>15173</v>
      </c>
      <c r="L5510" s="13">
        <v>16846</v>
      </c>
      <c r="M5510" t="str">
        <f>VLOOKUP(L5510,[1]DevMouse!$B$2:$C$2693,2,FALSE)</f>
        <v>PBm</v>
      </c>
    </row>
    <row r="5511" spans="2:13" x14ac:dyDescent="0.25">
      <c r="B5511" s="36"/>
      <c r="C5511" s="20"/>
      <c r="D5511" s="25" t="s">
        <v>26232</v>
      </c>
      <c r="E5511" s="20" t="s">
        <v>26300</v>
      </c>
      <c r="F5511" s="9" t="str">
        <f t="shared" si="79"/>
        <v>structure with developmental contribution from neural crest</v>
      </c>
      <c r="G5511" s="9" t="s">
        <v>5090</v>
      </c>
      <c r="H5511" s="9" t="s">
        <v>17278</v>
      </c>
      <c r="I5511" s="9" t="s">
        <v>10181</v>
      </c>
      <c r="J5511" s="9" t="s">
        <v>10182</v>
      </c>
      <c r="K5511" s="5" t="s">
        <v>15173</v>
      </c>
      <c r="L5511" s="13">
        <v>16847</v>
      </c>
      <c r="M5511" t="str">
        <f>VLOOKUP(L5511,[1]DevMouse!$B$2:$C$2693,2,FALSE)</f>
        <v>PBp</v>
      </c>
    </row>
    <row r="5512" spans="2:13" x14ac:dyDescent="0.25">
      <c r="B5512" s="31" t="s">
        <v>26303</v>
      </c>
      <c r="C5512" s="25" t="s">
        <v>942</v>
      </c>
      <c r="D5512" s="25" t="s">
        <v>26232</v>
      </c>
      <c r="E5512" s="25"/>
      <c r="F5512" s="9" t="str">
        <f t="shared" si="79"/>
        <v>structure with developmental contribution from neural crest</v>
      </c>
      <c r="G5512" s="9" t="s">
        <v>5090</v>
      </c>
      <c r="H5512" s="9" t="s">
        <v>17279</v>
      </c>
      <c r="I5512" s="9" t="s">
        <v>10183</v>
      </c>
      <c r="J5512" s="9" t="s">
        <v>10184</v>
      </c>
      <c r="K5512" s="5" t="s">
        <v>15173</v>
      </c>
      <c r="L5512" s="13">
        <v>16848</v>
      </c>
      <c r="M5512" t="str">
        <f>VLOOKUP(L5512,[1]DevMouse!$B$2:$C$2693,2,FALSE)</f>
        <v>PB-PAG</v>
      </c>
    </row>
    <row r="5513" spans="2:13" x14ac:dyDescent="0.25">
      <c r="B5513" s="36"/>
      <c r="C5513" s="20"/>
      <c r="D5513" s="25" t="s">
        <v>26232</v>
      </c>
      <c r="E5513" s="25"/>
      <c r="F5513" s="9" t="str">
        <f t="shared" si="79"/>
        <v>structure with developmental contribution from neural crest</v>
      </c>
      <c r="G5513" s="9" t="s">
        <v>5090</v>
      </c>
      <c r="H5513" s="9" t="s">
        <v>17280</v>
      </c>
      <c r="I5513" s="9" t="s">
        <v>10185</v>
      </c>
      <c r="J5513" s="9" t="s">
        <v>10186</v>
      </c>
      <c r="K5513" s="5" t="s">
        <v>15173</v>
      </c>
      <c r="L5513" s="13">
        <v>16849</v>
      </c>
      <c r="M5513" t="str">
        <f>VLOOKUP(L5513,[1]DevMouse!$B$2:$C$2693,2,FALSE)</f>
        <v>PBi</v>
      </c>
    </row>
    <row r="5514" spans="2:13" x14ac:dyDescent="0.25">
      <c r="B5514" s="36"/>
      <c r="C5514" s="20"/>
      <c r="D5514" s="25" t="s">
        <v>26232</v>
      </c>
      <c r="E5514" s="25"/>
      <c r="F5514" s="9" t="str">
        <f t="shared" si="79"/>
        <v>structure with developmental contribution from neural crest</v>
      </c>
      <c r="G5514" s="9" t="s">
        <v>5090</v>
      </c>
      <c r="H5514" s="9" t="s">
        <v>17282</v>
      </c>
      <c r="I5514" s="9" t="s">
        <v>10187</v>
      </c>
      <c r="J5514" s="9" t="s">
        <v>10188</v>
      </c>
      <c r="K5514" s="5" t="s">
        <v>15173</v>
      </c>
      <c r="L5514" s="13">
        <v>16851</v>
      </c>
      <c r="M5514" t="str">
        <f>VLOOKUP(L5514,[1]DevMouse!$B$2:$C$2693,2,FALSE)</f>
        <v>PBs</v>
      </c>
    </row>
    <row r="5515" spans="2:13" x14ac:dyDescent="0.25">
      <c r="B5515" s="31" t="s">
        <v>26303</v>
      </c>
      <c r="C5515" s="20"/>
      <c r="D5515" s="25" t="s">
        <v>26232</v>
      </c>
      <c r="E5515" s="25" t="s">
        <v>26300</v>
      </c>
      <c r="F5515" s="9" t="str">
        <f t="shared" si="79"/>
        <v>structure with developmental contribution from neural crest</v>
      </c>
      <c r="G5515" s="9" t="s">
        <v>5090</v>
      </c>
      <c r="H5515" s="9" t="s">
        <v>17285</v>
      </c>
      <c r="I5515" s="9" t="s">
        <v>10189</v>
      </c>
      <c r="J5515" s="9" t="s">
        <v>10190</v>
      </c>
      <c r="K5515" s="5" t="s">
        <v>15173</v>
      </c>
      <c r="L5515" s="13">
        <v>16854</v>
      </c>
      <c r="M5515" t="str">
        <f>VLOOKUP(L5515,[1]DevMouse!$B$2:$C$2693,2,FALSE)</f>
        <v>Ist</v>
      </c>
    </row>
    <row r="5516" spans="2:13" x14ac:dyDescent="0.25">
      <c r="B5516" s="36"/>
      <c r="C5516" s="20"/>
      <c r="D5516" s="25" t="s">
        <v>26232</v>
      </c>
      <c r="E5516" s="25"/>
      <c r="F5516" s="9" t="str">
        <f t="shared" si="79"/>
        <v>structure with developmental contribution from neural crest</v>
      </c>
      <c r="G5516" s="9" t="s">
        <v>5090</v>
      </c>
      <c r="H5516" s="9" t="s">
        <v>17286</v>
      </c>
      <c r="I5516" s="9" t="s">
        <v>10191</v>
      </c>
      <c r="J5516" s="9" t="s">
        <v>10192</v>
      </c>
      <c r="K5516" s="5" t="s">
        <v>15173</v>
      </c>
      <c r="L5516" s="13">
        <v>16855</v>
      </c>
      <c r="M5516" t="str">
        <f>VLOOKUP(L5516,[1]DevMouse!$B$2:$C$2693,2,FALSE)</f>
        <v>Istv</v>
      </c>
    </row>
    <row r="5517" spans="2:13" x14ac:dyDescent="0.25">
      <c r="B5517" s="31" t="s">
        <v>26303</v>
      </c>
      <c r="C5517" s="20"/>
      <c r="D5517" s="25" t="s">
        <v>26232</v>
      </c>
      <c r="E5517" s="20" t="s">
        <v>26300</v>
      </c>
      <c r="F5517" s="9" t="str">
        <f t="shared" si="79"/>
        <v>structure with developmental contribution from neural crest</v>
      </c>
      <c r="G5517" s="9" t="s">
        <v>5090</v>
      </c>
      <c r="H5517" s="9" t="s">
        <v>17287</v>
      </c>
      <c r="I5517" s="9" t="s">
        <v>10193</v>
      </c>
      <c r="J5517" s="9" t="s">
        <v>10194</v>
      </c>
      <c r="K5517" s="5" t="s">
        <v>15173</v>
      </c>
      <c r="L5517" s="13">
        <v>16856</v>
      </c>
      <c r="M5517" t="str">
        <f>VLOOKUP(L5517,[1]DevMouse!$B$2:$C$2693,2,FALSE)</f>
        <v>Istm</v>
      </c>
    </row>
    <row r="5518" spans="2:13" x14ac:dyDescent="0.25">
      <c r="B5518" s="36"/>
      <c r="C5518" s="20"/>
      <c r="D5518" s="25" t="s">
        <v>26232</v>
      </c>
      <c r="E5518" s="20" t="s">
        <v>26300</v>
      </c>
      <c r="F5518" s="9" t="str">
        <f t="shared" si="79"/>
        <v>structure with developmental contribution from neural crest</v>
      </c>
      <c r="G5518" s="9" t="s">
        <v>5090</v>
      </c>
      <c r="H5518" s="9" t="s">
        <v>17288</v>
      </c>
      <c r="I5518" s="9" t="s">
        <v>10195</v>
      </c>
      <c r="J5518" s="9" t="s">
        <v>10196</v>
      </c>
      <c r="K5518" s="5" t="s">
        <v>15173</v>
      </c>
      <c r="L5518" s="13">
        <v>16857</v>
      </c>
      <c r="M5518" t="str">
        <f>VLOOKUP(L5518,[1]DevMouse!$B$2:$C$2693,2,FALSE)</f>
        <v>Istp</v>
      </c>
    </row>
    <row r="5519" spans="2:13" x14ac:dyDescent="0.25">
      <c r="B5519" s="31" t="s">
        <v>26303</v>
      </c>
      <c r="C5519" s="25" t="s">
        <v>942</v>
      </c>
      <c r="D5519" s="25" t="s">
        <v>26232</v>
      </c>
      <c r="E5519" s="25"/>
      <c r="F5519" s="9" t="str">
        <f t="shared" si="79"/>
        <v>structure with developmental contribution from neural crest</v>
      </c>
      <c r="G5519" s="9" t="s">
        <v>5090</v>
      </c>
      <c r="H5519" s="9" t="s">
        <v>17289</v>
      </c>
      <c r="I5519" s="9" t="s">
        <v>10197</v>
      </c>
      <c r="J5519" s="9" t="s">
        <v>10198</v>
      </c>
      <c r="K5519" s="5" t="s">
        <v>15173</v>
      </c>
      <c r="L5519" s="13">
        <v>16858</v>
      </c>
      <c r="M5519" t="str">
        <f>VLOOKUP(L5519,[1]DevMouse!$B$2:$C$2693,2,FALSE)</f>
        <v>Ist-PAG</v>
      </c>
    </row>
    <row r="5520" spans="2:13" x14ac:dyDescent="0.25">
      <c r="B5520" s="36"/>
      <c r="C5520" s="20"/>
      <c r="D5520" s="25" t="s">
        <v>26232</v>
      </c>
      <c r="E5520" s="25"/>
      <c r="F5520" s="9" t="str">
        <f t="shared" si="79"/>
        <v>structure with developmental contribution from neural crest</v>
      </c>
      <c r="G5520" s="9" t="s">
        <v>5090</v>
      </c>
      <c r="H5520" s="9" t="s">
        <v>17290</v>
      </c>
      <c r="I5520" s="9" t="s">
        <v>10199</v>
      </c>
      <c r="J5520" s="9" t="s">
        <v>10200</v>
      </c>
      <c r="K5520" s="5" t="s">
        <v>15173</v>
      </c>
      <c r="L5520" s="13">
        <v>16859</v>
      </c>
      <c r="M5520" t="str">
        <f>VLOOKUP(L5520,[1]DevMouse!$B$2:$C$2693,2,FALSE)</f>
        <v>Isti</v>
      </c>
    </row>
    <row r="5521" spans="2:13" x14ac:dyDescent="0.25">
      <c r="B5521" s="36"/>
      <c r="C5521" s="20"/>
      <c r="D5521" s="25" t="s">
        <v>26232</v>
      </c>
      <c r="E5521" s="25"/>
      <c r="F5521" s="9" t="str">
        <f t="shared" si="79"/>
        <v>structure with developmental contribution from neural crest</v>
      </c>
      <c r="G5521" s="9" t="s">
        <v>5090</v>
      </c>
      <c r="H5521" s="9" t="s">
        <v>17292</v>
      </c>
      <c r="I5521" s="9" t="s">
        <v>10201</v>
      </c>
      <c r="J5521" s="9" t="s">
        <v>10202</v>
      </c>
      <c r="K5521" s="5" t="s">
        <v>15173</v>
      </c>
      <c r="L5521" s="13">
        <v>16861</v>
      </c>
      <c r="M5521" t="str">
        <f>VLOOKUP(L5521,[1]DevMouse!$B$2:$C$2693,2,FALSE)</f>
        <v>Ists</v>
      </c>
    </row>
    <row r="5522" spans="2:13" x14ac:dyDescent="0.25">
      <c r="B5522" s="31" t="s">
        <v>26303</v>
      </c>
      <c r="C5522" s="25" t="s">
        <v>716</v>
      </c>
      <c r="D5522" s="25" t="s">
        <v>26232</v>
      </c>
      <c r="E5522" s="25"/>
      <c r="F5522" s="9" t="str">
        <f t="shared" si="79"/>
        <v>structure with developmental contribution from neural crest</v>
      </c>
      <c r="G5522" s="9" t="s">
        <v>5090</v>
      </c>
      <c r="H5522" s="9" t="s">
        <v>17293</v>
      </c>
      <c r="I5522" s="9" t="s">
        <v>716</v>
      </c>
      <c r="J5522" s="9" t="s">
        <v>717</v>
      </c>
      <c r="K5522" s="5" t="s">
        <v>15173</v>
      </c>
      <c r="L5522" s="13">
        <v>16862</v>
      </c>
      <c r="M5522" t="str">
        <f>VLOOKUP(L5522,[1]DevMouse!$B$2:$C$2693,2,FALSE)</f>
        <v>PBG</v>
      </c>
    </row>
    <row r="5523" spans="2:13" x14ac:dyDescent="0.25">
      <c r="B5523" s="36"/>
      <c r="C5523" s="20"/>
      <c r="D5523" s="25" t="s">
        <v>26232</v>
      </c>
      <c r="E5523" s="25"/>
      <c r="F5523" s="9" t="str">
        <f t="shared" si="79"/>
        <v>structure with developmental contribution from neural crest</v>
      </c>
      <c r="G5523" s="9" t="s">
        <v>5090</v>
      </c>
      <c r="H5523" s="9" t="s">
        <v>17294</v>
      </c>
      <c r="I5523" s="9" t="s">
        <v>10203</v>
      </c>
      <c r="J5523" s="9" t="s">
        <v>10204</v>
      </c>
      <c r="K5523" s="5" t="s">
        <v>15173</v>
      </c>
      <c r="L5523" s="13">
        <v>16863</v>
      </c>
      <c r="M5523" t="str">
        <f>VLOOKUP(L5523,[1]DevMouse!$B$2:$C$2693,2,FALSE)</f>
        <v>PeLA</v>
      </c>
    </row>
    <row r="5524" spans="2:13" x14ac:dyDescent="0.25">
      <c r="B5524" s="36"/>
      <c r="C5524" s="20"/>
      <c r="D5524" s="25" t="s">
        <v>26232</v>
      </c>
      <c r="E5524" s="25"/>
      <c r="F5524" s="9" t="str">
        <f t="shared" si="79"/>
        <v>structure with developmental contribution from neural crest</v>
      </c>
      <c r="G5524" s="9" t="s">
        <v>5090</v>
      </c>
      <c r="H5524" s="9" t="s">
        <v>17295</v>
      </c>
      <c r="I5524" s="9" t="s">
        <v>10205</v>
      </c>
      <c r="J5524" s="9" t="s">
        <v>10206</v>
      </c>
      <c r="K5524" s="5" t="s">
        <v>15173</v>
      </c>
      <c r="L5524" s="13">
        <v>16864</v>
      </c>
      <c r="M5524" t="str">
        <f>VLOOKUP(L5524,[1]DevMouse!$B$2:$C$2693,2,FALSE)</f>
        <v>isAVL</v>
      </c>
    </row>
    <row r="5525" spans="2:13" x14ac:dyDescent="0.25">
      <c r="B5525" s="31" t="s">
        <v>26303</v>
      </c>
      <c r="C5525" s="20"/>
      <c r="D5525" s="25" t="s">
        <v>26232</v>
      </c>
      <c r="E5525" s="25" t="s">
        <v>26300</v>
      </c>
      <c r="F5525" s="9" t="str">
        <f t="shared" si="79"/>
        <v>structure with developmental contribution from neural crest</v>
      </c>
      <c r="G5525" s="9" t="s">
        <v>5090</v>
      </c>
      <c r="H5525" s="9" t="s">
        <v>17296</v>
      </c>
      <c r="I5525" s="9" t="s">
        <v>10207</v>
      </c>
      <c r="J5525" s="9" t="s">
        <v>10208</v>
      </c>
      <c r="K5525" s="5" t="s">
        <v>15173</v>
      </c>
      <c r="L5525" s="13">
        <v>16865</v>
      </c>
      <c r="M5525" t="str">
        <f>VLOOKUP(L5525,[1]DevMouse!$B$2:$C$2693,2,FALSE)</f>
        <v>isLim</v>
      </c>
    </row>
    <row r="5526" spans="2:13" x14ac:dyDescent="0.25">
      <c r="B5526" s="36"/>
      <c r="C5526" s="20"/>
      <c r="D5526" s="25" t="s">
        <v>26232</v>
      </c>
      <c r="E5526" s="25"/>
      <c r="F5526" s="9" t="str">
        <f t="shared" si="79"/>
        <v>structure with developmental contribution from neural crest</v>
      </c>
      <c r="G5526" s="9" t="s">
        <v>5090</v>
      </c>
      <c r="H5526" s="9" t="s">
        <v>17297</v>
      </c>
      <c r="I5526" s="9" t="s">
        <v>10209</v>
      </c>
      <c r="J5526" s="9" t="s">
        <v>10210</v>
      </c>
      <c r="K5526" s="5" t="s">
        <v>15173</v>
      </c>
      <c r="L5526" s="13">
        <v>16866</v>
      </c>
      <c r="M5526" t="str">
        <f>VLOOKUP(L5526,[1]DevMouse!$B$2:$C$2693,2,FALSE)</f>
        <v>isLimv</v>
      </c>
    </row>
    <row r="5527" spans="2:13" x14ac:dyDescent="0.25">
      <c r="B5527" s="31" t="s">
        <v>26303</v>
      </c>
      <c r="C5527" s="20"/>
      <c r="D5527" s="25" t="s">
        <v>26232</v>
      </c>
      <c r="E5527" s="20" t="s">
        <v>26300</v>
      </c>
      <c r="F5527" s="9" t="str">
        <f t="shared" si="79"/>
        <v>structure with developmental contribution from neural crest</v>
      </c>
      <c r="G5527" s="9" t="s">
        <v>5090</v>
      </c>
      <c r="H5527" s="9" t="s">
        <v>17298</v>
      </c>
      <c r="I5527" s="9" t="s">
        <v>10211</v>
      </c>
      <c r="J5527" s="9" t="s">
        <v>10212</v>
      </c>
      <c r="K5527" s="5" t="s">
        <v>15173</v>
      </c>
      <c r="L5527" s="13">
        <v>16867</v>
      </c>
      <c r="M5527" t="str">
        <f>VLOOKUP(L5527,[1]DevMouse!$B$2:$C$2693,2,FALSE)</f>
        <v>isLimm</v>
      </c>
    </row>
    <row r="5528" spans="2:13" x14ac:dyDescent="0.25">
      <c r="B5528" s="36"/>
      <c r="C5528" s="20"/>
      <c r="D5528" s="25" t="s">
        <v>26232</v>
      </c>
      <c r="E5528" s="20" t="s">
        <v>26300</v>
      </c>
      <c r="F5528" s="9" t="str">
        <f t="shared" si="79"/>
        <v>structure with developmental contribution from neural crest</v>
      </c>
      <c r="G5528" s="9" t="s">
        <v>5090</v>
      </c>
      <c r="H5528" s="9" t="s">
        <v>17299</v>
      </c>
      <c r="I5528" s="9" t="s">
        <v>10213</v>
      </c>
      <c r="J5528" s="9" t="s">
        <v>10214</v>
      </c>
      <c r="K5528" s="5" t="s">
        <v>15173</v>
      </c>
      <c r="L5528" s="13">
        <v>16868</v>
      </c>
      <c r="M5528" t="str">
        <f>VLOOKUP(L5528,[1]DevMouse!$B$2:$C$2693,2,FALSE)</f>
        <v>isLimp</v>
      </c>
    </row>
    <row r="5529" spans="2:13" x14ac:dyDescent="0.25">
      <c r="B5529" s="31" t="s">
        <v>26303</v>
      </c>
      <c r="C5529" s="25" t="s">
        <v>942</v>
      </c>
      <c r="D5529" s="25" t="s">
        <v>26232</v>
      </c>
      <c r="E5529" s="25"/>
      <c r="F5529" s="9" t="str">
        <f t="shared" si="79"/>
        <v>structure with developmental contribution from neural crest</v>
      </c>
      <c r="G5529" s="9" t="s">
        <v>5090</v>
      </c>
      <c r="H5529" s="9" t="s">
        <v>17300</v>
      </c>
      <c r="I5529" s="9" t="s">
        <v>10215</v>
      </c>
      <c r="J5529" s="9" t="s">
        <v>10216</v>
      </c>
      <c r="K5529" s="5" t="s">
        <v>15173</v>
      </c>
      <c r="L5529" s="13">
        <v>16869</v>
      </c>
      <c r="M5529" t="str">
        <f>VLOOKUP(L5529,[1]DevMouse!$B$2:$C$2693,2,FALSE)</f>
        <v>isLim-PAG</v>
      </c>
    </row>
    <row r="5530" spans="2:13" x14ac:dyDescent="0.25">
      <c r="B5530" s="31" t="s">
        <v>26303</v>
      </c>
      <c r="C5530" s="25" t="s">
        <v>26036</v>
      </c>
      <c r="D5530" s="25" t="s">
        <v>26232</v>
      </c>
      <c r="E5530" s="25"/>
      <c r="F5530" s="9" t="str">
        <f t="shared" si="79"/>
        <v>structure with developmental contribution from neural crest</v>
      </c>
      <c r="G5530" s="9" t="s">
        <v>5090</v>
      </c>
      <c r="H5530" s="9" t="s">
        <v>17301</v>
      </c>
      <c r="I5530" s="9" t="s">
        <v>10217</v>
      </c>
      <c r="J5530" s="9" t="s">
        <v>10218</v>
      </c>
      <c r="K5530" s="5" t="s">
        <v>15173</v>
      </c>
      <c r="L5530" s="13">
        <v>16870</v>
      </c>
      <c r="M5530" t="str">
        <f>VLOOKUP(L5530,[1]DevMouse!$B$2:$C$2693,2,FALSE)</f>
        <v>isMes5</v>
      </c>
    </row>
    <row r="5531" spans="2:13" x14ac:dyDescent="0.25">
      <c r="B5531" s="36"/>
      <c r="C5531" s="20"/>
      <c r="D5531" s="25" t="s">
        <v>26232</v>
      </c>
      <c r="E5531" s="25"/>
      <c r="F5531" s="9" t="str">
        <f t="shared" si="79"/>
        <v>structure with developmental contribution from neural crest</v>
      </c>
      <c r="G5531" s="9" t="s">
        <v>5090</v>
      </c>
      <c r="H5531" s="9" t="s">
        <v>17302</v>
      </c>
      <c r="I5531" s="9" t="s">
        <v>10219</v>
      </c>
      <c r="J5531" s="9" t="s">
        <v>10220</v>
      </c>
      <c r="K5531" s="5" t="s">
        <v>15173</v>
      </c>
      <c r="L5531" s="13">
        <v>16871</v>
      </c>
      <c r="M5531" t="str">
        <f>VLOOKUP(L5531,[1]DevMouse!$B$2:$C$2693,2,FALSE)</f>
        <v>isLimi</v>
      </c>
    </row>
    <row r="5532" spans="2:13" x14ac:dyDescent="0.25">
      <c r="B5532" s="36"/>
      <c r="C5532" s="20"/>
      <c r="D5532" s="25" t="s">
        <v>26232</v>
      </c>
      <c r="E5532" s="25"/>
      <c r="F5532" s="9" t="str">
        <f t="shared" si="79"/>
        <v>structure with developmental contribution from neural crest</v>
      </c>
      <c r="G5532" s="9" t="s">
        <v>5090</v>
      </c>
      <c r="H5532" s="9" t="s">
        <v>17303</v>
      </c>
      <c r="I5532" s="9" t="s">
        <v>10221</v>
      </c>
      <c r="J5532" s="9" t="s">
        <v>10222</v>
      </c>
      <c r="K5532" s="5" t="s">
        <v>15173</v>
      </c>
      <c r="L5532" s="13">
        <v>16872</v>
      </c>
      <c r="M5532" t="str">
        <f>VLOOKUP(L5532,[1]DevMouse!$B$2:$C$2693,2,FALSE)</f>
        <v>MiTg</v>
      </c>
    </row>
    <row r="5533" spans="2:13" x14ac:dyDescent="0.25">
      <c r="B5533" s="36"/>
      <c r="C5533" s="20"/>
      <c r="D5533" s="25" t="s">
        <v>26232</v>
      </c>
      <c r="E5533" s="25"/>
      <c r="F5533" s="9" t="str">
        <f t="shared" si="79"/>
        <v>structure with developmental contribution from neural crest</v>
      </c>
      <c r="G5533" s="9" t="s">
        <v>5090</v>
      </c>
      <c r="H5533" s="9" t="s">
        <v>17304</v>
      </c>
      <c r="I5533" s="9" t="s">
        <v>10223</v>
      </c>
      <c r="J5533" s="9" t="s">
        <v>10224</v>
      </c>
      <c r="K5533" s="5" t="s">
        <v>15173</v>
      </c>
      <c r="L5533" s="13">
        <v>16873</v>
      </c>
      <c r="M5533" t="str">
        <f>VLOOKUP(L5533,[1]DevMouse!$B$2:$C$2693,2,FALSE)</f>
        <v>isLimRt</v>
      </c>
    </row>
    <row r="5534" spans="2:13" x14ac:dyDescent="0.25">
      <c r="B5534" s="36"/>
      <c r="C5534" s="20"/>
      <c r="D5534" s="25" t="s">
        <v>26232</v>
      </c>
      <c r="E5534" s="25"/>
      <c r="F5534" s="9" t="str">
        <f t="shared" si="79"/>
        <v>structure with developmental contribution from neural crest</v>
      </c>
      <c r="G5534" s="9" t="s">
        <v>5090</v>
      </c>
      <c r="H5534" s="9" t="s">
        <v>17305</v>
      </c>
      <c r="I5534" s="9" t="s">
        <v>10225</v>
      </c>
      <c r="J5534" s="9" t="s">
        <v>10226</v>
      </c>
      <c r="K5534" s="5" t="s">
        <v>15173</v>
      </c>
      <c r="L5534" s="13">
        <v>16874</v>
      </c>
      <c r="M5534" t="str">
        <f>VLOOKUP(L5534,[1]DevMouse!$B$2:$C$2693,2,FALSE)</f>
        <v>isLims</v>
      </c>
    </row>
    <row r="5535" spans="2:13" x14ac:dyDescent="0.25">
      <c r="B5535" s="31" t="s">
        <v>26303</v>
      </c>
      <c r="C5535" s="20"/>
      <c r="D5535" s="25" t="s">
        <v>26185</v>
      </c>
      <c r="E5535" s="25" t="s">
        <v>26300</v>
      </c>
      <c r="F5535" s="9" t="str">
        <f t="shared" si="79"/>
        <v>structure with developmental contribution from neural crest</v>
      </c>
      <c r="G5535" s="9" t="s">
        <v>5090</v>
      </c>
      <c r="H5535" s="9" t="s">
        <v>17306</v>
      </c>
      <c r="I5535" s="9" t="s">
        <v>10227</v>
      </c>
      <c r="J5535" s="9" t="s">
        <v>10228</v>
      </c>
      <c r="K5535" s="5" t="s">
        <v>15173</v>
      </c>
      <c r="L5535" s="13">
        <v>16875</v>
      </c>
      <c r="M5535" t="str">
        <f>VLOOKUP(L5535,[1]DevMouse!$B$2:$C$2693,2,FALSE)</f>
        <v>isILL</v>
      </c>
    </row>
    <row r="5536" spans="2:13" x14ac:dyDescent="0.25">
      <c r="B5536" s="36"/>
      <c r="C5536" s="20"/>
      <c r="D5536" s="25" t="s">
        <v>26232</v>
      </c>
      <c r="E5536" s="25"/>
      <c r="F5536" s="9" t="str">
        <f t="shared" si="79"/>
        <v>structure with developmental contribution from neural crest</v>
      </c>
      <c r="G5536" s="9" t="s">
        <v>5090</v>
      </c>
      <c r="H5536" s="9" t="s">
        <v>17308</v>
      </c>
      <c r="I5536" s="9" t="s">
        <v>10229</v>
      </c>
      <c r="J5536" s="9" t="s">
        <v>10230</v>
      </c>
      <c r="K5536" s="5" t="s">
        <v>15173</v>
      </c>
      <c r="L5536" s="13">
        <v>16876</v>
      </c>
      <c r="M5536" t="str">
        <f>VLOOKUP(L5536,[1]DevMouse!$B$2:$C$2693,2,FALSE)</f>
        <v>isB</v>
      </c>
    </row>
    <row r="5537" spans="2:13" x14ac:dyDescent="0.25">
      <c r="B5537" s="36"/>
      <c r="C5537" s="20"/>
      <c r="D5537" s="25" t="s">
        <v>26232</v>
      </c>
      <c r="E5537" s="25"/>
      <c r="F5537" s="9" t="str">
        <f t="shared" si="79"/>
        <v>structure with developmental contribution from neural crest</v>
      </c>
      <c r="G5537" s="9" t="s">
        <v>5090</v>
      </c>
      <c r="H5537" s="9" t="s">
        <v>17311</v>
      </c>
      <c r="I5537" s="9" t="s">
        <v>10231</v>
      </c>
      <c r="J5537" s="9" t="s">
        <v>10232</v>
      </c>
      <c r="K5537" s="5" t="s">
        <v>15173</v>
      </c>
      <c r="L5537" s="13">
        <v>16877</v>
      </c>
      <c r="M5537" t="str">
        <f>VLOOKUP(L5537,[1]DevMouse!$B$2:$C$2693,2,FALSE)</f>
        <v>isBL</v>
      </c>
    </row>
    <row r="5538" spans="2:13" x14ac:dyDescent="0.25">
      <c r="B5538" s="36"/>
      <c r="C5538" s="20"/>
      <c r="D5538" s="25" t="s">
        <v>26232</v>
      </c>
      <c r="E5538" s="25"/>
      <c r="F5538" s="9" t="str">
        <f t="shared" si="79"/>
        <v>structure with developmental contribution from neural crest</v>
      </c>
      <c r="G5538" s="9" t="s">
        <v>5090</v>
      </c>
      <c r="H5538" s="9" t="s">
        <v>17312</v>
      </c>
      <c r="I5538" s="9" t="s">
        <v>10233</v>
      </c>
      <c r="J5538" s="9" t="s">
        <v>10234</v>
      </c>
      <c r="K5538" s="5" t="s">
        <v>15173</v>
      </c>
      <c r="L5538" s="13">
        <v>16878</v>
      </c>
      <c r="M5538" t="str">
        <f>VLOOKUP(L5538,[1]DevMouse!$B$2:$C$2693,2,FALSE)</f>
        <v>isBLv</v>
      </c>
    </row>
    <row r="5539" spans="2:13" x14ac:dyDescent="0.25">
      <c r="B5539" s="31" t="s">
        <v>26303</v>
      </c>
      <c r="C5539" s="20"/>
      <c r="D5539" s="25" t="s">
        <v>26232</v>
      </c>
      <c r="E5539" s="20" t="s">
        <v>26300</v>
      </c>
      <c r="F5539" s="9" t="str">
        <f t="shared" si="79"/>
        <v>structure with developmental contribution from neural crest</v>
      </c>
      <c r="G5539" s="9" t="s">
        <v>5090</v>
      </c>
      <c r="H5539" s="9" t="s">
        <v>17313</v>
      </c>
      <c r="I5539" s="9" t="s">
        <v>10235</v>
      </c>
      <c r="J5539" s="9" t="s">
        <v>10236</v>
      </c>
      <c r="K5539" s="5" t="s">
        <v>15173</v>
      </c>
      <c r="L5539" s="13">
        <v>16879</v>
      </c>
      <c r="M5539" t="str">
        <f>VLOOKUP(L5539,[1]DevMouse!$B$2:$C$2693,2,FALSE)</f>
        <v>isBLm</v>
      </c>
    </row>
    <row r="5540" spans="2:13" x14ac:dyDescent="0.25">
      <c r="B5540" s="36"/>
      <c r="C5540" s="20"/>
      <c r="D5540" s="25" t="s">
        <v>26232</v>
      </c>
      <c r="E5540" s="20" t="s">
        <v>26300</v>
      </c>
      <c r="F5540" s="9" t="str">
        <f t="shared" si="79"/>
        <v>structure with developmental contribution from neural crest</v>
      </c>
      <c r="G5540" s="9" t="s">
        <v>5090</v>
      </c>
      <c r="H5540" s="9" t="s">
        <v>17314</v>
      </c>
      <c r="I5540" s="9" t="s">
        <v>10237</v>
      </c>
      <c r="J5540" s="9" t="s">
        <v>10238</v>
      </c>
      <c r="K5540" s="5" t="s">
        <v>15173</v>
      </c>
      <c r="L5540" s="13">
        <v>16880</v>
      </c>
      <c r="M5540" t="str">
        <f>VLOOKUP(L5540,[1]DevMouse!$B$2:$C$2693,2,FALSE)</f>
        <v>isBLp</v>
      </c>
    </row>
    <row r="5541" spans="2:13" x14ac:dyDescent="0.25">
      <c r="B5541" s="36"/>
      <c r="C5541" s="25" t="s">
        <v>1598</v>
      </c>
      <c r="D5541" s="25" t="s">
        <v>26232</v>
      </c>
      <c r="E5541" s="25"/>
      <c r="F5541" s="9" t="str">
        <f t="shared" si="79"/>
        <v>structure with developmental contribution from neural crest</v>
      </c>
      <c r="G5541" s="9" t="s">
        <v>5090</v>
      </c>
      <c r="H5541" s="9" t="s">
        <v>17315</v>
      </c>
      <c r="I5541" s="9" t="s">
        <v>10239</v>
      </c>
      <c r="J5541" s="9" t="s">
        <v>10240</v>
      </c>
      <c r="K5541" s="5" t="s">
        <v>15173</v>
      </c>
      <c r="L5541" s="13">
        <v>16881</v>
      </c>
      <c r="M5541" t="str">
        <f>VLOOKUP(L5541,[1]DevMouse!$B$2:$C$2693,2,FALSE)</f>
        <v>isDRDL</v>
      </c>
    </row>
    <row r="5542" spans="2:13" x14ac:dyDescent="0.25">
      <c r="B5542" s="36"/>
      <c r="C5542" s="20"/>
      <c r="D5542" s="25" t="s">
        <v>26232</v>
      </c>
      <c r="E5542" s="25"/>
      <c r="F5542" s="9" t="str">
        <f t="shared" si="79"/>
        <v>structure with developmental contribution from neural crest</v>
      </c>
      <c r="G5542" s="9" t="s">
        <v>5090</v>
      </c>
      <c r="H5542" s="9" t="s">
        <v>17317</v>
      </c>
      <c r="I5542" s="9" t="s">
        <v>10241</v>
      </c>
      <c r="J5542" s="9" t="s">
        <v>10242</v>
      </c>
      <c r="K5542" s="5" t="s">
        <v>15173</v>
      </c>
      <c r="L5542" s="13">
        <v>16882</v>
      </c>
      <c r="M5542" t="str">
        <f>VLOOKUP(L5542,[1]DevMouse!$B$2:$C$2693,2,FALSE)</f>
        <v>isBLi</v>
      </c>
    </row>
    <row r="5543" spans="2:13" x14ac:dyDescent="0.25">
      <c r="B5543" s="36"/>
      <c r="C5543" s="20"/>
      <c r="D5543" s="25" t="s">
        <v>26232</v>
      </c>
      <c r="E5543" s="25"/>
      <c r="F5543" s="9" t="str">
        <f t="shared" si="79"/>
        <v>structure with developmental contribution from neural crest</v>
      </c>
      <c r="G5543" s="9" t="s">
        <v>5090</v>
      </c>
      <c r="H5543" s="9" t="s">
        <v>17318</v>
      </c>
      <c r="I5543" s="9" t="s">
        <v>10243</v>
      </c>
      <c r="J5543" s="9" t="s">
        <v>10244</v>
      </c>
      <c r="K5543" s="5" t="s">
        <v>15173</v>
      </c>
      <c r="L5543" s="13">
        <v>16883</v>
      </c>
      <c r="M5543" t="str">
        <f>VLOOKUP(L5543,[1]DevMouse!$B$2:$C$2693,2,FALSE)</f>
        <v>isBLRt</v>
      </c>
    </row>
    <row r="5544" spans="2:13" x14ac:dyDescent="0.25">
      <c r="B5544" s="31" t="s">
        <v>26303</v>
      </c>
      <c r="C5544" s="25" t="s">
        <v>26188</v>
      </c>
      <c r="D5544" s="25" t="s">
        <v>26232</v>
      </c>
      <c r="E5544" s="25"/>
      <c r="F5544" s="9" t="str">
        <f t="shared" si="79"/>
        <v>structure with developmental contribution from neural crest</v>
      </c>
      <c r="G5544" s="9" t="s">
        <v>5090</v>
      </c>
      <c r="H5544" s="9" t="s">
        <v>17319</v>
      </c>
      <c r="I5544" s="9" t="s">
        <v>4726</v>
      </c>
      <c r="J5544" s="9" t="s">
        <v>4728</v>
      </c>
      <c r="K5544" s="5" t="s">
        <v>15173</v>
      </c>
      <c r="L5544" s="13">
        <v>16884</v>
      </c>
      <c r="M5544" t="str">
        <f>VLOOKUP(L5544,[1]DevMouse!$B$2:$C$2693,2,FALSE)</f>
        <v>RRF</v>
      </c>
    </row>
    <row r="5545" spans="2:13" x14ac:dyDescent="0.25">
      <c r="B5545" s="36"/>
      <c r="C5545" s="20"/>
      <c r="D5545" s="25" t="s">
        <v>26232</v>
      </c>
      <c r="E5545" s="25"/>
      <c r="F5545" s="9" t="str">
        <f t="shared" si="79"/>
        <v>structure with developmental contribution from neural crest</v>
      </c>
      <c r="G5545" s="9" t="s">
        <v>5090</v>
      </c>
      <c r="H5545" s="9" t="s">
        <v>17320</v>
      </c>
      <c r="I5545" s="9" t="s">
        <v>10245</v>
      </c>
      <c r="J5545" s="9" t="s">
        <v>10246</v>
      </c>
      <c r="K5545" s="5" t="s">
        <v>15173</v>
      </c>
      <c r="L5545" s="13">
        <v>16885</v>
      </c>
      <c r="M5545" t="str">
        <f>VLOOKUP(L5545,[1]DevMouse!$B$2:$C$2693,2,FALSE)</f>
        <v>isBLs</v>
      </c>
    </row>
    <row r="5546" spans="2:13" x14ac:dyDescent="0.25">
      <c r="B5546" s="31" t="s">
        <v>26303</v>
      </c>
      <c r="C5546" s="20"/>
      <c r="D5546" s="25" t="s">
        <v>26232</v>
      </c>
      <c r="E5546" s="25" t="s">
        <v>26300</v>
      </c>
      <c r="F5546" s="9" t="str">
        <f t="shared" si="79"/>
        <v>structure with developmental contribution from neural crest</v>
      </c>
      <c r="G5546" s="9" t="s">
        <v>5090</v>
      </c>
      <c r="H5546" s="9" t="s">
        <v>17307</v>
      </c>
      <c r="I5546" s="9" t="s">
        <v>10247</v>
      </c>
      <c r="J5546" s="9" t="s">
        <v>10248</v>
      </c>
      <c r="K5546" s="5" t="s">
        <v>15173</v>
      </c>
      <c r="L5546" s="13">
        <v>16886</v>
      </c>
      <c r="M5546" t="str">
        <f>VLOOKUP(L5546,[1]DevMouse!$B$2:$C$2693,2,FALSE)</f>
        <v>isPaL</v>
      </c>
    </row>
    <row r="5547" spans="2:13" x14ac:dyDescent="0.25">
      <c r="B5547" s="36"/>
      <c r="C5547" s="20"/>
      <c r="D5547" s="25" t="s">
        <v>26232</v>
      </c>
      <c r="E5547" s="25"/>
      <c r="F5547" s="9" t="str">
        <f t="shared" si="79"/>
        <v>structure with developmental contribution from neural crest</v>
      </c>
      <c r="G5547" s="9" t="s">
        <v>5090</v>
      </c>
      <c r="H5547" s="9" t="s">
        <v>17321</v>
      </c>
      <c r="I5547" s="9" t="s">
        <v>10249</v>
      </c>
      <c r="J5547" s="9" t="s">
        <v>10250</v>
      </c>
      <c r="K5547" s="5" t="s">
        <v>15173</v>
      </c>
      <c r="L5547" s="13">
        <v>16887</v>
      </c>
      <c r="M5547" t="str">
        <f>VLOOKUP(L5547,[1]DevMouse!$B$2:$C$2693,2,FALSE)</f>
        <v>isBI</v>
      </c>
    </row>
    <row r="5548" spans="2:13" x14ac:dyDescent="0.25">
      <c r="B5548" s="36"/>
      <c r="C5548" s="20"/>
      <c r="D5548" s="25" t="s">
        <v>26232</v>
      </c>
      <c r="E5548" s="25"/>
      <c r="F5548" s="9" t="str">
        <f t="shared" si="79"/>
        <v>structure with developmental contribution from neural crest</v>
      </c>
      <c r="G5548" s="9" t="s">
        <v>5090</v>
      </c>
      <c r="H5548" s="9" t="s">
        <v>17322</v>
      </c>
      <c r="I5548" s="9" t="s">
        <v>10251</v>
      </c>
      <c r="J5548" s="9" t="s">
        <v>10252</v>
      </c>
      <c r="K5548" s="5" t="s">
        <v>15173</v>
      </c>
      <c r="L5548" s="13">
        <v>16888</v>
      </c>
      <c r="M5548" t="str">
        <f>VLOOKUP(L5548,[1]DevMouse!$B$2:$C$2693,2,FALSE)</f>
        <v>isBIv</v>
      </c>
    </row>
    <row r="5549" spans="2:13" x14ac:dyDescent="0.25">
      <c r="B5549" s="31" t="s">
        <v>26303</v>
      </c>
      <c r="C5549" s="20"/>
      <c r="D5549" s="25" t="s">
        <v>26232</v>
      </c>
      <c r="E5549" s="20" t="s">
        <v>26300</v>
      </c>
      <c r="F5549" s="9" t="str">
        <f t="shared" si="79"/>
        <v>structure with developmental contribution from neural crest</v>
      </c>
      <c r="G5549" s="9" t="s">
        <v>5090</v>
      </c>
      <c r="H5549" s="9" t="s">
        <v>17323</v>
      </c>
      <c r="I5549" s="9" t="s">
        <v>10253</v>
      </c>
      <c r="J5549" s="9" t="s">
        <v>10254</v>
      </c>
      <c r="K5549" s="5" t="s">
        <v>15173</v>
      </c>
      <c r="L5549" s="13">
        <v>16889</v>
      </c>
      <c r="M5549" t="str">
        <f>VLOOKUP(L5549,[1]DevMouse!$B$2:$C$2693,2,FALSE)</f>
        <v>isBIm</v>
      </c>
    </row>
    <row r="5550" spans="2:13" x14ac:dyDescent="0.25">
      <c r="B5550" s="36"/>
      <c r="C5550" s="20"/>
      <c r="D5550" s="25" t="s">
        <v>26232</v>
      </c>
      <c r="E5550" s="20" t="s">
        <v>26300</v>
      </c>
      <c r="F5550" s="9" t="str">
        <f t="shared" si="79"/>
        <v>structure with developmental contribution from neural crest</v>
      </c>
      <c r="G5550" s="9" t="s">
        <v>5090</v>
      </c>
      <c r="H5550" s="9" t="s">
        <v>17324</v>
      </c>
      <c r="I5550" s="9" t="s">
        <v>10255</v>
      </c>
      <c r="J5550" s="9" t="s">
        <v>10256</v>
      </c>
      <c r="K5550" s="5" t="s">
        <v>15173</v>
      </c>
      <c r="L5550" s="13">
        <v>16890</v>
      </c>
      <c r="M5550" t="str">
        <f>VLOOKUP(L5550,[1]DevMouse!$B$2:$C$2693,2,FALSE)</f>
        <v>isBIp</v>
      </c>
    </row>
    <row r="5551" spans="2:13" x14ac:dyDescent="0.25">
      <c r="B5551" s="31" t="s">
        <v>26303</v>
      </c>
      <c r="C5551" s="25" t="s">
        <v>1598</v>
      </c>
      <c r="D5551" s="25" t="s">
        <v>26232</v>
      </c>
      <c r="E5551" s="25"/>
      <c r="F5551" s="9" t="str">
        <f t="shared" si="79"/>
        <v>structure with developmental contribution from neural crest</v>
      </c>
      <c r="G5551" s="9" t="s">
        <v>5090</v>
      </c>
      <c r="H5551" s="9" t="s">
        <v>17325</v>
      </c>
      <c r="I5551" s="9" t="s">
        <v>10257</v>
      </c>
      <c r="J5551" s="9" t="s">
        <v>10258</v>
      </c>
      <c r="K5551" s="5" t="s">
        <v>15173</v>
      </c>
      <c r="L5551" s="13">
        <v>16891</v>
      </c>
      <c r="M5551" t="str">
        <f>VLOOKUP(L5551,[1]DevMouse!$B$2:$C$2693,2,FALSE)</f>
        <v>isDRI</v>
      </c>
    </row>
    <row r="5552" spans="2:13" x14ac:dyDescent="0.25">
      <c r="B5552" s="31" t="s">
        <v>26303</v>
      </c>
      <c r="C5552" s="20"/>
      <c r="D5552" s="25" t="s">
        <v>26185</v>
      </c>
      <c r="E5552" s="25" t="s">
        <v>26300</v>
      </c>
      <c r="F5552" s="9" t="str">
        <f t="shared" si="79"/>
        <v>structure with developmental contribution from neural crest</v>
      </c>
      <c r="G5552" s="9" t="s">
        <v>5090</v>
      </c>
      <c r="H5552" s="9" t="s">
        <v>17326</v>
      </c>
      <c r="I5552" s="9" t="s">
        <v>10259</v>
      </c>
      <c r="J5552" s="9" t="s">
        <v>10260</v>
      </c>
      <c r="K5552" s="5" t="s">
        <v>15173</v>
      </c>
      <c r="L5552" s="13">
        <v>16892</v>
      </c>
      <c r="M5552" t="str">
        <f>VLOOKUP(L5552,[1]DevMouse!$B$2:$C$2693,2,FALSE)</f>
        <v>isMDTg</v>
      </c>
    </row>
    <row r="5553" spans="2:13" x14ac:dyDescent="0.25">
      <c r="B5553" s="36"/>
      <c r="C5553" s="20"/>
      <c r="D5553" s="25" t="s">
        <v>26232</v>
      </c>
      <c r="E5553" s="25"/>
      <c r="F5553" s="9" t="str">
        <f t="shared" si="79"/>
        <v>structure with developmental contribution from neural crest</v>
      </c>
      <c r="G5553" s="9" t="s">
        <v>5090</v>
      </c>
      <c r="H5553" s="9" t="s">
        <v>17327</v>
      </c>
      <c r="I5553" s="9" t="s">
        <v>10261</v>
      </c>
      <c r="J5553" s="9" t="s">
        <v>10262</v>
      </c>
      <c r="K5553" s="5" t="s">
        <v>15173</v>
      </c>
      <c r="L5553" s="13">
        <v>16893</v>
      </c>
      <c r="M5553" t="str">
        <f>VLOOKUP(L5553,[1]DevMouse!$B$2:$C$2693,2,FALSE)</f>
        <v>isBIi</v>
      </c>
    </row>
    <row r="5554" spans="2:13" x14ac:dyDescent="0.25">
      <c r="B5554" s="36"/>
      <c r="C5554" s="20"/>
      <c r="D5554" s="25" t="s">
        <v>26232</v>
      </c>
      <c r="E5554" s="25"/>
      <c r="F5554" s="9" t="str">
        <f t="shared" si="79"/>
        <v>structure with developmental contribution from neural crest</v>
      </c>
      <c r="G5554" s="9" t="s">
        <v>5090</v>
      </c>
      <c r="H5554" s="9" t="s">
        <v>17328</v>
      </c>
      <c r="I5554" s="9" t="s">
        <v>10263</v>
      </c>
      <c r="J5554" s="9" t="s">
        <v>10264</v>
      </c>
      <c r="K5554" s="5" t="s">
        <v>15173</v>
      </c>
      <c r="L5554" s="13">
        <v>16894</v>
      </c>
      <c r="M5554" t="str">
        <f>VLOOKUP(L5554,[1]DevMouse!$B$2:$C$2693,2,FALSE)</f>
        <v>isBIRt</v>
      </c>
    </row>
    <row r="5555" spans="2:13" x14ac:dyDescent="0.25">
      <c r="B5555" s="36"/>
      <c r="C5555" s="20"/>
      <c r="D5555" s="25" t="s">
        <v>26232</v>
      </c>
      <c r="E5555" s="25"/>
      <c r="F5555" s="9" t="str">
        <f t="shared" si="79"/>
        <v>structure with developmental contribution from neural crest</v>
      </c>
      <c r="G5555" s="9" t="s">
        <v>5090</v>
      </c>
      <c r="H5555" s="9" t="s">
        <v>17329</v>
      </c>
      <c r="I5555" s="9" t="s">
        <v>10265</v>
      </c>
      <c r="J5555" s="9" t="s">
        <v>10266</v>
      </c>
      <c r="K5555" s="5" t="s">
        <v>15173</v>
      </c>
      <c r="L5555" s="13">
        <v>16895</v>
      </c>
      <c r="M5555" t="str">
        <f>VLOOKUP(L5555,[1]DevMouse!$B$2:$C$2693,2,FALSE)</f>
        <v>isBIs</v>
      </c>
    </row>
    <row r="5556" spans="2:13" x14ac:dyDescent="0.25">
      <c r="B5556" s="31" t="s">
        <v>26303</v>
      </c>
      <c r="C5556" s="25" t="s">
        <v>26237</v>
      </c>
      <c r="D5556" s="25" t="s">
        <v>26232</v>
      </c>
      <c r="E5556" s="25"/>
      <c r="F5556" s="9" t="str">
        <f t="shared" si="79"/>
        <v>structure with developmental contribution from neural crest</v>
      </c>
      <c r="G5556" s="9" t="s">
        <v>5090</v>
      </c>
      <c r="H5556" s="9" t="s">
        <v>17330</v>
      </c>
      <c r="I5556" s="9" t="s">
        <v>10267</v>
      </c>
      <c r="J5556" s="9" t="s">
        <v>10268</v>
      </c>
      <c r="K5556" s="5" t="s">
        <v>15173</v>
      </c>
      <c r="L5556" s="13">
        <v>16896</v>
      </c>
      <c r="M5556" t="str">
        <f>VLOOKUP(L5556,[1]DevMouse!$B$2:$C$2693,2,FALSE)</f>
        <v>isSNR</v>
      </c>
    </row>
    <row r="5557" spans="2:13" x14ac:dyDescent="0.25">
      <c r="B5557" s="36"/>
      <c r="C5557" s="20"/>
      <c r="D5557" s="25" t="s">
        <v>26232</v>
      </c>
      <c r="E5557" s="25"/>
      <c r="F5557" s="9" t="str">
        <f t="shared" si="79"/>
        <v>structure with developmental contribution from neural crest</v>
      </c>
      <c r="G5557" s="9" t="s">
        <v>5090</v>
      </c>
      <c r="H5557" s="9" t="s">
        <v>17331</v>
      </c>
      <c r="I5557" s="9" t="s">
        <v>10269</v>
      </c>
      <c r="J5557" s="9" t="s">
        <v>10270</v>
      </c>
      <c r="K5557" s="5" t="s">
        <v>15173</v>
      </c>
      <c r="L5557" s="13">
        <v>16897</v>
      </c>
      <c r="M5557" t="str">
        <f>VLOOKUP(L5557,[1]DevMouse!$B$2:$C$2693,2,FALSE)</f>
        <v>isBM</v>
      </c>
    </row>
    <row r="5558" spans="2:13" x14ac:dyDescent="0.25">
      <c r="B5558" s="36"/>
      <c r="C5558" s="20"/>
      <c r="D5558" s="25" t="s">
        <v>26232</v>
      </c>
      <c r="E5558" s="25"/>
      <c r="F5558" s="9" t="str">
        <f t="shared" si="79"/>
        <v>structure with developmental contribution from neural crest</v>
      </c>
      <c r="G5558" s="9" t="s">
        <v>5090</v>
      </c>
      <c r="H5558" s="9" t="s">
        <v>17332</v>
      </c>
      <c r="I5558" s="9" t="s">
        <v>10271</v>
      </c>
      <c r="J5558" s="9" t="s">
        <v>10272</v>
      </c>
      <c r="K5558" s="5" t="s">
        <v>15173</v>
      </c>
      <c r="L5558" s="13">
        <v>16898</v>
      </c>
      <c r="M5558" t="str">
        <f>VLOOKUP(L5558,[1]DevMouse!$B$2:$C$2693,2,FALSE)</f>
        <v>isBMv</v>
      </c>
    </row>
    <row r="5559" spans="2:13" x14ac:dyDescent="0.25">
      <c r="B5559" s="31" t="s">
        <v>26303</v>
      </c>
      <c r="C5559" s="20"/>
      <c r="D5559" s="25" t="s">
        <v>26232</v>
      </c>
      <c r="E5559" s="20" t="s">
        <v>26300</v>
      </c>
      <c r="F5559" s="9" t="str">
        <f t="shared" ref="F5559:F5622" si="80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5559" s="9" t="s">
        <v>5090</v>
      </c>
      <c r="H5559" s="9" t="s">
        <v>17333</v>
      </c>
      <c r="I5559" s="9" t="s">
        <v>10273</v>
      </c>
      <c r="J5559" s="9" t="s">
        <v>10274</v>
      </c>
      <c r="K5559" s="5" t="s">
        <v>15173</v>
      </c>
      <c r="L5559" s="13">
        <v>16899</v>
      </c>
      <c r="M5559" t="str">
        <f>VLOOKUP(L5559,[1]DevMouse!$B$2:$C$2693,2,FALSE)</f>
        <v>isBMm</v>
      </c>
    </row>
    <row r="5560" spans="2:13" x14ac:dyDescent="0.25">
      <c r="B5560" s="36"/>
      <c r="C5560" s="20"/>
      <c r="D5560" s="25" t="s">
        <v>26232</v>
      </c>
      <c r="E5560" s="20" t="s">
        <v>26300</v>
      </c>
      <c r="F5560" s="9" t="str">
        <f t="shared" si="80"/>
        <v>structure with developmental contribution from neural crest</v>
      </c>
      <c r="G5560" s="9" t="s">
        <v>5090</v>
      </c>
      <c r="H5560" s="9" t="s">
        <v>17334</v>
      </c>
      <c r="I5560" s="9" t="s">
        <v>10275</v>
      </c>
      <c r="J5560" s="9" t="s">
        <v>10276</v>
      </c>
      <c r="K5560" s="5" t="s">
        <v>15173</v>
      </c>
      <c r="L5560" s="13">
        <v>16900</v>
      </c>
      <c r="M5560" t="str">
        <f>VLOOKUP(L5560,[1]DevMouse!$B$2:$C$2693,2,FALSE)</f>
        <v>isBMp</v>
      </c>
    </row>
    <row r="5561" spans="2:13" x14ac:dyDescent="0.25">
      <c r="B5561" s="31" t="s">
        <v>26299</v>
      </c>
      <c r="C5561" s="25" t="s">
        <v>1598</v>
      </c>
      <c r="D5561" s="25" t="s">
        <v>26232</v>
      </c>
      <c r="E5561" s="25"/>
      <c r="F5561" s="9" t="str">
        <f t="shared" si="80"/>
        <v>structure with developmental contribution from neural crest</v>
      </c>
      <c r="G5561" s="9" t="s">
        <v>5090</v>
      </c>
      <c r="H5561" s="9" t="s">
        <v>17335</v>
      </c>
      <c r="I5561" s="9" t="s">
        <v>10277</v>
      </c>
      <c r="J5561" s="9" t="s">
        <v>10278</v>
      </c>
      <c r="K5561" s="5" t="s">
        <v>15173</v>
      </c>
      <c r="L5561" s="13">
        <v>16901</v>
      </c>
      <c r="M5561" t="str">
        <f>VLOOKUP(L5561,[1]DevMouse!$B$2:$C$2693,2,FALSE)</f>
        <v>isDRV</v>
      </c>
    </row>
    <row r="5562" spans="2:13" x14ac:dyDescent="0.25">
      <c r="B5562" s="31" t="s">
        <v>26299</v>
      </c>
      <c r="C5562" s="25" t="s">
        <v>25960</v>
      </c>
      <c r="D5562" s="25" t="s">
        <v>26232</v>
      </c>
      <c r="E5562" s="25"/>
      <c r="F5562" s="9" t="str">
        <f t="shared" si="80"/>
        <v>structure with developmental contribution from neural crest</v>
      </c>
      <c r="G5562" s="9" t="s">
        <v>5090</v>
      </c>
      <c r="H5562" s="9" t="s">
        <v>17336</v>
      </c>
      <c r="I5562" s="9" t="s">
        <v>10279</v>
      </c>
      <c r="J5562" s="9" t="s">
        <v>10280</v>
      </c>
      <c r="K5562" s="5" t="s">
        <v>15173</v>
      </c>
      <c r="L5562" s="13">
        <v>16902</v>
      </c>
      <c r="M5562" t="str">
        <f>VLOOKUP(L5562,[1]DevMouse!$B$2:$C$2693,2,FALSE)</f>
        <v>isBMi</v>
      </c>
    </row>
    <row r="5563" spans="2:13" x14ac:dyDescent="0.25">
      <c r="B5563" s="31" t="s">
        <v>26303</v>
      </c>
      <c r="C5563" s="25" t="s">
        <v>2263</v>
      </c>
      <c r="D5563" s="25" t="s">
        <v>26232</v>
      </c>
      <c r="E5563" s="25"/>
      <c r="F5563" s="9" t="str">
        <f t="shared" si="80"/>
        <v>structure with developmental contribution from neural crest</v>
      </c>
      <c r="G5563" s="9" t="s">
        <v>5090</v>
      </c>
      <c r="H5563" s="9" t="s">
        <v>17337</v>
      </c>
      <c r="I5563" s="9" t="s">
        <v>2263</v>
      </c>
      <c r="J5563" s="9" t="s">
        <v>2264</v>
      </c>
      <c r="K5563" s="5" t="s">
        <v>15173</v>
      </c>
      <c r="L5563" s="13">
        <v>16903</v>
      </c>
      <c r="M5563" t="str">
        <f>VLOOKUP(L5563,[1]DevMouse!$B$2:$C$2693,2,FALSE)</f>
        <v>4M</v>
      </c>
    </row>
    <row r="5564" spans="2:13" x14ac:dyDescent="0.25">
      <c r="B5564" s="31" t="s">
        <v>26303</v>
      </c>
      <c r="C5564" s="20"/>
      <c r="D5564" s="25" t="s">
        <v>26185</v>
      </c>
      <c r="E5564" s="25" t="s">
        <v>26300</v>
      </c>
      <c r="F5564" s="9" t="str">
        <f t="shared" si="80"/>
        <v>structure with developmental contribution from neural crest</v>
      </c>
      <c r="G5564" s="9" t="s">
        <v>5090</v>
      </c>
      <c r="H5564" s="9" t="s">
        <v>17338</v>
      </c>
      <c r="I5564" s="9" t="s">
        <v>10281</v>
      </c>
      <c r="J5564" s="9" t="s">
        <v>10282</v>
      </c>
      <c r="K5564" s="5" t="s">
        <v>15173</v>
      </c>
      <c r="L5564" s="13">
        <v>16904</v>
      </c>
      <c r="M5564" t="str">
        <f>VLOOKUP(L5564,[1]DevMouse!$B$2:$C$2693,2,FALSE)</f>
        <v>4Sh</v>
      </c>
    </row>
    <row r="5565" spans="2:13" x14ac:dyDescent="0.25">
      <c r="B5565" s="31" t="s">
        <v>26303</v>
      </c>
      <c r="C5565" s="20"/>
      <c r="D5565" s="25" t="s">
        <v>26185</v>
      </c>
      <c r="E5565" s="25" t="s">
        <v>26300</v>
      </c>
      <c r="F5565" s="9" t="str">
        <f t="shared" si="80"/>
        <v>structure with developmental contribution from neural crest</v>
      </c>
      <c r="G5565" s="9" t="s">
        <v>5090</v>
      </c>
      <c r="H5565" s="9" t="s">
        <v>17339</v>
      </c>
      <c r="I5565" s="9" t="s">
        <v>10283</v>
      </c>
      <c r="J5565" s="9" t="s">
        <v>10284</v>
      </c>
      <c r="K5565" s="5" t="s">
        <v>15173</v>
      </c>
      <c r="L5565" s="13">
        <v>16905</v>
      </c>
      <c r="M5565" t="str">
        <f>VLOOKUP(L5565,[1]DevMouse!$B$2:$C$2693,2,FALSE)</f>
        <v>Pa4</v>
      </c>
    </row>
    <row r="5566" spans="2:13" x14ac:dyDescent="0.25">
      <c r="B5566" s="36"/>
      <c r="C5566" s="20"/>
      <c r="D5566" s="25" t="s">
        <v>26232</v>
      </c>
      <c r="E5566" s="25"/>
      <c r="F5566" s="9" t="str">
        <f t="shared" si="80"/>
        <v>structure with developmental contribution from neural crest</v>
      </c>
      <c r="G5566" s="9" t="s">
        <v>5090</v>
      </c>
      <c r="H5566" s="9" t="s">
        <v>17340</v>
      </c>
      <c r="I5566" s="9" t="s">
        <v>10285</v>
      </c>
      <c r="J5566" s="9" t="s">
        <v>10286</v>
      </c>
      <c r="K5566" s="5" t="s">
        <v>15173</v>
      </c>
      <c r="L5566" s="13">
        <v>16906</v>
      </c>
      <c r="M5566" t="str">
        <f>VLOOKUP(L5566,[1]DevMouse!$B$2:$C$2693,2,FALSE)</f>
        <v>CLi</v>
      </c>
    </row>
    <row r="5567" spans="2:13" x14ac:dyDescent="0.25">
      <c r="B5567" s="36"/>
      <c r="C5567" s="20"/>
      <c r="D5567" s="25" t="s">
        <v>26232</v>
      </c>
      <c r="E5567" s="25"/>
      <c r="F5567" s="9" t="str">
        <f t="shared" si="80"/>
        <v>structure with developmental contribution from neural crest</v>
      </c>
      <c r="G5567" s="9" t="s">
        <v>5090</v>
      </c>
      <c r="H5567" s="9" t="s">
        <v>17341</v>
      </c>
      <c r="I5567" s="9" t="s">
        <v>10287</v>
      </c>
      <c r="J5567" s="9" t="s">
        <v>10288</v>
      </c>
      <c r="K5567" s="5" t="s">
        <v>15173</v>
      </c>
      <c r="L5567" s="13">
        <v>16907</v>
      </c>
      <c r="M5567" t="str">
        <f>VLOOKUP(L5567,[1]DevMouse!$B$2:$C$2693,2,FALSE)</f>
        <v>isBMs</v>
      </c>
    </row>
    <row r="5568" spans="2:13" x14ac:dyDescent="0.25">
      <c r="B5568" s="31" t="s">
        <v>26303</v>
      </c>
      <c r="C5568" s="25" t="s">
        <v>26235</v>
      </c>
      <c r="D5568" s="25" t="s">
        <v>26232</v>
      </c>
      <c r="E5568" s="25"/>
      <c r="F5568" s="9" t="str">
        <f t="shared" si="80"/>
        <v>structure with developmental contribution from neural crest</v>
      </c>
      <c r="G5568" s="9" t="s">
        <v>5090</v>
      </c>
      <c r="H5568" s="9" t="s">
        <v>17342</v>
      </c>
      <c r="I5568" s="9" t="s">
        <v>10289</v>
      </c>
      <c r="J5568" s="9" t="s">
        <v>10290</v>
      </c>
      <c r="K5568" s="5" t="s">
        <v>15173</v>
      </c>
      <c r="L5568" s="13">
        <v>16908</v>
      </c>
      <c r="M5568" t="str">
        <f>VLOOKUP(L5568,[1]DevMouse!$B$2:$C$2693,2,FALSE)</f>
        <v>isSNC</v>
      </c>
    </row>
    <row r="5569" spans="2:13" x14ac:dyDescent="0.25">
      <c r="B5569" s="31" t="s">
        <v>26303</v>
      </c>
      <c r="C5569" s="25" t="s">
        <v>2503</v>
      </c>
      <c r="D5569" s="25" t="s">
        <v>26232</v>
      </c>
      <c r="E5569" s="25"/>
      <c r="F5569" s="9" t="str">
        <f t="shared" si="80"/>
        <v>structure with developmental contribution from neural crest</v>
      </c>
      <c r="G5569" s="9" t="s">
        <v>5090</v>
      </c>
      <c r="H5569" s="9" t="s">
        <v>17343</v>
      </c>
      <c r="I5569" s="9" t="s">
        <v>10291</v>
      </c>
      <c r="J5569" s="9" t="s">
        <v>10292</v>
      </c>
      <c r="K5569" s="5" t="s">
        <v>15173</v>
      </c>
      <c r="L5569" s="13">
        <v>16909</v>
      </c>
      <c r="M5569" t="str">
        <f>VLOOKUP(L5569,[1]DevMouse!$B$2:$C$2693,2,FALSE)</f>
        <v>IPPr</v>
      </c>
    </row>
    <row r="5570" spans="2:13" x14ac:dyDescent="0.25">
      <c r="B5570" s="31" t="s">
        <v>26303</v>
      </c>
      <c r="C5570" s="25" t="s">
        <v>3603</v>
      </c>
      <c r="D5570" s="25" t="s">
        <v>26232</v>
      </c>
      <c r="E5570" s="25" t="s">
        <v>26300</v>
      </c>
      <c r="F5570" s="9" t="str">
        <f t="shared" si="80"/>
        <v>structure with developmental contribution from neural crest</v>
      </c>
      <c r="G5570" s="9" t="s">
        <v>5090</v>
      </c>
      <c r="H5570" s="9" t="s">
        <v>17344</v>
      </c>
      <c r="I5570" s="9" t="s">
        <v>10293</v>
      </c>
      <c r="J5570" s="9" t="s">
        <v>10294</v>
      </c>
      <c r="K5570" s="5" t="s">
        <v>15173</v>
      </c>
      <c r="L5570" s="13">
        <v>16910</v>
      </c>
      <c r="M5570" t="str">
        <f>VLOOKUP(L5570,[1]DevMouse!$B$2:$C$2693,2,FALSE)</f>
        <v>isPN</v>
      </c>
    </row>
    <row r="5571" spans="2:13" x14ac:dyDescent="0.25">
      <c r="B5571" s="31" t="s">
        <v>26303</v>
      </c>
      <c r="C5571" s="20"/>
      <c r="D5571" s="25" t="s">
        <v>26232</v>
      </c>
      <c r="E5571" s="25"/>
      <c r="F5571" s="9" t="str">
        <f t="shared" si="80"/>
        <v>structure with developmental contribution from neural crest</v>
      </c>
      <c r="G5571" s="9" t="s">
        <v>5090</v>
      </c>
      <c r="H5571" s="9" t="s">
        <v>17345</v>
      </c>
      <c r="I5571" s="9" t="s">
        <v>10295</v>
      </c>
      <c r="J5571" s="9" t="s">
        <v>10296</v>
      </c>
      <c r="K5571" s="5" t="s">
        <v>15173</v>
      </c>
      <c r="L5571" s="13">
        <v>16911</v>
      </c>
      <c r="M5571" t="str">
        <f>VLOOKUP(L5571,[1]DevMouse!$B$2:$C$2693,2,FALSE)</f>
        <v>isF</v>
      </c>
    </row>
    <row r="5572" spans="2:13" x14ac:dyDescent="0.25">
      <c r="B5572" s="36"/>
      <c r="C5572" s="20"/>
      <c r="D5572" s="25" t="s">
        <v>26232</v>
      </c>
      <c r="E5572" s="25"/>
      <c r="F5572" s="9" t="str">
        <f t="shared" si="80"/>
        <v>structure with developmental contribution from neural crest</v>
      </c>
      <c r="G5572" s="9" t="s">
        <v>5090</v>
      </c>
      <c r="H5572" s="9" t="s">
        <v>17346</v>
      </c>
      <c r="I5572" s="9" t="s">
        <v>10297</v>
      </c>
      <c r="J5572" s="9" t="s">
        <v>10298</v>
      </c>
      <c r="K5572" s="5" t="s">
        <v>15173</v>
      </c>
      <c r="L5572" s="13">
        <v>16912</v>
      </c>
      <c r="M5572" t="str">
        <f>VLOOKUP(L5572,[1]DevMouse!$B$2:$C$2693,2,FALSE)</f>
        <v>isFv</v>
      </c>
    </row>
    <row r="5573" spans="2:13" x14ac:dyDescent="0.25">
      <c r="B5573" s="31" t="s">
        <v>26303</v>
      </c>
      <c r="C5573" s="20"/>
      <c r="D5573" s="25" t="s">
        <v>26232</v>
      </c>
      <c r="E5573" s="20" t="s">
        <v>26300</v>
      </c>
      <c r="F5573" s="9" t="str">
        <f t="shared" si="80"/>
        <v>structure with developmental contribution from neural crest</v>
      </c>
      <c r="G5573" s="9" t="s">
        <v>5090</v>
      </c>
      <c r="H5573" s="9" t="s">
        <v>17347</v>
      </c>
      <c r="I5573" s="9" t="s">
        <v>10299</v>
      </c>
      <c r="J5573" s="9" t="s">
        <v>10300</v>
      </c>
      <c r="K5573" s="5" t="s">
        <v>15173</v>
      </c>
      <c r="L5573" s="13">
        <v>16913</v>
      </c>
      <c r="M5573" t="str">
        <f>VLOOKUP(L5573,[1]DevMouse!$B$2:$C$2693,2,FALSE)</f>
        <v>isFm</v>
      </c>
    </row>
    <row r="5574" spans="2:13" x14ac:dyDescent="0.25">
      <c r="B5574" s="31" t="s">
        <v>26303</v>
      </c>
      <c r="C5574" s="25" t="s">
        <v>15084</v>
      </c>
      <c r="D5574" s="25" t="s">
        <v>26232</v>
      </c>
      <c r="E5574" s="25"/>
      <c r="F5574" s="9" t="str">
        <f t="shared" si="80"/>
        <v>structure with developmental contribution from neural crest</v>
      </c>
      <c r="G5574" s="9" t="s">
        <v>5090</v>
      </c>
      <c r="H5574" s="9" t="s">
        <v>17352</v>
      </c>
      <c r="I5574" s="9" t="s">
        <v>10301</v>
      </c>
      <c r="J5574" s="9" t="s">
        <v>10302</v>
      </c>
      <c r="K5574" s="5" t="s">
        <v>15173</v>
      </c>
      <c r="L5574" s="13">
        <v>16914</v>
      </c>
      <c r="M5574" t="str">
        <f>VLOOKUP(L5574,[1]DevMouse!$B$2:$C$2693,2,FALSE)</f>
        <v>isVTA</v>
      </c>
    </row>
    <row r="5575" spans="2:13" x14ac:dyDescent="0.25">
      <c r="B5575" s="36"/>
      <c r="C5575" s="20"/>
      <c r="D5575" s="25" t="s">
        <v>26232</v>
      </c>
      <c r="E5575" s="25"/>
      <c r="F5575" s="9" t="str">
        <f t="shared" si="80"/>
        <v>structure with developmental contribution from neural crest</v>
      </c>
      <c r="G5575" s="9" t="s">
        <v>5090</v>
      </c>
      <c r="H5575" s="9" t="s">
        <v>17354</v>
      </c>
      <c r="I5575" s="9" t="s">
        <v>4774</v>
      </c>
      <c r="J5575" s="9" t="s">
        <v>4775</v>
      </c>
      <c r="K5575" s="5" t="s">
        <v>15173</v>
      </c>
      <c r="L5575" s="13">
        <v>16916</v>
      </c>
      <c r="M5575" t="str">
        <f>VLOOKUP(L5575,[1]DevMouse!$B$2:$C$2693,2,FALSE)</f>
        <v>r1R</v>
      </c>
    </row>
    <row r="5576" spans="2:13" x14ac:dyDescent="0.25">
      <c r="B5576" s="37"/>
      <c r="C5576" s="20"/>
      <c r="D5576" s="25" t="s">
        <v>26232</v>
      </c>
      <c r="E5576" s="25"/>
      <c r="F5576" s="9" t="str">
        <f t="shared" si="80"/>
        <v>structure with developmental contribution from neural crest</v>
      </c>
      <c r="G5576" s="9" t="s">
        <v>5090</v>
      </c>
      <c r="H5576" s="9" t="s">
        <v>17355</v>
      </c>
      <c r="I5576" s="9" t="s">
        <v>10303</v>
      </c>
      <c r="J5576" s="9" t="s">
        <v>10304</v>
      </c>
      <c r="K5576" s="5" t="s">
        <v>15173</v>
      </c>
      <c r="L5576" s="13">
        <v>16917</v>
      </c>
      <c r="M5576" t="str">
        <f>VLOOKUP(L5576,[1]DevMouse!$B$2:$C$2693,2,FALSE)</f>
        <v>CbCh</v>
      </c>
    </row>
    <row r="5577" spans="2:13" x14ac:dyDescent="0.25">
      <c r="B5577" s="31" t="s">
        <v>26303</v>
      </c>
      <c r="C5577" s="25" t="s">
        <v>4756</v>
      </c>
      <c r="D5577" s="25" t="s">
        <v>26232</v>
      </c>
      <c r="E5577" s="25" t="s">
        <v>26308</v>
      </c>
      <c r="F5577" s="9" t="str">
        <f t="shared" si="80"/>
        <v>structure with developmental contribution from neural crest</v>
      </c>
      <c r="G5577" s="9" t="s">
        <v>5090</v>
      </c>
      <c r="H5577" s="9" t="s">
        <v>17356</v>
      </c>
      <c r="I5577" s="9" t="s">
        <v>10305</v>
      </c>
      <c r="J5577" s="9" t="s">
        <v>10306</v>
      </c>
      <c r="K5577" s="5" t="s">
        <v>15173</v>
      </c>
      <c r="L5577" s="13">
        <v>16918</v>
      </c>
      <c r="M5577" t="str">
        <f>VLOOKUP(L5577,[1]DevMouse!$B$2:$C$2693,2,FALSE)</f>
        <v>r1RhL</v>
      </c>
    </row>
    <row r="5578" spans="2:13" x14ac:dyDescent="0.25">
      <c r="B5578" s="36"/>
      <c r="C5578" s="20"/>
      <c r="D5578" s="25" t="s">
        <v>26232</v>
      </c>
      <c r="E5578" s="25"/>
      <c r="F5578" s="9" t="str">
        <f t="shared" si="80"/>
        <v>structure with developmental contribution from neural crest</v>
      </c>
      <c r="G5578" s="9" t="s">
        <v>5090</v>
      </c>
      <c r="H5578" s="9" t="s">
        <v>17357</v>
      </c>
      <c r="I5578" s="9" t="s">
        <v>10307</v>
      </c>
      <c r="J5578" s="9" t="s">
        <v>10308</v>
      </c>
      <c r="K5578" s="5" t="s">
        <v>15173</v>
      </c>
      <c r="L5578" s="13">
        <v>16919</v>
      </c>
      <c r="M5578" t="str">
        <f>VLOOKUP(L5578,[1]DevMouse!$B$2:$C$2693,2,FALSE)</f>
        <v>r1A</v>
      </c>
    </row>
    <row r="5579" spans="2:13" x14ac:dyDescent="0.25">
      <c r="B5579" s="36"/>
      <c r="C5579" s="20"/>
      <c r="D5579" s="25" t="s">
        <v>26232</v>
      </c>
      <c r="E5579" s="25"/>
      <c r="F5579" s="9" t="str">
        <f t="shared" si="80"/>
        <v>structure with developmental contribution from neural crest</v>
      </c>
      <c r="G5579" s="9" t="s">
        <v>5090</v>
      </c>
      <c r="H5579" s="9" t="s">
        <v>17390</v>
      </c>
      <c r="I5579" s="9" t="s">
        <v>10309</v>
      </c>
      <c r="J5579" s="9" t="s">
        <v>10310</v>
      </c>
      <c r="K5579" s="5" t="s">
        <v>15173</v>
      </c>
      <c r="L5579" s="13">
        <v>16950</v>
      </c>
      <c r="M5579" t="str">
        <f>VLOOKUP(L5579,[1]DevMouse!$B$2:$C$2693,2,FALSE)</f>
        <v>r1Ve</v>
      </c>
    </row>
    <row r="5580" spans="2:13" x14ac:dyDescent="0.25">
      <c r="B5580" s="36"/>
      <c r="C5580" s="20"/>
      <c r="D5580" s="25" t="s">
        <v>26232</v>
      </c>
      <c r="E5580" s="25"/>
      <c r="F5580" s="9" t="str">
        <f t="shared" si="80"/>
        <v>structure with developmental contribution from neural crest</v>
      </c>
      <c r="G5580" s="9" t="s">
        <v>5090</v>
      </c>
      <c r="H5580" s="9" t="s">
        <v>17391</v>
      </c>
      <c r="I5580" s="9" t="s">
        <v>10311</v>
      </c>
      <c r="J5580" s="9" t="s">
        <v>10312</v>
      </c>
      <c r="K5580" s="5" t="s">
        <v>15173</v>
      </c>
      <c r="L5580" s="13">
        <v>16951</v>
      </c>
      <c r="M5580" t="str">
        <f>VLOOKUP(L5580,[1]DevMouse!$B$2:$C$2693,2,FALSE)</f>
        <v>r1Vev</v>
      </c>
    </row>
    <row r="5581" spans="2:13" x14ac:dyDescent="0.25">
      <c r="B5581" s="31" t="s">
        <v>26303</v>
      </c>
      <c r="C5581" s="20"/>
      <c r="D5581" s="25" t="s">
        <v>26232</v>
      </c>
      <c r="E5581" s="20" t="s">
        <v>26300</v>
      </c>
      <c r="F5581" s="9" t="str">
        <f t="shared" si="80"/>
        <v>structure with developmental contribution from neural crest</v>
      </c>
      <c r="G5581" s="9" t="s">
        <v>5090</v>
      </c>
      <c r="H5581" s="9" t="s">
        <v>17392</v>
      </c>
      <c r="I5581" s="9" t="s">
        <v>10313</v>
      </c>
      <c r="J5581" s="9" t="s">
        <v>10314</v>
      </c>
      <c r="K5581" s="5" t="s">
        <v>15173</v>
      </c>
      <c r="L5581" s="13">
        <v>16952</v>
      </c>
      <c r="M5581" t="str">
        <f>VLOOKUP(L5581,[1]DevMouse!$B$2:$C$2693,2,FALSE)</f>
        <v>r1Vem</v>
      </c>
    </row>
    <row r="5582" spans="2:13" x14ac:dyDescent="0.25">
      <c r="B5582" s="31" t="s">
        <v>26303</v>
      </c>
      <c r="C5582" s="25" t="s">
        <v>7387</v>
      </c>
      <c r="D5582" s="25" t="s">
        <v>26232</v>
      </c>
      <c r="E5582" s="25"/>
      <c r="F5582" s="9" t="str">
        <f t="shared" si="80"/>
        <v>structure with developmental contribution from neural crest</v>
      </c>
      <c r="G5582" s="9" t="s">
        <v>5090</v>
      </c>
      <c r="H5582" s="9" t="s">
        <v>17396</v>
      </c>
      <c r="I5582" s="9" t="s">
        <v>10315</v>
      </c>
      <c r="J5582" s="9" t="s">
        <v>10316</v>
      </c>
      <c r="K5582" s="5" t="s">
        <v>15173</v>
      </c>
      <c r="L5582" s="13">
        <v>16953</v>
      </c>
      <c r="M5582" t="str">
        <f>VLOOKUP(L5582,[1]DevMouse!$B$2:$C$2693,2,FALSE)</f>
        <v>r1SuVe</v>
      </c>
    </row>
    <row r="5583" spans="2:13" x14ac:dyDescent="0.25">
      <c r="B5583" s="36"/>
      <c r="C5583" s="20"/>
      <c r="D5583" s="25" t="s">
        <v>26232</v>
      </c>
      <c r="E5583" s="25" t="s">
        <v>26308</v>
      </c>
      <c r="F5583" s="9" t="str">
        <f t="shared" si="80"/>
        <v>structure with developmental contribution from neural crest</v>
      </c>
      <c r="G5583" s="9" t="s">
        <v>5090</v>
      </c>
      <c r="H5583" s="9" t="s">
        <v>17398</v>
      </c>
      <c r="I5583" s="9" t="s">
        <v>10317</v>
      </c>
      <c r="J5583" s="9" t="s">
        <v>10318</v>
      </c>
      <c r="K5583" s="5" t="s">
        <v>15173</v>
      </c>
      <c r="L5583" s="13">
        <v>16954</v>
      </c>
      <c r="M5583" t="str">
        <f>VLOOKUP(L5583,[1]DevMouse!$B$2:$C$2693,2,FALSE)</f>
        <v>r1Tr</v>
      </c>
    </row>
    <row r="5584" spans="2:13" x14ac:dyDescent="0.25">
      <c r="B5584" s="36"/>
      <c r="C5584" s="20"/>
      <c r="D5584" s="25" t="s">
        <v>26232</v>
      </c>
      <c r="E5584" s="25"/>
      <c r="F5584" s="9" t="str">
        <f t="shared" si="80"/>
        <v>structure with developmental contribution from neural crest</v>
      </c>
      <c r="G5584" s="9" t="s">
        <v>5090</v>
      </c>
      <c r="H5584" s="9" t="s">
        <v>17399</v>
      </c>
      <c r="I5584" s="9" t="s">
        <v>10319</v>
      </c>
      <c r="J5584" s="9" t="s">
        <v>10320</v>
      </c>
      <c r="K5584" s="5" t="s">
        <v>15173</v>
      </c>
      <c r="L5584" s="13">
        <v>16955</v>
      </c>
      <c r="M5584" t="str">
        <f>VLOOKUP(L5584,[1]DevMouse!$B$2:$C$2693,2,FALSE)</f>
        <v>r1Trv</v>
      </c>
    </row>
    <row r="5585" spans="2:13" x14ac:dyDescent="0.25">
      <c r="B5585" s="31" t="s">
        <v>26303</v>
      </c>
      <c r="C5585" s="20"/>
      <c r="D5585" s="25" t="s">
        <v>26232</v>
      </c>
      <c r="E5585" s="20" t="s">
        <v>26300</v>
      </c>
      <c r="F5585" s="9" t="str">
        <f t="shared" si="80"/>
        <v>structure with developmental contribution from neural crest</v>
      </c>
      <c r="G5585" s="9" t="s">
        <v>5090</v>
      </c>
      <c r="H5585" s="9" t="s">
        <v>17400</v>
      </c>
      <c r="I5585" s="9" t="s">
        <v>10321</v>
      </c>
      <c r="J5585" s="9" t="s">
        <v>10322</v>
      </c>
      <c r="K5585" s="5" t="s">
        <v>15173</v>
      </c>
      <c r="L5585" s="13">
        <v>16956</v>
      </c>
      <c r="M5585" t="str">
        <f>VLOOKUP(L5585,[1]DevMouse!$B$2:$C$2693,2,FALSE)</f>
        <v>r1Trm</v>
      </c>
    </row>
    <row r="5586" spans="2:13" x14ac:dyDescent="0.25">
      <c r="B5586" s="36"/>
      <c r="C5586" s="20"/>
      <c r="D5586" s="25" t="s">
        <v>26232</v>
      </c>
      <c r="E5586" s="25" t="s">
        <v>26308</v>
      </c>
      <c r="F5586" s="9" t="str">
        <f t="shared" si="80"/>
        <v>structure with developmental contribution from neural crest</v>
      </c>
      <c r="G5586" s="9" t="s">
        <v>5090</v>
      </c>
      <c r="H5586" s="9" t="s">
        <v>17405</v>
      </c>
      <c r="I5586" s="9" t="s">
        <v>10323</v>
      </c>
      <c r="J5586" s="9" t="s">
        <v>10324</v>
      </c>
      <c r="K5586" s="5" t="s">
        <v>15173</v>
      </c>
      <c r="L5586" s="13">
        <v>16957</v>
      </c>
      <c r="M5586" t="str">
        <f>VLOOKUP(L5586,[1]DevMouse!$B$2:$C$2693,2,FALSE)</f>
        <v>r1Pr5</v>
      </c>
    </row>
    <row r="5587" spans="2:13" x14ac:dyDescent="0.25">
      <c r="B5587" s="36"/>
      <c r="C5587" s="20"/>
      <c r="D5587" s="25" t="s">
        <v>26232</v>
      </c>
      <c r="E5587" s="25"/>
      <c r="F5587" s="9" t="str">
        <f t="shared" si="80"/>
        <v>structure with developmental contribution from neural crest</v>
      </c>
      <c r="G5587" s="9" t="s">
        <v>5090</v>
      </c>
      <c r="H5587" s="9" t="s">
        <v>17403</v>
      </c>
      <c r="I5587" s="9" t="s">
        <v>10325</v>
      </c>
      <c r="J5587" s="9" t="s">
        <v>10326</v>
      </c>
      <c r="K5587" s="5" t="s">
        <v>15173</v>
      </c>
      <c r="L5587" s="13">
        <v>16958</v>
      </c>
      <c r="M5587" t="str">
        <f>VLOOKUP(L5587,[1]DevMouse!$B$2:$C$2693,2,FALSE)</f>
        <v>r1DPCRt</v>
      </c>
    </row>
    <row r="5588" spans="2:13" x14ac:dyDescent="0.25">
      <c r="B5588" s="36"/>
      <c r="C5588" s="20"/>
      <c r="D5588" s="25" t="s">
        <v>26232</v>
      </c>
      <c r="E5588" s="25"/>
      <c r="F5588" s="9" t="str">
        <f t="shared" si="80"/>
        <v>structure with developmental contribution from neural crest</v>
      </c>
      <c r="G5588" s="9" t="s">
        <v>5090</v>
      </c>
      <c r="H5588" s="9" t="s">
        <v>17406</v>
      </c>
      <c r="I5588" s="9" t="s">
        <v>10327</v>
      </c>
      <c r="J5588" s="9" t="s">
        <v>10328</v>
      </c>
      <c r="K5588" s="5" t="s">
        <v>15173</v>
      </c>
      <c r="L5588" s="13">
        <v>16959</v>
      </c>
      <c r="M5588" t="str">
        <f>VLOOKUP(L5588,[1]DevMouse!$B$2:$C$2693,2,FALSE)</f>
        <v>r1Lim</v>
      </c>
    </row>
    <row r="5589" spans="2:13" x14ac:dyDescent="0.25">
      <c r="B5589" s="36"/>
      <c r="C5589" s="20"/>
      <c r="D5589" s="25" t="s">
        <v>26232</v>
      </c>
      <c r="E5589" s="25"/>
      <c r="F5589" s="9" t="str">
        <f t="shared" si="80"/>
        <v>structure with developmental contribution from neural crest</v>
      </c>
      <c r="G5589" s="9" t="s">
        <v>5090</v>
      </c>
      <c r="H5589" s="9" t="s">
        <v>17407</v>
      </c>
      <c r="I5589" s="9" t="s">
        <v>10329</v>
      </c>
      <c r="J5589" s="9" t="s">
        <v>10330</v>
      </c>
      <c r="K5589" s="5" t="s">
        <v>15173</v>
      </c>
      <c r="L5589" s="13">
        <v>16960</v>
      </c>
      <c r="M5589" t="str">
        <f>VLOOKUP(L5589,[1]DevMouse!$B$2:$C$2693,2,FALSE)</f>
        <v>r1Limv</v>
      </c>
    </row>
    <row r="5590" spans="2:13" x14ac:dyDescent="0.25">
      <c r="B5590" s="31" t="s">
        <v>26303</v>
      </c>
      <c r="C5590" s="20"/>
      <c r="D5590" s="25" t="s">
        <v>26232</v>
      </c>
      <c r="E5590" s="20" t="s">
        <v>26300</v>
      </c>
      <c r="F5590" s="9" t="str">
        <f t="shared" si="80"/>
        <v>structure with developmental contribution from neural crest</v>
      </c>
      <c r="G5590" s="9" t="s">
        <v>5090</v>
      </c>
      <c r="H5590" s="9" t="s">
        <v>17408</v>
      </c>
      <c r="I5590" s="9" t="s">
        <v>10331</v>
      </c>
      <c r="J5590" s="9" t="s">
        <v>10332</v>
      </c>
      <c r="K5590" s="5" t="s">
        <v>15173</v>
      </c>
      <c r="L5590" s="13">
        <v>16961</v>
      </c>
      <c r="M5590" t="str">
        <f>VLOOKUP(L5590,[1]DevMouse!$B$2:$C$2693,2,FALSE)</f>
        <v>r1Limm</v>
      </c>
    </row>
    <row r="5591" spans="2:13" x14ac:dyDescent="0.25">
      <c r="B5591" s="36"/>
      <c r="C5591" s="20"/>
      <c r="D5591" s="25" t="s">
        <v>26232</v>
      </c>
      <c r="E5591" s="25"/>
      <c r="F5591" s="9" t="str">
        <f t="shared" si="80"/>
        <v>structure with developmental contribution from neural crest</v>
      </c>
      <c r="G5591" s="9" t="s">
        <v>5090</v>
      </c>
      <c r="H5591" s="9" t="s">
        <v>17414</v>
      </c>
      <c r="I5591" s="9" t="s">
        <v>10333</v>
      </c>
      <c r="J5591" s="9" t="s">
        <v>10334</v>
      </c>
      <c r="K5591" s="5" t="s">
        <v>15173</v>
      </c>
      <c r="L5591" s="13">
        <v>16962</v>
      </c>
      <c r="M5591" t="str">
        <f>VLOOKUP(L5591,[1]DevMouse!$B$2:$C$2693,2,FALSE)</f>
        <v>r1VPCRt</v>
      </c>
    </row>
    <row r="5592" spans="2:13" x14ac:dyDescent="0.25">
      <c r="B5592" s="36"/>
      <c r="C5592" s="20"/>
      <c r="D5592" s="25" t="s">
        <v>26232</v>
      </c>
      <c r="E5592" s="25"/>
      <c r="F5592" s="9" t="str">
        <f t="shared" si="80"/>
        <v>structure with developmental contribution from neural crest</v>
      </c>
      <c r="G5592" s="9" t="s">
        <v>5090</v>
      </c>
      <c r="H5592" s="9" t="s">
        <v>17410</v>
      </c>
      <c r="I5592" s="9" t="s">
        <v>10335</v>
      </c>
      <c r="J5592" s="9" t="s">
        <v>10336</v>
      </c>
      <c r="K5592" s="5" t="s">
        <v>15173</v>
      </c>
      <c r="L5592" s="13">
        <v>16963</v>
      </c>
      <c r="M5592" t="str">
        <f>VLOOKUP(L5592,[1]DevMouse!$B$2:$C$2693,2,FALSE)</f>
        <v>r1LimCG</v>
      </c>
    </row>
    <row r="5593" spans="2:13" x14ac:dyDescent="0.25">
      <c r="B5593" s="31" t="s">
        <v>26303</v>
      </c>
      <c r="C5593" s="25" t="s">
        <v>2261</v>
      </c>
      <c r="D5593" s="25" t="s">
        <v>26232</v>
      </c>
      <c r="E5593" s="25"/>
      <c r="F5593" s="9" t="str">
        <f t="shared" si="80"/>
        <v>structure with developmental contribution from neural crest</v>
      </c>
      <c r="G5593" s="9" t="s">
        <v>5090</v>
      </c>
      <c r="H5593" s="9" t="s">
        <v>17411</v>
      </c>
      <c r="I5593" s="9" t="s">
        <v>2261</v>
      </c>
      <c r="J5593" s="9" t="s">
        <v>2265</v>
      </c>
      <c r="K5593" s="5" t="s">
        <v>15173</v>
      </c>
      <c r="L5593" s="13">
        <v>16964</v>
      </c>
      <c r="M5593" t="str">
        <f>VLOOKUP(L5593,[1]DevMouse!$B$2:$C$2693,2,FALSE)</f>
        <v>LDTg</v>
      </c>
    </row>
    <row r="5594" spans="2:13" x14ac:dyDescent="0.25">
      <c r="B5594" s="31" t="s">
        <v>26303</v>
      </c>
      <c r="C5594" s="25" t="s">
        <v>2266</v>
      </c>
      <c r="D5594" s="25" t="s">
        <v>26232</v>
      </c>
      <c r="E5594" s="25"/>
      <c r="F5594" s="9" t="str">
        <f t="shared" si="80"/>
        <v>structure with developmental contribution from neural crest</v>
      </c>
      <c r="G5594" s="9" t="s">
        <v>5090</v>
      </c>
      <c r="H5594" s="9" t="s">
        <v>17416</v>
      </c>
      <c r="I5594" s="9" t="s">
        <v>2266</v>
      </c>
      <c r="J5594" s="9" t="s">
        <v>2267</v>
      </c>
      <c r="K5594" s="5" t="s">
        <v>15173</v>
      </c>
      <c r="L5594" s="13">
        <v>16965</v>
      </c>
      <c r="M5594" t="str">
        <f>VLOOKUP(L5594,[1]DevMouse!$B$2:$C$2693,2,FALSE)</f>
        <v>PPTg</v>
      </c>
    </row>
    <row r="5595" spans="2:13" x14ac:dyDescent="0.25">
      <c r="B5595" s="31" t="s">
        <v>26303</v>
      </c>
      <c r="C5595" s="25" t="s">
        <v>26036</v>
      </c>
      <c r="D5595" s="25" t="s">
        <v>26185</v>
      </c>
      <c r="E5595" s="25" t="s">
        <v>26308</v>
      </c>
      <c r="F5595" s="9" t="str">
        <f t="shared" si="80"/>
        <v>structure with developmental contribution from neural crest</v>
      </c>
      <c r="G5595" s="9" t="s">
        <v>5090</v>
      </c>
      <c r="H5595" s="9" t="s">
        <v>17412</v>
      </c>
      <c r="I5595" s="9" t="s">
        <v>10337</v>
      </c>
      <c r="J5595" s="9" t="s">
        <v>10338</v>
      </c>
      <c r="K5595" s="5" t="s">
        <v>15173</v>
      </c>
      <c r="L5595" s="13">
        <v>16966</v>
      </c>
      <c r="M5595" t="str">
        <f>VLOOKUP(L5595,[1]DevMouse!$B$2:$C$2693,2,FALSE)</f>
        <v>r1Mes5</v>
      </c>
    </row>
    <row r="5596" spans="2:13" x14ac:dyDescent="0.25">
      <c r="B5596" s="36"/>
      <c r="C5596" s="20"/>
      <c r="D5596" s="25" t="s">
        <v>26232</v>
      </c>
      <c r="E5596" s="25"/>
      <c r="F5596" s="9" t="str">
        <f t="shared" si="80"/>
        <v>structure with developmental contribution from neural crest</v>
      </c>
      <c r="G5596" s="9" t="s">
        <v>5090</v>
      </c>
      <c r="H5596" s="9" t="s">
        <v>17417</v>
      </c>
      <c r="I5596" s="9" t="s">
        <v>10339</v>
      </c>
      <c r="J5596" s="9" t="s">
        <v>10340</v>
      </c>
      <c r="K5596" s="5" t="s">
        <v>15173</v>
      </c>
      <c r="L5596" s="13">
        <v>16967</v>
      </c>
      <c r="M5596" t="str">
        <f>VLOOKUP(L5596,[1]DevMouse!$B$2:$C$2693,2,FALSE)</f>
        <v>r1B</v>
      </c>
    </row>
    <row r="5597" spans="2:13" x14ac:dyDescent="0.25">
      <c r="B5597" s="36"/>
      <c r="C5597" s="20"/>
      <c r="D5597" s="25" t="s">
        <v>26232</v>
      </c>
      <c r="E5597" s="25"/>
      <c r="F5597" s="9" t="str">
        <f t="shared" si="80"/>
        <v>structure with developmental contribution from neural crest</v>
      </c>
      <c r="G5597" s="9" t="s">
        <v>5090</v>
      </c>
      <c r="H5597" s="9" t="s">
        <v>17420</v>
      </c>
      <c r="I5597" s="9" t="s">
        <v>10341</v>
      </c>
      <c r="J5597" s="9" t="s">
        <v>10342</v>
      </c>
      <c r="K5597" s="5" t="s">
        <v>15173</v>
      </c>
      <c r="L5597" s="13">
        <v>16968</v>
      </c>
      <c r="M5597" t="str">
        <f>VLOOKUP(L5597,[1]DevMouse!$B$2:$C$2693,2,FALSE)</f>
        <v>r1BL</v>
      </c>
    </row>
    <row r="5598" spans="2:13" x14ac:dyDescent="0.25">
      <c r="B5598" s="36"/>
      <c r="C5598" s="20"/>
      <c r="D5598" s="25" t="s">
        <v>26232</v>
      </c>
      <c r="E5598" s="25"/>
      <c r="F5598" s="9" t="str">
        <f t="shared" si="80"/>
        <v>structure with developmental contribution from neural crest</v>
      </c>
      <c r="G5598" s="9" t="s">
        <v>5090</v>
      </c>
      <c r="H5598" s="9" t="s">
        <v>17421</v>
      </c>
      <c r="I5598" s="9" t="s">
        <v>10343</v>
      </c>
      <c r="J5598" s="9" t="s">
        <v>10344</v>
      </c>
      <c r="K5598" s="5" t="s">
        <v>15173</v>
      </c>
      <c r="L5598" s="13">
        <v>16969</v>
      </c>
      <c r="M5598" t="str">
        <f>VLOOKUP(L5598,[1]DevMouse!$B$2:$C$2693,2,FALSE)</f>
        <v>r1BLv</v>
      </c>
    </row>
    <row r="5599" spans="2:13" x14ac:dyDescent="0.25">
      <c r="B5599" s="31" t="s">
        <v>26303</v>
      </c>
      <c r="C5599" s="20"/>
      <c r="D5599" s="25" t="s">
        <v>26232</v>
      </c>
      <c r="E5599" s="20" t="s">
        <v>26300</v>
      </c>
      <c r="F5599" s="9" t="str">
        <f t="shared" si="80"/>
        <v>structure with developmental contribution from neural crest</v>
      </c>
      <c r="G5599" s="9" t="s">
        <v>5090</v>
      </c>
      <c r="H5599" s="9" t="s">
        <v>17422</v>
      </c>
      <c r="I5599" s="9" t="s">
        <v>10345</v>
      </c>
      <c r="J5599" s="9" t="s">
        <v>10346</v>
      </c>
      <c r="K5599" s="5" t="s">
        <v>15173</v>
      </c>
      <c r="L5599" s="13">
        <v>16970</v>
      </c>
      <c r="M5599" t="str">
        <f>VLOOKUP(L5599,[1]DevMouse!$B$2:$C$2693,2,FALSE)</f>
        <v>r1BLm</v>
      </c>
    </row>
    <row r="5600" spans="2:13" x14ac:dyDescent="0.25">
      <c r="B5600" s="36"/>
      <c r="C5600" s="20"/>
      <c r="D5600" s="25" t="s">
        <v>26232</v>
      </c>
      <c r="E5600" s="20" t="s">
        <v>26300</v>
      </c>
      <c r="F5600" s="9" t="str">
        <f t="shared" si="80"/>
        <v>structure with developmental contribution from neural crest</v>
      </c>
      <c r="G5600" s="9" t="s">
        <v>5090</v>
      </c>
      <c r="H5600" s="9" t="s">
        <v>17423</v>
      </c>
      <c r="I5600" s="9" t="s">
        <v>10347</v>
      </c>
      <c r="J5600" s="9" t="s">
        <v>10348</v>
      </c>
      <c r="K5600" s="5" t="s">
        <v>15173</v>
      </c>
      <c r="L5600" s="13">
        <v>16971</v>
      </c>
      <c r="M5600" t="str">
        <f>VLOOKUP(L5600,[1]DevMouse!$B$2:$C$2693,2,FALSE)</f>
        <v>r1BLp</v>
      </c>
    </row>
    <row r="5601" spans="2:13" x14ac:dyDescent="0.25">
      <c r="B5601" s="31" t="s">
        <v>26303</v>
      </c>
      <c r="C5601" s="25" t="s">
        <v>2801</v>
      </c>
      <c r="D5601" s="25" t="s">
        <v>26232</v>
      </c>
      <c r="E5601" s="25"/>
      <c r="F5601" s="9" t="str">
        <f t="shared" si="80"/>
        <v>structure with developmental contribution from neural crest</v>
      </c>
      <c r="G5601" s="9" t="s">
        <v>5090</v>
      </c>
      <c r="H5601" s="9" t="s">
        <v>17425</v>
      </c>
      <c r="I5601" s="9" t="s">
        <v>2798</v>
      </c>
      <c r="J5601" s="9" t="s">
        <v>2800</v>
      </c>
      <c r="K5601" s="5" t="s">
        <v>15173</v>
      </c>
      <c r="L5601" s="13">
        <v>16972</v>
      </c>
      <c r="M5601" t="str">
        <f>VLOOKUP(L5601,[1]DevMouse!$B$2:$C$2693,2,FALSE)</f>
        <v>LC</v>
      </c>
    </row>
    <row r="5602" spans="2:13" x14ac:dyDescent="0.25">
      <c r="B5602" s="31" t="s">
        <v>25743</v>
      </c>
      <c r="C5602" s="25" t="s">
        <v>16</v>
      </c>
      <c r="D5602" s="25" t="s">
        <v>26232</v>
      </c>
      <c r="E5602" s="25"/>
      <c r="F5602" s="9" t="str">
        <f t="shared" si="80"/>
        <v>structure with developmental contribution from neural crest</v>
      </c>
      <c r="G5602" s="9" t="s">
        <v>5090</v>
      </c>
      <c r="H5602" s="9" t="s">
        <v>17426</v>
      </c>
      <c r="I5602" s="9" t="s">
        <v>18</v>
      </c>
      <c r="J5602" s="9" t="s">
        <v>19</v>
      </c>
      <c r="K5602" s="5" t="s">
        <v>15173</v>
      </c>
      <c r="L5602" s="13">
        <v>16973</v>
      </c>
      <c r="M5602" t="str">
        <f>VLOOKUP(L5602,[1]DevMouse!$B$2:$C$2693,2,FALSE)</f>
        <v>Bar</v>
      </c>
    </row>
    <row r="5603" spans="2:13" x14ac:dyDescent="0.25">
      <c r="B5603" s="36"/>
      <c r="C5603" s="20"/>
      <c r="D5603" s="25" t="s">
        <v>26232</v>
      </c>
      <c r="E5603" s="25"/>
      <c r="F5603" s="9" t="str">
        <f t="shared" si="80"/>
        <v>structure with developmental contribution from neural crest</v>
      </c>
      <c r="G5603" s="9" t="s">
        <v>5090</v>
      </c>
      <c r="H5603" s="9" t="s">
        <v>17427</v>
      </c>
      <c r="I5603" s="9" t="s">
        <v>10349</v>
      </c>
      <c r="J5603" s="9" t="s">
        <v>10350</v>
      </c>
      <c r="K5603" s="5" t="s">
        <v>15173</v>
      </c>
      <c r="L5603" s="13">
        <v>16974</v>
      </c>
      <c r="M5603" t="str">
        <f>VLOOKUP(L5603,[1]DevMouse!$B$2:$C$2693,2,FALSE)</f>
        <v>NPS</v>
      </c>
    </row>
    <row r="5604" spans="2:13" x14ac:dyDescent="0.25">
      <c r="B5604" s="36"/>
      <c r="C5604" s="20"/>
      <c r="D5604" s="25" t="s">
        <v>26232</v>
      </c>
      <c r="E5604" s="25"/>
      <c r="F5604" s="9" t="str">
        <f t="shared" si="80"/>
        <v>structure with developmental contribution from neural crest</v>
      </c>
      <c r="G5604" s="9" t="s">
        <v>5090</v>
      </c>
      <c r="H5604" s="9" t="s">
        <v>17428</v>
      </c>
      <c r="I5604" s="9" t="s">
        <v>10351</v>
      </c>
      <c r="J5604" s="9" t="s">
        <v>10352</v>
      </c>
      <c r="K5604" s="5" t="s">
        <v>15173</v>
      </c>
      <c r="L5604" s="13">
        <v>16975</v>
      </c>
      <c r="M5604" t="str">
        <f>VLOOKUP(L5604,[1]DevMouse!$B$2:$C$2693,2,FALSE)</f>
        <v>r1BLi</v>
      </c>
    </row>
    <row r="5605" spans="2:13" x14ac:dyDescent="0.25">
      <c r="B5605" s="36"/>
      <c r="C5605" s="20"/>
      <c r="D5605" s="25" t="s">
        <v>26232</v>
      </c>
      <c r="E5605" s="25"/>
      <c r="F5605" s="9" t="str">
        <f t="shared" si="80"/>
        <v>structure with developmental contribution from neural crest</v>
      </c>
      <c r="G5605" s="9" t="s">
        <v>5090</v>
      </c>
      <c r="H5605" s="9" t="s">
        <v>17429</v>
      </c>
      <c r="I5605" s="9" t="s">
        <v>10353</v>
      </c>
      <c r="J5605" s="9" t="s">
        <v>10354</v>
      </c>
      <c r="K5605" s="5" t="s">
        <v>15173</v>
      </c>
      <c r="L5605" s="13">
        <v>16976</v>
      </c>
      <c r="M5605" t="str">
        <f>VLOOKUP(L5605,[1]DevMouse!$B$2:$C$2693,2,FALSE)</f>
        <v>r1CG</v>
      </c>
    </row>
    <row r="5606" spans="2:13" x14ac:dyDescent="0.25">
      <c r="B5606" s="31" t="s">
        <v>26303</v>
      </c>
      <c r="C5606" s="20"/>
      <c r="D5606" s="25" t="s">
        <v>26185</v>
      </c>
      <c r="E5606" s="25" t="s">
        <v>26300</v>
      </c>
      <c r="F5606" s="9" t="str">
        <f t="shared" si="80"/>
        <v>structure with developmental contribution from neural crest</v>
      </c>
      <c r="G5606" s="9" t="s">
        <v>5090</v>
      </c>
      <c r="H5606" s="9" t="s">
        <v>17430</v>
      </c>
      <c r="I5606" s="9" t="s">
        <v>10355</v>
      </c>
      <c r="J5606" s="9" t="s">
        <v>10356</v>
      </c>
      <c r="K5606" s="5" t="s">
        <v>15173</v>
      </c>
      <c r="L5606" s="13">
        <v>16977</v>
      </c>
      <c r="M5606" t="str">
        <f>VLOOKUP(L5606,[1]DevMouse!$B$2:$C$2693,2,FALSE)</f>
        <v>Su5</v>
      </c>
    </row>
    <row r="5607" spans="2:13" x14ac:dyDescent="0.25">
      <c r="B5607" s="36"/>
      <c r="C5607" s="20"/>
      <c r="D5607" s="25" t="s">
        <v>26232</v>
      </c>
      <c r="E5607" s="25"/>
      <c r="F5607" s="9" t="str">
        <f t="shared" si="80"/>
        <v>structure with developmental contribution from neural crest</v>
      </c>
      <c r="G5607" s="9" t="s">
        <v>5090</v>
      </c>
      <c r="H5607" s="9" t="s">
        <v>17431</v>
      </c>
      <c r="I5607" s="9" t="s">
        <v>10357</v>
      </c>
      <c r="J5607" s="9" t="s">
        <v>10358</v>
      </c>
      <c r="K5607" s="5" t="s">
        <v>15173</v>
      </c>
      <c r="L5607" s="13">
        <v>16978</v>
      </c>
      <c r="M5607" t="str">
        <f>VLOOKUP(L5607,[1]DevMouse!$B$2:$C$2693,2,FALSE)</f>
        <v>r1BLRt</v>
      </c>
    </row>
    <row r="5608" spans="2:13" x14ac:dyDescent="0.25">
      <c r="B5608" s="31" t="s">
        <v>26303</v>
      </c>
      <c r="C5608" s="20"/>
      <c r="D5608" s="25" t="s">
        <v>26232</v>
      </c>
      <c r="E5608" s="25" t="s">
        <v>26308</v>
      </c>
      <c r="F5608" s="9" t="str">
        <f t="shared" si="80"/>
        <v>structure with developmental contribution from neural crest</v>
      </c>
      <c r="G5608" s="9" t="s">
        <v>5090</v>
      </c>
      <c r="H5608" s="9" t="s">
        <v>17433</v>
      </c>
      <c r="I5608" s="9" t="s">
        <v>10359</v>
      </c>
      <c r="J5608" s="9" t="s">
        <v>10360</v>
      </c>
      <c r="K5608" s="5" t="s">
        <v>15173</v>
      </c>
      <c r="L5608" s="13">
        <v>16979</v>
      </c>
      <c r="M5608" t="str">
        <f>VLOOKUP(L5608,[1]DevMouse!$B$2:$C$2693,2,FALSE)</f>
        <v>r1MPL</v>
      </c>
    </row>
    <row r="5609" spans="2:13" x14ac:dyDescent="0.25">
      <c r="B5609" s="31" t="s">
        <v>26303</v>
      </c>
      <c r="C5609" s="20"/>
      <c r="D5609" s="25" t="s">
        <v>26232</v>
      </c>
      <c r="E5609" s="25" t="s">
        <v>26308</v>
      </c>
      <c r="F5609" s="9" t="str">
        <f t="shared" si="80"/>
        <v>structure with developmental contribution from neural crest</v>
      </c>
      <c r="G5609" s="9" t="s">
        <v>5090</v>
      </c>
      <c r="H5609" s="9" t="s">
        <v>17434</v>
      </c>
      <c r="I5609" s="9" t="s">
        <v>10361</v>
      </c>
      <c r="J5609" s="9" t="s">
        <v>10362</v>
      </c>
      <c r="K5609" s="5" t="s">
        <v>15173</v>
      </c>
      <c r="L5609" s="13">
        <v>16980</v>
      </c>
      <c r="M5609" t="str">
        <f>VLOOKUP(L5609,[1]DevMouse!$B$2:$C$2693,2,FALSE)</f>
        <v>r1LPaL</v>
      </c>
    </row>
    <row r="5610" spans="2:13" x14ac:dyDescent="0.25">
      <c r="B5610" s="36"/>
      <c r="C5610" s="20"/>
      <c r="D5610" s="25" t="s">
        <v>26232</v>
      </c>
      <c r="E5610" s="25"/>
      <c r="F5610" s="9" t="str">
        <f t="shared" si="80"/>
        <v>structure with developmental contribution from neural crest</v>
      </c>
      <c r="G5610" s="9" t="s">
        <v>5090</v>
      </c>
      <c r="H5610" s="9" t="s">
        <v>17432</v>
      </c>
      <c r="I5610" s="9" t="s">
        <v>10363</v>
      </c>
      <c r="J5610" s="9" t="s">
        <v>10364</v>
      </c>
      <c r="K5610" s="5" t="s">
        <v>15173</v>
      </c>
      <c r="L5610" s="13">
        <v>16981</v>
      </c>
      <c r="M5610" t="str">
        <f>VLOOKUP(L5610,[1]DevMouse!$B$2:$C$2693,2,FALSE)</f>
        <v>r1BLs</v>
      </c>
    </row>
    <row r="5611" spans="2:13" x14ac:dyDescent="0.25">
      <c r="B5611" s="31" t="s">
        <v>26303</v>
      </c>
      <c r="C5611" s="25" t="s">
        <v>2468</v>
      </c>
      <c r="D5611" s="25" t="s">
        <v>26232</v>
      </c>
      <c r="E5611" s="25"/>
      <c r="F5611" s="9" t="str">
        <f t="shared" si="80"/>
        <v>structure with developmental contribution from neural crest</v>
      </c>
      <c r="G5611" s="9" t="s">
        <v>5090</v>
      </c>
      <c r="H5611" s="9" t="s">
        <v>17435</v>
      </c>
      <c r="I5611" s="9" t="s">
        <v>10365</v>
      </c>
      <c r="J5611" s="9" t="s">
        <v>10366</v>
      </c>
      <c r="K5611" s="5" t="s">
        <v>15173</v>
      </c>
      <c r="L5611" s="13">
        <v>16982</v>
      </c>
      <c r="M5611" t="str">
        <f>VLOOKUP(L5611,[1]DevMouse!$B$2:$C$2693,2,FALSE)</f>
        <v>r1ILL</v>
      </c>
    </row>
    <row r="5612" spans="2:13" x14ac:dyDescent="0.25">
      <c r="B5612" s="31" t="s">
        <v>26303</v>
      </c>
      <c r="C5612" s="20"/>
      <c r="D5612" s="25" t="s">
        <v>26185</v>
      </c>
      <c r="E5612" s="25" t="s">
        <v>26300</v>
      </c>
      <c r="F5612" s="9" t="str">
        <f t="shared" si="80"/>
        <v>structure with developmental contribution from neural crest</v>
      </c>
      <c r="G5612" s="9" t="s">
        <v>5090</v>
      </c>
      <c r="H5612" s="9" t="s">
        <v>17436</v>
      </c>
      <c r="I5612" s="9" t="s">
        <v>10367</v>
      </c>
      <c r="J5612" s="9" t="s">
        <v>10368</v>
      </c>
      <c r="K5612" s="5" t="s">
        <v>15173</v>
      </c>
      <c r="L5612" s="13">
        <v>16983</v>
      </c>
      <c r="M5612" t="str">
        <f>VLOOKUP(L5612,[1]DevMouse!$B$2:$C$2693,2,FALSE)</f>
        <v>RR</v>
      </c>
    </row>
    <row r="5613" spans="2:13" x14ac:dyDescent="0.25">
      <c r="B5613" s="36"/>
      <c r="C5613" s="20"/>
      <c r="D5613" s="25" t="s">
        <v>26232</v>
      </c>
      <c r="E5613" s="25"/>
      <c r="F5613" s="9" t="str">
        <f t="shared" si="80"/>
        <v>structure with developmental contribution from neural crest</v>
      </c>
      <c r="G5613" s="9" t="s">
        <v>5090</v>
      </c>
      <c r="H5613" s="9" t="s">
        <v>17437</v>
      </c>
      <c r="I5613" s="9" t="s">
        <v>10369</v>
      </c>
      <c r="J5613" s="9" t="s">
        <v>10370</v>
      </c>
      <c r="K5613" s="5" t="s">
        <v>15173</v>
      </c>
      <c r="L5613" s="13">
        <v>16984</v>
      </c>
      <c r="M5613" t="str">
        <f>VLOOKUP(L5613,[1]DevMouse!$B$2:$C$2693,2,FALSE)</f>
        <v>r1BI</v>
      </c>
    </row>
    <row r="5614" spans="2:13" x14ac:dyDescent="0.25">
      <c r="B5614" s="36"/>
      <c r="C5614" s="20"/>
      <c r="D5614" s="25" t="s">
        <v>26232</v>
      </c>
      <c r="E5614" s="25"/>
      <c r="F5614" s="9" t="str">
        <f t="shared" si="80"/>
        <v>structure with developmental contribution from neural crest</v>
      </c>
      <c r="G5614" s="9" t="s">
        <v>5090</v>
      </c>
      <c r="H5614" s="9" t="s">
        <v>17438</v>
      </c>
      <c r="I5614" s="9" t="s">
        <v>10371</v>
      </c>
      <c r="J5614" s="9" t="s">
        <v>10372</v>
      </c>
      <c r="K5614" s="5" t="s">
        <v>15173</v>
      </c>
      <c r="L5614" s="13">
        <v>16985</v>
      </c>
      <c r="M5614" t="str">
        <f>VLOOKUP(L5614,[1]DevMouse!$B$2:$C$2693,2,FALSE)</f>
        <v>r1BIv</v>
      </c>
    </row>
    <row r="5615" spans="2:13" x14ac:dyDescent="0.25">
      <c r="B5615" s="31" t="s">
        <v>26303</v>
      </c>
      <c r="C5615" s="20"/>
      <c r="D5615" s="25" t="s">
        <v>26232</v>
      </c>
      <c r="E5615" s="20" t="s">
        <v>26300</v>
      </c>
      <c r="F5615" s="9" t="str">
        <f t="shared" si="80"/>
        <v>structure with developmental contribution from neural crest</v>
      </c>
      <c r="G5615" s="9" t="s">
        <v>5090</v>
      </c>
      <c r="H5615" s="9" t="s">
        <v>17439</v>
      </c>
      <c r="I5615" s="9" t="s">
        <v>10373</v>
      </c>
      <c r="J5615" s="9" t="s">
        <v>10374</v>
      </c>
      <c r="K5615" s="5" t="s">
        <v>15173</v>
      </c>
      <c r="L5615" s="13">
        <v>16986</v>
      </c>
      <c r="M5615" t="str">
        <f>VLOOKUP(L5615,[1]DevMouse!$B$2:$C$2693,2,FALSE)</f>
        <v>r1BIm</v>
      </c>
    </row>
    <row r="5616" spans="2:13" x14ac:dyDescent="0.25">
      <c r="B5616" s="36"/>
      <c r="C5616" s="20"/>
      <c r="D5616" s="25" t="s">
        <v>26232</v>
      </c>
      <c r="E5616" s="20" t="s">
        <v>26300</v>
      </c>
      <c r="F5616" s="9" t="str">
        <f t="shared" si="80"/>
        <v>structure with developmental contribution from neural crest</v>
      </c>
      <c r="G5616" s="9" t="s">
        <v>5090</v>
      </c>
      <c r="H5616" s="9" t="s">
        <v>17440</v>
      </c>
      <c r="I5616" s="9" t="s">
        <v>10375</v>
      </c>
      <c r="J5616" s="9" t="s">
        <v>10376</v>
      </c>
      <c r="K5616" s="5" t="s">
        <v>15173</v>
      </c>
      <c r="L5616" s="13">
        <v>16987</v>
      </c>
      <c r="M5616" t="str">
        <f>VLOOKUP(L5616,[1]DevMouse!$B$2:$C$2693,2,FALSE)</f>
        <v>r1BIp</v>
      </c>
    </row>
    <row r="5617" spans="2:13" x14ac:dyDescent="0.25">
      <c r="B5617" s="36"/>
      <c r="C5617" s="20"/>
      <c r="D5617" s="25" t="s">
        <v>26232</v>
      </c>
      <c r="E5617" s="25"/>
      <c r="F5617" s="9" t="str">
        <f t="shared" si="80"/>
        <v>structure with developmental contribution from neural crest</v>
      </c>
      <c r="G5617" s="9" t="s">
        <v>5090</v>
      </c>
      <c r="H5617" s="9" t="s">
        <v>17441</v>
      </c>
      <c r="I5617" s="9" t="s">
        <v>10377</v>
      </c>
      <c r="J5617" s="9" t="s">
        <v>10378</v>
      </c>
      <c r="K5617" s="5" t="s">
        <v>15173</v>
      </c>
      <c r="L5617" s="13">
        <v>16988</v>
      </c>
      <c r="M5617" t="str">
        <f>VLOOKUP(L5617,[1]DevMouse!$B$2:$C$2693,2,FALSE)</f>
        <v>r1BICG</v>
      </c>
    </row>
    <row r="5618" spans="2:13" x14ac:dyDescent="0.25">
      <c r="B5618" s="31" t="s">
        <v>26303</v>
      </c>
      <c r="C5618" s="20"/>
      <c r="D5618" s="25" t="s">
        <v>26185</v>
      </c>
      <c r="E5618" s="25" t="s">
        <v>26300</v>
      </c>
      <c r="F5618" s="9" t="str">
        <f t="shared" si="80"/>
        <v>structure with developmental contribution from neural crest</v>
      </c>
      <c r="G5618" s="9" t="s">
        <v>5090</v>
      </c>
      <c r="H5618" s="9" t="s">
        <v>17442</v>
      </c>
      <c r="I5618" s="9" t="s">
        <v>10379</v>
      </c>
      <c r="J5618" s="9" t="s">
        <v>10380</v>
      </c>
      <c r="K5618" s="5" t="s">
        <v>15173</v>
      </c>
      <c r="L5618" s="13">
        <v>16989</v>
      </c>
      <c r="M5618" t="str">
        <f>VLOOKUP(L5618,[1]DevMouse!$B$2:$C$2693,2,FALSE)</f>
        <v>r1MDTg</v>
      </c>
    </row>
    <row r="5619" spans="2:13" x14ac:dyDescent="0.25">
      <c r="B5619" s="36"/>
      <c r="C5619" s="20"/>
      <c r="D5619" s="25" t="s">
        <v>26232</v>
      </c>
      <c r="E5619" s="25"/>
      <c r="F5619" s="9" t="str">
        <f t="shared" si="80"/>
        <v>structure with developmental contribution from neural crest</v>
      </c>
      <c r="G5619" s="9" t="s">
        <v>5090</v>
      </c>
      <c r="H5619" s="9" t="s">
        <v>17444</v>
      </c>
      <c r="I5619" s="9" t="s">
        <v>10381</v>
      </c>
      <c r="J5619" s="9" t="s">
        <v>10382</v>
      </c>
      <c r="K5619" s="5" t="s">
        <v>15173</v>
      </c>
      <c r="L5619" s="13">
        <v>16990</v>
      </c>
      <c r="M5619" t="str">
        <f>VLOOKUP(L5619,[1]DevMouse!$B$2:$C$2693,2,FALSE)</f>
        <v>r1BIi</v>
      </c>
    </row>
    <row r="5620" spans="2:13" x14ac:dyDescent="0.25">
      <c r="B5620" s="36"/>
      <c r="C5620" s="20"/>
      <c r="D5620" s="25" t="s">
        <v>26232</v>
      </c>
      <c r="E5620" s="25"/>
      <c r="F5620" s="9" t="str">
        <f t="shared" si="80"/>
        <v>structure with developmental contribution from neural crest</v>
      </c>
      <c r="G5620" s="9" t="s">
        <v>5090</v>
      </c>
      <c r="H5620" s="9" t="s">
        <v>17445</v>
      </c>
      <c r="I5620" s="9" t="s">
        <v>10383</v>
      </c>
      <c r="J5620" s="9" t="s">
        <v>10384</v>
      </c>
      <c r="K5620" s="5" t="s">
        <v>15173</v>
      </c>
      <c r="L5620" s="13">
        <v>16991</v>
      </c>
      <c r="M5620" t="str">
        <f>VLOOKUP(L5620,[1]DevMouse!$B$2:$C$2693,2,FALSE)</f>
        <v>r1BIRt</v>
      </c>
    </row>
    <row r="5621" spans="2:13" x14ac:dyDescent="0.25">
      <c r="B5621" s="31" t="s">
        <v>26303</v>
      </c>
      <c r="C5621" s="25" t="s">
        <v>25962</v>
      </c>
      <c r="D5621" s="25" t="s">
        <v>26232</v>
      </c>
      <c r="E5621" s="25"/>
      <c r="F5621" s="9" t="str">
        <f t="shared" si="80"/>
        <v>structure with developmental contribution from neural crest</v>
      </c>
      <c r="G5621" s="9" t="s">
        <v>5090</v>
      </c>
      <c r="H5621" s="9" t="s">
        <v>17446</v>
      </c>
      <c r="I5621" s="9" t="s">
        <v>10385</v>
      </c>
      <c r="J5621" s="9" t="s">
        <v>10386</v>
      </c>
      <c r="K5621" s="5" t="s">
        <v>15173</v>
      </c>
      <c r="L5621" s="13">
        <v>16992</v>
      </c>
      <c r="M5621" t="str">
        <f>VLOOKUP(L5621,[1]DevMouse!$B$2:$C$2693,2,FALSE)</f>
        <v>r1SubC</v>
      </c>
    </row>
    <row r="5622" spans="2:13" x14ac:dyDescent="0.25">
      <c r="B5622" s="36"/>
      <c r="C5622" s="20"/>
      <c r="D5622" s="25" t="s">
        <v>26232</v>
      </c>
      <c r="E5622" s="25"/>
      <c r="F5622" s="9" t="str">
        <f t="shared" si="80"/>
        <v>structure with developmental contribution from neural crest</v>
      </c>
      <c r="G5622" s="9" t="s">
        <v>5090</v>
      </c>
      <c r="H5622" s="9" t="s">
        <v>17447</v>
      </c>
      <c r="I5622" s="9" t="s">
        <v>10387</v>
      </c>
      <c r="J5622" s="9" t="s">
        <v>10388</v>
      </c>
      <c r="K5622" s="5" t="s">
        <v>15173</v>
      </c>
      <c r="L5622" s="13">
        <v>16993</v>
      </c>
      <c r="M5622" t="str">
        <f>VLOOKUP(L5622,[1]DevMouse!$B$2:$C$2693,2,FALSE)</f>
        <v>r1BIs</v>
      </c>
    </row>
    <row r="5623" spans="2:13" x14ac:dyDescent="0.25">
      <c r="B5623" s="36"/>
      <c r="C5623" s="20"/>
      <c r="D5623" s="25" t="s">
        <v>26232</v>
      </c>
      <c r="E5623" s="25"/>
      <c r="F5623" s="9" t="str">
        <f t="shared" ref="F5623:F5686" si="81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5623" s="9" t="s">
        <v>5090</v>
      </c>
      <c r="H5623" s="9" t="s">
        <v>17449</v>
      </c>
      <c r="I5623" s="9" t="s">
        <v>10389</v>
      </c>
      <c r="J5623" s="9" t="s">
        <v>10390</v>
      </c>
      <c r="K5623" s="5" t="s">
        <v>15173</v>
      </c>
      <c r="L5623" s="13">
        <v>16994</v>
      </c>
      <c r="M5623" t="str">
        <f>VLOOKUP(L5623,[1]DevMouse!$B$2:$C$2693,2,FALSE)</f>
        <v>r1BM</v>
      </c>
    </row>
    <row r="5624" spans="2:13" x14ac:dyDescent="0.25">
      <c r="B5624" s="36"/>
      <c r="C5624" s="20"/>
      <c r="D5624" s="25" t="s">
        <v>26232</v>
      </c>
      <c r="E5624" s="25"/>
      <c r="F5624" s="9" t="str">
        <f t="shared" si="81"/>
        <v>structure with developmental contribution from neural crest</v>
      </c>
      <c r="G5624" s="9" t="s">
        <v>5090</v>
      </c>
      <c r="H5624" s="9" t="s">
        <v>17450</v>
      </c>
      <c r="I5624" s="9" t="s">
        <v>10391</v>
      </c>
      <c r="J5624" s="9" t="s">
        <v>10392</v>
      </c>
      <c r="K5624" s="5" t="s">
        <v>15173</v>
      </c>
      <c r="L5624" s="13">
        <v>16995</v>
      </c>
      <c r="M5624" t="str">
        <f>VLOOKUP(L5624,[1]DevMouse!$B$2:$C$2693,2,FALSE)</f>
        <v>r1BMv</v>
      </c>
    </row>
    <row r="5625" spans="2:13" x14ac:dyDescent="0.25">
      <c r="B5625" s="31" t="s">
        <v>26303</v>
      </c>
      <c r="C5625" s="20"/>
      <c r="D5625" s="25" t="s">
        <v>26232</v>
      </c>
      <c r="E5625" s="20" t="s">
        <v>26300</v>
      </c>
      <c r="F5625" s="9" t="str">
        <f t="shared" si="81"/>
        <v>structure with developmental contribution from neural crest</v>
      </c>
      <c r="G5625" s="9" t="s">
        <v>5090</v>
      </c>
      <c r="H5625" s="9" t="s">
        <v>17451</v>
      </c>
      <c r="I5625" s="9" t="s">
        <v>10393</v>
      </c>
      <c r="J5625" s="9" t="s">
        <v>10394</v>
      </c>
      <c r="K5625" s="5" t="s">
        <v>15173</v>
      </c>
      <c r="L5625" s="13">
        <v>16996</v>
      </c>
      <c r="M5625" t="str">
        <f>VLOOKUP(L5625,[1]DevMouse!$B$2:$C$2693,2,FALSE)</f>
        <v>r1BMm</v>
      </c>
    </row>
    <row r="5626" spans="2:13" x14ac:dyDescent="0.25">
      <c r="B5626" s="36"/>
      <c r="C5626" s="20"/>
      <c r="D5626" s="25" t="s">
        <v>26232</v>
      </c>
      <c r="E5626" s="20" t="s">
        <v>26300</v>
      </c>
      <c r="F5626" s="9" t="str">
        <f t="shared" si="81"/>
        <v>structure with developmental contribution from neural crest</v>
      </c>
      <c r="G5626" s="9" t="s">
        <v>5090</v>
      </c>
      <c r="H5626" s="9" t="s">
        <v>17452</v>
      </c>
      <c r="I5626" s="9" t="s">
        <v>10395</v>
      </c>
      <c r="J5626" s="9" t="s">
        <v>10396</v>
      </c>
      <c r="K5626" s="5" t="s">
        <v>15173</v>
      </c>
      <c r="L5626" s="13">
        <v>16997</v>
      </c>
      <c r="M5626" t="str">
        <f>VLOOKUP(L5626,[1]DevMouse!$B$2:$C$2693,2,FALSE)</f>
        <v>r1BMp</v>
      </c>
    </row>
    <row r="5627" spans="2:13" x14ac:dyDescent="0.25">
      <c r="B5627" s="31" t="s">
        <v>26299</v>
      </c>
      <c r="C5627" s="25" t="s">
        <v>1598</v>
      </c>
      <c r="D5627" s="25" t="s">
        <v>26232</v>
      </c>
      <c r="E5627" s="25" t="s">
        <v>26308</v>
      </c>
      <c r="F5627" s="9" t="str">
        <f t="shared" si="81"/>
        <v>structure with developmental contribution from neural crest</v>
      </c>
      <c r="G5627" s="9" t="s">
        <v>5090</v>
      </c>
      <c r="H5627" s="9" t="s">
        <v>17453</v>
      </c>
      <c r="I5627" s="9" t="s">
        <v>10397</v>
      </c>
      <c r="J5627" s="9" t="s">
        <v>10398</v>
      </c>
      <c r="K5627" s="5" t="s">
        <v>15173</v>
      </c>
      <c r="L5627" s="13">
        <v>16998</v>
      </c>
      <c r="M5627" t="str">
        <f>VLOOKUP(L5627,[1]DevMouse!$B$2:$C$2693,2,FALSE)</f>
        <v>r1DR</v>
      </c>
    </row>
    <row r="5628" spans="2:13" x14ac:dyDescent="0.25">
      <c r="B5628" s="31" t="s">
        <v>26303</v>
      </c>
      <c r="C5628" s="20"/>
      <c r="D5628" s="25" t="s">
        <v>26232</v>
      </c>
      <c r="E5628" s="25" t="s">
        <v>26300</v>
      </c>
      <c r="F5628" s="9" t="str">
        <f t="shared" si="81"/>
        <v>structure with developmental contribution from neural crest</v>
      </c>
      <c r="G5628" s="9" t="s">
        <v>5090</v>
      </c>
      <c r="H5628" s="9" t="s">
        <v>17454</v>
      </c>
      <c r="I5628" s="9" t="s">
        <v>10399</v>
      </c>
      <c r="J5628" s="9" t="s">
        <v>10400</v>
      </c>
      <c r="K5628" s="5" t="s">
        <v>15173</v>
      </c>
      <c r="L5628" s="13">
        <v>16999</v>
      </c>
      <c r="M5628" t="str">
        <f>VLOOKUP(L5628,[1]DevMouse!$B$2:$C$2693,2,FALSE)</f>
        <v>Sph</v>
      </c>
    </row>
    <row r="5629" spans="2:13" x14ac:dyDescent="0.25">
      <c r="B5629" s="31" t="s">
        <v>26303</v>
      </c>
      <c r="C5629" s="25" t="s">
        <v>1614</v>
      </c>
      <c r="D5629" s="25" t="s">
        <v>26232</v>
      </c>
      <c r="E5629" s="25"/>
      <c r="F5629" s="9" t="str">
        <f t="shared" si="81"/>
        <v>structure with developmental contribution from neural crest</v>
      </c>
      <c r="G5629" s="9" t="s">
        <v>5090</v>
      </c>
      <c r="H5629" s="9" t="s">
        <v>17455</v>
      </c>
      <c r="I5629" s="9" t="s">
        <v>1614</v>
      </c>
      <c r="J5629" s="9" t="s">
        <v>1616</v>
      </c>
      <c r="K5629" s="5" t="s">
        <v>15173</v>
      </c>
      <c r="L5629" s="13">
        <v>17000</v>
      </c>
      <c r="M5629" t="str">
        <f>VLOOKUP(L5629,[1]DevMouse!$B$2:$C$2693,2,FALSE)</f>
        <v>DTg</v>
      </c>
    </row>
    <row r="5630" spans="2:13" x14ac:dyDescent="0.25">
      <c r="B5630" s="31" t="s">
        <v>26303</v>
      </c>
      <c r="C5630" s="25" t="s">
        <v>1614</v>
      </c>
      <c r="D5630" s="25" t="s">
        <v>26232</v>
      </c>
      <c r="E5630" s="25"/>
      <c r="F5630" s="9" t="str">
        <f t="shared" si="81"/>
        <v>structure with developmental contribution from neural crest</v>
      </c>
      <c r="G5630" s="9" t="s">
        <v>5090</v>
      </c>
      <c r="H5630" s="9" t="s">
        <v>17456</v>
      </c>
      <c r="I5630" s="9" t="s">
        <v>10401</v>
      </c>
      <c r="J5630" s="9" t="s">
        <v>10402</v>
      </c>
      <c r="K5630" s="5" t="s">
        <v>15173</v>
      </c>
      <c r="L5630" s="13">
        <v>17001</v>
      </c>
      <c r="M5630" t="str">
        <f>VLOOKUP(L5630,[1]DevMouse!$B$2:$C$2693,2,FALSE)</f>
        <v>DTgC</v>
      </c>
    </row>
    <row r="5631" spans="2:13" x14ac:dyDescent="0.25">
      <c r="B5631" s="31" t="s">
        <v>26303</v>
      </c>
      <c r="C5631" s="25" t="s">
        <v>1614</v>
      </c>
      <c r="D5631" s="25" t="s">
        <v>26232</v>
      </c>
      <c r="E5631" s="25"/>
      <c r="F5631" s="9" t="str">
        <f t="shared" si="81"/>
        <v>structure with developmental contribution from neural crest</v>
      </c>
      <c r="G5631" s="9" t="s">
        <v>5090</v>
      </c>
      <c r="H5631" s="9" t="s">
        <v>17457</v>
      </c>
      <c r="I5631" s="9" t="s">
        <v>10403</v>
      </c>
      <c r="J5631" s="9" t="s">
        <v>10404</v>
      </c>
      <c r="K5631" s="5" t="s">
        <v>15173</v>
      </c>
      <c r="L5631" s="13">
        <v>17002</v>
      </c>
      <c r="M5631" t="str">
        <f>VLOOKUP(L5631,[1]DevMouse!$B$2:$C$2693,2,FALSE)</f>
        <v>DTgS</v>
      </c>
    </row>
    <row r="5632" spans="2:13" x14ac:dyDescent="0.25">
      <c r="B5632" s="36"/>
      <c r="C5632" s="20"/>
      <c r="D5632" s="25" t="s">
        <v>26232</v>
      </c>
      <c r="E5632" s="25"/>
      <c r="F5632" s="9" t="str">
        <f t="shared" si="81"/>
        <v>structure with developmental contribution from neural crest</v>
      </c>
      <c r="G5632" s="9" t="s">
        <v>5090</v>
      </c>
      <c r="H5632" s="9" t="s">
        <v>17458</v>
      </c>
      <c r="I5632" s="9" t="s">
        <v>10405</v>
      </c>
      <c r="J5632" s="9" t="s">
        <v>10406</v>
      </c>
      <c r="K5632" s="5" t="s">
        <v>15173</v>
      </c>
      <c r="L5632" s="13">
        <v>17003</v>
      </c>
      <c r="M5632" t="str">
        <f>VLOOKUP(L5632,[1]DevMouse!$B$2:$C$2693,2,FALSE)</f>
        <v>r1BMCG</v>
      </c>
    </row>
    <row r="5633" spans="2:13" x14ac:dyDescent="0.25">
      <c r="B5633" s="36"/>
      <c r="C5633" s="20"/>
      <c r="D5633" s="25" t="s">
        <v>26232</v>
      </c>
      <c r="E5633" s="25"/>
      <c r="F5633" s="9" t="str">
        <f t="shared" si="81"/>
        <v>structure with developmental contribution from neural crest</v>
      </c>
      <c r="G5633" s="9" t="s">
        <v>5090</v>
      </c>
      <c r="H5633" s="9" t="s">
        <v>17459</v>
      </c>
      <c r="I5633" s="9" t="s">
        <v>10407</v>
      </c>
      <c r="J5633" s="9" t="s">
        <v>10408</v>
      </c>
      <c r="K5633" s="5" t="s">
        <v>15173</v>
      </c>
      <c r="L5633" s="13">
        <v>17004</v>
      </c>
      <c r="M5633" t="str">
        <f>VLOOKUP(L5633,[1]DevMouse!$B$2:$C$2693,2,FALSE)</f>
        <v>r1BMi</v>
      </c>
    </row>
    <row r="5634" spans="2:13" x14ac:dyDescent="0.25">
      <c r="B5634" s="31" t="s">
        <v>26303</v>
      </c>
      <c r="C5634" s="25" t="s">
        <v>2503</v>
      </c>
      <c r="D5634" s="25" t="s">
        <v>26232</v>
      </c>
      <c r="E5634" s="25"/>
      <c r="F5634" s="9" t="str">
        <f t="shared" si="81"/>
        <v>structure with developmental contribution from neural crest</v>
      </c>
      <c r="G5634" s="9" t="s">
        <v>5090</v>
      </c>
      <c r="H5634" s="9" t="s">
        <v>17460</v>
      </c>
      <c r="I5634" s="9" t="s">
        <v>10409</v>
      </c>
      <c r="J5634" s="9" t="s">
        <v>10410</v>
      </c>
      <c r="K5634" s="5" t="s">
        <v>15173</v>
      </c>
      <c r="L5634" s="13">
        <v>17005</v>
      </c>
      <c r="M5634" t="str">
        <f>VLOOKUP(L5634,[1]DevMouse!$B$2:$C$2693,2,FALSE)</f>
        <v>IPA</v>
      </c>
    </row>
    <row r="5635" spans="2:13" x14ac:dyDescent="0.25">
      <c r="B5635" s="31" t="s">
        <v>26303</v>
      </c>
      <c r="C5635" s="25" t="s">
        <v>2503</v>
      </c>
      <c r="D5635" s="25" t="s">
        <v>26232</v>
      </c>
      <c r="E5635" s="25"/>
      <c r="F5635" s="9" t="str">
        <f t="shared" si="81"/>
        <v>structure with developmental contribution from neural crest</v>
      </c>
      <c r="G5635" s="9" t="s">
        <v>5090</v>
      </c>
      <c r="H5635" s="9" t="s">
        <v>17461</v>
      </c>
      <c r="I5635" s="9" t="s">
        <v>10411</v>
      </c>
      <c r="J5635" s="9" t="s">
        <v>10412</v>
      </c>
      <c r="K5635" s="5" t="s">
        <v>15173</v>
      </c>
      <c r="L5635" s="13">
        <v>17006</v>
      </c>
      <c r="M5635" t="str">
        <f>VLOOKUP(L5635,[1]DevMouse!$B$2:$C$2693,2,FALSE)</f>
        <v>Rbd</v>
      </c>
    </row>
    <row r="5636" spans="2:13" x14ac:dyDescent="0.25">
      <c r="B5636" s="31" t="s">
        <v>26303</v>
      </c>
      <c r="C5636" s="25" t="s">
        <v>2257</v>
      </c>
      <c r="D5636" s="25" t="s">
        <v>26232</v>
      </c>
      <c r="E5636" s="25"/>
      <c r="F5636" s="9" t="str">
        <f t="shared" si="81"/>
        <v>structure with developmental contribution from neural crest</v>
      </c>
      <c r="G5636" s="9" t="s">
        <v>5090</v>
      </c>
      <c r="H5636" s="9" t="s">
        <v>17462</v>
      </c>
      <c r="I5636" s="9" t="s">
        <v>2257</v>
      </c>
      <c r="J5636" s="9" t="s">
        <v>2268</v>
      </c>
      <c r="K5636" s="5" t="s">
        <v>15173</v>
      </c>
      <c r="L5636" s="13">
        <v>17007</v>
      </c>
      <c r="M5636" t="str">
        <f>VLOOKUP(L5636,[1]DevMouse!$B$2:$C$2693,2,FALSE)</f>
        <v>VTg</v>
      </c>
    </row>
    <row r="5637" spans="2:13" x14ac:dyDescent="0.25">
      <c r="B5637" s="31" t="s">
        <v>26303</v>
      </c>
      <c r="C5637" s="25" t="s">
        <v>425</v>
      </c>
      <c r="D5637" s="25" t="s">
        <v>26232</v>
      </c>
      <c r="E5637" s="25"/>
      <c r="F5637" s="9" t="str">
        <f t="shared" si="81"/>
        <v>structure with developmental contribution from neural crest</v>
      </c>
      <c r="G5637" s="9" t="s">
        <v>5090</v>
      </c>
      <c r="H5637" s="9" t="s">
        <v>17463</v>
      </c>
      <c r="I5637" s="9" t="s">
        <v>425</v>
      </c>
      <c r="J5637" s="9" t="s">
        <v>426</v>
      </c>
      <c r="K5637" s="5" t="s">
        <v>15173</v>
      </c>
      <c r="L5637" s="13">
        <v>17008</v>
      </c>
      <c r="M5637" t="str">
        <f>VLOOKUP(L5637,[1]DevMouse!$B$2:$C$2693,2,FALSE)</f>
        <v>ATg</v>
      </c>
    </row>
    <row r="5638" spans="2:13" x14ac:dyDescent="0.25">
      <c r="B5638" s="36"/>
      <c r="C5638" s="20"/>
      <c r="D5638" s="25" t="s">
        <v>26232</v>
      </c>
      <c r="E5638" s="25"/>
      <c r="F5638" s="9" t="str">
        <f t="shared" si="81"/>
        <v>structure with developmental contribution from neural crest</v>
      </c>
      <c r="G5638" s="9" t="s">
        <v>5090</v>
      </c>
      <c r="H5638" s="9" t="s">
        <v>17464</v>
      </c>
      <c r="I5638" s="9" t="s">
        <v>10413</v>
      </c>
      <c r="J5638" s="9" t="s">
        <v>10414</v>
      </c>
      <c r="K5638" s="5" t="s">
        <v>15173</v>
      </c>
      <c r="L5638" s="13">
        <v>17009</v>
      </c>
      <c r="M5638" t="str">
        <f>VLOOKUP(L5638,[1]DevMouse!$B$2:$C$2693,2,FALSE)</f>
        <v>PTg</v>
      </c>
    </row>
    <row r="5639" spans="2:13" x14ac:dyDescent="0.25">
      <c r="B5639" s="31" t="s">
        <v>26303</v>
      </c>
      <c r="C5639" s="25" t="s">
        <v>3302</v>
      </c>
      <c r="D5639" s="25" t="s">
        <v>26185</v>
      </c>
      <c r="E5639" s="25" t="s">
        <v>26308</v>
      </c>
      <c r="F5639" s="9" t="str">
        <f t="shared" si="81"/>
        <v>structure with developmental contribution from neural crest</v>
      </c>
      <c r="G5639" s="9" t="s">
        <v>5090</v>
      </c>
      <c r="H5639" s="9" t="s">
        <v>17465</v>
      </c>
      <c r="I5639" s="9" t="s">
        <v>10415</v>
      </c>
      <c r="J5639" s="9" t="s">
        <v>10416</v>
      </c>
      <c r="K5639" s="5" t="s">
        <v>15173</v>
      </c>
      <c r="L5639" s="13">
        <v>17010</v>
      </c>
      <c r="M5639" t="str">
        <f>VLOOKUP(L5639,[1]DevMouse!$B$2:$C$2693,2,FALSE)</f>
        <v>r1PMnR</v>
      </c>
    </row>
    <row r="5640" spans="2:13" x14ac:dyDescent="0.25">
      <c r="B5640" s="31" t="s">
        <v>26303</v>
      </c>
      <c r="C5640" s="25" t="s">
        <v>3060</v>
      </c>
      <c r="D5640" s="25" t="s">
        <v>26232</v>
      </c>
      <c r="E5640" s="25" t="s">
        <v>26308</v>
      </c>
      <c r="F5640" s="9" t="str">
        <f t="shared" si="81"/>
        <v>structure with developmental contribution from neural crest</v>
      </c>
      <c r="G5640" s="9" t="s">
        <v>5090</v>
      </c>
      <c r="H5640" s="9" t="s">
        <v>17466</v>
      </c>
      <c r="I5640" s="9" t="s">
        <v>10417</v>
      </c>
      <c r="J5640" s="9" t="s">
        <v>10418</v>
      </c>
      <c r="K5640" s="5" t="s">
        <v>15173</v>
      </c>
      <c r="L5640" s="13">
        <v>17011</v>
      </c>
      <c r="M5640" t="str">
        <f>VLOOKUP(L5640,[1]DevMouse!$B$2:$C$2693,2,FALSE)</f>
        <v>r1MnR</v>
      </c>
    </row>
    <row r="5641" spans="2:13" x14ac:dyDescent="0.25">
      <c r="B5641" s="36"/>
      <c r="C5641" s="20"/>
      <c r="D5641" s="25" t="s">
        <v>26232</v>
      </c>
      <c r="E5641" s="25"/>
      <c r="F5641" s="9" t="str">
        <f t="shared" si="81"/>
        <v>structure with developmental contribution from neural crest</v>
      </c>
      <c r="G5641" s="9" t="s">
        <v>5090</v>
      </c>
      <c r="H5641" s="9" t="s">
        <v>17467</v>
      </c>
      <c r="I5641" s="9" t="s">
        <v>10419</v>
      </c>
      <c r="J5641" s="9" t="s">
        <v>10420</v>
      </c>
      <c r="K5641" s="5" t="s">
        <v>15173</v>
      </c>
      <c r="L5641" s="13">
        <v>17012</v>
      </c>
      <c r="M5641" t="str">
        <f>VLOOKUP(L5641,[1]DevMouse!$B$2:$C$2693,2,FALSE)</f>
        <v>r1BMRt</v>
      </c>
    </row>
    <row r="5642" spans="2:13" x14ac:dyDescent="0.25">
      <c r="B5642" s="36"/>
      <c r="C5642" s="20"/>
      <c r="D5642" s="25" t="s">
        <v>26232</v>
      </c>
      <c r="E5642" s="25"/>
      <c r="F5642" s="9" t="str">
        <f t="shared" si="81"/>
        <v>structure with developmental contribution from neural crest</v>
      </c>
      <c r="G5642" s="9" t="s">
        <v>5090</v>
      </c>
      <c r="H5642" s="9" t="s">
        <v>17468</v>
      </c>
      <c r="I5642" s="9" t="s">
        <v>10421</v>
      </c>
      <c r="J5642" s="9" t="s">
        <v>10422</v>
      </c>
      <c r="K5642" s="5" t="s">
        <v>15173</v>
      </c>
      <c r="L5642" s="13">
        <v>17013</v>
      </c>
      <c r="M5642" t="str">
        <f>VLOOKUP(L5642,[1]DevMouse!$B$2:$C$2693,2,FALSE)</f>
        <v>r1BMs</v>
      </c>
    </row>
    <row r="5643" spans="2:13" x14ac:dyDescent="0.25">
      <c r="B5643" s="31" t="s">
        <v>26303</v>
      </c>
      <c r="C5643" s="25" t="s">
        <v>2503</v>
      </c>
      <c r="D5643" s="25" t="s">
        <v>26232</v>
      </c>
      <c r="E5643" s="25"/>
      <c r="F5643" s="9" t="str">
        <f t="shared" si="81"/>
        <v>structure with developmental contribution from neural crest</v>
      </c>
      <c r="G5643" s="9" t="s">
        <v>5090</v>
      </c>
      <c r="H5643" s="9" t="s">
        <v>17469</v>
      </c>
      <c r="I5643" s="9" t="s">
        <v>10423</v>
      </c>
      <c r="J5643" s="9" t="s">
        <v>10424</v>
      </c>
      <c r="K5643" s="5" t="s">
        <v>15173</v>
      </c>
      <c r="L5643" s="13">
        <v>17014</v>
      </c>
      <c r="M5643" t="str">
        <f>VLOOKUP(L5643,[1]DevMouse!$B$2:$C$2693,2,FALSE)</f>
        <v>IPR</v>
      </c>
    </row>
    <row r="5644" spans="2:13" x14ac:dyDescent="0.25">
      <c r="B5644" s="31" t="s">
        <v>26303</v>
      </c>
      <c r="C5644" s="25" t="s">
        <v>2503</v>
      </c>
      <c r="D5644" s="25" t="s">
        <v>26232</v>
      </c>
      <c r="E5644" s="25"/>
      <c r="F5644" s="9" t="str">
        <f t="shared" si="81"/>
        <v>structure with developmental contribution from neural crest</v>
      </c>
      <c r="G5644" s="9" t="s">
        <v>5090</v>
      </c>
      <c r="H5644" s="9" t="s">
        <v>17470</v>
      </c>
      <c r="I5644" s="9" t="s">
        <v>10425</v>
      </c>
      <c r="J5644" s="9" t="s">
        <v>10426</v>
      </c>
      <c r="K5644" s="5" t="s">
        <v>15173</v>
      </c>
      <c r="L5644" s="13">
        <v>17015</v>
      </c>
      <c r="M5644" t="str">
        <f>VLOOKUP(L5644,[1]DevMouse!$B$2:$C$2693,2,FALSE)</f>
        <v>IPDM</v>
      </c>
    </row>
    <row r="5645" spans="2:13" x14ac:dyDescent="0.25">
      <c r="B5645" s="31" t="s">
        <v>26303</v>
      </c>
      <c r="C5645" s="25" t="s">
        <v>2503</v>
      </c>
      <c r="D5645" s="25" t="s">
        <v>26232</v>
      </c>
      <c r="E5645" s="25"/>
      <c r="F5645" s="9" t="str">
        <f t="shared" si="81"/>
        <v>structure with developmental contribution from neural crest</v>
      </c>
      <c r="G5645" s="9" t="s">
        <v>5090</v>
      </c>
      <c r="H5645" s="9" t="s">
        <v>17471</v>
      </c>
      <c r="I5645" s="9" t="s">
        <v>10427</v>
      </c>
      <c r="J5645" s="9" t="s">
        <v>10428</v>
      </c>
      <c r="K5645" s="5" t="s">
        <v>15173</v>
      </c>
      <c r="L5645" s="13">
        <v>17016</v>
      </c>
      <c r="M5645" t="str">
        <f>VLOOKUP(L5645,[1]DevMouse!$B$2:$C$2693,2,FALSE)</f>
        <v>IPDL</v>
      </c>
    </row>
    <row r="5646" spans="2:13" x14ac:dyDescent="0.25">
      <c r="B5646" s="31" t="s">
        <v>26303</v>
      </c>
      <c r="C5646" s="25" t="s">
        <v>2503</v>
      </c>
      <c r="D5646" s="25" t="s">
        <v>26232</v>
      </c>
      <c r="E5646" s="25"/>
      <c r="F5646" s="9" t="str">
        <f t="shared" si="81"/>
        <v>structure with developmental contribution from neural crest</v>
      </c>
      <c r="G5646" s="9" t="s">
        <v>5090</v>
      </c>
      <c r="H5646" s="9" t="s">
        <v>17472</v>
      </c>
      <c r="I5646" s="9" t="s">
        <v>10429</v>
      </c>
      <c r="J5646" s="9" t="s">
        <v>10430</v>
      </c>
      <c r="K5646" s="5" t="s">
        <v>15173</v>
      </c>
      <c r="L5646" s="13">
        <v>17017</v>
      </c>
      <c r="M5646" t="str">
        <f>VLOOKUP(L5646,[1]DevMouse!$B$2:$C$2693,2,FALSE)</f>
        <v>IPRL</v>
      </c>
    </row>
    <row r="5647" spans="2:13" x14ac:dyDescent="0.25">
      <c r="B5647" s="31" t="s">
        <v>26303</v>
      </c>
      <c r="C5647" s="25" t="s">
        <v>2503</v>
      </c>
      <c r="D5647" s="25" t="s">
        <v>26232</v>
      </c>
      <c r="E5647" s="25"/>
      <c r="F5647" s="9" t="str">
        <f t="shared" si="81"/>
        <v>structure with developmental contribution from neural crest</v>
      </c>
      <c r="G5647" s="9" t="s">
        <v>5090</v>
      </c>
      <c r="H5647" s="9" t="s">
        <v>17473</v>
      </c>
      <c r="I5647" s="9" t="s">
        <v>10431</v>
      </c>
      <c r="J5647" s="9" t="s">
        <v>10432</v>
      </c>
      <c r="K5647" s="5" t="s">
        <v>15173</v>
      </c>
      <c r="L5647" s="13">
        <v>17018</v>
      </c>
      <c r="M5647" t="str">
        <f>VLOOKUP(L5647,[1]DevMouse!$B$2:$C$2693,2,FALSE)</f>
        <v>IPC</v>
      </c>
    </row>
    <row r="5648" spans="2:13" x14ac:dyDescent="0.25">
      <c r="B5648" s="31" t="s">
        <v>26303</v>
      </c>
      <c r="C5648" s="25" t="s">
        <v>2503</v>
      </c>
      <c r="D5648" s="25" t="s">
        <v>26232</v>
      </c>
      <c r="E5648" s="25"/>
      <c r="F5648" s="9" t="str">
        <f t="shared" si="81"/>
        <v>structure with developmental contribution from neural crest</v>
      </c>
      <c r="G5648" s="9" t="s">
        <v>5090</v>
      </c>
      <c r="H5648" s="9" t="s">
        <v>17474</v>
      </c>
      <c r="I5648" s="9" t="s">
        <v>10433</v>
      </c>
      <c r="J5648" s="9" t="s">
        <v>10434</v>
      </c>
      <c r="K5648" s="5" t="s">
        <v>15173</v>
      </c>
      <c r="L5648" s="13">
        <v>17019</v>
      </c>
      <c r="M5648" t="str">
        <f>VLOOKUP(L5648,[1]DevMouse!$B$2:$C$2693,2,FALSE)</f>
        <v>IPCDM</v>
      </c>
    </row>
    <row r="5649" spans="2:13" x14ac:dyDescent="0.25">
      <c r="B5649" s="31" t="s">
        <v>26303</v>
      </c>
      <c r="C5649" s="25" t="s">
        <v>2503</v>
      </c>
      <c r="D5649" s="25" t="s">
        <v>26232</v>
      </c>
      <c r="E5649" s="25"/>
      <c r="F5649" s="9" t="str">
        <f t="shared" si="81"/>
        <v>structure with developmental contribution from neural crest</v>
      </c>
      <c r="G5649" s="9" t="s">
        <v>5090</v>
      </c>
      <c r="H5649" s="9" t="s">
        <v>17475</v>
      </c>
      <c r="I5649" s="9" t="s">
        <v>10435</v>
      </c>
      <c r="J5649" s="9" t="s">
        <v>10436</v>
      </c>
      <c r="K5649" s="5" t="s">
        <v>15173</v>
      </c>
      <c r="L5649" s="13">
        <v>17020</v>
      </c>
      <c r="M5649" t="str">
        <f>VLOOKUP(L5649,[1]DevMouse!$B$2:$C$2693,2,FALSE)</f>
        <v>IPCDL</v>
      </c>
    </row>
    <row r="5650" spans="2:13" x14ac:dyDescent="0.25">
      <c r="B5650" s="31" t="s">
        <v>26303</v>
      </c>
      <c r="C5650" s="25" t="s">
        <v>2503</v>
      </c>
      <c r="D5650" s="25" t="s">
        <v>26232</v>
      </c>
      <c r="E5650" s="25"/>
      <c r="F5650" s="9" t="str">
        <f t="shared" si="81"/>
        <v>structure with developmental contribution from neural crest</v>
      </c>
      <c r="G5650" s="9" t="s">
        <v>5090</v>
      </c>
      <c r="H5650" s="9" t="s">
        <v>17476</v>
      </c>
      <c r="I5650" s="9" t="s">
        <v>10437</v>
      </c>
      <c r="J5650" s="9" t="s">
        <v>10438</v>
      </c>
      <c r="K5650" s="5" t="s">
        <v>15173</v>
      </c>
      <c r="L5650" s="13">
        <v>17021</v>
      </c>
      <c r="M5650" t="str">
        <f>VLOOKUP(L5650,[1]DevMouse!$B$2:$C$2693,2,FALSE)</f>
        <v>IPCL</v>
      </c>
    </row>
    <row r="5651" spans="2:13" x14ac:dyDescent="0.25">
      <c r="B5651" s="31" t="s">
        <v>26303</v>
      </c>
      <c r="C5651" s="25" t="s">
        <v>26194</v>
      </c>
      <c r="D5651" s="25" t="s">
        <v>26232</v>
      </c>
      <c r="E5651" s="25"/>
      <c r="F5651" s="9" t="str">
        <f t="shared" si="81"/>
        <v>structure with developmental contribution from neural crest</v>
      </c>
      <c r="G5651" s="9" t="s">
        <v>5090</v>
      </c>
      <c r="H5651" s="9" t="s">
        <v>17477</v>
      </c>
      <c r="I5651" s="9" t="s">
        <v>4771</v>
      </c>
      <c r="J5651" s="9" t="s">
        <v>4772</v>
      </c>
      <c r="K5651" s="5" t="s">
        <v>15173</v>
      </c>
      <c r="L5651" s="13">
        <v>17022</v>
      </c>
      <c r="M5651" t="str">
        <f>VLOOKUP(L5651,[1]DevMouse!$B$2:$C$2693,2,FALSE)</f>
        <v>r1F</v>
      </c>
    </row>
    <row r="5652" spans="2:13" x14ac:dyDescent="0.25">
      <c r="B5652" s="36"/>
      <c r="C5652" s="20"/>
      <c r="D5652" s="25" t="s">
        <v>26232</v>
      </c>
      <c r="E5652" s="25"/>
      <c r="F5652" s="9" t="str">
        <f t="shared" si="81"/>
        <v>structure with developmental contribution from neural crest</v>
      </c>
      <c r="G5652" s="9" t="s">
        <v>5090</v>
      </c>
      <c r="H5652" s="9" t="s">
        <v>17486</v>
      </c>
      <c r="I5652" s="9" t="s">
        <v>4790</v>
      </c>
      <c r="J5652" s="9" t="s">
        <v>4791</v>
      </c>
      <c r="K5652" s="5" t="s">
        <v>15173</v>
      </c>
      <c r="L5652" s="13">
        <v>17024</v>
      </c>
      <c r="M5652" t="str">
        <f>VLOOKUP(L5652,[1]DevMouse!$B$2:$C$2693,2,FALSE)</f>
        <v>r2R</v>
      </c>
    </row>
    <row r="5653" spans="2:13" x14ac:dyDescent="0.25">
      <c r="B5653" s="36"/>
      <c r="C5653" s="20"/>
      <c r="D5653" s="25" t="s">
        <v>26232</v>
      </c>
      <c r="E5653" s="25"/>
      <c r="F5653" s="9" t="str">
        <f t="shared" si="81"/>
        <v>structure with developmental contribution from neural crest</v>
      </c>
      <c r="G5653" s="9" t="s">
        <v>5090</v>
      </c>
      <c r="H5653" s="9" t="s">
        <v>17487</v>
      </c>
      <c r="I5653" s="9" t="s">
        <v>10439</v>
      </c>
      <c r="J5653" s="9" t="s">
        <v>10440</v>
      </c>
      <c r="K5653" s="5" t="s">
        <v>15173</v>
      </c>
      <c r="L5653" s="13">
        <v>17025</v>
      </c>
      <c r="M5653" t="str">
        <f>VLOOKUP(L5653,[1]DevMouse!$B$2:$C$2693,2,FALSE)</f>
        <v>r2A</v>
      </c>
    </row>
    <row r="5654" spans="2:13" x14ac:dyDescent="0.25">
      <c r="B5654" s="31" t="s">
        <v>26303</v>
      </c>
      <c r="C5654" s="20"/>
      <c r="D5654" s="25" t="s">
        <v>26232</v>
      </c>
      <c r="E5654" s="25" t="s">
        <v>26307</v>
      </c>
      <c r="F5654" s="9" t="str">
        <f t="shared" si="81"/>
        <v>structure with developmental contribution from neural crest</v>
      </c>
      <c r="G5654" s="9" t="s">
        <v>5090</v>
      </c>
      <c r="H5654" s="9" t="s">
        <v>17490</v>
      </c>
      <c r="I5654" s="9" t="s">
        <v>10441</v>
      </c>
      <c r="J5654" s="9" t="s">
        <v>10442</v>
      </c>
      <c r="K5654" s="5" t="s">
        <v>15173</v>
      </c>
      <c r="L5654" s="13">
        <v>17026</v>
      </c>
      <c r="M5654" t="str">
        <f>VLOOKUP(L5654,[1]DevMouse!$B$2:$C$2693,2,FALSE)</f>
        <v>r2Co</v>
      </c>
    </row>
    <row r="5655" spans="2:13" x14ac:dyDescent="0.25">
      <c r="B5655" s="36"/>
      <c r="C5655" s="20"/>
      <c r="D5655" s="25" t="s">
        <v>26232</v>
      </c>
      <c r="E5655" s="25"/>
      <c r="F5655" s="9" t="str">
        <f t="shared" si="81"/>
        <v>structure with developmental contribution from neural crest</v>
      </c>
      <c r="G5655" s="9" t="s">
        <v>5090</v>
      </c>
      <c r="H5655" s="9" t="s">
        <v>17491</v>
      </c>
      <c r="I5655" s="9" t="s">
        <v>10443</v>
      </c>
      <c r="J5655" s="9" t="s">
        <v>10444</v>
      </c>
      <c r="K5655" s="5" t="s">
        <v>15173</v>
      </c>
      <c r="L5655" s="13">
        <v>17027</v>
      </c>
      <c r="M5655" t="str">
        <f>VLOOKUP(L5655,[1]DevMouse!$B$2:$C$2693,2,FALSE)</f>
        <v>r2Cov</v>
      </c>
    </row>
    <row r="5656" spans="2:13" x14ac:dyDescent="0.25">
      <c r="B5656" s="31" t="s">
        <v>26303</v>
      </c>
      <c r="C5656" s="20"/>
      <c r="D5656" s="25" t="s">
        <v>26232</v>
      </c>
      <c r="E5656" s="20" t="s">
        <v>26300</v>
      </c>
      <c r="F5656" s="9" t="str">
        <f t="shared" si="81"/>
        <v>structure with developmental contribution from neural crest</v>
      </c>
      <c r="G5656" s="9" t="s">
        <v>5090</v>
      </c>
      <c r="H5656" s="9" t="s">
        <v>17492</v>
      </c>
      <c r="I5656" s="9" t="s">
        <v>10445</v>
      </c>
      <c r="J5656" s="9" t="s">
        <v>10446</v>
      </c>
      <c r="K5656" s="5" t="s">
        <v>15173</v>
      </c>
      <c r="L5656" s="13">
        <v>17028</v>
      </c>
      <c r="M5656" t="str">
        <f>VLOOKUP(L5656,[1]DevMouse!$B$2:$C$2693,2,FALSE)</f>
        <v>r2Com</v>
      </c>
    </row>
    <row r="5657" spans="2:13" x14ac:dyDescent="0.25">
      <c r="B5657" s="31" t="s">
        <v>26303</v>
      </c>
      <c r="C5657" s="25" t="s">
        <v>1518</v>
      </c>
      <c r="D5657" s="25" t="s">
        <v>26232</v>
      </c>
      <c r="E5657" s="25" t="s">
        <v>26308</v>
      </c>
      <c r="F5657" s="9" t="str">
        <f t="shared" si="81"/>
        <v>structure with developmental contribution from neural crest</v>
      </c>
      <c r="G5657" s="9" t="s">
        <v>5090</v>
      </c>
      <c r="H5657" s="9" t="s">
        <v>17494</v>
      </c>
      <c r="I5657" s="9" t="s">
        <v>10447</v>
      </c>
      <c r="J5657" s="9" t="s">
        <v>10448</v>
      </c>
      <c r="K5657" s="5" t="s">
        <v>15173</v>
      </c>
      <c r="L5657" s="13">
        <v>17029</v>
      </c>
      <c r="M5657" t="str">
        <f>VLOOKUP(L5657,[1]DevMouse!$B$2:$C$2693,2,FALSE)</f>
        <v>r2DC</v>
      </c>
    </row>
    <row r="5658" spans="2:13" x14ac:dyDescent="0.25">
      <c r="B5658" s="31" t="s">
        <v>26303</v>
      </c>
      <c r="C5658" s="25" t="s">
        <v>25800</v>
      </c>
      <c r="D5658" s="25" t="s">
        <v>26232</v>
      </c>
      <c r="E5658" s="25" t="s">
        <v>26308</v>
      </c>
      <c r="F5658" s="9" t="str">
        <f t="shared" si="81"/>
        <v>structure with developmental contribution from neural crest</v>
      </c>
      <c r="G5658" s="9" t="s">
        <v>5090</v>
      </c>
      <c r="H5658" s="9" t="s">
        <v>17497</v>
      </c>
      <c r="I5658" s="9" t="s">
        <v>10449</v>
      </c>
      <c r="J5658" s="9" t="s">
        <v>10450</v>
      </c>
      <c r="K5658" s="5" t="s">
        <v>15173</v>
      </c>
      <c r="L5658" s="13">
        <v>17030</v>
      </c>
      <c r="M5658" t="str">
        <f>VLOOKUP(L5658,[1]DevMouse!$B$2:$C$2693,2,FALSE)</f>
        <v>r2AVC</v>
      </c>
    </row>
    <row r="5659" spans="2:13" x14ac:dyDescent="0.25">
      <c r="B5659" s="36"/>
      <c r="C5659" s="20"/>
      <c r="D5659" s="25" t="s">
        <v>26232</v>
      </c>
      <c r="E5659" s="25"/>
      <c r="F5659" s="9" t="str">
        <f t="shared" si="81"/>
        <v>structure with developmental contribution from neural crest</v>
      </c>
      <c r="G5659" s="9" t="s">
        <v>5090</v>
      </c>
      <c r="H5659" s="9" t="s">
        <v>17498</v>
      </c>
      <c r="I5659" s="9" t="s">
        <v>10451</v>
      </c>
      <c r="J5659" s="9" t="s">
        <v>10452</v>
      </c>
      <c r="K5659" s="5" t="s">
        <v>15173</v>
      </c>
      <c r="L5659" s="13">
        <v>17031</v>
      </c>
      <c r="M5659" t="str">
        <f>VLOOKUP(L5659,[1]DevMouse!$B$2:$C$2693,2,FALSE)</f>
        <v>r2Ve</v>
      </c>
    </row>
    <row r="5660" spans="2:13" x14ac:dyDescent="0.25">
      <c r="B5660" s="36"/>
      <c r="C5660" s="20"/>
      <c r="D5660" s="25" t="s">
        <v>26232</v>
      </c>
      <c r="E5660" s="25"/>
      <c r="F5660" s="9" t="str">
        <f t="shared" si="81"/>
        <v>structure with developmental contribution from neural crest</v>
      </c>
      <c r="G5660" s="9" t="s">
        <v>5090</v>
      </c>
      <c r="H5660" s="9" t="s">
        <v>17499</v>
      </c>
      <c r="I5660" s="9" t="s">
        <v>10453</v>
      </c>
      <c r="J5660" s="9" t="s">
        <v>10454</v>
      </c>
      <c r="K5660" s="5" t="s">
        <v>15173</v>
      </c>
      <c r="L5660" s="13">
        <v>17032</v>
      </c>
      <c r="M5660" t="str">
        <f>VLOOKUP(L5660,[1]DevMouse!$B$2:$C$2693,2,FALSE)</f>
        <v>r2Vev</v>
      </c>
    </row>
    <row r="5661" spans="2:13" x14ac:dyDescent="0.25">
      <c r="B5661" s="31" t="s">
        <v>26303</v>
      </c>
      <c r="C5661" s="20"/>
      <c r="D5661" s="25" t="s">
        <v>26232</v>
      </c>
      <c r="E5661" s="20" t="s">
        <v>26300</v>
      </c>
      <c r="F5661" s="9" t="str">
        <f t="shared" si="81"/>
        <v>structure with developmental contribution from neural crest</v>
      </c>
      <c r="G5661" s="9" t="s">
        <v>5090</v>
      </c>
      <c r="H5661" s="9" t="s">
        <v>17500</v>
      </c>
      <c r="I5661" s="9" t="s">
        <v>10455</v>
      </c>
      <c r="J5661" s="9" t="s">
        <v>10456</v>
      </c>
      <c r="K5661" s="5" t="s">
        <v>15173</v>
      </c>
      <c r="L5661" s="13">
        <v>17033</v>
      </c>
      <c r="M5661" t="str">
        <f>VLOOKUP(L5661,[1]DevMouse!$B$2:$C$2693,2,FALSE)</f>
        <v>r2Vem</v>
      </c>
    </row>
    <row r="5662" spans="2:13" x14ac:dyDescent="0.25">
      <c r="B5662" s="31" t="s">
        <v>26303</v>
      </c>
      <c r="C5662" s="25" t="s">
        <v>7387</v>
      </c>
      <c r="D5662" s="25" t="s">
        <v>26232</v>
      </c>
      <c r="E5662" s="25"/>
      <c r="F5662" s="9" t="str">
        <f t="shared" si="81"/>
        <v>structure with developmental contribution from neural crest</v>
      </c>
      <c r="G5662" s="9" t="s">
        <v>5090</v>
      </c>
      <c r="H5662" s="9" t="s">
        <v>17504</v>
      </c>
      <c r="I5662" s="9" t="s">
        <v>10457</v>
      </c>
      <c r="J5662" s="9" t="s">
        <v>10458</v>
      </c>
      <c r="K5662" s="5" t="s">
        <v>15173</v>
      </c>
      <c r="L5662" s="13">
        <v>17034</v>
      </c>
      <c r="M5662" t="str">
        <f>VLOOKUP(L5662,[1]DevMouse!$B$2:$C$2693,2,FALSE)</f>
        <v>r2SuVe</v>
      </c>
    </row>
    <row r="5663" spans="2:13" x14ac:dyDescent="0.25">
      <c r="B5663" s="36"/>
      <c r="C5663" s="20"/>
      <c r="D5663" s="25" t="s">
        <v>26232</v>
      </c>
      <c r="E5663" s="25" t="s">
        <v>26308</v>
      </c>
      <c r="F5663" s="9" t="str">
        <f t="shared" si="81"/>
        <v>structure with developmental contribution from neural crest</v>
      </c>
      <c r="G5663" s="9" t="s">
        <v>5090</v>
      </c>
      <c r="H5663" s="9" t="s">
        <v>17506</v>
      </c>
      <c r="I5663" s="9" t="s">
        <v>10459</v>
      </c>
      <c r="J5663" s="9" t="s">
        <v>10460</v>
      </c>
      <c r="K5663" s="5" t="s">
        <v>15173</v>
      </c>
      <c r="L5663" s="13">
        <v>17036</v>
      </c>
      <c r="M5663" t="str">
        <f>VLOOKUP(L5663,[1]DevMouse!$B$2:$C$2693,2,FALSE)</f>
        <v>r2Tr</v>
      </c>
    </row>
    <row r="5664" spans="2:13" x14ac:dyDescent="0.25">
      <c r="B5664" s="36"/>
      <c r="C5664" s="20"/>
      <c r="D5664" s="25" t="s">
        <v>26232</v>
      </c>
      <c r="E5664" s="25"/>
      <c r="F5664" s="9" t="str">
        <f t="shared" si="81"/>
        <v>structure with developmental contribution from neural crest</v>
      </c>
      <c r="G5664" s="9" t="s">
        <v>5090</v>
      </c>
      <c r="H5664" s="9" t="s">
        <v>17507</v>
      </c>
      <c r="I5664" s="9" t="s">
        <v>10461</v>
      </c>
      <c r="J5664" s="9" t="s">
        <v>10462</v>
      </c>
      <c r="K5664" s="5" t="s">
        <v>15173</v>
      </c>
      <c r="L5664" s="13">
        <v>17037</v>
      </c>
      <c r="M5664" t="str">
        <f>VLOOKUP(L5664,[1]DevMouse!$B$2:$C$2693,2,FALSE)</f>
        <v>r2Trv</v>
      </c>
    </row>
    <row r="5665" spans="2:13" x14ac:dyDescent="0.25">
      <c r="B5665" s="31" t="s">
        <v>26303</v>
      </c>
      <c r="C5665" s="20"/>
      <c r="D5665" s="25" t="s">
        <v>26232</v>
      </c>
      <c r="E5665" s="20" t="s">
        <v>26300</v>
      </c>
      <c r="F5665" s="9" t="str">
        <f t="shared" si="81"/>
        <v>structure with developmental contribution from neural crest</v>
      </c>
      <c r="G5665" s="9" t="s">
        <v>5090</v>
      </c>
      <c r="H5665" s="9" t="s">
        <v>17508</v>
      </c>
      <c r="I5665" s="9" t="s">
        <v>10463</v>
      </c>
      <c r="J5665" s="9" t="s">
        <v>10464</v>
      </c>
      <c r="K5665" s="5" t="s">
        <v>15173</v>
      </c>
      <c r="L5665" s="13">
        <v>17038</v>
      </c>
      <c r="M5665" t="str">
        <f>VLOOKUP(L5665,[1]DevMouse!$B$2:$C$2693,2,FALSE)</f>
        <v>r2Trm</v>
      </c>
    </row>
    <row r="5666" spans="2:13" x14ac:dyDescent="0.25">
      <c r="B5666" s="36"/>
      <c r="C5666" s="25"/>
      <c r="D5666" s="25" t="s">
        <v>26232</v>
      </c>
      <c r="E5666" s="25" t="s">
        <v>26308</v>
      </c>
      <c r="F5666" s="9" t="str">
        <f t="shared" si="81"/>
        <v>structure with developmental contribution from neural crest</v>
      </c>
      <c r="G5666" s="9" t="s">
        <v>5090</v>
      </c>
      <c r="H5666" s="9" t="s">
        <v>17514</v>
      </c>
      <c r="I5666" s="9" t="s">
        <v>10465</v>
      </c>
      <c r="J5666" s="9" t="s">
        <v>10466</v>
      </c>
      <c r="K5666" s="5" t="s">
        <v>15173</v>
      </c>
      <c r="L5666" s="13">
        <v>17039</v>
      </c>
      <c r="M5666" t="str">
        <f>VLOOKUP(L5666,[1]DevMouse!$B$2:$C$2693,2,FALSE)</f>
        <v>r2Pr5</v>
      </c>
    </row>
    <row r="5667" spans="2:13" x14ac:dyDescent="0.25">
      <c r="B5667" s="36"/>
      <c r="C5667" s="20"/>
      <c r="D5667" s="25" t="s">
        <v>26232</v>
      </c>
      <c r="E5667" s="25" t="s">
        <v>26308</v>
      </c>
      <c r="F5667" s="9" t="str">
        <f t="shared" si="81"/>
        <v>structure with developmental contribution from neural crest</v>
      </c>
      <c r="G5667" s="9" t="s">
        <v>5090</v>
      </c>
      <c r="H5667" s="9" t="s">
        <v>17511</v>
      </c>
      <c r="I5667" s="9" t="s">
        <v>10467</v>
      </c>
      <c r="J5667" s="9" t="s">
        <v>10468</v>
      </c>
      <c r="K5667" s="5" t="s">
        <v>15173</v>
      </c>
      <c r="L5667" s="13">
        <v>17040</v>
      </c>
      <c r="M5667" t="str">
        <f>VLOOKUP(L5667,[1]DevMouse!$B$2:$C$2693,2,FALSE)</f>
        <v>r2-5Tr</v>
      </c>
    </row>
    <row r="5668" spans="2:13" x14ac:dyDescent="0.25">
      <c r="B5668" s="36"/>
      <c r="C5668" s="20"/>
      <c r="D5668" s="25" t="s">
        <v>26232</v>
      </c>
      <c r="E5668" s="25"/>
      <c r="F5668" s="9" t="str">
        <f t="shared" si="81"/>
        <v>structure with developmental contribution from neural crest</v>
      </c>
      <c r="G5668" s="9" t="s">
        <v>5090</v>
      </c>
      <c r="H5668" s="9" t="s">
        <v>17512</v>
      </c>
      <c r="I5668" s="9" t="s">
        <v>10469</v>
      </c>
      <c r="J5668" s="9" t="s">
        <v>10470</v>
      </c>
      <c r="K5668" s="5" t="s">
        <v>15173</v>
      </c>
      <c r="L5668" s="13">
        <v>17041</v>
      </c>
      <c r="M5668" t="str">
        <f>VLOOKUP(L5668,[1]DevMouse!$B$2:$C$2693,2,FALSE)</f>
        <v>r2DPCRt</v>
      </c>
    </row>
    <row r="5669" spans="2:13" x14ac:dyDescent="0.25">
      <c r="B5669" s="36"/>
      <c r="C5669" s="20"/>
      <c r="D5669" s="25" t="s">
        <v>26232</v>
      </c>
      <c r="E5669" s="25"/>
      <c r="F5669" s="9" t="str">
        <f t="shared" si="81"/>
        <v>structure with developmental contribution from neural crest</v>
      </c>
      <c r="G5669" s="9" t="s">
        <v>5090</v>
      </c>
      <c r="H5669" s="9" t="s">
        <v>17515</v>
      </c>
      <c r="I5669" s="9" t="s">
        <v>10471</v>
      </c>
      <c r="J5669" s="9" t="s">
        <v>10472</v>
      </c>
      <c r="K5669" s="5" t="s">
        <v>15173</v>
      </c>
      <c r="L5669" s="13">
        <v>17042</v>
      </c>
      <c r="M5669" t="str">
        <f>VLOOKUP(L5669,[1]DevMouse!$B$2:$C$2693,2,FALSE)</f>
        <v>r2Lim</v>
      </c>
    </row>
    <row r="5670" spans="2:13" x14ac:dyDescent="0.25">
      <c r="B5670" s="36"/>
      <c r="C5670" s="20"/>
      <c r="D5670" s="25" t="s">
        <v>26232</v>
      </c>
      <c r="E5670" s="25"/>
      <c r="F5670" s="9" t="str">
        <f t="shared" si="81"/>
        <v>structure with developmental contribution from neural crest</v>
      </c>
      <c r="G5670" s="9" t="s">
        <v>5090</v>
      </c>
      <c r="H5670" s="9" t="s">
        <v>17516</v>
      </c>
      <c r="I5670" s="9" t="s">
        <v>10473</v>
      </c>
      <c r="J5670" s="9" t="s">
        <v>10474</v>
      </c>
      <c r="K5670" s="5" t="s">
        <v>15173</v>
      </c>
      <c r="L5670" s="13">
        <v>17043</v>
      </c>
      <c r="M5670" t="str">
        <f>VLOOKUP(L5670,[1]DevMouse!$B$2:$C$2693,2,FALSE)</f>
        <v>r2Limv</v>
      </c>
    </row>
    <row r="5671" spans="2:13" x14ac:dyDescent="0.25">
      <c r="B5671" s="31" t="s">
        <v>26303</v>
      </c>
      <c r="C5671" s="20"/>
      <c r="D5671" s="25" t="s">
        <v>26232</v>
      </c>
      <c r="E5671" s="20" t="s">
        <v>26300</v>
      </c>
      <c r="F5671" s="9" t="str">
        <f t="shared" si="81"/>
        <v>structure with developmental contribution from neural crest</v>
      </c>
      <c r="G5671" s="9" t="s">
        <v>5090</v>
      </c>
      <c r="H5671" s="9" t="s">
        <v>17517</v>
      </c>
      <c r="I5671" s="9" t="s">
        <v>10475</v>
      </c>
      <c r="J5671" s="9" t="s">
        <v>10476</v>
      </c>
      <c r="K5671" s="5" t="s">
        <v>15173</v>
      </c>
      <c r="L5671" s="13">
        <v>17044</v>
      </c>
      <c r="M5671" t="str">
        <f>VLOOKUP(L5671,[1]DevMouse!$B$2:$C$2693,2,FALSE)</f>
        <v>r2Limm</v>
      </c>
    </row>
    <row r="5672" spans="2:13" x14ac:dyDescent="0.25">
      <c r="B5672" s="36"/>
      <c r="C5672" s="20"/>
      <c r="D5672" s="25" t="s">
        <v>26232</v>
      </c>
      <c r="E5672" s="25" t="s">
        <v>26308</v>
      </c>
      <c r="F5672" s="9" t="str">
        <f t="shared" si="81"/>
        <v>structure with developmental contribution from neural crest</v>
      </c>
      <c r="G5672" s="9" t="s">
        <v>5090</v>
      </c>
      <c r="H5672" s="9" t="s">
        <v>17523</v>
      </c>
      <c r="I5672" s="9" t="s">
        <v>10477</v>
      </c>
      <c r="J5672" s="9" t="s">
        <v>10478</v>
      </c>
      <c r="K5672" s="5" t="s">
        <v>15173</v>
      </c>
      <c r="L5672" s="13">
        <v>17045</v>
      </c>
      <c r="M5672" t="str">
        <f>VLOOKUP(L5672,[1]DevMouse!$B$2:$C$2693,2,FALSE)</f>
        <v>r2-5M</v>
      </c>
    </row>
    <row r="5673" spans="2:13" x14ac:dyDescent="0.25">
      <c r="B5673" s="36"/>
      <c r="C5673" s="20"/>
      <c r="D5673" s="25" t="s">
        <v>26232</v>
      </c>
      <c r="E5673" s="25"/>
      <c r="F5673" s="9" t="str">
        <f t="shared" si="81"/>
        <v>structure with developmental contribution from neural crest</v>
      </c>
      <c r="G5673" s="9" t="s">
        <v>5090</v>
      </c>
      <c r="H5673" s="9" t="s">
        <v>17524</v>
      </c>
      <c r="I5673" s="9" t="s">
        <v>10479</v>
      </c>
      <c r="J5673" s="9" t="s">
        <v>10480</v>
      </c>
      <c r="K5673" s="5" t="s">
        <v>15173</v>
      </c>
      <c r="L5673" s="13">
        <v>17046</v>
      </c>
      <c r="M5673" t="str">
        <f>VLOOKUP(L5673,[1]DevMouse!$B$2:$C$2693,2,FALSE)</f>
        <v>5Te</v>
      </c>
    </row>
    <row r="5674" spans="2:13" x14ac:dyDescent="0.25">
      <c r="B5674" s="36"/>
      <c r="C5674" s="20"/>
      <c r="D5674" s="25" t="s">
        <v>26232</v>
      </c>
      <c r="E5674" s="25"/>
      <c r="F5674" s="9" t="str">
        <f t="shared" si="81"/>
        <v>structure with developmental contribution from neural crest</v>
      </c>
      <c r="G5674" s="9" t="s">
        <v>5090</v>
      </c>
      <c r="H5674" s="9" t="s">
        <v>17525</v>
      </c>
      <c r="I5674" s="9" t="s">
        <v>10481</v>
      </c>
      <c r="J5674" s="9" t="s">
        <v>10482</v>
      </c>
      <c r="K5674" s="5" t="s">
        <v>15173</v>
      </c>
      <c r="L5674" s="13">
        <v>17047</v>
      </c>
      <c r="M5674" t="str">
        <f>VLOOKUP(L5674,[1]DevMouse!$B$2:$C$2693,2,FALSE)</f>
        <v>5Ma</v>
      </c>
    </row>
    <row r="5675" spans="2:13" x14ac:dyDescent="0.25">
      <c r="B5675" s="36"/>
      <c r="C5675" s="20"/>
      <c r="D5675" s="25" t="s">
        <v>26232</v>
      </c>
      <c r="E5675" s="25"/>
      <c r="F5675" s="9" t="str">
        <f t="shared" si="81"/>
        <v>structure with developmental contribution from neural crest</v>
      </c>
      <c r="G5675" s="9" t="s">
        <v>5090</v>
      </c>
      <c r="H5675" s="9" t="s">
        <v>17526</v>
      </c>
      <c r="I5675" s="9" t="s">
        <v>10483</v>
      </c>
      <c r="J5675" s="9" t="s">
        <v>10484</v>
      </c>
      <c r="K5675" s="5" t="s">
        <v>15173</v>
      </c>
      <c r="L5675" s="13">
        <v>17048</v>
      </c>
      <c r="M5675" t="str">
        <f>VLOOKUP(L5675,[1]DevMouse!$B$2:$C$2693,2,FALSE)</f>
        <v>5Pt</v>
      </c>
    </row>
    <row r="5676" spans="2:13" x14ac:dyDescent="0.25">
      <c r="B5676" s="36"/>
      <c r="C5676" s="20"/>
      <c r="D5676" s="25" t="s">
        <v>26232</v>
      </c>
      <c r="E5676" s="25"/>
      <c r="F5676" s="9" t="str">
        <f t="shared" si="81"/>
        <v>structure with developmental contribution from neural crest</v>
      </c>
      <c r="G5676" s="9" t="s">
        <v>5090</v>
      </c>
      <c r="H5676" s="9" t="s">
        <v>17527</v>
      </c>
      <c r="I5676" s="9" t="s">
        <v>10485</v>
      </c>
      <c r="J5676" s="9" t="s">
        <v>10486</v>
      </c>
      <c r="K5676" s="5" t="s">
        <v>15173</v>
      </c>
      <c r="L5676" s="13">
        <v>17049</v>
      </c>
      <c r="M5676" t="str">
        <f>VLOOKUP(L5676,[1]DevMouse!$B$2:$C$2693,2,FALSE)</f>
        <v>5TT</v>
      </c>
    </row>
    <row r="5677" spans="2:13" x14ac:dyDescent="0.25">
      <c r="B5677" s="36"/>
      <c r="C5677" s="20"/>
      <c r="D5677" s="25" t="s">
        <v>26232</v>
      </c>
      <c r="E5677" s="25"/>
      <c r="F5677" s="9" t="str">
        <f t="shared" si="81"/>
        <v>structure with developmental contribution from neural crest</v>
      </c>
      <c r="G5677" s="9" t="s">
        <v>5090</v>
      </c>
      <c r="H5677" s="9" t="s">
        <v>17519</v>
      </c>
      <c r="I5677" s="9" t="s">
        <v>10487</v>
      </c>
      <c r="J5677" s="9" t="s">
        <v>10488</v>
      </c>
      <c r="K5677" s="5" t="s">
        <v>15173</v>
      </c>
      <c r="L5677" s="13">
        <v>17050</v>
      </c>
      <c r="M5677" t="str">
        <f>VLOOKUP(L5677,[1]DevMouse!$B$2:$C$2693,2,FALSE)</f>
        <v>r2LimCG</v>
      </c>
    </row>
    <row r="5678" spans="2:13" x14ac:dyDescent="0.25">
      <c r="B5678" s="36"/>
      <c r="C5678" s="20"/>
      <c r="D5678" s="25" t="s">
        <v>26232</v>
      </c>
      <c r="E5678" s="25"/>
      <c r="F5678" s="9" t="str">
        <f t="shared" si="81"/>
        <v>structure with developmental contribution from neural crest</v>
      </c>
      <c r="G5678" s="9" t="s">
        <v>5090</v>
      </c>
      <c r="H5678" s="9" t="s">
        <v>17521</v>
      </c>
      <c r="I5678" s="9" t="s">
        <v>10489</v>
      </c>
      <c r="J5678" s="9" t="s">
        <v>10490</v>
      </c>
      <c r="K5678" s="5" t="s">
        <v>15173</v>
      </c>
      <c r="L5678" s="13">
        <v>17051</v>
      </c>
      <c r="M5678" t="str">
        <f>VLOOKUP(L5678,[1]DevMouse!$B$2:$C$2693,2,FALSE)</f>
        <v>r2VPCRt</v>
      </c>
    </row>
    <row r="5679" spans="2:13" x14ac:dyDescent="0.25">
      <c r="B5679" s="31" t="s">
        <v>26303</v>
      </c>
      <c r="C5679" s="20"/>
      <c r="D5679" s="25" t="s">
        <v>26232</v>
      </c>
      <c r="E5679" s="25" t="s">
        <v>26300</v>
      </c>
      <c r="F5679" s="9" t="str">
        <f t="shared" si="81"/>
        <v>structure with developmental contribution from neural crest</v>
      </c>
      <c r="G5679" s="9" t="s">
        <v>5090</v>
      </c>
      <c r="H5679" s="9" t="s">
        <v>17528</v>
      </c>
      <c r="I5679" s="9" t="s">
        <v>10491</v>
      </c>
      <c r="J5679" s="9" t="s">
        <v>10492</v>
      </c>
      <c r="K5679" s="5" t="s">
        <v>15173</v>
      </c>
      <c r="L5679" s="13">
        <v>17052</v>
      </c>
      <c r="M5679" t="str">
        <f>VLOOKUP(L5679,[1]DevMouse!$B$2:$C$2693,2,FALSE)</f>
        <v>A7</v>
      </c>
    </row>
    <row r="5680" spans="2:13" x14ac:dyDescent="0.25">
      <c r="B5680" s="36"/>
      <c r="C5680" s="20"/>
      <c r="D5680" s="25" t="s">
        <v>26232</v>
      </c>
      <c r="E5680" s="25"/>
      <c r="F5680" s="9" t="str">
        <f t="shared" si="81"/>
        <v>structure with developmental contribution from neural crest</v>
      </c>
      <c r="G5680" s="9" t="s">
        <v>5090</v>
      </c>
      <c r="H5680" s="9" t="s">
        <v>17529</v>
      </c>
      <c r="I5680" s="9" t="s">
        <v>10493</v>
      </c>
      <c r="J5680" s="9" t="s">
        <v>10494</v>
      </c>
      <c r="K5680" s="5" t="s">
        <v>15173</v>
      </c>
      <c r="L5680" s="13">
        <v>17053</v>
      </c>
      <c r="M5680" t="str">
        <f>VLOOKUP(L5680,[1]DevMouse!$B$2:$C$2693,2,FALSE)</f>
        <v>r2B</v>
      </c>
    </row>
    <row r="5681" spans="2:13" x14ac:dyDescent="0.25">
      <c r="B5681" s="36"/>
      <c r="C5681" s="20"/>
      <c r="D5681" s="25" t="s">
        <v>26232</v>
      </c>
      <c r="E5681" s="25"/>
      <c r="F5681" s="9" t="str">
        <f t="shared" si="81"/>
        <v>structure with developmental contribution from neural crest</v>
      </c>
      <c r="G5681" s="9" t="s">
        <v>5090</v>
      </c>
      <c r="H5681" s="9" t="s">
        <v>17532</v>
      </c>
      <c r="I5681" s="9" t="s">
        <v>10495</v>
      </c>
      <c r="J5681" s="9" t="s">
        <v>10496</v>
      </c>
      <c r="K5681" s="5" t="s">
        <v>15173</v>
      </c>
      <c r="L5681" s="13">
        <v>17054</v>
      </c>
      <c r="M5681" t="str">
        <f>VLOOKUP(L5681,[1]DevMouse!$B$2:$C$2693,2,FALSE)</f>
        <v>r2BL</v>
      </c>
    </row>
    <row r="5682" spans="2:13" x14ac:dyDescent="0.25">
      <c r="B5682" s="36"/>
      <c r="C5682" s="20"/>
      <c r="D5682" s="25" t="s">
        <v>26232</v>
      </c>
      <c r="E5682" s="25"/>
      <c r="F5682" s="9" t="str">
        <f t="shared" si="81"/>
        <v>structure with developmental contribution from neural crest</v>
      </c>
      <c r="G5682" s="9" t="s">
        <v>5090</v>
      </c>
      <c r="H5682" s="9" t="s">
        <v>17533</v>
      </c>
      <c r="I5682" s="9" t="s">
        <v>10497</v>
      </c>
      <c r="J5682" s="9" t="s">
        <v>10498</v>
      </c>
      <c r="K5682" s="5" t="s">
        <v>15173</v>
      </c>
      <c r="L5682" s="13">
        <v>17055</v>
      </c>
      <c r="M5682" t="str">
        <f>VLOOKUP(L5682,[1]DevMouse!$B$2:$C$2693,2,FALSE)</f>
        <v>r2BLv</v>
      </c>
    </row>
    <row r="5683" spans="2:13" x14ac:dyDescent="0.25">
      <c r="B5683" s="31" t="s">
        <v>26303</v>
      </c>
      <c r="C5683" s="20"/>
      <c r="D5683" s="25" t="s">
        <v>26232</v>
      </c>
      <c r="E5683" s="20" t="s">
        <v>26300</v>
      </c>
      <c r="F5683" s="9" t="str">
        <f t="shared" si="81"/>
        <v>structure with developmental contribution from neural crest</v>
      </c>
      <c r="G5683" s="9" t="s">
        <v>5090</v>
      </c>
      <c r="H5683" s="9" t="s">
        <v>17534</v>
      </c>
      <c r="I5683" s="9" t="s">
        <v>10499</v>
      </c>
      <c r="J5683" s="9" t="s">
        <v>10500</v>
      </c>
      <c r="K5683" s="5" t="s">
        <v>15173</v>
      </c>
      <c r="L5683" s="13">
        <v>17056</v>
      </c>
      <c r="M5683" t="str">
        <f>VLOOKUP(L5683,[1]DevMouse!$B$2:$C$2693,2,FALSE)</f>
        <v>r2BLm</v>
      </c>
    </row>
    <row r="5684" spans="2:13" x14ac:dyDescent="0.25">
      <c r="B5684" s="36"/>
      <c r="C5684" s="20"/>
      <c r="D5684" s="25" t="s">
        <v>26232</v>
      </c>
      <c r="E5684" s="20" t="s">
        <v>26300</v>
      </c>
      <c r="F5684" s="9" t="str">
        <f t="shared" si="81"/>
        <v>structure with developmental contribution from neural crest</v>
      </c>
      <c r="G5684" s="9" t="s">
        <v>5090</v>
      </c>
      <c r="H5684" s="9" t="s">
        <v>17535</v>
      </c>
      <c r="I5684" s="9" t="s">
        <v>10501</v>
      </c>
      <c r="J5684" s="9" t="s">
        <v>10502</v>
      </c>
      <c r="K5684" s="5" t="s">
        <v>15173</v>
      </c>
      <c r="L5684" s="13">
        <v>17057</v>
      </c>
      <c r="M5684" t="str">
        <f>VLOOKUP(L5684,[1]DevMouse!$B$2:$C$2693,2,FALSE)</f>
        <v>r2BLp</v>
      </c>
    </row>
    <row r="5685" spans="2:13" x14ac:dyDescent="0.25">
      <c r="B5685" s="36"/>
      <c r="C5685" s="20"/>
      <c r="D5685" s="25" t="s">
        <v>26232</v>
      </c>
      <c r="E5685" s="25"/>
      <c r="F5685" s="9" t="str">
        <f t="shared" si="81"/>
        <v>structure with developmental contribution from neural crest</v>
      </c>
      <c r="G5685" s="9" t="s">
        <v>5090</v>
      </c>
      <c r="H5685" s="9" t="s">
        <v>17537</v>
      </c>
      <c r="I5685" s="9" t="s">
        <v>10503</v>
      </c>
      <c r="J5685" s="9" t="s">
        <v>10504</v>
      </c>
      <c r="K5685" s="5" t="s">
        <v>15173</v>
      </c>
      <c r="L5685" s="13">
        <v>17058</v>
      </c>
      <c r="M5685" t="str">
        <f>VLOOKUP(L5685,[1]DevMouse!$B$2:$C$2693,2,FALSE)</f>
        <v>r2BLi</v>
      </c>
    </row>
    <row r="5686" spans="2:13" x14ac:dyDescent="0.25">
      <c r="B5686" s="31" t="s">
        <v>26303</v>
      </c>
      <c r="C5686" s="25" t="s">
        <v>25962</v>
      </c>
      <c r="D5686" s="25" t="s">
        <v>26232</v>
      </c>
      <c r="E5686" s="25"/>
      <c r="F5686" s="9" t="str">
        <f t="shared" si="81"/>
        <v>structure with developmental contribution from neural crest</v>
      </c>
      <c r="G5686" s="9" t="s">
        <v>5090</v>
      </c>
      <c r="H5686" s="9" t="s">
        <v>17538</v>
      </c>
      <c r="I5686" s="9" t="s">
        <v>10505</v>
      </c>
      <c r="J5686" s="9" t="s">
        <v>10506</v>
      </c>
      <c r="K5686" s="5" t="s">
        <v>15173</v>
      </c>
      <c r="L5686" s="13">
        <v>17059</v>
      </c>
      <c r="M5686" t="str">
        <f>VLOOKUP(L5686,[1]DevMouse!$B$2:$C$2693,2,FALSE)</f>
        <v>r2SubC</v>
      </c>
    </row>
    <row r="5687" spans="2:13" x14ac:dyDescent="0.25">
      <c r="B5687" s="31" t="s">
        <v>26303</v>
      </c>
      <c r="C5687" s="20"/>
      <c r="D5687" s="25" t="s">
        <v>26232</v>
      </c>
      <c r="E5687" s="25" t="s">
        <v>26308</v>
      </c>
      <c r="F5687" s="9" t="str">
        <f t="shared" ref="F5687:F5750" si="82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5687" s="9" t="s">
        <v>5090</v>
      </c>
      <c r="H5687" s="9" t="s">
        <v>17542</v>
      </c>
      <c r="I5687" s="9" t="s">
        <v>10507</v>
      </c>
      <c r="J5687" s="9" t="s">
        <v>10508</v>
      </c>
      <c r="K5687" s="5" t="s">
        <v>15173</v>
      </c>
      <c r="L5687" s="13">
        <v>17060</v>
      </c>
      <c r="M5687" t="str">
        <f>VLOOKUP(L5687,[1]DevMouse!$B$2:$C$2693,2,FALSE)</f>
        <v>r2MPL</v>
      </c>
    </row>
    <row r="5688" spans="2:13" x14ac:dyDescent="0.25">
      <c r="B5688" s="31" t="s">
        <v>26303</v>
      </c>
      <c r="C5688" s="20"/>
      <c r="D5688" s="25" t="s">
        <v>26232</v>
      </c>
      <c r="E5688" s="25" t="s">
        <v>26308</v>
      </c>
      <c r="F5688" s="9" t="str">
        <f t="shared" si="82"/>
        <v>structure with developmental contribution from neural crest</v>
      </c>
      <c r="G5688" s="9" t="s">
        <v>5090</v>
      </c>
      <c r="H5688" s="9" t="s">
        <v>17543</v>
      </c>
      <c r="I5688" s="9" t="s">
        <v>10509</v>
      </c>
      <c r="J5688" s="9" t="s">
        <v>10510</v>
      </c>
      <c r="K5688" s="5" t="s">
        <v>15173</v>
      </c>
      <c r="L5688" s="13">
        <v>17061</v>
      </c>
      <c r="M5688" t="str">
        <f>VLOOKUP(L5688,[1]DevMouse!$B$2:$C$2693,2,FALSE)</f>
        <v>r2LPL</v>
      </c>
    </row>
    <row r="5689" spans="2:13" x14ac:dyDescent="0.25">
      <c r="B5689" s="36"/>
      <c r="C5689" s="20"/>
      <c r="D5689" s="25" t="s">
        <v>26232</v>
      </c>
      <c r="E5689" s="25"/>
      <c r="F5689" s="9" t="str">
        <f t="shared" si="82"/>
        <v>structure with developmental contribution from neural crest</v>
      </c>
      <c r="G5689" s="9" t="s">
        <v>5090</v>
      </c>
      <c r="H5689" s="9" t="s">
        <v>17539</v>
      </c>
      <c r="I5689" s="9" t="s">
        <v>10511</v>
      </c>
      <c r="J5689" s="9" t="s">
        <v>10512</v>
      </c>
      <c r="K5689" s="5" t="s">
        <v>15173</v>
      </c>
      <c r="L5689" s="13">
        <v>17062</v>
      </c>
      <c r="M5689" t="str">
        <f>VLOOKUP(L5689,[1]DevMouse!$B$2:$C$2693,2,FALSE)</f>
        <v>r2BLRt</v>
      </c>
    </row>
    <row r="5690" spans="2:13" x14ac:dyDescent="0.25">
      <c r="B5690" s="36"/>
      <c r="C5690" s="20"/>
      <c r="D5690" s="25" t="s">
        <v>26232</v>
      </c>
      <c r="E5690" s="25"/>
      <c r="F5690" s="9" t="str">
        <f t="shared" si="82"/>
        <v>structure with developmental contribution from neural crest</v>
      </c>
      <c r="G5690" s="9" t="s">
        <v>5090</v>
      </c>
      <c r="H5690" s="9" t="s">
        <v>17540</v>
      </c>
      <c r="I5690" s="9" t="s">
        <v>10513</v>
      </c>
      <c r="J5690" s="9" t="s">
        <v>10514</v>
      </c>
      <c r="K5690" s="5" t="s">
        <v>15173</v>
      </c>
      <c r="L5690" s="13">
        <v>17063</v>
      </c>
      <c r="M5690" t="str">
        <f>VLOOKUP(L5690,[1]DevMouse!$B$2:$C$2693,2,FALSE)</f>
        <v>r2BLs</v>
      </c>
    </row>
    <row r="5691" spans="2:13" x14ac:dyDescent="0.25">
      <c r="B5691" s="31" t="s">
        <v>26303</v>
      </c>
      <c r="C5691" s="9" t="s">
        <v>15038</v>
      </c>
      <c r="D5691" s="25" t="s">
        <v>26185</v>
      </c>
      <c r="E5691" s="25" t="s">
        <v>26300</v>
      </c>
      <c r="F5691" s="9" t="str">
        <f t="shared" si="82"/>
        <v>structure with developmental contribution from neural crest</v>
      </c>
      <c r="G5691" s="9" t="s">
        <v>5090</v>
      </c>
      <c r="H5691" s="9" t="s">
        <v>17541</v>
      </c>
      <c r="I5691" s="9" t="s">
        <v>10515</v>
      </c>
      <c r="J5691" s="9" t="s">
        <v>10516</v>
      </c>
      <c r="K5691" s="5" t="s">
        <v>15173</v>
      </c>
      <c r="L5691" s="13">
        <v>17064</v>
      </c>
      <c r="M5691" t="str">
        <f>VLOOKUP(L5691,[1]DevMouse!$B$2:$C$2693,2,FALSE)</f>
        <v>r2VLL</v>
      </c>
    </row>
    <row r="5692" spans="2:13" x14ac:dyDescent="0.25">
      <c r="B5692" s="31" t="s">
        <v>26303</v>
      </c>
      <c r="C5692" s="20"/>
      <c r="D5692" s="25" t="s">
        <v>26232</v>
      </c>
      <c r="E5692" s="25" t="s">
        <v>26309</v>
      </c>
      <c r="F5692" s="9" t="str">
        <f t="shared" si="82"/>
        <v>structure with developmental contribution from neural crest</v>
      </c>
      <c r="G5692" s="9" t="s">
        <v>5090</v>
      </c>
      <c r="H5692" s="9" t="s">
        <v>17544</v>
      </c>
      <c r="I5692" s="9" t="s">
        <v>10517</v>
      </c>
      <c r="J5692" s="9" t="s">
        <v>10518</v>
      </c>
      <c r="K5692" s="5" t="s">
        <v>15173</v>
      </c>
      <c r="L5692" s="13">
        <v>17065</v>
      </c>
      <c r="M5692" t="str">
        <f>VLOOKUP(L5692,[1]DevMouse!$B$2:$C$2693,2,FALSE)</f>
        <v>B9</v>
      </c>
    </row>
    <row r="5693" spans="2:13" x14ac:dyDescent="0.25">
      <c r="B5693" s="36"/>
      <c r="C5693" s="20"/>
      <c r="D5693" s="25" t="s">
        <v>26232</v>
      </c>
      <c r="E5693" s="25"/>
      <c r="F5693" s="9" t="str">
        <f t="shared" si="82"/>
        <v>structure with developmental contribution from neural crest</v>
      </c>
      <c r="G5693" s="9" t="s">
        <v>5090</v>
      </c>
      <c r="H5693" s="9" t="s">
        <v>17545</v>
      </c>
      <c r="I5693" s="9" t="s">
        <v>10519</v>
      </c>
      <c r="J5693" s="9" t="s">
        <v>10520</v>
      </c>
      <c r="K5693" s="5" t="s">
        <v>15173</v>
      </c>
      <c r="L5693" s="13">
        <v>17066</v>
      </c>
      <c r="M5693" t="str">
        <f>VLOOKUP(L5693,[1]DevMouse!$B$2:$C$2693,2,FALSE)</f>
        <v>r2BI</v>
      </c>
    </row>
    <row r="5694" spans="2:13" x14ac:dyDescent="0.25">
      <c r="B5694" s="36"/>
      <c r="C5694" s="20"/>
      <c r="D5694" s="25" t="s">
        <v>26232</v>
      </c>
      <c r="E5694" s="25"/>
      <c r="F5694" s="9" t="str">
        <f t="shared" si="82"/>
        <v>structure with developmental contribution from neural crest</v>
      </c>
      <c r="G5694" s="9" t="s">
        <v>5090</v>
      </c>
      <c r="H5694" s="9" t="s">
        <v>17546</v>
      </c>
      <c r="I5694" s="9" t="s">
        <v>10521</v>
      </c>
      <c r="J5694" s="9" t="s">
        <v>10522</v>
      </c>
      <c r="K5694" s="5" t="s">
        <v>15173</v>
      </c>
      <c r="L5694" s="13">
        <v>17067</v>
      </c>
      <c r="M5694" t="str">
        <f>VLOOKUP(L5694,[1]DevMouse!$B$2:$C$2693,2,FALSE)</f>
        <v>r2BIv</v>
      </c>
    </row>
    <row r="5695" spans="2:13" x14ac:dyDescent="0.25">
      <c r="B5695" s="31" t="s">
        <v>26303</v>
      </c>
      <c r="C5695" s="20"/>
      <c r="D5695" s="25" t="s">
        <v>26232</v>
      </c>
      <c r="E5695" s="20" t="s">
        <v>26300</v>
      </c>
      <c r="F5695" s="9" t="str">
        <f t="shared" si="82"/>
        <v>structure with developmental contribution from neural crest</v>
      </c>
      <c r="G5695" s="9" t="s">
        <v>5090</v>
      </c>
      <c r="H5695" s="9" t="s">
        <v>17547</v>
      </c>
      <c r="I5695" s="9" t="s">
        <v>10523</v>
      </c>
      <c r="J5695" s="9" t="s">
        <v>10524</v>
      </c>
      <c r="K5695" s="5" t="s">
        <v>15173</v>
      </c>
      <c r="L5695" s="13">
        <v>17068</v>
      </c>
      <c r="M5695" t="str">
        <f>VLOOKUP(L5695,[1]DevMouse!$B$2:$C$2693,2,FALSE)</f>
        <v>r2BIm</v>
      </c>
    </row>
    <row r="5696" spans="2:13" x14ac:dyDescent="0.25">
      <c r="B5696" s="36"/>
      <c r="C5696" s="20"/>
      <c r="D5696" s="25" t="s">
        <v>26232</v>
      </c>
      <c r="E5696" s="20" t="s">
        <v>26300</v>
      </c>
      <c r="F5696" s="9" t="str">
        <f t="shared" si="82"/>
        <v>structure with developmental contribution from neural crest</v>
      </c>
      <c r="G5696" s="9" t="s">
        <v>5090</v>
      </c>
      <c r="H5696" s="9" t="s">
        <v>17548</v>
      </c>
      <c r="I5696" s="9" t="s">
        <v>10525</v>
      </c>
      <c r="J5696" s="9" t="s">
        <v>10526</v>
      </c>
      <c r="K5696" s="5" t="s">
        <v>15173</v>
      </c>
      <c r="L5696" s="13">
        <v>17069</v>
      </c>
      <c r="M5696" t="str">
        <f>VLOOKUP(L5696,[1]DevMouse!$B$2:$C$2693,2,FALSE)</f>
        <v>r2BIp</v>
      </c>
    </row>
    <row r="5697" spans="2:13" x14ac:dyDescent="0.25">
      <c r="B5697" s="36"/>
      <c r="C5697" s="20"/>
      <c r="D5697" s="25" t="s">
        <v>26232</v>
      </c>
      <c r="E5697" s="25"/>
      <c r="F5697" s="9" t="str">
        <f t="shared" si="82"/>
        <v>structure with developmental contribution from neural crest</v>
      </c>
      <c r="G5697" s="9" t="s">
        <v>5090</v>
      </c>
      <c r="H5697" s="9" t="s">
        <v>17549</v>
      </c>
      <c r="I5697" s="9" t="s">
        <v>10527</v>
      </c>
      <c r="J5697" s="9" t="s">
        <v>10528</v>
      </c>
      <c r="K5697" s="5" t="s">
        <v>15173</v>
      </c>
      <c r="L5697" s="13">
        <v>17070</v>
      </c>
      <c r="M5697" t="str">
        <f>VLOOKUP(L5697,[1]DevMouse!$B$2:$C$2693,2,FALSE)</f>
        <v>r2BICG</v>
      </c>
    </row>
    <row r="5698" spans="2:13" x14ac:dyDescent="0.25">
      <c r="B5698" s="36"/>
      <c r="C5698" s="20"/>
      <c r="D5698" s="25" t="s">
        <v>26232</v>
      </c>
      <c r="E5698" s="25"/>
      <c r="F5698" s="9" t="str">
        <f t="shared" si="82"/>
        <v>structure with developmental contribution from neural crest</v>
      </c>
      <c r="G5698" s="9" t="s">
        <v>5090</v>
      </c>
      <c r="H5698" s="9" t="s">
        <v>17550</v>
      </c>
      <c r="I5698" s="9" t="s">
        <v>10529</v>
      </c>
      <c r="J5698" s="9" t="s">
        <v>10530</v>
      </c>
      <c r="K5698" s="5" t="s">
        <v>15173</v>
      </c>
      <c r="L5698" s="13">
        <v>17071</v>
      </c>
      <c r="M5698" t="str">
        <f>VLOOKUP(L5698,[1]DevMouse!$B$2:$C$2693,2,FALSE)</f>
        <v>r2CGB</v>
      </c>
    </row>
    <row r="5699" spans="2:13" x14ac:dyDescent="0.25">
      <c r="B5699" s="36"/>
      <c r="C5699" s="20"/>
      <c r="D5699" s="25" t="s">
        <v>26232</v>
      </c>
      <c r="E5699" s="25"/>
      <c r="F5699" s="9" t="str">
        <f t="shared" si="82"/>
        <v>structure with developmental contribution from neural crest</v>
      </c>
      <c r="G5699" s="9" t="s">
        <v>5090</v>
      </c>
      <c r="H5699" s="9" t="s">
        <v>17551</v>
      </c>
      <c r="I5699" s="9" t="s">
        <v>10531</v>
      </c>
      <c r="J5699" s="9" t="s">
        <v>10532</v>
      </c>
      <c r="K5699" s="5" t="s">
        <v>15173</v>
      </c>
      <c r="L5699" s="13">
        <v>17072</v>
      </c>
      <c r="M5699" t="str">
        <f>VLOOKUP(L5699,[1]DevMouse!$B$2:$C$2693,2,FALSE)</f>
        <v>r2CGA</v>
      </c>
    </row>
    <row r="5700" spans="2:13" x14ac:dyDescent="0.25">
      <c r="B5700" s="36"/>
      <c r="C5700" s="20"/>
      <c r="D5700" s="25" t="s">
        <v>26232</v>
      </c>
      <c r="E5700" s="25"/>
      <c r="F5700" s="9" t="str">
        <f t="shared" si="82"/>
        <v>structure with developmental contribution from neural crest</v>
      </c>
      <c r="G5700" s="9" t="s">
        <v>5090</v>
      </c>
      <c r="H5700" s="9" t="s">
        <v>17552</v>
      </c>
      <c r="I5700" s="9" t="s">
        <v>10533</v>
      </c>
      <c r="J5700" s="9" t="s">
        <v>10534</v>
      </c>
      <c r="K5700" s="5" t="s">
        <v>15173</v>
      </c>
      <c r="L5700" s="13">
        <v>17073</v>
      </c>
      <c r="M5700" t="str">
        <f>VLOOKUP(L5700,[1]DevMouse!$B$2:$C$2693,2,FALSE)</f>
        <v>r2BIIZ</v>
      </c>
    </row>
    <row r="5701" spans="2:13" x14ac:dyDescent="0.25">
      <c r="B5701" s="36"/>
      <c r="C5701" s="20"/>
      <c r="D5701" s="25" t="s">
        <v>26232</v>
      </c>
      <c r="E5701" s="25"/>
      <c r="F5701" s="9" t="str">
        <f t="shared" si="82"/>
        <v>structure with developmental contribution from neural crest</v>
      </c>
      <c r="G5701" s="9" t="s">
        <v>5090</v>
      </c>
      <c r="H5701" s="9" t="s">
        <v>17553</v>
      </c>
      <c r="I5701" s="9" t="s">
        <v>10535</v>
      </c>
      <c r="J5701" s="9" t="s">
        <v>10536</v>
      </c>
      <c r="K5701" s="5" t="s">
        <v>15173</v>
      </c>
      <c r="L5701" s="13">
        <v>17074</v>
      </c>
      <c r="M5701" t="str">
        <f>VLOOKUP(L5701,[1]DevMouse!$B$2:$C$2693,2,FALSE)</f>
        <v>r2BIi</v>
      </c>
    </row>
    <row r="5702" spans="2:13" x14ac:dyDescent="0.25">
      <c r="B5702" s="40" t="s">
        <v>26303</v>
      </c>
      <c r="C5702" s="20"/>
      <c r="D5702" s="25" t="s">
        <v>26232</v>
      </c>
      <c r="E5702" s="25" t="s">
        <v>26309</v>
      </c>
      <c r="F5702" s="9" t="str">
        <f t="shared" si="82"/>
        <v>structure with developmental contribution from neural crest</v>
      </c>
      <c r="G5702" s="9" t="s">
        <v>5090</v>
      </c>
      <c r="H5702" s="9" t="s">
        <v>17554</v>
      </c>
      <c r="I5702" s="9" t="s">
        <v>10537</v>
      </c>
      <c r="J5702" s="9" t="s">
        <v>10538</v>
      </c>
      <c r="K5702" s="5" t="s">
        <v>15173</v>
      </c>
      <c r="L5702" s="13">
        <v>17075</v>
      </c>
      <c r="M5702" t="str">
        <f>VLOOKUP(L5702,[1]DevMouse!$B$2:$C$2693,2,FALSE)</f>
        <v>DMTg</v>
      </c>
    </row>
    <row r="5703" spans="2:13" x14ac:dyDescent="0.25">
      <c r="B5703" s="36"/>
      <c r="C5703" s="20"/>
      <c r="D5703" s="25" t="s">
        <v>26232</v>
      </c>
      <c r="E5703" s="25"/>
      <c r="F5703" s="9" t="str">
        <f t="shared" si="82"/>
        <v>structure with developmental contribution from neural crest</v>
      </c>
      <c r="G5703" s="9" t="s">
        <v>5090</v>
      </c>
      <c r="H5703" s="9" t="s">
        <v>17555</v>
      </c>
      <c r="I5703" s="9" t="s">
        <v>10539</v>
      </c>
      <c r="J5703" s="9" t="s">
        <v>10540</v>
      </c>
      <c r="K5703" s="5" t="s">
        <v>15173</v>
      </c>
      <c r="L5703" s="13">
        <v>17076</v>
      </c>
      <c r="M5703" t="str">
        <f>VLOOKUP(L5703,[1]DevMouse!$B$2:$C$2693,2,FALSE)</f>
        <v>r2BIRt</v>
      </c>
    </row>
    <row r="5704" spans="2:13" x14ac:dyDescent="0.25">
      <c r="B5704" s="31" t="s">
        <v>26303</v>
      </c>
      <c r="C5704" s="25" t="s">
        <v>3302</v>
      </c>
      <c r="D5704" s="25" t="s">
        <v>26185</v>
      </c>
      <c r="E5704" s="25" t="s">
        <v>26308</v>
      </c>
      <c r="F5704" s="9" t="str">
        <f t="shared" si="82"/>
        <v>structure with developmental contribution from neural crest</v>
      </c>
      <c r="G5704" s="9" t="s">
        <v>5090</v>
      </c>
      <c r="H5704" s="9" t="s">
        <v>17556</v>
      </c>
      <c r="I5704" s="9" t="s">
        <v>10541</v>
      </c>
      <c r="J5704" s="9" t="s">
        <v>10542</v>
      </c>
      <c r="K5704" s="5" t="s">
        <v>15173</v>
      </c>
      <c r="L5704" s="13">
        <v>17077</v>
      </c>
      <c r="M5704" t="str">
        <f>VLOOKUP(L5704,[1]DevMouse!$B$2:$C$2693,2,FALSE)</f>
        <v>r2PMnR</v>
      </c>
    </row>
    <row r="5705" spans="2:13" x14ac:dyDescent="0.25">
      <c r="B5705" s="36"/>
      <c r="C5705" s="20"/>
      <c r="D5705" s="25" t="s">
        <v>26232</v>
      </c>
      <c r="E5705" s="25"/>
      <c r="F5705" s="9" t="str">
        <f t="shared" si="82"/>
        <v>structure with developmental contribution from neural crest</v>
      </c>
      <c r="G5705" s="9" t="s">
        <v>5090</v>
      </c>
      <c r="H5705" s="9" t="s">
        <v>17557</v>
      </c>
      <c r="I5705" s="9" t="s">
        <v>10543</v>
      </c>
      <c r="J5705" s="9" t="s">
        <v>10544</v>
      </c>
      <c r="K5705" s="5" t="s">
        <v>15173</v>
      </c>
      <c r="L5705" s="13">
        <v>17078</v>
      </c>
      <c r="M5705" t="str">
        <f>VLOOKUP(L5705,[1]DevMouse!$B$2:$C$2693,2,FALSE)</f>
        <v>r2BIs</v>
      </c>
    </row>
    <row r="5706" spans="2:13" x14ac:dyDescent="0.25">
      <c r="B5706" s="36"/>
      <c r="C5706" s="20"/>
      <c r="D5706" s="25" t="s">
        <v>26232</v>
      </c>
      <c r="E5706" s="25"/>
      <c r="F5706" s="9" t="str">
        <f t="shared" si="82"/>
        <v>structure with developmental contribution from neural crest</v>
      </c>
      <c r="G5706" s="9" t="s">
        <v>5090</v>
      </c>
      <c r="H5706" s="9" t="s">
        <v>17559</v>
      </c>
      <c r="I5706" s="9" t="s">
        <v>10545</v>
      </c>
      <c r="J5706" s="9" t="s">
        <v>10546</v>
      </c>
      <c r="K5706" s="5" t="s">
        <v>15173</v>
      </c>
      <c r="L5706" s="13">
        <v>17079</v>
      </c>
      <c r="M5706" t="str">
        <f>VLOOKUP(L5706,[1]DevMouse!$B$2:$C$2693,2,FALSE)</f>
        <v>r2BM</v>
      </c>
    </row>
    <row r="5707" spans="2:13" x14ac:dyDescent="0.25">
      <c r="B5707" s="36"/>
      <c r="C5707" s="20"/>
      <c r="D5707" s="25" t="s">
        <v>26232</v>
      </c>
      <c r="E5707" s="25"/>
      <c r="F5707" s="9" t="str">
        <f t="shared" si="82"/>
        <v>structure with developmental contribution from neural crest</v>
      </c>
      <c r="G5707" s="9" t="s">
        <v>5090</v>
      </c>
      <c r="H5707" s="9" t="s">
        <v>17560</v>
      </c>
      <c r="I5707" s="9" t="s">
        <v>10547</v>
      </c>
      <c r="J5707" s="9" t="s">
        <v>10548</v>
      </c>
      <c r="K5707" s="5" t="s">
        <v>15173</v>
      </c>
      <c r="L5707" s="13">
        <v>17080</v>
      </c>
      <c r="M5707" t="str">
        <f>VLOOKUP(L5707,[1]DevMouse!$B$2:$C$2693,2,FALSE)</f>
        <v>r2BMv</v>
      </c>
    </row>
    <row r="5708" spans="2:13" x14ac:dyDescent="0.25">
      <c r="B5708" s="31" t="s">
        <v>26303</v>
      </c>
      <c r="C5708" s="20"/>
      <c r="D5708" s="25" t="s">
        <v>26232</v>
      </c>
      <c r="E5708" s="20" t="s">
        <v>26300</v>
      </c>
      <c r="F5708" s="9" t="str">
        <f t="shared" si="82"/>
        <v>structure with developmental contribution from neural crest</v>
      </c>
      <c r="G5708" s="9" t="s">
        <v>5090</v>
      </c>
      <c r="H5708" s="9" t="s">
        <v>17561</v>
      </c>
      <c r="I5708" s="9" t="s">
        <v>10549</v>
      </c>
      <c r="J5708" s="9" t="s">
        <v>10550</v>
      </c>
      <c r="K5708" s="5" t="s">
        <v>15173</v>
      </c>
      <c r="L5708" s="13">
        <v>17081</v>
      </c>
      <c r="M5708" t="str">
        <f>VLOOKUP(L5708,[1]DevMouse!$B$2:$C$2693,2,FALSE)</f>
        <v>r2BMm</v>
      </c>
    </row>
    <row r="5709" spans="2:13" x14ac:dyDescent="0.25">
      <c r="B5709" s="36"/>
      <c r="C5709" s="20"/>
      <c r="D5709" s="25" t="s">
        <v>26232</v>
      </c>
      <c r="E5709" s="20" t="s">
        <v>26300</v>
      </c>
      <c r="F5709" s="9" t="str">
        <f t="shared" si="82"/>
        <v>structure with developmental contribution from neural crest</v>
      </c>
      <c r="G5709" s="9" t="s">
        <v>5090</v>
      </c>
      <c r="H5709" s="9" t="s">
        <v>17562</v>
      </c>
      <c r="I5709" s="9" t="s">
        <v>10551</v>
      </c>
      <c r="J5709" s="9" t="s">
        <v>10552</v>
      </c>
      <c r="K5709" s="5" t="s">
        <v>15173</v>
      </c>
      <c r="L5709" s="13">
        <v>17082</v>
      </c>
      <c r="M5709" t="str">
        <f>VLOOKUP(L5709,[1]DevMouse!$B$2:$C$2693,2,FALSE)</f>
        <v>r2BMp</v>
      </c>
    </row>
    <row r="5710" spans="2:13" x14ac:dyDescent="0.25">
      <c r="B5710" s="31" t="s">
        <v>26303</v>
      </c>
      <c r="C5710" s="20"/>
      <c r="D5710" s="25" t="s">
        <v>26185</v>
      </c>
      <c r="E5710" s="25" t="s">
        <v>26300</v>
      </c>
      <c r="F5710" s="9" t="str">
        <f t="shared" si="82"/>
        <v>structure with developmental contribution from neural crest</v>
      </c>
      <c r="G5710" s="9" t="s">
        <v>5090</v>
      </c>
      <c r="H5710" s="9" t="s">
        <v>17563</v>
      </c>
      <c r="I5710" s="9" t="s">
        <v>10553</v>
      </c>
      <c r="J5710" s="9" t="s">
        <v>10554</v>
      </c>
      <c r="K5710" s="5" t="s">
        <v>15173</v>
      </c>
      <c r="L5710" s="13">
        <v>17083</v>
      </c>
      <c r="M5710" t="str">
        <f>VLOOKUP(L5710,[1]DevMouse!$B$2:$C$2693,2,FALSE)</f>
        <v>PDTg</v>
      </c>
    </row>
    <row r="5711" spans="2:13" x14ac:dyDescent="0.25">
      <c r="B5711" s="31" t="s">
        <v>26303</v>
      </c>
      <c r="C5711" s="25" t="s">
        <v>3251</v>
      </c>
      <c r="D5711" s="25" t="s">
        <v>26232</v>
      </c>
      <c r="E5711" s="25"/>
      <c r="F5711" s="9" t="str">
        <f t="shared" si="82"/>
        <v>structure with developmental contribution from neural crest</v>
      </c>
      <c r="G5711" s="9" t="s">
        <v>5090</v>
      </c>
      <c r="H5711" s="9" t="s">
        <v>17564</v>
      </c>
      <c r="I5711" s="9" t="s">
        <v>3251</v>
      </c>
      <c r="J5711" s="9" t="s">
        <v>3253</v>
      </c>
      <c r="K5711" s="5" t="s">
        <v>15173</v>
      </c>
      <c r="L5711" s="13">
        <v>17084</v>
      </c>
      <c r="M5711" t="str">
        <f>VLOOKUP(L5711,[1]DevMouse!$B$2:$C$2693,2,FALSE)</f>
        <v>Inc</v>
      </c>
    </row>
    <row r="5712" spans="2:13" x14ac:dyDescent="0.25">
      <c r="B5712" s="36"/>
      <c r="C5712" s="20"/>
      <c r="D5712" s="25" t="s">
        <v>26232</v>
      </c>
      <c r="E5712" s="25"/>
      <c r="F5712" s="9" t="str">
        <f t="shared" si="82"/>
        <v>structure with developmental contribution from neural crest</v>
      </c>
      <c r="G5712" s="9" t="s">
        <v>5090</v>
      </c>
      <c r="H5712" s="9" t="s">
        <v>17565</v>
      </c>
      <c r="I5712" s="9" t="s">
        <v>10555</v>
      </c>
      <c r="J5712" s="9" t="s">
        <v>10556</v>
      </c>
      <c r="K5712" s="5" t="s">
        <v>15173</v>
      </c>
      <c r="L5712" s="13">
        <v>17085</v>
      </c>
      <c r="M5712" t="str">
        <f>VLOOKUP(L5712,[1]DevMouse!$B$2:$C$2693,2,FALSE)</f>
        <v>r2BMi</v>
      </c>
    </row>
    <row r="5713" spans="2:13" x14ac:dyDescent="0.25">
      <c r="B5713" s="36"/>
      <c r="C5713" s="20"/>
      <c r="D5713" s="25" t="s">
        <v>26232</v>
      </c>
      <c r="E5713" s="25"/>
      <c r="F5713" s="9" t="str">
        <f t="shared" si="82"/>
        <v>structure with developmental contribution from neural crest</v>
      </c>
      <c r="G5713" s="9" t="s">
        <v>5090</v>
      </c>
      <c r="H5713" s="9" t="s">
        <v>17566</v>
      </c>
      <c r="I5713" s="9" t="s">
        <v>10557</v>
      </c>
      <c r="J5713" s="9" t="s">
        <v>10558</v>
      </c>
      <c r="K5713" s="5" t="s">
        <v>15173</v>
      </c>
      <c r="L5713" s="13">
        <v>17086</v>
      </c>
      <c r="M5713" t="str">
        <f>VLOOKUP(L5713,[1]DevMouse!$B$2:$C$2693,2,FALSE)</f>
        <v>r2BMRt</v>
      </c>
    </row>
    <row r="5714" spans="2:13" x14ac:dyDescent="0.25">
      <c r="B5714" s="31" t="s">
        <v>26303</v>
      </c>
      <c r="C5714" s="25" t="s">
        <v>12796</v>
      </c>
      <c r="D5714" s="25" t="s">
        <v>26232</v>
      </c>
      <c r="E5714" s="25" t="s">
        <v>26308</v>
      </c>
      <c r="F5714" s="9" t="str">
        <f t="shared" si="82"/>
        <v>structure with developmental contribution from neural crest</v>
      </c>
      <c r="G5714" s="9" t="s">
        <v>5090</v>
      </c>
      <c r="H5714" s="9" t="s">
        <v>17567</v>
      </c>
      <c r="I5714" s="9" t="s">
        <v>10559</v>
      </c>
      <c r="J5714" s="9" t="s">
        <v>10560</v>
      </c>
      <c r="K5714" s="5" t="s">
        <v>15173</v>
      </c>
      <c r="L5714" s="13">
        <v>17087</v>
      </c>
      <c r="M5714" t="str">
        <f>VLOOKUP(L5714,[1]DevMouse!$B$2:$C$2693,2,FALSE)</f>
        <v>r2PPnR</v>
      </c>
    </row>
    <row r="5715" spans="2:13" x14ac:dyDescent="0.25">
      <c r="B5715" s="31" t="s">
        <v>26303</v>
      </c>
      <c r="C5715" s="25" t="s">
        <v>3060</v>
      </c>
      <c r="D5715" s="25" t="s">
        <v>26232</v>
      </c>
      <c r="E5715" s="25" t="s">
        <v>26308</v>
      </c>
      <c r="F5715" s="9" t="str">
        <f t="shared" si="82"/>
        <v>structure with developmental contribution from neural crest</v>
      </c>
      <c r="G5715" s="9" t="s">
        <v>5090</v>
      </c>
      <c r="H5715" s="9" t="s">
        <v>17568</v>
      </c>
      <c r="I5715" s="9" t="s">
        <v>10561</v>
      </c>
      <c r="J5715" s="9" t="s">
        <v>10562</v>
      </c>
      <c r="K5715" s="5" t="s">
        <v>15173</v>
      </c>
      <c r="L5715" s="13">
        <v>17088</v>
      </c>
      <c r="M5715" t="str">
        <f>VLOOKUP(L5715,[1]DevMouse!$B$2:$C$2693,2,FALSE)</f>
        <v>r2MnR</v>
      </c>
    </row>
    <row r="5716" spans="2:13" x14ac:dyDescent="0.25">
      <c r="B5716" s="36"/>
      <c r="C5716" s="20"/>
      <c r="D5716" s="25" t="s">
        <v>26232</v>
      </c>
      <c r="E5716" s="25"/>
      <c r="F5716" s="9" t="str">
        <f t="shared" si="82"/>
        <v>structure with developmental contribution from neural crest</v>
      </c>
      <c r="G5716" s="9" t="s">
        <v>5090</v>
      </c>
      <c r="H5716" s="9" t="s">
        <v>17569</v>
      </c>
      <c r="I5716" s="9" t="s">
        <v>10563</v>
      </c>
      <c r="J5716" s="9" t="s">
        <v>10564</v>
      </c>
      <c r="K5716" s="5" t="s">
        <v>15173</v>
      </c>
      <c r="L5716" s="13">
        <v>17089</v>
      </c>
      <c r="M5716" t="str">
        <f>VLOOKUP(L5716,[1]DevMouse!$B$2:$C$2693,2,FALSE)</f>
        <v>r2BMs</v>
      </c>
    </row>
    <row r="5717" spans="2:13" x14ac:dyDescent="0.25">
      <c r="B5717" s="36"/>
      <c r="C5717" s="20"/>
      <c r="D5717" s="25" t="s">
        <v>26232</v>
      </c>
      <c r="E5717" s="25"/>
      <c r="F5717" s="9" t="str">
        <f t="shared" si="82"/>
        <v>structure with developmental contribution from neural crest</v>
      </c>
      <c r="G5717" s="9" t="s">
        <v>5090</v>
      </c>
      <c r="H5717" s="9" t="s">
        <v>17570</v>
      </c>
      <c r="I5717" s="9" t="s">
        <v>10565</v>
      </c>
      <c r="J5717" s="9" t="s">
        <v>10566</v>
      </c>
      <c r="K5717" s="5" t="s">
        <v>15173</v>
      </c>
      <c r="L5717" s="13">
        <v>17090</v>
      </c>
      <c r="M5717" t="str">
        <f>VLOOKUP(L5717,[1]DevMouse!$B$2:$C$2693,2,FALSE)</f>
        <v>RMTg</v>
      </c>
    </row>
    <row r="5718" spans="2:13" x14ac:dyDescent="0.25">
      <c r="B5718" s="31" t="s">
        <v>26303</v>
      </c>
      <c r="C5718" s="25" t="s">
        <v>26196</v>
      </c>
      <c r="D5718" s="25" t="s">
        <v>26232</v>
      </c>
      <c r="E5718" s="25"/>
      <c r="F5718" s="9" t="str">
        <f t="shared" si="82"/>
        <v>structure with developmental contribution from neural crest</v>
      </c>
      <c r="G5718" s="9" t="s">
        <v>5090</v>
      </c>
      <c r="H5718" s="9" t="s">
        <v>17571</v>
      </c>
      <c r="I5718" s="9" t="s">
        <v>4787</v>
      </c>
      <c r="J5718" s="9" t="s">
        <v>4788</v>
      </c>
      <c r="K5718" s="5" t="s">
        <v>15173</v>
      </c>
      <c r="L5718" s="13">
        <v>17091</v>
      </c>
      <c r="M5718" t="str">
        <f>VLOOKUP(L5718,[1]DevMouse!$B$2:$C$2693,2,FALSE)</f>
        <v>r2F</v>
      </c>
    </row>
    <row r="5719" spans="2:13" x14ac:dyDescent="0.25">
      <c r="B5719" s="31" t="s">
        <v>26299</v>
      </c>
      <c r="C5719" s="25" t="s">
        <v>3862</v>
      </c>
      <c r="D5719" s="25" t="s">
        <v>26232</v>
      </c>
      <c r="E5719" s="25" t="s">
        <v>26300</v>
      </c>
      <c r="F5719" s="9" t="str">
        <f t="shared" si="82"/>
        <v>structure with developmental contribution from neural crest</v>
      </c>
      <c r="G5719" s="9" t="s">
        <v>5090</v>
      </c>
      <c r="H5719" s="9" t="s">
        <v>17577</v>
      </c>
      <c r="I5719" s="9" t="s">
        <v>10567</v>
      </c>
      <c r="J5719" s="9" t="s">
        <v>10568</v>
      </c>
      <c r="K5719" s="5" t="s">
        <v>15173</v>
      </c>
      <c r="L5719" s="13">
        <v>17092</v>
      </c>
      <c r="M5719" t="str">
        <f>VLOOKUP(L5719,[1]DevMouse!$B$2:$C$2693,2,FALSE)</f>
        <v>PH</v>
      </c>
    </row>
    <row r="5720" spans="2:13" x14ac:dyDescent="0.25">
      <c r="B5720" s="36"/>
      <c r="C5720" s="20"/>
      <c r="D5720" s="25" t="s">
        <v>26232</v>
      </c>
      <c r="E5720" s="25"/>
      <c r="F5720" s="9" t="str">
        <f t="shared" si="82"/>
        <v>structure with developmental contribution from neural crest</v>
      </c>
      <c r="G5720" s="9" t="s">
        <v>5090</v>
      </c>
      <c r="H5720" s="9" t="s">
        <v>17579</v>
      </c>
      <c r="I5720" s="9" t="s">
        <v>4800</v>
      </c>
      <c r="J5720" s="9" t="s">
        <v>4801</v>
      </c>
      <c r="K5720" s="5" t="s">
        <v>15173</v>
      </c>
      <c r="L5720" s="13">
        <v>17094</v>
      </c>
      <c r="M5720" t="str">
        <f>VLOOKUP(L5720,[1]DevMouse!$B$2:$C$2693,2,FALSE)</f>
        <v>r3R</v>
      </c>
    </row>
    <row r="5721" spans="2:13" x14ac:dyDescent="0.25">
      <c r="B5721" s="36"/>
      <c r="C5721" s="20"/>
      <c r="D5721" s="25" t="s">
        <v>26232</v>
      </c>
      <c r="E5721" s="25"/>
      <c r="F5721" s="9" t="str">
        <f t="shared" si="82"/>
        <v>structure with developmental contribution from neural crest</v>
      </c>
      <c r="G5721" s="9" t="s">
        <v>5090</v>
      </c>
      <c r="H5721" s="9" t="s">
        <v>17580</v>
      </c>
      <c r="I5721" s="9" t="s">
        <v>10569</v>
      </c>
      <c r="J5721" s="9" t="s">
        <v>10570</v>
      </c>
      <c r="K5721" s="5" t="s">
        <v>15173</v>
      </c>
      <c r="L5721" s="13">
        <v>17095</v>
      </c>
      <c r="M5721" t="str">
        <f>VLOOKUP(L5721,[1]DevMouse!$B$2:$C$2693,2,FALSE)</f>
        <v>r3A</v>
      </c>
    </row>
    <row r="5722" spans="2:13" x14ac:dyDescent="0.25">
      <c r="B5722" s="31" t="s">
        <v>26303</v>
      </c>
      <c r="C5722" s="20"/>
      <c r="D5722" s="25" t="s">
        <v>26232</v>
      </c>
      <c r="E5722" s="25" t="s">
        <v>26307</v>
      </c>
      <c r="F5722" s="9" t="str">
        <f t="shared" si="82"/>
        <v>structure with developmental contribution from neural crest</v>
      </c>
      <c r="G5722" s="9" t="s">
        <v>5090</v>
      </c>
      <c r="H5722" s="9" t="s">
        <v>17583</v>
      </c>
      <c r="I5722" s="9" t="s">
        <v>10571</v>
      </c>
      <c r="J5722" s="9" t="s">
        <v>10572</v>
      </c>
      <c r="K5722" s="5" t="s">
        <v>15173</v>
      </c>
      <c r="L5722" s="13">
        <v>17096</v>
      </c>
      <c r="M5722" t="str">
        <f>VLOOKUP(L5722,[1]DevMouse!$B$2:$C$2693,2,FALSE)</f>
        <v>r3Co</v>
      </c>
    </row>
    <row r="5723" spans="2:13" x14ac:dyDescent="0.25">
      <c r="B5723" s="36"/>
      <c r="C5723" s="20"/>
      <c r="D5723" s="25" t="s">
        <v>26232</v>
      </c>
      <c r="E5723" s="25"/>
      <c r="F5723" s="9" t="str">
        <f t="shared" si="82"/>
        <v>structure with developmental contribution from neural crest</v>
      </c>
      <c r="G5723" s="9" t="s">
        <v>5090</v>
      </c>
      <c r="H5723" s="9" t="s">
        <v>17584</v>
      </c>
      <c r="I5723" s="9" t="s">
        <v>10573</v>
      </c>
      <c r="J5723" s="9" t="s">
        <v>10574</v>
      </c>
      <c r="K5723" s="5" t="s">
        <v>15173</v>
      </c>
      <c r="L5723" s="13">
        <v>17097</v>
      </c>
      <c r="M5723" t="str">
        <f>VLOOKUP(L5723,[1]DevMouse!$B$2:$C$2693,2,FALSE)</f>
        <v>r3Cov</v>
      </c>
    </row>
    <row r="5724" spans="2:13" x14ac:dyDescent="0.25">
      <c r="B5724" s="31" t="s">
        <v>26303</v>
      </c>
      <c r="C5724" s="20"/>
      <c r="D5724" s="25" t="s">
        <v>26232</v>
      </c>
      <c r="E5724" s="20" t="s">
        <v>26300</v>
      </c>
      <c r="F5724" s="9" t="str">
        <f t="shared" si="82"/>
        <v>structure with developmental contribution from neural crest</v>
      </c>
      <c r="G5724" s="9" t="s">
        <v>5090</v>
      </c>
      <c r="H5724" s="9" t="s">
        <v>17585</v>
      </c>
      <c r="I5724" s="9" t="s">
        <v>10575</v>
      </c>
      <c r="J5724" s="9" t="s">
        <v>10576</v>
      </c>
      <c r="K5724" s="5" t="s">
        <v>15173</v>
      </c>
      <c r="L5724" s="13">
        <v>17098</v>
      </c>
      <c r="M5724" t="str">
        <f>VLOOKUP(L5724,[1]DevMouse!$B$2:$C$2693,2,FALSE)</f>
        <v>r3Com</v>
      </c>
    </row>
    <row r="5725" spans="2:13" x14ac:dyDescent="0.25">
      <c r="B5725" s="31" t="s">
        <v>26303</v>
      </c>
      <c r="C5725" s="25" t="s">
        <v>1518</v>
      </c>
      <c r="D5725" s="25" t="s">
        <v>26232</v>
      </c>
      <c r="E5725" s="25" t="s">
        <v>26308</v>
      </c>
      <c r="F5725" s="9" t="str">
        <f t="shared" si="82"/>
        <v>structure with developmental contribution from neural crest</v>
      </c>
      <c r="G5725" s="9" t="s">
        <v>5090</v>
      </c>
      <c r="H5725" s="9" t="s">
        <v>17587</v>
      </c>
      <c r="I5725" s="9" t="s">
        <v>10577</v>
      </c>
      <c r="J5725" s="9" t="s">
        <v>10578</v>
      </c>
      <c r="K5725" s="5" t="s">
        <v>15173</v>
      </c>
      <c r="L5725" s="13">
        <v>17099</v>
      </c>
      <c r="M5725" t="str">
        <f>VLOOKUP(L5725,[1]DevMouse!$B$2:$C$2693,2,FALSE)</f>
        <v>r3DC</v>
      </c>
    </row>
    <row r="5726" spans="2:13" x14ac:dyDescent="0.25">
      <c r="B5726" s="31" t="s">
        <v>26303</v>
      </c>
      <c r="C5726" s="25" t="s">
        <v>25800</v>
      </c>
      <c r="D5726" s="25" t="s">
        <v>26232</v>
      </c>
      <c r="E5726" s="25" t="s">
        <v>26308</v>
      </c>
      <c r="F5726" s="9" t="str">
        <f t="shared" si="82"/>
        <v>structure with developmental contribution from neural crest</v>
      </c>
      <c r="G5726" s="9" t="s">
        <v>5090</v>
      </c>
      <c r="H5726" s="9" t="s">
        <v>17590</v>
      </c>
      <c r="I5726" s="9" t="s">
        <v>10579</v>
      </c>
      <c r="J5726" s="9" t="s">
        <v>10580</v>
      </c>
      <c r="K5726" s="5" t="s">
        <v>15173</v>
      </c>
      <c r="L5726" s="13">
        <v>17100</v>
      </c>
      <c r="M5726" t="str">
        <f>VLOOKUP(L5726,[1]DevMouse!$B$2:$C$2693,2,FALSE)</f>
        <v>r3AVC</v>
      </c>
    </row>
    <row r="5727" spans="2:13" x14ac:dyDescent="0.25">
      <c r="B5727" s="36"/>
      <c r="C5727" s="20"/>
      <c r="D5727" s="25" t="s">
        <v>26232</v>
      </c>
      <c r="E5727" s="25"/>
      <c r="F5727" s="9" t="str">
        <f t="shared" si="82"/>
        <v>structure with developmental contribution from neural crest</v>
      </c>
      <c r="G5727" s="9" t="s">
        <v>5090</v>
      </c>
      <c r="H5727" s="9" t="s">
        <v>17591</v>
      </c>
      <c r="I5727" s="9" t="s">
        <v>10581</v>
      </c>
      <c r="J5727" s="9" t="s">
        <v>10582</v>
      </c>
      <c r="K5727" s="5" t="s">
        <v>15173</v>
      </c>
      <c r="L5727" s="13">
        <v>17101</v>
      </c>
      <c r="M5727" t="str">
        <f>VLOOKUP(L5727,[1]DevMouse!$B$2:$C$2693,2,FALSE)</f>
        <v>r3Ve</v>
      </c>
    </row>
    <row r="5728" spans="2:13" x14ac:dyDescent="0.25">
      <c r="B5728" s="36"/>
      <c r="C5728" s="20"/>
      <c r="D5728" s="25" t="s">
        <v>26232</v>
      </c>
      <c r="E5728" s="25"/>
      <c r="F5728" s="9" t="str">
        <f t="shared" si="82"/>
        <v>structure with developmental contribution from neural crest</v>
      </c>
      <c r="G5728" s="9" t="s">
        <v>5090</v>
      </c>
      <c r="H5728" s="9" t="s">
        <v>17592</v>
      </c>
      <c r="I5728" s="9" t="s">
        <v>10583</v>
      </c>
      <c r="J5728" s="9" t="s">
        <v>10584</v>
      </c>
      <c r="K5728" s="5" t="s">
        <v>15173</v>
      </c>
      <c r="L5728" s="13">
        <v>17102</v>
      </c>
      <c r="M5728" t="str">
        <f>VLOOKUP(L5728,[1]DevMouse!$B$2:$C$2693,2,FALSE)</f>
        <v>r3Vev</v>
      </c>
    </row>
    <row r="5729" spans="2:13" x14ac:dyDescent="0.25">
      <c r="B5729" s="31" t="s">
        <v>26303</v>
      </c>
      <c r="C5729" s="20"/>
      <c r="D5729" s="25" t="s">
        <v>26232</v>
      </c>
      <c r="E5729" s="20" t="s">
        <v>26300</v>
      </c>
      <c r="F5729" s="9" t="str">
        <f t="shared" si="82"/>
        <v>structure with developmental contribution from neural crest</v>
      </c>
      <c r="G5729" s="9" t="s">
        <v>5090</v>
      </c>
      <c r="H5729" s="9" t="s">
        <v>17593</v>
      </c>
      <c r="I5729" s="9" t="s">
        <v>10585</v>
      </c>
      <c r="J5729" s="9" t="s">
        <v>10586</v>
      </c>
      <c r="K5729" s="5" t="s">
        <v>15173</v>
      </c>
      <c r="L5729" s="13">
        <v>17103</v>
      </c>
      <c r="M5729" t="str">
        <f>VLOOKUP(L5729,[1]DevMouse!$B$2:$C$2693,2,FALSE)</f>
        <v>r3Vem</v>
      </c>
    </row>
    <row r="5730" spans="2:13" x14ac:dyDescent="0.25">
      <c r="B5730" s="31" t="s">
        <v>26303</v>
      </c>
      <c r="C5730" s="25" t="s">
        <v>2745</v>
      </c>
      <c r="D5730" s="25" t="s">
        <v>26232</v>
      </c>
      <c r="E5730" s="25" t="s">
        <v>26308</v>
      </c>
      <c r="F5730" s="9" t="str">
        <f t="shared" si="82"/>
        <v>structure with developmental contribution from neural crest</v>
      </c>
      <c r="G5730" s="9" t="s">
        <v>5090</v>
      </c>
      <c r="H5730" s="9" t="s">
        <v>17599</v>
      </c>
      <c r="I5730" s="9" t="s">
        <v>10587</v>
      </c>
      <c r="J5730" s="9" t="s">
        <v>10588</v>
      </c>
      <c r="K5730" s="5" t="s">
        <v>15173</v>
      </c>
      <c r="L5730" s="13">
        <v>17104</v>
      </c>
      <c r="M5730" t="str">
        <f>VLOOKUP(L5730,[1]DevMouse!$B$2:$C$2693,2,FALSE)</f>
        <v>r3LVe</v>
      </c>
    </row>
    <row r="5731" spans="2:13" x14ac:dyDescent="0.25">
      <c r="B5731" s="31" t="s">
        <v>26303</v>
      </c>
      <c r="C5731" s="25" t="s">
        <v>3042</v>
      </c>
      <c r="D5731" s="25" t="s">
        <v>26232</v>
      </c>
      <c r="E5731" s="25" t="s">
        <v>26308</v>
      </c>
      <c r="F5731" s="9" t="str">
        <f t="shared" si="82"/>
        <v>structure with developmental contribution from neural crest</v>
      </c>
      <c r="G5731" s="9" t="s">
        <v>5090</v>
      </c>
      <c r="H5731" s="9" t="s">
        <v>17597</v>
      </c>
      <c r="I5731" s="9" t="s">
        <v>10589</v>
      </c>
      <c r="J5731" s="9" t="s">
        <v>10590</v>
      </c>
      <c r="K5731" s="5" t="s">
        <v>15173</v>
      </c>
      <c r="L5731" s="13">
        <v>17105</v>
      </c>
      <c r="M5731" t="str">
        <f>VLOOKUP(L5731,[1]DevMouse!$B$2:$C$2693,2,FALSE)</f>
        <v>r3MVeMC</v>
      </c>
    </row>
    <row r="5732" spans="2:13" x14ac:dyDescent="0.25">
      <c r="B5732" s="31" t="s">
        <v>26303</v>
      </c>
      <c r="C5732" s="25" t="s">
        <v>3042</v>
      </c>
      <c r="D5732" s="25" t="s">
        <v>26232</v>
      </c>
      <c r="E5732" s="25" t="s">
        <v>26308</v>
      </c>
      <c r="F5732" s="9" t="str">
        <f t="shared" si="82"/>
        <v>structure with developmental contribution from neural crest</v>
      </c>
      <c r="G5732" s="9" t="s">
        <v>5090</v>
      </c>
      <c r="H5732" s="9" t="s">
        <v>17595</v>
      </c>
      <c r="I5732" s="9" t="s">
        <v>10591</v>
      </c>
      <c r="J5732" s="9" t="s">
        <v>10592</v>
      </c>
      <c r="K5732" s="5" t="s">
        <v>15173</v>
      </c>
      <c r="L5732" s="13">
        <v>17106</v>
      </c>
      <c r="M5732" t="str">
        <f>VLOOKUP(L5732,[1]DevMouse!$B$2:$C$2693,2,FALSE)</f>
        <v>r3MVePC</v>
      </c>
    </row>
    <row r="5733" spans="2:13" x14ac:dyDescent="0.25">
      <c r="B5733" s="36"/>
      <c r="C5733" s="20"/>
      <c r="D5733" s="25" t="s">
        <v>26232</v>
      </c>
      <c r="E5733" s="25" t="s">
        <v>26308</v>
      </c>
      <c r="F5733" s="9" t="str">
        <f t="shared" si="82"/>
        <v>structure with developmental contribution from neural crest</v>
      </c>
      <c r="G5733" s="9" t="s">
        <v>5090</v>
      </c>
      <c r="H5733" s="9" t="s">
        <v>17600</v>
      </c>
      <c r="I5733" s="9" t="s">
        <v>10593</v>
      </c>
      <c r="J5733" s="9" t="s">
        <v>10594</v>
      </c>
      <c r="K5733" s="5" t="s">
        <v>15173</v>
      </c>
      <c r="L5733" s="13">
        <v>17107</v>
      </c>
      <c r="M5733" t="str">
        <f>VLOOKUP(L5733,[1]DevMouse!$B$2:$C$2693,2,FALSE)</f>
        <v>r3Tr</v>
      </c>
    </row>
    <row r="5734" spans="2:13" x14ac:dyDescent="0.25">
      <c r="B5734" s="36"/>
      <c r="C5734" s="20"/>
      <c r="D5734" s="25" t="s">
        <v>26232</v>
      </c>
      <c r="E5734" s="25"/>
      <c r="F5734" s="9" t="str">
        <f t="shared" si="82"/>
        <v>structure with developmental contribution from neural crest</v>
      </c>
      <c r="G5734" s="9" t="s">
        <v>5090</v>
      </c>
      <c r="H5734" s="9" t="s">
        <v>17601</v>
      </c>
      <c r="I5734" s="9" t="s">
        <v>10595</v>
      </c>
      <c r="J5734" s="9" t="s">
        <v>10596</v>
      </c>
      <c r="K5734" s="5" t="s">
        <v>15173</v>
      </c>
      <c r="L5734" s="13">
        <v>17108</v>
      </c>
      <c r="M5734" t="str">
        <f>VLOOKUP(L5734,[1]DevMouse!$B$2:$C$2693,2,FALSE)</f>
        <v>r3Trv</v>
      </c>
    </row>
    <row r="5735" spans="2:13" x14ac:dyDescent="0.25">
      <c r="B5735" s="31" t="s">
        <v>26303</v>
      </c>
      <c r="C5735" s="20"/>
      <c r="D5735" s="25" t="s">
        <v>26232</v>
      </c>
      <c r="E5735" s="20" t="s">
        <v>26300</v>
      </c>
      <c r="F5735" s="9" t="str">
        <f t="shared" si="82"/>
        <v>structure with developmental contribution from neural crest</v>
      </c>
      <c r="G5735" s="9" t="s">
        <v>5090</v>
      </c>
      <c r="H5735" s="9" t="s">
        <v>17602</v>
      </c>
      <c r="I5735" s="9" t="s">
        <v>10597</v>
      </c>
      <c r="J5735" s="9" t="s">
        <v>10598</v>
      </c>
      <c r="K5735" s="5" t="s">
        <v>15173</v>
      </c>
      <c r="L5735" s="13">
        <v>17109</v>
      </c>
      <c r="M5735" t="str">
        <f>VLOOKUP(L5735,[1]DevMouse!$B$2:$C$2693,2,FALSE)</f>
        <v>r3Trm</v>
      </c>
    </row>
    <row r="5736" spans="2:13" x14ac:dyDescent="0.25">
      <c r="B5736" s="31" t="s">
        <v>26303</v>
      </c>
      <c r="C5736" s="20"/>
      <c r="D5736" s="25" t="s">
        <v>26185</v>
      </c>
      <c r="E5736" s="25" t="s">
        <v>26308</v>
      </c>
      <c r="F5736" s="9" t="str">
        <f t="shared" si="82"/>
        <v>structure with developmental contribution from neural crest</v>
      </c>
      <c r="G5736" s="9" t="s">
        <v>5090</v>
      </c>
      <c r="H5736" s="9" t="s">
        <v>17608</v>
      </c>
      <c r="I5736" s="9" t="s">
        <v>10599</v>
      </c>
      <c r="J5736" s="9" t="s">
        <v>10600</v>
      </c>
      <c r="K5736" s="5" t="s">
        <v>15173</v>
      </c>
      <c r="L5736" s="13">
        <v>17110</v>
      </c>
      <c r="M5736" t="str">
        <f>VLOOKUP(L5736,[1]DevMouse!$B$2:$C$2693,2,FALSE)</f>
        <v>r3Sp5O</v>
      </c>
    </row>
    <row r="5737" spans="2:13" x14ac:dyDescent="0.25">
      <c r="B5737" s="36"/>
      <c r="C5737" s="20"/>
      <c r="D5737" s="25" t="s">
        <v>26232</v>
      </c>
      <c r="E5737" s="25" t="s">
        <v>26308</v>
      </c>
      <c r="F5737" s="9" t="str">
        <f t="shared" si="82"/>
        <v>structure with developmental contribution from neural crest</v>
      </c>
      <c r="G5737" s="9" t="s">
        <v>5090</v>
      </c>
      <c r="H5737" s="9" t="s">
        <v>17605</v>
      </c>
      <c r="I5737" s="9" t="s">
        <v>10601</v>
      </c>
      <c r="J5737" s="9" t="s">
        <v>10602</v>
      </c>
      <c r="K5737" s="5" t="s">
        <v>15173</v>
      </c>
      <c r="L5737" s="13">
        <v>17111</v>
      </c>
      <c r="M5737" t="str">
        <f>VLOOKUP(L5737,[1]DevMouse!$B$2:$C$2693,2,FALSE)</f>
        <v>r3-5Tr</v>
      </c>
    </row>
    <row r="5738" spans="2:13" x14ac:dyDescent="0.25">
      <c r="B5738" s="36"/>
      <c r="C5738" s="20"/>
      <c r="D5738" s="25" t="s">
        <v>26232</v>
      </c>
      <c r="E5738" s="25"/>
      <c r="F5738" s="9" t="str">
        <f t="shared" si="82"/>
        <v>structure with developmental contribution from neural crest</v>
      </c>
      <c r="G5738" s="9" t="s">
        <v>5090</v>
      </c>
      <c r="H5738" s="9" t="s">
        <v>17606</v>
      </c>
      <c r="I5738" s="9" t="s">
        <v>10603</v>
      </c>
      <c r="J5738" s="9" t="s">
        <v>10604</v>
      </c>
      <c r="K5738" s="5" t="s">
        <v>15173</v>
      </c>
      <c r="L5738" s="13">
        <v>17112</v>
      </c>
      <c r="M5738" t="str">
        <f>VLOOKUP(L5738,[1]DevMouse!$B$2:$C$2693,2,FALSE)</f>
        <v>r3DPCRt</v>
      </c>
    </row>
    <row r="5739" spans="2:13" x14ac:dyDescent="0.25">
      <c r="B5739" s="36"/>
      <c r="C5739" s="20"/>
      <c r="D5739" s="25" t="s">
        <v>26232</v>
      </c>
      <c r="E5739" s="25"/>
      <c r="F5739" s="9" t="str">
        <f t="shared" si="82"/>
        <v>structure with developmental contribution from neural crest</v>
      </c>
      <c r="G5739" s="9" t="s">
        <v>5090</v>
      </c>
      <c r="H5739" s="9" t="s">
        <v>17609</v>
      </c>
      <c r="I5739" s="9" t="s">
        <v>10605</v>
      </c>
      <c r="J5739" s="9" t="s">
        <v>10606</v>
      </c>
      <c r="K5739" s="5" t="s">
        <v>15173</v>
      </c>
      <c r="L5739" s="13">
        <v>17113</v>
      </c>
      <c r="M5739" t="str">
        <f>VLOOKUP(L5739,[1]DevMouse!$B$2:$C$2693,2,FALSE)</f>
        <v>r3Lim</v>
      </c>
    </row>
    <row r="5740" spans="2:13" x14ac:dyDescent="0.25">
      <c r="B5740" s="36"/>
      <c r="C5740" s="20"/>
      <c r="D5740" s="25" t="s">
        <v>26232</v>
      </c>
      <c r="E5740" s="25"/>
      <c r="F5740" s="9" t="str">
        <f t="shared" si="82"/>
        <v>structure with developmental contribution from neural crest</v>
      </c>
      <c r="G5740" s="9" t="s">
        <v>5090</v>
      </c>
      <c r="H5740" s="9" t="s">
        <v>17610</v>
      </c>
      <c r="I5740" s="9" t="s">
        <v>10607</v>
      </c>
      <c r="J5740" s="9" t="s">
        <v>10608</v>
      </c>
      <c r="K5740" s="5" t="s">
        <v>15173</v>
      </c>
      <c r="L5740" s="13">
        <v>17114</v>
      </c>
      <c r="M5740" t="str">
        <f>VLOOKUP(L5740,[1]DevMouse!$B$2:$C$2693,2,FALSE)</f>
        <v>r3Limv</v>
      </c>
    </row>
    <row r="5741" spans="2:13" x14ac:dyDescent="0.25">
      <c r="B5741" s="31" t="s">
        <v>26303</v>
      </c>
      <c r="C5741" s="20"/>
      <c r="D5741" s="25" t="s">
        <v>26232</v>
      </c>
      <c r="E5741" s="20" t="s">
        <v>26300</v>
      </c>
      <c r="F5741" s="9" t="str">
        <f t="shared" si="82"/>
        <v>structure with developmental contribution from neural crest</v>
      </c>
      <c r="G5741" s="9" t="s">
        <v>5090</v>
      </c>
      <c r="H5741" s="9" t="s">
        <v>17611</v>
      </c>
      <c r="I5741" s="9" t="s">
        <v>10609</v>
      </c>
      <c r="J5741" s="9" t="s">
        <v>10610</v>
      </c>
      <c r="K5741" s="5" t="s">
        <v>15173</v>
      </c>
      <c r="L5741" s="13">
        <v>17115</v>
      </c>
      <c r="M5741" t="str">
        <f>VLOOKUP(L5741,[1]DevMouse!$B$2:$C$2693,2,FALSE)</f>
        <v>r3Limm</v>
      </c>
    </row>
    <row r="5742" spans="2:13" x14ac:dyDescent="0.25">
      <c r="B5742" s="36"/>
      <c r="C5742" s="20"/>
      <c r="D5742" s="25" t="s">
        <v>26232</v>
      </c>
      <c r="E5742" s="25" t="s">
        <v>26308</v>
      </c>
      <c r="F5742" s="9" t="str">
        <f t="shared" si="82"/>
        <v>structure with developmental contribution from neural crest</v>
      </c>
      <c r="G5742" s="9" t="s">
        <v>5090</v>
      </c>
      <c r="H5742" s="9" t="s">
        <v>17617</v>
      </c>
      <c r="I5742" s="9" t="s">
        <v>10611</v>
      </c>
      <c r="J5742" s="9" t="s">
        <v>10612</v>
      </c>
      <c r="K5742" s="5" t="s">
        <v>15173</v>
      </c>
      <c r="L5742" s="13">
        <v>17116</v>
      </c>
      <c r="M5742" t="str">
        <f>VLOOKUP(L5742,[1]DevMouse!$B$2:$C$2693,2,FALSE)</f>
        <v>r3-5M</v>
      </c>
    </row>
    <row r="5743" spans="2:13" x14ac:dyDescent="0.25">
      <c r="B5743" s="36"/>
      <c r="C5743" s="20"/>
      <c r="D5743" s="25" t="s">
        <v>26232</v>
      </c>
      <c r="E5743" s="25"/>
      <c r="F5743" s="9" t="str">
        <f t="shared" si="82"/>
        <v>structure with developmental contribution from neural crest</v>
      </c>
      <c r="G5743" s="9" t="s">
        <v>5090</v>
      </c>
      <c r="H5743" s="9" t="s">
        <v>17618</v>
      </c>
      <c r="I5743" s="9" t="s">
        <v>10613</v>
      </c>
      <c r="J5743" s="9" t="s">
        <v>10614</v>
      </c>
      <c r="K5743" s="5" t="s">
        <v>15173</v>
      </c>
      <c r="L5743" s="13">
        <v>17117</v>
      </c>
      <c r="M5743" t="str">
        <f>VLOOKUP(L5743,[1]DevMouse!$B$2:$C$2693,2,FALSE)</f>
        <v>5ADi</v>
      </c>
    </row>
    <row r="5744" spans="2:13" x14ac:dyDescent="0.25">
      <c r="B5744" s="31" t="s">
        <v>26303</v>
      </c>
      <c r="C5744" s="9" t="s">
        <v>15038</v>
      </c>
      <c r="D5744" s="25" t="s">
        <v>26185</v>
      </c>
      <c r="E5744" s="25" t="s">
        <v>26300</v>
      </c>
      <c r="F5744" s="9" t="str">
        <f t="shared" si="82"/>
        <v>structure with developmental contribution from neural crest</v>
      </c>
      <c r="G5744" s="9" t="s">
        <v>5090</v>
      </c>
      <c r="H5744" s="9" t="s">
        <v>17631</v>
      </c>
      <c r="I5744" s="9" t="s">
        <v>10615</v>
      </c>
      <c r="J5744" s="9" t="s">
        <v>10616</v>
      </c>
      <c r="K5744" s="5" t="s">
        <v>15173</v>
      </c>
      <c r="L5744" s="13">
        <v>17118</v>
      </c>
      <c r="M5744" t="str">
        <f>VLOOKUP(L5744,[1]DevMouse!$B$2:$C$2693,2,FALSE)</f>
        <v>r3VLL</v>
      </c>
    </row>
    <row r="5745" spans="2:13" x14ac:dyDescent="0.25">
      <c r="B5745" s="31" t="s">
        <v>26303</v>
      </c>
      <c r="C5745" s="20"/>
      <c r="D5745" s="25" t="s">
        <v>26232</v>
      </c>
      <c r="E5745" s="25" t="s">
        <v>26308</v>
      </c>
      <c r="F5745" s="9" t="str">
        <f t="shared" si="82"/>
        <v>structure with developmental contribution from neural crest</v>
      </c>
      <c r="G5745" s="9" t="s">
        <v>5090</v>
      </c>
      <c r="H5745" s="9" t="s">
        <v>17632</v>
      </c>
      <c r="I5745" s="9" t="s">
        <v>10617</v>
      </c>
      <c r="J5745" s="9" t="s">
        <v>10618</v>
      </c>
      <c r="K5745" s="5" t="s">
        <v>15173</v>
      </c>
      <c r="L5745" s="13">
        <v>17119</v>
      </c>
      <c r="M5745" t="str">
        <f>VLOOKUP(L5745,[1]DevMouse!$B$2:$C$2693,2,FALSE)</f>
        <v>r3MPL</v>
      </c>
    </row>
    <row r="5746" spans="2:13" x14ac:dyDescent="0.25">
      <c r="B5746" s="31" t="s">
        <v>26303</v>
      </c>
      <c r="C5746" s="20"/>
      <c r="D5746" s="25" t="s">
        <v>26232</v>
      </c>
      <c r="E5746" s="25" t="s">
        <v>26308</v>
      </c>
      <c r="F5746" s="9" t="str">
        <f t="shared" si="82"/>
        <v>structure with developmental contribution from neural crest</v>
      </c>
      <c r="G5746" s="9" t="s">
        <v>5090</v>
      </c>
      <c r="H5746" s="9" t="s">
        <v>17633</v>
      </c>
      <c r="I5746" s="9" t="s">
        <v>10619</v>
      </c>
      <c r="J5746" s="9" t="s">
        <v>10620</v>
      </c>
      <c r="K5746" s="5" t="s">
        <v>15173</v>
      </c>
      <c r="L5746" s="13">
        <v>17120</v>
      </c>
      <c r="M5746" t="str">
        <f>VLOOKUP(L5746,[1]DevMouse!$B$2:$C$2693,2,FALSE)</f>
        <v>r3LPL</v>
      </c>
    </row>
    <row r="5747" spans="2:13" x14ac:dyDescent="0.25">
      <c r="B5747" s="36"/>
      <c r="C5747" s="20"/>
      <c r="D5747" s="25" t="s">
        <v>26232</v>
      </c>
      <c r="E5747" s="25"/>
      <c r="F5747" s="9" t="str">
        <f t="shared" si="82"/>
        <v>structure with developmental contribution from neural crest</v>
      </c>
      <c r="G5747" s="9" t="s">
        <v>5090</v>
      </c>
      <c r="H5747" s="9" t="s">
        <v>17615</v>
      </c>
      <c r="I5747" s="9" t="s">
        <v>10621</v>
      </c>
      <c r="J5747" s="9" t="s">
        <v>10622</v>
      </c>
      <c r="K5747" s="5" t="s">
        <v>15173</v>
      </c>
      <c r="L5747" s="13">
        <v>17121</v>
      </c>
      <c r="M5747" t="str">
        <f>VLOOKUP(L5747,[1]DevMouse!$B$2:$C$2693,2,FALSE)</f>
        <v>r3VPCRt</v>
      </c>
    </row>
    <row r="5748" spans="2:13" x14ac:dyDescent="0.25">
      <c r="B5748" s="36"/>
      <c r="C5748" s="20"/>
      <c r="D5748" s="25" t="s">
        <v>26232</v>
      </c>
      <c r="E5748" s="25"/>
      <c r="F5748" s="9" t="str">
        <f t="shared" si="82"/>
        <v>structure with developmental contribution from neural crest</v>
      </c>
      <c r="G5748" s="9" t="s">
        <v>5090</v>
      </c>
      <c r="H5748" s="9" t="s">
        <v>17613</v>
      </c>
      <c r="I5748" s="9" t="s">
        <v>10623</v>
      </c>
      <c r="J5748" s="9" t="s">
        <v>10624</v>
      </c>
      <c r="K5748" s="5" t="s">
        <v>15173</v>
      </c>
      <c r="L5748" s="13">
        <v>17122</v>
      </c>
      <c r="M5748" t="str">
        <f>VLOOKUP(L5748,[1]DevMouse!$B$2:$C$2693,2,FALSE)</f>
        <v>r3LimCG</v>
      </c>
    </row>
    <row r="5749" spans="2:13" x14ac:dyDescent="0.25">
      <c r="B5749" s="36"/>
      <c r="C5749" s="20"/>
      <c r="D5749" s="25" t="s">
        <v>26232</v>
      </c>
      <c r="E5749" s="25"/>
      <c r="F5749" s="9" t="str">
        <f t="shared" si="82"/>
        <v>structure with developmental contribution from neural crest</v>
      </c>
      <c r="G5749" s="9" t="s">
        <v>5090</v>
      </c>
      <c r="H5749" s="9" t="s">
        <v>17619</v>
      </c>
      <c r="I5749" s="9" t="s">
        <v>10625</v>
      </c>
      <c r="J5749" s="9" t="s">
        <v>10626</v>
      </c>
      <c r="K5749" s="5" t="s">
        <v>15173</v>
      </c>
      <c r="L5749" s="13">
        <v>17123</v>
      </c>
      <c r="M5749" t="str">
        <f>VLOOKUP(L5749,[1]DevMouse!$B$2:$C$2693,2,FALSE)</f>
        <v>r3B</v>
      </c>
    </row>
    <row r="5750" spans="2:13" x14ac:dyDescent="0.25">
      <c r="B5750" s="36"/>
      <c r="C5750" s="20"/>
      <c r="D5750" s="25" t="s">
        <v>26232</v>
      </c>
      <c r="E5750" s="25"/>
      <c r="F5750" s="9" t="str">
        <f t="shared" si="82"/>
        <v>structure with developmental contribution from neural crest</v>
      </c>
      <c r="G5750" s="9" t="s">
        <v>5090</v>
      </c>
      <c r="H5750" s="9" t="s">
        <v>17622</v>
      </c>
      <c r="I5750" s="9" t="s">
        <v>10627</v>
      </c>
      <c r="J5750" s="9" t="s">
        <v>10628</v>
      </c>
      <c r="K5750" s="5" t="s">
        <v>15173</v>
      </c>
      <c r="L5750" s="13">
        <v>17124</v>
      </c>
      <c r="M5750" t="str">
        <f>VLOOKUP(L5750,[1]DevMouse!$B$2:$C$2693,2,FALSE)</f>
        <v>r3BL</v>
      </c>
    </row>
    <row r="5751" spans="2:13" x14ac:dyDescent="0.25">
      <c r="B5751" s="36"/>
      <c r="C5751" s="20"/>
      <c r="D5751" s="25" t="s">
        <v>26232</v>
      </c>
      <c r="E5751" s="25"/>
      <c r="F5751" s="9" t="str">
        <f t="shared" ref="F5751:F5814" si="83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5751" s="9" t="s">
        <v>5090</v>
      </c>
      <c r="H5751" s="9" t="s">
        <v>17623</v>
      </c>
      <c r="I5751" s="9" t="s">
        <v>10629</v>
      </c>
      <c r="J5751" s="9" t="s">
        <v>10630</v>
      </c>
      <c r="K5751" s="5" t="s">
        <v>15173</v>
      </c>
      <c r="L5751" s="13">
        <v>17125</v>
      </c>
      <c r="M5751" t="str">
        <f>VLOOKUP(L5751,[1]DevMouse!$B$2:$C$2693,2,FALSE)</f>
        <v>r3BLv</v>
      </c>
    </row>
    <row r="5752" spans="2:13" x14ac:dyDescent="0.25">
      <c r="B5752" s="31" t="s">
        <v>26303</v>
      </c>
      <c r="C5752" s="20"/>
      <c r="D5752" s="25" t="s">
        <v>26232</v>
      </c>
      <c r="E5752" s="20" t="s">
        <v>26300</v>
      </c>
      <c r="F5752" s="9" t="str">
        <f t="shared" si="83"/>
        <v>structure with developmental contribution from neural crest</v>
      </c>
      <c r="G5752" s="9" t="s">
        <v>5090</v>
      </c>
      <c r="H5752" s="9" t="s">
        <v>17624</v>
      </c>
      <c r="I5752" s="9" t="s">
        <v>10631</v>
      </c>
      <c r="J5752" s="9" t="s">
        <v>10632</v>
      </c>
      <c r="K5752" s="5" t="s">
        <v>15173</v>
      </c>
      <c r="L5752" s="13">
        <v>17126</v>
      </c>
      <c r="M5752" t="str">
        <f>VLOOKUP(L5752,[1]DevMouse!$B$2:$C$2693,2,FALSE)</f>
        <v>r3BLm</v>
      </c>
    </row>
    <row r="5753" spans="2:13" x14ac:dyDescent="0.25">
      <c r="B5753" s="36"/>
      <c r="C5753" s="20"/>
      <c r="D5753" s="25" t="s">
        <v>26232</v>
      </c>
      <c r="E5753" s="20" t="s">
        <v>26300</v>
      </c>
      <c r="F5753" s="9" t="str">
        <f t="shared" si="83"/>
        <v>structure with developmental contribution from neural crest</v>
      </c>
      <c r="G5753" s="9" t="s">
        <v>5090</v>
      </c>
      <c r="H5753" s="9" t="s">
        <v>17625</v>
      </c>
      <c r="I5753" s="9" t="s">
        <v>10633</v>
      </c>
      <c r="J5753" s="9" t="s">
        <v>10634</v>
      </c>
      <c r="K5753" s="5" t="s">
        <v>15173</v>
      </c>
      <c r="L5753" s="13">
        <v>17127</v>
      </c>
      <c r="M5753" t="str">
        <f>VLOOKUP(L5753,[1]DevMouse!$B$2:$C$2693,2,FALSE)</f>
        <v>r3BLp</v>
      </c>
    </row>
    <row r="5754" spans="2:13" x14ac:dyDescent="0.25">
      <c r="B5754" s="36"/>
      <c r="C5754" s="20"/>
      <c r="D5754" s="25" t="s">
        <v>26232</v>
      </c>
      <c r="E5754" s="25"/>
      <c r="F5754" s="9" t="str">
        <f t="shared" si="83"/>
        <v>structure with developmental contribution from neural crest</v>
      </c>
      <c r="G5754" s="9" t="s">
        <v>5090</v>
      </c>
      <c r="H5754" s="9" t="s">
        <v>17627</v>
      </c>
      <c r="I5754" s="9" t="s">
        <v>10635</v>
      </c>
      <c r="J5754" s="9" t="s">
        <v>10636</v>
      </c>
      <c r="K5754" s="5" t="s">
        <v>15173</v>
      </c>
      <c r="L5754" s="13">
        <v>17128</v>
      </c>
      <c r="M5754" t="str">
        <f>VLOOKUP(L5754,[1]DevMouse!$B$2:$C$2693,2,FALSE)</f>
        <v>r3BLCG</v>
      </c>
    </row>
    <row r="5755" spans="2:13" x14ac:dyDescent="0.25">
      <c r="B5755" s="36"/>
      <c r="C5755" s="20"/>
      <c r="D5755" s="25" t="s">
        <v>26232</v>
      </c>
      <c r="E5755" s="25"/>
      <c r="F5755" s="9" t="str">
        <f t="shared" si="83"/>
        <v>structure with developmental contribution from neural crest</v>
      </c>
      <c r="G5755" s="9" t="s">
        <v>5090</v>
      </c>
      <c r="H5755" s="9" t="s">
        <v>17628</v>
      </c>
      <c r="I5755" s="9" t="s">
        <v>10637</v>
      </c>
      <c r="J5755" s="9" t="s">
        <v>10638</v>
      </c>
      <c r="K5755" s="5" t="s">
        <v>15173</v>
      </c>
      <c r="L5755" s="13">
        <v>17129</v>
      </c>
      <c r="M5755" t="str">
        <f>VLOOKUP(L5755,[1]DevMouse!$B$2:$C$2693,2,FALSE)</f>
        <v>r3BLi</v>
      </c>
    </row>
    <row r="5756" spans="2:13" x14ac:dyDescent="0.25">
      <c r="B5756" s="36"/>
      <c r="C5756" s="20"/>
      <c r="D5756" s="25" t="s">
        <v>26232</v>
      </c>
      <c r="E5756" s="25"/>
      <c r="F5756" s="9" t="str">
        <f t="shared" si="83"/>
        <v>structure with developmental contribution from neural crest</v>
      </c>
      <c r="G5756" s="9" t="s">
        <v>5090</v>
      </c>
      <c r="H5756" s="9" t="s">
        <v>17629</v>
      </c>
      <c r="I5756" s="9" t="s">
        <v>10639</v>
      </c>
      <c r="J5756" s="9" t="s">
        <v>10640</v>
      </c>
      <c r="K5756" s="5" t="s">
        <v>15173</v>
      </c>
      <c r="L5756" s="13">
        <v>17130</v>
      </c>
      <c r="M5756" t="str">
        <f>VLOOKUP(L5756,[1]DevMouse!$B$2:$C$2693,2,FALSE)</f>
        <v>r3BLRt</v>
      </c>
    </row>
    <row r="5757" spans="2:13" x14ac:dyDescent="0.25">
      <c r="B5757" s="36"/>
      <c r="C5757" s="20"/>
      <c r="D5757" s="25" t="s">
        <v>26232</v>
      </c>
      <c r="E5757" s="25"/>
      <c r="F5757" s="9" t="str">
        <f t="shared" si="83"/>
        <v>structure with developmental contribution from neural crest</v>
      </c>
      <c r="G5757" s="9" t="s">
        <v>5090</v>
      </c>
      <c r="H5757" s="9" t="s">
        <v>17630</v>
      </c>
      <c r="I5757" s="9" t="s">
        <v>10641</v>
      </c>
      <c r="J5757" s="9" t="s">
        <v>10642</v>
      </c>
      <c r="K5757" s="5" t="s">
        <v>15173</v>
      </c>
      <c r="L5757" s="13">
        <v>17131</v>
      </c>
      <c r="M5757" t="str">
        <f>VLOOKUP(L5757,[1]DevMouse!$B$2:$C$2693,2,FALSE)</f>
        <v>r3BLs</v>
      </c>
    </row>
    <row r="5758" spans="2:13" x14ac:dyDescent="0.25">
      <c r="B5758" s="36"/>
      <c r="C5758" s="20"/>
      <c r="D5758" s="25" t="s">
        <v>26232</v>
      </c>
      <c r="E5758" s="25"/>
      <c r="F5758" s="9" t="str">
        <f t="shared" si="83"/>
        <v>structure with developmental contribution from neural crest</v>
      </c>
      <c r="G5758" s="9" t="s">
        <v>5090</v>
      </c>
      <c r="H5758" s="9" t="s">
        <v>17634</v>
      </c>
      <c r="I5758" s="9" t="s">
        <v>10643</v>
      </c>
      <c r="J5758" s="9" t="s">
        <v>10644</v>
      </c>
      <c r="K5758" s="5" t="s">
        <v>15173</v>
      </c>
      <c r="L5758" s="13">
        <v>17132</v>
      </c>
      <c r="M5758" t="str">
        <f>VLOOKUP(L5758,[1]DevMouse!$B$2:$C$2693,2,FALSE)</f>
        <v>r3BI</v>
      </c>
    </row>
    <row r="5759" spans="2:13" x14ac:dyDescent="0.25">
      <c r="B5759" s="36"/>
      <c r="C5759" s="20"/>
      <c r="D5759" s="25" t="s">
        <v>26232</v>
      </c>
      <c r="E5759" s="25"/>
      <c r="F5759" s="9" t="str">
        <f t="shared" si="83"/>
        <v>structure with developmental contribution from neural crest</v>
      </c>
      <c r="G5759" s="9" t="s">
        <v>5090</v>
      </c>
      <c r="H5759" s="9" t="s">
        <v>17635</v>
      </c>
      <c r="I5759" s="9" t="s">
        <v>10645</v>
      </c>
      <c r="J5759" s="9" t="s">
        <v>10646</v>
      </c>
      <c r="K5759" s="5" t="s">
        <v>15173</v>
      </c>
      <c r="L5759" s="13">
        <v>17133</v>
      </c>
      <c r="M5759" t="str">
        <f>VLOOKUP(L5759,[1]DevMouse!$B$2:$C$2693,2,FALSE)</f>
        <v>r3BIv</v>
      </c>
    </row>
    <row r="5760" spans="2:13" x14ac:dyDescent="0.25">
      <c r="B5760" s="31" t="s">
        <v>26303</v>
      </c>
      <c r="C5760" s="20"/>
      <c r="D5760" s="25" t="s">
        <v>26232</v>
      </c>
      <c r="E5760" s="20" t="s">
        <v>26300</v>
      </c>
      <c r="F5760" s="9" t="str">
        <f t="shared" si="83"/>
        <v>structure with developmental contribution from neural crest</v>
      </c>
      <c r="G5760" s="9" t="s">
        <v>5090</v>
      </c>
      <c r="H5760" s="9" t="s">
        <v>17636</v>
      </c>
      <c r="I5760" s="9" t="s">
        <v>10647</v>
      </c>
      <c r="J5760" s="9" t="s">
        <v>10648</v>
      </c>
      <c r="K5760" s="5" t="s">
        <v>15173</v>
      </c>
      <c r="L5760" s="13">
        <v>17134</v>
      </c>
      <c r="M5760" t="str">
        <f>VLOOKUP(L5760,[1]DevMouse!$B$2:$C$2693,2,FALSE)</f>
        <v>r3BIm</v>
      </c>
    </row>
    <row r="5761" spans="2:13" x14ac:dyDescent="0.25">
      <c r="B5761" s="36"/>
      <c r="C5761" s="20"/>
      <c r="D5761" s="25" t="s">
        <v>26232</v>
      </c>
      <c r="E5761" s="20" t="s">
        <v>26300</v>
      </c>
      <c r="F5761" s="9" t="str">
        <f t="shared" si="83"/>
        <v>structure with developmental contribution from neural crest</v>
      </c>
      <c r="G5761" s="9" t="s">
        <v>5090</v>
      </c>
      <c r="H5761" s="9" t="s">
        <v>17637</v>
      </c>
      <c r="I5761" s="9" t="s">
        <v>10649</v>
      </c>
      <c r="J5761" s="9" t="s">
        <v>10650</v>
      </c>
      <c r="K5761" s="5" t="s">
        <v>15173</v>
      </c>
      <c r="L5761" s="13">
        <v>17135</v>
      </c>
      <c r="M5761" t="str">
        <f>VLOOKUP(L5761,[1]DevMouse!$B$2:$C$2693,2,FALSE)</f>
        <v>r3BIp</v>
      </c>
    </row>
    <row r="5762" spans="2:13" x14ac:dyDescent="0.25">
      <c r="B5762" s="36"/>
      <c r="C5762" s="20"/>
      <c r="D5762" s="25" t="s">
        <v>26232</v>
      </c>
      <c r="E5762" s="25"/>
      <c r="F5762" s="9" t="str">
        <f t="shared" si="83"/>
        <v>structure with developmental contribution from neural crest</v>
      </c>
      <c r="G5762" s="9" t="s">
        <v>5090</v>
      </c>
      <c r="H5762" s="9" t="s">
        <v>17638</v>
      </c>
      <c r="I5762" s="9" t="s">
        <v>10651</v>
      </c>
      <c r="J5762" s="9" t="s">
        <v>10652</v>
      </c>
      <c r="K5762" s="5" t="s">
        <v>15173</v>
      </c>
      <c r="L5762" s="13">
        <v>17136</v>
      </c>
      <c r="M5762" t="str">
        <f>VLOOKUP(L5762,[1]DevMouse!$B$2:$C$2693,2,FALSE)</f>
        <v>r3CGA</v>
      </c>
    </row>
    <row r="5763" spans="2:13" x14ac:dyDescent="0.25">
      <c r="B5763" s="36"/>
      <c r="C5763" s="20"/>
      <c r="D5763" s="25" t="s">
        <v>26232</v>
      </c>
      <c r="E5763" s="25"/>
      <c r="F5763" s="9" t="str">
        <f t="shared" si="83"/>
        <v>structure with developmental contribution from neural crest</v>
      </c>
      <c r="G5763" s="9" t="s">
        <v>5090</v>
      </c>
      <c r="H5763" s="9" t="s">
        <v>17639</v>
      </c>
      <c r="I5763" s="9" t="s">
        <v>10653</v>
      </c>
      <c r="J5763" s="9" t="s">
        <v>10654</v>
      </c>
      <c r="K5763" s="5" t="s">
        <v>15173</v>
      </c>
      <c r="L5763" s="13">
        <v>17137</v>
      </c>
      <c r="M5763" t="str">
        <f>VLOOKUP(L5763,[1]DevMouse!$B$2:$C$2693,2,FALSE)</f>
        <v>r3CGB</v>
      </c>
    </row>
    <row r="5764" spans="2:13" x14ac:dyDescent="0.25">
      <c r="B5764" s="36"/>
      <c r="C5764" s="20"/>
      <c r="D5764" s="25" t="s">
        <v>26232</v>
      </c>
      <c r="E5764" s="25"/>
      <c r="F5764" s="9" t="str">
        <f t="shared" si="83"/>
        <v>structure with developmental contribution from neural crest</v>
      </c>
      <c r="G5764" s="9" t="s">
        <v>5090</v>
      </c>
      <c r="H5764" s="9" t="s">
        <v>17640</v>
      </c>
      <c r="I5764" s="9" t="s">
        <v>10655</v>
      </c>
      <c r="J5764" s="9" t="s">
        <v>10656</v>
      </c>
      <c r="K5764" s="5" t="s">
        <v>15173</v>
      </c>
      <c r="L5764" s="13">
        <v>17138</v>
      </c>
      <c r="M5764" t="str">
        <f>VLOOKUP(L5764,[1]DevMouse!$B$2:$C$2693,2,FALSE)</f>
        <v>r3BIIZ</v>
      </c>
    </row>
    <row r="5765" spans="2:13" x14ac:dyDescent="0.25">
      <c r="B5765" s="36"/>
      <c r="C5765" s="20"/>
      <c r="D5765" s="25" t="s">
        <v>26232</v>
      </c>
      <c r="E5765" s="25"/>
      <c r="F5765" s="9" t="str">
        <f t="shared" si="83"/>
        <v>structure with developmental contribution from neural crest</v>
      </c>
      <c r="G5765" s="9" t="s">
        <v>5090</v>
      </c>
      <c r="H5765" s="9" t="s">
        <v>17641</v>
      </c>
      <c r="I5765" s="9" t="s">
        <v>10657</v>
      </c>
      <c r="J5765" s="9" t="s">
        <v>10658</v>
      </c>
      <c r="K5765" s="5" t="s">
        <v>15173</v>
      </c>
      <c r="L5765" s="13">
        <v>17139</v>
      </c>
      <c r="M5765" t="str">
        <f>VLOOKUP(L5765,[1]DevMouse!$B$2:$C$2693,2,FALSE)</f>
        <v>r3BIi</v>
      </c>
    </row>
    <row r="5766" spans="2:13" x14ac:dyDescent="0.25">
      <c r="B5766" s="36"/>
      <c r="C5766" s="20"/>
      <c r="D5766" s="25" t="s">
        <v>26232</v>
      </c>
      <c r="E5766" s="25"/>
      <c r="F5766" s="9" t="str">
        <f t="shared" si="83"/>
        <v>structure with developmental contribution from neural crest</v>
      </c>
      <c r="G5766" s="9" t="s">
        <v>5090</v>
      </c>
      <c r="H5766" s="9" t="s">
        <v>17642</v>
      </c>
      <c r="I5766" s="9" t="s">
        <v>10659</v>
      </c>
      <c r="J5766" s="9" t="s">
        <v>10660</v>
      </c>
      <c r="K5766" s="5" t="s">
        <v>15173</v>
      </c>
      <c r="L5766" s="13">
        <v>17140</v>
      </c>
      <c r="M5766" t="str">
        <f>VLOOKUP(L5766,[1]DevMouse!$B$2:$C$2693,2,FALSE)</f>
        <v>r3BIRt</v>
      </c>
    </row>
    <row r="5767" spans="2:13" x14ac:dyDescent="0.25">
      <c r="B5767" s="36"/>
      <c r="C5767" s="20"/>
      <c r="D5767" s="25" t="s">
        <v>26232</v>
      </c>
      <c r="E5767" s="25"/>
      <c r="F5767" s="9" t="str">
        <f t="shared" si="83"/>
        <v>structure with developmental contribution from neural crest</v>
      </c>
      <c r="G5767" s="9" t="s">
        <v>5090</v>
      </c>
      <c r="H5767" s="9" t="s">
        <v>17643</v>
      </c>
      <c r="I5767" s="9" t="s">
        <v>10661</v>
      </c>
      <c r="J5767" s="9" t="s">
        <v>10662</v>
      </c>
      <c r="K5767" s="5" t="s">
        <v>15173</v>
      </c>
      <c r="L5767" s="13">
        <v>17141</v>
      </c>
      <c r="M5767" t="str">
        <f>VLOOKUP(L5767,[1]DevMouse!$B$2:$C$2693,2,FALSE)</f>
        <v>r3BIs</v>
      </c>
    </row>
    <row r="5768" spans="2:13" x14ac:dyDescent="0.25">
      <c r="B5768" s="31" t="s">
        <v>26303</v>
      </c>
      <c r="C5768" s="25" t="s">
        <v>26125</v>
      </c>
      <c r="D5768" s="25" t="s">
        <v>26232</v>
      </c>
      <c r="E5768" s="25" t="s">
        <v>26308</v>
      </c>
      <c r="F5768" s="9" t="str">
        <f t="shared" si="83"/>
        <v>structure with developmental contribution from neural crest</v>
      </c>
      <c r="G5768" s="9" t="s">
        <v>5090</v>
      </c>
      <c r="H5768" s="9" t="s">
        <v>17644</v>
      </c>
      <c r="I5768" s="9" t="s">
        <v>10663</v>
      </c>
      <c r="J5768" s="9" t="s">
        <v>10664</v>
      </c>
      <c r="K5768" s="5" t="s">
        <v>15173</v>
      </c>
      <c r="L5768" s="13">
        <v>17142</v>
      </c>
      <c r="M5768" t="str">
        <f>VLOOKUP(L5768,[1]DevMouse!$B$2:$C$2693,2,FALSE)</f>
        <v>r3LPn</v>
      </c>
    </row>
    <row r="5769" spans="2:13" x14ac:dyDescent="0.25">
      <c r="B5769" s="36"/>
      <c r="C5769" s="20"/>
      <c r="D5769" s="25" t="s">
        <v>26232</v>
      </c>
      <c r="E5769" s="25"/>
      <c r="F5769" s="9" t="str">
        <f t="shared" si="83"/>
        <v>structure with developmental contribution from neural crest</v>
      </c>
      <c r="G5769" s="9" t="s">
        <v>5090</v>
      </c>
      <c r="H5769" s="9" t="s">
        <v>17645</v>
      </c>
      <c r="I5769" s="9" t="s">
        <v>10665</v>
      </c>
      <c r="J5769" s="9" t="s">
        <v>10666</v>
      </c>
      <c r="K5769" s="5" t="s">
        <v>15173</v>
      </c>
      <c r="L5769" s="13">
        <v>17143</v>
      </c>
      <c r="M5769" t="str">
        <f>VLOOKUP(L5769,[1]DevMouse!$B$2:$C$2693,2,FALSE)</f>
        <v>r3BM</v>
      </c>
    </row>
    <row r="5770" spans="2:13" x14ac:dyDescent="0.25">
      <c r="B5770" s="36"/>
      <c r="C5770" s="20"/>
      <c r="D5770" s="25" t="s">
        <v>26232</v>
      </c>
      <c r="E5770" s="25"/>
      <c r="F5770" s="9" t="str">
        <f t="shared" si="83"/>
        <v>structure with developmental contribution from neural crest</v>
      </c>
      <c r="G5770" s="9" t="s">
        <v>5090</v>
      </c>
      <c r="H5770" s="9" t="s">
        <v>17646</v>
      </c>
      <c r="I5770" s="9" t="s">
        <v>10667</v>
      </c>
      <c r="J5770" s="9" t="s">
        <v>10668</v>
      </c>
      <c r="K5770" s="5" t="s">
        <v>15173</v>
      </c>
      <c r="L5770" s="13">
        <v>17144</v>
      </c>
      <c r="M5770" t="str">
        <f>VLOOKUP(L5770,[1]DevMouse!$B$2:$C$2693,2,FALSE)</f>
        <v>r3BMv</v>
      </c>
    </row>
    <row r="5771" spans="2:13" x14ac:dyDescent="0.25">
      <c r="B5771" s="31" t="s">
        <v>26303</v>
      </c>
      <c r="C5771" s="20"/>
      <c r="D5771" s="25" t="s">
        <v>26232</v>
      </c>
      <c r="E5771" s="20" t="s">
        <v>26300</v>
      </c>
      <c r="F5771" s="9" t="str">
        <f t="shared" si="83"/>
        <v>structure with developmental contribution from neural crest</v>
      </c>
      <c r="G5771" s="9" t="s">
        <v>5090</v>
      </c>
      <c r="H5771" s="9" t="s">
        <v>17647</v>
      </c>
      <c r="I5771" s="9" t="s">
        <v>10669</v>
      </c>
      <c r="J5771" s="9" t="s">
        <v>10670</v>
      </c>
      <c r="K5771" s="5" t="s">
        <v>15173</v>
      </c>
      <c r="L5771" s="13">
        <v>17145</v>
      </c>
      <c r="M5771" t="str">
        <f>VLOOKUP(L5771,[1]DevMouse!$B$2:$C$2693,2,FALSE)</f>
        <v>r3BMm</v>
      </c>
    </row>
    <row r="5772" spans="2:13" x14ac:dyDescent="0.25">
      <c r="B5772" s="36"/>
      <c r="C5772" s="20"/>
      <c r="D5772" s="25" t="s">
        <v>26232</v>
      </c>
      <c r="E5772" s="20" t="s">
        <v>26300</v>
      </c>
      <c r="F5772" s="9" t="str">
        <f t="shared" si="83"/>
        <v>structure with developmental contribution from neural crest</v>
      </c>
      <c r="G5772" s="9" t="s">
        <v>5090</v>
      </c>
      <c r="H5772" s="9" t="s">
        <v>17648</v>
      </c>
      <c r="I5772" s="9" t="s">
        <v>10671</v>
      </c>
      <c r="J5772" s="9" t="s">
        <v>10672</v>
      </c>
      <c r="K5772" s="5" t="s">
        <v>15173</v>
      </c>
      <c r="L5772" s="13">
        <v>17146</v>
      </c>
      <c r="M5772" t="str">
        <f>VLOOKUP(L5772,[1]DevMouse!$B$2:$C$2693,2,FALSE)</f>
        <v>r3BMp</v>
      </c>
    </row>
    <row r="5773" spans="2:13" x14ac:dyDescent="0.25">
      <c r="B5773" s="31" t="s">
        <v>26303</v>
      </c>
      <c r="C5773" s="25" t="s">
        <v>172</v>
      </c>
      <c r="D5773" s="25" t="s">
        <v>26232</v>
      </c>
      <c r="E5773" s="25"/>
      <c r="F5773" s="9" t="str">
        <f t="shared" si="83"/>
        <v>structure with developmental contribution from neural crest</v>
      </c>
      <c r="G5773" s="9" t="s">
        <v>5090</v>
      </c>
      <c r="H5773" s="9" t="s">
        <v>17649</v>
      </c>
      <c r="I5773" s="9" t="s">
        <v>10673</v>
      </c>
      <c r="J5773" s="9" t="s">
        <v>10674</v>
      </c>
      <c r="K5773" s="5" t="s">
        <v>15173</v>
      </c>
      <c r="L5773" s="13">
        <v>17147</v>
      </c>
      <c r="M5773" t="str">
        <f>VLOOKUP(L5773,[1]DevMouse!$B$2:$C$2693,2,FALSE)</f>
        <v>r3Pre6CG</v>
      </c>
    </row>
    <row r="5774" spans="2:13" x14ac:dyDescent="0.25">
      <c r="B5774" s="36"/>
      <c r="C5774" s="20"/>
      <c r="D5774" s="25" t="s">
        <v>26232</v>
      </c>
      <c r="E5774" s="25"/>
      <c r="F5774" s="9" t="str">
        <f t="shared" si="83"/>
        <v>structure with developmental contribution from neural crest</v>
      </c>
      <c r="G5774" s="9" t="s">
        <v>5090</v>
      </c>
      <c r="H5774" s="9" t="s">
        <v>17650</v>
      </c>
      <c r="I5774" s="9" t="s">
        <v>10675</v>
      </c>
      <c r="J5774" s="9" t="s">
        <v>10676</v>
      </c>
      <c r="K5774" s="5" t="s">
        <v>15173</v>
      </c>
      <c r="L5774" s="13">
        <v>17148</v>
      </c>
      <c r="M5774" t="str">
        <f>VLOOKUP(L5774,[1]DevMouse!$B$2:$C$2693,2,FALSE)</f>
        <v>r3BMi</v>
      </c>
    </row>
    <row r="5775" spans="2:13" x14ac:dyDescent="0.25">
      <c r="B5775" s="31" t="s">
        <v>26303</v>
      </c>
      <c r="C5775" s="25" t="s">
        <v>12796</v>
      </c>
      <c r="D5775" s="25" t="s">
        <v>26232</v>
      </c>
      <c r="E5775" s="25" t="s">
        <v>26308</v>
      </c>
      <c r="F5775" s="9" t="str">
        <f t="shared" si="83"/>
        <v>structure with developmental contribution from neural crest</v>
      </c>
      <c r="G5775" s="9" t="s">
        <v>5090</v>
      </c>
      <c r="H5775" s="9" t="s">
        <v>17651</v>
      </c>
      <c r="I5775" s="9" t="s">
        <v>10677</v>
      </c>
      <c r="J5775" s="9" t="s">
        <v>10678</v>
      </c>
      <c r="K5775" s="5" t="s">
        <v>15173</v>
      </c>
      <c r="L5775" s="13">
        <v>17149</v>
      </c>
      <c r="M5775" t="str">
        <f>VLOOKUP(L5775,[1]DevMouse!$B$2:$C$2693,2,FALSE)</f>
        <v>r3PnR</v>
      </c>
    </row>
    <row r="5776" spans="2:13" x14ac:dyDescent="0.25">
      <c r="B5776" s="31" t="s">
        <v>26303</v>
      </c>
      <c r="C5776" s="25" t="s">
        <v>3298</v>
      </c>
      <c r="D5776" s="25" t="s">
        <v>26232</v>
      </c>
      <c r="E5776" s="25" t="s">
        <v>26308</v>
      </c>
      <c r="F5776" s="9" t="str">
        <f t="shared" si="83"/>
        <v>structure with developmental contribution from neural crest</v>
      </c>
      <c r="G5776" s="9" t="s">
        <v>5090</v>
      </c>
      <c r="H5776" s="9" t="s">
        <v>17652</v>
      </c>
      <c r="I5776" s="9" t="s">
        <v>10679</v>
      </c>
      <c r="J5776" s="9" t="s">
        <v>10680</v>
      </c>
      <c r="K5776" s="5" t="s">
        <v>15173</v>
      </c>
      <c r="L5776" s="13">
        <v>17150</v>
      </c>
      <c r="M5776" t="str">
        <f>VLOOKUP(L5776,[1]DevMouse!$B$2:$C$2693,2,FALSE)</f>
        <v>r3RtTgS</v>
      </c>
    </row>
    <row r="5777" spans="2:13" x14ac:dyDescent="0.25">
      <c r="B5777" s="31" t="s">
        <v>26303</v>
      </c>
      <c r="C5777" s="25" t="s">
        <v>3298</v>
      </c>
      <c r="D5777" s="25" t="s">
        <v>26232</v>
      </c>
      <c r="E5777" s="25" t="s">
        <v>26308</v>
      </c>
      <c r="F5777" s="9" t="str">
        <f t="shared" si="83"/>
        <v>structure with developmental contribution from neural crest</v>
      </c>
      <c r="G5777" s="9" t="s">
        <v>5090</v>
      </c>
      <c r="H5777" s="9" t="s">
        <v>17653</v>
      </c>
      <c r="I5777" s="9" t="s">
        <v>10681</v>
      </c>
      <c r="J5777" s="9" t="s">
        <v>10682</v>
      </c>
      <c r="K5777" s="5" t="s">
        <v>15173</v>
      </c>
      <c r="L5777" s="13">
        <v>17151</v>
      </c>
      <c r="M5777" t="str">
        <f>VLOOKUP(L5777,[1]DevMouse!$B$2:$C$2693,2,FALSE)</f>
        <v>r3RtTgC</v>
      </c>
    </row>
    <row r="5778" spans="2:13" x14ac:dyDescent="0.25">
      <c r="B5778" s="36"/>
      <c r="C5778" s="20"/>
      <c r="D5778" s="25" t="s">
        <v>26232</v>
      </c>
      <c r="E5778" s="25"/>
      <c r="F5778" s="9" t="str">
        <f t="shared" si="83"/>
        <v>structure with developmental contribution from neural crest</v>
      </c>
      <c r="G5778" s="9" t="s">
        <v>5090</v>
      </c>
      <c r="H5778" s="9" t="s">
        <v>17654</v>
      </c>
      <c r="I5778" s="9" t="s">
        <v>10683</v>
      </c>
      <c r="J5778" s="9" t="s">
        <v>10684</v>
      </c>
      <c r="K5778" s="5" t="s">
        <v>15173</v>
      </c>
      <c r="L5778" s="13">
        <v>17152</v>
      </c>
      <c r="M5778" t="str">
        <f>VLOOKUP(L5778,[1]DevMouse!$B$2:$C$2693,2,FALSE)</f>
        <v>r3BMRt</v>
      </c>
    </row>
    <row r="5779" spans="2:13" x14ac:dyDescent="0.25">
      <c r="B5779" s="36"/>
      <c r="C5779" s="20"/>
      <c r="D5779" s="25" t="s">
        <v>26232</v>
      </c>
      <c r="E5779" s="25"/>
      <c r="F5779" s="9" t="str">
        <f t="shared" si="83"/>
        <v>structure with developmental contribution from neural crest</v>
      </c>
      <c r="G5779" s="9" t="s">
        <v>5090</v>
      </c>
      <c r="H5779" s="9" t="s">
        <v>17655</v>
      </c>
      <c r="I5779" s="9" t="s">
        <v>10685</v>
      </c>
      <c r="J5779" s="9" t="s">
        <v>10686</v>
      </c>
      <c r="K5779" s="5" t="s">
        <v>15173</v>
      </c>
      <c r="L5779" s="13">
        <v>17153</v>
      </c>
      <c r="M5779" t="str">
        <f>VLOOKUP(L5779,[1]DevMouse!$B$2:$C$2693,2,FALSE)</f>
        <v>r3BMs</v>
      </c>
    </row>
    <row r="5780" spans="2:13" x14ac:dyDescent="0.25">
      <c r="B5780" s="31" t="s">
        <v>26303</v>
      </c>
      <c r="C5780" s="25" t="s">
        <v>26125</v>
      </c>
      <c r="D5780" s="25" t="s">
        <v>26232</v>
      </c>
      <c r="E5780" s="25" t="s">
        <v>26308</v>
      </c>
      <c r="F5780" s="9" t="str">
        <f t="shared" si="83"/>
        <v>structure with developmental contribution from neural crest</v>
      </c>
      <c r="G5780" s="9" t="s">
        <v>5090</v>
      </c>
      <c r="H5780" s="9" t="s">
        <v>17656</v>
      </c>
      <c r="I5780" s="9" t="s">
        <v>10687</v>
      </c>
      <c r="J5780" s="9" t="s">
        <v>10688</v>
      </c>
      <c r="K5780" s="5" t="s">
        <v>15173</v>
      </c>
      <c r="L5780" s="13">
        <v>17154</v>
      </c>
      <c r="M5780" t="str">
        <f>VLOOKUP(L5780,[1]DevMouse!$B$2:$C$2693,2,FALSE)</f>
        <v>r3MPn</v>
      </c>
    </row>
    <row r="5781" spans="2:13" x14ac:dyDescent="0.25">
      <c r="B5781" s="31" t="s">
        <v>26303</v>
      </c>
      <c r="C5781" s="25" t="s">
        <v>26198</v>
      </c>
      <c r="D5781" s="25" t="s">
        <v>26232</v>
      </c>
      <c r="E5781" s="25"/>
      <c r="F5781" s="9" t="str">
        <f t="shared" si="83"/>
        <v>structure with developmental contribution from neural crest</v>
      </c>
      <c r="G5781" s="9" t="s">
        <v>5090</v>
      </c>
      <c r="H5781" s="9" t="s">
        <v>17657</v>
      </c>
      <c r="I5781" s="9" t="s">
        <v>4797</v>
      </c>
      <c r="J5781" s="9" t="s">
        <v>4798</v>
      </c>
      <c r="K5781" s="5" t="s">
        <v>15173</v>
      </c>
      <c r="L5781" s="13">
        <v>17155</v>
      </c>
      <c r="M5781" t="str">
        <f>VLOOKUP(L5781,[1]DevMouse!$B$2:$C$2693,2,FALSE)</f>
        <v>r3F</v>
      </c>
    </row>
    <row r="5782" spans="2:13" x14ac:dyDescent="0.25">
      <c r="B5782" s="36"/>
      <c r="C5782" s="20"/>
      <c r="D5782" s="25" t="s">
        <v>26232</v>
      </c>
      <c r="E5782" s="25"/>
      <c r="F5782" s="9" t="str">
        <f t="shared" si="83"/>
        <v>structure with developmental contribution from neural crest</v>
      </c>
      <c r="G5782" s="9" t="s">
        <v>5090</v>
      </c>
      <c r="H5782" s="9" t="s">
        <v>17664</v>
      </c>
      <c r="I5782" s="9" t="s">
        <v>4810</v>
      </c>
      <c r="J5782" s="9" t="s">
        <v>4811</v>
      </c>
      <c r="K5782" s="5" t="s">
        <v>15173</v>
      </c>
      <c r="L5782" s="13">
        <v>17157</v>
      </c>
      <c r="M5782" t="str">
        <f>VLOOKUP(L5782,[1]DevMouse!$B$2:$C$2693,2,FALSE)</f>
        <v>r4R</v>
      </c>
    </row>
    <row r="5783" spans="2:13" x14ac:dyDescent="0.25">
      <c r="B5783" s="36"/>
      <c r="C5783" s="20"/>
      <c r="D5783" s="25" t="s">
        <v>26232</v>
      </c>
      <c r="E5783" s="25"/>
      <c r="F5783" s="9" t="str">
        <f t="shared" si="83"/>
        <v>structure with developmental contribution from neural crest</v>
      </c>
      <c r="G5783" s="9" t="s">
        <v>5090</v>
      </c>
      <c r="H5783" s="9" t="s">
        <v>17665</v>
      </c>
      <c r="I5783" s="9" t="s">
        <v>10689</v>
      </c>
      <c r="J5783" s="9" t="s">
        <v>10690</v>
      </c>
      <c r="K5783" s="5" t="s">
        <v>15173</v>
      </c>
      <c r="L5783" s="13">
        <v>17158</v>
      </c>
      <c r="M5783" t="str">
        <f>VLOOKUP(L5783,[1]DevMouse!$B$2:$C$2693,2,FALSE)</f>
        <v>r4A</v>
      </c>
    </row>
    <row r="5784" spans="2:13" x14ac:dyDescent="0.25">
      <c r="B5784" s="31" t="s">
        <v>26303</v>
      </c>
      <c r="C5784" s="20"/>
      <c r="D5784" s="25" t="s">
        <v>26232</v>
      </c>
      <c r="E5784" s="25" t="s">
        <v>26307</v>
      </c>
      <c r="F5784" s="9" t="str">
        <f t="shared" si="83"/>
        <v>structure with developmental contribution from neural crest</v>
      </c>
      <c r="G5784" s="9" t="s">
        <v>5090</v>
      </c>
      <c r="H5784" s="9" t="s">
        <v>17668</v>
      </c>
      <c r="I5784" s="9" t="s">
        <v>10691</v>
      </c>
      <c r="J5784" s="9" t="s">
        <v>10692</v>
      </c>
      <c r="K5784" s="5" t="s">
        <v>15173</v>
      </c>
      <c r="L5784" s="13">
        <v>17159</v>
      </c>
      <c r="M5784" t="str">
        <f>VLOOKUP(L5784,[1]DevMouse!$B$2:$C$2693,2,FALSE)</f>
        <v>r4Co</v>
      </c>
    </row>
    <row r="5785" spans="2:13" x14ac:dyDescent="0.25">
      <c r="B5785" s="36"/>
      <c r="C5785" s="20"/>
      <c r="D5785" s="25" t="s">
        <v>26232</v>
      </c>
      <c r="E5785" s="25"/>
      <c r="F5785" s="9" t="str">
        <f t="shared" si="83"/>
        <v>structure with developmental contribution from neural crest</v>
      </c>
      <c r="G5785" s="9" t="s">
        <v>5090</v>
      </c>
      <c r="H5785" s="9" t="s">
        <v>17669</v>
      </c>
      <c r="I5785" s="9" t="s">
        <v>10693</v>
      </c>
      <c r="J5785" s="9" t="s">
        <v>10694</v>
      </c>
      <c r="K5785" s="5" t="s">
        <v>15173</v>
      </c>
      <c r="L5785" s="13">
        <v>17160</v>
      </c>
      <c r="M5785" t="str">
        <f>VLOOKUP(L5785,[1]DevMouse!$B$2:$C$2693,2,FALSE)</f>
        <v>r4Cov</v>
      </c>
    </row>
    <row r="5786" spans="2:13" x14ac:dyDescent="0.25">
      <c r="B5786" s="31" t="s">
        <v>26303</v>
      </c>
      <c r="C5786" s="20"/>
      <c r="D5786" s="25" t="s">
        <v>26232</v>
      </c>
      <c r="E5786" s="20" t="s">
        <v>26300</v>
      </c>
      <c r="F5786" s="9" t="str">
        <f t="shared" si="83"/>
        <v>structure with developmental contribution from neural crest</v>
      </c>
      <c r="G5786" s="9" t="s">
        <v>5090</v>
      </c>
      <c r="H5786" s="9" t="s">
        <v>17670</v>
      </c>
      <c r="I5786" s="9" t="s">
        <v>10695</v>
      </c>
      <c r="J5786" s="9" t="s">
        <v>10696</v>
      </c>
      <c r="K5786" s="5" t="s">
        <v>15173</v>
      </c>
      <c r="L5786" s="13">
        <v>17161</v>
      </c>
      <c r="M5786" t="str">
        <f>VLOOKUP(L5786,[1]DevMouse!$B$2:$C$2693,2,FALSE)</f>
        <v>r4Com</v>
      </c>
    </row>
    <row r="5787" spans="2:13" x14ac:dyDescent="0.25">
      <c r="B5787" s="31" t="s">
        <v>26303</v>
      </c>
      <c r="C5787" s="25" t="s">
        <v>1518</v>
      </c>
      <c r="D5787" s="25" t="s">
        <v>26232</v>
      </c>
      <c r="E5787" s="25" t="s">
        <v>26308</v>
      </c>
      <c r="F5787" s="9" t="str">
        <f t="shared" si="83"/>
        <v>structure with developmental contribution from neural crest</v>
      </c>
      <c r="G5787" s="9" t="s">
        <v>5090</v>
      </c>
      <c r="H5787" s="9" t="s">
        <v>17672</v>
      </c>
      <c r="I5787" s="9" t="s">
        <v>10697</v>
      </c>
      <c r="J5787" s="9" t="s">
        <v>10698</v>
      </c>
      <c r="K5787" s="5" t="s">
        <v>15173</v>
      </c>
      <c r="L5787" s="13">
        <v>17162</v>
      </c>
      <c r="M5787" t="str">
        <f>VLOOKUP(L5787,[1]DevMouse!$B$2:$C$2693,2,FALSE)</f>
        <v>r4DC</v>
      </c>
    </row>
    <row r="5788" spans="2:13" x14ac:dyDescent="0.25">
      <c r="B5788" s="31" t="s">
        <v>26303</v>
      </c>
      <c r="C5788" s="25" t="s">
        <v>26150</v>
      </c>
      <c r="D5788" s="25" t="s">
        <v>26232</v>
      </c>
      <c r="E5788" s="25" t="s">
        <v>26308</v>
      </c>
      <c r="F5788" s="9" t="str">
        <f t="shared" si="83"/>
        <v>structure with developmental contribution from neural crest</v>
      </c>
      <c r="G5788" s="9" t="s">
        <v>5090</v>
      </c>
      <c r="H5788" s="9" t="s">
        <v>17675</v>
      </c>
      <c r="I5788" s="9" t="s">
        <v>10699</v>
      </c>
      <c r="J5788" s="9" t="s">
        <v>10700</v>
      </c>
      <c r="K5788" s="5" t="s">
        <v>15173</v>
      </c>
      <c r="L5788" s="13">
        <v>17163</v>
      </c>
      <c r="M5788" t="str">
        <f>VLOOKUP(L5788,[1]DevMouse!$B$2:$C$2693,2,FALSE)</f>
        <v>r4PVC</v>
      </c>
    </row>
    <row r="5789" spans="2:13" x14ac:dyDescent="0.25">
      <c r="B5789" s="36"/>
      <c r="C5789" s="20"/>
      <c r="D5789" s="25" t="s">
        <v>26232</v>
      </c>
      <c r="E5789" s="25"/>
      <c r="F5789" s="9" t="str">
        <f t="shared" si="83"/>
        <v>structure with developmental contribution from neural crest</v>
      </c>
      <c r="G5789" s="9" t="s">
        <v>5090</v>
      </c>
      <c r="H5789" s="9" t="s">
        <v>17676</v>
      </c>
      <c r="I5789" s="9" t="s">
        <v>10701</v>
      </c>
      <c r="J5789" s="9" t="s">
        <v>10702</v>
      </c>
      <c r="K5789" s="5" t="s">
        <v>15173</v>
      </c>
      <c r="L5789" s="13">
        <v>17164</v>
      </c>
      <c r="M5789" t="str">
        <f>VLOOKUP(L5789,[1]DevMouse!$B$2:$C$2693,2,FALSE)</f>
        <v>r4Ve</v>
      </c>
    </row>
    <row r="5790" spans="2:13" x14ac:dyDescent="0.25">
      <c r="B5790" s="36"/>
      <c r="C5790" s="20"/>
      <c r="D5790" s="25" t="s">
        <v>26232</v>
      </c>
      <c r="E5790" s="25"/>
      <c r="F5790" s="9" t="str">
        <f t="shared" si="83"/>
        <v>structure with developmental contribution from neural crest</v>
      </c>
      <c r="G5790" s="9" t="s">
        <v>5090</v>
      </c>
      <c r="H5790" s="9" t="s">
        <v>17677</v>
      </c>
      <c r="I5790" s="9" t="s">
        <v>10703</v>
      </c>
      <c r="J5790" s="9" t="s">
        <v>10704</v>
      </c>
      <c r="K5790" s="5" t="s">
        <v>15173</v>
      </c>
      <c r="L5790" s="13">
        <v>17165</v>
      </c>
      <c r="M5790" t="str">
        <f>VLOOKUP(L5790,[1]DevMouse!$B$2:$C$2693,2,FALSE)</f>
        <v>r4Vev</v>
      </c>
    </row>
    <row r="5791" spans="2:13" x14ac:dyDescent="0.25">
      <c r="B5791" s="31" t="s">
        <v>26303</v>
      </c>
      <c r="C5791" s="20"/>
      <c r="D5791" s="25" t="s">
        <v>26232</v>
      </c>
      <c r="E5791" s="20" t="s">
        <v>26300</v>
      </c>
      <c r="F5791" s="9" t="str">
        <f t="shared" si="83"/>
        <v>structure with developmental contribution from neural crest</v>
      </c>
      <c r="G5791" s="9" t="s">
        <v>5090</v>
      </c>
      <c r="H5791" s="9" t="s">
        <v>17678</v>
      </c>
      <c r="I5791" s="9" t="s">
        <v>10705</v>
      </c>
      <c r="J5791" s="9" t="s">
        <v>10706</v>
      </c>
      <c r="K5791" s="5" t="s">
        <v>15173</v>
      </c>
      <c r="L5791" s="13">
        <v>17166</v>
      </c>
      <c r="M5791" t="str">
        <f>VLOOKUP(L5791,[1]DevMouse!$B$2:$C$2693,2,FALSE)</f>
        <v>r4Vem</v>
      </c>
    </row>
    <row r="5792" spans="2:13" x14ac:dyDescent="0.25">
      <c r="B5792" s="31" t="s">
        <v>26303</v>
      </c>
      <c r="C5792" s="25" t="s">
        <v>2745</v>
      </c>
      <c r="D5792" s="25" t="s">
        <v>26232</v>
      </c>
      <c r="E5792" s="25" t="s">
        <v>26308</v>
      </c>
      <c r="F5792" s="9" t="str">
        <f t="shared" si="83"/>
        <v>structure with developmental contribution from neural crest</v>
      </c>
      <c r="G5792" s="9" t="s">
        <v>5090</v>
      </c>
      <c r="H5792" s="9" t="s">
        <v>17684</v>
      </c>
      <c r="I5792" s="9" t="s">
        <v>10707</v>
      </c>
      <c r="J5792" s="9" t="s">
        <v>10708</v>
      </c>
      <c r="K5792" s="5" t="s">
        <v>15173</v>
      </c>
      <c r="L5792" s="13">
        <v>17167</v>
      </c>
      <c r="M5792" t="str">
        <f>VLOOKUP(L5792,[1]DevMouse!$B$2:$C$2693,2,FALSE)</f>
        <v>r4LVe</v>
      </c>
    </row>
    <row r="5793" spans="2:13" x14ac:dyDescent="0.25">
      <c r="B5793" s="31" t="s">
        <v>26303</v>
      </c>
      <c r="C5793" s="25" t="s">
        <v>3042</v>
      </c>
      <c r="D5793" s="25" t="s">
        <v>26232</v>
      </c>
      <c r="E5793" s="25" t="s">
        <v>26308</v>
      </c>
      <c r="F5793" s="9" t="str">
        <f t="shared" si="83"/>
        <v>structure with developmental contribution from neural crest</v>
      </c>
      <c r="G5793" s="9" t="s">
        <v>5090</v>
      </c>
      <c r="H5793" s="9" t="s">
        <v>17682</v>
      </c>
      <c r="I5793" s="9" t="s">
        <v>10709</v>
      </c>
      <c r="J5793" s="9" t="s">
        <v>10710</v>
      </c>
      <c r="K5793" s="5" t="s">
        <v>15173</v>
      </c>
      <c r="L5793" s="13">
        <v>17168</v>
      </c>
      <c r="M5793" t="str">
        <f>VLOOKUP(L5793,[1]DevMouse!$B$2:$C$2693,2,FALSE)</f>
        <v>r4MVeMC</v>
      </c>
    </row>
    <row r="5794" spans="2:13" x14ac:dyDescent="0.25">
      <c r="B5794" s="31" t="s">
        <v>26303</v>
      </c>
      <c r="C5794" s="25" t="s">
        <v>3042</v>
      </c>
      <c r="D5794" s="25" t="s">
        <v>26232</v>
      </c>
      <c r="E5794" s="25" t="s">
        <v>26308</v>
      </c>
      <c r="F5794" s="9" t="str">
        <f t="shared" si="83"/>
        <v>structure with developmental contribution from neural crest</v>
      </c>
      <c r="G5794" s="9" t="s">
        <v>5090</v>
      </c>
      <c r="H5794" s="9" t="s">
        <v>17680</v>
      </c>
      <c r="I5794" s="9" t="s">
        <v>10711</v>
      </c>
      <c r="J5794" s="9" t="s">
        <v>10712</v>
      </c>
      <c r="K5794" s="5" t="s">
        <v>15173</v>
      </c>
      <c r="L5794" s="13">
        <v>17169</v>
      </c>
      <c r="M5794" t="str">
        <f>VLOOKUP(L5794,[1]DevMouse!$B$2:$C$2693,2,FALSE)</f>
        <v>r4MVePC</v>
      </c>
    </row>
    <row r="5795" spans="2:13" x14ac:dyDescent="0.25">
      <c r="B5795" s="36"/>
      <c r="C5795" s="20"/>
      <c r="D5795" s="25" t="s">
        <v>26232</v>
      </c>
      <c r="E5795" s="25" t="s">
        <v>26308</v>
      </c>
      <c r="F5795" s="9" t="str">
        <f t="shared" si="83"/>
        <v>structure with developmental contribution from neural crest</v>
      </c>
      <c r="G5795" s="9" t="s">
        <v>5090</v>
      </c>
      <c r="H5795" s="9" t="s">
        <v>17685</v>
      </c>
      <c r="I5795" s="9" t="s">
        <v>10713</v>
      </c>
      <c r="J5795" s="9" t="s">
        <v>10714</v>
      </c>
      <c r="K5795" s="5" t="s">
        <v>15173</v>
      </c>
      <c r="L5795" s="13">
        <v>17170</v>
      </c>
      <c r="M5795" t="str">
        <f>VLOOKUP(L5795,[1]DevMouse!$B$2:$C$2693,2,FALSE)</f>
        <v>r4Tr</v>
      </c>
    </row>
    <row r="5796" spans="2:13" x14ac:dyDescent="0.25">
      <c r="B5796" s="36"/>
      <c r="C5796" s="20"/>
      <c r="D5796" s="25" t="s">
        <v>26232</v>
      </c>
      <c r="E5796" s="25"/>
      <c r="F5796" s="9" t="str">
        <f t="shared" si="83"/>
        <v>structure with developmental contribution from neural crest</v>
      </c>
      <c r="G5796" s="9" t="s">
        <v>5090</v>
      </c>
      <c r="H5796" s="9" t="s">
        <v>17686</v>
      </c>
      <c r="I5796" s="9" t="s">
        <v>10715</v>
      </c>
      <c r="J5796" s="9" t="s">
        <v>10716</v>
      </c>
      <c r="K5796" s="5" t="s">
        <v>15173</v>
      </c>
      <c r="L5796" s="13">
        <v>17171</v>
      </c>
      <c r="M5796" t="str">
        <f>VLOOKUP(L5796,[1]DevMouse!$B$2:$C$2693,2,FALSE)</f>
        <v>r4Trv</v>
      </c>
    </row>
    <row r="5797" spans="2:13" x14ac:dyDescent="0.25">
      <c r="B5797" s="31" t="s">
        <v>26303</v>
      </c>
      <c r="C5797" s="20"/>
      <c r="D5797" s="25" t="s">
        <v>26232</v>
      </c>
      <c r="E5797" s="20" t="s">
        <v>26300</v>
      </c>
      <c r="F5797" s="9" t="str">
        <f t="shared" si="83"/>
        <v>structure with developmental contribution from neural crest</v>
      </c>
      <c r="G5797" s="9" t="s">
        <v>5090</v>
      </c>
      <c r="H5797" s="9" t="s">
        <v>17687</v>
      </c>
      <c r="I5797" s="9" t="s">
        <v>10717</v>
      </c>
      <c r="J5797" s="9" t="s">
        <v>10718</v>
      </c>
      <c r="K5797" s="5" t="s">
        <v>15173</v>
      </c>
      <c r="L5797" s="13">
        <v>17172</v>
      </c>
      <c r="M5797" t="str">
        <f>VLOOKUP(L5797,[1]DevMouse!$B$2:$C$2693,2,FALSE)</f>
        <v>r4Trm</v>
      </c>
    </row>
    <row r="5798" spans="2:13" x14ac:dyDescent="0.25">
      <c r="B5798" s="36"/>
      <c r="C5798" s="20"/>
      <c r="D5798" s="25" t="s">
        <v>26232</v>
      </c>
      <c r="E5798" s="25" t="s">
        <v>26308</v>
      </c>
      <c r="F5798" s="9" t="str">
        <f t="shared" si="83"/>
        <v>structure with developmental contribution from neural crest</v>
      </c>
      <c r="G5798" s="9" t="s">
        <v>5090</v>
      </c>
      <c r="H5798" s="9" t="s">
        <v>17693</v>
      </c>
      <c r="I5798" s="9" t="s">
        <v>10719</v>
      </c>
      <c r="J5798" s="9" t="s">
        <v>10720</v>
      </c>
      <c r="K5798" s="5" t="s">
        <v>15173</v>
      </c>
      <c r="L5798" s="13">
        <v>17173</v>
      </c>
      <c r="M5798" t="str">
        <f>VLOOKUP(L5798,[1]DevMouse!$B$2:$C$2693,2,FALSE)</f>
        <v>r4Sp5O</v>
      </c>
    </row>
    <row r="5799" spans="2:13" x14ac:dyDescent="0.25">
      <c r="B5799" s="36"/>
      <c r="C5799" s="20"/>
      <c r="D5799" s="25" t="s">
        <v>26232</v>
      </c>
      <c r="E5799" s="25" t="s">
        <v>26308</v>
      </c>
      <c r="F5799" s="9" t="str">
        <f t="shared" si="83"/>
        <v>structure with developmental contribution from neural crest</v>
      </c>
      <c r="G5799" s="9" t="s">
        <v>5090</v>
      </c>
      <c r="H5799" s="9" t="s">
        <v>17690</v>
      </c>
      <c r="I5799" s="9" t="s">
        <v>10721</v>
      </c>
      <c r="J5799" s="9" t="s">
        <v>10722</v>
      </c>
      <c r="K5799" s="5" t="s">
        <v>15173</v>
      </c>
      <c r="L5799" s="13">
        <v>17174</v>
      </c>
      <c r="M5799" t="str">
        <f>VLOOKUP(L5799,[1]DevMouse!$B$2:$C$2693,2,FALSE)</f>
        <v>r4-5Tr</v>
      </c>
    </row>
    <row r="5800" spans="2:13" x14ac:dyDescent="0.25">
      <c r="B5800" s="36"/>
      <c r="C5800" s="20"/>
      <c r="D5800" s="25" t="s">
        <v>26232</v>
      </c>
      <c r="E5800" s="25"/>
      <c r="F5800" s="9" t="str">
        <f t="shared" si="83"/>
        <v>structure with developmental contribution from neural crest</v>
      </c>
      <c r="G5800" s="9" t="s">
        <v>5090</v>
      </c>
      <c r="H5800" s="9" t="s">
        <v>17691</v>
      </c>
      <c r="I5800" s="9" t="s">
        <v>10723</v>
      </c>
      <c r="J5800" s="9" t="s">
        <v>10724</v>
      </c>
      <c r="K5800" s="5" t="s">
        <v>15173</v>
      </c>
      <c r="L5800" s="13">
        <v>17175</v>
      </c>
      <c r="M5800" t="str">
        <f>VLOOKUP(L5800,[1]DevMouse!$B$2:$C$2693,2,FALSE)</f>
        <v>r4DPCRt</v>
      </c>
    </row>
    <row r="5801" spans="2:13" x14ac:dyDescent="0.25">
      <c r="B5801" s="36"/>
      <c r="C5801" s="20"/>
      <c r="D5801" s="25" t="s">
        <v>26232</v>
      </c>
      <c r="E5801" s="25"/>
      <c r="F5801" s="9" t="str">
        <f t="shared" si="83"/>
        <v>structure with developmental contribution from neural crest</v>
      </c>
      <c r="G5801" s="9" t="s">
        <v>5090</v>
      </c>
      <c r="H5801" s="9" t="s">
        <v>17694</v>
      </c>
      <c r="I5801" s="9" t="s">
        <v>10725</v>
      </c>
      <c r="J5801" s="9" t="s">
        <v>10726</v>
      </c>
      <c r="K5801" s="5" t="s">
        <v>15173</v>
      </c>
      <c r="L5801" s="13">
        <v>17176</v>
      </c>
      <c r="M5801" t="str">
        <f>VLOOKUP(L5801,[1]DevMouse!$B$2:$C$2693,2,FALSE)</f>
        <v>r4Lim</v>
      </c>
    </row>
    <row r="5802" spans="2:13" x14ac:dyDescent="0.25">
      <c r="B5802" s="36"/>
      <c r="C5802" s="20"/>
      <c r="D5802" s="25" t="s">
        <v>26232</v>
      </c>
      <c r="E5802" s="25"/>
      <c r="F5802" s="9" t="str">
        <f t="shared" si="83"/>
        <v>structure with developmental contribution from neural crest</v>
      </c>
      <c r="G5802" s="9" t="s">
        <v>5090</v>
      </c>
      <c r="H5802" s="9" t="s">
        <v>17695</v>
      </c>
      <c r="I5802" s="9" t="s">
        <v>10727</v>
      </c>
      <c r="J5802" s="9" t="s">
        <v>10728</v>
      </c>
      <c r="K5802" s="5" t="s">
        <v>15173</v>
      </c>
      <c r="L5802" s="13">
        <v>17177</v>
      </c>
      <c r="M5802" t="str">
        <f>VLOOKUP(L5802,[1]DevMouse!$B$2:$C$2693,2,FALSE)</f>
        <v>r4Limv</v>
      </c>
    </row>
    <row r="5803" spans="2:13" x14ac:dyDescent="0.25">
      <c r="B5803" s="31" t="s">
        <v>26303</v>
      </c>
      <c r="C5803" s="20"/>
      <c r="D5803" s="25" t="s">
        <v>26232</v>
      </c>
      <c r="E5803" s="20" t="s">
        <v>26300</v>
      </c>
      <c r="F5803" s="9" t="str">
        <f t="shared" si="83"/>
        <v>structure with developmental contribution from neural crest</v>
      </c>
      <c r="G5803" s="9" t="s">
        <v>5090</v>
      </c>
      <c r="H5803" s="9" t="s">
        <v>17696</v>
      </c>
      <c r="I5803" s="9" t="s">
        <v>10729</v>
      </c>
      <c r="J5803" s="9" t="s">
        <v>10730</v>
      </c>
      <c r="K5803" s="5" t="s">
        <v>15173</v>
      </c>
      <c r="L5803" s="13">
        <v>17178</v>
      </c>
      <c r="M5803" t="str">
        <f>VLOOKUP(L5803,[1]DevMouse!$B$2:$C$2693,2,FALSE)</f>
        <v>r4Limm</v>
      </c>
    </row>
    <row r="5804" spans="2:13" x14ac:dyDescent="0.25">
      <c r="B5804" s="36"/>
      <c r="C5804" s="20"/>
      <c r="D5804" s="25" t="s">
        <v>26232</v>
      </c>
      <c r="E5804" s="25"/>
      <c r="F5804" s="9" t="str">
        <f t="shared" si="83"/>
        <v>structure with developmental contribution from neural crest</v>
      </c>
      <c r="G5804" s="9" t="s">
        <v>5090</v>
      </c>
      <c r="H5804" s="9" t="s">
        <v>17698</v>
      </c>
      <c r="I5804" s="9" t="s">
        <v>10731</v>
      </c>
      <c r="J5804" s="9" t="s">
        <v>10732</v>
      </c>
      <c r="K5804" s="5" t="s">
        <v>15173</v>
      </c>
      <c r="L5804" s="13">
        <v>17179</v>
      </c>
      <c r="M5804" t="str">
        <f>VLOOKUP(L5804,[1]DevMouse!$B$2:$C$2693,2,FALSE)</f>
        <v>r4LimCG</v>
      </c>
    </row>
    <row r="5805" spans="2:13" x14ac:dyDescent="0.25">
      <c r="B5805" s="36"/>
      <c r="C5805" s="20"/>
      <c r="D5805" s="25" t="s">
        <v>26232</v>
      </c>
      <c r="E5805" s="25"/>
      <c r="F5805" s="9" t="str">
        <f t="shared" si="83"/>
        <v>structure with developmental contribution from neural crest</v>
      </c>
      <c r="G5805" s="9" t="s">
        <v>5090</v>
      </c>
      <c r="H5805" s="9" t="s">
        <v>17700</v>
      </c>
      <c r="I5805" s="9" t="s">
        <v>10733</v>
      </c>
      <c r="J5805" s="9" t="s">
        <v>10734</v>
      </c>
      <c r="K5805" s="5" t="s">
        <v>15173</v>
      </c>
      <c r="L5805" s="13">
        <v>17180</v>
      </c>
      <c r="M5805" t="str">
        <f>VLOOKUP(L5805,[1]DevMouse!$B$2:$C$2693,2,FALSE)</f>
        <v>r4VPCRt</v>
      </c>
    </row>
    <row r="5806" spans="2:13" x14ac:dyDescent="0.25">
      <c r="B5806" s="31" t="s">
        <v>26303</v>
      </c>
      <c r="C5806" s="20"/>
      <c r="D5806" s="25" t="s">
        <v>26232</v>
      </c>
      <c r="E5806" s="25" t="s">
        <v>26300</v>
      </c>
      <c r="F5806" s="9" t="str">
        <f t="shared" si="83"/>
        <v>structure with developmental contribution from neural crest</v>
      </c>
      <c r="G5806" s="9" t="s">
        <v>5090</v>
      </c>
      <c r="H5806" s="9" t="s">
        <v>17702</v>
      </c>
      <c r="I5806" s="9" t="s">
        <v>10735</v>
      </c>
      <c r="J5806" s="9" t="s">
        <v>10736</v>
      </c>
      <c r="K5806" s="5" t="s">
        <v>15173</v>
      </c>
      <c r="L5806" s="13">
        <v>17181</v>
      </c>
      <c r="M5806" t="str">
        <f>VLOOKUP(L5806,[1]DevMouse!$B$2:$C$2693,2,FALSE)</f>
        <v>r4A5</v>
      </c>
    </row>
    <row r="5807" spans="2:13" x14ac:dyDescent="0.25">
      <c r="B5807" s="36"/>
      <c r="C5807" s="20"/>
      <c r="D5807" s="25" t="s">
        <v>26232</v>
      </c>
      <c r="E5807" s="25"/>
      <c r="F5807" s="9" t="str">
        <f t="shared" si="83"/>
        <v>structure with developmental contribution from neural crest</v>
      </c>
      <c r="G5807" s="9" t="s">
        <v>5090</v>
      </c>
      <c r="H5807" s="9" t="s">
        <v>17703</v>
      </c>
      <c r="I5807" s="9" t="s">
        <v>10737</v>
      </c>
      <c r="J5807" s="9" t="s">
        <v>10738</v>
      </c>
      <c r="K5807" s="5" t="s">
        <v>15173</v>
      </c>
      <c r="L5807" s="13">
        <v>17182</v>
      </c>
      <c r="M5807" t="str">
        <f>VLOOKUP(L5807,[1]DevMouse!$B$2:$C$2693,2,FALSE)</f>
        <v>r4B</v>
      </c>
    </row>
    <row r="5808" spans="2:13" x14ac:dyDescent="0.25">
      <c r="B5808" s="36"/>
      <c r="C5808" s="20"/>
      <c r="D5808" s="25" t="s">
        <v>26232</v>
      </c>
      <c r="E5808" s="25"/>
      <c r="F5808" s="9" t="str">
        <f t="shared" si="83"/>
        <v>structure with developmental contribution from neural crest</v>
      </c>
      <c r="G5808" s="9" t="s">
        <v>5090</v>
      </c>
      <c r="H5808" s="9" t="s">
        <v>17706</v>
      </c>
      <c r="I5808" s="9" t="s">
        <v>10739</v>
      </c>
      <c r="J5808" s="9" t="s">
        <v>10740</v>
      </c>
      <c r="K5808" s="5" t="s">
        <v>15173</v>
      </c>
      <c r="L5808" s="13">
        <v>17183</v>
      </c>
      <c r="M5808" t="str">
        <f>VLOOKUP(L5808,[1]DevMouse!$B$2:$C$2693,2,FALSE)</f>
        <v>r4BL</v>
      </c>
    </row>
    <row r="5809" spans="2:13" x14ac:dyDescent="0.25">
      <c r="B5809" s="36"/>
      <c r="C5809" s="20"/>
      <c r="D5809" s="25" t="s">
        <v>26232</v>
      </c>
      <c r="E5809" s="25"/>
      <c r="F5809" s="9" t="str">
        <f t="shared" si="83"/>
        <v>structure with developmental contribution from neural crest</v>
      </c>
      <c r="G5809" s="9" t="s">
        <v>5090</v>
      </c>
      <c r="H5809" s="9" t="s">
        <v>17707</v>
      </c>
      <c r="I5809" s="9" t="s">
        <v>10741</v>
      </c>
      <c r="J5809" s="9" t="s">
        <v>10742</v>
      </c>
      <c r="K5809" s="5" t="s">
        <v>15173</v>
      </c>
      <c r="L5809" s="13">
        <v>17184</v>
      </c>
      <c r="M5809" t="str">
        <f>VLOOKUP(L5809,[1]DevMouse!$B$2:$C$2693,2,FALSE)</f>
        <v>r4BLv</v>
      </c>
    </row>
    <row r="5810" spans="2:13" x14ac:dyDescent="0.25">
      <c r="B5810" s="31" t="s">
        <v>26303</v>
      </c>
      <c r="C5810" s="20"/>
      <c r="D5810" s="25" t="s">
        <v>26232</v>
      </c>
      <c r="E5810" s="20" t="s">
        <v>26300</v>
      </c>
      <c r="F5810" s="9" t="str">
        <f t="shared" si="83"/>
        <v>structure with developmental contribution from neural crest</v>
      </c>
      <c r="G5810" s="9" t="s">
        <v>5090</v>
      </c>
      <c r="H5810" s="9" t="s">
        <v>17708</v>
      </c>
      <c r="I5810" s="9" t="s">
        <v>10743</v>
      </c>
      <c r="J5810" s="9" t="s">
        <v>10744</v>
      </c>
      <c r="K5810" s="5" t="s">
        <v>15173</v>
      </c>
      <c r="L5810" s="13">
        <v>17185</v>
      </c>
      <c r="M5810" t="str">
        <f>VLOOKUP(L5810,[1]DevMouse!$B$2:$C$2693,2,FALSE)</f>
        <v>r4BLm</v>
      </c>
    </row>
    <row r="5811" spans="2:13" x14ac:dyDescent="0.25">
      <c r="B5811" s="36"/>
      <c r="C5811" s="20"/>
      <c r="D5811" s="25" t="s">
        <v>26232</v>
      </c>
      <c r="E5811" s="20" t="s">
        <v>26300</v>
      </c>
      <c r="F5811" s="9" t="str">
        <f t="shared" si="83"/>
        <v>structure with developmental contribution from neural crest</v>
      </c>
      <c r="G5811" s="9" t="s">
        <v>5090</v>
      </c>
      <c r="H5811" s="9" t="s">
        <v>17709</v>
      </c>
      <c r="I5811" s="9" t="s">
        <v>10745</v>
      </c>
      <c r="J5811" s="9" t="s">
        <v>10746</v>
      </c>
      <c r="K5811" s="5" t="s">
        <v>15173</v>
      </c>
      <c r="L5811" s="13">
        <v>17186</v>
      </c>
      <c r="M5811" t="str">
        <f>VLOOKUP(L5811,[1]DevMouse!$B$2:$C$2693,2,FALSE)</f>
        <v>r4BLp</v>
      </c>
    </row>
    <row r="5812" spans="2:13" x14ac:dyDescent="0.25">
      <c r="B5812" s="36"/>
      <c r="C5812" s="20"/>
      <c r="D5812" s="25" t="s">
        <v>26232</v>
      </c>
      <c r="E5812" s="25"/>
      <c r="F5812" s="9" t="str">
        <f t="shared" si="83"/>
        <v>structure with developmental contribution from neural crest</v>
      </c>
      <c r="G5812" s="9" t="s">
        <v>5090</v>
      </c>
      <c r="H5812" s="9" t="s">
        <v>17710</v>
      </c>
      <c r="I5812" s="9" t="s">
        <v>10747</v>
      </c>
      <c r="J5812" s="9" t="s">
        <v>10748</v>
      </c>
      <c r="K5812" s="5" t="s">
        <v>15173</v>
      </c>
      <c r="L5812" s="13">
        <v>17187</v>
      </c>
      <c r="M5812" t="str">
        <f>VLOOKUP(L5812,[1]DevMouse!$B$2:$C$2693,2,FALSE)</f>
        <v>r4BLIZ</v>
      </c>
    </row>
    <row r="5813" spans="2:13" x14ac:dyDescent="0.25">
      <c r="B5813" s="36"/>
      <c r="C5813" s="20"/>
      <c r="D5813" s="25" t="s">
        <v>26232</v>
      </c>
      <c r="E5813" s="25"/>
      <c r="F5813" s="9" t="str">
        <f t="shared" si="83"/>
        <v>structure with developmental contribution from neural crest</v>
      </c>
      <c r="G5813" s="9" t="s">
        <v>5090</v>
      </c>
      <c r="H5813" s="9" t="s">
        <v>17711</v>
      </c>
      <c r="I5813" s="9" t="s">
        <v>10749</v>
      </c>
      <c r="J5813" s="9" t="s">
        <v>10750</v>
      </c>
      <c r="K5813" s="5" t="s">
        <v>15173</v>
      </c>
      <c r="L5813" s="13">
        <v>17188</v>
      </c>
      <c r="M5813" t="str">
        <f>VLOOKUP(L5813,[1]DevMouse!$B$2:$C$2693,2,FALSE)</f>
        <v>r4BLi</v>
      </c>
    </row>
    <row r="5814" spans="2:13" x14ac:dyDescent="0.25">
      <c r="B5814" s="31" t="s">
        <v>26303</v>
      </c>
      <c r="C5814" s="20"/>
      <c r="D5814" s="25" t="s">
        <v>26232</v>
      </c>
      <c r="E5814" s="25" t="s">
        <v>26300</v>
      </c>
      <c r="F5814" s="9" t="str">
        <f t="shared" si="83"/>
        <v>structure with developmental contribution from neural crest</v>
      </c>
      <c r="G5814" s="9" t="s">
        <v>5090</v>
      </c>
      <c r="H5814" s="9" t="s">
        <v>17712</v>
      </c>
      <c r="I5814" s="9" t="s">
        <v>10751</v>
      </c>
      <c r="J5814" s="9" t="s">
        <v>10752</v>
      </c>
      <c r="K5814" s="5" t="s">
        <v>15173</v>
      </c>
      <c r="L5814" s="13">
        <v>17189</v>
      </c>
      <c r="M5814" t="str">
        <f>VLOOKUP(L5814,[1]DevMouse!$B$2:$C$2693,2,FALSE)</f>
        <v>EVe</v>
      </c>
    </row>
    <row r="5815" spans="2:13" x14ac:dyDescent="0.25">
      <c r="B5815" s="31" t="s">
        <v>26303</v>
      </c>
      <c r="C5815" s="25" t="s">
        <v>26249</v>
      </c>
      <c r="D5815" s="25" t="s">
        <v>26232</v>
      </c>
      <c r="E5815" s="25"/>
      <c r="F5815" s="9" t="str">
        <f t="shared" ref="F5815:F5878" si="84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5815" s="9" t="s">
        <v>5090</v>
      </c>
      <c r="H5815" s="9" t="s">
        <v>17800</v>
      </c>
      <c r="I5815" s="9" t="s">
        <v>7637</v>
      </c>
      <c r="J5815" s="9" t="s">
        <v>10753</v>
      </c>
      <c r="K5815" s="5" t="s">
        <v>15173</v>
      </c>
      <c r="L5815" s="13">
        <v>17190</v>
      </c>
      <c r="M5815" t="str">
        <f>VLOOKUP(L5815,[1]DevMouse!$B$2:$C$2693,2,FALSE)</f>
        <v>SGe</v>
      </c>
    </row>
    <row r="5816" spans="2:13" x14ac:dyDescent="0.25">
      <c r="B5816" s="36"/>
      <c r="C5816" s="20"/>
      <c r="D5816" s="25" t="s">
        <v>26232</v>
      </c>
      <c r="E5816" s="25"/>
      <c r="F5816" s="9" t="str">
        <f t="shared" si="84"/>
        <v>structure with developmental contribution from neural crest</v>
      </c>
      <c r="G5816" s="9" t="s">
        <v>5090</v>
      </c>
      <c r="H5816" s="9" t="s">
        <v>17713</v>
      </c>
      <c r="I5816" s="9" t="s">
        <v>10754</v>
      </c>
      <c r="J5816" s="9" t="s">
        <v>10755</v>
      </c>
      <c r="K5816" s="5" t="s">
        <v>15173</v>
      </c>
      <c r="L5816" s="13">
        <v>17191</v>
      </c>
      <c r="M5816" t="str">
        <f>VLOOKUP(L5816,[1]DevMouse!$B$2:$C$2693,2,FALSE)</f>
        <v>r4BLRt</v>
      </c>
    </row>
    <row r="5817" spans="2:13" x14ac:dyDescent="0.25">
      <c r="B5817" s="36"/>
      <c r="C5817" s="20"/>
      <c r="D5817" s="25" t="s">
        <v>26232</v>
      </c>
      <c r="E5817" s="25"/>
      <c r="F5817" s="9" t="str">
        <f t="shared" si="84"/>
        <v>structure with developmental contribution from neural crest</v>
      </c>
      <c r="G5817" s="9" t="s">
        <v>5090</v>
      </c>
      <c r="H5817" s="9" t="s">
        <v>17714</v>
      </c>
      <c r="I5817" s="9" t="s">
        <v>10756</v>
      </c>
      <c r="J5817" s="9" t="s">
        <v>10757</v>
      </c>
      <c r="K5817" s="5" t="s">
        <v>15173</v>
      </c>
      <c r="L5817" s="13">
        <v>17192</v>
      </c>
      <c r="M5817" t="str">
        <f>VLOOKUP(L5817,[1]DevMouse!$B$2:$C$2693,2,FALSE)</f>
        <v>r4BLs</v>
      </c>
    </row>
    <row r="5818" spans="2:13" x14ac:dyDescent="0.25">
      <c r="B5818" s="31" t="s">
        <v>26303</v>
      </c>
      <c r="C5818" s="9" t="s">
        <v>15038</v>
      </c>
      <c r="D5818" s="25" t="s">
        <v>26185</v>
      </c>
      <c r="E5818" s="25" t="s">
        <v>26300</v>
      </c>
      <c r="F5818" s="9" t="str">
        <f t="shared" si="84"/>
        <v>structure with developmental contribution from neural crest</v>
      </c>
      <c r="G5818" s="9" t="s">
        <v>5090</v>
      </c>
      <c r="H5818" s="9" t="s">
        <v>17715</v>
      </c>
      <c r="I5818" s="9" t="s">
        <v>10758</v>
      </c>
      <c r="J5818" s="9" t="s">
        <v>10759</v>
      </c>
      <c r="K5818" s="5" t="s">
        <v>15173</v>
      </c>
      <c r="L5818" s="13">
        <v>17193</v>
      </c>
      <c r="M5818" t="str">
        <f>VLOOKUP(L5818,[1]DevMouse!$B$2:$C$2693,2,FALSE)</f>
        <v>r4VLL</v>
      </c>
    </row>
    <row r="5819" spans="2:13" x14ac:dyDescent="0.25">
      <c r="B5819" s="31" t="s">
        <v>26303</v>
      </c>
      <c r="C5819" s="20"/>
      <c r="D5819" s="25" t="s">
        <v>26232</v>
      </c>
      <c r="E5819" s="25" t="s">
        <v>26308</v>
      </c>
      <c r="F5819" s="9" t="str">
        <f t="shared" si="84"/>
        <v>structure with developmental contribution from neural crest</v>
      </c>
      <c r="G5819" s="9" t="s">
        <v>5090</v>
      </c>
      <c r="H5819" s="9" t="s">
        <v>17716</v>
      </c>
      <c r="I5819" s="9" t="s">
        <v>10760</v>
      </c>
      <c r="J5819" s="9" t="s">
        <v>10761</v>
      </c>
      <c r="K5819" s="5" t="s">
        <v>15173</v>
      </c>
      <c r="L5819" s="13">
        <v>17194</v>
      </c>
      <c r="M5819" t="str">
        <f>VLOOKUP(L5819,[1]DevMouse!$B$2:$C$2693,2,FALSE)</f>
        <v>r4MPL</v>
      </c>
    </row>
    <row r="5820" spans="2:13" x14ac:dyDescent="0.25">
      <c r="B5820" s="31" t="s">
        <v>26303</v>
      </c>
      <c r="C5820" s="20"/>
      <c r="D5820" s="25" t="s">
        <v>26232</v>
      </c>
      <c r="E5820" s="25" t="s">
        <v>26308</v>
      </c>
      <c r="F5820" s="9" t="str">
        <f t="shared" si="84"/>
        <v>structure with developmental contribution from neural crest</v>
      </c>
      <c r="G5820" s="9" t="s">
        <v>5090</v>
      </c>
      <c r="H5820" s="9" t="s">
        <v>17717</v>
      </c>
      <c r="I5820" s="9" t="s">
        <v>10762</v>
      </c>
      <c r="J5820" s="9" t="s">
        <v>10763</v>
      </c>
      <c r="K5820" s="5" t="s">
        <v>15173</v>
      </c>
      <c r="L5820" s="13">
        <v>17195</v>
      </c>
      <c r="M5820" t="str">
        <f>VLOOKUP(L5820,[1]DevMouse!$B$2:$C$2693,2,FALSE)</f>
        <v>r4LPL</v>
      </c>
    </row>
    <row r="5821" spans="2:13" x14ac:dyDescent="0.25">
      <c r="B5821" s="36"/>
      <c r="C5821" s="20"/>
      <c r="D5821" s="25" t="s">
        <v>26232</v>
      </c>
      <c r="E5821" s="25"/>
      <c r="F5821" s="9" t="str">
        <f t="shared" si="84"/>
        <v>structure with developmental contribution from neural crest</v>
      </c>
      <c r="G5821" s="9" t="s">
        <v>5090</v>
      </c>
      <c r="H5821" s="9" t="s">
        <v>17718</v>
      </c>
      <c r="I5821" s="9" t="s">
        <v>10764</v>
      </c>
      <c r="J5821" s="9" t="s">
        <v>10765</v>
      </c>
      <c r="K5821" s="5" t="s">
        <v>15173</v>
      </c>
      <c r="L5821" s="13">
        <v>17196</v>
      </c>
      <c r="M5821" t="str">
        <f>VLOOKUP(L5821,[1]DevMouse!$B$2:$C$2693,2,FALSE)</f>
        <v>r4BI</v>
      </c>
    </row>
    <row r="5822" spans="2:13" x14ac:dyDescent="0.25">
      <c r="B5822" s="36"/>
      <c r="C5822" s="20"/>
      <c r="D5822" s="25" t="s">
        <v>26232</v>
      </c>
      <c r="E5822" s="25"/>
      <c r="F5822" s="9" t="str">
        <f t="shared" si="84"/>
        <v>structure with developmental contribution from neural crest</v>
      </c>
      <c r="G5822" s="9" t="s">
        <v>5090</v>
      </c>
      <c r="H5822" s="9" t="s">
        <v>17719</v>
      </c>
      <c r="I5822" s="9" t="s">
        <v>10766</v>
      </c>
      <c r="J5822" s="9" t="s">
        <v>10767</v>
      </c>
      <c r="K5822" s="5" t="s">
        <v>15173</v>
      </c>
      <c r="L5822" s="13">
        <v>17197</v>
      </c>
      <c r="M5822" t="str">
        <f>VLOOKUP(L5822,[1]DevMouse!$B$2:$C$2693,2,FALSE)</f>
        <v>r4BIv</v>
      </c>
    </row>
    <row r="5823" spans="2:13" x14ac:dyDescent="0.25">
      <c r="B5823" s="31" t="s">
        <v>26303</v>
      </c>
      <c r="C5823" s="20"/>
      <c r="D5823" s="25" t="s">
        <v>26232</v>
      </c>
      <c r="E5823" s="20" t="s">
        <v>26300</v>
      </c>
      <c r="F5823" s="9" t="str">
        <f t="shared" si="84"/>
        <v>structure with developmental contribution from neural crest</v>
      </c>
      <c r="G5823" s="9" t="s">
        <v>5090</v>
      </c>
      <c r="H5823" s="9" t="s">
        <v>17720</v>
      </c>
      <c r="I5823" s="9" t="s">
        <v>10768</v>
      </c>
      <c r="J5823" s="9" t="s">
        <v>10769</v>
      </c>
      <c r="K5823" s="5" t="s">
        <v>15173</v>
      </c>
      <c r="L5823" s="13">
        <v>17198</v>
      </c>
      <c r="M5823" t="str">
        <f>VLOOKUP(L5823,[1]DevMouse!$B$2:$C$2693,2,FALSE)</f>
        <v>r4BIm</v>
      </c>
    </row>
    <row r="5824" spans="2:13" x14ac:dyDescent="0.25">
      <c r="B5824" s="36"/>
      <c r="C5824" s="20"/>
      <c r="D5824" s="25" t="s">
        <v>26232</v>
      </c>
      <c r="E5824" s="20" t="s">
        <v>26300</v>
      </c>
      <c r="F5824" s="9" t="str">
        <f t="shared" si="84"/>
        <v>structure with developmental contribution from neural crest</v>
      </c>
      <c r="G5824" s="9" t="s">
        <v>5090</v>
      </c>
      <c r="H5824" s="9" t="s">
        <v>17721</v>
      </c>
      <c r="I5824" s="9" t="s">
        <v>10770</v>
      </c>
      <c r="J5824" s="9" t="s">
        <v>10771</v>
      </c>
      <c r="K5824" s="5" t="s">
        <v>15173</v>
      </c>
      <c r="L5824" s="13">
        <v>17199</v>
      </c>
      <c r="M5824" t="str">
        <f>VLOOKUP(L5824,[1]DevMouse!$B$2:$C$2693,2,FALSE)</f>
        <v>r4BIp</v>
      </c>
    </row>
    <row r="5825" spans="2:13" x14ac:dyDescent="0.25">
      <c r="B5825" s="36"/>
      <c r="C5825" s="20"/>
      <c r="D5825" s="25" t="s">
        <v>26232</v>
      </c>
      <c r="E5825" s="25"/>
      <c r="F5825" s="9" t="str">
        <f t="shared" si="84"/>
        <v>structure with developmental contribution from neural crest</v>
      </c>
      <c r="G5825" s="9" t="s">
        <v>5090</v>
      </c>
      <c r="H5825" s="9" t="s">
        <v>17722</v>
      </c>
      <c r="I5825" s="9" t="s">
        <v>10772</v>
      </c>
      <c r="J5825" s="9" t="s">
        <v>10773</v>
      </c>
      <c r="K5825" s="5" t="s">
        <v>15173</v>
      </c>
      <c r="L5825" s="13">
        <v>17200</v>
      </c>
      <c r="M5825" t="str">
        <f>VLOOKUP(L5825,[1]DevMouse!$B$2:$C$2693,2,FALSE)</f>
        <v>r4BIIZ</v>
      </c>
    </row>
    <row r="5826" spans="2:13" x14ac:dyDescent="0.25">
      <c r="B5826" s="36"/>
      <c r="C5826" s="20"/>
      <c r="D5826" s="25" t="s">
        <v>26232</v>
      </c>
      <c r="E5826" s="25"/>
      <c r="F5826" s="9" t="str">
        <f t="shared" si="84"/>
        <v>structure with developmental contribution from neural crest</v>
      </c>
      <c r="G5826" s="9" t="s">
        <v>5090</v>
      </c>
      <c r="H5826" s="9" t="s">
        <v>17723</v>
      </c>
      <c r="I5826" s="9" t="s">
        <v>10774</v>
      </c>
      <c r="J5826" s="9" t="s">
        <v>10775</v>
      </c>
      <c r="K5826" s="5" t="s">
        <v>15173</v>
      </c>
      <c r="L5826" s="13">
        <v>17201</v>
      </c>
      <c r="M5826" t="str">
        <f>VLOOKUP(L5826,[1]DevMouse!$B$2:$C$2693,2,FALSE)</f>
        <v>r4CGA</v>
      </c>
    </row>
    <row r="5827" spans="2:13" x14ac:dyDescent="0.25">
      <c r="B5827" s="36"/>
      <c r="C5827" s="20"/>
      <c r="D5827" s="25" t="s">
        <v>26232</v>
      </c>
      <c r="E5827" s="25"/>
      <c r="F5827" s="9" t="str">
        <f t="shared" si="84"/>
        <v>structure with developmental contribution from neural crest</v>
      </c>
      <c r="G5827" s="9" t="s">
        <v>5090</v>
      </c>
      <c r="H5827" s="9" t="s">
        <v>17724</v>
      </c>
      <c r="I5827" s="9" t="s">
        <v>10776</v>
      </c>
      <c r="J5827" s="9" t="s">
        <v>10777</v>
      </c>
      <c r="K5827" s="5" t="s">
        <v>15173</v>
      </c>
      <c r="L5827" s="13">
        <v>17202</v>
      </c>
      <c r="M5827" t="str">
        <f>VLOOKUP(L5827,[1]DevMouse!$B$2:$C$2693,2,FALSE)</f>
        <v>r4CGB</v>
      </c>
    </row>
    <row r="5828" spans="2:13" x14ac:dyDescent="0.25">
      <c r="B5828" s="36"/>
      <c r="C5828" s="20"/>
      <c r="D5828" s="25" t="s">
        <v>26232</v>
      </c>
      <c r="E5828" s="25"/>
      <c r="F5828" s="9" t="str">
        <f t="shared" si="84"/>
        <v>structure with developmental contribution from neural crest</v>
      </c>
      <c r="G5828" s="9" t="s">
        <v>5090</v>
      </c>
      <c r="H5828" s="9" t="s">
        <v>17725</v>
      </c>
      <c r="I5828" s="9" t="s">
        <v>10778</v>
      </c>
      <c r="J5828" s="9" t="s">
        <v>10779</v>
      </c>
      <c r="K5828" s="5" t="s">
        <v>15173</v>
      </c>
      <c r="L5828" s="13">
        <v>17203</v>
      </c>
      <c r="M5828" t="str">
        <f>VLOOKUP(L5828,[1]DevMouse!$B$2:$C$2693,2,FALSE)</f>
        <v>r4BIi</v>
      </c>
    </row>
    <row r="5829" spans="2:13" x14ac:dyDescent="0.25">
      <c r="B5829" s="36"/>
      <c r="C5829" s="20"/>
      <c r="D5829" s="25" t="s">
        <v>26232</v>
      </c>
      <c r="E5829" s="25"/>
      <c r="F5829" s="9" t="str">
        <f t="shared" si="84"/>
        <v>structure with developmental contribution from neural crest</v>
      </c>
      <c r="G5829" s="9" t="s">
        <v>5090</v>
      </c>
      <c r="H5829" s="9" t="s">
        <v>17726</v>
      </c>
      <c r="I5829" s="9" t="s">
        <v>10780</v>
      </c>
      <c r="J5829" s="9" t="s">
        <v>10781</v>
      </c>
      <c r="K5829" s="5" t="s">
        <v>15173</v>
      </c>
      <c r="L5829" s="13">
        <v>17204</v>
      </c>
      <c r="M5829" t="str">
        <f>VLOOKUP(L5829,[1]DevMouse!$B$2:$C$2693,2,FALSE)</f>
        <v>r4BIRt</v>
      </c>
    </row>
    <row r="5830" spans="2:13" x14ac:dyDescent="0.25">
      <c r="B5830" s="36"/>
      <c r="C5830" s="20"/>
      <c r="D5830" s="25" t="s">
        <v>26232</v>
      </c>
      <c r="E5830" s="25"/>
      <c r="F5830" s="9" t="str">
        <f t="shared" si="84"/>
        <v>structure with developmental contribution from neural crest</v>
      </c>
      <c r="G5830" s="9" t="s">
        <v>5090</v>
      </c>
      <c r="H5830" s="9" t="s">
        <v>17727</v>
      </c>
      <c r="I5830" s="9" t="s">
        <v>10782</v>
      </c>
      <c r="J5830" s="9" t="s">
        <v>10783</v>
      </c>
      <c r="K5830" s="5" t="s">
        <v>15173</v>
      </c>
      <c r="L5830" s="13">
        <v>17205</v>
      </c>
      <c r="M5830" t="str">
        <f>VLOOKUP(L5830,[1]DevMouse!$B$2:$C$2693,2,FALSE)</f>
        <v>r4BIs</v>
      </c>
    </row>
    <row r="5831" spans="2:13" x14ac:dyDescent="0.25">
      <c r="B5831" s="31" t="s">
        <v>26303</v>
      </c>
      <c r="C5831" s="25" t="s">
        <v>26125</v>
      </c>
      <c r="D5831" s="25" t="s">
        <v>26232</v>
      </c>
      <c r="E5831" s="25" t="s">
        <v>26308</v>
      </c>
      <c r="F5831" s="9" t="str">
        <f t="shared" si="84"/>
        <v>structure with developmental contribution from neural crest</v>
      </c>
      <c r="G5831" s="9" t="s">
        <v>5090</v>
      </c>
      <c r="H5831" s="9" t="s">
        <v>17728</v>
      </c>
      <c r="I5831" s="9" t="s">
        <v>10784</v>
      </c>
      <c r="J5831" s="9" t="s">
        <v>10785</v>
      </c>
      <c r="K5831" s="5" t="s">
        <v>15173</v>
      </c>
      <c r="L5831" s="13">
        <v>17206</v>
      </c>
      <c r="M5831" t="str">
        <f>VLOOKUP(L5831,[1]DevMouse!$B$2:$C$2693,2,FALSE)</f>
        <v>r4LPn</v>
      </c>
    </row>
    <row r="5832" spans="2:13" x14ac:dyDescent="0.25">
      <c r="B5832" s="36"/>
      <c r="C5832" s="20"/>
      <c r="D5832" s="25" t="s">
        <v>26232</v>
      </c>
      <c r="E5832" s="25"/>
      <c r="F5832" s="9" t="str">
        <f t="shared" si="84"/>
        <v>structure with developmental contribution from neural crest</v>
      </c>
      <c r="G5832" s="9" t="s">
        <v>5090</v>
      </c>
      <c r="H5832" s="9" t="s">
        <v>17729</v>
      </c>
      <c r="I5832" s="9" t="s">
        <v>10786</v>
      </c>
      <c r="J5832" s="9" t="s">
        <v>10787</v>
      </c>
      <c r="K5832" s="5" t="s">
        <v>15173</v>
      </c>
      <c r="L5832" s="13">
        <v>17207</v>
      </c>
      <c r="M5832" t="str">
        <f>VLOOKUP(L5832,[1]DevMouse!$B$2:$C$2693,2,FALSE)</f>
        <v>r4BM</v>
      </c>
    </row>
    <row r="5833" spans="2:13" x14ac:dyDescent="0.25">
      <c r="B5833" s="36"/>
      <c r="C5833" s="20"/>
      <c r="D5833" s="25" t="s">
        <v>26232</v>
      </c>
      <c r="E5833" s="25"/>
      <c r="F5833" s="9" t="str">
        <f t="shared" si="84"/>
        <v>structure with developmental contribution from neural crest</v>
      </c>
      <c r="G5833" s="9" t="s">
        <v>5090</v>
      </c>
      <c r="H5833" s="9" t="s">
        <v>17730</v>
      </c>
      <c r="I5833" s="9" t="s">
        <v>10788</v>
      </c>
      <c r="J5833" s="9" t="s">
        <v>10789</v>
      </c>
      <c r="K5833" s="5" t="s">
        <v>15173</v>
      </c>
      <c r="L5833" s="13">
        <v>17208</v>
      </c>
      <c r="M5833" t="str">
        <f>VLOOKUP(L5833,[1]DevMouse!$B$2:$C$2693,2,FALSE)</f>
        <v>r4BMv</v>
      </c>
    </row>
    <row r="5834" spans="2:13" x14ac:dyDescent="0.25">
      <c r="B5834" s="31" t="s">
        <v>26303</v>
      </c>
      <c r="C5834" s="20"/>
      <c r="D5834" s="25" t="s">
        <v>26232</v>
      </c>
      <c r="E5834" s="20" t="s">
        <v>26300</v>
      </c>
      <c r="F5834" s="9" t="str">
        <f t="shared" si="84"/>
        <v>structure with developmental contribution from neural crest</v>
      </c>
      <c r="G5834" s="9" t="s">
        <v>5090</v>
      </c>
      <c r="H5834" s="9" t="s">
        <v>17731</v>
      </c>
      <c r="I5834" s="9" t="s">
        <v>10790</v>
      </c>
      <c r="J5834" s="9" t="s">
        <v>10791</v>
      </c>
      <c r="K5834" s="5" t="s">
        <v>15173</v>
      </c>
      <c r="L5834" s="13">
        <v>17209</v>
      </c>
      <c r="M5834" t="str">
        <f>VLOOKUP(L5834,[1]DevMouse!$B$2:$C$2693,2,FALSE)</f>
        <v>r4BMm</v>
      </c>
    </row>
    <row r="5835" spans="2:13" x14ac:dyDescent="0.25">
      <c r="B5835" s="36"/>
      <c r="C5835" s="20"/>
      <c r="D5835" s="25" t="s">
        <v>26232</v>
      </c>
      <c r="E5835" s="20" t="s">
        <v>26300</v>
      </c>
      <c r="F5835" s="9" t="str">
        <f t="shared" si="84"/>
        <v>structure with developmental contribution from neural crest</v>
      </c>
      <c r="G5835" s="9" t="s">
        <v>5090</v>
      </c>
      <c r="H5835" s="9" t="s">
        <v>17732</v>
      </c>
      <c r="I5835" s="9" t="s">
        <v>10792</v>
      </c>
      <c r="J5835" s="9" t="s">
        <v>10793</v>
      </c>
      <c r="K5835" s="5" t="s">
        <v>15173</v>
      </c>
      <c r="L5835" s="13">
        <v>17210</v>
      </c>
      <c r="M5835" t="str">
        <f>VLOOKUP(L5835,[1]DevMouse!$B$2:$C$2693,2,FALSE)</f>
        <v>r4BMp</v>
      </c>
    </row>
    <row r="5836" spans="2:13" x14ac:dyDescent="0.25">
      <c r="B5836" s="31" t="s">
        <v>26303</v>
      </c>
      <c r="C5836" s="25" t="s">
        <v>172</v>
      </c>
      <c r="D5836" s="25" t="s">
        <v>26232</v>
      </c>
      <c r="E5836" s="25"/>
      <c r="F5836" s="9" t="str">
        <f t="shared" si="84"/>
        <v>structure with developmental contribution from neural crest</v>
      </c>
      <c r="G5836" s="9" t="s">
        <v>5090</v>
      </c>
      <c r="H5836" s="9" t="s">
        <v>17733</v>
      </c>
      <c r="I5836" s="9" t="s">
        <v>10794</v>
      </c>
      <c r="J5836" s="9" t="s">
        <v>10795</v>
      </c>
      <c r="K5836" s="5" t="s">
        <v>15173</v>
      </c>
      <c r="L5836" s="13">
        <v>17211</v>
      </c>
      <c r="M5836" t="str">
        <f>VLOOKUP(L5836,[1]DevMouse!$B$2:$C$2693,2,FALSE)</f>
        <v>r4Pre6CG</v>
      </c>
    </row>
    <row r="5837" spans="2:13" x14ac:dyDescent="0.25">
      <c r="B5837" s="36"/>
      <c r="C5837" s="20"/>
      <c r="D5837" s="25" t="s">
        <v>26232</v>
      </c>
      <c r="E5837" s="25"/>
      <c r="F5837" s="9" t="str">
        <f t="shared" si="84"/>
        <v>structure with developmental contribution from neural crest</v>
      </c>
      <c r="G5837" s="9" t="s">
        <v>5090</v>
      </c>
      <c r="H5837" s="9" t="s">
        <v>17734</v>
      </c>
      <c r="I5837" s="9" t="s">
        <v>10796</v>
      </c>
      <c r="J5837" s="9" t="s">
        <v>10797</v>
      </c>
      <c r="K5837" s="5" t="s">
        <v>15173</v>
      </c>
      <c r="L5837" s="13">
        <v>17212</v>
      </c>
      <c r="M5837" t="str">
        <f>VLOOKUP(L5837,[1]DevMouse!$B$2:$C$2693,2,FALSE)</f>
        <v>r4BMi</v>
      </c>
    </row>
    <row r="5838" spans="2:13" x14ac:dyDescent="0.25">
      <c r="B5838" s="31" t="s">
        <v>26303</v>
      </c>
      <c r="C5838" s="25" t="s">
        <v>3298</v>
      </c>
      <c r="D5838" s="25" t="s">
        <v>26232</v>
      </c>
      <c r="E5838" s="25" t="s">
        <v>26308</v>
      </c>
      <c r="F5838" s="9" t="str">
        <f t="shared" si="84"/>
        <v>structure with developmental contribution from neural crest</v>
      </c>
      <c r="G5838" s="9" t="s">
        <v>5090</v>
      </c>
      <c r="H5838" s="9" t="s">
        <v>17735</v>
      </c>
      <c r="I5838" s="9" t="s">
        <v>10798</v>
      </c>
      <c r="J5838" s="9" t="s">
        <v>10799</v>
      </c>
      <c r="K5838" s="5" t="s">
        <v>15173</v>
      </c>
      <c r="L5838" s="13">
        <v>17213</v>
      </c>
      <c r="M5838" t="str">
        <f>VLOOKUP(L5838,[1]DevMouse!$B$2:$C$2693,2,FALSE)</f>
        <v>r4RtTgS</v>
      </c>
    </row>
    <row r="5839" spans="2:13" x14ac:dyDescent="0.25">
      <c r="B5839" s="31" t="s">
        <v>26303</v>
      </c>
      <c r="C5839" s="25" t="s">
        <v>3298</v>
      </c>
      <c r="D5839" s="25" t="s">
        <v>26232</v>
      </c>
      <c r="E5839" s="25" t="s">
        <v>26308</v>
      </c>
      <c r="F5839" s="9" t="str">
        <f t="shared" si="84"/>
        <v>structure with developmental contribution from neural crest</v>
      </c>
      <c r="G5839" s="9" t="s">
        <v>5090</v>
      </c>
      <c r="H5839" s="9" t="s">
        <v>17736</v>
      </c>
      <c r="I5839" s="9" t="s">
        <v>10800</v>
      </c>
      <c r="J5839" s="9" t="s">
        <v>10801</v>
      </c>
      <c r="K5839" s="5" t="s">
        <v>15173</v>
      </c>
      <c r="L5839" s="13">
        <v>17214</v>
      </c>
      <c r="M5839" t="str">
        <f>VLOOKUP(L5839,[1]DevMouse!$B$2:$C$2693,2,FALSE)</f>
        <v>r4RtTgC</v>
      </c>
    </row>
    <row r="5840" spans="2:13" x14ac:dyDescent="0.25">
      <c r="B5840" s="36"/>
      <c r="C5840" s="20"/>
      <c r="D5840" s="25" t="s">
        <v>26232</v>
      </c>
      <c r="E5840" s="25"/>
      <c r="F5840" s="9" t="str">
        <f t="shared" si="84"/>
        <v>structure with developmental contribution from neural crest</v>
      </c>
      <c r="G5840" s="9" t="s">
        <v>5090</v>
      </c>
      <c r="H5840" s="9" t="s">
        <v>17737</v>
      </c>
      <c r="I5840" s="9" t="s">
        <v>10802</v>
      </c>
      <c r="J5840" s="9" t="s">
        <v>10803</v>
      </c>
      <c r="K5840" s="5" t="s">
        <v>15173</v>
      </c>
      <c r="L5840" s="13">
        <v>17215</v>
      </c>
      <c r="M5840" t="str">
        <f>VLOOKUP(L5840,[1]DevMouse!$B$2:$C$2693,2,FALSE)</f>
        <v>r4BMRt</v>
      </c>
    </row>
    <row r="5841" spans="2:13" x14ac:dyDescent="0.25">
      <c r="B5841" s="31" t="s">
        <v>26303</v>
      </c>
      <c r="C5841" s="25" t="s">
        <v>12796</v>
      </c>
      <c r="D5841" s="25" t="s">
        <v>26232</v>
      </c>
      <c r="E5841" s="25" t="s">
        <v>26308</v>
      </c>
      <c r="F5841" s="9" t="str">
        <f t="shared" si="84"/>
        <v>structure with developmental contribution from neural crest</v>
      </c>
      <c r="G5841" s="9" t="s">
        <v>5090</v>
      </c>
      <c r="H5841" s="9" t="s">
        <v>17738</v>
      </c>
      <c r="I5841" s="9" t="s">
        <v>10804</v>
      </c>
      <c r="J5841" s="9" t="s">
        <v>10805</v>
      </c>
      <c r="K5841" s="5" t="s">
        <v>15173</v>
      </c>
      <c r="L5841" s="13">
        <v>17216</v>
      </c>
      <c r="M5841" t="str">
        <f>VLOOKUP(L5841,[1]DevMouse!$B$2:$C$2693,2,FALSE)</f>
        <v>r4PnR</v>
      </c>
    </row>
    <row r="5842" spans="2:13" x14ac:dyDescent="0.25">
      <c r="B5842" s="36"/>
      <c r="C5842" s="20"/>
      <c r="D5842" s="25" t="s">
        <v>26232</v>
      </c>
      <c r="E5842" s="25"/>
      <c r="F5842" s="9" t="str">
        <f t="shared" si="84"/>
        <v>structure with developmental contribution from neural crest</v>
      </c>
      <c r="G5842" s="9" t="s">
        <v>5090</v>
      </c>
      <c r="H5842" s="9" t="s">
        <v>17739</v>
      </c>
      <c r="I5842" s="9" t="s">
        <v>10806</v>
      </c>
      <c r="J5842" s="9" t="s">
        <v>10807</v>
      </c>
      <c r="K5842" s="5" t="s">
        <v>15173</v>
      </c>
      <c r="L5842" s="13">
        <v>17217</v>
      </c>
      <c r="M5842" t="str">
        <f>VLOOKUP(L5842,[1]DevMouse!$B$2:$C$2693,2,FALSE)</f>
        <v>r4BMs</v>
      </c>
    </row>
    <row r="5843" spans="2:13" x14ac:dyDescent="0.25">
      <c r="B5843" s="31" t="s">
        <v>26303</v>
      </c>
      <c r="C5843" s="25" t="s">
        <v>26125</v>
      </c>
      <c r="D5843" s="25" t="s">
        <v>26232</v>
      </c>
      <c r="E5843" s="25" t="s">
        <v>26308</v>
      </c>
      <c r="F5843" s="9" t="str">
        <f t="shared" si="84"/>
        <v>structure with developmental contribution from neural crest</v>
      </c>
      <c r="G5843" s="9" t="s">
        <v>5090</v>
      </c>
      <c r="H5843" s="9" t="s">
        <v>17740</v>
      </c>
      <c r="I5843" s="9" t="s">
        <v>10808</v>
      </c>
      <c r="J5843" s="9" t="s">
        <v>10809</v>
      </c>
      <c r="K5843" s="5" t="s">
        <v>15173</v>
      </c>
      <c r="L5843" s="13">
        <v>17218</v>
      </c>
      <c r="M5843" t="str">
        <f>VLOOKUP(L5843,[1]DevMouse!$B$2:$C$2693,2,FALSE)</f>
        <v>r4MPn</v>
      </c>
    </row>
    <row r="5844" spans="2:13" x14ac:dyDescent="0.25">
      <c r="B5844" s="31" t="s">
        <v>26303</v>
      </c>
      <c r="C5844" s="25" t="s">
        <v>26200</v>
      </c>
      <c r="D5844" s="25" t="s">
        <v>26232</v>
      </c>
      <c r="E5844" s="25"/>
      <c r="F5844" s="9" t="str">
        <f t="shared" si="84"/>
        <v>structure with developmental contribution from neural crest</v>
      </c>
      <c r="G5844" s="9" t="s">
        <v>5090</v>
      </c>
      <c r="H5844" s="9" t="s">
        <v>17741</v>
      </c>
      <c r="I5844" s="9" t="s">
        <v>4807</v>
      </c>
      <c r="J5844" s="9" t="s">
        <v>4808</v>
      </c>
      <c r="K5844" s="5" t="s">
        <v>15173</v>
      </c>
      <c r="L5844" s="13">
        <v>17219</v>
      </c>
      <c r="M5844" t="str">
        <f>VLOOKUP(L5844,[1]DevMouse!$B$2:$C$2693,2,FALSE)</f>
        <v>r4F</v>
      </c>
    </row>
    <row r="5845" spans="2:13" x14ac:dyDescent="0.25">
      <c r="B5845" s="31" t="s">
        <v>26303</v>
      </c>
      <c r="C5845" s="25" t="s">
        <v>2247</v>
      </c>
      <c r="D5845" s="25" t="s">
        <v>26232</v>
      </c>
      <c r="E5845" s="25"/>
      <c r="F5845" s="9" t="str">
        <f t="shared" si="84"/>
        <v>structure with developmental contribution from neural crest</v>
      </c>
      <c r="G5845" s="9" t="s">
        <v>5090</v>
      </c>
      <c r="H5845" s="9" t="s">
        <v>17747</v>
      </c>
      <c r="I5845" s="9" t="s">
        <v>10810</v>
      </c>
      <c r="J5845" s="9" t="s">
        <v>10811</v>
      </c>
      <c r="K5845" s="5" t="s">
        <v>15173</v>
      </c>
      <c r="L5845" s="13">
        <v>17220</v>
      </c>
      <c r="M5845" t="str">
        <f>VLOOKUP(L5845,[1]DevMouse!$B$2:$C$2693,2,FALSE)</f>
        <v>PMH</v>
      </c>
    </row>
    <row r="5846" spans="2:13" x14ac:dyDescent="0.25">
      <c r="B5846" s="36"/>
      <c r="C5846" s="20"/>
      <c r="D5846" s="25" t="s">
        <v>26232</v>
      </c>
      <c r="E5846" s="25"/>
      <c r="F5846" s="9" t="str">
        <f t="shared" si="84"/>
        <v>structure with developmental contribution from neural crest</v>
      </c>
      <c r="G5846" s="9" t="s">
        <v>5090</v>
      </c>
      <c r="H5846" s="9" t="s">
        <v>17749</v>
      </c>
      <c r="I5846" s="9" t="s">
        <v>4820</v>
      </c>
      <c r="J5846" s="9" t="s">
        <v>4821</v>
      </c>
      <c r="K5846" s="5" t="s">
        <v>15173</v>
      </c>
      <c r="L5846" s="13">
        <v>17222</v>
      </c>
      <c r="M5846" t="str">
        <f>VLOOKUP(L5846,[1]DevMouse!$B$2:$C$2693,2,FALSE)</f>
        <v>r5R</v>
      </c>
    </row>
    <row r="5847" spans="2:13" x14ac:dyDescent="0.25">
      <c r="B5847" s="36"/>
      <c r="C5847" s="20"/>
      <c r="D5847" s="25" t="s">
        <v>26232</v>
      </c>
      <c r="E5847" s="25"/>
      <c r="F5847" s="9" t="str">
        <f t="shared" si="84"/>
        <v>structure with developmental contribution from neural crest</v>
      </c>
      <c r="G5847" s="9" t="s">
        <v>5090</v>
      </c>
      <c r="H5847" s="9" t="s">
        <v>17750</v>
      </c>
      <c r="I5847" s="9" t="s">
        <v>10812</v>
      </c>
      <c r="J5847" s="9" t="s">
        <v>10813</v>
      </c>
      <c r="K5847" s="5" t="s">
        <v>15173</v>
      </c>
      <c r="L5847" s="13">
        <v>17223</v>
      </c>
      <c r="M5847" t="str">
        <f>VLOOKUP(L5847,[1]DevMouse!$B$2:$C$2693,2,FALSE)</f>
        <v>r5A</v>
      </c>
    </row>
    <row r="5848" spans="2:13" x14ac:dyDescent="0.25">
      <c r="B5848" s="31" t="s">
        <v>26303</v>
      </c>
      <c r="C5848" s="20"/>
      <c r="D5848" s="25" t="s">
        <v>26232</v>
      </c>
      <c r="E5848" s="25" t="s">
        <v>26307</v>
      </c>
      <c r="F5848" s="9" t="str">
        <f t="shared" si="84"/>
        <v>structure with developmental contribution from neural crest</v>
      </c>
      <c r="G5848" s="9" t="s">
        <v>5090</v>
      </c>
      <c r="H5848" s="9" t="s">
        <v>17753</v>
      </c>
      <c r="I5848" s="9" t="s">
        <v>10814</v>
      </c>
      <c r="J5848" s="9" t="s">
        <v>10815</v>
      </c>
      <c r="K5848" s="5" t="s">
        <v>15173</v>
      </c>
      <c r="L5848" s="13">
        <v>17224</v>
      </c>
      <c r="M5848" t="str">
        <f>VLOOKUP(L5848,[1]DevMouse!$B$2:$C$2693,2,FALSE)</f>
        <v>r5Co</v>
      </c>
    </row>
    <row r="5849" spans="2:13" x14ac:dyDescent="0.25">
      <c r="B5849" s="36"/>
      <c r="C5849" s="20"/>
      <c r="D5849" s="25" t="s">
        <v>26232</v>
      </c>
      <c r="E5849" s="25"/>
      <c r="F5849" s="9" t="str">
        <f t="shared" si="84"/>
        <v>structure with developmental contribution from neural crest</v>
      </c>
      <c r="G5849" s="9" t="s">
        <v>5090</v>
      </c>
      <c r="H5849" s="9" t="s">
        <v>17754</v>
      </c>
      <c r="I5849" s="9" t="s">
        <v>10816</v>
      </c>
      <c r="J5849" s="9" t="s">
        <v>10817</v>
      </c>
      <c r="K5849" s="5" t="s">
        <v>15173</v>
      </c>
      <c r="L5849" s="13">
        <v>17225</v>
      </c>
      <c r="M5849" t="str">
        <f>VLOOKUP(L5849,[1]DevMouse!$B$2:$C$2693,2,FALSE)</f>
        <v>r5Cov</v>
      </c>
    </row>
    <row r="5850" spans="2:13" x14ac:dyDescent="0.25">
      <c r="B5850" s="31" t="s">
        <v>26303</v>
      </c>
      <c r="C5850" s="20"/>
      <c r="D5850" s="25" t="s">
        <v>26232</v>
      </c>
      <c r="E5850" s="20" t="s">
        <v>26300</v>
      </c>
      <c r="F5850" s="9" t="str">
        <f t="shared" si="84"/>
        <v>structure with developmental contribution from neural crest</v>
      </c>
      <c r="G5850" s="9" t="s">
        <v>5090</v>
      </c>
      <c r="H5850" s="9" t="s">
        <v>17755</v>
      </c>
      <c r="I5850" s="9" t="s">
        <v>10818</v>
      </c>
      <c r="J5850" s="9" t="s">
        <v>10819</v>
      </c>
      <c r="K5850" s="5" t="s">
        <v>15173</v>
      </c>
      <c r="L5850" s="13">
        <v>17226</v>
      </c>
      <c r="M5850" t="str">
        <f>VLOOKUP(L5850,[1]DevMouse!$B$2:$C$2693,2,FALSE)</f>
        <v>r5Com</v>
      </c>
    </row>
    <row r="5851" spans="2:13" x14ac:dyDescent="0.25">
      <c r="B5851" s="31" t="s">
        <v>26303</v>
      </c>
      <c r="C5851" s="25" t="s">
        <v>1518</v>
      </c>
      <c r="D5851" s="25" t="s">
        <v>26232</v>
      </c>
      <c r="E5851" s="25" t="s">
        <v>26308</v>
      </c>
      <c r="F5851" s="9" t="str">
        <f t="shared" si="84"/>
        <v>structure with developmental contribution from neural crest</v>
      </c>
      <c r="G5851" s="9" t="s">
        <v>5090</v>
      </c>
      <c r="H5851" s="9" t="s">
        <v>17757</v>
      </c>
      <c r="I5851" s="9" t="s">
        <v>10820</v>
      </c>
      <c r="J5851" s="9" t="s">
        <v>10821</v>
      </c>
      <c r="K5851" s="5" t="s">
        <v>15173</v>
      </c>
      <c r="L5851" s="13">
        <v>17227</v>
      </c>
      <c r="M5851" t="str">
        <f>VLOOKUP(L5851,[1]DevMouse!$B$2:$C$2693,2,FALSE)</f>
        <v>r5DC</v>
      </c>
    </row>
    <row r="5852" spans="2:13" x14ac:dyDescent="0.25">
      <c r="B5852" s="31" t="s">
        <v>26303</v>
      </c>
      <c r="C5852" s="25" t="s">
        <v>26150</v>
      </c>
      <c r="D5852" s="25" t="s">
        <v>26232</v>
      </c>
      <c r="E5852" s="25" t="s">
        <v>26308</v>
      </c>
      <c r="F5852" s="9" t="str">
        <f t="shared" si="84"/>
        <v>structure with developmental contribution from neural crest</v>
      </c>
      <c r="G5852" s="9" t="s">
        <v>5090</v>
      </c>
      <c r="H5852" s="9" t="s">
        <v>17760</v>
      </c>
      <c r="I5852" s="9" t="s">
        <v>10822</v>
      </c>
      <c r="J5852" s="9" t="s">
        <v>10823</v>
      </c>
      <c r="K5852" s="5" t="s">
        <v>15173</v>
      </c>
      <c r="L5852" s="13">
        <v>17228</v>
      </c>
      <c r="M5852" t="str">
        <f>VLOOKUP(L5852,[1]DevMouse!$B$2:$C$2693,2,FALSE)</f>
        <v>r5PVC</v>
      </c>
    </row>
    <row r="5853" spans="2:13" x14ac:dyDescent="0.25">
      <c r="B5853" s="36"/>
      <c r="C5853" s="20"/>
      <c r="D5853" s="25" t="s">
        <v>26232</v>
      </c>
      <c r="E5853" s="25"/>
      <c r="F5853" s="9" t="str">
        <f t="shared" si="84"/>
        <v>structure with developmental contribution from neural crest</v>
      </c>
      <c r="G5853" s="9" t="s">
        <v>5090</v>
      </c>
      <c r="H5853" s="9" t="s">
        <v>17761</v>
      </c>
      <c r="I5853" s="9" t="s">
        <v>10824</v>
      </c>
      <c r="J5853" s="9" t="s">
        <v>10825</v>
      </c>
      <c r="K5853" s="5" t="s">
        <v>15173</v>
      </c>
      <c r="L5853" s="13">
        <v>17229</v>
      </c>
      <c r="M5853" t="str">
        <f>VLOOKUP(L5853,[1]DevMouse!$B$2:$C$2693,2,FALSE)</f>
        <v>r5Ve</v>
      </c>
    </row>
    <row r="5854" spans="2:13" x14ac:dyDescent="0.25">
      <c r="B5854" s="36"/>
      <c r="C5854" s="20"/>
      <c r="D5854" s="25" t="s">
        <v>26232</v>
      </c>
      <c r="E5854" s="25"/>
      <c r="F5854" s="9" t="str">
        <f t="shared" si="84"/>
        <v>structure with developmental contribution from neural crest</v>
      </c>
      <c r="G5854" s="9" t="s">
        <v>5090</v>
      </c>
      <c r="H5854" s="9" t="s">
        <v>17762</v>
      </c>
      <c r="I5854" s="9" t="s">
        <v>10826</v>
      </c>
      <c r="J5854" s="9" t="s">
        <v>10827</v>
      </c>
      <c r="K5854" s="5" t="s">
        <v>15173</v>
      </c>
      <c r="L5854" s="13">
        <v>17230</v>
      </c>
      <c r="M5854" t="str">
        <f>VLOOKUP(L5854,[1]DevMouse!$B$2:$C$2693,2,FALSE)</f>
        <v>r5Vev</v>
      </c>
    </row>
    <row r="5855" spans="2:13" x14ac:dyDescent="0.25">
      <c r="B5855" s="31" t="s">
        <v>26303</v>
      </c>
      <c r="C5855" s="20"/>
      <c r="D5855" s="25" t="s">
        <v>26232</v>
      </c>
      <c r="E5855" s="20" t="s">
        <v>26300</v>
      </c>
      <c r="F5855" s="9" t="str">
        <f t="shared" si="84"/>
        <v>structure with developmental contribution from neural crest</v>
      </c>
      <c r="G5855" s="9" t="s">
        <v>5090</v>
      </c>
      <c r="H5855" s="9" t="s">
        <v>17763</v>
      </c>
      <c r="I5855" s="9" t="s">
        <v>10828</v>
      </c>
      <c r="J5855" s="9" t="s">
        <v>10829</v>
      </c>
      <c r="K5855" s="5" t="s">
        <v>15173</v>
      </c>
      <c r="L5855" s="13">
        <v>17231</v>
      </c>
      <c r="M5855" t="str">
        <f>VLOOKUP(L5855,[1]DevMouse!$B$2:$C$2693,2,FALSE)</f>
        <v>r5Vem</v>
      </c>
    </row>
    <row r="5856" spans="2:13" x14ac:dyDescent="0.25">
      <c r="B5856" s="31" t="s">
        <v>26303</v>
      </c>
      <c r="C5856" s="25" t="s">
        <v>25970</v>
      </c>
      <c r="D5856" s="25" t="s">
        <v>26232</v>
      </c>
      <c r="E5856" s="25" t="s">
        <v>26308</v>
      </c>
      <c r="F5856" s="9" t="str">
        <f t="shared" si="84"/>
        <v>structure with developmental contribution from neural crest</v>
      </c>
      <c r="G5856" s="9" t="s">
        <v>5090</v>
      </c>
      <c r="H5856" s="9" t="s">
        <v>17769</v>
      </c>
      <c r="I5856" s="9" t="s">
        <v>10830</v>
      </c>
      <c r="J5856" s="9" t="s">
        <v>10831</v>
      </c>
      <c r="K5856" s="5" t="s">
        <v>15173</v>
      </c>
      <c r="L5856" s="13">
        <v>17232</v>
      </c>
      <c r="M5856" t="str">
        <f>VLOOKUP(L5856,[1]DevMouse!$B$2:$C$2693,2,FALSE)</f>
        <v>r5SpVe</v>
      </c>
    </row>
    <row r="5857" spans="2:13" x14ac:dyDescent="0.25">
      <c r="B5857" s="31" t="s">
        <v>26303</v>
      </c>
      <c r="C5857" s="25" t="s">
        <v>3042</v>
      </c>
      <c r="D5857" s="25" t="s">
        <v>26232</v>
      </c>
      <c r="E5857" s="25" t="s">
        <v>26308</v>
      </c>
      <c r="F5857" s="9" t="str">
        <f t="shared" si="84"/>
        <v>structure with developmental contribution from neural crest</v>
      </c>
      <c r="G5857" s="9" t="s">
        <v>5090</v>
      </c>
      <c r="H5857" s="9" t="s">
        <v>17767</v>
      </c>
      <c r="I5857" s="9" t="s">
        <v>10832</v>
      </c>
      <c r="J5857" s="9" t="s">
        <v>10833</v>
      </c>
      <c r="K5857" s="5" t="s">
        <v>15173</v>
      </c>
      <c r="L5857" s="13">
        <v>17233</v>
      </c>
      <c r="M5857" t="str">
        <f>VLOOKUP(L5857,[1]DevMouse!$B$2:$C$2693,2,FALSE)</f>
        <v>r5MVeMC</v>
      </c>
    </row>
    <row r="5858" spans="2:13" x14ac:dyDescent="0.25">
      <c r="B5858" s="31" t="s">
        <v>26303</v>
      </c>
      <c r="C5858" s="25" t="s">
        <v>3042</v>
      </c>
      <c r="D5858" s="25" t="s">
        <v>26232</v>
      </c>
      <c r="E5858" s="25" t="s">
        <v>26308</v>
      </c>
      <c r="F5858" s="9" t="str">
        <f t="shared" si="84"/>
        <v>structure with developmental contribution from neural crest</v>
      </c>
      <c r="G5858" s="9" t="s">
        <v>5090</v>
      </c>
      <c r="H5858" s="9" t="s">
        <v>17765</v>
      </c>
      <c r="I5858" s="9" t="s">
        <v>10834</v>
      </c>
      <c r="J5858" s="9" t="s">
        <v>10835</v>
      </c>
      <c r="K5858" s="5" t="s">
        <v>15173</v>
      </c>
      <c r="L5858" s="13">
        <v>17234</v>
      </c>
      <c r="M5858" t="str">
        <f>VLOOKUP(L5858,[1]DevMouse!$B$2:$C$2693,2,FALSE)</f>
        <v>r5MVePC</v>
      </c>
    </row>
    <row r="5859" spans="2:13" x14ac:dyDescent="0.25">
      <c r="B5859" s="36"/>
      <c r="C5859" s="20"/>
      <c r="D5859" s="25" t="s">
        <v>26232</v>
      </c>
      <c r="E5859" s="25" t="s">
        <v>26308</v>
      </c>
      <c r="F5859" s="9" t="str">
        <f t="shared" si="84"/>
        <v>structure with developmental contribution from neural crest</v>
      </c>
      <c r="G5859" s="9" t="s">
        <v>5090</v>
      </c>
      <c r="H5859" s="9" t="s">
        <v>17770</v>
      </c>
      <c r="I5859" s="9" t="s">
        <v>10836</v>
      </c>
      <c r="J5859" s="9" t="s">
        <v>10837</v>
      </c>
      <c r="K5859" s="5" t="s">
        <v>15173</v>
      </c>
      <c r="L5859" s="13">
        <v>17235</v>
      </c>
      <c r="M5859" t="str">
        <f>VLOOKUP(L5859,[1]DevMouse!$B$2:$C$2693,2,FALSE)</f>
        <v>r5Tr</v>
      </c>
    </row>
    <row r="5860" spans="2:13" x14ac:dyDescent="0.25">
      <c r="B5860" s="36"/>
      <c r="C5860" s="20"/>
      <c r="D5860" s="25" t="s">
        <v>26232</v>
      </c>
      <c r="E5860" s="25"/>
      <c r="F5860" s="9" t="str">
        <f t="shared" si="84"/>
        <v>structure with developmental contribution from neural crest</v>
      </c>
      <c r="G5860" s="9" t="s">
        <v>5090</v>
      </c>
      <c r="H5860" s="9" t="s">
        <v>17771</v>
      </c>
      <c r="I5860" s="9" t="s">
        <v>10838</v>
      </c>
      <c r="J5860" s="9" t="s">
        <v>10839</v>
      </c>
      <c r="K5860" s="5" t="s">
        <v>15173</v>
      </c>
      <c r="L5860" s="13">
        <v>17236</v>
      </c>
      <c r="M5860" t="str">
        <f>VLOOKUP(L5860,[1]DevMouse!$B$2:$C$2693,2,FALSE)</f>
        <v>r5Trv</v>
      </c>
    </row>
    <row r="5861" spans="2:13" x14ac:dyDescent="0.25">
      <c r="B5861" s="31" t="s">
        <v>26303</v>
      </c>
      <c r="C5861" s="20"/>
      <c r="D5861" s="25" t="s">
        <v>26232</v>
      </c>
      <c r="E5861" s="20" t="s">
        <v>26300</v>
      </c>
      <c r="F5861" s="9" t="str">
        <f t="shared" si="84"/>
        <v>structure with developmental contribution from neural crest</v>
      </c>
      <c r="G5861" s="9" t="s">
        <v>5090</v>
      </c>
      <c r="H5861" s="9" t="s">
        <v>17772</v>
      </c>
      <c r="I5861" s="9" t="s">
        <v>10840</v>
      </c>
      <c r="J5861" s="9" t="s">
        <v>10841</v>
      </c>
      <c r="K5861" s="5" t="s">
        <v>15173</v>
      </c>
      <c r="L5861" s="13">
        <v>17237</v>
      </c>
      <c r="M5861" t="str">
        <f>VLOOKUP(L5861,[1]DevMouse!$B$2:$C$2693,2,FALSE)</f>
        <v>r5Trm</v>
      </c>
    </row>
    <row r="5862" spans="2:13" x14ac:dyDescent="0.25">
      <c r="B5862" s="36"/>
      <c r="C5862" s="20"/>
      <c r="D5862" s="25" t="s">
        <v>26232</v>
      </c>
      <c r="E5862" s="25"/>
      <c r="F5862" s="9" t="str">
        <f t="shared" si="84"/>
        <v>structure with developmental contribution from neural crest</v>
      </c>
      <c r="G5862" s="9" t="s">
        <v>5090</v>
      </c>
      <c r="H5862" s="9" t="s">
        <v>17779</v>
      </c>
      <c r="I5862" s="9" t="s">
        <v>10842</v>
      </c>
      <c r="J5862" s="9" t="s">
        <v>10843</v>
      </c>
      <c r="K5862" s="5" t="s">
        <v>15173</v>
      </c>
      <c r="L5862" s="13">
        <v>17238</v>
      </c>
      <c r="M5862" t="str">
        <f>VLOOKUP(L5862,[1]DevMouse!$B$2:$C$2693,2,FALSE)</f>
        <v>r5Sp5O</v>
      </c>
    </row>
    <row r="5863" spans="2:13" x14ac:dyDescent="0.25">
      <c r="B5863" s="36"/>
      <c r="C5863" s="20"/>
      <c r="D5863" s="25" t="s">
        <v>26232</v>
      </c>
      <c r="E5863" s="25" t="s">
        <v>26308</v>
      </c>
      <c r="F5863" s="9" t="str">
        <f t="shared" si="84"/>
        <v>structure with developmental contribution from neural crest</v>
      </c>
      <c r="G5863" s="9" t="s">
        <v>5090</v>
      </c>
      <c r="H5863" s="9" t="s">
        <v>17776</v>
      </c>
      <c r="I5863" s="9" t="s">
        <v>10844</v>
      </c>
      <c r="J5863" s="9" t="s">
        <v>10845</v>
      </c>
      <c r="K5863" s="5" t="s">
        <v>15173</v>
      </c>
      <c r="L5863" s="13">
        <v>17239</v>
      </c>
      <c r="M5863" t="str">
        <f>VLOOKUP(L5863,[1]DevMouse!$B$2:$C$2693,2,FALSE)</f>
        <v>r5-5Tr</v>
      </c>
    </row>
    <row r="5864" spans="2:13" x14ac:dyDescent="0.25">
      <c r="B5864" s="31" t="s">
        <v>26303</v>
      </c>
      <c r="C5864" s="20"/>
      <c r="D5864" s="25" t="s">
        <v>26232</v>
      </c>
      <c r="E5864" s="25" t="s">
        <v>26308</v>
      </c>
      <c r="F5864" s="9" t="str">
        <f t="shared" si="84"/>
        <v>structure with developmental contribution from neural crest</v>
      </c>
      <c r="G5864" s="9" t="s">
        <v>5090</v>
      </c>
      <c r="H5864" s="9" t="s">
        <v>17774</v>
      </c>
      <c r="I5864" s="9" t="s">
        <v>10846</v>
      </c>
      <c r="J5864" s="9" t="s">
        <v>10847</v>
      </c>
      <c r="K5864" s="5" t="s">
        <v>15173</v>
      </c>
      <c r="L5864" s="13">
        <v>17240</v>
      </c>
      <c r="M5864" t="str">
        <f>VLOOKUP(L5864,[1]DevMouse!$B$2:$C$2693,2,FALSE)</f>
        <v>r5Sol</v>
      </c>
    </row>
    <row r="5865" spans="2:13" x14ac:dyDescent="0.25">
      <c r="B5865" s="36"/>
      <c r="C5865" s="20"/>
      <c r="D5865" s="25" t="s">
        <v>26232</v>
      </c>
      <c r="E5865" s="25"/>
      <c r="F5865" s="9" t="str">
        <f t="shared" si="84"/>
        <v>structure with developmental contribution from neural crest</v>
      </c>
      <c r="G5865" s="9" t="s">
        <v>5090</v>
      </c>
      <c r="H5865" s="9" t="s">
        <v>17777</v>
      </c>
      <c r="I5865" s="9" t="s">
        <v>10848</v>
      </c>
      <c r="J5865" s="9" t="s">
        <v>10849</v>
      </c>
      <c r="K5865" s="5" t="s">
        <v>15173</v>
      </c>
      <c r="L5865" s="13">
        <v>17241</v>
      </c>
      <c r="M5865" t="str">
        <f>VLOOKUP(L5865,[1]DevMouse!$B$2:$C$2693,2,FALSE)</f>
        <v>r5DPCRt</v>
      </c>
    </row>
    <row r="5866" spans="2:13" x14ac:dyDescent="0.25">
      <c r="B5866" s="36"/>
      <c r="C5866" s="20"/>
      <c r="D5866" s="25" t="s">
        <v>26232</v>
      </c>
      <c r="E5866" s="25"/>
      <c r="F5866" s="9" t="str">
        <f t="shared" si="84"/>
        <v>structure with developmental contribution from neural crest</v>
      </c>
      <c r="G5866" s="9" t="s">
        <v>5090</v>
      </c>
      <c r="H5866" s="9" t="s">
        <v>17780</v>
      </c>
      <c r="I5866" s="9" t="s">
        <v>10850</v>
      </c>
      <c r="J5866" s="9" t="s">
        <v>10851</v>
      </c>
      <c r="K5866" s="5" t="s">
        <v>15173</v>
      </c>
      <c r="L5866" s="13">
        <v>17242</v>
      </c>
      <c r="M5866" t="str">
        <f>VLOOKUP(L5866,[1]DevMouse!$B$2:$C$2693,2,FALSE)</f>
        <v>r5Lim</v>
      </c>
    </row>
    <row r="5867" spans="2:13" x14ac:dyDescent="0.25">
      <c r="B5867" s="36"/>
      <c r="C5867" s="20"/>
      <c r="D5867" s="25" t="s">
        <v>26232</v>
      </c>
      <c r="E5867" s="25"/>
      <c r="F5867" s="9" t="str">
        <f t="shared" si="84"/>
        <v>structure with developmental contribution from neural crest</v>
      </c>
      <c r="G5867" s="9" t="s">
        <v>5090</v>
      </c>
      <c r="H5867" s="9" t="s">
        <v>17781</v>
      </c>
      <c r="I5867" s="9" t="s">
        <v>10852</v>
      </c>
      <c r="J5867" s="9" t="s">
        <v>10853</v>
      </c>
      <c r="K5867" s="5" t="s">
        <v>15173</v>
      </c>
      <c r="L5867" s="13">
        <v>17243</v>
      </c>
      <c r="M5867" t="str">
        <f>VLOOKUP(L5867,[1]DevMouse!$B$2:$C$2693,2,FALSE)</f>
        <v>r5Limv</v>
      </c>
    </row>
    <row r="5868" spans="2:13" x14ac:dyDescent="0.25">
      <c r="B5868" s="31" t="s">
        <v>26303</v>
      </c>
      <c r="C5868" s="20"/>
      <c r="D5868" s="25" t="s">
        <v>26232</v>
      </c>
      <c r="E5868" s="20" t="s">
        <v>26300</v>
      </c>
      <c r="F5868" s="9" t="str">
        <f t="shared" si="84"/>
        <v>structure with developmental contribution from neural crest</v>
      </c>
      <c r="G5868" s="9" t="s">
        <v>5090</v>
      </c>
      <c r="H5868" s="9" t="s">
        <v>17782</v>
      </c>
      <c r="I5868" s="9" t="s">
        <v>10854</v>
      </c>
      <c r="J5868" s="9" t="s">
        <v>10855</v>
      </c>
      <c r="K5868" s="5" t="s">
        <v>15173</v>
      </c>
      <c r="L5868" s="13">
        <v>17244</v>
      </c>
      <c r="M5868" t="str">
        <f>VLOOKUP(L5868,[1]DevMouse!$B$2:$C$2693,2,FALSE)</f>
        <v>r5Limm</v>
      </c>
    </row>
    <row r="5869" spans="2:13" x14ac:dyDescent="0.25">
      <c r="B5869" s="36"/>
      <c r="C5869" s="20"/>
      <c r="D5869" s="25" t="s">
        <v>26232</v>
      </c>
      <c r="E5869" s="25"/>
      <c r="F5869" s="9" t="str">
        <f t="shared" si="84"/>
        <v>structure with developmental contribution from neural crest</v>
      </c>
      <c r="G5869" s="9" t="s">
        <v>5090</v>
      </c>
      <c r="H5869" s="9" t="s">
        <v>17784</v>
      </c>
      <c r="I5869" s="9" t="s">
        <v>10856</v>
      </c>
      <c r="J5869" s="9" t="s">
        <v>10857</v>
      </c>
      <c r="K5869" s="5" t="s">
        <v>15173</v>
      </c>
      <c r="L5869" s="13">
        <v>17245</v>
      </c>
      <c r="M5869" t="str">
        <f>VLOOKUP(L5869,[1]DevMouse!$B$2:$C$2693,2,FALSE)</f>
        <v>r5LimCG</v>
      </c>
    </row>
    <row r="5870" spans="2:13" x14ac:dyDescent="0.25">
      <c r="B5870" s="36"/>
      <c r="C5870" s="20"/>
      <c r="D5870" s="25" t="s">
        <v>26232</v>
      </c>
      <c r="E5870" s="25"/>
      <c r="F5870" s="9" t="str">
        <f t="shared" si="84"/>
        <v>structure with developmental contribution from neural crest</v>
      </c>
      <c r="G5870" s="9" t="s">
        <v>5090</v>
      </c>
      <c r="H5870" s="9" t="s">
        <v>17786</v>
      </c>
      <c r="I5870" s="9" t="s">
        <v>10858</v>
      </c>
      <c r="J5870" s="9" t="s">
        <v>10859</v>
      </c>
      <c r="K5870" s="5" t="s">
        <v>15173</v>
      </c>
      <c r="L5870" s="13">
        <v>17246</v>
      </c>
      <c r="M5870" t="str">
        <f>VLOOKUP(L5870,[1]DevMouse!$B$2:$C$2693,2,FALSE)</f>
        <v>r5VPCRt</v>
      </c>
    </row>
    <row r="5871" spans="2:13" x14ac:dyDescent="0.25">
      <c r="B5871" s="31" t="s">
        <v>26303</v>
      </c>
      <c r="C5871" s="20"/>
      <c r="D5871" s="25" t="s">
        <v>26232</v>
      </c>
      <c r="E5871" s="25" t="s">
        <v>26300</v>
      </c>
      <c r="F5871" s="9" t="str">
        <f t="shared" si="84"/>
        <v>structure with developmental contribution from neural crest</v>
      </c>
      <c r="G5871" s="9" t="s">
        <v>5090</v>
      </c>
      <c r="H5871" s="9" t="s">
        <v>17789</v>
      </c>
      <c r="I5871" s="9" t="s">
        <v>10860</v>
      </c>
      <c r="J5871" s="9" t="s">
        <v>10861</v>
      </c>
      <c r="K5871" s="5" t="s">
        <v>15173</v>
      </c>
      <c r="L5871" s="13">
        <v>17247</v>
      </c>
      <c r="M5871" t="str">
        <f>VLOOKUP(L5871,[1]DevMouse!$B$2:$C$2693,2,FALSE)</f>
        <v>r5A5</v>
      </c>
    </row>
    <row r="5872" spans="2:13" x14ac:dyDescent="0.25">
      <c r="B5872" s="31" t="s">
        <v>26303</v>
      </c>
      <c r="C5872" s="25" t="s">
        <v>7365</v>
      </c>
      <c r="D5872" s="25" t="s">
        <v>26232</v>
      </c>
      <c r="E5872" s="25"/>
      <c r="F5872" s="9" t="str">
        <f t="shared" si="84"/>
        <v>structure with developmental contribution from neural crest</v>
      </c>
      <c r="G5872" s="9" t="s">
        <v>5090</v>
      </c>
      <c r="H5872" s="9" t="s">
        <v>17787</v>
      </c>
      <c r="I5872" s="9" t="s">
        <v>10862</v>
      </c>
      <c r="J5872" s="9" t="s">
        <v>10863</v>
      </c>
      <c r="K5872" s="5" t="s">
        <v>15173</v>
      </c>
      <c r="L5872" s="13">
        <v>17248</v>
      </c>
      <c r="M5872" t="str">
        <f>VLOOKUP(L5872,[1]DevMouse!$B$2:$C$2693,2,FALSE)</f>
        <v>SS</v>
      </c>
    </row>
    <row r="5873" spans="2:13" x14ac:dyDescent="0.25">
      <c r="B5873" s="31" t="s">
        <v>26303</v>
      </c>
      <c r="C5873" s="20"/>
      <c r="D5873" s="25" t="s">
        <v>26185</v>
      </c>
      <c r="E5873" s="25" t="s">
        <v>26300</v>
      </c>
      <c r="F5873" s="9" t="str">
        <f t="shared" si="84"/>
        <v>structure with developmental contribution from neural crest</v>
      </c>
      <c r="G5873" s="9" t="s">
        <v>5090</v>
      </c>
      <c r="H5873" s="9" t="s">
        <v>17790</v>
      </c>
      <c r="I5873" s="9" t="s">
        <v>10864</v>
      </c>
      <c r="J5873" s="9" t="s">
        <v>10865</v>
      </c>
      <c r="K5873" s="5" t="s">
        <v>15173</v>
      </c>
      <c r="L5873" s="13">
        <v>17249</v>
      </c>
      <c r="M5873" t="str">
        <f>VLOOKUP(L5873,[1]DevMouse!$B$2:$C$2693,2,FALSE)</f>
        <v>CAT</v>
      </c>
    </row>
    <row r="5874" spans="2:13" x14ac:dyDescent="0.25">
      <c r="B5874" s="36"/>
      <c r="C5874" s="20"/>
      <c r="D5874" s="25" t="s">
        <v>26232</v>
      </c>
      <c r="E5874" s="25"/>
      <c r="F5874" s="9" t="str">
        <f t="shared" si="84"/>
        <v>structure with developmental contribution from neural crest</v>
      </c>
      <c r="G5874" s="9" t="s">
        <v>5090</v>
      </c>
      <c r="H5874" s="9" t="s">
        <v>17791</v>
      </c>
      <c r="I5874" s="9" t="s">
        <v>10866</v>
      </c>
      <c r="J5874" s="9" t="s">
        <v>10867</v>
      </c>
      <c r="K5874" s="5" t="s">
        <v>15173</v>
      </c>
      <c r="L5874" s="13">
        <v>17250</v>
      </c>
      <c r="M5874" t="str">
        <f>VLOOKUP(L5874,[1]DevMouse!$B$2:$C$2693,2,FALSE)</f>
        <v>r5B</v>
      </c>
    </row>
    <row r="5875" spans="2:13" x14ac:dyDescent="0.25">
      <c r="B5875" s="36"/>
      <c r="C5875" s="20"/>
      <c r="D5875" s="25" t="s">
        <v>26232</v>
      </c>
      <c r="E5875" s="25"/>
      <c r="F5875" s="9" t="str">
        <f t="shared" si="84"/>
        <v>structure with developmental contribution from neural crest</v>
      </c>
      <c r="G5875" s="9" t="s">
        <v>5090</v>
      </c>
      <c r="H5875" s="9" t="s">
        <v>17794</v>
      </c>
      <c r="I5875" s="9" t="s">
        <v>10868</v>
      </c>
      <c r="J5875" s="9" t="s">
        <v>10869</v>
      </c>
      <c r="K5875" s="5" t="s">
        <v>15173</v>
      </c>
      <c r="L5875" s="13">
        <v>17251</v>
      </c>
      <c r="M5875" t="str">
        <f>VLOOKUP(L5875,[1]DevMouse!$B$2:$C$2693,2,FALSE)</f>
        <v>r5BL</v>
      </c>
    </row>
    <row r="5876" spans="2:13" x14ac:dyDescent="0.25">
      <c r="B5876" s="36"/>
      <c r="C5876" s="20"/>
      <c r="D5876" s="25" t="s">
        <v>26232</v>
      </c>
      <c r="E5876" s="25"/>
      <c r="F5876" s="9" t="str">
        <f t="shared" si="84"/>
        <v>structure with developmental contribution from neural crest</v>
      </c>
      <c r="G5876" s="9" t="s">
        <v>5090</v>
      </c>
      <c r="H5876" s="9" t="s">
        <v>17795</v>
      </c>
      <c r="I5876" s="9" t="s">
        <v>10870</v>
      </c>
      <c r="J5876" s="9" t="s">
        <v>10871</v>
      </c>
      <c r="K5876" s="5" t="s">
        <v>15173</v>
      </c>
      <c r="L5876" s="13">
        <v>17252</v>
      </c>
      <c r="M5876" t="str">
        <f>VLOOKUP(L5876,[1]DevMouse!$B$2:$C$2693,2,FALSE)</f>
        <v>r5BLv</v>
      </c>
    </row>
    <row r="5877" spans="2:13" x14ac:dyDescent="0.25">
      <c r="B5877" s="31" t="s">
        <v>26303</v>
      </c>
      <c r="C5877" s="20"/>
      <c r="D5877" s="25" t="s">
        <v>26232</v>
      </c>
      <c r="E5877" s="20" t="s">
        <v>26300</v>
      </c>
      <c r="F5877" s="9" t="str">
        <f t="shared" si="84"/>
        <v>structure with developmental contribution from neural crest</v>
      </c>
      <c r="G5877" s="9" t="s">
        <v>5090</v>
      </c>
      <c r="H5877" s="9" t="s">
        <v>17796</v>
      </c>
      <c r="I5877" s="9" t="s">
        <v>10872</v>
      </c>
      <c r="J5877" s="9" t="s">
        <v>10873</v>
      </c>
      <c r="K5877" s="5" t="s">
        <v>15173</v>
      </c>
      <c r="L5877" s="13">
        <v>17253</v>
      </c>
      <c r="M5877" t="str">
        <f>VLOOKUP(L5877,[1]DevMouse!$B$2:$C$2693,2,FALSE)</f>
        <v>r5BLm</v>
      </c>
    </row>
    <row r="5878" spans="2:13" x14ac:dyDescent="0.25">
      <c r="B5878" s="36"/>
      <c r="C5878" s="20"/>
      <c r="D5878" s="25" t="s">
        <v>26232</v>
      </c>
      <c r="E5878" s="20" t="s">
        <v>26300</v>
      </c>
      <c r="F5878" s="9" t="str">
        <f t="shared" si="84"/>
        <v>structure with developmental contribution from neural crest</v>
      </c>
      <c r="G5878" s="9" t="s">
        <v>5090</v>
      </c>
      <c r="H5878" s="9" t="s">
        <v>17797</v>
      </c>
      <c r="I5878" s="9" t="s">
        <v>10874</v>
      </c>
      <c r="J5878" s="9" t="s">
        <v>10875</v>
      </c>
      <c r="K5878" s="5" t="s">
        <v>15173</v>
      </c>
      <c r="L5878" s="13">
        <v>17254</v>
      </c>
      <c r="M5878" t="str">
        <f>VLOOKUP(L5878,[1]DevMouse!$B$2:$C$2693,2,FALSE)</f>
        <v>r5BLp</v>
      </c>
    </row>
    <row r="5879" spans="2:13" x14ac:dyDescent="0.25">
      <c r="B5879" s="36"/>
      <c r="C5879" s="20"/>
      <c r="D5879" s="25" t="s">
        <v>26232</v>
      </c>
      <c r="E5879" s="25"/>
      <c r="F5879" s="9" t="str">
        <f t="shared" ref="F5879:F5942" si="85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5879" s="9" t="s">
        <v>5090</v>
      </c>
      <c r="H5879" s="9" t="s">
        <v>17798</v>
      </c>
      <c r="I5879" s="9" t="s">
        <v>10876</v>
      </c>
      <c r="J5879" s="9" t="s">
        <v>10877</v>
      </c>
      <c r="K5879" s="5" t="s">
        <v>15173</v>
      </c>
      <c r="L5879" s="13">
        <v>17255</v>
      </c>
      <c r="M5879" t="str">
        <f>VLOOKUP(L5879,[1]DevMouse!$B$2:$C$2693,2,FALSE)</f>
        <v>r5BLIZ</v>
      </c>
    </row>
    <row r="5880" spans="2:13" x14ac:dyDescent="0.25">
      <c r="B5880" s="36"/>
      <c r="C5880" s="20"/>
      <c r="D5880" s="25" t="s">
        <v>26232</v>
      </c>
      <c r="E5880" s="25"/>
      <c r="F5880" s="9" t="str">
        <f t="shared" si="85"/>
        <v>structure with developmental contribution from neural crest</v>
      </c>
      <c r="G5880" s="9" t="s">
        <v>5090</v>
      </c>
      <c r="H5880" s="9" t="s">
        <v>17799</v>
      </c>
      <c r="I5880" s="9" t="s">
        <v>10878</v>
      </c>
      <c r="J5880" s="9" t="s">
        <v>10879</v>
      </c>
      <c r="K5880" s="5" t="s">
        <v>15173</v>
      </c>
      <c r="L5880" s="13">
        <v>17256</v>
      </c>
      <c r="M5880" t="str">
        <f>VLOOKUP(L5880,[1]DevMouse!$B$2:$C$2693,2,FALSE)</f>
        <v>r5BLi</v>
      </c>
    </row>
    <row r="5881" spans="2:13" x14ac:dyDescent="0.25">
      <c r="B5881" s="36"/>
      <c r="C5881" s="20"/>
      <c r="D5881" s="25" t="s">
        <v>26232</v>
      </c>
      <c r="E5881" s="25"/>
      <c r="F5881" s="9" t="str">
        <f t="shared" si="85"/>
        <v>structure with developmental contribution from neural crest</v>
      </c>
      <c r="G5881" s="9" t="s">
        <v>5090</v>
      </c>
      <c r="H5881" s="9" t="s">
        <v>17801</v>
      </c>
      <c r="I5881" s="9" t="s">
        <v>10880</v>
      </c>
      <c r="J5881" s="9" t="s">
        <v>10881</v>
      </c>
      <c r="K5881" s="5" t="s">
        <v>15173</v>
      </c>
      <c r="L5881" s="13">
        <v>17257</v>
      </c>
      <c r="M5881" t="str">
        <f>VLOOKUP(L5881,[1]DevMouse!$B$2:$C$2693,2,FALSE)</f>
        <v>r5BLRt</v>
      </c>
    </row>
    <row r="5882" spans="2:13" x14ac:dyDescent="0.25">
      <c r="B5882" s="36"/>
      <c r="C5882" s="20"/>
      <c r="D5882" s="25" t="s">
        <v>26232</v>
      </c>
      <c r="E5882" s="25"/>
      <c r="F5882" s="9" t="str">
        <f t="shared" si="85"/>
        <v>structure with developmental contribution from neural crest</v>
      </c>
      <c r="G5882" s="9" t="s">
        <v>5090</v>
      </c>
      <c r="H5882" s="9" t="s">
        <v>17802</v>
      </c>
      <c r="I5882" s="9" t="s">
        <v>10882</v>
      </c>
      <c r="J5882" s="9" t="s">
        <v>10883</v>
      </c>
      <c r="K5882" s="5" t="s">
        <v>15173</v>
      </c>
      <c r="L5882" s="13">
        <v>17258</v>
      </c>
      <c r="M5882" t="str">
        <f>VLOOKUP(L5882,[1]DevMouse!$B$2:$C$2693,2,FALSE)</f>
        <v>r5BLs</v>
      </c>
    </row>
    <row r="5883" spans="2:13" x14ac:dyDescent="0.25">
      <c r="B5883" s="31" t="s">
        <v>26303</v>
      </c>
      <c r="C5883" s="9" t="s">
        <v>15038</v>
      </c>
      <c r="D5883" s="25" t="s">
        <v>26185</v>
      </c>
      <c r="E5883" s="25" t="s">
        <v>26300</v>
      </c>
      <c r="F5883" s="9" t="str">
        <f t="shared" si="85"/>
        <v>structure with developmental contribution from neural crest</v>
      </c>
      <c r="G5883" s="9" t="s">
        <v>5090</v>
      </c>
      <c r="H5883" s="9" t="s">
        <v>17803</v>
      </c>
      <c r="I5883" s="9" t="s">
        <v>10884</v>
      </c>
      <c r="J5883" s="9" t="s">
        <v>10885</v>
      </c>
      <c r="K5883" s="5" t="s">
        <v>15173</v>
      </c>
      <c r="L5883" s="13">
        <v>17259</v>
      </c>
      <c r="M5883" t="str">
        <f>VLOOKUP(L5883,[1]DevMouse!$B$2:$C$2693,2,FALSE)</f>
        <v>r5VLL</v>
      </c>
    </row>
    <row r="5884" spans="2:13" x14ac:dyDescent="0.25">
      <c r="B5884" s="31" t="s">
        <v>26303</v>
      </c>
      <c r="C5884" s="25" t="s">
        <v>1584</v>
      </c>
      <c r="D5884" s="25" t="s">
        <v>26232</v>
      </c>
      <c r="E5884" s="25"/>
      <c r="F5884" s="9" t="str">
        <f t="shared" si="85"/>
        <v>structure with developmental contribution from neural crest</v>
      </c>
      <c r="G5884" s="9" t="s">
        <v>5090</v>
      </c>
      <c r="H5884" s="9" t="s">
        <v>17804</v>
      </c>
      <c r="I5884" s="9" t="s">
        <v>1584</v>
      </c>
      <c r="J5884" s="9" t="s">
        <v>1586</v>
      </c>
      <c r="K5884" s="5" t="s">
        <v>15173</v>
      </c>
      <c r="L5884" s="13">
        <v>17260</v>
      </c>
      <c r="M5884" t="str">
        <f>VLOOKUP(L5884,[1]DevMouse!$B$2:$C$2693,2,FALSE)</f>
        <v>DPeO</v>
      </c>
    </row>
    <row r="5885" spans="2:13" x14ac:dyDescent="0.25">
      <c r="B5885" s="31" t="s">
        <v>26303</v>
      </c>
      <c r="C5885" s="25" t="s">
        <v>2732</v>
      </c>
      <c r="D5885" s="25" t="s">
        <v>26232</v>
      </c>
      <c r="E5885" s="25"/>
      <c r="F5885" s="9" t="str">
        <f t="shared" si="85"/>
        <v>structure with developmental contribution from neural crest</v>
      </c>
      <c r="G5885" s="9" t="s">
        <v>5090</v>
      </c>
      <c r="H5885" s="9" t="s">
        <v>17805</v>
      </c>
      <c r="I5885" s="9" t="s">
        <v>2734</v>
      </c>
      <c r="J5885" s="9" t="s">
        <v>2735</v>
      </c>
      <c r="K5885" s="5" t="s">
        <v>15173</v>
      </c>
      <c r="L5885" s="13">
        <v>17261</v>
      </c>
      <c r="M5885" t="str">
        <f>VLOOKUP(L5885,[1]DevMouse!$B$2:$C$2693,2,FALSE)</f>
        <v>LSO</v>
      </c>
    </row>
    <row r="5886" spans="2:13" x14ac:dyDescent="0.25">
      <c r="B5886" s="31" t="s">
        <v>26303</v>
      </c>
      <c r="C5886" s="25" t="s">
        <v>26031</v>
      </c>
      <c r="D5886" s="25" t="s">
        <v>26232</v>
      </c>
      <c r="E5886" s="25"/>
      <c r="F5886" s="9" t="str">
        <f t="shared" si="85"/>
        <v>structure with developmental contribution from neural crest</v>
      </c>
      <c r="G5886" s="9" t="s">
        <v>5090</v>
      </c>
      <c r="H5886" s="9" t="s">
        <v>17806</v>
      </c>
      <c r="I5886" s="9" t="s">
        <v>3034</v>
      </c>
      <c r="J5886" s="9" t="s">
        <v>3036</v>
      </c>
      <c r="K5886" s="5" t="s">
        <v>15173</v>
      </c>
      <c r="L5886" s="13">
        <v>17262</v>
      </c>
      <c r="M5886" t="str">
        <f>VLOOKUP(L5886,[1]DevMouse!$B$2:$C$2693,2,FALSE)</f>
        <v>MSO</v>
      </c>
    </row>
    <row r="5887" spans="2:13" x14ac:dyDescent="0.25">
      <c r="B5887" s="31" t="s">
        <v>26303</v>
      </c>
      <c r="C5887" s="20"/>
      <c r="D5887" s="25" t="s">
        <v>26185</v>
      </c>
      <c r="E5887" s="20" t="s">
        <v>26300</v>
      </c>
      <c r="F5887" s="9" t="str">
        <f t="shared" si="85"/>
        <v>structure with developmental contribution from neural crest</v>
      </c>
      <c r="G5887" s="9" t="s">
        <v>5090</v>
      </c>
      <c r="H5887" s="9" t="s">
        <v>17807</v>
      </c>
      <c r="I5887" s="9" t="s">
        <v>10886</v>
      </c>
      <c r="J5887" s="9" t="s">
        <v>10887</v>
      </c>
      <c r="K5887" s="5" t="s">
        <v>15173</v>
      </c>
      <c r="L5887" s="13">
        <v>17263</v>
      </c>
      <c r="M5887" t="str">
        <f>VLOOKUP(L5887,[1]DevMouse!$B$2:$C$2693,2,FALSE)</f>
        <v>RPeO</v>
      </c>
    </row>
    <row r="5888" spans="2:13" x14ac:dyDescent="0.25">
      <c r="B5888" s="31" t="s">
        <v>26303</v>
      </c>
      <c r="C5888" s="20"/>
      <c r="D5888" s="25" t="s">
        <v>26185</v>
      </c>
      <c r="E5888" s="20" t="s">
        <v>26300</v>
      </c>
      <c r="F5888" s="9" t="str">
        <f t="shared" si="85"/>
        <v>structure with developmental contribution from neural crest</v>
      </c>
      <c r="G5888" s="9" t="s">
        <v>5090</v>
      </c>
      <c r="H5888" s="9" t="s">
        <v>17808</v>
      </c>
      <c r="I5888" s="9" t="s">
        <v>10888</v>
      </c>
      <c r="J5888" s="9" t="s">
        <v>10889</v>
      </c>
      <c r="K5888" s="5" t="s">
        <v>15173</v>
      </c>
      <c r="L5888" s="13">
        <v>17264</v>
      </c>
      <c r="M5888" t="str">
        <f>VLOOKUP(L5888,[1]DevMouse!$B$2:$C$2693,2,FALSE)</f>
        <v>SPeO</v>
      </c>
    </row>
    <row r="5889" spans="2:13" x14ac:dyDescent="0.25">
      <c r="B5889" s="31" t="s">
        <v>26303</v>
      </c>
      <c r="C5889" s="20"/>
      <c r="D5889" s="25" t="s">
        <v>26185</v>
      </c>
      <c r="E5889" s="20" t="s">
        <v>26300</v>
      </c>
      <c r="F5889" s="9" t="str">
        <f t="shared" si="85"/>
        <v>structure with developmental contribution from neural crest</v>
      </c>
      <c r="G5889" s="9" t="s">
        <v>5090</v>
      </c>
      <c r="H5889" s="9" t="s">
        <v>17809</v>
      </c>
      <c r="I5889" s="9" t="s">
        <v>10890</v>
      </c>
      <c r="J5889" s="9" t="s">
        <v>10891</v>
      </c>
      <c r="K5889" s="5" t="s">
        <v>15173</v>
      </c>
      <c r="L5889" s="13">
        <v>17265</v>
      </c>
      <c r="M5889" t="str">
        <f>VLOOKUP(L5889,[1]DevMouse!$B$2:$C$2693,2,FALSE)</f>
        <v>VLPeO</v>
      </c>
    </row>
    <row r="5890" spans="2:13" x14ac:dyDescent="0.25">
      <c r="B5890" s="36"/>
      <c r="C5890" s="20"/>
      <c r="D5890" s="25" t="s">
        <v>26232</v>
      </c>
      <c r="E5890" s="25"/>
      <c r="F5890" s="9" t="str">
        <f t="shared" si="85"/>
        <v>structure with developmental contribution from neural crest</v>
      </c>
      <c r="G5890" s="9" t="s">
        <v>5090</v>
      </c>
      <c r="H5890" s="9" t="s">
        <v>17810</v>
      </c>
      <c r="I5890" s="9" t="s">
        <v>10892</v>
      </c>
      <c r="J5890" s="9" t="s">
        <v>10893</v>
      </c>
      <c r="K5890" s="5" t="s">
        <v>15173</v>
      </c>
      <c r="L5890" s="13">
        <v>17266</v>
      </c>
      <c r="M5890" t="str">
        <f>VLOOKUP(L5890,[1]DevMouse!$B$2:$C$2693,2,FALSE)</f>
        <v>r5BI</v>
      </c>
    </row>
    <row r="5891" spans="2:13" x14ac:dyDescent="0.25">
      <c r="B5891" s="36"/>
      <c r="C5891" s="20"/>
      <c r="D5891" s="25" t="s">
        <v>26232</v>
      </c>
      <c r="E5891" s="25"/>
      <c r="F5891" s="9" t="str">
        <f t="shared" si="85"/>
        <v>structure with developmental contribution from neural crest</v>
      </c>
      <c r="G5891" s="9" t="s">
        <v>5090</v>
      </c>
      <c r="H5891" s="9" t="s">
        <v>17811</v>
      </c>
      <c r="I5891" s="9" t="s">
        <v>10894</v>
      </c>
      <c r="J5891" s="9" t="s">
        <v>10895</v>
      </c>
      <c r="K5891" s="5" t="s">
        <v>15173</v>
      </c>
      <c r="L5891" s="13">
        <v>17267</v>
      </c>
      <c r="M5891" t="str">
        <f>VLOOKUP(L5891,[1]DevMouse!$B$2:$C$2693,2,FALSE)</f>
        <v>r5BIv</v>
      </c>
    </row>
    <row r="5892" spans="2:13" x14ac:dyDescent="0.25">
      <c r="B5892" s="31" t="s">
        <v>26303</v>
      </c>
      <c r="C5892" s="20"/>
      <c r="D5892" s="25" t="s">
        <v>26232</v>
      </c>
      <c r="E5892" s="20" t="s">
        <v>26300</v>
      </c>
      <c r="F5892" s="9" t="str">
        <f t="shared" si="85"/>
        <v>structure with developmental contribution from neural crest</v>
      </c>
      <c r="G5892" s="9" t="s">
        <v>5090</v>
      </c>
      <c r="H5892" s="9" t="s">
        <v>17812</v>
      </c>
      <c r="I5892" s="9" t="s">
        <v>10896</v>
      </c>
      <c r="J5892" s="9" t="s">
        <v>10897</v>
      </c>
      <c r="K5892" s="5" t="s">
        <v>15173</v>
      </c>
      <c r="L5892" s="13">
        <v>17268</v>
      </c>
      <c r="M5892" t="str">
        <f>VLOOKUP(L5892,[1]DevMouse!$B$2:$C$2693,2,FALSE)</f>
        <v>r5BIm</v>
      </c>
    </row>
    <row r="5893" spans="2:13" x14ac:dyDescent="0.25">
      <c r="B5893" s="36"/>
      <c r="C5893" s="20"/>
      <c r="D5893" s="25" t="s">
        <v>26232</v>
      </c>
      <c r="E5893" s="20" t="s">
        <v>26300</v>
      </c>
      <c r="F5893" s="9" t="str">
        <f t="shared" si="85"/>
        <v>structure with developmental contribution from neural crest</v>
      </c>
      <c r="G5893" s="9" t="s">
        <v>5090</v>
      </c>
      <c r="H5893" s="9" t="s">
        <v>17813</v>
      </c>
      <c r="I5893" s="9" t="s">
        <v>10898</v>
      </c>
      <c r="J5893" s="9" t="s">
        <v>10899</v>
      </c>
      <c r="K5893" s="5" t="s">
        <v>15173</v>
      </c>
      <c r="L5893" s="13">
        <v>17269</v>
      </c>
      <c r="M5893" t="str">
        <f>VLOOKUP(L5893,[1]DevMouse!$B$2:$C$2693,2,FALSE)</f>
        <v>r5BIp</v>
      </c>
    </row>
    <row r="5894" spans="2:13" x14ac:dyDescent="0.25">
      <c r="B5894" s="36"/>
      <c r="C5894" s="20"/>
      <c r="D5894" s="25" t="s">
        <v>26232</v>
      </c>
      <c r="E5894" s="25"/>
      <c r="F5894" s="9" t="str">
        <f t="shared" si="85"/>
        <v>structure with developmental contribution from neural crest</v>
      </c>
      <c r="G5894" s="9" t="s">
        <v>5090</v>
      </c>
      <c r="H5894" s="9" t="s">
        <v>17814</v>
      </c>
      <c r="I5894" s="9" t="s">
        <v>10900</v>
      </c>
      <c r="J5894" s="9" t="s">
        <v>10901</v>
      </c>
      <c r="K5894" s="5" t="s">
        <v>15173</v>
      </c>
      <c r="L5894" s="13">
        <v>17270</v>
      </c>
      <c r="M5894" t="str">
        <f>VLOOKUP(L5894,[1]DevMouse!$B$2:$C$2693,2,FALSE)</f>
        <v>r5BIIZ</v>
      </c>
    </row>
    <row r="5895" spans="2:13" x14ac:dyDescent="0.25">
      <c r="B5895" s="36"/>
      <c r="C5895" s="20"/>
      <c r="D5895" s="25" t="s">
        <v>26232</v>
      </c>
      <c r="E5895" s="25"/>
      <c r="F5895" s="9" t="str">
        <f t="shared" si="85"/>
        <v>structure with developmental contribution from neural crest</v>
      </c>
      <c r="G5895" s="9" t="s">
        <v>5090</v>
      </c>
      <c r="H5895" s="9" t="s">
        <v>17815</v>
      </c>
      <c r="I5895" s="9" t="s">
        <v>10902</v>
      </c>
      <c r="J5895" s="9" t="s">
        <v>10903</v>
      </c>
      <c r="K5895" s="5" t="s">
        <v>15173</v>
      </c>
      <c r="L5895" s="13">
        <v>17271</v>
      </c>
      <c r="M5895" t="str">
        <f>VLOOKUP(L5895,[1]DevMouse!$B$2:$C$2693,2,FALSE)</f>
        <v>r5BIi</v>
      </c>
    </row>
    <row r="5896" spans="2:13" x14ac:dyDescent="0.25">
      <c r="B5896" s="36"/>
      <c r="C5896" s="20"/>
      <c r="D5896" s="25" t="s">
        <v>26232</v>
      </c>
      <c r="E5896" s="25"/>
      <c r="F5896" s="9" t="str">
        <f t="shared" si="85"/>
        <v>structure with developmental contribution from neural crest</v>
      </c>
      <c r="G5896" s="9" t="s">
        <v>5090</v>
      </c>
      <c r="H5896" s="9" t="s">
        <v>17816</v>
      </c>
      <c r="I5896" s="9" t="s">
        <v>10904</v>
      </c>
      <c r="J5896" s="9" t="s">
        <v>10905</v>
      </c>
      <c r="K5896" s="5" t="s">
        <v>15173</v>
      </c>
      <c r="L5896" s="13">
        <v>17272</v>
      </c>
      <c r="M5896" t="str">
        <f>VLOOKUP(L5896,[1]DevMouse!$B$2:$C$2693,2,FALSE)</f>
        <v>r5BIRt</v>
      </c>
    </row>
    <row r="5897" spans="2:13" x14ac:dyDescent="0.25">
      <c r="B5897" s="36"/>
      <c r="C5897" s="20"/>
      <c r="D5897" s="25" t="s">
        <v>26232</v>
      </c>
      <c r="E5897" s="25"/>
      <c r="F5897" s="9" t="str">
        <f t="shared" si="85"/>
        <v>structure with developmental contribution from neural crest</v>
      </c>
      <c r="G5897" s="9" t="s">
        <v>5090</v>
      </c>
      <c r="H5897" s="9" t="s">
        <v>17817</v>
      </c>
      <c r="I5897" s="9" t="s">
        <v>10906</v>
      </c>
      <c r="J5897" s="9" t="s">
        <v>10907</v>
      </c>
      <c r="K5897" s="5" t="s">
        <v>15173</v>
      </c>
      <c r="L5897" s="13">
        <v>17273</v>
      </c>
      <c r="M5897" t="str">
        <f>VLOOKUP(L5897,[1]DevMouse!$B$2:$C$2693,2,FALSE)</f>
        <v>r5BIs</v>
      </c>
    </row>
    <row r="5898" spans="2:13" x14ac:dyDescent="0.25">
      <c r="B5898" s="31" t="s">
        <v>26303</v>
      </c>
      <c r="C5898" s="25" t="s">
        <v>2635</v>
      </c>
      <c r="D5898" s="25" t="s">
        <v>26232</v>
      </c>
      <c r="E5898" s="25"/>
      <c r="F5898" s="9" t="str">
        <f t="shared" si="85"/>
        <v>structure with developmental contribution from neural crest</v>
      </c>
      <c r="G5898" s="9" t="s">
        <v>5090</v>
      </c>
      <c r="H5898" s="9" t="s">
        <v>17818</v>
      </c>
      <c r="I5898" s="9" t="s">
        <v>2637</v>
      </c>
      <c r="J5898" s="9" t="s">
        <v>2638</v>
      </c>
      <c r="K5898" s="5" t="s">
        <v>15173</v>
      </c>
      <c r="L5898" s="13">
        <v>17274</v>
      </c>
      <c r="M5898" t="str">
        <f>VLOOKUP(L5898,[1]DevMouse!$B$2:$C$2693,2,FALSE)</f>
        <v>LTz</v>
      </c>
    </row>
    <row r="5899" spans="2:13" x14ac:dyDescent="0.25">
      <c r="B5899" s="36"/>
      <c r="C5899" s="20"/>
      <c r="D5899" s="25" t="s">
        <v>26232</v>
      </c>
      <c r="E5899" s="25"/>
      <c r="F5899" s="9" t="str">
        <f t="shared" si="85"/>
        <v>structure with developmental contribution from neural crest</v>
      </c>
      <c r="G5899" s="9" t="s">
        <v>5090</v>
      </c>
      <c r="H5899" s="9" t="s">
        <v>17819</v>
      </c>
      <c r="I5899" s="9" t="s">
        <v>10908</v>
      </c>
      <c r="J5899" s="9" t="s">
        <v>10909</v>
      </c>
      <c r="K5899" s="5" t="s">
        <v>15173</v>
      </c>
      <c r="L5899" s="13">
        <v>17275</v>
      </c>
      <c r="M5899" t="str">
        <f>VLOOKUP(L5899,[1]DevMouse!$B$2:$C$2693,2,FALSE)</f>
        <v>r5BM</v>
      </c>
    </row>
    <row r="5900" spans="2:13" x14ac:dyDescent="0.25">
      <c r="B5900" s="36"/>
      <c r="C5900" s="20"/>
      <c r="D5900" s="25" t="s">
        <v>26232</v>
      </c>
      <c r="E5900" s="25"/>
      <c r="F5900" s="9" t="str">
        <f t="shared" si="85"/>
        <v>structure with developmental contribution from neural crest</v>
      </c>
      <c r="G5900" s="9" t="s">
        <v>5090</v>
      </c>
      <c r="H5900" s="9" t="s">
        <v>17820</v>
      </c>
      <c r="I5900" s="9" t="s">
        <v>10910</v>
      </c>
      <c r="J5900" s="9" t="s">
        <v>10911</v>
      </c>
      <c r="K5900" s="5" t="s">
        <v>15173</v>
      </c>
      <c r="L5900" s="13">
        <v>17276</v>
      </c>
      <c r="M5900" t="str">
        <f>VLOOKUP(L5900,[1]DevMouse!$B$2:$C$2693,2,FALSE)</f>
        <v>r5BMv</v>
      </c>
    </row>
    <row r="5901" spans="2:13" x14ac:dyDescent="0.25">
      <c r="B5901" s="31" t="s">
        <v>26303</v>
      </c>
      <c r="C5901" s="20"/>
      <c r="D5901" s="25" t="s">
        <v>26232</v>
      </c>
      <c r="E5901" s="20" t="s">
        <v>26300</v>
      </c>
      <c r="F5901" s="9" t="str">
        <f t="shared" si="85"/>
        <v>structure with developmental contribution from neural crest</v>
      </c>
      <c r="G5901" s="9" t="s">
        <v>5090</v>
      </c>
      <c r="H5901" s="9" t="s">
        <v>17821</v>
      </c>
      <c r="I5901" s="9" t="s">
        <v>10912</v>
      </c>
      <c r="J5901" s="9" t="s">
        <v>10913</v>
      </c>
      <c r="K5901" s="5" t="s">
        <v>15173</v>
      </c>
      <c r="L5901" s="13">
        <v>17277</v>
      </c>
      <c r="M5901" t="str">
        <f>VLOOKUP(L5901,[1]DevMouse!$B$2:$C$2693,2,FALSE)</f>
        <v>r5BMm</v>
      </c>
    </row>
    <row r="5902" spans="2:13" x14ac:dyDescent="0.25">
      <c r="B5902" s="36"/>
      <c r="C5902" s="20"/>
      <c r="D5902" s="25" t="s">
        <v>26232</v>
      </c>
      <c r="E5902" s="20" t="s">
        <v>26300</v>
      </c>
      <c r="F5902" s="9" t="str">
        <f t="shared" si="85"/>
        <v>structure with developmental contribution from neural crest</v>
      </c>
      <c r="G5902" s="9" t="s">
        <v>5090</v>
      </c>
      <c r="H5902" s="9" t="s">
        <v>17822</v>
      </c>
      <c r="I5902" s="9" t="s">
        <v>10914</v>
      </c>
      <c r="J5902" s="9" t="s">
        <v>10915</v>
      </c>
      <c r="K5902" s="5" t="s">
        <v>15173</v>
      </c>
      <c r="L5902" s="13">
        <v>17278</v>
      </c>
      <c r="M5902" t="str">
        <f>VLOOKUP(L5902,[1]DevMouse!$B$2:$C$2693,2,FALSE)</f>
        <v>r5BMp</v>
      </c>
    </row>
    <row r="5903" spans="2:13" x14ac:dyDescent="0.25">
      <c r="B5903" s="31" t="s">
        <v>26303</v>
      </c>
      <c r="C5903" s="25" t="s">
        <v>160</v>
      </c>
      <c r="D5903" s="25" t="s">
        <v>26232</v>
      </c>
      <c r="E5903" s="25"/>
      <c r="F5903" s="9" t="str">
        <f t="shared" si="85"/>
        <v>structure with developmental contribution from neural crest</v>
      </c>
      <c r="G5903" s="9" t="s">
        <v>5090</v>
      </c>
      <c r="H5903" s="9" t="s">
        <v>17823</v>
      </c>
      <c r="I5903" s="9" t="s">
        <v>162</v>
      </c>
      <c r="J5903" s="9" t="s">
        <v>163</v>
      </c>
      <c r="K5903" s="5" t="s">
        <v>15173</v>
      </c>
      <c r="L5903" s="13">
        <v>17279</v>
      </c>
      <c r="M5903" t="str">
        <f>VLOOKUP(L5903,[1]DevMouse!$B$2:$C$2693,2,FALSE)</f>
        <v>6M</v>
      </c>
    </row>
    <row r="5904" spans="2:13" x14ac:dyDescent="0.25">
      <c r="B5904" s="36"/>
      <c r="C5904" s="20"/>
      <c r="D5904" s="25" t="s">
        <v>26232</v>
      </c>
      <c r="E5904" s="25"/>
      <c r="F5904" s="9" t="str">
        <f t="shared" si="85"/>
        <v>structure with developmental contribution from neural crest</v>
      </c>
      <c r="G5904" s="9" t="s">
        <v>5090</v>
      </c>
      <c r="H5904" s="9" t="s">
        <v>17824</v>
      </c>
      <c r="I5904" s="9" t="s">
        <v>10916</v>
      </c>
      <c r="J5904" s="9" t="s">
        <v>10917</v>
      </c>
      <c r="K5904" s="5" t="s">
        <v>15173</v>
      </c>
      <c r="L5904" s="13">
        <v>17280</v>
      </c>
      <c r="M5904" t="str">
        <f>VLOOKUP(L5904,[1]DevMouse!$B$2:$C$2693,2,FALSE)</f>
        <v>r5BMi</v>
      </c>
    </row>
    <row r="5905" spans="2:13" x14ac:dyDescent="0.25">
      <c r="B5905" s="31" t="s">
        <v>26299</v>
      </c>
      <c r="C5905" s="25" t="s">
        <v>172</v>
      </c>
      <c r="D5905" s="25" t="s">
        <v>26232</v>
      </c>
      <c r="E5905" s="25"/>
      <c r="F5905" s="9" t="str">
        <f t="shared" si="85"/>
        <v>structure with developmental contribution from neural crest</v>
      </c>
      <c r="G5905" s="9" t="s">
        <v>5090</v>
      </c>
      <c r="H5905" s="9" t="s">
        <v>17825</v>
      </c>
      <c r="I5905" s="9" t="s">
        <v>10918</v>
      </c>
      <c r="J5905" s="9" t="s">
        <v>10919</v>
      </c>
      <c r="K5905" s="5" t="s">
        <v>15173</v>
      </c>
      <c r="L5905" s="13">
        <v>17281</v>
      </c>
      <c r="M5905" t="str">
        <f>VLOOKUP(L5905,[1]DevMouse!$B$2:$C$2693,2,FALSE)</f>
        <v>Pa6</v>
      </c>
    </row>
    <row r="5906" spans="2:13" x14ac:dyDescent="0.25">
      <c r="B5906" s="31" t="s">
        <v>26303</v>
      </c>
      <c r="C5906" s="25" t="s">
        <v>26126</v>
      </c>
      <c r="D5906" s="25" t="s">
        <v>26232</v>
      </c>
      <c r="E5906" s="25"/>
      <c r="F5906" s="9" t="str">
        <f t="shared" si="85"/>
        <v>structure with developmental contribution from neural crest</v>
      </c>
      <c r="G5906" s="9" t="s">
        <v>5090</v>
      </c>
      <c r="H5906" s="9" t="s">
        <v>17826</v>
      </c>
      <c r="I5906" s="9" t="s">
        <v>10920</v>
      </c>
      <c r="J5906" s="9" t="s">
        <v>10921</v>
      </c>
      <c r="K5906" s="5" t="s">
        <v>15173</v>
      </c>
      <c r="L5906" s="13">
        <v>17282</v>
      </c>
      <c r="M5906" t="str">
        <f>VLOOKUP(L5906,[1]DevMouse!$B$2:$C$2693,2,FALSE)</f>
        <v>RPnRt</v>
      </c>
    </row>
    <row r="5907" spans="2:13" x14ac:dyDescent="0.25">
      <c r="B5907" s="36"/>
      <c r="C5907" s="20"/>
      <c r="D5907" s="25" t="s">
        <v>26232</v>
      </c>
      <c r="E5907" s="25"/>
      <c r="F5907" s="9" t="str">
        <f t="shared" si="85"/>
        <v>structure with developmental contribution from neural crest</v>
      </c>
      <c r="G5907" s="9" t="s">
        <v>5090</v>
      </c>
      <c r="H5907" s="9" t="s">
        <v>17827</v>
      </c>
      <c r="I5907" s="9" t="s">
        <v>10922</v>
      </c>
      <c r="J5907" s="9" t="s">
        <v>10923</v>
      </c>
      <c r="K5907" s="5" t="s">
        <v>15173</v>
      </c>
      <c r="L5907" s="13">
        <v>17283</v>
      </c>
      <c r="M5907" t="str">
        <f>VLOOKUP(L5907,[1]DevMouse!$B$2:$C$2693,2,FALSE)</f>
        <v>r5BMRt</v>
      </c>
    </row>
    <row r="5908" spans="2:13" x14ac:dyDescent="0.25">
      <c r="B5908" s="31" t="s">
        <v>26303</v>
      </c>
      <c r="C5908" s="25" t="s">
        <v>3357</v>
      </c>
      <c r="D5908" s="25" t="s">
        <v>26232</v>
      </c>
      <c r="E5908" s="25" t="s">
        <v>26308</v>
      </c>
      <c r="F5908" s="9" t="str">
        <f t="shared" si="85"/>
        <v>structure with developmental contribution from neural crest</v>
      </c>
      <c r="G5908" s="9" t="s">
        <v>5090</v>
      </c>
      <c r="H5908" s="9" t="s">
        <v>17828</v>
      </c>
      <c r="I5908" s="9" t="s">
        <v>10924</v>
      </c>
      <c r="J5908" s="9" t="s">
        <v>10925</v>
      </c>
      <c r="K5908" s="5" t="s">
        <v>15173</v>
      </c>
      <c r="L5908" s="13">
        <v>17284</v>
      </c>
      <c r="M5908" t="str">
        <f>VLOOKUP(L5908,[1]DevMouse!$B$2:$C$2693,2,FALSE)</f>
        <v>r5RM</v>
      </c>
    </row>
    <row r="5909" spans="2:13" x14ac:dyDescent="0.25">
      <c r="B5909" s="31" t="s">
        <v>26303</v>
      </c>
      <c r="C5909" s="20"/>
      <c r="D5909" s="25" t="s">
        <v>26185</v>
      </c>
      <c r="E5909" s="25" t="s">
        <v>26300</v>
      </c>
      <c r="F5909" s="9" t="str">
        <f t="shared" si="85"/>
        <v>structure with developmental contribution from neural crest</v>
      </c>
      <c r="G5909" s="9" t="s">
        <v>5090</v>
      </c>
      <c r="H5909" s="9" t="s">
        <v>17829</v>
      </c>
      <c r="I5909" s="9" t="s">
        <v>10926</v>
      </c>
      <c r="J5909" s="9" t="s">
        <v>10927</v>
      </c>
      <c r="K5909" s="5" t="s">
        <v>15173</v>
      </c>
      <c r="L5909" s="13">
        <v>17285</v>
      </c>
      <c r="M5909" t="str">
        <f>VLOOKUP(L5909,[1]DevMouse!$B$2:$C$2693,2,FALSE)</f>
        <v>RIP</v>
      </c>
    </row>
    <row r="5910" spans="2:13" x14ac:dyDescent="0.25">
      <c r="B5910" s="36"/>
      <c r="C5910" s="20"/>
      <c r="D5910" s="25" t="s">
        <v>26232</v>
      </c>
      <c r="E5910" s="25"/>
      <c r="F5910" s="9" t="str">
        <f t="shared" si="85"/>
        <v>structure with developmental contribution from neural crest</v>
      </c>
      <c r="G5910" s="9" t="s">
        <v>5090</v>
      </c>
      <c r="H5910" s="9" t="s">
        <v>17830</v>
      </c>
      <c r="I5910" s="9" t="s">
        <v>10928</v>
      </c>
      <c r="J5910" s="9" t="s">
        <v>10929</v>
      </c>
      <c r="K5910" s="5" t="s">
        <v>15173</v>
      </c>
      <c r="L5910" s="13">
        <v>17286</v>
      </c>
      <c r="M5910" t="str">
        <f>VLOOKUP(L5910,[1]DevMouse!$B$2:$C$2693,2,FALSE)</f>
        <v>r5BMs</v>
      </c>
    </row>
    <row r="5911" spans="2:13" x14ac:dyDescent="0.25">
      <c r="B5911" s="31" t="s">
        <v>26303</v>
      </c>
      <c r="C5911" s="25" t="s">
        <v>2956</v>
      </c>
      <c r="D5911" s="25" t="s">
        <v>26232</v>
      </c>
      <c r="E5911" s="25"/>
      <c r="F5911" s="9" t="str">
        <f t="shared" si="85"/>
        <v>structure with developmental contribution from neural crest</v>
      </c>
      <c r="G5911" s="9" t="s">
        <v>5090</v>
      </c>
      <c r="H5911" s="9" t="s">
        <v>17831</v>
      </c>
      <c r="I5911" s="9" t="s">
        <v>10930</v>
      </c>
      <c r="J5911" s="9" t="s">
        <v>10931</v>
      </c>
      <c r="K5911" s="5" t="s">
        <v>15173</v>
      </c>
      <c r="L5911" s="13">
        <v>17287</v>
      </c>
      <c r="M5911" t="str">
        <f>VLOOKUP(L5911,[1]DevMouse!$B$2:$C$2693,2,FALSE)</f>
        <v>MTz</v>
      </c>
    </row>
    <row r="5912" spans="2:13" x14ac:dyDescent="0.25">
      <c r="B5912" s="31" t="s">
        <v>26303</v>
      </c>
      <c r="C5912" s="20"/>
      <c r="D5912" s="25" t="s">
        <v>26185</v>
      </c>
      <c r="E5912" s="20" t="s">
        <v>26300</v>
      </c>
      <c r="F5912" s="9" t="str">
        <f t="shared" si="85"/>
        <v>structure with developmental contribution from neural crest</v>
      </c>
      <c r="G5912" s="9" t="s">
        <v>5090</v>
      </c>
      <c r="H5912" s="9" t="s">
        <v>17832</v>
      </c>
      <c r="I5912" s="9" t="s">
        <v>10932</v>
      </c>
      <c r="J5912" s="9" t="s">
        <v>10933</v>
      </c>
      <c r="K5912" s="5" t="s">
        <v>15173</v>
      </c>
      <c r="L5912" s="13">
        <v>17288</v>
      </c>
      <c r="M5912" t="str">
        <f>VLOOKUP(L5912,[1]DevMouse!$B$2:$C$2693,2,FALSE)</f>
        <v>VMPeO</v>
      </c>
    </row>
    <row r="5913" spans="2:13" x14ac:dyDescent="0.25">
      <c r="B5913" s="31" t="s">
        <v>26303</v>
      </c>
      <c r="C5913" s="25" t="s">
        <v>26202</v>
      </c>
      <c r="D5913" s="25" t="s">
        <v>26232</v>
      </c>
      <c r="E5913" s="25"/>
      <c r="F5913" s="9" t="str">
        <f t="shared" si="85"/>
        <v>structure with developmental contribution from neural crest</v>
      </c>
      <c r="G5913" s="9" t="s">
        <v>5090</v>
      </c>
      <c r="H5913" s="9" t="s">
        <v>17833</v>
      </c>
      <c r="I5913" s="9" t="s">
        <v>4817</v>
      </c>
      <c r="J5913" s="9" t="s">
        <v>4818</v>
      </c>
      <c r="K5913" s="5" t="s">
        <v>15173</v>
      </c>
      <c r="L5913" s="13">
        <v>17289</v>
      </c>
      <c r="M5913" t="str">
        <f>VLOOKUP(L5913,[1]DevMouse!$B$2:$C$2693,2,FALSE)</f>
        <v>r5F</v>
      </c>
    </row>
    <row r="5914" spans="2:13" x14ac:dyDescent="0.25">
      <c r="B5914" s="36"/>
      <c r="C5914" s="20"/>
      <c r="D5914" s="25" t="s">
        <v>26232</v>
      </c>
      <c r="E5914" s="25"/>
      <c r="F5914" s="9" t="str">
        <f t="shared" si="85"/>
        <v>structure with developmental contribution from neural crest</v>
      </c>
      <c r="G5914" s="9" t="s">
        <v>5090</v>
      </c>
      <c r="H5914" s="9" t="s">
        <v>17840</v>
      </c>
      <c r="I5914" s="9" t="s">
        <v>4830</v>
      </c>
      <c r="J5914" s="9" t="s">
        <v>4831</v>
      </c>
      <c r="K5914" s="5" t="s">
        <v>15173</v>
      </c>
      <c r="L5914" s="13">
        <v>17291</v>
      </c>
      <c r="M5914" t="str">
        <f>VLOOKUP(L5914,[1]DevMouse!$B$2:$C$2693,2,FALSE)</f>
        <v>r6R</v>
      </c>
    </row>
    <row r="5915" spans="2:13" x14ac:dyDescent="0.25">
      <c r="B5915" s="36"/>
      <c r="C5915" s="20"/>
      <c r="D5915" s="25" t="s">
        <v>26232</v>
      </c>
      <c r="E5915" s="25"/>
      <c r="F5915" s="9" t="str">
        <f t="shared" si="85"/>
        <v>structure with developmental contribution from neural crest</v>
      </c>
      <c r="G5915" s="9" t="s">
        <v>5090</v>
      </c>
      <c r="H5915" s="9" t="s">
        <v>17841</v>
      </c>
      <c r="I5915" s="9" t="s">
        <v>10934</v>
      </c>
      <c r="J5915" s="9" t="s">
        <v>10935</v>
      </c>
      <c r="K5915" s="5" t="s">
        <v>15173</v>
      </c>
      <c r="L5915" s="13">
        <v>17292</v>
      </c>
      <c r="M5915" t="str">
        <f>VLOOKUP(L5915,[1]DevMouse!$B$2:$C$2693,2,FALSE)</f>
        <v>r6A</v>
      </c>
    </row>
    <row r="5916" spans="2:13" x14ac:dyDescent="0.25">
      <c r="B5916" s="31" t="s">
        <v>26303</v>
      </c>
      <c r="C5916" s="20"/>
      <c r="D5916" s="25" t="s">
        <v>26232</v>
      </c>
      <c r="E5916" s="25" t="s">
        <v>26307</v>
      </c>
      <c r="F5916" s="9" t="str">
        <f t="shared" si="85"/>
        <v>structure with developmental contribution from neural crest</v>
      </c>
      <c r="G5916" s="9" t="s">
        <v>5090</v>
      </c>
      <c r="H5916" s="9" t="s">
        <v>17844</v>
      </c>
      <c r="I5916" s="9" t="s">
        <v>10936</v>
      </c>
      <c r="J5916" s="9" t="s">
        <v>10937</v>
      </c>
      <c r="K5916" s="5" t="s">
        <v>15173</v>
      </c>
      <c r="L5916" s="13">
        <v>17293</v>
      </c>
      <c r="M5916" t="str">
        <f>VLOOKUP(L5916,[1]DevMouse!$B$2:$C$2693,2,FALSE)</f>
        <v>r6Co</v>
      </c>
    </row>
    <row r="5917" spans="2:13" x14ac:dyDescent="0.25">
      <c r="B5917" s="36"/>
      <c r="C5917" s="20"/>
      <c r="D5917" s="25" t="s">
        <v>26232</v>
      </c>
      <c r="E5917" s="25"/>
      <c r="F5917" s="9" t="str">
        <f t="shared" si="85"/>
        <v>structure with developmental contribution from neural crest</v>
      </c>
      <c r="G5917" s="9" t="s">
        <v>5090</v>
      </c>
      <c r="H5917" s="9" t="s">
        <v>17845</v>
      </c>
      <c r="I5917" s="9" t="s">
        <v>10938</v>
      </c>
      <c r="J5917" s="9" t="s">
        <v>10939</v>
      </c>
      <c r="K5917" s="5" t="s">
        <v>15173</v>
      </c>
      <c r="L5917" s="13">
        <v>17294</v>
      </c>
      <c r="M5917" t="str">
        <f>VLOOKUP(L5917,[1]DevMouse!$B$2:$C$2693,2,FALSE)</f>
        <v>r6Cov</v>
      </c>
    </row>
    <row r="5918" spans="2:13" x14ac:dyDescent="0.25">
      <c r="B5918" s="31" t="s">
        <v>26303</v>
      </c>
      <c r="C5918" s="20"/>
      <c r="D5918" s="25" t="s">
        <v>26232</v>
      </c>
      <c r="E5918" s="20" t="s">
        <v>26300</v>
      </c>
      <c r="F5918" s="9" t="str">
        <f t="shared" si="85"/>
        <v>structure with developmental contribution from neural crest</v>
      </c>
      <c r="G5918" s="9" t="s">
        <v>5090</v>
      </c>
      <c r="H5918" s="9" t="s">
        <v>17846</v>
      </c>
      <c r="I5918" s="9" t="s">
        <v>10940</v>
      </c>
      <c r="J5918" s="9" t="s">
        <v>10941</v>
      </c>
      <c r="K5918" s="5" t="s">
        <v>15173</v>
      </c>
      <c r="L5918" s="13">
        <v>17295</v>
      </c>
      <c r="M5918" t="str">
        <f>VLOOKUP(L5918,[1]DevMouse!$B$2:$C$2693,2,FALSE)</f>
        <v>r6Com</v>
      </c>
    </row>
    <row r="5919" spans="2:13" x14ac:dyDescent="0.25">
      <c r="B5919" s="31" t="s">
        <v>26303</v>
      </c>
      <c r="C5919" s="25" t="s">
        <v>1518</v>
      </c>
      <c r="D5919" s="25" t="s">
        <v>26232</v>
      </c>
      <c r="E5919" s="25" t="s">
        <v>26308</v>
      </c>
      <c r="F5919" s="9" t="str">
        <f t="shared" si="85"/>
        <v>structure with developmental contribution from neural crest</v>
      </c>
      <c r="G5919" s="9" t="s">
        <v>5090</v>
      </c>
      <c r="H5919" s="9" t="s">
        <v>17848</v>
      </c>
      <c r="I5919" s="9" t="s">
        <v>10942</v>
      </c>
      <c r="J5919" s="9" t="s">
        <v>10943</v>
      </c>
      <c r="K5919" s="5" t="s">
        <v>15173</v>
      </c>
      <c r="L5919" s="13">
        <v>17296</v>
      </c>
      <c r="M5919" t="str">
        <f>VLOOKUP(L5919,[1]DevMouse!$B$2:$C$2693,2,FALSE)</f>
        <v>r6DC</v>
      </c>
    </row>
    <row r="5920" spans="2:13" x14ac:dyDescent="0.25">
      <c r="B5920" s="31" t="s">
        <v>26303</v>
      </c>
      <c r="C5920" s="25" t="s">
        <v>26150</v>
      </c>
      <c r="D5920" s="25" t="s">
        <v>26232</v>
      </c>
      <c r="E5920" s="25" t="s">
        <v>26308</v>
      </c>
      <c r="F5920" s="9" t="str">
        <f t="shared" si="85"/>
        <v>structure with developmental contribution from neural crest</v>
      </c>
      <c r="G5920" s="9" t="s">
        <v>5090</v>
      </c>
      <c r="H5920" s="9" t="s">
        <v>17851</v>
      </c>
      <c r="I5920" s="9" t="s">
        <v>10944</v>
      </c>
      <c r="J5920" s="9" t="s">
        <v>10945</v>
      </c>
      <c r="K5920" s="5" t="s">
        <v>15173</v>
      </c>
      <c r="L5920" s="13">
        <v>17297</v>
      </c>
      <c r="M5920" t="str">
        <f>VLOOKUP(L5920,[1]DevMouse!$B$2:$C$2693,2,FALSE)</f>
        <v>r6PVC</v>
      </c>
    </row>
    <row r="5921" spans="2:13" x14ac:dyDescent="0.25">
      <c r="B5921" s="36"/>
      <c r="C5921" s="20"/>
      <c r="D5921" s="25" t="s">
        <v>26232</v>
      </c>
      <c r="E5921" s="25"/>
      <c r="F5921" s="9" t="str">
        <f t="shared" si="85"/>
        <v>structure with developmental contribution from neural crest</v>
      </c>
      <c r="G5921" s="9" t="s">
        <v>5090</v>
      </c>
      <c r="H5921" s="9" t="s">
        <v>17852</v>
      </c>
      <c r="I5921" s="9" t="s">
        <v>10946</v>
      </c>
      <c r="J5921" s="9" t="s">
        <v>10947</v>
      </c>
      <c r="K5921" s="5" t="s">
        <v>15173</v>
      </c>
      <c r="L5921" s="13">
        <v>17298</v>
      </c>
      <c r="M5921" t="str">
        <f>VLOOKUP(L5921,[1]DevMouse!$B$2:$C$2693,2,FALSE)</f>
        <v>r6Ve</v>
      </c>
    </row>
    <row r="5922" spans="2:13" x14ac:dyDescent="0.25">
      <c r="B5922" s="36"/>
      <c r="C5922" s="20"/>
      <c r="D5922" s="25" t="s">
        <v>26232</v>
      </c>
      <c r="E5922" s="25"/>
      <c r="F5922" s="9" t="str">
        <f t="shared" si="85"/>
        <v>structure with developmental contribution from neural crest</v>
      </c>
      <c r="G5922" s="9" t="s">
        <v>5090</v>
      </c>
      <c r="H5922" s="9" t="s">
        <v>17853</v>
      </c>
      <c r="I5922" s="9" t="s">
        <v>10948</v>
      </c>
      <c r="J5922" s="9" t="s">
        <v>10949</v>
      </c>
      <c r="K5922" s="5" t="s">
        <v>15173</v>
      </c>
      <c r="L5922" s="13">
        <v>17299</v>
      </c>
      <c r="M5922" t="str">
        <f>VLOOKUP(L5922,[1]DevMouse!$B$2:$C$2693,2,FALSE)</f>
        <v>r6Vev</v>
      </c>
    </row>
    <row r="5923" spans="2:13" x14ac:dyDescent="0.25">
      <c r="B5923" s="31" t="s">
        <v>26303</v>
      </c>
      <c r="C5923" s="20"/>
      <c r="D5923" s="25" t="s">
        <v>26232</v>
      </c>
      <c r="E5923" s="20" t="s">
        <v>26300</v>
      </c>
      <c r="F5923" s="9" t="str">
        <f t="shared" si="85"/>
        <v>structure with developmental contribution from neural crest</v>
      </c>
      <c r="G5923" s="9" t="s">
        <v>5090</v>
      </c>
      <c r="H5923" s="9" t="s">
        <v>17854</v>
      </c>
      <c r="I5923" s="9" t="s">
        <v>10950</v>
      </c>
      <c r="J5923" s="9" t="s">
        <v>10951</v>
      </c>
      <c r="K5923" s="5" t="s">
        <v>15173</v>
      </c>
      <c r="L5923" s="13">
        <v>17300</v>
      </c>
      <c r="M5923" t="str">
        <f>VLOOKUP(L5923,[1]DevMouse!$B$2:$C$2693,2,FALSE)</f>
        <v>r6Vem</v>
      </c>
    </row>
    <row r="5924" spans="2:13" x14ac:dyDescent="0.25">
      <c r="B5924" s="31" t="s">
        <v>26303</v>
      </c>
      <c r="C5924" s="25" t="s">
        <v>25970</v>
      </c>
      <c r="D5924" s="25" t="s">
        <v>26232</v>
      </c>
      <c r="E5924" s="25" t="s">
        <v>26308</v>
      </c>
      <c r="F5924" s="9" t="str">
        <f t="shared" si="85"/>
        <v>structure with developmental contribution from neural crest</v>
      </c>
      <c r="G5924" s="9" t="s">
        <v>5090</v>
      </c>
      <c r="H5924" s="9" t="s">
        <v>17860</v>
      </c>
      <c r="I5924" s="9" t="s">
        <v>10952</v>
      </c>
      <c r="J5924" s="9" t="s">
        <v>10953</v>
      </c>
      <c r="K5924" s="5" t="s">
        <v>15173</v>
      </c>
      <c r="L5924" s="13">
        <v>17301</v>
      </c>
      <c r="M5924" t="str">
        <f>VLOOKUP(L5924,[1]DevMouse!$B$2:$C$2693,2,FALSE)</f>
        <v>r6SpVe</v>
      </c>
    </row>
    <row r="5925" spans="2:13" x14ac:dyDescent="0.25">
      <c r="B5925" s="31" t="s">
        <v>26303</v>
      </c>
      <c r="C5925" s="25" t="s">
        <v>3042</v>
      </c>
      <c r="D5925" s="25" t="s">
        <v>26232</v>
      </c>
      <c r="E5925" s="25" t="s">
        <v>26308</v>
      </c>
      <c r="F5925" s="9" t="str">
        <f t="shared" si="85"/>
        <v>structure with developmental contribution from neural crest</v>
      </c>
      <c r="G5925" s="9" t="s">
        <v>5090</v>
      </c>
      <c r="H5925" s="9" t="s">
        <v>17858</v>
      </c>
      <c r="I5925" s="9" t="s">
        <v>10954</v>
      </c>
      <c r="J5925" s="9" t="s">
        <v>10955</v>
      </c>
      <c r="K5925" s="5" t="s">
        <v>15173</v>
      </c>
      <c r="L5925" s="13">
        <v>17302</v>
      </c>
      <c r="M5925" t="str">
        <f>VLOOKUP(L5925,[1]DevMouse!$B$2:$C$2693,2,FALSE)</f>
        <v>r6MVeMC</v>
      </c>
    </row>
    <row r="5926" spans="2:13" x14ac:dyDescent="0.25">
      <c r="B5926" s="31" t="s">
        <v>26303</v>
      </c>
      <c r="C5926" s="25" t="s">
        <v>3042</v>
      </c>
      <c r="D5926" s="25" t="s">
        <v>26232</v>
      </c>
      <c r="E5926" s="25" t="s">
        <v>26308</v>
      </c>
      <c r="F5926" s="9" t="str">
        <f t="shared" si="85"/>
        <v>structure with developmental contribution from neural crest</v>
      </c>
      <c r="G5926" s="9" t="s">
        <v>5090</v>
      </c>
      <c r="H5926" s="9" t="s">
        <v>17856</v>
      </c>
      <c r="I5926" s="9" t="s">
        <v>10956</v>
      </c>
      <c r="J5926" s="9" t="s">
        <v>10957</v>
      </c>
      <c r="K5926" s="5" t="s">
        <v>15173</v>
      </c>
      <c r="L5926" s="13">
        <v>17303</v>
      </c>
      <c r="M5926" t="str">
        <f>VLOOKUP(L5926,[1]DevMouse!$B$2:$C$2693,2,FALSE)</f>
        <v>r6MVePC</v>
      </c>
    </row>
    <row r="5927" spans="2:13" x14ac:dyDescent="0.25">
      <c r="B5927" s="36"/>
      <c r="C5927" s="20"/>
      <c r="D5927" s="25" t="s">
        <v>26232</v>
      </c>
      <c r="E5927" s="25" t="s">
        <v>26308</v>
      </c>
      <c r="F5927" s="9" t="str">
        <f t="shared" si="85"/>
        <v>structure with developmental contribution from neural crest</v>
      </c>
      <c r="G5927" s="9" t="s">
        <v>5090</v>
      </c>
      <c r="H5927" s="9" t="s">
        <v>17861</v>
      </c>
      <c r="I5927" s="9" t="s">
        <v>10958</v>
      </c>
      <c r="J5927" s="9" t="s">
        <v>10959</v>
      </c>
      <c r="K5927" s="5" t="s">
        <v>15173</v>
      </c>
      <c r="L5927" s="13">
        <v>17304</v>
      </c>
      <c r="M5927" t="str">
        <f>VLOOKUP(L5927,[1]DevMouse!$B$2:$C$2693,2,FALSE)</f>
        <v>r6Tr</v>
      </c>
    </row>
    <row r="5928" spans="2:13" x14ac:dyDescent="0.25">
      <c r="B5928" s="36"/>
      <c r="C5928" s="20"/>
      <c r="D5928" s="25" t="s">
        <v>26232</v>
      </c>
      <c r="E5928" s="25"/>
      <c r="F5928" s="9" t="str">
        <f t="shared" si="85"/>
        <v>structure with developmental contribution from neural crest</v>
      </c>
      <c r="G5928" s="9" t="s">
        <v>5090</v>
      </c>
      <c r="H5928" s="9" t="s">
        <v>17862</v>
      </c>
      <c r="I5928" s="9" t="s">
        <v>10960</v>
      </c>
      <c r="J5928" s="9" t="s">
        <v>10961</v>
      </c>
      <c r="K5928" s="5" t="s">
        <v>15173</v>
      </c>
      <c r="L5928" s="13">
        <v>17305</v>
      </c>
      <c r="M5928" t="str">
        <f>VLOOKUP(L5928,[1]DevMouse!$B$2:$C$2693,2,FALSE)</f>
        <v>r6Trv</v>
      </c>
    </row>
    <row r="5929" spans="2:13" x14ac:dyDescent="0.25">
      <c r="B5929" s="31" t="s">
        <v>26303</v>
      </c>
      <c r="C5929" s="20"/>
      <c r="D5929" s="25" t="s">
        <v>26232</v>
      </c>
      <c r="E5929" s="20" t="s">
        <v>26300</v>
      </c>
      <c r="F5929" s="9" t="str">
        <f t="shared" si="85"/>
        <v>structure with developmental contribution from neural crest</v>
      </c>
      <c r="G5929" s="9" t="s">
        <v>5090</v>
      </c>
      <c r="H5929" s="9" t="s">
        <v>17863</v>
      </c>
      <c r="I5929" s="9" t="s">
        <v>10962</v>
      </c>
      <c r="J5929" s="9" t="s">
        <v>10963</v>
      </c>
      <c r="K5929" s="5" t="s">
        <v>15173</v>
      </c>
      <c r="L5929" s="13">
        <v>17306</v>
      </c>
      <c r="M5929" t="str">
        <f>VLOOKUP(L5929,[1]DevMouse!$B$2:$C$2693,2,FALSE)</f>
        <v>r6Trm</v>
      </c>
    </row>
    <row r="5930" spans="2:13" x14ac:dyDescent="0.25">
      <c r="B5930" s="31" t="s">
        <v>26303</v>
      </c>
      <c r="C5930" s="25" t="s">
        <v>26076</v>
      </c>
      <c r="D5930" s="25" t="s">
        <v>26185</v>
      </c>
      <c r="E5930" s="25" t="s">
        <v>26308</v>
      </c>
      <c r="F5930" s="9" t="str">
        <f t="shared" si="85"/>
        <v>structure with developmental contribution from neural crest</v>
      </c>
      <c r="G5930" s="9" t="s">
        <v>5090</v>
      </c>
      <c r="H5930" s="9" t="s">
        <v>17870</v>
      </c>
      <c r="I5930" s="9" t="s">
        <v>10964</v>
      </c>
      <c r="J5930" s="9" t="s">
        <v>10965</v>
      </c>
      <c r="K5930" s="5" t="s">
        <v>15173</v>
      </c>
      <c r="L5930" s="13">
        <v>17307</v>
      </c>
      <c r="M5930" t="str">
        <f>VLOOKUP(L5930,[1]DevMouse!$B$2:$C$2693,2,FALSE)</f>
        <v>r6Sp5O</v>
      </c>
    </row>
    <row r="5931" spans="2:13" x14ac:dyDescent="0.25">
      <c r="B5931" s="36"/>
      <c r="C5931" s="20"/>
      <c r="D5931" s="25" t="s">
        <v>26232</v>
      </c>
      <c r="E5931" s="25" t="s">
        <v>26308</v>
      </c>
      <c r="F5931" s="9" t="str">
        <f t="shared" si="85"/>
        <v>structure with developmental contribution from neural crest</v>
      </c>
      <c r="G5931" s="9" t="s">
        <v>5090</v>
      </c>
      <c r="H5931" s="9" t="s">
        <v>17867</v>
      </c>
      <c r="I5931" s="9" t="s">
        <v>10966</v>
      </c>
      <c r="J5931" s="9" t="s">
        <v>10967</v>
      </c>
      <c r="K5931" s="5" t="s">
        <v>15173</v>
      </c>
      <c r="L5931" s="13">
        <v>17308</v>
      </c>
      <c r="M5931" t="str">
        <f>VLOOKUP(L5931,[1]DevMouse!$B$2:$C$2693,2,FALSE)</f>
        <v>r6-5Tr</v>
      </c>
    </row>
    <row r="5932" spans="2:13" x14ac:dyDescent="0.25">
      <c r="B5932" s="31" t="s">
        <v>26303</v>
      </c>
      <c r="C5932" s="20"/>
      <c r="D5932" s="25" t="s">
        <v>26232</v>
      </c>
      <c r="E5932" s="25" t="s">
        <v>26308</v>
      </c>
      <c r="F5932" s="9" t="str">
        <f t="shared" si="85"/>
        <v>structure with developmental contribution from neural crest</v>
      </c>
      <c r="G5932" s="9" t="s">
        <v>5090</v>
      </c>
      <c r="H5932" s="9" t="s">
        <v>17865</v>
      </c>
      <c r="I5932" s="9" t="s">
        <v>10968</v>
      </c>
      <c r="J5932" s="9" t="s">
        <v>10969</v>
      </c>
      <c r="K5932" s="5" t="s">
        <v>15173</v>
      </c>
      <c r="L5932" s="13">
        <v>17309</v>
      </c>
      <c r="M5932" t="str">
        <f>VLOOKUP(L5932,[1]DevMouse!$B$2:$C$2693,2,FALSE)</f>
        <v>r6Sol</v>
      </c>
    </row>
    <row r="5933" spans="2:13" x14ac:dyDescent="0.25">
      <c r="B5933" s="36"/>
      <c r="C5933" s="20"/>
      <c r="D5933" s="25" t="s">
        <v>26232</v>
      </c>
      <c r="E5933" s="25"/>
      <c r="F5933" s="9" t="str">
        <f t="shared" si="85"/>
        <v>structure with developmental contribution from neural crest</v>
      </c>
      <c r="G5933" s="9" t="s">
        <v>5090</v>
      </c>
      <c r="H5933" s="9" t="s">
        <v>17868</v>
      </c>
      <c r="I5933" s="9" t="s">
        <v>10970</v>
      </c>
      <c r="J5933" s="9" t="s">
        <v>10971</v>
      </c>
      <c r="K5933" s="5" t="s">
        <v>15173</v>
      </c>
      <c r="L5933" s="13">
        <v>17310</v>
      </c>
      <c r="M5933" t="str">
        <f>VLOOKUP(L5933,[1]DevMouse!$B$2:$C$2693,2,FALSE)</f>
        <v>r6DPCRt</v>
      </c>
    </row>
    <row r="5934" spans="2:13" x14ac:dyDescent="0.25">
      <c r="B5934" s="36"/>
      <c r="C5934" s="20"/>
      <c r="D5934" s="25" t="s">
        <v>26232</v>
      </c>
      <c r="E5934" s="25"/>
      <c r="F5934" s="9" t="str">
        <f t="shared" si="85"/>
        <v>structure with developmental contribution from neural crest</v>
      </c>
      <c r="G5934" s="9" t="s">
        <v>5090</v>
      </c>
      <c r="H5934" s="9" t="s">
        <v>17871</v>
      </c>
      <c r="I5934" s="9" t="s">
        <v>10972</v>
      </c>
      <c r="J5934" s="9" t="s">
        <v>10973</v>
      </c>
      <c r="K5934" s="5" t="s">
        <v>15173</v>
      </c>
      <c r="L5934" s="13">
        <v>17311</v>
      </c>
      <c r="M5934" t="str">
        <f>VLOOKUP(L5934,[1]DevMouse!$B$2:$C$2693,2,FALSE)</f>
        <v>r6Lim</v>
      </c>
    </row>
    <row r="5935" spans="2:13" x14ac:dyDescent="0.25">
      <c r="B5935" s="36"/>
      <c r="C5935" s="20"/>
      <c r="D5935" s="25" t="s">
        <v>26232</v>
      </c>
      <c r="E5935" s="25"/>
      <c r="F5935" s="9" t="str">
        <f t="shared" si="85"/>
        <v>structure with developmental contribution from neural crest</v>
      </c>
      <c r="G5935" s="9" t="s">
        <v>5090</v>
      </c>
      <c r="H5935" s="9" t="s">
        <v>17872</v>
      </c>
      <c r="I5935" s="9" t="s">
        <v>10974</v>
      </c>
      <c r="J5935" s="9" t="s">
        <v>10975</v>
      </c>
      <c r="K5935" s="5" t="s">
        <v>15173</v>
      </c>
      <c r="L5935" s="13">
        <v>17312</v>
      </c>
      <c r="M5935" t="str">
        <f>VLOOKUP(L5935,[1]DevMouse!$B$2:$C$2693,2,FALSE)</f>
        <v>r6Limv</v>
      </c>
    </row>
    <row r="5936" spans="2:13" x14ac:dyDescent="0.25">
      <c r="B5936" s="31" t="s">
        <v>26303</v>
      </c>
      <c r="C5936" s="20"/>
      <c r="D5936" s="25" t="s">
        <v>26232</v>
      </c>
      <c r="E5936" s="20" t="s">
        <v>26300</v>
      </c>
      <c r="F5936" s="9" t="str">
        <f t="shared" si="85"/>
        <v>structure with developmental contribution from neural crest</v>
      </c>
      <c r="G5936" s="9" t="s">
        <v>5090</v>
      </c>
      <c r="H5936" s="9" t="s">
        <v>17873</v>
      </c>
      <c r="I5936" s="9" t="s">
        <v>10976</v>
      </c>
      <c r="J5936" s="9" t="s">
        <v>10977</v>
      </c>
      <c r="K5936" s="5" t="s">
        <v>15173</v>
      </c>
      <c r="L5936" s="13">
        <v>17313</v>
      </c>
      <c r="M5936" t="str">
        <f>VLOOKUP(L5936,[1]DevMouse!$B$2:$C$2693,2,FALSE)</f>
        <v>r6Limm</v>
      </c>
    </row>
    <row r="5937" spans="2:13" x14ac:dyDescent="0.25">
      <c r="B5937" s="36"/>
      <c r="C5937" s="20"/>
      <c r="D5937" s="25" t="s">
        <v>26232</v>
      </c>
      <c r="E5937" s="25"/>
      <c r="F5937" s="9" t="str">
        <f t="shared" si="85"/>
        <v>structure with developmental contribution from neural crest</v>
      </c>
      <c r="G5937" s="9" t="s">
        <v>5090</v>
      </c>
      <c r="H5937" s="9" t="s">
        <v>17875</v>
      </c>
      <c r="I5937" s="9" t="s">
        <v>10978</v>
      </c>
      <c r="J5937" s="9" t="s">
        <v>10979</v>
      </c>
      <c r="K5937" s="5" t="s">
        <v>15173</v>
      </c>
      <c r="L5937" s="13">
        <v>17314</v>
      </c>
      <c r="M5937" t="str">
        <f>VLOOKUP(L5937,[1]DevMouse!$B$2:$C$2693,2,FALSE)</f>
        <v>r6LimCG</v>
      </c>
    </row>
    <row r="5938" spans="2:13" x14ac:dyDescent="0.25">
      <c r="B5938" s="36"/>
      <c r="C5938" s="20"/>
      <c r="D5938" s="25" t="s">
        <v>26232</v>
      </c>
      <c r="E5938" s="25"/>
      <c r="F5938" s="9" t="str">
        <f t="shared" si="85"/>
        <v>structure with developmental contribution from neural crest</v>
      </c>
      <c r="G5938" s="9" t="s">
        <v>5090</v>
      </c>
      <c r="H5938" s="9" t="s">
        <v>17877</v>
      </c>
      <c r="I5938" s="9" t="s">
        <v>10980</v>
      </c>
      <c r="J5938" s="9" t="s">
        <v>10981</v>
      </c>
      <c r="K5938" s="5" t="s">
        <v>15173</v>
      </c>
      <c r="L5938" s="13">
        <v>17315</v>
      </c>
      <c r="M5938" t="str">
        <f>VLOOKUP(L5938,[1]DevMouse!$B$2:$C$2693,2,FALSE)</f>
        <v>r6VPCRt</v>
      </c>
    </row>
    <row r="5939" spans="2:13" x14ac:dyDescent="0.25">
      <c r="B5939" s="31" t="s">
        <v>26303</v>
      </c>
      <c r="C5939" s="25" t="s">
        <v>2411</v>
      </c>
      <c r="D5939" s="25" t="s">
        <v>26232</v>
      </c>
      <c r="E5939" s="25"/>
      <c r="F5939" s="9" t="str">
        <f t="shared" si="85"/>
        <v>structure with developmental contribution from neural crest</v>
      </c>
      <c r="G5939" s="9" t="s">
        <v>5090</v>
      </c>
      <c r="H5939" s="9" t="s">
        <v>17878</v>
      </c>
      <c r="I5939" s="9" t="s">
        <v>10982</v>
      </c>
      <c r="J5939" s="9" t="s">
        <v>10983</v>
      </c>
      <c r="K5939" s="5" t="s">
        <v>15173</v>
      </c>
      <c r="L5939" s="13">
        <v>17316</v>
      </c>
      <c r="M5939" t="str">
        <f>VLOOKUP(L5939,[1]DevMouse!$B$2:$C$2693,2,FALSE)</f>
        <v>IS</v>
      </c>
    </row>
    <row r="5940" spans="2:13" x14ac:dyDescent="0.25">
      <c r="B5940" s="31" t="s">
        <v>26303</v>
      </c>
      <c r="C5940" s="25" t="s">
        <v>1809</v>
      </c>
      <c r="D5940" s="25" t="s">
        <v>26232</v>
      </c>
      <c r="E5940" s="25"/>
      <c r="F5940" s="9" t="str">
        <f t="shared" si="85"/>
        <v>structure with developmental contribution from neural crest</v>
      </c>
      <c r="G5940" s="9" t="s">
        <v>5090</v>
      </c>
      <c r="H5940" s="9" t="s">
        <v>17880</v>
      </c>
      <c r="I5940" s="9" t="s">
        <v>1809</v>
      </c>
      <c r="J5940" s="9" t="s">
        <v>1810</v>
      </c>
      <c r="K5940" s="5" t="s">
        <v>15173</v>
      </c>
      <c r="L5940" s="13">
        <v>17317</v>
      </c>
      <c r="M5940" t="str">
        <f>VLOOKUP(L5940,[1]DevMouse!$B$2:$C$2693,2,FALSE)</f>
        <v>7M</v>
      </c>
    </row>
    <row r="5941" spans="2:13" x14ac:dyDescent="0.25">
      <c r="B5941" s="36"/>
      <c r="C5941" s="20"/>
      <c r="D5941" s="25" t="s">
        <v>26232</v>
      </c>
      <c r="E5941" s="25"/>
      <c r="F5941" s="9" t="str">
        <f t="shared" si="85"/>
        <v>structure with developmental contribution from neural crest</v>
      </c>
      <c r="G5941" s="9" t="s">
        <v>5090</v>
      </c>
      <c r="H5941" s="9" t="s">
        <v>17881</v>
      </c>
      <c r="I5941" s="9" t="s">
        <v>10984</v>
      </c>
      <c r="J5941" s="9" t="s">
        <v>10985</v>
      </c>
      <c r="K5941" s="5" t="s">
        <v>15173</v>
      </c>
      <c r="L5941" s="13">
        <v>17318</v>
      </c>
      <c r="M5941" t="str">
        <f>VLOOKUP(L5941,[1]DevMouse!$B$2:$C$2693,2,FALSE)</f>
        <v>r6B</v>
      </c>
    </row>
    <row r="5942" spans="2:13" x14ac:dyDescent="0.25">
      <c r="B5942" s="36"/>
      <c r="C5942" s="20"/>
      <c r="D5942" s="25" t="s">
        <v>26232</v>
      </c>
      <c r="E5942" s="25"/>
      <c r="F5942" s="9" t="str">
        <f t="shared" si="85"/>
        <v>structure with developmental contribution from neural crest</v>
      </c>
      <c r="G5942" s="9" t="s">
        <v>5090</v>
      </c>
      <c r="H5942" s="9" t="s">
        <v>17884</v>
      </c>
      <c r="I5942" s="9" t="s">
        <v>10986</v>
      </c>
      <c r="J5942" s="9" t="s">
        <v>10987</v>
      </c>
      <c r="K5942" s="5" t="s">
        <v>15173</v>
      </c>
      <c r="L5942" s="13">
        <v>17319</v>
      </c>
      <c r="M5942" t="str">
        <f>VLOOKUP(L5942,[1]DevMouse!$B$2:$C$2693,2,FALSE)</f>
        <v>r6BL</v>
      </c>
    </row>
    <row r="5943" spans="2:13" x14ac:dyDescent="0.25">
      <c r="B5943" s="36"/>
      <c r="C5943" s="20"/>
      <c r="D5943" s="25" t="s">
        <v>26232</v>
      </c>
      <c r="E5943" s="25"/>
      <c r="F5943" s="9" t="str">
        <f t="shared" ref="F5943:F6006" si="86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5943" s="9" t="s">
        <v>5090</v>
      </c>
      <c r="H5943" s="9" t="s">
        <v>17885</v>
      </c>
      <c r="I5943" s="9" t="s">
        <v>10988</v>
      </c>
      <c r="J5943" s="9" t="s">
        <v>10989</v>
      </c>
      <c r="K5943" s="5" t="s">
        <v>15173</v>
      </c>
      <c r="L5943" s="13">
        <v>17320</v>
      </c>
      <c r="M5943" t="str">
        <f>VLOOKUP(L5943,[1]DevMouse!$B$2:$C$2693,2,FALSE)</f>
        <v>r6BLv</v>
      </c>
    </row>
    <row r="5944" spans="2:13" x14ac:dyDescent="0.25">
      <c r="B5944" s="31" t="s">
        <v>26303</v>
      </c>
      <c r="C5944" s="20"/>
      <c r="D5944" s="25" t="s">
        <v>26232</v>
      </c>
      <c r="E5944" s="20" t="s">
        <v>26300</v>
      </c>
      <c r="F5944" s="9" t="str">
        <f t="shared" si="86"/>
        <v>structure with developmental contribution from neural crest</v>
      </c>
      <c r="G5944" s="9" t="s">
        <v>5090</v>
      </c>
      <c r="H5944" s="9" t="s">
        <v>17886</v>
      </c>
      <c r="I5944" s="9" t="s">
        <v>10990</v>
      </c>
      <c r="J5944" s="9" t="s">
        <v>10991</v>
      </c>
      <c r="K5944" s="5" t="s">
        <v>15173</v>
      </c>
      <c r="L5944" s="13">
        <v>17321</v>
      </c>
      <c r="M5944" t="str">
        <f>VLOOKUP(L5944,[1]DevMouse!$B$2:$C$2693,2,FALSE)</f>
        <v>r6BLm</v>
      </c>
    </row>
    <row r="5945" spans="2:13" x14ac:dyDescent="0.25">
      <c r="B5945" s="36"/>
      <c r="C5945" s="20"/>
      <c r="D5945" s="25" t="s">
        <v>26232</v>
      </c>
      <c r="E5945" s="20" t="s">
        <v>26300</v>
      </c>
      <c r="F5945" s="9" t="str">
        <f t="shared" si="86"/>
        <v>structure with developmental contribution from neural crest</v>
      </c>
      <c r="G5945" s="9" t="s">
        <v>5090</v>
      </c>
      <c r="H5945" s="9" t="s">
        <v>17887</v>
      </c>
      <c r="I5945" s="9" t="s">
        <v>10992</v>
      </c>
      <c r="J5945" s="9" t="s">
        <v>10993</v>
      </c>
      <c r="K5945" s="5" t="s">
        <v>15173</v>
      </c>
      <c r="L5945" s="13">
        <v>17322</v>
      </c>
      <c r="M5945" t="str">
        <f>VLOOKUP(L5945,[1]DevMouse!$B$2:$C$2693,2,FALSE)</f>
        <v>r6BLp</v>
      </c>
    </row>
    <row r="5946" spans="2:13" x14ac:dyDescent="0.25">
      <c r="B5946" s="36"/>
      <c r="C5946" s="20"/>
      <c r="D5946" s="25" t="s">
        <v>26232</v>
      </c>
      <c r="E5946" s="25"/>
      <c r="F5946" s="9" t="str">
        <f t="shared" si="86"/>
        <v>structure with developmental contribution from neural crest</v>
      </c>
      <c r="G5946" s="9" t="s">
        <v>5090</v>
      </c>
      <c r="H5946" s="9" t="s">
        <v>17888</v>
      </c>
      <c r="I5946" s="9" t="s">
        <v>10994</v>
      </c>
      <c r="J5946" s="9" t="s">
        <v>10995</v>
      </c>
      <c r="K5946" s="5" t="s">
        <v>15173</v>
      </c>
      <c r="L5946" s="13">
        <v>17323</v>
      </c>
      <c r="M5946" t="str">
        <f>VLOOKUP(L5946,[1]DevMouse!$B$2:$C$2693,2,FALSE)</f>
        <v>r6BLIZ</v>
      </c>
    </row>
    <row r="5947" spans="2:13" x14ac:dyDescent="0.25">
      <c r="B5947" s="36"/>
      <c r="C5947" s="20"/>
      <c r="D5947" s="25" t="s">
        <v>26232</v>
      </c>
      <c r="E5947" s="25"/>
      <c r="F5947" s="9" t="str">
        <f t="shared" si="86"/>
        <v>structure with developmental contribution from neural crest</v>
      </c>
      <c r="G5947" s="9" t="s">
        <v>5090</v>
      </c>
      <c r="H5947" s="9" t="s">
        <v>17889</v>
      </c>
      <c r="I5947" s="9" t="s">
        <v>10996</v>
      </c>
      <c r="J5947" s="9" t="s">
        <v>10997</v>
      </c>
      <c r="K5947" s="5" t="s">
        <v>15173</v>
      </c>
      <c r="L5947" s="13">
        <v>17324</v>
      </c>
      <c r="M5947" t="str">
        <f>VLOOKUP(L5947,[1]DevMouse!$B$2:$C$2693,2,FALSE)</f>
        <v>r6BLi</v>
      </c>
    </row>
    <row r="5948" spans="2:13" x14ac:dyDescent="0.25">
      <c r="B5948" s="36"/>
      <c r="C5948" s="20"/>
      <c r="D5948" s="25" t="s">
        <v>26232</v>
      </c>
      <c r="E5948" s="25"/>
      <c r="F5948" s="9" t="str">
        <f t="shared" si="86"/>
        <v>structure with developmental contribution from neural crest</v>
      </c>
      <c r="G5948" s="9" t="s">
        <v>5090</v>
      </c>
      <c r="H5948" s="9" t="s">
        <v>17890</v>
      </c>
      <c r="I5948" s="9" t="s">
        <v>10998</v>
      </c>
      <c r="J5948" s="9" t="s">
        <v>10999</v>
      </c>
      <c r="K5948" s="5" t="s">
        <v>15173</v>
      </c>
      <c r="L5948" s="13">
        <v>17325</v>
      </c>
      <c r="M5948" t="str">
        <f>VLOOKUP(L5948,[1]DevMouse!$B$2:$C$2693,2,FALSE)</f>
        <v>r6BLRt</v>
      </c>
    </row>
    <row r="5949" spans="2:13" x14ac:dyDescent="0.25">
      <c r="B5949" s="36"/>
      <c r="C5949" s="20"/>
      <c r="D5949" s="25" t="s">
        <v>26232</v>
      </c>
      <c r="E5949" s="25"/>
      <c r="F5949" s="9" t="str">
        <f t="shared" si="86"/>
        <v>structure with developmental contribution from neural crest</v>
      </c>
      <c r="G5949" s="9" t="s">
        <v>5090</v>
      </c>
      <c r="H5949" s="9" t="s">
        <v>17891</v>
      </c>
      <c r="I5949" s="9" t="s">
        <v>11000</v>
      </c>
      <c r="J5949" s="9" t="s">
        <v>11001</v>
      </c>
      <c r="K5949" s="5" t="s">
        <v>15173</v>
      </c>
      <c r="L5949" s="13">
        <v>17326</v>
      </c>
      <c r="M5949" t="str">
        <f>VLOOKUP(L5949,[1]DevMouse!$B$2:$C$2693,2,FALSE)</f>
        <v>r6BLs</v>
      </c>
    </row>
    <row r="5950" spans="2:13" x14ac:dyDescent="0.25">
      <c r="B5950" s="31" t="s">
        <v>26303</v>
      </c>
      <c r="C5950" s="25" t="s">
        <v>4743</v>
      </c>
      <c r="D5950" s="25" t="s">
        <v>26232</v>
      </c>
      <c r="E5950" s="25"/>
      <c r="F5950" s="9" t="str">
        <f t="shared" si="86"/>
        <v>structure with developmental contribution from neural crest</v>
      </c>
      <c r="G5950" s="9" t="s">
        <v>5090</v>
      </c>
      <c r="H5950" s="9" t="s">
        <v>17892</v>
      </c>
      <c r="I5950" s="9" t="s">
        <v>4743</v>
      </c>
      <c r="J5950" s="9" t="s">
        <v>4745</v>
      </c>
      <c r="K5950" s="5" t="s">
        <v>15173</v>
      </c>
      <c r="L5950" s="13">
        <v>17327</v>
      </c>
      <c r="M5950" t="str">
        <f>VLOOKUP(L5950,[1]DevMouse!$B$2:$C$2693,2,FALSE)</f>
        <v>RTZ</v>
      </c>
    </row>
    <row r="5951" spans="2:13" x14ac:dyDescent="0.25">
      <c r="B5951" s="36"/>
      <c r="C5951" s="20"/>
      <c r="D5951" s="25" t="s">
        <v>26232</v>
      </c>
      <c r="E5951" s="25"/>
      <c r="F5951" s="9" t="str">
        <f t="shared" si="86"/>
        <v>structure with developmental contribution from neural crest</v>
      </c>
      <c r="G5951" s="9" t="s">
        <v>5090</v>
      </c>
      <c r="H5951" s="9" t="s">
        <v>17893</v>
      </c>
      <c r="I5951" s="9" t="s">
        <v>11002</v>
      </c>
      <c r="J5951" s="9" t="s">
        <v>11003</v>
      </c>
      <c r="K5951" s="5" t="s">
        <v>15173</v>
      </c>
      <c r="L5951" s="13">
        <v>17328</v>
      </c>
      <c r="M5951" t="str">
        <f>VLOOKUP(L5951,[1]DevMouse!$B$2:$C$2693,2,FALSE)</f>
        <v>r6BI</v>
      </c>
    </row>
    <row r="5952" spans="2:13" x14ac:dyDescent="0.25">
      <c r="B5952" s="36"/>
      <c r="C5952" s="20"/>
      <c r="D5952" s="25" t="s">
        <v>26232</v>
      </c>
      <c r="E5952" s="25"/>
      <c r="F5952" s="9" t="str">
        <f t="shared" si="86"/>
        <v>structure with developmental contribution from neural crest</v>
      </c>
      <c r="G5952" s="9" t="s">
        <v>5090</v>
      </c>
      <c r="H5952" s="9" t="s">
        <v>17894</v>
      </c>
      <c r="I5952" s="9" t="s">
        <v>11004</v>
      </c>
      <c r="J5952" s="9" t="s">
        <v>11005</v>
      </c>
      <c r="K5952" s="5" t="s">
        <v>15173</v>
      </c>
      <c r="L5952" s="13">
        <v>17329</v>
      </c>
      <c r="M5952" t="str">
        <f>VLOOKUP(L5952,[1]DevMouse!$B$2:$C$2693,2,FALSE)</f>
        <v>r6BIv</v>
      </c>
    </row>
    <row r="5953" spans="2:13" x14ac:dyDescent="0.25">
      <c r="B5953" s="31" t="s">
        <v>26303</v>
      </c>
      <c r="C5953" s="20"/>
      <c r="D5953" s="25" t="s">
        <v>26232</v>
      </c>
      <c r="E5953" s="20" t="s">
        <v>26300</v>
      </c>
      <c r="F5953" s="9" t="str">
        <f t="shared" si="86"/>
        <v>structure with developmental contribution from neural crest</v>
      </c>
      <c r="G5953" s="9" t="s">
        <v>5090</v>
      </c>
      <c r="H5953" s="9" t="s">
        <v>17895</v>
      </c>
      <c r="I5953" s="9" t="s">
        <v>11006</v>
      </c>
      <c r="J5953" s="9" t="s">
        <v>11007</v>
      </c>
      <c r="K5953" s="5" t="s">
        <v>15173</v>
      </c>
      <c r="L5953" s="13">
        <v>17330</v>
      </c>
      <c r="M5953" t="str">
        <f>VLOOKUP(L5953,[1]DevMouse!$B$2:$C$2693,2,FALSE)</f>
        <v>r6BIm</v>
      </c>
    </row>
    <row r="5954" spans="2:13" x14ac:dyDescent="0.25">
      <c r="B5954" s="36"/>
      <c r="C5954" s="20"/>
      <c r="D5954" s="25" t="s">
        <v>26232</v>
      </c>
      <c r="E5954" s="20" t="s">
        <v>26300</v>
      </c>
      <c r="F5954" s="9" t="str">
        <f t="shared" si="86"/>
        <v>structure with developmental contribution from neural crest</v>
      </c>
      <c r="G5954" s="9" t="s">
        <v>5090</v>
      </c>
      <c r="H5954" s="9" t="s">
        <v>17896</v>
      </c>
      <c r="I5954" s="9" t="s">
        <v>11008</v>
      </c>
      <c r="J5954" s="9" t="s">
        <v>11009</v>
      </c>
      <c r="K5954" s="5" t="s">
        <v>15173</v>
      </c>
      <c r="L5954" s="13">
        <v>17331</v>
      </c>
      <c r="M5954" t="str">
        <f>VLOOKUP(L5954,[1]DevMouse!$B$2:$C$2693,2,FALSE)</f>
        <v>r6BIp</v>
      </c>
    </row>
    <row r="5955" spans="2:13" x14ac:dyDescent="0.25">
      <c r="B5955" s="36"/>
      <c r="C5955" s="20"/>
      <c r="D5955" s="25" t="s">
        <v>26232</v>
      </c>
      <c r="E5955" s="25"/>
      <c r="F5955" s="9" t="str">
        <f t="shared" si="86"/>
        <v>structure with developmental contribution from neural crest</v>
      </c>
      <c r="G5955" s="9" t="s">
        <v>5090</v>
      </c>
      <c r="H5955" s="9" t="s">
        <v>17897</v>
      </c>
      <c r="I5955" s="9" t="s">
        <v>11010</v>
      </c>
      <c r="J5955" s="9" t="s">
        <v>11011</v>
      </c>
      <c r="K5955" s="5" t="s">
        <v>15173</v>
      </c>
      <c r="L5955" s="13">
        <v>17332</v>
      </c>
      <c r="M5955" t="str">
        <f>VLOOKUP(L5955,[1]DevMouse!$B$2:$C$2693,2,FALSE)</f>
        <v>r6BIIZ</v>
      </c>
    </row>
    <row r="5956" spans="2:13" x14ac:dyDescent="0.25">
      <c r="B5956" s="36"/>
      <c r="C5956" s="20"/>
      <c r="D5956" s="25" t="s">
        <v>26232</v>
      </c>
      <c r="E5956" s="25"/>
      <c r="F5956" s="9" t="str">
        <f t="shared" si="86"/>
        <v>structure with developmental contribution from neural crest</v>
      </c>
      <c r="G5956" s="9" t="s">
        <v>5090</v>
      </c>
      <c r="H5956" s="9" t="s">
        <v>17898</v>
      </c>
      <c r="I5956" s="9" t="s">
        <v>11012</v>
      </c>
      <c r="J5956" s="9" t="s">
        <v>11013</v>
      </c>
      <c r="K5956" s="5" t="s">
        <v>15173</v>
      </c>
      <c r="L5956" s="13">
        <v>17333</v>
      </c>
      <c r="M5956" t="str">
        <f>VLOOKUP(L5956,[1]DevMouse!$B$2:$C$2693,2,FALSE)</f>
        <v>r6BIi</v>
      </c>
    </row>
    <row r="5957" spans="2:13" x14ac:dyDescent="0.25">
      <c r="B5957" s="36"/>
      <c r="C5957" s="20"/>
      <c r="D5957" s="25" t="s">
        <v>26232</v>
      </c>
      <c r="E5957" s="25"/>
      <c r="F5957" s="9" t="str">
        <f t="shared" si="86"/>
        <v>structure with developmental contribution from neural crest</v>
      </c>
      <c r="G5957" s="9" t="s">
        <v>5090</v>
      </c>
      <c r="H5957" s="9" t="s">
        <v>17899</v>
      </c>
      <c r="I5957" s="9" t="s">
        <v>11014</v>
      </c>
      <c r="J5957" s="9" t="s">
        <v>11015</v>
      </c>
      <c r="K5957" s="5" t="s">
        <v>15173</v>
      </c>
      <c r="L5957" s="13">
        <v>17334</v>
      </c>
      <c r="M5957" t="str">
        <f>VLOOKUP(L5957,[1]DevMouse!$B$2:$C$2693,2,FALSE)</f>
        <v>r6BIRt</v>
      </c>
    </row>
    <row r="5958" spans="2:13" x14ac:dyDescent="0.25">
      <c r="B5958" s="36"/>
      <c r="C5958" s="20"/>
      <c r="D5958" s="25" t="s">
        <v>26232</v>
      </c>
      <c r="E5958" s="25"/>
      <c r="F5958" s="9" t="str">
        <f t="shared" si="86"/>
        <v>structure with developmental contribution from neural crest</v>
      </c>
      <c r="G5958" s="9" t="s">
        <v>5090</v>
      </c>
      <c r="H5958" s="9" t="s">
        <v>17900</v>
      </c>
      <c r="I5958" s="9" t="s">
        <v>11016</v>
      </c>
      <c r="J5958" s="9" t="s">
        <v>11017</v>
      </c>
      <c r="K5958" s="5" t="s">
        <v>15173</v>
      </c>
      <c r="L5958" s="13">
        <v>17335</v>
      </c>
      <c r="M5958" t="str">
        <f>VLOOKUP(L5958,[1]DevMouse!$B$2:$C$2693,2,FALSE)</f>
        <v>r6BIs</v>
      </c>
    </row>
    <row r="5959" spans="2:13" x14ac:dyDescent="0.25">
      <c r="B5959" s="31" t="s">
        <v>26303</v>
      </c>
      <c r="C5959" s="25" t="s">
        <v>3591</v>
      </c>
      <c r="D5959" s="25" t="s">
        <v>26185</v>
      </c>
      <c r="E5959" s="25" t="s">
        <v>26308</v>
      </c>
      <c r="F5959" s="9" t="str">
        <f t="shared" si="86"/>
        <v>structure with developmental contribution from neural crest</v>
      </c>
      <c r="G5959" s="9" t="s">
        <v>5090</v>
      </c>
      <c r="H5959" s="9" t="s">
        <v>17901</v>
      </c>
      <c r="I5959" s="9" t="s">
        <v>11018</v>
      </c>
      <c r="J5959" s="9" t="s">
        <v>11019</v>
      </c>
      <c r="K5959" s="5" t="s">
        <v>15173</v>
      </c>
      <c r="L5959" s="13">
        <v>17336</v>
      </c>
      <c r="M5959" t="str">
        <f>VLOOKUP(L5959,[1]DevMouse!$B$2:$C$2693,2,FALSE)</f>
        <v>r6PGi</v>
      </c>
    </row>
    <row r="5960" spans="2:13" x14ac:dyDescent="0.25">
      <c r="B5960" s="36"/>
      <c r="C5960" s="20"/>
      <c r="D5960" s="25" t="s">
        <v>26232</v>
      </c>
      <c r="E5960" s="25"/>
      <c r="F5960" s="9" t="str">
        <f t="shared" si="86"/>
        <v>structure with developmental contribution from neural crest</v>
      </c>
      <c r="G5960" s="9" t="s">
        <v>5090</v>
      </c>
      <c r="H5960" s="9" t="s">
        <v>17902</v>
      </c>
      <c r="I5960" s="9" t="s">
        <v>11020</v>
      </c>
      <c r="J5960" s="9" t="s">
        <v>11021</v>
      </c>
      <c r="K5960" s="5" t="s">
        <v>15173</v>
      </c>
      <c r="L5960" s="13">
        <v>17337</v>
      </c>
      <c r="M5960" t="str">
        <f>VLOOKUP(L5960,[1]DevMouse!$B$2:$C$2693,2,FALSE)</f>
        <v>r6RVM</v>
      </c>
    </row>
    <row r="5961" spans="2:13" x14ac:dyDescent="0.25">
      <c r="B5961" s="36"/>
      <c r="C5961" s="20"/>
      <c r="D5961" s="25" t="s">
        <v>26232</v>
      </c>
      <c r="E5961" s="25"/>
      <c r="F5961" s="9" t="str">
        <f t="shared" si="86"/>
        <v>structure with developmental contribution from neural crest</v>
      </c>
      <c r="G5961" s="9" t="s">
        <v>5090</v>
      </c>
      <c r="H5961" s="9" t="s">
        <v>17903</v>
      </c>
      <c r="I5961" s="9" t="s">
        <v>11022</v>
      </c>
      <c r="J5961" s="9" t="s">
        <v>11023</v>
      </c>
      <c r="K5961" s="5" t="s">
        <v>15173</v>
      </c>
      <c r="L5961" s="13">
        <v>17338</v>
      </c>
      <c r="M5961" t="str">
        <f>VLOOKUP(L5961,[1]DevMouse!$B$2:$C$2693,2,FALSE)</f>
        <v>r6BM</v>
      </c>
    </row>
    <row r="5962" spans="2:13" x14ac:dyDescent="0.25">
      <c r="B5962" s="36"/>
      <c r="C5962" s="20"/>
      <c r="D5962" s="25" t="s">
        <v>26232</v>
      </c>
      <c r="E5962" s="25"/>
      <c r="F5962" s="9" t="str">
        <f t="shared" si="86"/>
        <v>structure with developmental contribution from neural crest</v>
      </c>
      <c r="G5962" s="9" t="s">
        <v>5090</v>
      </c>
      <c r="H5962" s="9" t="s">
        <v>17904</v>
      </c>
      <c r="I5962" s="9" t="s">
        <v>11024</v>
      </c>
      <c r="J5962" s="9" t="s">
        <v>11025</v>
      </c>
      <c r="K5962" s="5" t="s">
        <v>15173</v>
      </c>
      <c r="L5962" s="13">
        <v>17339</v>
      </c>
      <c r="M5962" t="str">
        <f>VLOOKUP(L5962,[1]DevMouse!$B$2:$C$2693,2,FALSE)</f>
        <v>r6BMv</v>
      </c>
    </row>
    <row r="5963" spans="2:13" x14ac:dyDescent="0.25">
      <c r="B5963" s="31" t="s">
        <v>26303</v>
      </c>
      <c r="C5963" s="20"/>
      <c r="D5963" s="25" t="s">
        <v>26232</v>
      </c>
      <c r="E5963" s="20" t="s">
        <v>26300</v>
      </c>
      <c r="F5963" s="9" t="str">
        <f t="shared" si="86"/>
        <v>structure with developmental contribution from neural crest</v>
      </c>
      <c r="G5963" s="9" t="s">
        <v>5090</v>
      </c>
      <c r="H5963" s="9" t="s">
        <v>17905</v>
      </c>
      <c r="I5963" s="9" t="s">
        <v>11026</v>
      </c>
      <c r="J5963" s="9" t="s">
        <v>11027</v>
      </c>
      <c r="K5963" s="5" t="s">
        <v>15173</v>
      </c>
      <c r="L5963" s="13">
        <v>17340</v>
      </c>
      <c r="M5963" t="str">
        <f>VLOOKUP(L5963,[1]DevMouse!$B$2:$C$2693,2,FALSE)</f>
        <v>r6BMm</v>
      </c>
    </row>
    <row r="5964" spans="2:13" x14ac:dyDescent="0.25">
      <c r="B5964" s="36"/>
      <c r="C5964" s="20"/>
      <c r="D5964" s="25" t="s">
        <v>26232</v>
      </c>
      <c r="E5964" s="20" t="s">
        <v>26300</v>
      </c>
      <c r="F5964" s="9" t="str">
        <f t="shared" si="86"/>
        <v>structure with developmental contribution from neural crest</v>
      </c>
      <c r="G5964" s="9" t="s">
        <v>5090</v>
      </c>
      <c r="H5964" s="9" t="s">
        <v>17906</v>
      </c>
      <c r="I5964" s="9" t="s">
        <v>11028</v>
      </c>
      <c r="J5964" s="9" t="s">
        <v>11029</v>
      </c>
      <c r="K5964" s="5" t="s">
        <v>15173</v>
      </c>
      <c r="L5964" s="13">
        <v>17341</v>
      </c>
      <c r="M5964" t="str">
        <f>VLOOKUP(L5964,[1]DevMouse!$B$2:$C$2693,2,FALSE)</f>
        <v>r6BMp</v>
      </c>
    </row>
    <row r="5965" spans="2:13" x14ac:dyDescent="0.25">
      <c r="B5965" s="31" t="s">
        <v>26303</v>
      </c>
      <c r="C5965" s="25" t="s">
        <v>3352</v>
      </c>
      <c r="D5965" s="25" t="s">
        <v>26232</v>
      </c>
      <c r="E5965" s="25" t="s">
        <v>26308</v>
      </c>
      <c r="F5965" s="9" t="str">
        <f t="shared" si="86"/>
        <v>structure with developmental contribution from neural crest</v>
      </c>
      <c r="G5965" s="9" t="s">
        <v>5090</v>
      </c>
      <c r="H5965" s="9" t="s">
        <v>17907</v>
      </c>
      <c r="I5965" s="9" t="s">
        <v>11030</v>
      </c>
      <c r="J5965" s="9" t="s">
        <v>11031</v>
      </c>
      <c r="K5965" s="5" t="s">
        <v>15173</v>
      </c>
      <c r="L5965" s="13">
        <v>17342</v>
      </c>
      <c r="M5965" t="str">
        <f>VLOOKUP(L5965,[1]DevMouse!$B$2:$C$2693,2,FALSE)</f>
        <v>r6Pr</v>
      </c>
    </row>
    <row r="5966" spans="2:13" x14ac:dyDescent="0.25">
      <c r="B5966" s="36"/>
      <c r="C5966" s="20"/>
      <c r="D5966" s="25" t="s">
        <v>26232</v>
      </c>
      <c r="E5966" s="25"/>
      <c r="F5966" s="9" t="str">
        <f t="shared" si="86"/>
        <v>structure with developmental contribution from neural crest</v>
      </c>
      <c r="G5966" s="9" t="s">
        <v>5090</v>
      </c>
      <c r="H5966" s="9" t="s">
        <v>17908</v>
      </c>
      <c r="I5966" s="9" t="s">
        <v>11032</v>
      </c>
      <c r="J5966" s="9" t="s">
        <v>11033</v>
      </c>
      <c r="K5966" s="5" t="s">
        <v>15173</v>
      </c>
      <c r="L5966" s="13">
        <v>17343</v>
      </c>
      <c r="M5966" t="str">
        <f>VLOOKUP(L5966,[1]DevMouse!$B$2:$C$2693,2,FALSE)</f>
        <v>r6BMi</v>
      </c>
    </row>
    <row r="5967" spans="2:13" x14ac:dyDescent="0.25">
      <c r="B5967" s="36"/>
      <c r="C5967" s="20"/>
      <c r="D5967" s="25" t="s">
        <v>26232</v>
      </c>
      <c r="E5967" s="25"/>
      <c r="F5967" s="9" t="str">
        <f t="shared" si="86"/>
        <v>structure with developmental contribution from neural crest</v>
      </c>
      <c r="G5967" s="9" t="s">
        <v>5090</v>
      </c>
      <c r="H5967" s="9" t="s">
        <v>17909</v>
      </c>
      <c r="I5967" s="9" t="s">
        <v>11034</v>
      </c>
      <c r="J5967" s="9" t="s">
        <v>11035</v>
      </c>
      <c r="K5967" s="5" t="s">
        <v>15173</v>
      </c>
      <c r="L5967" s="13">
        <v>17344</v>
      </c>
      <c r="M5967" t="str">
        <f>VLOOKUP(L5967,[1]DevMouse!$B$2:$C$2693,2,FALSE)</f>
        <v>r6BMRt</v>
      </c>
    </row>
    <row r="5968" spans="2:13" x14ac:dyDescent="0.25">
      <c r="B5968" s="31" t="s">
        <v>26303</v>
      </c>
      <c r="C5968" s="25" t="s">
        <v>3357</v>
      </c>
      <c r="D5968" s="25" t="s">
        <v>26232</v>
      </c>
      <c r="E5968" s="25" t="s">
        <v>26308</v>
      </c>
      <c r="F5968" s="9" t="str">
        <f t="shared" si="86"/>
        <v>structure with developmental contribution from neural crest</v>
      </c>
      <c r="G5968" s="9" t="s">
        <v>5090</v>
      </c>
      <c r="H5968" s="9" t="s">
        <v>17910</v>
      </c>
      <c r="I5968" s="9" t="s">
        <v>11036</v>
      </c>
      <c r="J5968" s="9" t="s">
        <v>11037</v>
      </c>
      <c r="K5968" s="5" t="s">
        <v>15173</v>
      </c>
      <c r="L5968" s="13">
        <v>17345</v>
      </c>
      <c r="M5968" t="str">
        <f>VLOOKUP(L5968,[1]DevMouse!$B$2:$C$2693,2,FALSE)</f>
        <v>r6RM</v>
      </c>
    </row>
    <row r="5969" spans="2:13" x14ac:dyDescent="0.25">
      <c r="B5969" s="31" t="s">
        <v>26303</v>
      </c>
      <c r="C5969" s="25" t="s">
        <v>25947</v>
      </c>
      <c r="D5969" s="25" t="s">
        <v>26185</v>
      </c>
      <c r="E5969" s="25" t="s">
        <v>26308</v>
      </c>
      <c r="F5969" s="9" t="str">
        <f t="shared" si="86"/>
        <v>structure with developmental contribution from neural crest</v>
      </c>
      <c r="G5969" s="9" t="s">
        <v>5090</v>
      </c>
      <c r="H5969" s="9" t="s">
        <v>17911</v>
      </c>
      <c r="I5969" s="9" t="s">
        <v>11038</v>
      </c>
      <c r="J5969" s="9" t="s">
        <v>11039</v>
      </c>
      <c r="K5969" s="5" t="s">
        <v>15173</v>
      </c>
      <c r="L5969" s="13">
        <v>17346</v>
      </c>
      <c r="M5969" t="str">
        <f>VLOOKUP(L5969,[1]DevMouse!$B$2:$C$2693,2,FALSE)</f>
        <v>r6Gi</v>
      </c>
    </row>
    <row r="5970" spans="2:13" x14ac:dyDescent="0.25">
      <c r="B5970" s="36"/>
      <c r="C5970" s="20"/>
      <c r="D5970" s="25" t="s">
        <v>26232</v>
      </c>
      <c r="E5970" s="25"/>
      <c r="F5970" s="9" t="str">
        <f t="shared" si="86"/>
        <v>structure with developmental contribution from neural crest</v>
      </c>
      <c r="G5970" s="9" t="s">
        <v>5090</v>
      </c>
      <c r="H5970" s="9" t="s">
        <v>17912</v>
      </c>
      <c r="I5970" s="9" t="s">
        <v>11040</v>
      </c>
      <c r="J5970" s="9" t="s">
        <v>11041</v>
      </c>
      <c r="K5970" s="5" t="s">
        <v>15173</v>
      </c>
      <c r="L5970" s="13">
        <v>17347</v>
      </c>
      <c r="M5970" t="str">
        <f>VLOOKUP(L5970,[1]DevMouse!$B$2:$C$2693,2,FALSE)</f>
        <v>r6GiV</v>
      </c>
    </row>
    <row r="5971" spans="2:13" x14ac:dyDescent="0.25">
      <c r="B5971" s="36"/>
      <c r="C5971" s="20"/>
      <c r="D5971" s="25" t="s">
        <v>26232</v>
      </c>
      <c r="E5971" s="25"/>
      <c r="F5971" s="9" t="str">
        <f t="shared" si="86"/>
        <v>structure with developmental contribution from neural crest</v>
      </c>
      <c r="G5971" s="9" t="s">
        <v>5090</v>
      </c>
      <c r="H5971" s="9" t="s">
        <v>17913</v>
      </c>
      <c r="I5971" s="9" t="s">
        <v>11042</v>
      </c>
      <c r="J5971" s="9" t="s">
        <v>11043</v>
      </c>
      <c r="K5971" s="5" t="s">
        <v>15173</v>
      </c>
      <c r="L5971" s="13">
        <v>17348</v>
      </c>
      <c r="M5971" t="str">
        <f>VLOOKUP(L5971,[1]DevMouse!$B$2:$C$2693,2,FALSE)</f>
        <v>r6BMs</v>
      </c>
    </row>
    <row r="5972" spans="2:13" x14ac:dyDescent="0.25">
      <c r="B5972" s="31" t="s">
        <v>26303</v>
      </c>
      <c r="C5972" s="25" t="s">
        <v>3369</v>
      </c>
      <c r="D5972" s="25" t="s">
        <v>26232</v>
      </c>
      <c r="E5972" s="25" t="s">
        <v>26308</v>
      </c>
      <c r="F5972" s="9" t="str">
        <f t="shared" si="86"/>
        <v>structure with developmental contribution from neural crest</v>
      </c>
      <c r="G5972" s="9" t="s">
        <v>5090</v>
      </c>
      <c r="H5972" s="9" t="s">
        <v>17914</v>
      </c>
      <c r="I5972" s="9" t="s">
        <v>11044</v>
      </c>
      <c r="J5972" s="9" t="s">
        <v>11045</v>
      </c>
      <c r="K5972" s="5" t="s">
        <v>15173</v>
      </c>
      <c r="L5972" s="13">
        <v>17349</v>
      </c>
      <c r="M5972" t="str">
        <f>VLOOKUP(L5972,[1]DevMouse!$B$2:$C$2693,2,FALSE)</f>
        <v>r6-RP</v>
      </c>
    </row>
    <row r="5973" spans="2:13" x14ac:dyDescent="0.25">
      <c r="B5973" s="31" t="s">
        <v>26303</v>
      </c>
      <c r="C5973" s="20"/>
      <c r="D5973" s="25" t="s">
        <v>26185</v>
      </c>
      <c r="E5973" s="25" t="s">
        <v>26300</v>
      </c>
      <c r="F5973" s="9" t="str">
        <f t="shared" si="86"/>
        <v>structure with developmental contribution from neural crest</v>
      </c>
      <c r="G5973" s="9" t="s">
        <v>5090</v>
      </c>
      <c r="H5973" s="9" t="s">
        <v>17915</v>
      </c>
      <c r="I5973" s="9" t="s">
        <v>11046</v>
      </c>
      <c r="J5973" s="9" t="s">
        <v>11047</v>
      </c>
      <c r="K5973" s="5" t="s">
        <v>15173</v>
      </c>
      <c r="L5973" s="13">
        <v>17350</v>
      </c>
      <c r="M5973" t="str">
        <f>VLOOKUP(L5973,[1]DevMouse!$B$2:$C$2693,2,FALSE)</f>
        <v>r6PPy</v>
      </c>
    </row>
    <row r="5974" spans="2:13" x14ac:dyDescent="0.25">
      <c r="B5974" s="31" t="s">
        <v>26303</v>
      </c>
      <c r="C5974" s="25" t="s">
        <v>26204</v>
      </c>
      <c r="D5974" s="25" t="s">
        <v>26232</v>
      </c>
      <c r="E5974" s="25"/>
      <c r="F5974" s="9" t="str">
        <f t="shared" si="86"/>
        <v>structure with developmental contribution from neural crest</v>
      </c>
      <c r="G5974" s="9" t="s">
        <v>5090</v>
      </c>
      <c r="H5974" s="9" t="s">
        <v>17916</v>
      </c>
      <c r="I5974" s="9" t="s">
        <v>4827</v>
      </c>
      <c r="J5974" s="9" t="s">
        <v>4828</v>
      </c>
      <c r="K5974" s="5" t="s">
        <v>15173</v>
      </c>
      <c r="L5974" s="13">
        <v>17351</v>
      </c>
      <c r="M5974" t="str">
        <f>VLOOKUP(L5974,[1]DevMouse!$B$2:$C$2693,2,FALSE)</f>
        <v>r6F</v>
      </c>
    </row>
    <row r="5975" spans="2:13" x14ac:dyDescent="0.25">
      <c r="B5975" s="36"/>
      <c r="C5975" s="20"/>
      <c r="D5975" s="25" t="s">
        <v>26232</v>
      </c>
      <c r="E5975" s="25"/>
      <c r="F5975" s="9" t="str">
        <f t="shared" si="86"/>
        <v>structure with developmental contribution from neural crest</v>
      </c>
      <c r="G5975" s="9" t="s">
        <v>5090</v>
      </c>
      <c r="H5975" s="9" t="s">
        <v>17924</v>
      </c>
      <c r="I5975" s="9" t="s">
        <v>4840</v>
      </c>
      <c r="J5975" s="9" t="s">
        <v>4841</v>
      </c>
      <c r="K5975" s="5" t="s">
        <v>15173</v>
      </c>
      <c r="L5975" s="13">
        <v>17354</v>
      </c>
      <c r="M5975" t="str">
        <f>VLOOKUP(L5975,[1]DevMouse!$B$2:$C$2693,2,FALSE)</f>
        <v>r7R</v>
      </c>
    </row>
    <row r="5976" spans="2:13" x14ac:dyDescent="0.25">
      <c r="B5976" s="36"/>
      <c r="C5976" s="20"/>
      <c r="D5976" s="25" t="s">
        <v>26232</v>
      </c>
      <c r="E5976" s="25"/>
      <c r="F5976" s="9" t="str">
        <f t="shared" si="86"/>
        <v>structure with developmental contribution from neural crest</v>
      </c>
      <c r="G5976" s="9" t="s">
        <v>5090</v>
      </c>
      <c r="H5976" s="9" t="s">
        <v>17925</v>
      </c>
      <c r="I5976" s="9" t="s">
        <v>11048</v>
      </c>
      <c r="J5976" s="9" t="s">
        <v>11049</v>
      </c>
      <c r="K5976" s="5" t="s">
        <v>15173</v>
      </c>
      <c r="L5976" s="13">
        <v>17355</v>
      </c>
      <c r="M5976" t="str">
        <f>VLOOKUP(L5976,[1]DevMouse!$B$2:$C$2693,2,FALSE)</f>
        <v>r7A</v>
      </c>
    </row>
    <row r="5977" spans="2:13" x14ac:dyDescent="0.25">
      <c r="B5977" s="31" t="s">
        <v>26303</v>
      </c>
      <c r="C5977" s="20"/>
      <c r="D5977" s="25" t="s">
        <v>26232</v>
      </c>
      <c r="E5977" s="25" t="s">
        <v>26307</v>
      </c>
      <c r="F5977" s="9" t="str">
        <f t="shared" si="86"/>
        <v>structure with developmental contribution from neural crest</v>
      </c>
      <c r="G5977" s="9" t="s">
        <v>5090</v>
      </c>
      <c r="H5977" s="9" t="s">
        <v>17928</v>
      </c>
      <c r="I5977" s="9" t="s">
        <v>11050</v>
      </c>
      <c r="J5977" s="9" t="s">
        <v>11051</v>
      </c>
      <c r="K5977" s="5" t="s">
        <v>15173</v>
      </c>
      <c r="L5977" s="13">
        <v>17356</v>
      </c>
      <c r="M5977" t="str">
        <f>VLOOKUP(L5977,[1]DevMouse!$B$2:$C$2693,2,FALSE)</f>
        <v>r7Co</v>
      </c>
    </row>
    <row r="5978" spans="2:13" x14ac:dyDescent="0.25">
      <c r="B5978" s="36"/>
      <c r="C5978" s="20"/>
      <c r="D5978" s="25" t="s">
        <v>26232</v>
      </c>
      <c r="E5978" s="25"/>
      <c r="F5978" s="9" t="str">
        <f t="shared" si="86"/>
        <v>structure with developmental contribution from neural crest</v>
      </c>
      <c r="G5978" s="9" t="s">
        <v>5090</v>
      </c>
      <c r="H5978" s="9" t="s">
        <v>17929</v>
      </c>
      <c r="I5978" s="9" t="s">
        <v>11052</v>
      </c>
      <c r="J5978" s="9" t="s">
        <v>11053</v>
      </c>
      <c r="K5978" s="5" t="s">
        <v>15173</v>
      </c>
      <c r="L5978" s="13">
        <v>17357</v>
      </c>
      <c r="M5978" t="str">
        <f>VLOOKUP(L5978,[1]DevMouse!$B$2:$C$2693,2,FALSE)</f>
        <v>r7Cov</v>
      </c>
    </row>
    <row r="5979" spans="2:13" x14ac:dyDescent="0.25">
      <c r="B5979" s="31" t="s">
        <v>26303</v>
      </c>
      <c r="C5979" s="20"/>
      <c r="D5979" s="25" t="s">
        <v>26232</v>
      </c>
      <c r="E5979" s="20" t="s">
        <v>26300</v>
      </c>
      <c r="F5979" s="9" t="str">
        <f t="shared" si="86"/>
        <v>structure with developmental contribution from neural crest</v>
      </c>
      <c r="G5979" s="9" t="s">
        <v>5090</v>
      </c>
      <c r="H5979" s="9" t="s">
        <v>17930</v>
      </c>
      <c r="I5979" s="9" t="s">
        <v>11054</v>
      </c>
      <c r="J5979" s="9" t="s">
        <v>11055</v>
      </c>
      <c r="K5979" s="5" t="s">
        <v>15173</v>
      </c>
      <c r="L5979" s="13">
        <v>17358</v>
      </c>
      <c r="M5979" t="str">
        <f>VLOOKUP(L5979,[1]DevMouse!$B$2:$C$2693,2,FALSE)</f>
        <v>r7Com</v>
      </c>
    </row>
    <row r="5980" spans="2:13" x14ac:dyDescent="0.25">
      <c r="B5980" s="31" t="s">
        <v>26303</v>
      </c>
      <c r="C5980" s="25" t="s">
        <v>1518</v>
      </c>
      <c r="D5980" s="25" t="s">
        <v>26232</v>
      </c>
      <c r="E5980" s="25" t="s">
        <v>26308</v>
      </c>
      <c r="F5980" s="9" t="str">
        <f t="shared" si="86"/>
        <v>structure with developmental contribution from neural crest</v>
      </c>
      <c r="G5980" s="9" t="s">
        <v>5090</v>
      </c>
      <c r="H5980" s="9" t="s">
        <v>17932</v>
      </c>
      <c r="I5980" s="9" t="s">
        <v>11056</v>
      </c>
      <c r="J5980" s="9" t="s">
        <v>11057</v>
      </c>
      <c r="K5980" s="5" t="s">
        <v>15173</v>
      </c>
      <c r="L5980" s="13">
        <v>17359</v>
      </c>
      <c r="M5980" t="str">
        <f>VLOOKUP(L5980,[1]DevMouse!$B$2:$C$2693,2,FALSE)</f>
        <v>r7DC</v>
      </c>
    </row>
    <row r="5981" spans="2:13" x14ac:dyDescent="0.25">
      <c r="B5981" s="31" t="s">
        <v>26303</v>
      </c>
      <c r="C5981" s="25" t="s">
        <v>26150</v>
      </c>
      <c r="D5981" s="25" t="s">
        <v>26232</v>
      </c>
      <c r="E5981" s="25" t="s">
        <v>26308</v>
      </c>
      <c r="F5981" s="9" t="str">
        <f t="shared" si="86"/>
        <v>structure with developmental contribution from neural crest</v>
      </c>
      <c r="G5981" s="9" t="s">
        <v>5090</v>
      </c>
      <c r="H5981" s="9" t="s">
        <v>17935</v>
      </c>
      <c r="I5981" s="9" t="s">
        <v>11058</v>
      </c>
      <c r="J5981" s="9" t="s">
        <v>11059</v>
      </c>
      <c r="K5981" s="5" t="s">
        <v>15173</v>
      </c>
      <c r="L5981" s="13">
        <v>17360</v>
      </c>
      <c r="M5981" t="str">
        <f>VLOOKUP(L5981,[1]DevMouse!$B$2:$C$2693,2,FALSE)</f>
        <v>r7PVC</v>
      </c>
    </row>
    <row r="5982" spans="2:13" x14ac:dyDescent="0.25">
      <c r="B5982" s="36"/>
      <c r="C5982" s="20"/>
      <c r="D5982" s="25" t="s">
        <v>26232</v>
      </c>
      <c r="E5982" s="25"/>
      <c r="F5982" s="9" t="str">
        <f t="shared" si="86"/>
        <v>structure with developmental contribution from neural crest</v>
      </c>
      <c r="G5982" s="9" t="s">
        <v>5090</v>
      </c>
      <c r="H5982" s="9" t="s">
        <v>17936</v>
      </c>
      <c r="I5982" s="9" t="s">
        <v>11060</v>
      </c>
      <c r="J5982" s="9" t="s">
        <v>11061</v>
      </c>
      <c r="K5982" s="5" t="s">
        <v>15173</v>
      </c>
      <c r="L5982" s="13">
        <v>17361</v>
      </c>
      <c r="M5982" t="str">
        <f>VLOOKUP(L5982,[1]DevMouse!$B$2:$C$2693,2,FALSE)</f>
        <v>r7Ve</v>
      </c>
    </row>
    <row r="5983" spans="2:13" x14ac:dyDescent="0.25">
      <c r="B5983" s="36"/>
      <c r="C5983" s="20"/>
      <c r="D5983" s="25" t="s">
        <v>26232</v>
      </c>
      <c r="E5983" s="25"/>
      <c r="F5983" s="9" t="str">
        <f t="shared" si="86"/>
        <v>structure with developmental contribution from neural crest</v>
      </c>
      <c r="G5983" s="9" t="s">
        <v>5090</v>
      </c>
      <c r="H5983" s="9" t="s">
        <v>17937</v>
      </c>
      <c r="I5983" s="9" t="s">
        <v>11062</v>
      </c>
      <c r="J5983" s="9" t="s">
        <v>11063</v>
      </c>
      <c r="K5983" s="5" t="s">
        <v>15173</v>
      </c>
      <c r="L5983" s="13">
        <v>17362</v>
      </c>
      <c r="M5983" t="str">
        <f>VLOOKUP(L5983,[1]DevMouse!$B$2:$C$2693,2,FALSE)</f>
        <v>r7Vev</v>
      </c>
    </row>
    <row r="5984" spans="2:13" x14ac:dyDescent="0.25">
      <c r="B5984" s="31" t="s">
        <v>26303</v>
      </c>
      <c r="C5984" s="20"/>
      <c r="D5984" s="25" t="s">
        <v>26232</v>
      </c>
      <c r="E5984" s="20" t="s">
        <v>26300</v>
      </c>
      <c r="F5984" s="9" t="str">
        <f t="shared" si="86"/>
        <v>structure with developmental contribution from neural crest</v>
      </c>
      <c r="G5984" s="9" t="s">
        <v>5090</v>
      </c>
      <c r="H5984" s="9" t="s">
        <v>17938</v>
      </c>
      <c r="I5984" s="9" t="s">
        <v>11064</v>
      </c>
      <c r="J5984" s="9" t="s">
        <v>11065</v>
      </c>
      <c r="K5984" s="5" t="s">
        <v>15173</v>
      </c>
      <c r="L5984" s="13">
        <v>17363</v>
      </c>
      <c r="M5984" t="str">
        <f>VLOOKUP(L5984,[1]DevMouse!$B$2:$C$2693,2,FALSE)</f>
        <v>r7Vem</v>
      </c>
    </row>
    <row r="5985" spans="2:13" x14ac:dyDescent="0.25">
      <c r="B5985" s="31" t="s">
        <v>26303</v>
      </c>
      <c r="C5985" s="25" t="s">
        <v>25970</v>
      </c>
      <c r="D5985" s="25" t="s">
        <v>26232</v>
      </c>
      <c r="E5985" s="25" t="s">
        <v>26308</v>
      </c>
      <c r="F5985" s="9" t="str">
        <f t="shared" si="86"/>
        <v>structure with developmental contribution from neural crest</v>
      </c>
      <c r="G5985" s="9" t="s">
        <v>5090</v>
      </c>
      <c r="H5985" s="9" t="s">
        <v>17943</v>
      </c>
      <c r="I5985" s="9" t="s">
        <v>11066</v>
      </c>
      <c r="J5985" s="9" t="s">
        <v>11067</v>
      </c>
      <c r="K5985" s="5" t="s">
        <v>15173</v>
      </c>
      <c r="L5985" s="13">
        <v>17364</v>
      </c>
      <c r="M5985" t="str">
        <f>VLOOKUP(L5985,[1]DevMouse!$B$2:$C$2693,2,FALSE)</f>
        <v>r7SpVe</v>
      </c>
    </row>
    <row r="5986" spans="2:13" x14ac:dyDescent="0.25">
      <c r="B5986" s="31" t="s">
        <v>26303</v>
      </c>
      <c r="C5986" s="25" t="s">
        <v>3042</v>
      </c>
      <c r="D5986" s="25" t="s">
        <v>26232</v>
      </c>
      <c r="E5986" s="25" t="s">
        <v>26308</v>
      </c>
      <c r="F5986" s="9" t="str">
        <f t="shared" si="86"/>
        <v>structure with developmental contribution from neural crest</v>
      </c>
      <c r="G5986" s="9" t="s">
        <v>5090</v>
      </c>
      <c r="H5986" s="9" t="s">
        <v>17940</v>
      </c>
      <c r="I5986" s="9" t="s">
        <v>11068</v>
      </c>
      <c r="J5986" s="9" t="s">
        <v>11069</v>
      </c>
      <c r="K5986" s="5" t="s">
        <v>15173</v>
      </c>
      <c r="L5986" s="13">
        <v>17365</v>
      </c>
      <c r="M5986" t="str">
        <f>VLOOKUP(L5986,[1]DevMouse!$B$2:$C$2693,2,FALSE)</f>
        <v>r7MVePC</v>
      </c>
    </row>
    <row r="5987" spans="2:13" x14ac:dyDescent="0.25">
      <c r="B5987" s="36"/>
      <c r="C5987" s="20"/>
      <c r="D5987" s="25" t="s">
        <v>26232</v>
      </c>
      <c r="E5987" s="25" t="s">
        <v>26308</v>
      </c>
      <c r="F5987" s="9" t="str">
        <f t="shared" si="86"/>
        <v>structure with developmental contribution from neural crest</v>
      </c>
      <c r="G5987" s="9" t="s">
        <v>5090</v>
      </c>
      <c r="H5987" s="9" t="s">
        <v>17944</v>
      </c>
      <c r="I5987" s="9" t="s">
        <v>11070</v>
      </c>
      <c r="J5987" s="9" t="s">
        <v>11071</v>
      </c>
      <c r="K5987" s="5" t="s">
        <v>15173</v>
      </c>
      <c r="L5987" s="13">
        <v>17366</v>
      </c>
      <c r="M5987" t="str">
        <f>VLOOKUP(L5987,[1]DevMouse!$B$2:$C$2693,2,FALSE)</f>
        <v>r7Tr</v>
      </c>
    </row>
    <row r="5988" spans="2:13" x14ac:dyDescent="0.25">
      <c r="B5988" s="36"/>
      <c r="C5988" s="20"/>
      <c r="D5988" s="25" t="s">
        <v>26232</v>
      </c>
      <c r="E5988" s="25"/>
      <c r="F5988" s="9" t="str">
        <f t="shared" si="86"/>
        <v>structure with developmental contribution from neural crest</v>
      </c>
      <c r="G5988" s="9" t="s">
        <v>5090</v>
      </c>
      <c r="H5988" s="9" t="s">
        <v>17945</v>
      </c>
      <c r="I5988" s="9" t="s">
        <v>11072</v>
      </c>
      <c r="J5988" s="9" t="s">
        <v>11073</v>
      </c>
      <c r="K5988" s="5" t="s">
        <v>15173</v>
      </c>
      <c r="L5988" s="13">
        <v>17367</v>
      </c>
      <c r="M5988" t="str">
        <f>VLOOKUP(L5988,[1]DevMouse!$B$2:$C$2693,2,FALSE)</f>
        <v>r7Trv</v>
      </c>
    </row>
    <row r="5989" spans="2:13" x14ac:dyDescent="0.25">
      <c r="B5989" s="31" t="s">
        <v>26303</v>
      </c>
      <c r="C5989" s="20"/>
      <c r="D5989" s="25" t="s">
        <v>26232</v>
      </c>
      <c r="E5989" s="20" t="s">
        <v>26300</v>
      </c>
      <c r="F5989" s="9" t="str">
        <f t="shared" si="86"/>
        <v>structure with developmental contribution from neural crest</v>
      </c>
      <c r="G5989" s="9" t="s">
        <v>5090</v>
      </c>
      <c r="H5989" s="9" t="s">
        <v>17946</v>
      </c>
      <c r="I5989" s="9" t="s">
        <v>11074</v>
      </c>
      <c r="J5989" s="9" t="s">
        <v>11075</v>
      </c>
      <c r="K5989" s="5" t="s">
        <v>15173</v>
      </c>
      <c r="L5989" s="13">
        <v>17368</v>
      </c>
      <c r="M5989" t="str">
        <f>VLOOKUP(L5989,[1]DevMouse!$B$2:$C$2693,2,FALSE)</f>
        <v>r7Trm</v>
      </c>
    </row>
    <row r="5990" spans="2:13" x14ac:dyDescent="0.25">
      <c r="B5990" s="31" t="s">
        <v>26303</v>
      </c>
      <c r="C5990" s="25" t="s">
        <v>25977</v>
      </c>
      <c r="D5990" s="25" t="s">
        <v>26185</v>
      </c>
      <c r="E5990" s="25" t="s">
        <v>26308</v>
      </c>
      <c r="F5990" s="9" t="str">
        <f t="shared" si="86"/>
        <v>structure with developmental contribution from neural crest</v>
      </c>
      <c r="G5990" s="9" t="s">
        <v>5090</v>
      </c>
      <c r="H5990" s="9" t="s">
        <v>17953</v>
      </c>
      <c r="I5990" s="9" t="s">
        <v>11076</v>
      </c>
      <c r="J5990" s="9" t="s">
        <v>11077</v>
      </c>
      <c r="K5990" s="5" t="s">
        <v>15173</v>
      </c>
      <c r="L5990" s="13">
        <v>17369</v>
      </c>
      <c r="M5990" t="str">
        <f>VLOOKUP(L5990,[1]DevMouse!$B$2:$C$2693,2,FALSE)</f>
        <v>r7Sp5I</v>
      </c>
    </row>
    <row r="5991" spans="2:13" x14ac:dyDescent="0.25">
      <c r="B5991" s="36"/>
      <c r="C5991" s="20"/>
      <c r="D5991" s="25" t="s">
        <v>26232</v>
      </c>
      <c r="E5991" s="25" t="s">
        <v>26308</v>
      </c>
      <c r="F5991" s="9" t="str">
        <f t="shared" si="86"/>
        <v>structure with developmental contribution from neural crest</v>
      </c>
      <c r="G5991" s="9" t="s">
        <v>5090</v>
      </c>
      <c r="H5991" s="9" t="s">
        <v>17950</v>
      </c>
      <c r="I5991" s="9" t="s">
        <v>11078</v>
      </c>
      <c r="J5991" s="9" t="s">
        <v>11079</v>
      </c>
      <c r="K5991" s="5" t="s">
        <v>15173</v>
      </c>
      <c r="L5991" s="13">
        <v>17370</v>
      </c>
      <c r="M5991" t="str">
        <f>VLOOKUP(L5991,[1]DevMouse!$B$2:$C$2693,2,FALSE)</f>
        <v>r7-5Tr</v>
      </c>
    </row>
    <row r="5992" spans="2:13" x14ac:dyDescent="0.25">
      <c r="B5992" s="31" t="s">
        <v>26303</v>
      </c>
      <c r="C5992" s="20"/>
      <c r="D5992" s="25" t="s">
        <v>26232</v>
      </c>
      <c r="E5992" s="25" t="s">
        <v>26308</v>
      </c>
      <c r="F5992" s="9" t="str">
        <f t="shared" si="86"/>
        <v>structure with developmental contribution from neural crest</v>
      </c>
      <c r="G5992" s="9" t="s">
        <v>5090</v>
      </c>
      <c r="H5992" s="9" t="s">
        <v>17948</v>
      </c>
      <c r="I5992" s="9" t="s">
        <v>11080</v>
      </c>
      <c r="J5992" s="9" t="s">
        <v>11081</v>
      </c>
      <c r="K5992" s="5" t="s">
        <v>15173</v>
      </c>
      <c r="L5992" s="13">
        <v>17371</v>
      </c>
      <c r="M5992" t="str">
        <f>VLOOKUP(L5992,[1]DevMouse!$B$2:$C$2693,2,FALSE)</f>
        <v>r7Sol</v>
      </c>
    </row>
    <row r="5993" spans="2:13" x14ac:dyDescent="0.25">
      <c r="B5993" s="36"/>
      <c r="C5993" s="20"/>
      <c r="D5993" s="25" t="s">
        <v>26232</v>
      </c>
      <c r="E5993" s="25"/>
      <c r="F5993" s="9" t="str">
        <f t="shared" si="86"/>
        <v>structure with developmental contribution from neural crest</v>
      </c>
      <c r="G5993" s="9" t="s">
        <v>5090</v>
      </c>
      <c r="H5993" s="9" t="s">
        <v>17951</v>
      </c>
      <c r="I5993" s="9" t="s">
        <v>11082</v>
      </c>
      <c r="J5993" s="9" t="s">
        <v>11083</v>
      </c>
      <c r="K5993" s="5" t="s">
        <v>15173</v>
      </c>
      <c r="L5993" s="13">
        <v>17372</v>
      </c>
      <c r="M5993" t="str">
        <f>VLOOKUP(L5993,[1]DevMouse!$B$2:$C$2693,2,FALSE)</f>
        <v>r7DPCRt</v>
      </c>
    </row>
    <row r="5994" spans="2:13" x14ac:dyDescent="0.25">
      <c r="B5994" s="36"/>
      <c r="C5994" s="20"/>
      <c r="D5994" s="25" t="s">
        <v>26232</v>
      </c>
      <c r="E5994" s="25"/>
      <c r="F5994" s="9" t="str">
        <f t="shared" si="86"/>
        <v>structure with developmental contribution from neural crest</v>
      </c>
      <c r="G5994" s="9" t="s">
        <v>5090</v>
      </c>
      <c r="H5994" s="9" t="s">
        <v>17954</v>
      </c>
      <c r="I5994" s="9" t="s">
        <v>11084</v>
      </c>
      <c r="J5994" s="9" t="s">
        <v>11085</v>
      </c>
      <c r="K5994" s="5" t="s">
        <v>15173</v>
      </c>
      <c r="L5994" s="13">
        <v>17373</v>
      </c>
      <c r="M5994" t="str">
        <f>VLOOKUP(L5994,[1]DevMouse!$B$2:$C$2693,2,FALSE)</f>
        <v>r7Lim</v>
      </c>
    </row>
    <row r="5995" spans="2:13" x14ac:dyDescent="0.25">
      <c r="B5995" s="36"/>
      <c r="C5995" s="20"/>
      <c r="D5995" s="25" t="s">
        <v>26232</v>
      </c>
      <c r="E5995" s="25"/>
      <c r="F5995" s="9" t="str">
        <f t="shared" si="86"/>
        <v>structure with developmental contribution from neural crest</v>
      </c>
      <c r="G5995" s="9" t="s">
        <v>5090</v>
      </c>
      <c r="H5995" s="9" t="s">
        <v>17955</v>
      </c>
      <c r="I5995" s="9" t="s">
        <v>11086</v>
      </c>
      <c r="J5995" s="9" t="s">
        <v>11087</v>
      </c>
      <c r="K5995" s="5" t="s">
        <v>15173</v>
      </c>
      <c r="L5995" s="13">
        <v>17374</v>
      </c>
      <c r="M5995" t="str">
        <f>VLOOKUP(L5995,[1]DevMouse!$B$2:$C$2693,2,FALSE)</f>
        <v>r7Limv</v>
      </c>
    </row>
    <row r="5996" spans="2:13" x14ac:dyDescent="0.25">
      <c r="B5996" s="31" t="s">
        <v>26303</v>
      </c>
      <c r="C5996" s="20"/>
      <c r="D5996" s="25" t="s">
        <v>26232</v>
      </c>
      <c r="E5996" s="20" t="s">
        <v>26300</v>
      </c>
      <c r="F5996" s="9" t="str">
        <f t="shared" si="86"/>
        <v>structure with developmental contribution from neural crest</v>
      </c>
      <c r="G5996" s="9" t="s">
        <v>5090</v>
      </c>
      <c r="H5996" s="9" t="s">
        <v>17956</v>
      </c>
      <c r="I5996" s="9" t="s">
        <v>11088</v>
      </c>
      <c r="J5996" s="9" t="s">
        <v>11089</v>
      </c>
      <c r="K5996" s="5" t="s">
        <v>15173</v>
      </c>
      <c r="L5996" s="13">
        <v>17375</v>
      </c>
      <c r="M5996" t="str">
        <f>VLOOKUP(L5996,[1]DevMouse!$B$2:$C$2693,2,FALSE)</f>
        <v>r7Limm</v>
      </c>
    </row>
    <row r="5997" spans="2:13" x14ac:dyDescent="0.25">
      <c r="B5997" s="36"/>
      <c r="C5997" s="20"/>
      <c r="D5997" s="25" t="s">
        <v>26232</v>
      </c>
      <c r="E5997" s="25"/>
      <c r="F5997" s="9" t="str">
        <f t="shared" si="86"/>
        <v>structure with developmental contribution from neural crest</v>
      </c>
      <c r="G5997" s="9" t="s">
        <v>5090</v>
      </c>
      <c r="H5997" s="9" t="s">
        <v>17958</v>
      </c>
      <c r="I5997" s="9" t="s">
        <v>11090</v>
      </c>
      <c r="J5997" s="9" t="s">
        <v>11091</v>
      </c>
      <c r="K5997" s="5" t="s">
        <v>15173</v>
      </c>
      <c r="L5997" s="13">
        <v>17376</v>
      </c>
      <c r="M5997" t="str">
        <f>VLOOKUP(L5997,[1]DevMouse!$B$2:$C$2693,2,FALSE)</f>
        <v>r7LimCG</v>
      </c>
    </row>
    <row r="5998" spans="2:13" x14ac:dyDescent="0.25">
      <c r="B5998" s="36"/>
      <c r="C5998" s="20"/>
      <c r="D5998" s="25" t="s">
        <v>26232</v>
      </c>
      <c r="E5998" s="25"/>
      <c r="F5998" s="9" t="str">
        <f t="shared" si="86"/>
        <v>structure with developmental contribution from neural crest</v>
      </c>
      <c r="G5998" s="9" t="s">
        <v>5090</v>
      </c>
      <c r="H5998" s="9" t="s">
        <v>17959</v>
      </c>
      <c r="I5998" s="9" t="s">
        <v>11092</v>
      </c>
      <c r="J5998" s="9" t="s">
        <v>11093</v>
      </c>
      <c r="K5998" s="5" t="s">
        <v>15173</v>
      </c>
      <c r="L5998" s="13">
        <v>17377</v>
      </c>
      <c r="M5998" t="str">
        <f>VLOOKUP(L5998,[1]DevMouse!$B$2:$C$2693,2,FALSE)</f>
        <v>r7-10M</v>
      </c>
    </row>
    <row r="5999" spans="2:13" x14ac:dyDescent="0.25">
      <c r="B5999" s="36"/>
      <c r="C5999" s="20"/>
      <c r="D5999" s="25" t="s">
        <v>26232</v>
      </c>
      <c r="E5999" s="25"/>
      <c r="F5999" s="9" t="str">
        <f t="shared" si="86"/>
        <v>structure with developmental contribution from neural crest</v>
      </c>
      <c r="G5999" s="9" t="s">
        <v>5090</v>
      </c>
      <c r="H5999" s="9" t="s">
        <v>17963</v>
      </c>
      <c r="I5999" s="9" t="s">
        <v>11094</v>
      </c>
      <c r="J5999" s="9" t="s">
        <v>11095</v>
      </c>
      <c r="K5999" s="5" t="s">
        <v>15173</v>
      </c>
      <c r="L5999" s="13">
        <v>17378</v>
      </c>
      <c r="M5999" t="str">
        <f>VLOOKUP(L5999,[1]DevMouse!$B$2:$C$2693,2,FALSE)</f>
        <v>r7Amb</v>
      </c>
    </row>
    <row r="6000" spans="2:13" x14ac:dyDescent="0.25">
      <c r="B6000" s="36"/>
      <c r="C6000" s="20"/>
      <c r="D6000" s="25" t="s">
        <v>26232</v>
      </c>
      <c r="E6000" s="25"/>
      <c r="F6000" s="9" t="str">
        <f t="shared" si="86"/>
        <v>structure with developmental contribution from neural crest</v>
      </c>
      <c r="G6000" s="9" t="s">
        <v>5090</v>
      </c>
      <c r="H6000" s="9" t="s">
        <v>17961</v>
      </c>
      <c r="I6000" s="9" t="s">
        <v>11096</v>
      </c>
      <c r="J6000" s="9" t="s">
        <v>11097</v>
      </c>
      <c r="K6000" s="5" t="s">
        <v>15173</v>
      </c>
      <c r="L6000" s="13">
        <v>17379</v>
      </c>
      <c r="M6000" t="str">
        <f>VLOOKUP(L6000,[1]DevMouse!$B$2:$C$2693,2,FALSE)</f>
        <v>r7VPCRt</v>
      </c>
    </row>
    <row r="6001" spans="2:13" x14ac:dyDescent="0.25">
      <c r="B6001" s="36"/>
      <c r="C6001" s="20"/>
      <c r="D6001" s="25" t="s">
        <v>26232</v>
      </c>
      <c r="E6001" s="25"/>
      <c r="F6001" s="9" t="str">
        <f t="shared" si="86"/>
        <v>structure with developmental contribution from neural crest</v>
      </c>
      <c r="G6001" s="9" t="s">
        <v>5090</v>
      </c>
      <c r="H6001" s="9" t="s">
        <v>17964</v>
      </c>
      <c r="I6001" s="9" t="s">
        <v>11098</v>
      </c>
      <c r="J6001" s="9" t="s">
        <v>11099</v>
      </c>
      <c r="K6001" s="5" t="s">
        <v>15173</v>
      </c>
      <c r="L6001" s="13">
        <v>17380</v>
      </c>
      <c r="M6001" t="str">
        <f>VLOOKUP(L6001,[1]DevMouse!$B$2:$C$2693,2,FALSE)</f>
        <v>r7B</v>
      </c>
    </row>
    <row r="6002" spans="2:13" x14ac:dyDescent="0.25">
      <c r="B6002" s="36"/>
      <c r="C6002" s="20"/>
      <c r="D6002" s="25" t="s">
        <v>26232</v>
      </c>
      <c r="E6002" s="25"/>
      <c r="F6002" s="9" t="str">
        <f t="shared" si="86"/>
        <v>structure with developmental contribution from neural crest</v>
      </c>
      <c r="G6002" s="9" t="s">
        <v>5090</v>
      </c>
      <c r="H6002" s="9" t="s">
        <v>17967</v>
      </c>
      <c r="I6002" s="9" t="s">
        <v>11100</v>
      </c>
      <c r="J6002" s="9" t="s">
        <v>11101</v>
      </c>
      <c r="K6002" s="5" t="s">
        <v>15173</v>
      </c>
      <c r="L6002" s="13">
        <v>17381</v>
      </c>
      <c r="M6002" t="str">
        <f>VLOOKUP(L6002,[1]DevMouse!$B$2:$C$2693,2,FALSE)</f>
        <v>r7BL</v>
      </c>
    </row>
    <row r="6003" spans="2:13" x14ac:dyDescent="0.25">
      <c r="B6003" s="36"/>
      <c r="C6003" s="20"/>
      <c r="D6003" s="25" t="s">
        <v>26232</v>
      </c>
      <c r="E6003" s="25"/>
      <c r="F6003" s="9" t="str">
        <f t="shared" si="86"/>
        <v>structure with developmental contribution from neural crest</v>
      </c>
      <c r="G6003" s="9" t="s">
        <v>5090</v>
      </c>
      <c r="H6003" s="9" t="s">
        <v>17968</v>
      </c>
      <c r="I6003" s="9" t="s">
        <v>11102</v>
      </c>
      <c r="J6003" s="9" t="s">
        <v>11103</v>
      </c>
      <c r="K6003" s="5" t="s">
        <v>15173</v>
      </c>
      <c r="L6003" s="13">
        <v>17382</v>
      </c>
      <c r="M6003" t="str">
        <f>VLOOKUP(L6003,[1]DevMouse!$B$2:$C$2693,2,FALSE)</f>
        <v>r7BLv</v>
      </c>
    </row>
    <row r="6004" spans="2:13" x14ac:dyDescent="0.25">
      <c r="B6004" s="31" t="s">
        <v>26303</v>
      </c>
      <c r="C6004" s="20"/>
      <c r="D6004" s="25" t="s">
        <v>26232</v>
      </c>
      <c r="E6004" s="20" t="s">
        <v>26300</v>
      </c>
      <c r="F6004" s="9" t="str">
        <f t="shared" si="86"/>
        <v>structure with developmental contribution from neural crest</v>
      </c>
      <c r="G6004" s="9" t="s">
        <v>5090</v>
      </c>
      <c r="H6004" s="9" t="s">
        <v>17969</v>
      </c>
      <c r="I6004" s="9" t="s">
        <v>11104</v>
      </c>
      <c r="J6004" s="9" t="s">
        <v>11105</v>
      </c>
      <c r="K6004" s="5" t="s">
        <v>15173</v>
      </c>
      <c r="L6004" s="13">
        <v>17383</v>
      </c>
      <c r="M6004" t="str">
        <f>VLOOKUP(L6004,[1]DevMouse!$B$2:$C$2693,2,FALSE)</f>
        <v>r7BLm</v>
      </c>
    </row>
    <row r="6005" spans="2:13" x14ac:dyDescent="0.25">
      <c r="B6005" s="36"/>
      <c r="C6005" s="20"/>
      <c r="D6005" s="25" t="s">
        <v>26232</v>
      </c>
      <c r="E6005" s="20" t="s">
        <v>26300</v>
      </c>
      <c r="F6005" s="9" t="str">
        <f t="shared" si="86"/>
        <v>structure with developmental contribution from neural crest</v>
      </c>
      <c r="G6005" s="9" t="s">
        <v>5090</v>
      </c>
      <c r="H6005" s="9" t="s">
        <v>17970</v>
      </c>
      <c r="I6005" s="9" t="s">
        <v>11106</v>
      </c>
      <c r="J6005" s="9" t="s">
        <v>11107</v>
      </c>
      <c r="K6005" s="5" t="s">
        <v>15173</v>
      </c>
      <c r="L6005" s="13">
        <v>17384</v>
      </c>
      <c r="M6005" t="str">
        <f>VLOOKUP(L6005,[1]DevMouse!$B$2:$C$2693,2,FALSE)</f>
        <v>r7BLp</v>
      </c>
    </row>
    <row r="6006" spans="2:13" x14ac:dyDescent="0.25">
      <c r="B6006" s="36"/>
      <c r="C6006" s="20"/>
      <c r="D6006" s="25" t="s">
        <v>26232</v>
      </c>
      <c r="E6006" s="25"/>
      <c r="F6006" s="9" t="str">
        <f t="shared" si="86"/>
        <v>structure with developmental contribution from neural crest</v>
      </c>
      <c r="G6006" s="9" t="s">
        <v>5090</v>
      </c>
      <c r="H6006" s="9" t="s">
        <v>17971</v>
      </c>
      <c r="I6006" s="9" t="s">
        <v>11108</v>
      </c>
      <c r="J6006" s="9" t="s">
        <v>11109</v>
      </c>
      <c r="K6006" s="5" t="s">
        <v>15173</v>
      </c>
      <c r="L6006" s="13">
        <v>17385</v>
      </c>
      <c r="M6006" t="str">
        <f>VLOOKUP(L6006,[1]DevMouse!$B$2:$C$2693,2,FALSE)</f>
        <v>r7BLIZ</v>
      </c>
    </row>
    <row r="6007" spans="2:13" x14ac:dyDescent="0.25">
      <c r="B6007" s="36"/>
      <c r="C6007" s="20"/>
      <c r="D6007" s="25" t="s">
        <v>26232</v>
      </c>
      <c r="E6007" s="25"/>
      <c r="F6007" s="9" t="str">
        <f t="shared" ref="F6007:F6070" si="87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6007" s="9" t="s">
        <v>5090</v>
      </c>
      <c r="H6007" s="9" t="s">
        <v>17972</v>
      </c>
      <c r="I6007" s="9" t="s">
        <v>11110</v>
      </c>
      <c r="J6007" s="9" t="s">
        <v>11111</v>
      </c>
      <c r="K6007" s="5" t="s">
        <v>15173</v>
      </c>
      <c r="L6007" s="13">
        <v>17386</v>
      </c>
      <c r="M6007" t="str">
        <f>VLOOKUP(L6007,[1]DevMouse!$B$2:$C$2693,2,FALSE)</f>
        <v>r7BLi</v>
      </c>
    </row>
    <row r="6008" spans="2:13" x14ac:dyDescent="0.25">
      <c r="B6008" s="36"/>
      <c r="C6008" s="20"/>
      <c r="D6008" s="25" t="s">
        <v>26232</v>
      </c>
      <c r="E6008" s="25"/>
      <c r="F6008" s="9" t="str">
        <f t="shared" si="87"/>
        <v>structure with developmental contribution from neural crest</v>
      </c>
      <c r="G6008" s="9" t="s">
        <v>5090</v>
      </c>
      <c r="H6008" s="9" t="s">
        <v>17973</v>
      </c>
      <c r="I6008" s="9" t="s">
        <v>11112</v>
      </c>
      <c r="J6008" s="9" t="s">
        <v>11113</v>
      </c>
      <c r="K6008" s="5" t="s">
        <v>15173</v>
      </c>
      <c r="L6008" s="13">
        <v>17387</v>
      </c>
      <c r="M6008" t="str">
        <f>VLOOKUP(L6008,[1]DevMouse!$B$2:$C$2693,2,FALSE)</f>
        <v>r7BLRt</v>
      </c>
    </row>
    <row r="6009" spans="2:13" x14ac:dyDescent="0.25">
      <c r="B6009" s="36"/>
      <c r="C6009" s="20"/>
      <c r="D6009" s="25" t="s">
        <v>26232</v>
      </c>
      <c r="E6009" s="25"/>
      <c r="F6009" s="9" t="str">
        <f t="shared" si="87"/>
        <v>structure with developmental contribution from neural crest</v>
      </c>
      <c r="G6009" s="9" t="s">
        <v>5090</v>
      </c>
      <c r="H6009" s="9" t="s">
        <v>17974</v>
      </c>
      <c r="I6009" s="9" t="s">
        <v>11114</v>
      </c>
      <c r="J6009" s="9" t="s">
        <v>11115</v>
      </c>
      <c r="K6009" s="5" t="s">
        <v>15173</v>
      </c>
      <c r="L6009" s="13">
        <v>17388</v>
      </c>
      <c r="M6009" t="str">
        <f>VLOOKUP(L6009,[1]DevMouse!$B$2:$C$2693,2,FALSE)</f>
        <v>r7BLs</v>
      </c>
    </row>
    <row r="6010" spans="2:13" x14ac:dyDescent="0.25">
      <c r="B6010" s="36"/>
      <c r="C6010" s="20"/>
      <c r="D6010" s="25" t="s">
        <v>26232</v>
      </c>
      <c r="E6010" s="25"/>
      <c r="F6010" s="9" t="str">
        <f t="shared" si="87"/>
        <v>structure with developmental contribution from neural crest</v>
      </c>
      <c r="G6010" s="9" t="s">
        <v>5090</v>
      </c>
      <c r="H6010" s="9" t="s">
        <v>17975</v>
      </c>
      <c r="I6010" s="9" t="s">
        <v>11116</v>
      </c>
      <c r="J6010" s="9" t="s">
        <v>11117</v>
      </c>
      <c r="K6010" s="5" t="s">
        <v>15173</v>
      </c>
      <c r="L6010" s="13">
        <v>17389</v>
      </c>
      <c r="M6010" t="str">
        <f>VLOOKUP(L6010,[1]DevMouse!$B$2:$C$2693,2,FALSE)</f>
        <v>RVL</v>
      </c>
    </row>
    <row r="6011" spans="2:13" x14ac:dyDescent="0.25">
      <c r="B6011" s="36"/>
      <c r="C6011" s="20"/>
      <c r="D6011" s="25" t="s">
        <v>26232</v>
      </c>
      <c r="E6011" s="25"/>
      <c r="F6011" s="9" t="str">
        <f t="shared" si="87"/>
        <v>structure with developmental contribution from neural crest</v>
      </c>
      <c r="G6011" s="9" t="s">
        <v>5090</v>
      </c>
      <c r="H6011" s="9" t="s">
        <v>17976</v>
      </c>
      <c r="I6011" s="9" t="s">
        <v>11118</v>
      </c>
      <c r="J6011" s="9" t="s">
        <v>11119</v>
      </c>
      <c r="K6011" s="5" t="s">
        <v>15173</v>
      </c>
      <c r="L6011" s="13">
        <v>17390</v>
      </c>
      <c r="M6011" t="str">
        <f>VLOOKUP(L6011,[1]DevMouse!$B$2:$C$2693,2,FALSE)</f>
        <v>r7BI</v>
      </c>
    </row>
    <row r="6012" spans="2:13" x14ac:dyDescent="0.25">
      <c r="B6012" s="36"/>
      <c r="C6012" s="20"/>
      <c r="D6012" s="25" t="s">
        <v>26232</v>
      </c>
      <c r="E6012" s="25"/>
      <c r="F6012" s="9" t="str">
        <f t="shared" si="87"/>
        <v>structure with developmental contribution from neural crest</v>
      </c>
      <c r="G6012" s="9" t="s">
        <v>5090</v>
      </c>
      <c r="H6012" s="9" t="s">
        <v>17977</v>
      </c>
      <c r="I6012" s="9" t="s">
        <v>11120</v>
      </c>
      <c r="J6012" s="9" t="s">
        <v>11121</v>
      </c>
      <c r="K6012" s="5" t="s">
        <v>15173</v>
      </c>
      <c r="L6012" s="13">
        <v>17391</v>
      </c>
      <c r="M6012" t="str">
        <f>VLOOKUP(L6012,[1]DevMouse!$B$2:$C$2693,2,FALSE)</f>
        <v>r7BIv</v>
      </c>
    </row>
    <row r="6013" spans="2:13" x14ac:dyDescent="0.25">
      <c r="B6013" s="31" t="s">
        <v>26303</v>
      </c>
      <c r="C6013" s="20"/>
      <c r="D6013" s="25" t="s">
        <v>26232</v>
      </c>
      <c r="E6013" s="20" t="s">
        <v>26300</v>
      </c>
      <c r="F6013" s="9" t="str">
        <f t="shared" si="87"/>
        <v>structure with developmental contribution from neural crest</v>
      </c>
      <c r="G6013" s="9" t="s">
        <v>5090</v>
      </c>
      <c r="H6013" s="9" t="s">
        <v>17978</v>
      </c>
      <c r="I6013" s="9" t="s">
        <v>11122</v>
      </c>
      <c r="J6013" s="9" t="s">
        <v>11123</v>
      </c>
      <c r="K6013" s="5" t="s">
        <v>15173</v>
      </c>
      <c r="L6013" s="13">
        <v>17392</v>
      </c>
      <c r="M6013" t="str">
        <f>VLOOKUP(L6013,[1]DevMouse!$B$2:$C$2693,2,FALSE)</f>
        <v>r7BIm</v>
      </c>
    </row>
    <row r="6014" spans="2:13" x14ac:dyDescent="0.25">
      <c r="B6014" s="36"/>
      <c r="C6014" s="20"/>
      <c r="D6014" s="25" t="s">
        <v>26232</v>
      </c>
      <c r="E6014" s="20" t="s">
        <v>26300</v>
      </c>
      <c r="F6014" s="9" t="str">
        <f t="shared" si="87"/>
        <v>structure with developmental contribution from neural crest</v>
      </c>
      <c r="G6014" s="9" t="s">
        <v>5090</v>
      </c>
      <c r="H6014" s="9" t="s">
        <v>17979</v>
      </c>
      <c r="I6014" s="9" t="s">
        <v>11124</v>
      </c>
      <c r="J6014" s="9" t="s">
        <v>11125</v>
      </c>
      <c r="K6014" s="5" t="s">
        <v>15173</v>
      </c>
      <c r="L6014" s="13">
        <v>17393</v>
      </c>
      <c r="M6014" t="str">
        <f>VLOOKUP(L6014,[1]DevMouse!$B$2:$C$2693,2,FALSE)</f>
        <v>r7BIp</v>
      </c>
    </row>
    <row r="6015" spans="2:13" x14ac:dyDescent="0.25">
      <c r="B6015" s="36"/>
      <c r="C6015" s="20"/>
      <c r="D6015" s="25" t="s">
        <v>26232</v>
      </c>
      <c r="E6015" s="25"/>
      <c r="F6015" s="9" t="str">
        <f t="shared" si="87"/>
        <v>structure with developmental contribution from neural crest</v>
      </c>
      <c r="G6015" s="9" t="s">
        <v>5090</v>
      </c>
      <c r="H6015" s="9" t="s">
        <v>17980</v>
      </c>
      <c r="I6015" s="9" t="s">
        <v>11126</v>
      </c>
      <c r="J6015" s="9" t="s">
        <v>11127</v>
      </c>
      <c r="K6015" s="5" t="s">
        <v>15173</v>
      </c>
      <c r="L6015" s="13">
        <v>17394</v>
      </c>
      <c r="M6015" t="str">
        <f>VLOOKUP(L6015,[1]DevMouse!$B$2:$C$2693,2,FALSE)</f>
        <v>r7BIIZ</v>
      </c>
    </row>
    <row r="6016" spans="2:13" x14ac:dyDescent="0.25">
      <c r="B6016" s="36"/>
      <c r="C6016" s="20"/>
      <c r="D6016" s="25" t="s">
        <v>26232</v>
      </c>
      <c r="E6016" s="25"/>
      <c r="F6016" s="9" t="str">
        <f t="shared" si="87"/>
        <v>structure with developmental contribution from neural crest</v>
      </c>
      <c r="G6016" s="9" t="s">
        <v>5090</v>
      </c>
      <c r="H6016" s="9" t="s">
        <v>17981</v>
      </c>
      <c r="I6016" s="9" t="s">
        <v>11128</v>
      </c>
      <c r="J6016" s="9" t="s">
        <v>11129</v>
      </c>
      <c r="K6016" s="5" t="s">
        <v>15173</v>
      </c>
      <c r="L6016" s="13">
        <v>17395</v>
      </c>
      <c r="M6016" t="str">
        <f>VLOOKUP(L6016,[1]DevMouse!$B$2:$C$2693,2,FALSE)</f>
        <v>r7BIi</v>
      </c>
    </row>
    <row r="6017" spans="2:13" x14ac:dyDescent="0.25">
      <c r="B6017" s="36"/>
      <c r="C6017" s="20"/>
      <c r="D6017" s="25" t="s">
        <v>26232</v>
      </c>
      <c r="E6017" s="25"/>
      <c r="F6017" s="9" t="str">
        <f t="shared" si="87"/>
        <v>structure with developmental contribution from neural crest</v>
      </c>
      <c r="G6017" s="9" t="s">
        <v>5090</v>
      </c>
      <c r="H6017" s="9" t="s">
        <v>17982</v>
      </c>
      <c r="I6017" s="9" t="s">
        <v>11130</v>
      </c>
      <c r="J6017" s="9" t="s">
        <v>11131</v>
      </c>
      <c r="K6017" s="5" t="s">
        <v>15173</v>
      </c>
      <c r="L6017" s="13">
        <v>17396</v>
      </c>
      <c r="M6017" t="str">
        <f>VLOOKUP(L6017,[1]DevMouse!$B$2:$C$2693,2,FALSE)</f>
        <v>r7BIRt</v>
      </c>
    </row>
    <row r="6018" spans="2:13" x14ac:dyDescent="0.25">
      <c r="B6018" s="36"/>
      <c r="C6018" s="20"/>
      <c r="D6018" s="25" t="s">
        <v>26232</v>
      </c>
      <c r="E6018" s="25"/>
      <c r="F6018" s="9" t="str">
        <f t="shared" si="87"/>
        <v>structure with developmental contribution from neural crest</v>
      </c>
      <c r="G6018" s="9" t="s">
        <v>5090</v>
      </c>
      <c r="H6018" s="9" t="s">
        <v>17983</v>
      </c>
      <c r="I6018" s="9" t="s">
        <v>11132</v>
      </c>
      <c r="J6018" s="9" t="s">
        <v>11133</v>
      </c>
      <c r="K6018" s="5" t="s">
        <v>15173</v>
      </c>
      <c r="L6018" s="13">
        <v>17397</v>
      </c>
      <c r="M6018" t="str">
        <f>VLOOKUP(L6018,[1]DevMouse!$B$2:$C$2693,2,FALSE)</f>
        <v>r7BIs</v>
      </c>
    </row>
    <row r="6019" spans="2:13" x14ac:dyDescent="0.25">
      <c r="B6019" s="31" t="s">
        <v>26303</v>
      </c>
      <c r="C6019" s="25" t="s">
        <v>3591</v>
      </c>
      <c r="D6019" s="25" t="s">
        <v>26185</v>
      </c>
      <c r="E6019" s="25" t="s">
        <v>26308</v>
      </c>
      <c r="F6019" s="9" t="str">
        <f t="shared" si="87"/>
        <v>structure with developmental contribution from neural crest</v>
      </c>
      <c r="G6019" s="9" t="s">
        <v>5090</v>
      </c>
      <c r="H6019" s="9" t="s">
        <v>17984</v>
      </c>
      <c r="I6019" s="9" t="s">
        <v>11134</v>
      </c>
      <c r="J6019" s="9" t="s">
        <v>11135</v>
      </c>
      <c r="K6019" s="5" t="s">
        <v>15173</v>
      </c>
      <c r="L6019" s="13">
        <v>17398</v>
      </c>
      <c r="M6019" t="str">
        <f>VLOOKUP(L6019,[1]DevMouse!$B$2:$C$2693,2,FALSE)</f>
        <v>r7PGi</v>
      </c>
    </row>
    <row r="6020" spans="2:13" x14ac:dyDescent="0.25">
      <c r="B6020" s="36"/>
      <c r="C6020" s="20"/>
      <c r="D6020" s="25" t="s">
        <v>26232</v>
      </c>
      <c r="E6020" s="25"/>
      <c r="F6020" s="9" t="str">
        <f t="shared" si="87"/>
        <v>structure with developmental contribution from neural crest</v>
      </c>
      <c r="G6020" s="9" t="s">
        <v>5090</v>
      </c>
      <c r="H6020" s="9" t="s">
        <v>17985</v>
      </c>
      <c r="I6020" s="9" t="s">
        <v>11136</v>
      </c>
      <c r="J6020" s="9" t="s">
        <v>11137</v>
      </c>
      <c r="K6020" s="5" t="s">
        <v>15173</v>
      </c>
      <c r="L6020" s="13">
        <v>17399</v>
      </c>
      <c r="M6020" t="str">
        <f>VLOOKUP(L6020,[1]DevMouse!$B$2:$C$2693,2,FALSE)</f>
        <v>r7RVM</v>
      </c>
    </row>
    <row r="6021" spans="2:13" x14ac:dyDescent="0.25">
      <c r="B6021" s="36"/>
      <c r="C6021" s="20"/>
      <c r="D6021" s="25" t="s">
        <v>26232</v>
      </c>
      <c r="E6021" s="25"/>
      <c r="F6021" s="9" t="str">
        <f t="shared" si="87"/>
        <v>structure with developmental contribution from neural crest</v>
      </c>
      <c r="G6021" s="9" t="s">
        <v>5090</v>
      </c>
      <c r="H6021" s="9" t="s">
        <v>17986</v>
      </c>
      <c r="I6021" s="9" t="s">
        <v>11138</v>
      </c>
      <c r="J6021" s="9" t="s">
        <v>11139</v>
      </c>
      <c r="K6021" s="5" t="s">
        <v>15173</v>
      </c>
      <c r="L6021" s="13">
        <v>17400</v>
      </c>
      <c r="M6021" t="str">
        <f>VLOOKUP(L6021,[1]DevMouse!$B$2:$C$2693,2,FALSE)</f>
        <v>r7BM</v>
      </c>
    </row>
    <row r="6022" spans="2:13" x14ac:dyDescent="0.25">
      <c r="B6022" s="36"/>
      <c r="C6022" s="20"/>
      <c r="D6022" s="25" t="s">
        <v>26232</v>
      </c>
      <c r="E6022" s="25"/>
      <c r="F6022" s="9" t="str">
        <f t="shared" si="87"/>
        <v>structure with developmental contribution from neural crest</v>
      </c>
      <c r="G6022" s="9" t="s">
        <v>5090</v>
      </c>
      <c r="H6022" s="9" t="s">
        <v>17987</v>
      </c>
      <c r="I6022" s="9" t="s">
        <v>11140</v>
      </c>
      <c r="J6022" s="9" t="s">
        <v>11141</v>
      </c>
      <c r="K6022" s="5" t="s">
        <v>15173</v>
      </c>
      <c r="L6022" s="13">
        <v>17401</v>
      </c>
      <c r="M6022" t="str">
        <f>VLOOKUP(L6022,[1]DevMouse!$B$2:$C$2693,2,FALSE)</f>
        <v>r7BMv</v>
      </c>
    </row>
    <row r="6023" spans="2:13" x14ac:dyDescent="0.25">
      <c r="B6023" s="31" t="s">
        <v>26303</v>
      </c>
      <c r="C6023" s="20"/>
      <c r="D6023" s="25" t="s">
        <v>26232</v>
      </c>
      <c r="E6023" s="20" t="s">
        <v>26300</v>
      </c>
      <c r="F6023" s="9" t="str">
        <f t="shared" si="87"/>
        <v>structure with developmental contribution from neural crest</v>
      </c>
      <c r="G6023" s="9" t="s">
        <v>5090</v>
      </c>
      <c r="H6023" s="9" t="s">
        <v>17988</v>
      </c>
      <c r="I6023" s="9" t="s">
        <v>11142</v>
      </c>
      <c r="J6023" s="9" t="s">
        <v>11143</v>
      </c>
      <c r="K6023" s="5" t="s">
        <v>15173</v>
      </c>
      <c r="L6023" s="13">
        <v>17402</v>
      </c>
      <c r="M6023" t="str">
        <f>VLOOKUP(L6023,[1]DevMouse!$B$2:$C$2693,2,FALSE)</f>
        <v>r7BMm</v>
      </c>
    </row>
    <row r="6024" spans="2:13" x14ac:dyDescent="0.25">
      <c r="B6024" s="36"/>
      <c r="C6024" s="20"/>
      <c r="D6024" s="25" t="s">
        <v>26232</v>
      </c>
      <c r="E6024" s="20" t="s">
        <v>26300</v>
      </c>
      <c r="F6024" s="9" t="str">
        <f t="shared" si="87"/>
        <v>structure with developmental contribution from neural crest</v>
      </c>
      <c r="G6024" s="9" t="s">
        <v>5090</v>
      </c>
      <c r="H6024" s="9" t="s">
        <v>17989</v>
      </c>
      <c r="I6024" s="9" t="s">
        <v>11144</v>
      </c>
      <c r="J6024" s="9" t="s">
        <v>11145</v>
      </c>
      <c r="K6024" s="5" t="s">
        <v>15173</v>
      </c>
      <c r="L6024" s="13">
        <v>17403</v>
      </c>
      <c r="M6024" t="str">
        <f>VLOOKUP(L6024,[1]DevMouse!$B$2:$C$2693,2,FALSE)</f>
        <v>r7BMp</v>
      </c>
    </row>
    <row r="6025" spans="2:13" x14ac:dyDescent="0.25">
      <c r="B6025" s="31" t="s">
        <v>26303</v>
      </c>
      <c r="C6025" s="25" t="s">
        <v>3352</v>
      </c>
      <c r="D6025" s="25" t="s">
        <v>26232</v>
      </c>
      <c r="E6025" s="25" t="s">
        <v>26308</v>
      </c>
      <c r="F6025" s="9" t="str">
        <f t="shared" si="87"/>
        <v>structure with developmental contribution from neural crest</v>
      </c>
      <c r="G6025" s="9" t="s">
        <v>5090</v>
      </c>
      <c r="H6025" s="9" t="s">
        <v>17990</v>
      </c>
      <c r="I6025" s="9" t="s">
        <v>11146</v>
      </c>
      <c r="J6025" s="9" t="s">
        <v>11147</v>
      </c>
      <c r="K6025" s="5" t="s">
        <v>15173</v>
      </c>
      <c r="L6025" s="13">
        <v>17404</v>
      </c>
      <c r="M6025" t="str">
        <f>VLOOKUP(L6025,[1]DevMouse!$B$2:$C$2693,2,FALSE)</f>
        <v>r7Pr</v>
      </c>
    </row>
    <row r="6026" spans="2:13" x14ac:dyDescent="0.25">
      <c r="B6026" s="31" t="s">
        <v>26303</v>
      </c>
      <c r="C6026" s="25" t="s">
        <v>2327</v>
      </c>
      <c r="D6026" s="25" t="s">
        <v>26185</v>
      </c>
      <c r="E6026" s="25" t="s">
        <v>26308</v>
      </c>
      <c r="F6026" s="9" t="str">
        <f t="shared" si="87"/>
        <v>structure with developmental contribution from neural crest</v>
      </c>
      <c r="G6026" s="9" t="s">
        <v>5090</v>
      </c>
      <c r="H6026" s="9" t="s">
        <v>17991</v>
      </c>
      <c r="I6026" s="9" t="s">
        <v>11148</v>
      </c>
      <c r="J6026" s="9" t="s">
        <v>11149</v>
      </c>
      <c r="K6026" s="5" t="s">
        <v>15173</v>
      </c>
      <c r="L6026" s="13">
        <v>17405</v>
      </c>
      <c r="M6026" t="str">
        <f>VLOOKUP(L6026,[1]DevMouse!$B$2:$C$2693,2,FALSE)</f>
        <v>r7-12M</v>
      </c>
    </row>
    <row r="6027" spans="2:13" x14ac:dyDescent="0.25">
      <c r="B6027" s="31" t="s">
        <v>26303</v>
      </c>
      <c r="C6027" s="25" t="s">
        <v>26233</v>
      </c>
      <c r="D6027" s="25" t="s">
        <v>26232</v>
      </c>
      <c r="E6027" s="25" t="s">
        <v>26308</v>
      </c>
      <c r="F6027" s="9" t="str">
        <f t="shared" si="87"/>
        <v>structure with developmental contribution from neural crest</v>
      </c>
      <c r="G6027" s="9" t="s">
        <v>5090</v>
      </c>
      <c r="H6027" s="9" t="s">
        <v>17992</v>
      </c>
      <c r="I6027" s="9" t="s">
        <v>11150</v>
      </c>
      <c r="J6027" s="9" t="s">
        <v>11151</v>
      </c>
      <c r="K6027" s="5" t="s">
        <v>15173</v>
      </c>
      <c r="L6027" s="13">
        <v>17406</v>
      </c>
      <c r="M6027" t="str">
        <f>VLOOKUP(L6027,[1]DevMouse!$B$2:$C$2693,2,FALSE)</f>
        <v>r7Ro</v>
      </c>
    </row>
    <row r="6028" spans="2:13" x14ac:dyDescent="0.25">
      <c r="B6028" s="36"/>
      <c r="C6028" s="20"/>
      <c r="D6028" s="25" t="s">
        <v>26232</v>
      </c>
      <c r="E6028" s="25"/>
      <c r="F6028" s="9" t="str">
        <f t="shared" si="87"/>
        <v>structure with developmental contribution from neural crest</v>
      </c>
      <c r="G6028" s="9" t="s">
        <v>5090</v>
      </c>
      <c r="H6028" s="9" t="s">
        <v>17993</v>
      </c>
      <c r="I6028" s="9" t="s">
        <v>11152</v>
      </c>
      <c r="J6028" s="9" t="s">
        <v>11153</v>
      </c>
      <c r="K6028" s="5" t="s">
        <v>15173</v>
      </c>
      <c r="L6028" s="13">
        <v>17407</v>
      </c>
      <c r="M6028" t="str">
        <f>VLOOKUP(L6028,[1]DevMouse!$B$2:$C$2693,2,FALSE)</f>
        <v>r7BMi</v>
      </c>
    </row>
    <row r="6029" spans="2:13" x14ac:dyDescent="0.25">
      <c r="B6029" s="31" t="s">
        <v>26303</v>
      </c>
      <c r="C6029" s="25" t="s">
        <v>3363</v>
      </c>
      <c r="D6029" s="25" t="s">
        <v>26232</v>
      </c>
      <c r="E6029" s="25" t="s">
        <v>26308</v>
      </c>
      <c r="F6029" s="9" t="str">
        <f t="shared" si="87"/>
        <v>structure with developmental contribution from neural crest</v>
      </c>
      <c r="G6029" s="9" t="s">
        <v>5090</v>
      </c>
      <c r="H6029" s="9" t="s">
        <v>17994</v>
      </c>
      <c r="I6029" s="9" t="s">
        <v>11154</v>
      </c>
      <c r="J6029" s="9" t="s">
        <v>11155</v>
      </c>
      <c r="K6029" s="5" t="s">
        <v>15173</v>
      </c>
      <c r="L6029" s="13">
        <v>17408</v>
      </c>
      <c r="M6029" t="str">
        <f>VLOOKUP(L6029,[1]DevMouse!$B$2:$C$2693,2,FALSE)</f>
        <v>r7-RO</v>
      </c>
    </row>
    <row r="6030" spans="2:13" x14ac:dyDescent="0.25">
      <c r="B6030" s="36"/>
      <c r="C6030" s="20"/>
      <c r="D6030" s="25" t="s">
        <v>26232</v>
      </c>
      <c r="E6030" s="25"/>
      <c r="F6030" s="9" t="str">
        <f t="shared" si="87"/>
        <v>structure with developmental contribution from neural crest</v>
      </c>
      <c r="G6030" s="9" t="s">
        <v>5090</v>
      </c>
      <c r="H6030" s="9" t="s">
        <v>17995</v>
      </c>
      <c r="I6030" s="9" t="s">
        <v>11156</v>
      </c>
      <c r="J6030" s="9" t="s">
        <v>11157</v>
      </c>
      <c r="K6030" s="5" t="s">
        <v>15173</v>
      </c>
      <c r="L6030" s="13">
        <v>17409</v>
      </c>
      <c r="M6030" t="str">
        <f>VLOOKUP(L6030,[1]DevMouse!$B$2:$C$2693,2,FALSE)</f>
        <v>r7BMRt</v>
      </c>
    </row>
    <row r="6031" spans="2:13" x14ac:dyDescent="0.25">
      <c r="B6031" s="31" t="s">
        <v>26303</v>
      </c>
      <c r="C6031" s="25" t="s">
        <v>25947</v>
      </c>
      <c r="D6031" s="25" t="s">
        <v>26185</v>
      </c>
      <c r="E6031" s="25" t="s">
        <v>26308</v>
      </c>
      <c r="F6031" s="9" t="str">
        <f t="shared" si="87"/>
        <v>structure with developmental contribution from neural crest</v>
      </c>
      <c r="G6031" s="9" t="s">
        <v>5090</v>
      </c>
      <c r="H6031" s="9" t="s">
        <v>17996</v>
      </c>
      <c r="I6031" s="9" t="s">
        <v>11158</v>
      </c>
      <c r="J6031" s="9" t="s">
        <v>11159</v>
      </c>
      <c r="K6031" s="5" t="s">
        <v>15173</v>
      </c>
      <c r="L6031" s="13">
        <v>17410</v>
      </c>
      <c r="M6031" t="str">
        <f>VLOOKUP(L6031,[1]DevMouse!$B$2:$C$2693,2,FALSE)</f>
        <v>r7Gi</v>
      </c>
    </row>
    <row r="6032" spans="2:13" x14ac:dyDescent="0.25">
      <c r="B6032" s="36"/>
      <c r="C6032" s="20"/>
      <c r="D6032" s="25" t="s">
        <v>26232</v>
      </c>
      <c r="E6032" s="25"/>
      <c r="F6032" s="9" t="str">
        <f t="shared" si="87"/>
        <v>structure with developmental contribution from neural crest</v>
      </c>
      <c r="G6032" s="9" t="s">
        <v>5090</v>
      </c>
      <c r="H6032" s="9" t="s">
        <v>17997</v>
      </c>
      <c r="I6032" s="9" t="s">
        <v>11160</v>
      </c>
      <c r="J6032" s="9" t="s">
        <v>11161</v>
      </c>
      <c r="K6032" s="5" t="s">
        <v>15173</v>
      </c>
      <c r="L6032" s="13">
        <v>17411</v>
      </c>
      <c r="M6032" t="str">
        <f>VLOOKUP(L6032,[1]DevMouse!$B$2:$C$2693,2,FALSE)</f>
        <v>r7GiV</v>
      </c>
    </row>
    <row r="6033" spans="2:13" x14ac:dyDescent="0.25">
      <c r="B6033" s="36"/>
      <c r="C6033" s="20"/>
      <c r="D6033" s="25" t="s">
        <v>26232</v>
      </c>
      <c r="E6033" s="25"/>
      <c r="F6033" s="9" t="str">
        <f t="shared" si="87"/>
        <v>structure with developmental contribution from neural crest</v>
      </c>
      <c r="G6033" s="9" t="s">
        <v>5090</v>
      </c>
      <c r="H6033" s="9" t="s">
        <v>17998</v>
      </c>
      <c r="I6033" s="9" t="s">
        <v>11162</v>
      </c>
      <c r="J6033" s="9" t="s">
        <v>11163</v>
      </c>
      <c r="K6033" s="5" t="s">
        <v>15173</v>
      </c>
      <c r="L6033" s="13">
        <v>17412</v>
      </c>
      <c r="M6033" t="str">
        <f>VLOOKUP(L6033,[1]DevMouse!$B$2:$C$2693,2,FALSE)</f>
        <v>r7BMs</v>
      </c>
    </row>
    <row r="6034" spans="2:13" x14ac:dyDescent="0.25">
      <c r="B6034" s="31" t="s">
        <v>26303</v>
      </c>
      <c r="C6034" s="25" t="s">
        <v>3369</v>
      </c>
      <c r="D6034" s="25" t="s">
        <v>26232</v>
      </c>
      <c r="E6034" s="25" t="s">
        <v>26308</v>
      </c>
      <c r="F6034" s="9" t="str">
        <f t="shared" si="87"/>
        <v>structure with developmental contribution from neural crest</v>
      </c>
      <c r="G6034" s="9" t="s">
        <v>5090</v>
      </c>
      <c r="H6034" s="9" t="s">
        <v>17999</v>
      </c>
      <c r="I6034" s="9" t="s">
        <v>11164</v>
      </c>
      <c r="J6034" s="9" t="s">
        <v>11165</v>
      </c>
      <c r="K6034" s="5" t="s">
        <v>15173</v>
      </c>
      <c r="L6034" s="13">
        <v>17413</v>
      </c>
      <c r="M6034" t="str">
        <f>VLOOKUP(L6034,[1]DevMouse!$B$2:$C$2693,2,FALSE)</f>
        <v>r7-RP</v>
      </c>
    </row>
    <row r="6035" spans="2:13" x14ac:dyDescent="0.25">
      <c r="B6035" s="31" t="s">
        <v>26303</v>
      </c>
      <c r="C6035" s="20"/>
      <c r="D6035" s="25" t="s">
        <v>26185</v>
      </c>
      <c r="E6035" s="25" t="s">
        <v>26300</v>
      </c>
      <c r="F6035" s="9" t="str">
        <f t="shared" si="87"/>
        <v>structure with developmental contribution from neural crest</v>
      </c>
      <c r="G6035" s="9" t="s">
        <v>5090</v>
      </c>
      <c r="H6035" s="9" t="s">
        <v>18000</v>
      </c>
      <c r="I6035" s="9" t="s">
        <v>11166</v>
      </c>
      <c r="J6035" s="9" t="s">
        <v>11167</v>
      </c>
      <c r="K6035" s="5" t="s">
        <v>15173</v>
      </c>
      <c r="L6035" s="13">
        <v>17414</v>
      </c>
      <c r="M6035" t="str">
        <f>VLOOKUP(L6035,[1]DevMouse!$B$2:$C$2693,2,FALSE)</f>
        <v>r7PPy</v>
      </c>
    </row>
    <row r="6036" spans="2:13" x14ac:dyDescent="0.25">
      <c r="B6036" s="31" t="s">
        <v>26303</v>
      </c>
      <c r="C6036" s="25" t="s">
        <v>26206</v>
      </c>
      <c r="D6036" s="25" t="s">
        <v>26232</v>
      </c>
      <c r="E6036" s="25"/>
      <c r="F6036" s="9" t="str">
        <f t="shared" si="87"/>
        <v>structure with developmental contribution from neural crest</v>
      </c>
      <c r="G6036" s="9" t="s">
        <v>5090</v>
      </c>
      <c r="H6036" s="9" t="s">
        <v>18001</v>
      </c>
      <c r="I6036" s="9" t="s">
        <v>4837</v>
      </c>
      <c r="J6036" s="9" t="s">
        <v>4838</v>
      </c>
      <c r="K6036" s="5" t="s">
        <v>15173</v>
      </c>
      <c r="L6036" s="13">
        <v>17415</v>
      </c>
      <c r="M6036" t="str">
        <f>VLOOKUP(L6036,[1]DevMouse!$B$2:$C$2693,2,FALSE)</f>
        <v>r7F</v>
      </c>
    </row>
    <row r="6037" spans="2:13" x14ac:dyDescent="0.25">
      <c r="B6037" s="36"/>
      <c r="C6037" s="20"/>
      <c r="D6037" s="25" t="s">
        <v>26232</v>
      </c>
      <c r="E6037" s="25"/>
      <c r="F6037" s="9" t="str">
        <f t="shared" si="87"/>
        <v>structure with developmental contribution from neural crest</v>
      </c>
      <c r="G6037" s="9" t="s">
        <v>5090</v>
      </c>
      <c r="H6037" s="9" t="s">
        <v>18008</v>
      </c>
      <c r="I6037" s="9" t="s">
        <v>4852</v>
      </c>
      <c r="J6037" s="9" t="s">
        <v>4853</v>
      </c>
      <c r="K6037" s="5" t="s">
        <v>15173</v>
      </c>
      <c r="L6037" s="13">
        <v>17417</v>
      </c>
      <c r="M6037" t="str">
        <f>VLOOKUP(L6037,[1]DevMouse!$B$2:$C$2693,2,FALSE)</f>
        <v>r8R</v>
      </c>
    </row>
    <row r="6038" spans="2:13" x14ac:dyDescent="0.25">
      <c r="B6038" s="36"/>
      <c r="C6038" s="20"/>
      <c r="D6038" s="25" t="s">
        <v>26232</v>
      </c>
      <c r="E6038" s="25"/>
      <c r="F6038" s="9" t="str">
        <f t="shared" si="87"/>
        <v>structure with developmental contribution from neural crest</v>
      </c>
      <c r="G6038" s="9" t="s">
        <v>5090</v>
      </c>
      <c r="H6038" s="9" t="s">
        <v>18009</v>
      </c>
      <c r="I6038" s="9" t="s">
        <v>11168</v>
      </c>
      <c r="J6038" s="9" t="s">
        <v>11169</v>
      </c>
      <c r="K6038" s="5" t="s">
        <v>15173</v>
      </c>
      <c r="L6038" s="13">
        <v>17418</v>
      </c>
      <c r="M6038" t="str">
        <f>VLOOKUP(L6038,[1]DevMouse!$B$2:$C$2693,2,FALSE)</f>
        <v>r8A</v>
      </c>
    </row>
    <row r="6039" spans="2:13" x14ac:dyDescent="0.25">
      <c r="B6039" s="36"/>
      <c r="C6039" s="20"/>
      <c r="D6039" s="25" t="s">
        <v>26232</v>
      </c>
      <c r="E6039" s="25"/>
      <c r="F6039" s="9" t="str">
        <f t="shared" si="87"/>
        <v>structure with developmental contribution from neural crest</v>
      </c>
      <c r="G6039" s="9" t="s">
        <v>5090</v>
      </c>
      <c r="H6039" s="9" t="s">
        <v>18012</v>
      </c>
      <c r="I6039" s="9" t="s">
        <v>11170</v>
      </c>
      <c r="J6039" s="9" t="s">
        <v>11171</v>
      </c>
      <c r="K6039" s="5" t="s">
        <v>15173</v>
      </c>
      <c r="L6039" s="13">
        <v>17419</v>
      </c>
      <c r="M6039" t="str">
        <f>VLOOKUP(L6039,[1]DevMouse!$B$2:$C$2693,2,FALSE)</f>
        <v>r8Ve</v>
      </c>
    </row>
    <row r="6040" spans="2:13" x14ac:dyDescent="0.25">
      <c r="B6040" s="36"/>
      <c r="C6040" s="20"/>
      <c r="D6040" s="25" t="s">
        <v>26232</v>
      </c>
      <c r="E6040" s="25"/>
      <c r="F6040" s="9" t="str">
        <f t="shared" si="87"/>
        <v>structure with developmental contribution from neural crest</v>
      </c>
      <c r="G6040" s="9" t="s">
        <v>5090</v>
      </c>
      <c r="H6040" s="9" t="s">
        <v>18013</v>
      </c>
      <c r="I6040" s="9" t="s">
        <v>11172</v>
      </c>
      <c r="J6040" s="9" t="s">
        <v>11173</v>
      </c>
      <c r="K6040" s="5" t="s">
        <v>15173</v>
      </c>
      <c r="L6040" s="13">
        <v>17420</v>
      </c>
      <c r="M6040" t="str">
        <f>VLOOKUP(L6040,[1]DevMouse!$B$2:$C$2693,2,FALSE)</f>
        <v>r8Vev</v>
      </c>
    </row>
    <row r="6041" spans="2:13" x14ac:dyDescent="0.25">
      <c r="B6041" s="31" t="s">
        <v>26303</v>
      </c>
      <c r="C6041" s="20"/>
      <c r="D6041" s="25" t="s">
        <v>26232</v>
      </c>
      <c r="E6041" s="20" t="s">
        <v>26300</v>
      </c>
      <c r="F6041" s="9" t="str">
        <f t="shared" si="87"/>
        <v>structure with developmental contribution from neural crest</v>
      </c>
      <c r="G6041" s="9" t="s">
        <v>5090</v>
      </c>
      <c r="H6041" s="9" t="s">
        <v>18014</v>
      </c>
      <c r="I6041" s="9" t="s">
        <v>11174</v>
      </c>
      <c r="J6041" s="9" t="s">
        <v>11175</v>
      </c>
      <c r="K6041" s="5" t="s">
        <v>15173</v>
      </c>
      <c r="L6041" s="13">
        <v>17421</v>
      </c>
      <c r="M6041" t="str">
        <f>VLOOKUP(L6041,[1]DevMouse!$B$2:$C$2693,2,FALSE)</f>
        <v>r8Vem</v>
      </c>
    </row>
    <row r="6042" spans="2:13" x14ac:dyDescent="0.25">
      <c r="B6042" s="31" t="s">
        <v>26303</v>
      </c>
      <c r="C6042" s="25" t="s">
        <v>25970</v>
      </c>
      <c r="D6042" s="25" t="s">
        <v>26232</v>
      </c>
      <c r="E6042" s="25" t="s">
        <v>26308</v>
      </c>
      <c r="F6042" s="9" t="str">
        <f t="shared" si="87"/>
        <v>structure with developmental contribution from neural crest</v>
      </c>
      <c r="G6042" s="9" t="s">
        <v>5090</v>
      </c>
      <c r="H6042" s="9" t="s">
        <v>18018</v>
      </c>
      <c r="I6042" s="9" t="s">
        <v>11176</v>
      </c>
      <c r="J6042" s="9" t="s">
        <v>11177</v>
      </c>
      <c r="K6042" s="5" t="s">
        <v>15173</v>
      </c>
      <c r="L6042" s="13">
        <v>17422</v>
      </c>
      <c r="M6042" t="str">
        <f>VLOOKUP(L6042,[1]DevMouse!$B$2:$C$2693,2,FALSE)</f>
        <v>r8SpVe</v>
      </c>
    </row>
    <row r="6043" spans="2:13" x14ac:dyDescent="0.25">
      <c r="B6043" s="31" t="s">
        <v>26303</v>
      </c>
      <c r="C6043" s="25" t="s">
        <v>3042</v>
      </c>
      <c r="D6043" s="25" t="s">
        <v>26232</v>
      </c>
      <c r="E6043" s="25" t="s">
        <v>26308</v>
      </c>
      <c r="F6043" s="9" t="str">
        <f t="shared" si="87"/>
        <v>structure with developmental contribution from neural crest</v>
      </c>
      <c r="G6043" s="9" t="s">
        <v>5090</v>
      </c>
      <c r="H6043" s="9" t="s">
        <v>18016</v>
      </c>
      <c r="I6043" s="9" t="s">
        <v>11178</v>
      </c>
      <c r="J6043" s="9" t="s">
        <v>11179</v>
      </c>
      <c r="K6043" s="5" t="s">
        <v>15173</v>
      </c>
      <c r="L6043" s="13">
        <v>17423</v>
      </c>
      <c r="M6043" t="str">
        <f>VLOOKUP(L6043,[1]DevMouse!$B$2:$C$2693,2,FALSE)</f>
        <v>r8MVePC</v>
      </c>
    </row>
    <row r="6044" spans="2:13" x14ac:dyDescent="0.25">
      <c r="B6044" s="36"/>
      <c r="C6044" s="20"/>
      <c r="D6044" s="25" t="s">
        <v>26232</v>
      </c>
      <c r="E6044" s="25" t="s">
        <v>26308</v>
      </c>
      <c r="F6044" s="9" t="str">
        <f t="shared" si="87"/>
        <v>structure with developmental contribution from neural crest</v>
      </c>
      <c r="G6044" s="9" t="s">
        <v>5090</v>
      </c>
      <c r="H6044" s="9" t="s">
        <v>18020</v>
      </c>
      <c r="I6044" s="9" t="s">
        <v>11180</v>
      </c>
      <c r="J6044" s="9" t="s">
        <v>11181</v>
      </c>
      <c r="K6044" s="5" t="s">
        <v>15173</v>
      </c>
      <c r="L6044" s="13">
        <v>17424</v>
      </c>
      <c r="M6044" t="str">
        <f>VLOOKUP(L6044,[1]DevMouse!$B$2:$C$2693,2,FALSE)</f>
        <v>r8Tr</v>
      </c>
    </row>
    <row r="6045" spans="2:13" x14ac:dyDescent="0.25">
      <c r="B6045" s="36"/>
      <c r="C6045" s="20"/>
      <c r="D6045" s="25" t="s">
        <v>26232</v>
      </c>
      <c r="E6045" s="25"/>
      <c r="F6045" s="9" t="str">
        <f t="shared" si="87"/>
        <v>structure with developmental contribution from neural crest</v>
      </c>
      <c r="G6045" s="9" t="s">
        <v>5090</v>
      </c>
      <c r="H6045" s="9" t="s">
        <v>18021</v>
      </c>
      <c r="I6045" s="9" t="s">
        <v>11182</v>
      </c>
      <c r="J6045" s="9" t="s">
        <v>11183</v>
      </c>
      <c r="K6045" s="5" t="s">
        <v>15173</v>
      </c>
      <c r="L6045" s="13">
        <v>17425</v>
      </c>
      <c r="M6045" t="str">
        <f>VLOOKUP(L6045,[1]DevMouse!$B$2:$C$2693,2,FALSE)</f>
        <v>r8Trv</v>
      </c>
    </row>
    <row r="6046" spans="2:13" x14ac:dyDescent="0.25">
      <c r="B6046" s="31" t="s">
        <v>26303</v>
      </c>
      <c r="C6046" s="20"/>
      <c r="D6046" s="25" t="s">
        <v>26232</v>
      </c>
      <c r="E6046" s="20" t="s">
        <v>26300</v>
      </c>
      <c r="F6046" s="9" t="str">
        <f t="shared" si="87"/>
        <v>structure with developmental contribution from neural crest</v>
      </c>
      <c r="G6046" s="9" t="s">
        <v>5090</v>
      </c>
      <c r="H6046" s="9" t="s">
        <v>18022</v>
      </c>
      <c r="I6046" s="9" t="s">
        <v>11184</v>
      </c>
      <c r="J6046" s="9" t="s">
        <v>11185</v>
      </c>
      <c r="K6046" s="5" t="s">
        <v>15173</v>
      </c>
      <c r="L6046" s="13">
        <v>17426</v>
      </c>
      <c r="M6046" t="str">
        <f>VLOOKUP(L6046,[1]DevMouse!$B$2:$C$2693,2,FALSE)</f>
        <v>r8Trm</v>
      </c>
    </row>
    <row r="6047" spans="2:13" x14ac:dyDescent="0.25">
      <c r="B6047" s="31" t="s">
        <v>26303</v>
      </c>
      <c r="C6047" s="25" t="s">
        <v>25977</v>
      </c>
      <c r="D6047" s="25" t="s">
        <v>26185</v>
      </c>
      <c r="E6047" s="25" t="s">
        <v>26308</v>
      </c>
      <c r="F6047" s="9" t="str">
        <f t="shared" si="87"/>
        <v>structure with developmental contribution from neural crest</v>
      </c>
      <c r="G6047" s="9" t="s">
        <v>5090</v>
      </c>
      <c r="H6047" s="9" t="s">
        <v>18029</v>
      </c>
      <c r="I6047" s="9" t="s">
        <v>11186</v>
      </c>
      <c r="J6047" s="9" t="s">
        <v>11187</v>
      </c>
      <c r="K6047" s="5" t="s">
        <v>15173</v>
      </c>
      <c r="L6047" s="13">
        <v>17427</v>
      </c>
      <c r="M6047" t="str">
        <f>VLOOKUP(L6047,[1]DevMouse!$B$2:$C$2693,2,FALSE)</f>
        <v>r8Sp5I</v>
      </c>
    </row>
    <row r="6048" spans="2:13" x14ac:dyDescent="0.25">
      <c r="B6048" s="36"/>
      <c r="C6048" s="20"/>
      <c r="D6048" s="25" t="s">
        <v>26232</v>
      </c>
      <c r="E6048" s="25" t="s">
        <v>26308</v>
      </c>
      <c r="F6048" s="9" t="str">
        <f t="shared" si="87"/>
        <v>structure with developmental contribution from neural crest</v>
      </c>
      <c r="G6048" s="9" t="s">
        <v>5090</v>
      </c>
      <c r="H6048" s="9" t="s">
        <v>18026</v>
      </c>
      <c r="I6048" s="9" t="s">
        <v>11188</v>
      </c>
      <c r="J6048" s="9" t="s">
        <v>11189</v>
      </c>
      <c r="K6048" s="5" t="s">
        <v>15173</v>
      </c>
      <c r="L6048" s="13">
        <v>17428</v>
      </c>
      <c r="M6048" t="str">
        <f>VLOOKUP(L6048,[1]DevMouse!$B$2:$C$2693,2,FALSE)</f>
        <v>r8-5Tr</v>
      </c>
    </row>
    <row r="6049" spans="2:13" x14ac:dyDescent="0.25">
      <c r="B6049" s="31" t="s">
        <v>26303</v>
      </c>
      <c r="C6049" s="20"/>
      <c r="D6049" s="25" t="s">
        <v>26232</v>
      </c>
      <c r="E6049" s="25" t="s">
        <v>26308</v>
      </c>
      <c r="F6049" s="9" t="str">
        <f t="shared" si="87"/>
        <v>structure with developmental contribution from neural crest</v>
      </c>
      <c r="G6049" s="9" t="s">
        <v>5090</v>
      </c>
      <c r="H6049" s="9" t="s">
        <v>18024</v>
      </c>
      <c r="I6049" s="9" t="s">
        <v>11190</v>
      </c>
      <c r="J6049" s="9" t="s">
        <v>11191</v>
      </c>
      <c r="K6049" s="5" t="s">
        <v>15173</v>
      </c>
      <c r="L6049" s="13">
        <v>17429</v>
      </c>
      <c r="M6049" t="str">
        <f>VLOOKUP(L6049,[1]DevMouse!$B$2:$C$2693,2,FALSE)</f>
        <v>r8Sol</v>
      </c>
    </row>
    <row r="6050" spans="2:13" x14ac:dyDescent="0.25">
      <c r="B6050" s="36"/>
      <c r="C6050" s="20"/>
      <c r="D6050" s="25" t="s">
        <v>26232</v>
      </c>
      <c r="E6050" s="25"/>
      <c r="F6050" s="9" t="str">
        <f t="shared" si="87"/>
        <v>structure with developmental contribution from neural crest</v>
      </c>
      <c r="G6050" s="9" t="s">
        <v>5090</v>
      </c>
      <c r="H6050" s="9" t="s">
        <v>18027</v>
      </c>
      <c r="I6050" s="9" t="s">
        <v>11192</v>
      </c>
      <c r="J6050" s="9" t="s">
        <v>11193</v>
      </c>
      <c r="K6050" s="5" t="s">
        <v>15173</v>
      </c>
      <c r="L6050" s="13">
        <v>17430</v>
      </c>
      <c r="M6050" t="str">
        <f>VLOOKUP(L6050,[1]DevMouse!$B$2:$C$2693,2,FALSE)</f>
        <v>r8DPCRt</v>
      </c>
    </row>
    <row r="6051" spans="2:13" x14ac:dyDescent="0.25">
      <c r="B6051" s="36"/>
      <c r="C6051" s="20"/>
      <c r="D6051" s="25" t="s">
        <v>26232</v>
      </c>
      <c r="E6051" s="25"/>
      <c r="F6051" s="9" t="str">
        <f t="shared" si="87"/>
        <v>structure with developmental contribution from neural crest</v>
      </c>
      <c r="G6051" s="9" t="s">
        <v>5090</v>
      </c>
      <c r="H6051" s="9" t="s">
        <v>18030</v>
      </c>
      <c r="I6051" s="9" t="s">
        <v>11194</v>
      </c>
      <c r="J6051" s="9" t="s">
        <v>11195</v>
      </c>
      <c r="K6051" s="5" t="s">
        <v>15173</v>
      </c>
      <c r="L6051" s="13">
        <v>17431</v>
      </c>
      <c r="M6051" t="str">
        <f>VLOOKUP(L6051,[1]DevMouse!$B$2:$C$2693,2,FALSE)</f>
        <v>r8Lim</v>
      </c>
    </row>
    <row r="6052" spans="2:13" x14ac:dyDescent="0.25">
      <c r="B6052" s="36"/>
      <c r="C6052" s="20"/>
      <c r="D6052" s="25" t="s">
        <v>26232</v>
      </c>
      <c r="E6052" s="25"/>
      <c r="F6052" s="9" t="str">
        <f t="shared" si="87"/>
        <v>structure with developmental contribution from neural crest</v>
      </c>
      <c r="G6052" s="9" t="s">
        <v>5090</v>
      </c>
      <c r="H6052" s="9" t="s">
        <v>18031</v>
      </c>
      <c r="I6052" s="9" t="s">
        <v>11196</v>
      </c>
      <c r="J6052" s="9" t="s">
        <v>11197</v>
      </c>
      <c r="K6052" s="5" t="s">
        <v>15173</v>
      </c>
      <c r="L6052" s="13">
        <v>17432</v>
      </c>
      <c r="M6052" t="str">
        <f>VLOOKUP(L6052,[1]DevMouse!$B$2:$C$2693,2,FALSE)</f>
        <v>r8Limv</v>
      </c>
    </row>
    <row r="6053" spans="2:13" x14ac:dyDescent="0.25">
      <c r="B6053" s="31" t="s">
        <v>26303</v>
      </c>
      <c r="C6053" s="20"/>
      <c r="D6053" s="25" t="s">
        <v>26232</v>
      </c>
      <c r="E6053" s="20" t="s">
        <v>26300</v>
      </c>
      <c r="F6053" s="9" t="str">
        <f t="shared" si="87"/>
        <v>structure with developmental contribution from neural crest</v>
      </c>
      <c r="G6053" s="9" t="s">
        <v>5090</v>
      </c>
      <c r="H6053" s="9" t="s">
        <v>18032</v>
      </c>
      <c r="I6053" s="9" t="s">
        <v>11198</v>
      </c>
      <c r="J6053" s="9" t="s">
        <v>11199</v>
      </c>
      <c r="K6053" s="5" t="s">
        <v>15173</v>
      </c>
      <c r="L6053" s="13">
        <v>17433</v>
      </c>
      <c r="M6053" t="str">
        <f>VLOOKUP(L6053,[1]DevMouse!$B$2:$C$2693,2,FALSE)</f>
        <v>r8Limm</v>
      </c>
    </row>
    <row r="6054" spans="2:13" x14ac:dyDescent="0.25">
      <c r="B6054" s="36"/>
      <c r="C6054" s="20"/>
      <c r="D6054" s="25" t="s">
        <v>26232</v>
      </c>
      <c r="E6054" s="25"/>
      <c r="F6054" s="9" t="str">
        <f t="shared" si="87"/>
        <v>structure with developmental contribution from neural crest</v>
      </c>
      <c r="G6054" s="9" t="s">
        <v>5090</v>
      </c>
      <c r="H6054" s="9" t="s">
        <v>18037</v>
      </c>
      <c r="I6054" s="9" t="s">
        <v>11200</v>
      </c>
      <c r="J6054" s="9" t="s">
        <v>11201</v>
      </c>
      <c r="K6054" s="5" t="s">
        <v>15173</v>
      </c>
      <c r="L6054" s="13">
        <v>17434</v>
      </c>
      <c r="M6054" t="str">
        <f>VLOOKUP(L6054,[1]DevMouse!$B$2:$C$2693,2,FALSE)</f>
        <v>r8VPCRt</v>
      </c>
    </row>
    <row r="6055" spans="2:13" x14ac:dyDescent="0.25">
      <c r="B6055" s="36"/>
      <c r="C6055" s="20"/>
      <c r="D6055" s="25" t="s">
        <v>26232</v>
      </c>
      <c r="E6055" s="25"/>
      <c r="F6055" s="9" t="str">
        <f t="shared" si="87"/>
        <v>structure with developmental contribution from neural crest</v>
      </c>
      <c r="G6055" s="9" t="s">
        <v>5090</v>
      </c>
      <c r="H6055" s="9" t="s">
        <v>18034</v>
      </c>
      <c r="I6055" s="9" t="s">
        <v>11202</v>
      </c>
      <c r="J6055" s="9" t="s">
        <v>11203</v>
      </c>
      <c r="K6055" s="5" t="s">
        <v>15173</v>
      </c>
      <c r="L6055" s="13">
        <v>17435</v>
      </c>
      <c r="M6055" t="str">
        <f>VLOOKUP(L6055,[1]DevMouse!$B$2:$C$2693,2,FALSE)</f>
        <v>r8-10M</v>
      </c>
    </row>
    <row r="6056" spans="2:13" x14ac:dyDescent="0.25">
      <c r="B6056" s="36"/>
      <c r="C6056" s="20"/>
      <c r="D6056" s="25" t="s">
        <v>26232</v>
      </c>
      <c r="E6056" s="25"/>
      <c r="F6056" s="9" t="str">
        <f t="shared" si="87"/>
        <v>structure with developmental contribution from neural crest</v>
      </c>
      <c r="G6056" s="9" t="s">
        <v>5090</v>
      </c>
      <c r="H6056" s="9" t="s">
        <v>18039</v>
      </c>
      <c r="I6056" s="9" t="s">
        <v>11204</v>
      </c>
      <c r="J6056" s="9" t="s">
        <v>11205</v>
      </c>
      <c r="K6056" s="5" t="s">
        <v>15173</v>
      </c>
      <c r="L6056" s="13">
        <v>17436</v>
      </c>
      <c r="M6056" t="str">
        <f>VLOOKUP(L6056,[1]DevMouse!$B$2:$C$2693,2,FALSE)</f>
        <v>r8Amb</v>
      </c>
    </row>
    <row r="6057" spans="2:13" x14ac:dyDescent="0.25">
      <c r="B6057" s="36"/>
      <c r="C6057" s="20"/>
      <c r="D6057" s="25" t="s">
        <v>26232</v>
      </c>
      <c r="E6057" s="25"/>
      <c r="F6057" s="9" t="str">
        <f t="shared" si="87"/>
        <v>structure with developmental contribution from neural crest</v>
      </c>
      <c r="G6057" s="9" t="s">
        <v>5090</v>
      </c>
      <c r="H6057" s="9" t="s">
        <v>18040</v>
      </c>
      <c r="I6057" s="9" t="s">
        <v>11206</v>
      </c>
      <c r="J6057" s="9" t="s">
        <v>11207</v>
      </c>
      <c r="K6057" s="5" t="s">
        <v>15173</v>
      </c>
      <c r="L6057" s="13">
        <v>17437</v>
      </c>
      <c r="M6057" t="str">
        <f>VLOOKUP(L6057,[1]DevMouse!$B$2:$C$2693,2,FALSE)</f>
        <v>r8B</v>
      </c>
    </row>
    <row r="6058" spans="2:13" x14ac:dyDescent="0.25">
      <c r="B6058" s="36"/>
      <c r="C6058" s="20"/>
      <c r="D6058" s="25" t="s">
        <v>26232</v>
      </c>
      <c r="E6058" s="25"/>
      <c r="F6058" s="9" t="str">
        <f t="shared" si="87"/>
        <v>structure with developmental contribution from neural crest</v>
      </c>
      <c r="G6058" s="9" t="s">
        <v>5090</v>
      </c>
      <c r="H6058" s="9" t="s">
        <v>18043</v>
      </c>
      <c r="I6058" s="9" t="s">
        <v>11208</v>
      </c>
      <c r="J6058" s="9" t="s">
        <v>11209</v>
      </c>
      <c r="K6058" s="5" t="s">
        <v>15173</v>
      </c>
      <c r="L6058" s="13">
        <v>17438</v>
      </c>
      <c r="M6058" t="str">
        <f>VLOOKUP(L6058,[1]DevMouse!$B$2:$C$2693,2,FALSE)</f>
        <v>r8BL</v>
      </c>
    </row>
    <row r="6059" spans="2:13" x14ac:dyDescent="0.25">
      <c r="B6059" s="36"/>
      <c r="C6059" s="20"/>
      <c r="D6059" s="25" t="s">
        <v>26232</v>
      </c>
      <c r="E6059" s="25"/>
      <c r="F6059" s="9" t="str">
        <f t="shared" si="87"/>
        <v>structure with developmental contribution from neural crest</v>
      </c>
      <c r="G6059" s="9" t="s">
        <v>5090</v>
      </c>
      <c r="H6059" s="9" t="s">
        <v>18044</v>
      </c>
      <c r="I6059" s="9" t="s">
        <v>11210</v>
      </c>
      <c r="J6059" s="9" t="s">
        <v>11211</v>
      </c>
      <c r="K6059" s="5" t="s">
        <v>15173</v>
      </c>
      <c r="L6059" s="13">
        <v>17439</v>
      </c>
      <c r="M6059" t="str">
        <f>VLOOKUP(L6059,[1]DevMouse!$B$2:$C$2693,2,FALSE)</f>
        <v>r8BLv</v>
      </c>
    </row>
    <row r="6060" spans="2:13" x14ac:dyDescent="0.25">
      <c r="B6060" s="31" t="s">
        <v>26303</v>
      </c>
      <c r="C6060" s="20"/>
      <c r="D6060" s="25" t="s">
        <v>26232</v>
      </c>
      <c r="E6060" s="20" t="s">
        <v>26300</v>
      </c>
      <c r="F6060" s="9" t="str">
        <f t="shared" si="87"/>
        <v>structure with developmental contribution from neural crest</v>
      </c>
      <c r="G6060" s="9" t="s">
        <v>5090</v>
      </c>
      <c r="H6060" s="9" t="s">
        <v>18045</v>
      </c>
      <c r="I6060" s="9" t="s">
        <v>11212</v>
      </c>
      <c r="J6060" s="9" t="s">
        <v>11213</v>
      </c>
      <c r="K6060" s="5" t="s">
        <v>15173</v>
      </c>
      <c r="L6060" s="13">
        <v>17440</v>
      </c>
      <c r="M6060" t="str">
        <f>VLOOKUP(L6060,[1]DevMouse!$B$2:$C$2693,2,FALSE)</f>
        <v>r8BLm</v>
      </c>
    </row>
    <row r="6061" spans="2:13" x14ac:dyDescent="0.25">
      <c r="B6061" s="36"/>
      <c r="C6061" s="20"/>
      <c r="D6061" s="25" t="s">
        <v>26232</v>
      </c>
      <c r="E6061" s="20" t="s">
        <v>26300</v>
      </c>
      <c r="F6061" s="9" t="str">
        <f t="shared" si="87"/>
        <v>structure with developmental contribution from neural crest</v>
      </c>
      <c r="G6061" s="9" t="s">
        <v>5090</v>
      </c>
      <c r="H6061" s="9" t="s">
        <v>18046</v>
      </c>
      <c r="I6061" s="9" t="s">
        <v>11214</v>
      </c>
      <c r="J6061" s="9" t="s">
        <v>11215</v>
      </c>
      <c r="K6061" s="5" t="s">
        <v>15173</v>
      </c>
      <c r="L6061" s="13">
        <v>17441</v>
      </c>
      <c r="M6061" t="str">
        <f>VLOOKUP(L6061,[1]DevMouse!$B$2:$C$2693,2,FALSE)</f>
        <v>r8BLp</v>
      </c>
    </row>
    <row r="6062" spans="2:13" x14ac:dyDescent="0.25">
      <c r="B6062" s="36"/>
      <c r="C6062" s="20"/>
      <c r="D6062" s="25" t="s">
        <v>26232</v>
      </c>
      <c r="E6062" s="25"/>
      <c r="F6062" s="9" t="str">
        <f t="shared" si="87"/>
        <v>structure with developmental contribution from neural crest</v>
      </c>
      <c r="G6062" s="9" t="s">
        <v>5090</v>
      </c>
      <c r="H6062" s="9" t="s">
        <v>18047</v>
      </c>
      <c r="I6062" s="9" t="s">
        <v>11216</v>
      </c>
      <c r="J6062" s="9" t="s">
        <v>11217</v>
      </c>
      <c r="K6062" s="5" t="s">
        <v>15173</v>
      </c>
      <c r="L6062" s="13">
        <v>17442</v>
      </c>
      <c r="M6062" t="str">
        <f>VLOOKUP(L6062,[1]DevMouse!$B$2:$C$2693,2,FALSE)</f>
        <v>r8-BLIZ</v>
      </c>
    </row>
    <row r="6063" spans="2:13" x14ac:dyDescent="0.25">
      <c r="B6063" s="36"/>
      <c r="C6063" s="20"/>
      <c r="D6063" s="25" t="s">
        <v>26232</v>
      </c>
      <c r="E6063" s="25"/>
      <c r="F6063" s="9" t="str">
        <f t="shared" si="87"/>
        <v>structure with developmental contribution from neural crest</v>
      </c>
      <c r="G6063" s="9" t="s">
        <v>5090</v>
      </c>
      <c r="H6063" s="9" t="s">
        <v>18048</v>
      </c>
      <c r="I6063" s="9" t="s">
        <v>11218</v>
      </c>
      <c r="J6063" s="9" t="s">
        <v>11219</v>
      </c>
      <c r="K6063" s="5" t="s">
        <v>15173</v>
      </c>
      <c r="L6063" s="13">
        <v>17443</v>
      </c>
      <c r="M6063" t="str">
        <f>VLOOKUP(L6063,[1]DevMouse!$B$2:$C$2693,2,FALSE)</f>
        <v>r8BLi</v>
      </c>
    </row>
    <row r="6064" spans="2:13" x14ac:dyDescent="0.25">
      <c r="B6064" s="36"/>
      <c r="C6064" s="20"/>
      <c r="D6064" s="25" t="s">
        <v>26232</v>
      </c>
      <c r="E6064" s="25"/>
      <c r="F6064" s="9" t="str">
        <f t="shared" si="87"/>
        <v>structure with developmental contribution from neural crest</v>
      </c>
      <c r="G6064" s="9" t="s">
        <v>5090</v>
      </c>
      <c r="H6064" s="9" t="s">
        <v>18049</v>
      </c>
      <c r="I6064" s="9" t="s">
        <v>11220</v>
      </c>
      <c r="J6064" s="9" t="s">
        <v>11221</v>
      </c>
      <c r="K6064" s="5" t="s">
        <v>15173</v>
      </c>
      <c r="L6064" s="13">
        <v>17444</v>
      </c>
      <c r="M6064" t="str">
        <f>VLOOKUP(L6064,[1]DevMouse!$B$2:$C$2693,2,FALSE)</f>
        <v>r8BLRt</v>
      </c>
    </row>
    <row r="6065" spans="2:13" x14ac:dyDescent="0.25">
      <c r="B6065" s="36"/>
      <c r="C6065" s="20"/>
      <c r="D6065" s="25" t="s">
        <v>26232</v>
      </c>
      <c r="E6065" s="25"/>
      <c r="F6065" s="9" t="str">
        <f t="shared" si="87"/>
        <v>structure with developmental contribution from neural crest</v>
      </c>
      <c r="G6065" s="9" t="s">
        <v>5090</v>
      </c>
      <c r="H6065" s="9" t="s">
        <v>18050</v>
      </c>
      <c r="I6065" s="9" t="s">
        <v>11222</v>
      </c>
      <c r="J6065" s="9" t="s">
        <v>11223</v>
      </c>
      <c r="K6065" s="5" t="s">
        <v>15173</v>
      </c>
      <c r="L6065" s="13">
        <v>17445</v>
      </c>
      <c r="M6065" t="str">
        <f>VLOOKUP(L6065,[1]DevMouse!$B$2:$C$2693,2,FALSE)</f>
        <v>r8BLs</v>
      </c>
    </row>
    <row r="6066" spans="2:13" x14ac:dyDescent="0.25">
      <c r="B6066" s="31" t="s">
        <v>26303</v>
      </c>
      <c r="C6066" s="25" t="s">
        <v>2709</v>
      </c>
      <c r="D6066" s="25" t="s">
        <v>26232</v>
      </c>
      <c r="E6066" s="25"/>
      <c r="F6066" s="9" t="str">
        <f t="shared" si="87"/>
        <v>structure with developmental contribution from neural crest</v>
      </c>
      <c r="G6066" s="9" t="s">
        <v>5090</v>
      </c>
      <c r="H6066" s="9" t="s">
        <v>18051</v>
      </c>
      <c r="I6066" s="9" t="s">
        <v>11224</v>
      </c>
      <c r="J6066" s="9" t="s">
        <v>11225</v>
      </c>
      <c r="K6066" s="5" t="s">
        <v>15173</v>
      </c>
      <c r="L6066" s="13">
        <v>17446</v>
      </c>
      <c r="M6066" t="str">
        <f>VLOOKUP(L6066,[1]DevMouse!$B$2:$C$2693,2,FALSE)</f>
        <v>r8LRt</v>
      </c>
    </row>
    <row r="6067" spans="2:13" x14ac:dyDescent="0.25">
      <c r="B6067" s="36"/>
      <c r="C6067" s="20"/>
      <c r="D6067" s="25" t="s">
        <v>26232</v>
      </c>
      <c r="E6067" s="25"/>
      <c r="F6067" s="9" t="str">
        <f t="shared" si="87"/>
        <v>structure with developmental contribution from neural crest</v>
      </c>
      <c r="G6067" s="9" t="s">
        <v>5090</v>
      </c>
      <c r="H6067" s="9" t="s">
        <v>18052</v>
      </c>
      <c r="I6067" s="9" t="s">
        <v>11226</v>
      </c>
      <c r="J6067" s="9" t="s">
        <v>11227</v>
      </c>
      <c r="K6067" s="5" t="s">
        <v>15173</v>
      </c>
      <c r="L6067" s="13">
        <v>17447</v>
      </c>
      <c r="M6067" t="str">
        <f>VLOOKUP(L6067,[1]DevMouse!$B$2:$C$2693,2,FALSE)</f>
        <v>r8LRtPC</v>
      </c>
    </row>
    <row r="6068" spans="2:13" x14ac:dyDescent="0.25">
      <c r="B6068" s="31" t="s">
        <v>26303</v>
      </c>
      <c r="C6068" s="20"/>
      <c r="D6068" s="25" t="s">
        <v>26185</v>
      </c>
      <c r="E6068" s="25" t="s">
        <v>26300</v>
      </c>
      <c r="F6068" s="9" t="str">
        <f t="shared" si="87"/>
        <v>structure with developmental contribution from neural crest</v>
      </c>
      <c r="G6068" s="9" t="s">
        <v>5090</v>
      </c>
      <c r="H6068" s="9" t="s">
        <v>18053</v>
      </c>
      <c r="I6068" s="9" t="s">
        <v>11228</v>
      </c>
      <c r="J6068" s="9" t="s">
        <v>11229</v>
      </c>
      <c r="K6068" s="5" t="s">
        <v>15173</v>
      </c>
      <c r="L6068" s="13">
        <v>17448</v>
      </c>
      <c r="M6068" t="str">
        <f>VLOOKUP(L6068,[1]DevMouse!$B$2:$C$2693,2,FALSE)</f>
        <v>r8Li</v>
      </c>
    </row>
    <row r="6069" spans="2:13" x14ac:dyDescent="0.25">
      <c r="B6069" s="36"/>
      <c r="C6069" s="20"/>
      <c r="D6069" s="25" t="s">
        <v>26232</v>
      </c>
      <c r="E6069" s="25"/>
      <c r="F6069" s="9" t="str">
        <f t="shared" si="87"/>
        <v>structure with developmental contribution from neural crest</v>
      </c>
      <c r="G6069" s="9" t="s">
        <v>5090</v>
      </c>
      <c r="H6069" s="9" t="s">
        <v>18054</v>
      </c>
      <c r="I6069" s="9" t="s">
        <v>11230</v>
      </c>
      <c r="J6069" s="9" t="s">
        <v>11231</v>
      </c>
      <c r="K6069" s="5" t="s">
        <v>15173</v>
      </c>
      <c r="L6069" s="13">
        <v>17449</v>
      </c>
      <c r="M6069" t="str">
        <f>VLOOKUP(L6069,[1]DevMouse!$B$2:$C$2693,2,FALSE)</f>
        <v>r8BI</v>
      </c>
    </row>
    <row r="6070" spans="2:13" x14ac:dyDescent="0.25">
      <c r="B6070" s="36"/>
      <c r="C6070" s="20"/>
      <c r="D6070" s="25" t="s">
        <v>26232</v>
      </c>
      <c r="E6070" s="25"/>
      <c r="F6070" s="9" t="str">
        <f t="shared" si="87"/>
        <v>structure with developmental contribution from neural crest</v>
      </c>
      <c r="G6070" s="9" t="s">
        <v>5090</v>
      </c>
      <c r="H6070" s="9" t="s">
        <v>18055</v>
      </c>
      <c r="I6070" s="9" t="s">
        <v>11232</v>
      </c>
      <c r="J6070" s="9" t="s">
        <v>11233</v>
      </c>
      <c r="K6070" s="5" t="s">
        <v>15173</v>
      </c>
      <c r="L6070" s="13">
        <v>17450</v>
      </c>
      <c r="M6070" t="str">
        <f>VLOOKUP(L6070,[1]DevMouse!$B$2:$C$2693,2,FALSE)</f>
        <v>r8BIv</v>
      </c>
    </row>
    <row r="6071" spans="2:13" x14ac:dyDescent="0.25">
      <c r="B6071" s="31" t="s">
        <v>26303</v>
      </c>
      <c r="C6071" s="20"/>
      <c r="D6071" s="25" t="s">
        <v>26232</v>
      </c>
      <c r="E6071" s="20" t="s">
        <v>26300</v>
      </c>
      <c r="F6071" s="9" t="str">
        <f t="shared" ref="F6071:F6134" si="88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6071" s="9" t="s">
        <v>5090</v>
      </c>
      <c r="H6071" s="9" t="s">
        <v>18056</v>
      </c>
      <c r="I6071" s="9" t="s">
        <v>11234</v>
      </c>
      <c r="J6071" s="9" t="s">
        <v>11235</v>
      </c>
      <c r="K6071" s="5" t="s">
        <v>15173</v>
      </c>
      <c r="L6071" s="13">
        <v>17451</v>
      </c>
      <c r="M6071" t="str">
        <f>VLOOKUP(L6071,[1]DevMouse!$B$2:$C$2693,2,FALSE)</f>
        <v>r8BIm</v>
      </c>
    </row>
    <row r="6072" spans="2:13" x14ac:dyDescent="0.25">
      <c r="B6072" s="36"/>
      <c r="C6072" s="20"/>
      <c r="D6072" s="25" t="s">
        <v>26232</v>
      </c>
      <c r="E6072" s="20" t="s">
        <v>26300</v>
      </c>
      <c r="F6072" s="9" t="str">
        <f t="shared" si="88"/>
        <v>structure with developmental contribution from neural crest</v>
      </c>
      <c r="G6072" s="9" t="s">
        <v>5090</v>
      </c>
      <c r="H6072" s="9" t="s">
        <v>18057</v>
      </c>
      <c r="I6072" s="9" t="s">
        <v>11236</v>
      </c>
      <c r="J6072" s="9" t="s">
        <v>11237</v>
      </c>
      <c r="K6072" s="5" t="s">
        <v>15173</v>
      </c>
      <c r="L6072" s="13">
        <v>17452</v>
      </c>
      <c r="M6072" t="str">
        <f>VLOOKUP(L6072,[1]DevMouse!$B$2:$C$2693,2,FALSE)</f>
        <v>r8BIp</v>
      </c>
    </row>
    <row r="6073" spans="2:13" x14ac:dyDescent="0.25">
      <c r="B6073" s="36"/>
      <c r="C6073" s="20"/>
      <c r="D6073" s="25" t="s">
        <v>26232</v>
      </c>
      <c r="E6073" s="25"/>
      <c r="F6073" s="9" t="str">
        <f t="shared" si="88"/>
        <v>structure with developmental contribution from neural crest</v>
      </c>
      <c r="G6073" s="9" t="s">
        <v>5090</v>
      </c>
      <c r="H6073" s="9" t="s">
        <v>18058</v>
      </c>
      <c r="I6073" s="9" t="s">
        <v>11238</v>
      </c>
      <c r="J6073" s="9" t="s">
        <v>11239</v>
      </c>
      <c r="K6073" s="5" t="s">
        <v>15173</v>
      </c>
      <c r="L6073" s="13">
        <v>17453</v>
      </c>
      <c r="M6073" t="str">
        <f>VLOOKUP(L6073,[1]DevMouse!$B$2:$C$2693,2,FALSE)</f>
        <v>r8BIIZ</v>
      </c>
    </row>
    <row r="6074" spans="2:13" x14ac:dyDescent="0.25">
      <c r="B6074" s="31" t="s">
        <v>26303</v>
      </c>
      <c r="C6074" s="25" t="s">
        <v>3262</v>
      </c>
      <c r="D6074" s="25" t="s">
        <v>26232</v>
      </c>
      <c r="E6074" s="25" t="s">
        <v>26308</v>
      </c>
      <c r="F6074" s="9" t="str">
        <f t="shared" si="88"/>
        <v>structure with developmental contribution from neural crest</v>
      </c>
      <c r="G6074" s="9" t="s">
        <v>5090</v>
      </c>
      <c r="H6074" s="9" t="s">
        <v>18059</v>
      </c>
      <c r="I6074" s="9" t="s">
        <v>11240</v>
      </c>
      <c r="J6074" s="9" t="s">
        <v>11241</v>
      </c>
      <c r="K6074" s="5" t="s">
        <v>15173</v>
      </c>
      <c r="L6074" s="13">
        <v>17454</v>
      </c>
      <c r="M6074" t="str">
        <f>VLOOKUP(L6074,[1]DevMouse!$B$2:$C$2693,2,FALSE)</f>
        <v>r8IS</v>
      </c>
    </row>
    <row r="6075" spans="2:13" x14ac:dyDescent="0.25">
      <c r="B6075" s="36"/>
      <c r="C6075" s="20"/>
      <c r="D6075" s="25" t="s">
        <v>26232</v>
      </c>
      <c r="E6075" s="25"/>
      <c r="F6075" s="9" t="str">
        <f t="shared" si="88"/>
        <v>structure with developmental contribution from neural crest</v>
      </c>
      <c r="G6075" s="9" t="s">
        <v>5090</v>
      </c>
      <c r="H6075" s="9" t="s">
        <v>18060</v>
      </c>
      <c r="I6075" s="9" t="s">
        <v>11242</v>
      </c>
      <c r="J6075" s="9" t="s">
        <v>11243</v>
      </c>
      <c r="K6075" s="5" t="s">
        <v>15173</v>
      </c>
      <c r="L6075" s="13">
        <v>17455</v>
      </c>
      <c r="M6075" t="str">
        <f>VLOOKUP(L6075,[1]DevMouse!$B$2:$C$2693,2,FALSE)</f>
        <v>r8BIi</v>
      </c>
    </row>
    <row r="6076" spans="2:13" x14ac:dyDescent="0.25">
      <c r="B6076" s="36"/>
      <c r="C6076" s="20"/>
      <c r="D6076" s="25" t="s">
        <v>26232</v>
      </c>
      <c r="E6076" s="25"/>
      <c r="F6076" s="9" t="str">
        <f t="shared" si="88"/>
        <v>structure with developmental contribution from neural crest</v>
      </c>
      <c r="G6076" s="9" t="s">
        <v>5090</v>
      </c>
      <c r="H6076" s="9" t="s">
        <v>18061</v>
      </c>
      <c r="I6076" s="9" t="s">
        <v>11244</v>
      </c>
      <c r="J6076" s="9" t="s">
        <v>11245</v>
      </c>
      <c r="K6076" s="5" t="s">
        <v>15173</v>
      </c>
      <c r="L6076" s="13">
        <v>17456</v>
      </c>
      <c r="M6076" t="str">
        <f>VLOOKUP(L6076,[1]DevMouse!$B$2:$C$2693,2,FALSE)</f>
        <v>r8BIRt</v>
      </c>
    </row>
    <row r="6077" spans="2:13" x14ac:dyDescent="0.25">
      <c r="B6077" s="36"/>
      <c r="C6077" s="20"/>
      <c r="D6077" s="25" t="s">
        <v>26232</v>
      </c>
      <c r="E6077" s="25"/>
      <c r="F6077" s="9" t="str">
        <f t="shared" si="88"/>
        <v>structure with developmental contribution from neural crest</v>
      </c>
      <c r="G6077" s="9" t="s">
        <v>5090</v>
      </c>
      <c r="H6077" s="9" t="s">
        <v>18062</v>
      </c>
      <c r="I6077" s="9" t="s">
        <v>11246</v>
      </c>
      <c r="J6077" s="9" t="s">
        <v>11247</v>
      </c>
      <c r="K6077" s="5" t="s">
        <v>15173</v>
      </c>
      <c r="L6077" s="13">
        <v>17457</v>
      </c>
      <c r="M6077" t="str">
        <f>VLOOKUP(L6077,[1]DevMouse!$B$2:$C$2693,2,FALSE)</f>
        <v>r8BIs</v>
      </c>
    </row>
    <row r="6078" spans="2:13" x14ac:dyDescent="0.25">
      <c r="B6078" s="36"/>
      <c r="C6078" s="20"/>
      <c r="D6078" s="25" t="s">
        <v>26232</v>
      </c>
      <c r="E6078" s="25"/>
      <c r="F6078" s="9" t="str">
        <f t="shared" si="88"/>
        <v>structure with developmental contribution from neural crest</v>
      </c>
      <c r="G6078" s="9" t="s">
        <v>5090</v>
      </c>
      <c r="H6078" s="9" t="s">
        <v>18063</v>
      </c>
      <c r="I6078" s="9" t="s">
        <v>11248</v>
      </c>
      <c r="J6078" s="9" t="s">
        <v>11249</v>
      </c>
      <c r="K6078" s="5" t="s">
        <v>15173</v>
      </c>
      <c r="L6078" s="13">
        <v>17458</v>
      </c>
      <c r="M6078" t="str">
        <f>VLOOKUP(L6078,[1]DevMouse!$B$2:$C$2693,2,FALSE)</f>
        <v>r8RVM</v>
      </c>
    </row>
    <row r="6079" spans="2:13" x14ac:dyDescent="0.25">
      <c r="B6079" s="31" t="s">
        <v>26303</v>
      </c>
      <c r="C6079" s="25" t="s">
        <v>3591</v>
      </c>
      <c r="D6079" s="25" t="s">
        <v>26185</v>
      </c>
      <c r="E6079" s="25" t="s">
        <v>26308</v>
      </c>
      <c r="F6079" s="9" t="str">
        <f t="shared" si="88"/>
        <v>structure with developmental contribution from neural crest</v>
      </c>
      <c r="G6079" s="9" t="s">
        <v>5090</v>
      </c>
      <c r="H6079" s="9" t="s">
        <v>18064</v>
      </c>
      <c r="I6079" s="9" t="s">
        <v>11250</v>
      </c>
      <c r="J6079" s="9" t="s">
        <v>11251</v>
      </c>
      <c r="K6079" s="5" t="s">
        <v>15173</v>
      </c>
      <c r="L6079" s="13">
        <v>17459</v>
      </c>
      <c r="M6079" t="str">
        <f>VLOOKUP(L6079,[1]DevMouse!$B$2:$C$2693,2,FALSE)</f>
        <v>r8PGi</v>
      </c>
    </row>
    <row r="6080" spans="2:13" x14ac:dyDescent="0.25">
      <c r="B6080" s="36"/>
      <c r="C6080" s="20"/>
      <c r="D6080" s="25" t="s">
        <v>26232</v>
      </c>
      <c r="E6080" s="25"/>
      <c r="F6080" s="9" t="str">
        <f t="shared" si="88"/>
        <v>structure with developmental contribution from neural crest</v>
      </c>
      <c r="G6080" s="9" t="s">
        <v>5090</v>
      </c>
      <c r="H6080" s="9" t="s">
        <v>18065</v>
      </c>
      <c r="I6080" s="9" t="s">
        <v>11252</v>
      </c>
      <c r="J6080" s="9" t="s">
        <v>11253</v>
      </c>
      <c r="K6080" s="5" t="s">
        <v>15173</v>
      </c>
      <c r="L6080" s="13">
        <v>17460</v>
      </c>
      <c r="M6080" t="str">
        <f>VLOOKUP(L6080,[1]DevMouse!$B$2:$C$2693,2,FALSE)</f>
        <v>r8BM</v>
      </c>
    </row>
    <row r="6081" spans="2:13" x14ac:dyDescent="0.25">
      <c r="B6081" s="36"/>
      <c r="C6081" s="20"/>
      <c r="D6081" s="25" t="s">
        <v>26232</v>
      </c>
      <c r="E6081" s="25"/>
      <c r="F6081" s="9" t="str">
        <f t="shared" si="88"/>
        <v>structure with developmental contribution from neural crest</v>
      </c>
      <c r="G6081" s="9" t="s">
        <v>5090</v>
      </c>
      <c r="H6081" s="9" t="s">
        <v>18066</v>
      </c>
      <c r="I6081" s="9" t="s">
        <v>11254</v>
      </c>
      <c r="J6081" s="9" t="s">
        <v>11255</v>
      </c>
      <c r="K6081" s="5" t="s">
        <v>15173</v>
      </c>
      <c r="L6081" s="13">
        <v>17461</v>
      </c>
      <c r="M6081" t="str">
        <f>VLOOKUP(L6081,[1]DevMouse!$B$2:$C$2693,2,FALSE)</f>
        <v>r8BMv</v>
      </c>
    </row>
    <row r="6082" spans="2:13" x14ac:dyDescent="0.25">
      <c r="B6082" s="31" t="s">
        <v>26303</v>
      </c>
      <c r="C6082" s="20"/>
      <c r="D6082" s="25" t="s">
        <v>26232</v>
      </c>
      <c r="E6082" s="20" t="s">
        <v>26300</v>
      </c>
      <c r="F6082" s="9" t="str">
        <f t="shared" si="88"/>
        <v>structure with developmental contribution from neural crest</v>
      </c>
      <c r="G6082" s="9" t="s">
        <v>5090</v>
      </c>
      <c r="H6082" s="9" t="s">
        <v>18067</v>
      </c>
      <c r="I6082" s="9" t="s">
        <v>11256</v>
      </c>
      <c r="J6082" s="9" t="s">
        <v>11257</v>
      </c>
      <c r="K6082" s="5" t="s">
        <v>15173</v>
      </c>
      <c r="L6082" s="13">
        <v>17462</v>
      </c>
      <c r="M6082" t="str">
        <f>VLOOKUP(L6082,[1]DevMouse!$B$2:$C$2693,2,FALSE)</f>
        <v>r8BMm</v>
      </c>
    </row>
    <row r="6083" spans="2:13" x14ac:dyDescent="0.25">
      <c r="B6083" s="36"/>
      <c r="C6083" s="20"/>
      <c r="D6083" s="25" t="s">
        <v>26232</v>
      </c>
      <c r="E6083" s="20" t="s">
        <v>26300</v>
      </c>
      <c r="F6083" s="9" t="str">
        <f t="shared" si="88"/>
        <v>structure with developmental contribution from neural crest</v>
      </c>
      <c r="G6083" s="9" t="s">
        <v>5090</v>
      </c>
      <c r="H6083" s="9" t="s">
        <v>18068</v>
      </c>
      <c r="I6083" s="9" t="s">
        <v>11258</v>
      </c>
      <c r="J6083" s="9" t="s">
        <v>11259</v>
      </c>
      <c r="K6083" s="5" t="s">
        <v>15173</v>
      </c>
      <c r="L6083" s="13">
        <v>17463</v>
      </c>
      <c r="M6083" t="str">
        <f>VLOOKUP(L6083,[1]DevMouse!$B$2:$C$2693,2,FALSE)</f>
        <v>r8BMp</v>
      </c>
    </row>
    <row r="6084" spans="2:13" x14ac:dyDescent="0.25">
      <c r="B6084" s="31" t="s">
        <v>26303</v>
      </c>
      <c r="C6084" s="25" t="s">
        <v>3352</v>
      </c>
      <c r="D6084" s="25" t="s">
        <v>26232</v>
      </c>
      <c r="E6084" s="25" t="s">
        <v>26308</v>
      </c>
      <c r="F6084" s="9" t="str">
        <f t="shared" si="88"/>
        <v>structure with developmental contribution from neural crest</v>
      </c>
      <c r="G6084" s="9" t="s">
        <v>5090</v>
      </c>
      <c r="H6084" s="9" t="s">
        <v>18069</v>
      </c>
      <c r="I6084" s="9" t="s">
        <v>11260</v>
      </c>
      <c r="J6084" s="9" t="s">
        <v>11261</v>
      </c>
      <c r="K6084" s="5" t="s">
        <v>15173</v>
      </c>
      <c r="L6084" s="13">
        <v>17464</v>
      </c>
      <c r="M6084" t="str">
        <f>VLOOKUP(L6084,[1]DevMouse!$B$2:$C$2693,2,FALSE)</f>
        <v>r8Pr</v>
      </c>
    </row>
    <row r="6085" spans="2:13" x14ac:dyDescent="0.25">
      <c r="B6085" s="31" t="s">
        <v>26303</v>
      </c>
      <c r="C6085" s="25" t="s">
        <v>2327</v>
      </c>
      <c r="D6085" s="25" t="s">
        <v>26185</v>
      </c>
      <c r="E6085" s="25" t="s">
        <v>26308</v>
      </c>
      <c r="F6085" s="9" t="str">
        <f t="shared" si="88"/>
        <v>structure with developmental contribution from neural crest</v>
      </c>
      <c r="G6085" s="9" t="s">
        <v>5090</v>
      </c>
      <c r="H6085" s="9" t="s">
        <v>18070</v>
      </c>
      <c r="I6085" s="9" t="s">
        <v>11262</v>
      </c>
      <c r="J6085" s="9" t="s">
        <v>11263</v>
      </c>
      <c r="K6085" s="5" t="s">
        <v>15173</v>
      </c>
      <c r="L6085" s="13">
        <v>17465</v>
      </c>
      <c r="M6085" t="str">
        <f>VLOOKUP(L6085,[1]DevMouse!$B$2:$C$2693,2,FALSE)</f>
        <v>r8-12M</v>
      </c>
    </row>
    <row r="6086" spans="2:13" x14ac:dyDescent="0.25">
      <c r="B6086" s="31" t="s">
        <v>26303</v>
      </c>
      <c r="C6086" s="25" t="s">
        <v>26233</v>
      </c>
      <c r="D6086" s="25" t="s">
        <v>26232</v>
      </c>
      <c r="E6086" s="25" t="s">
        <v>26308</v>
      </c>
      <c r="F6086" s="9" t="str">
        <f t="shared" si="88"/>
        <v>structure with developmental contribution from neural crest</v>
      </c>
      <c r="G6086" s="9" t="s">
        <v>5090</v>
      </c>
      <c r="H6086" s="9" t="s">
        <v>18071</v>
      </c>
      <c r="I6086" s="9" t="s">
        <v>11264</v>
      </c>
      <c r="J6086" s="9" t="s">
        <v>11265</v>
      </c>
      <c r="K6086" s="5" t="s">
        <v>15173</v>
      </c>
      <c r="L6086" s="13">
        <v>17466</v>
      </c>
      <c r="M6086" t="str">
        <f>VLOOKUP(L6086,[1]DevMouse!$B$2:$C$2693,2,FALSE)</f>
        <v>r8Ro</v>
      </c>
    </row>
    <row r="6087" spans="2:13" x14ac:dyDescent="0.25">
      <c r="B6087" s="36"/>
      <c r="C6087" s="20"/>
      <c r="D6087" s="25" t="s">
        <v>26232</v>
      </c>
      <c r="E6087" s="25"/>
      <c r="F6087" s="9" t="str">
        <f t="shared" si="88"/>
        <v>structure with developmental contribution from neural crest</v>
      </c>
      <c r="G6087" s="9" t="s">
        <v>5090</v>
      </c>
      <c r="H6087" s="9" t="s">
        <v>18072</v>
      </c>
      <c r="I6087" s="9" t="s">
        <v>11266</v>
      </c>
      <c r="J6087" s="9" t="s">
        <v>11267</v>
      </c>
      <c r="K6087" s="5" t="s">
        <v>15173</v>
      </c>
      <c r="L6087" s="13">
        <v>17467</v>
      </c>
      <c r="M6087" t="str">
        <f>VLOOKUP(L6087,[1]DevMouse!$B$2:$C$2693,2,FALSE)</f>
        <v>r8BMi</v>
      </c>
    </row>
    <row r="6088" spans="2:13" x14ac:dyDescent="0.25">
      <c r="B6088" s="31" t="s">
        <v>26303</v>
      </c>
      <c r="C6088" s="25" t="s">
        <v>3363</v>
      </c>
      <c r="D6088" s="25" t="s">
        <v>26232</v>
      </c>
      <c r="E6088" s="25" t="s">
        <v>26308</v>
      </c>
      <c r="F6088" s="9" t="str">
        <f t="shared" si="88"/>
        <v>structure with developmental contribution from neural crest</v>
      </c>
      <c r="G6088" s="9" t="s">
        <v>5090</v>
      </c>
      <c r="H6088" s="9" t="s">
        <v>18073</v>
      </c>
      <c r="I6088" s="9" t="s">
        <v>11268</v>
      </c>
      <c r="J6088" s="9" t="s">
        <v>11269</v>
      </c>
      <c r="K6088" s="5" t="s">
        <v>15173</v>
      </c>
      <c r="L6088" s="13">
        <v>17468</v>
      </c>
      <c r="M6088" t="str">
        <f>VLOOKUP(L6088,[1]DevMouse!$B$2:$C$2693,2,FALSE)</f>
        <v>r8-RO</v>
      </c>
    </row>
    <row r="6089" spans="2:13" x14ac:dyDescent="0.25">
      <c r="B6089" s="36"/>
      <c r="C6089" s="20"/>
      <c r="D6089" s="25" t="s">
        <v>26232</v>
      </c>
      <c r="E6089" s="25"/>
      <c r="F6089" s="9" t="str">
        <f t="shared" si="88"/>
        <v>structure with developmental contribution from neural crest</v>
      </c>
      <c r="G6089" s="9" t="s">
        <v>5090</v>
      </c>
      <c r="H6089" s="9" t="s">
        <v>18074</v>
      </c>
      <c r="I6089" s="9" t="s">
        <v>11270</v>
      </c>
      <c r="J6089" s="9" t="s">
        <v>11271</v>
      </c>
      <c r="K6089" s="5" t="s">
        <v>15173</v>
      </c>
      <c r="L6089" s="13">
        <v>17469</v>
      </c>
      <c r="M6089" t="str">
        <f>VLOOKUP(L6089,[1]DevMouse!$B$2:$C$2693,2,FALSE)</f>
        <v>r8BMRt</v>
      </c>
    </row>
    <row r="6090" spans="2:13" x14ac:dyDescent="0.25">
      <c r="B6090" s="31" t="s">
        <v>26303</v>
      </c>
      <c r="C6090" s="25" t="s">
        <v>25947</v>
      </c>
      <c r="D6090" s="25" t="s">
        <v>26185</v>
      </c>
      <c r="E6090" s="25" t="s">
        <v>26308</v>
      </c>
      <c r="F6090" s="9" t="str">
        <f t="shared" si="88"/>
        <v>structure with developmental contribution from neural crest</v>
      </c>
      <c r="G6090" s="9" t="s">
        <v>5090</v>
      </c>
      <c r="H6090" s="9" t="s">
        <v>18075</v>
      </c>
      <c r="I6090" s="9" t="s">
        <v>11272</v>
      </c>
      <c r="J6090" s="9" t="s">
        <v>11273</v>
      </c>
      <c r="K6090" s="5" t="s">
        <v>15173</v>
      </c>
      <c r="L6090" s="13">
        <v>17470</v>
      </c>
      <c r="M6090" t="str">
        <f>VLOOKUP(L6090,[1]DevMouse!$B$2:$C$2693,2,FALSE)</f>
        <v>r8Gi</v>
      </c>
    </row>
    <row r="6091" spans="2:13" x14ac:dyDescent="0.25">
      <c r="B6091" s="36"/>
      <c r="C6091" s="20"/>
      <c r="D6091" s="25" t="s">
        <v>26232</v>
      </c>
      <c r="E6091" s="25"/>
      <c r="F6091" s="9" t="str">
        <f t="shared" si="88"/>
        <v>structure with developmental contribution from neural crest</v>
      </c>
      <c r="G6091" s="9" t="s">
        <v>5090</v>
      </c>
      <c r="H6091" s="9" t="s">
        <v>18076</v>
      </c>
      <c r="I6091" s="9" t="s">
        <v>11274</v>
      </c>
      <c r="J6091" s="9" t="s">
        <v>11275</v>
      </c>
      <c r="K6091" s="5" t="s">
        <v>15173</v>
      </c>
      <c r="L6091" s="13">
        <v>17471</v>
      </c>
      <c r="M6091" t="str">
        <f>VLOOKUP(L6091,[1]DevMouse!$B$2:$C$2693,2,FALSE)</f>
        <v>r8GiV</v>
      </c>
    </row>
    <row r="6092" spans="2:13" x14ac:dyDescent="0.25">
      <c r="B6092" s="36"/>
      <c r="C6092" s="20"/>
      <c r="D6092" s="25" t="s">
        <v>26232</v>
      </c>
      <c r="E6092" s="25"/>
      <c r="F6092" s="9" t="str">
        <f t="shared" si="88"/>
        <v>structure with developmental contribution from neural crest</v>
      </c>
      <c r="G6092" s="9" t="s">
        <v>5090</v>
      </c>
      <c r="H6092" s="9" t="s">
        <v>18077</v>
      </c>
      <c r="I6092" s="9" t="s">
        <v>11276</v>
      </c>
      <c r="J6092" s="9" t="s">
        <v>11277</v>
      </c>
      <c r="K6092" s="5" t="s">
        <v>15173</v>
      </c>
      <c r="L6092" s="13">
        <v>17472</v>
      </c>
      <c r="M6092" t="str">
        <f>VLOOKUP(L6092,[1]DevMouse!$B$2:$C$2693,2,FALSE)</f>
        <v>r8BMs</v>
      </c>
    </row>
    <row r="6093" spans="2:13" x14ac:dyDescent="0.25">
      <c r="B6093" s="31" t="s">
        <v>26303</v>
      </c>
      <c r="C6093" s="25" t="s">
        <v>3369</v>
      </c>
      <c r="D6093" s="25" t="s">
        <v>26232</v>
      </c>
      <c r="E6093" s="25" t="s">
        <v>26308</v>
      </c>
      <c r="F6093" s="9" t="str">
        <f t="shared" si="88"/>
        <v>structure with developmental contribution from neural crest</v>
      </c>
      <c r="G6093" s="9" t="s">
        <v>5090</v>
      </c>
      <c r="H6093" s="9" t="s">
        <v>18078</v>
      </c>
      <c r="I6093" s="9" t="s">
        <v>11278</v>
      </c>
      <c r="J6093" s="9" t="s">
        <v>11279</v>
      </c>
      <c r="K6093" s="5" t="s">
        <v>15173</v>
      </c>
      <c r="L6093" s="13">
        <v>17473</v>
      </c>
      <c r="M6093" t="str">
        <f>VLOOKUP(L6093,[1]DevMouse!$B$2:$C$2693,2,FALSE)</f>
        <v>r8-RP</v>
      </c>
    </row>
    <row r="6094" spans="2:13" x14ac:dyDescent="0.25">
      <c r="B6094" s="31" t="s">
        <v>26303</v>
      </c>
      <c r="C6094" s="25" t="s">
        <v>2387</v>
      </c>
      <c r="D6094" s="25" t="s">
        <v>26185</v>
      </c>
      <c r="E6094" s="25" t="s">
        <v>26308</v>
      </c>
      <c r="F6094" s="9" t="str">
        <f t="shared" si="88"/>
        <v>structure with developmental contribution from neural crest</v>
      </c>
      <c r="G6094" s="9" t="s">
        <v>5090</v>
      </c>
      <c r="H6094" s="9" t="s">
        <v>18079</v>
      </c>
      <c r="I6094" s="9" t="s">
        <v>11280</v>
      </c>
      <c r="J6094" s="9" t="s">
        <v>11281</v>
      </c>
      <c r="K6094" s="5" t="s">
        <v>15173</v>
      </c>
      <c r="L6094" s="13">
        <v>17474</v>
      </c>
      <c r="M6094" t="str">
        <f>VLOOKUP(L6094,[1]DevMouse!$B$2:$C$2693,2,FALSE)</f>
        <v>r8-IO</v>
      </c>
    </row>
    <row r="6095" spans="2:13" x14ac:dyDescent="0.25">
      <c r="B6095" s="31" t="s">
        <v>26303</v>
      </c>
      <c r="C6095" s="25" t="s">
        <v>26208</v>
      </c>
      <c r="D6095" s="25" t="s">
        <v>26232</v>
      </c>
      <c r="E6095" s="25"/>
      <c r="F6095" s="9" t="str">
        <f t="shared" si="88"/>
        <v>structure with developmental contribution from neural crest</v>
      </c>
      <c r="G6095" s="9" t="s">
        <v>5090</v>
      </c>
      <c r="H6095" s="9" t="s">
        <v>18080</v>
      </c>
      <c r="I6095" s="9" t="s">
        <v>4849</v>
      </c>
      <c r="J6095" s="9" t="s">
        <v>4850</v>
      </c>
      <c r="K6095" s="5" t="s">
        <v>15173</v>
      </c>
      <c r="L6095" s="13">
        <v>17475</v>
      </c>
      <c r="M6095" t="str">
        <f>VLOOKUP(L6095,[1]DevMouse!$B$2:$C$2693,2,FALSE)</f>
        <v>r8F</v>
      </c>
    </row>
    <row r="6096" spans="2:13" x14ac:dyDescent="0.25">
      <c r="B6096" s="36"/>
      <c r="C6096" s="20"/>
      <c r="D6096" s="25" t="s">
        <v>26232</v>
      </c>
      <c r="E6096" s="25"/>
      <c r="F6096" s="9" t="str">
        <f t="shared" si="88"/>
        <v>structure with developmental contribution from neural crest</v>
      </c>
      <c r="G6096" s="9" t="s">
        <v>5090</v>
      </c>
      <c r="H6096" s="9" t="s">
        <v>18087</v>
      </c>
      <c r="I6096" s="9" t="s">
        <v>11282</v>
      </c>
      <c r="J6096" s="9" t="s">
        <v>11283</v>
      </c>
      <c r="K6096" s="5" t="s">
        <v>15173</v>
      </c>
      <c r="L6096" s="13">
        <v>17477</v>
      </c>
      <c r="M6096" t="str">
        <f>VLOOKUP(L6096,[1]DevMouse!$B$2:$C$2693,2,FALSE)</f>
        <v>r9R</v>
      </c>
    </row>
    <row r="6097" spans="2:13" x14ac:dyDescent="0.25">
      <c r="B6097" s="36"/>
      <c r="C6097" s="20"/>
      <c r="D6097" s="25" t="s">
        <v>26232</v>
      </c>
      <c r="E6097" s="25"/>
      <c r="F6097" s="9" t="str">
        <f t="shared" si="88"/>
        <v>structure with developmental contribution from neural crest</v>
      </c>
      <c r="G6097" s="9" t="s">
        <v>5090</v>
      </c>
      <c r="H6097" s="9" t="s">
        <v>18088</v>
      </c>
      <c r="I6097" s="9" t="s">
        <v>11284</v>
      </c>
      <c r="J6097" s="9" t="s">
        <v>11285</v>
      </c>
      <c r="K6097" s="5" t="s">
        <v>15173</v>
      </c>
      <c r="L6097" s="13">
        <v>17478</v>
      </c>
      <c r="M6097" t="str">
        <f>VLOOKUP(L6097,[1]DevMouse!$B$2:$C$2693,2,FALSE)</f>
        <v>r9A</v>
      </c>
    </row>
    <row r="6098" spans="2:13" x14ac:dyDescent="0.25">
      <c r="B6098" s="36"/>
      <c r="C6098" s="20"/>
      <c r="D6098" s="25" t="s">
        <v>26232</v>
      </c>
      <c r="E6098" s="25"/>
      <c r="F6098" s="9" t="str">
        <f t="shared" si="88"/>
        <v>structure with developmental contribution from neural crest</v>
      </c>
      <c r="G6098" s="9" t="s">
        <v>5090</v>
      </c>
      <c r="H6098" s="9" t="s">
        <v>18091</v>
      </c>
      <c r="I6098" s="9" t="s">
        <v>11286</v>
      </c>
      <c r="J6098" s="9" t="s">
        <v>11287</v>
      </c>
      <c r="K6098" s="5" t="s">
        <v>15173</v>
      </c>
      <c r="L6098" s="13">
        <v>17479</v>
      </c>
      <c r="M6098" t="str">
        <f>VLOOKUP(L6098,[1]DevMouse!$B$2:$C$2693,2,FALSE)</f>
        <v>r9Ve</v>
      </c>
    </row>
    <row r="6099" spans="2:13" x14ac:dyDescent="0.25">
      <c r="B6099" s="36"/>
      <c r="C6099" s="20"/>
      <c r="D6099" s="25" t="s">
        <v>26232</v>
      </c>
      <c r="E6099" s="25"/>
      <c r="F6099" s="9" t="str">
        <f t="shared" si="88"/>
        <v>structure with developmental contribution from neural crest</v>
      </c>
      <c r="G6099" s="9" t="s">
        <v>5090</v>
      </c>
      <c r="H6099" s="9" t="s">
        <v>18092</v>
      </c>
      <c r="I6099" s="9" t="s">
        <v>11288</v>
      </c>
      <c r="J6099" s="9" t="s">
        <v>11289</v>
      </c>
      <c r="K6099" s="5" t="s">
        <v>15173</v>
      </c>
      <c r="L6099" s="13">
        <v>17480</v>
      </c>
      <c r="M6099" t="str">
        <f>VLOOKUP(L6099,[1]DevMouse!$B$2:$C$2693,2,FALSE)</f>
        <v>r9Vev</v>
      </c>
    </row>
    <row r="6100" spans="2:13" x14ac:dyDescent="0.25">
      <c r="B6100" s="31" t="s">
        <v>26303</v>
      </c>
      <c r="C6100" s="20"/>
      <c r="D6100" s="25" t="s">
        <v>26232</v>
      </c>
      <c r="E6100" s="20" t="s">
        <v>26300</v>
      </c>
      <c r="F6100" s="9" t="str">
        <f t="shared" si="88"/>
        <v>structure with developmental contribution from neural crest</v>
      </c>
      <c r="G6100" s="9" t="s">
        <v>5090</v>
      </c>
      <c r="H6100" s="9" t="s">
        <v>18093</v>
      </c>
      <c r="I6100" s="9" t="s">
        <v>11290</v>
      </c>
      <c r="J6100" s="9" t="s">
        <v>11291</v>
      </c>
      <c r="K6100" s="5" t="s">
        <v>15173</v>
      </c>
      <c r="L6100" s="13">
        <v>17481</v>
      </c>
      <c r="M6100" t="str">
        <f>VLOOKUP(L6100,[1]DevMouse!$B$2:$C$2693,2,FALSE)</f>
        <v>r9Vem</v>
      </c>
    </row>
    <row r="6101" spans="2:13" x14ac:dyDescent="0.25">
      <c r="B6101" s="31" t="s">
        <v>26303</v>
      </c>
      <c r="C6101" s="25" t="s">
        <v>25970</v>
      </c>
      <c r="D6101" s="25" t="s">
        <v>26232</v>
      </c>
      <c r="E6101" s="25" t="s">
        <v>26308</v>
      </c>
      <c r="F6101" s="9" t="str">
        <f t="shared" si="88"/>
        <v>structure with developmental contribution from neural crest</v>
      </c>
      <c r="G6101" s="9" t="s">
        <v>5090</v>
      </c>
      <c r="H6101" s="9" t="s">
        <v>18097</v>
      </c>
      <c r="I6101" s="9" t="s">
        <v>11292</v>
      </c>
      <c r="J6101" s="9" t="s">
        <v>11293</v>
      </c>
      <c r="K6101" s="5" t="s">
        <v>15173</v>
      </c>
      <c r="L6101" s="13">
        <v>17482</v>
      </c>
      <c r="M6101" t="str">
        <f>VLOOKUP(L6101,[1]DevMouse!$B$2:$C$2693,2,FALSE)</f>
        <v>r9SpVe</v>
      </c>
    </row>
    <row r="6102" spans="2:13" x14ac:dyDescent="0.25">
      <c r="B6102" s="31" t="s">
        <v>26303</v>
      </c>
      <c r="C6102" s="25" t="s">
        <v>3042</v>
      </c>
      <c r="D6102" s="25" t="s">
        <v>26232</v>
      </c>
      <c r="E6102" s="25" t="s">
        <v>26308</v>
      </c>
      <c r="F6102" s="9" t="str">
        <f t="shared" si="88"/>
        <v>structure with developmental contribution from neural crest</v>
      </c>
      <c r="G6102" s="9" t="s">
        <v>5090</v>
      </c>
      <c r="H6102" s="9" t="s">
        <v>18095</v>
      </c>
      <c r="I6102" s="9" t="s">
        <v>11294</v>
      </c>
      <c r="J6102" s="9" t="s">
        <v>11295</v>
      </c>
      <c r="K6102" s="5" t="s">
        <v>15173</v>
      </c>
      <c r="L6102" s="13">
        <v>17483</v>
      </c>
      <c r="M6102" t="str">
        <f>VLOOKUP(L6102,[1]DevMouse!$B$2:$C$2693,2,FALSE)</f>
        <v>r9MVePC</v>
      </c>
    </row>
    <row r="6103" spans="2:13" x14ac:dyDescent="0.25">
      <c r="B6103" s="36"/>
      <c r="C6103" s="20"/>
      <c r="D6103" s="25" t="s">
        <v>26232</v>
      </c>
      <c r="E6103" s="25"/>
      <c r="F6103" s="9" t="str">
        <f t="shared" si="88"/>
        <v>structure with developmental contribution from neural crest</v>
      </c>
      <c r="G6103" s="9" t="s">
        <v>5090</v>
      </c>
      <c r="H6103" s="9" t="s">
        <v>18099</v>
      </c>
      <c r="I6103" s="9" t="s">
        <v>11296</v>
      </c>
      <c r="J6103" s="9" t="s">
        <v>11297</v>
      </c>
      <c r="K6103" s="5" t="s">
        <v>15173</v>
      </c>
      <c r="L6103" s="13">
        <v>17484</v>
      </c>
      <c r="M6103" t="str">
        <f>VLOOKUP(L6103,[1]DevMouse!$B$2:$C$2693,2,FALSE)</f>
        <v>r9ECu</v>
      </c>
    </row>
    <row r="6104" spans="2:13" x14ac:dyDescent="0.25">
      <c r="B6104" s="36"/>
      <c r="C6104" s="20"/>
      <c r="D6104" s="25" t="s">
        <v>26232</v>
      </c>
      <c r="E6104" s="25" t="s">
        <v>26308</v>
      </c>
      <c r="F6104" s="9" t="str">
        <f t="shared" si="88"/>
        <v>structure with developmental contribution from neural crest</v>
      </c>
      <c r="G6104" s="9" t="s">
        <v>5090</v>
      </c>
      <c r="H6104" s="9" t="s">
        <v>18100</v>
      </c>
      <c r="I6104" s="9" t="s">
        <v>11298</v>
      </c>
      <c r="J6104" s="9" t="s">
        <v>11299</v>
      </c>
      <c r="K6104" s="5" t="s">
        <v>15173</v>
      </c>
      <c r="L6104" s="13">
        <v>17485</v>
      </c>
      <c r="M6104" t="str">
        <f>VLOOKUP(L6104,[1]DevMouse!$B$2:$C$2693,2,FALSE)</f>
        <v>r9Tr</v>
      </c>
    </row>
    <row r="6105" spans="2:13" x14ac:dyDescent="0.25">
      <c r="B6105" s="36"/>
      <c r="C6105" s="20"/>
      <c r="D6105" s="25" t="s">
        <v>26232</v>
      </c>
      <c r="E6105" s="25"/>
      <c r="F6105" s="9" t="str">
        <f t="shared" si="88"/>
        <v>structure with developmental contribution from neural crest</v>
      </c>
      <c r="G6105" s="9" t="s">
        <v>5090</v>
      </c>
      <c r="H6105" s="9" t="s">
        <v>18101</v>
      </c>
      <c r="I6105" s="9" t="s">
        <v>11300</v>
      </c>
      <c r="J6105" s="9" t="s">
        <v>11301</v>
      </c>
      <c r="K6105" s="5" t="s">
        <v>15173</v>
      </c>
      <c r="L6105" s="13">
        <v>17486</v>
      </c>
      <c r="M6105" t="str">
        <f>VLOOKUP(L6105,[1]DevMouse!$B$2:$C$2693,2,FALSE)</f>
        <v>r9Trv</v>
      </c>
    </row>
    <row r="6106" spans="2:13" x14ac:dyDescent="0.25">
      <c r="B6106" s="31" t="s">
        <v>26303</v>
      </c>
      <c r="C6106" s="20"/>
      <c r="D6106" s="25" t="s">
        <v>26232</v>
      </c>
      <c r="E6106" s="20" t="s">
        <v>26300</v>
      </c>
      <c r="F6106" s="9" t="str">
        <f t="shared" si="88"/>
        <v>structure with developmental contribution from neural crest</v>
      </c>
      <c r="G6106" s="9" t="s">
        <v>5090</v>
      </c>
      <c r="H6106" s="9" t="s">
        <v>18102</v>
      </c>
      <c r="I6106" s="9" t="s">
        <v>11302</v>
      </c>
      <c r="J6106" s="9" t="s">
        <v>11303</v>
      </c>
      <c r="K6106" s="5" t="s">
        <v>15173</v>
      </c>
      <c r="L6106" s="13">
        <v>17487</v>
      </c>
      <c r="M6106" t="str">
        <f>VLOOKUP(L6106,[1]DevMouse!$B$2:$C$2693,2,FALSE)</f>
        <v>r9Trm</v>
      </c>
    </row>
    <row r="6107" spans="2:13" x14ac:dyDescent="0.25">
      <c r="B6107" s="31" t="s">
        <v>26303</v>
      </c>
      <c r="C6107" s="25" t="s">
        <v>25977</v>
      </c>
      <c r="D6107" s="25" t="s">
        <v>26185</v>
      </c>
      <c r="E6107" s="25" t="s">
        <v>26308</v>
      </c>
      <c r="F6107" s="9" t="str">
        <f t="shared" si="88"/>
        <v>structure with developmental contribution from neural crest</v>
      </c>
      <c r="G6107" s="9" t="s">
        <v>5090</v>
      </c>
      <c r="H6107" s="9" t="s">
        <v>18109</v>
      </c>
      <c r="I6107" s="9" t="s">
        <v>11304</v>
      </c>
      <c r="J6107" s="9" t="s">
        <v>11305</v>
      </c>
      <c r="K6107" s="5" t="s">
        <v>15173</v>
      </c>
      <c r="L6107" s="13">
        <v>17488</v>
      </c>
      <c r="M6107" t="str">
        <f>VLOOKUP(L6107,[1]DevMouse!$B$2:$C$2693,2,FALSE)</f>
        <v>r9Sp5I</v>
      </c>
    </row>
    <row r="6108" spans="2:13" x14ac:dyDescent="0.25">
      <c r="B6108" s="36"/>
      <c r="C6108" s="20"/>
      <c r="D6108" s="25" t="s">
        <v>26232</v>
      </c>
      <c r="E6108" s="25" t="s">
        <v>26308</v>
      </c>
      <c r="F6108" s="9" t="str">
        <f t="shared" si="88"/>
        <v>structure with developmental contribution from neural crest</v>
      </c>
      <c r="G6108" s="9" t="s">
        <v>5090</v>
      </c>
      <c r="H6108" s="9" t="s">
        <v>18106</v>
      </c>
      <c r="I6108" s="9" t="s">
        <v>11306</v>
      </c>
      <c r="J6108" s="9" t="s">
        <v>11307</v>
      </c>
      <c r="K6108" s="5" t="s">
        <v>15173</v>
      </c>
      <c r="L6108" s="13">
        <v>17489</v>
      </c>
      <c r="M6108" t="str">
        <f>VLOOKUP(L6108,[1]DevMouse!$B$2:$C$2693,2,FALSE)</f>
        <v>r9-5Tr</v>
      </c>
    </row>
    <row r="6109" spans="2:13" x14ac:dyDescent="0.25">
      <c r="B6109" s="31" t="s">
        <v>26303</v>
      </c>
      <c r="C6109" s="20"/>
      <c r="D6109" s="25" t="s">
        <v>26232</v>
      </c>
      <c r="E6109" s="25" t="s">
        <v>26308</v>
      </c>
      <c r="F6109" s="9" t="str">
        <f t="shared" si="88"/>
        <v>structure with developmental contribution from neural crest</v>
      </c>
      <c r="G6109" s="9" t="s">
        <v>5090</v>
      </c>
      <c r="H6109" s="9" t="s">
        <v>18104</v>
      </c>
      <c r="I6109" s="9" t="s">
        <v>11308</v>
      </c>
      <c r="J6109" s="9" t="s">
        <v>11309</v>
      </c>
      <c r="K6109" s="5" t="s">
        <v>15173</v>
      </c>
      <c r="L6109" s="13">
        <v>17490</v>
      </c>
      <c r="M6109" t="str">
        <f>VLOOKUP(L6109,[1]DevMouse!$B$2:$C$2693,2,FALSE)</f>
        <v>r9Sol</v>
      </c>
    </row>
    <row r="6110" spans="2:13" x14ac:dyDescent="0.25">
      <c r="B6110" s="31" t="s">
        <v>26303</v>
      </c>
      <c r="C6110" s="25" t="s">
        <v>2098</v>
      </c>
      <c r="D6110" s="25" t="s">
        <v>26232</v>
      </c>
      <c r="E6110" s="25" t="s">
        <v>26308</v>
      </c>
      <c r="F6110" s="9" t="str">
        <f t="shared" si="88"/>
        <v>structure with developmental contribution from neural crest</v>
      </c>
      <c r="G6110" s="9" t="s">
        <v>5090</v>
      </c>
      <c r="H6110" s="9" t="s">
        <v>18110</v>
      </c>
      <c r="I6110" s="9" t="s">
        <v>11310</v>
      </c>
      <c r="J6110" s="9" t="s">
        <v>11311</v>
      </c>
      <c r="K6110" s="5" t="s">
        <v>15173</v>
      </c>
      <c r="L6110" s="13">
        <v>17491</v>
      </c>
      <c r="M6110" t="str">
        <f>VLOOKUP(L6110,[1]DevMouse!$B$2:$C$2693,2,FALSE)</f>
        <v>r9Gr</v>
      </c>
    </row>
    <row r="6111" spans="2:13" x14ac:dyDescent="0.25">
      <c r="B6111" s="36"/>
      <c r="C6111" s="20"/>
      <c r="D6111" s="25" t="s">
        <v>26232</v>
      </c>
      <c r="E6111" s="25"/>
      <c r="F6111" s="9" t="str">
        <f t="shared" si="88"/>
        <v>structure with developmental contribution from neural crest</v>
      </c>
      <c r="G6111" s="9" t="s">
        <v>5090</v>
      </c>
      <c r="H6111" s="9" t="s">
        <v>18111</v>
      </c>
      <c r="I6111" s="9" t="s">
        <v>11312</v>
      </c>
      <c r="J6111" s="9" t="s">
        <v>11313</v>
      </c>
      <c r="K6111" s="5" t="s">
        <v>15173</v>
      </c>
      <c r="L6111" s="13">
        <v>17492</v>
      </c>
      <c r="M6111" t="str">
        <f>VLOOKUP(L6111,[1]DevMouse!$B$2:$C$2693,2,FALSE)</f>
        <v>r9Cu</v>
      </c>
    </row>
    <row r="6112" spans="2:13" x14ac:dyDescent="0.25">
      <c r="B6112" s="36"/>
      <c r="C6112" s="20"/>
      <c r="D6112" s="25" t="s">
        <v>26232</v>
      </c>
      <c r="E6112" s="25"/>
      <c r="F6112" s="9" t="str">
        <f t="shared" si="88"/>
        <v>structure with developmental contribution from neural crest</v>
      </c>
      <c r="G6112" s="9" t="s">
        <v>5090</v>
      </c>
      <c r="H6112" s="9" t="s">
        <v>18107</v>
      </c>
      <c r="I6112" s="9" t="s">
        <v>11314</v>
      </c>
      <c r="J6112" s="9" t="s">
        <v>11315</v>
      </c>
      <c r="K6112" s="5" t="s">
        <v>15173</v>
      </c>
      <c r="L6112" s="13">
        <v>17493</v>
      </c>
      <c r="M6112" t="str">
        <f>VLOOKUP(L6112,[1]DevMouse!$B$2:$C$2693,2,FALSE)</f>
        <v>r9DPCRt</v>
      </c>
    </row>
    <row r="6113" spans="2:13" x14ac:dyDescent="0.25">
      <c r="B6113" s="36"/>
      <c r="C6113" s="20"/>
      <c r="D6113" s="25" t="s">
        <v>26232</v>
      </c>
      <c r="E6113" s="25"/>
      <c r="F6113" s="9" t="str">
        <f t="shared" si="88"/>
        <v>structure with developmental contribution from neural crest</v>
      </c>
      <c r="G6113" s="9" t="s">
        <v>5090</v>
      </c>
      <c r="H6113" s="9" t="s">
        <v>18112</v>
      </c>
      <c r="I6113" s="9" t="s">
        <v>11316</v>
      </c>
      <c r="J6113" s="9" t="s">
        <v>11317</v>
      </c>
      <c r="K6113" s="5" t="s">
        <v>15173</v>
      </c>
      <c r="L6113" s="13">
        <v>17494</v>
      </c>
      <c r="M6113" t="str">
        <f>VLOOKUP(L6113,[1]DevMouse!$B$2:$C$2693,2,FALSE)</f>
        <v>r9Lim</v>
      </c>
    </row>
    <row r="6114" spans="2:13" x14ac:dyDescent="0.25">
      <c r="B6114" s="36"/>
      <c r="C6114" s="20"/>
      <c r="D6114" s="25" t="s">
        <v>26232</v>
      </c>
      <c r="E6114" s="25"/>
      <c r="F6114" s="9" t="str">
        <f t="shared" si="88"/>
        <v>structure with developmental contribution from neural crest</v>
      </c>
      <c r="G6114" s="9" t="s">
        <v>5090</v>
      </c>
      <c r="H6114" s="9" t="s">
        <v>18113</v>
      </c>
      <c r="I6114" s="9" t="s">
        <v>11318</v>
      </c>
      <c r="J6114" s="9" t="s">
        <v>11319</v>
      </c>
      <c r="K6114" s="5" t="s">
        <v>15173</v>
      </c>
      <c r="L6114" s="13">
        <v>17495</v>
      </c>
      <c r="M6114" t="str">
        <f>VLOOKUP(L6114,[1]DevMouse!$B$2:$C$2693,2,FALSE)</f>
        <v>r9Limv</v>
      </c>
    </row>
    <row r="6115" spans="2:13" x14ac:dyDescent="0.25">
      <c r="B6115" s="31" t="s">
        <v>26303</v>
      </c>
      <c r="C6115" s="20"/>
      <c r="D6115" s="25" t="s">
        <v>26232</v>
      </c>
      <c r="E6115" s="20" t="s">
        <v>26300</v>
      </c>
      <c r="F6115" s="9" t="str">
        <f t="shared" si="88"/>
        <v>structure with developmental contribution from neural crest</v>
      </c>
      <c r="G6115" s="9" t="s">
        <v>5090</v>
      </c>
      <c r="H6115" s="9" t="s">
        <v>18114</v>
      </c>
      <c r="I6115" s="9" t="s">
        <v>11320</v>
      </c>
      <c r="J6115" s="9" t="s">
        <v>11321</v>
      </c>
      <c r="K6115" s="5" t="s">
        <v>15173</v>
      </c>
      <c r="L6115" s="13">
        <v>17496</v>
      </c>
      <c r="M6115" t="str">
        <f>VLOOKUP(L6115,[1]DevMouse!$B$2:$C$2693,2,FALSE)</f>
        <v>r9Limm</v>
      </c>
    </row>
    <row r="6116" spans="2:13" x14ac:dyDescent="0.25">
      <c r="B6116" s="36"/>
      <c r="C6116" s="20"/>
      <c r="D6116" s="25" t="s">
        <v>26232</v>
      </c>
      <c r="E6116" s="25"/>
      <c r="F6116" s="9" t="str">
        <f t="shared" si="88"/>
        <v>structure with developmental contribution from neural crest</v>
      </c>
      <c r="G6116" s="9" t="s">
        <v>5090</v>
      </c>
      <c r="H6116" s="9" t="s">
        <v>18119</v>
      </c>
      <c r="I6116" s="9" t="s">
        <v>11322</v>
      </c>
      <c r="J6116" s="9" t="s">
        <v>11323</v>
      </c>
      <c r="K6116" s="5" t="s">
        <v>15173</v>
      </c>
      <c r="L6116" s="13">
        <v>17497</v>
      </c>
      <c r="M6116" t="str">
        <f>VLOOKUP(L6116,[1]DevMouse!$B$2:$C$2693,2,FALSE)</f>
        <v>r9VPCRt</v>
      </c>
    </row>
    <row r="6117" spans="2:13" x14ac:dyDescent="0.25">
      <c r="B6117" s="36"/>
      <c r="C6117" s="20"/>
      <c r="D6117" s="25" t="s">
        <v>26232</v>
      </c>
      <c r="E6117" s="25" t="s">
        <v>26308</v>
      </c>
      <c r="F6117" s="9" t="str">
        <f t="shared" si="88"/>
        <v>structure with developmental contribution from neural crest</v>
      </c>
      <c r="G6117" s="9" t="s">
        <v>5090</v>
      </c>
      <c r="H6117" s="9" t="s">
        <v>18116</v>
      </c>
      <c r="I6117" s="9" t="s">
        <v>11324</v>
      </c>
      <c r="J6117" s="9" t="s">
        <v>11325</v>
      </c>
      <c r="K6117" s="5" t="s">
        <v>15173</v>
      </c>
      <c r="L6117" s="13">
        <v>17498</v>
      </c>
      <c r="M6117" t="str">
        <f>VLOOKUP(L6117,[1]DevMouse!$B$2:$C$2693,2,FALSE)</f>
        <v>r9-10M</v>
      </c>
    </row>
    <row r="6118" spans="2:13" x14ac:dyDescent="0.25">
      <c r="B6118" s="36"/>
      <c r="C6118" s="20"/>
      <c r="D6118" s="25" t="s">
        <v>26232</v>
      </c>
      <c r="E6118" s="25" t="s">
        <v>26308</v>
      </c>
      <c r="F6118" s="9" t="str">
        <f t="shared" si="88"/>
        <v>structure with developmental contribution from neural crest</v>
      </c>
      <c r="G6118" s="9" t="s">
        <v>5090</v>
      </c>
      <c r="H6118" s="9" t="s">
        <v>18121</v>
      </c>
      <c r="I6118" s="9" t="s">
        <v>11326</v>
      </c>
      <c r="J6118" s="9" t="s">
        <v>11327</v>
      </c>
      <c r="K6118" s="5" t="s">
        <v>15173</v>
      </c>
      <c r="L6118" s="13">
        <v>17499</v>
      </c>
      <c r="M6118" t="str">
        <f>VLOOKUP(L6118,[1]DevMouse!$B$2:$C$2693,2,FALSE)</f>
        <v>r9Amb</v>
      </c>
    </row>
    <row r="6119" spans="2:13" x14ac:dyDescent="0.25">
      <c r="B6119" s="36"/>
      <c r="C6119" s="20"/>
      <c r="D6119" s="25" t="s">
        <v>26232</v>
      </c>
      <c r="E6119" s="25"/>
      <c r="F6119" s="9" t="str">
        <f t="shared" si="88"/>
        <v>structure with developmental contribution from neural crest</v>
      </c>
      <c r="G6119" s="9" t="s">
        <v>5090</v>
      </c>
      <c r="H6119" s="9" t="s">
        <v>18122</v>
      </c>
      <c r="I6119" s="9" t="s">
        <v>11328</v>
      </c>
      <c r="J6119" s="9" t="s">
        <v>11329</v>
      </c>
      <c r="K6119" s="5" t="s">
        <v>15173</v>
      </c>
      <c r="L6119" s="13">
        <v>17500</v>
      </c>
      <c r="M6119" t="str">
        <f>VLOOKUP(L6119,[1]DevMouse!$B$2:$C$2693,2,FALSE)</f>
        <v>r9B</v>
      </c>
    </row>
    <row r="6120" spans="2:13" x14ac:dyDescent="0.25">
      <c r="B6120" s="36"/>
      <c r="C6120" s="20"/>
      <c r="D6120" s="25" t="s">
        <v>26232</v>
      </c>
      <c r="E6120" s="25"/>
      <c r="F6120" s="9" t="str">
        <f t="shared" si="88"/>
        <v>structure with developmental contribution from neural crest</v>
      </c>
      <c r="G6120" s="9" t="s">
        <v>5090</v>
      </c>
      <c r="H6120" s="9" t="s">
        <v>18125</v>
      </c>
      <c r="I6120" s="9" t="s">
        <v>11330</v>
      </c>
      <c r="J6120" s="9" t="s">
        <v>11331</v>
      </c>
      <c r="K6120" s="5" t="s">
        <v>15173</v>
      </c>
      <c r="L6120" s="13">
        <v>17501</v>
      </c>
      <c r="M6120" t="str">
        <f>VLOOKUP(L6120,[1]DevMouse!$B$2:$C$2693,2,FALSE)</f>
        <v>r9BL</v>
      </c>
    </row>
    <row r="6121" spans="2:13" x14ac:dyDescent="0.25">
      <c r="B6121" s="36"/>
      <c r="C6121" s="20"/>
      <c r="D6121" s="25" t="s">
        <v>26232</v>
      </c>
      <c r="E6121" s="25"/>
      <c r="F6121" s="9" t="str">
        <f t="shared" si="88"/>
        <v>structure with developmental contribution from neural crest</v>
      </c>
      <c r="G6121" s="9" t="s">
        <v>5090</v>
      </c>
      <c r="H6121" s="9" t="s">
        <v>18126</v>
      </c>
      <c r="I6121" s="9" t="s">
        <v>11332</v>
      </c>
      <c r="J6121" s="9" t="s">
        <v>11333</v>
      </c>
      <c r="K6121" s="5" t="s">
        <v>15173</v>
      </c>
      <c r="L6121" s="13">
        <v>17502</v>
      </c>
      <c r="M6121" t="str">
        <f>VLOOKUP(L6121,[1]DevMouse!$B$2:$C$2693,2,FALSE)</f>
        <v>r9BLv</v>
      </c>
    </row>
    <row r="6122" spans="2:13" x14ac:dyDescent="0.25">
      <c r="B6122" s="31" t="s">
        <v>26303</v>
      </c>
      <c r="C6122" s="20"/>
      <c r="D6122" s="25" t="s">
        <v>26232</v>
      </c>
      <c r="E6122" s="20" t="s">
        <v>26300</v>
      </c>
      <c r="F6122" s="9" t="str">
        <f t="shared" si="88"/>
        <v>structure with developmental contribution from neural crest</v>
      </c>
      <c r="G6122" s="9" t="s">
        <v>5090</v>
      </c>
      <c r="H6122" s="9" t="s">
        <v>18127</v>
      </c>
      <c r="I6122" s="9" t="s">
        <v>11334</v>
      </c>
      <c r="J6122" s="9" t="s">
        <v>11335</v>
      </c>
      <c r="K6122" s="5" t="s">
        <v>15173</v>
      </c>
      <c r="L6122" s="13">
        <v>17503</v>
      </c>
      <c r="M6122" t="str">
        <f>VLOOKUP(L6122,[1]DevMouse!$B$2:$C$2693,2,FALSE)</f>
        <v>r9BLm</v>
      </c>
    </row>
    <row r="6123" spans="2:13" x14ac:dyDescent="0.25">
      <c r="B6123" s="36"/>
      <c r="C6123" s="20"/>
      <c r="D6123" s="25" t="s">
        <v>26232</v>
      </c>
      <c r="E6123" s="20" t="s">
        <v>26300</v>
      </c>
      <c r="F6123" s="9" t="str">
        <f t="shared" si="88"/>
        <v>structure with developmental contribution from neural crest</v>
      </c>
      <c r="G6123" s="9" t="s">
        <v>5090</v>
      </c>
      <c r="H6123" s="9" t="s">
        <v>18128</v>
      </c>
      <c r="I6123" s="9" t="s">
        <v>11336</v>
      </c>
      <c r="J6123" s="9" t="s">
        <v>11337</v>
      </c>
      <c r="K6123" s="5" t="s">
        <v>15173</v>
      </c>
      <c r="L6123" s="13">
        <v>17504</v>
      </c>
      <c r="M6123" t="str">
        <f>VLOOKUP(L6123,[1]DevMouse!$B$2:$C$2693,2,FALSE)</f>
        <v>r9BLp</v>
      </c>
    </row>
    <row r="6124" spans="2:13" x14ac:dyDescent="0.25">
      <c r="B6124" s="36"/>
      <c r="C6124" s="20"/>
      <c r="D6124" s="25" t="s">
        <v>26232</v>
      </c>
      <c r="E6124" s="25"/>
      <c r="F6124" s="9" t="str">
        <f t="shared" si="88"/>
        <v>structure with developmental contribution from neural crest</v>
      </c>
      <c r="G6124" s="9" t="s">
        <v>5090</v>
      </c>
      <c r="H6124" s="9" t="s">
        <v>18129</v>
      </c>
      <c r="I6124" s="9" t="s">
        <v>11338</v>
      </c>
      <c r="J6124" s="9" t="s">
        <v>11339</v>
      </c>
      <c r="K6124" s="5" t="s">
        <v>15173</v>
      </c>
      <c r="L6124" s="13">
        <v>17505</v>
      </c>
      <c r="M6124" t="str">
        <f>VLOOKUP(L6124,[1]DevMouse!$B$2:$C$2693,2,FALSE)</f>
        <v>r9BLIZ</v>
      </c>
    </row>
    <row r="6125" spans="2:13" x14ac:dyDescent="0.25">
      <c r="B6125" s="36"/>
      <c r="C6125" s="20"/>
      <c r="D6125" s="25" t="s">
        <v>26232</v>
      </c>
      <c r="E6125" s="25"/>
      <c r="F6125" s="9" t="str">
        <f t="shared" si="88"/>
        <v>structure with developmental contribution from neural crest</v>
      </c>
      <c r="G6125" s="9" t="s">
        <v>5090</v>
      </c>
      <c r="H6125" s="9" t="s">
        <v>18130</v>
      </c>
      <c r="I6125" s="9" t="s">
        <v>11340</v>
      </c>
      <c r="J6125" s="9" t="s">
        <v>11341</v>
      </c>
      <c r="K6125" s="5" t="s">
        <v>15173</v>
      </c>
      <c r="L6125" s="13">
        <v>17506</v>
      </c>
      <c r="M6125" t="str">
        <f>VLOOKUP(L6125,[1]DevMouse!$B$2:$C$2693,2,FALSE)</f>
        <v>r9BLi</v>
      </c>
    </row>
    <row r="6126" spans="2:13" x14ac:dyDescent="0.25">
      <c r="B6126" s="36"/>
      <c r="C6126" s="20"/>
      <c r="D6126" s="25" t="s">
        <v>26232</v>
      </c>
      <c r="E6126" s="25"/>
      <c r="F6126" s="9" t="str">
        <f t="shared" si="88"/>
        <v>structure with developmental contribution from neural crest</v>
      </c>
      <c r="G6126" s="9" t="s">
        <v>5090</v>
      </c>
      <c r="H6126" s="9" t="s">
        <v>18131</v>
      </c>
      <c r="I6126" s="9" t="s">
        <v>11342</v>
      </c>
      <c r="J6126" s="9" t="s">
        <v>11343</v>
      </c>
      <c r="K6126" s="5" t="s">
        <v>15173</v>
      </c>
      <c r="L6126" s="13">
        <v>17507</v>
      </c>
      <c r="M6126" t="str">
        <f>VLOOKUP(L6126,[1]DevMouse!$B$2:$C$2693,2,FALSE)</f>
        <v>r9BLRt</v>
      </c>
    </row>
    <row r="6127" spans="2:13" x14ac:dyDescent="0.25">
      <c r="B6127" s="36"/>
      <c r="C6127" s="20"/>
      <c r="D6127" s="25" t="s">
        <v>26232</v>
      </c>
      <c r="E6127" s="25"/>
      <c r="F6127" s="9" t="str">
        <f t="shared" si="88"/>
        <v>structure with developmental contribution from neural crest</v>
      </c>
      <c r="G6127" s="9" t="s">
        <v>5090</v>
      </c>
      <c r="H6127" s="9" t="s">
        <v>18132</v>
      </c>
      <c r="I6127" s="9" t="s">
        <v>11344</v>
      </c>
      <c r="J6127" s="9" t="s">
        <v>11345</v>
      </c>
      <c r="K6127" s="5" t="s">
        <v>15173</v>
      </c>
      <c r="L6127" s="13">
        <v>17508</v>
      </c>
      <c r="M6127" t="str">
        <f>VLOOKUP(L6127,[1]DevMouse!$B$2:$C$2693,2,FALSE)</f>
        <v>r9BLs</v>
      </c>
    </row>
    <row r="6128" spans="2:13" x14ac:dyDescent="0.25">
      <c r="B6128" s="31" t="s">
        <v>26303</v>
      </c>
      <c r="C6128" s="25" t="s">
        <v>2709</v>
      </c>
      <c r="D6128" s="25" t="s">
        <v>26232</v>
      </c>
      <c r="E6128" s="25"/>
      <c r="F6128" s="9" t="str">
        <f t="shared" si="88"/>
        <v>structure with developmental contribution from neural crest</v>
      </c>
      <c r="G6128" s="9" t="s">
        <v>5090</v>
      </c>
      <c r="H6128" s="9" t="s">
        <v>18133</v>
      </c>
      <c r="I6128" s="9" t="s">
        <v>11346</v>
      </c>
      <c r="J6128" s="9" t="s">
        <v>11347</v>
      </c>
      <c r="K6128" s="5" t="s">
        <v>15173</v>
      </c>
      <c r="L6128" s="13">
        <v>17509</v>
      </c>
      <c r="M6128" t="str">
        <f>VLOOKUP(L6128,[1]DevMouse!$B$2:$C$2693,2,FALSE)</f>
        <v>r9LRt</v>
      </c>
    </row>
    <row r="6129" spans="2:13" x14ac:dyDescent="0.25">
      <c r="B6129" s="36"/>
      <c r="C6129" s="20"/>
      <c r="D6129" s="25" t="s">
        <v>26232</v>
      </c>
      <c r="E6129" s="25"/>
      <c r="F6129" s="9" t="str">
        <f t="shared" si="88"/>
        <v>structure with developmental contribution from neural crest</v>
      </c>
      <c r="G6129" s="9" t="s">
        <v>5090</v>
      </c>
      <c r="H6129" s="9" t="s">
        <v>18134</v>
      </c>
      <c r="I6129" s="9" t="s">
        <v>11348</v>
      </c>
      <c r="J6129" s="9" t="s">
        <v>11349</v>
      </c>
      <c r="K6129" s="5" t="s">
        <v>15173</v>
      </c>
      <c r="L6129" s="13">
        <v>17510</v>
      </c>
      <c r="M6129" t="str">
        <f>VLOOKUP(L6129,[1]DevMouse!$B$2:$C$2693,2,FALSE)</f>
        <v>r9LRtPC</v>
      </c>
    </row>
    <row r="6130" spans="2:13" x14ac:dyDescent="0.25">
      <c r="B6130" s="31" t="s">
        <v>26303</v>
      </c>
      <c r="C6130" s="20"/>
      <c r="D6130" s="25" t="s">
        <v>26185</v>
      </c>
      <c r="E6130" s="25" t="s">
        <v>26300</v>
      </c>
      <c r="F6130" s="9" t="str">
        <f t="shared" si="88"/>
        <v>structure with developmental contribution from neural crest</v>
      </c>
      <c r="G6130" s="9" t="s">
        <v>5090</v>
      </c>
      <c r="H6130" s="9" t="s">
        <v>18135</v>
      </c>
      <c r="I6130" s="9" t="s">
        <v>11350</v>
      </c>
      <c r="J6130" s="9" t="s">
        <v>11351</v>
      </c>
      <c r="K6130" s="5" t="s">
        <v>15173</v>
      </c>
      <c r="L6130" s="13">
        <v>17511</v>
      </c>
      <c r="M6130" t="str">
        <f>VLOOKUP(L6130,[1]DevMouse!$B$2:$C$2693,2,FALSE)</f>
        <v>r9Li</v>
      </c>
    </row>
    <row r="6131" spans="2:13" x14ac:dyDescent="0.25">
      <c r="B6131" s="36"/>
      <c r="C6131" s="20"/>
      <c r="D6131" s="25" t="s">
        <v>26232</v>
      </c>
      <c r="E6131" s="25"/>
      <c r="F6131" s="9" t="str">
        <f t="shared" si="88"/>
        <v>structure with developmental contribution from neural crest</v>
      </c>
      <c r="G6131" s="9" t="s">
        <v>5090</v>
      </c>
      <c r="H6131" s="9" t="s">
        <v>18136</v>
      </c>
      <c r="I6131" s="9" t="s">
        <v>11352</v>
      </c>
      <c r="J6131" s="9" t="s">
        <v>11353</v>
      </c>
      <c r="K6131" s="5" t="s">
        <v>15173</v>
      </c>
      <c r="L6131" s="13">
        <v>17512</v>
      </c>
      <c r="M6131" t="str">
        <f>VLOOKUP(L6131,[1]DevMouse!$B$2:$C$2693,2,FALSE)</f>
        <v>r9BI</v>
      </c>
    </row>
    <row r="6132" spans="2:13" x14ac:dyDescent="0.25">
      <c r="B6132" s="36"/>
      <c r="C6132" s="20"/>
      <c r="D6132" s="25" t="s">
        <v>26232</v>
      </c>
      <c r="E6132" s="25"/>
      <c r="F6132" s="9" t="str">
        <f t="shared" si="88"/>
        <v>structure with developmental contribution from neural crest</v>
      </c>
      <c r="G6132" s="9" t="s">
        <v>5090</v>
      </c>
      <c r="H6132" s="9" t="s">
        <v>18137</v>
      </c>
      <c r="I6132" s="9" t="s">
        <v>11354</v>
      </c>
      <c r="J6132" s="9" t="s">
        <v>11355</v>
      </c>
      <c r="K6132" s="5" t="s">
        <v>15173</v>
      </c>
      <c r="L6132" s="13">
        <v>17513</v>
      </c>
      <c r="M6132" t="str">
        <f>VLOOKUP(L6132,[1]DevMouse!$B$2:$C$2693,2,FALSE)</f>
        <v>r9BIv</v>
      </c>
    </row>
    <row r="6133" spans="2:13" x14ac:dyDescent="0.25">
      <c r="B6133" s="31" t="s">
        <v>26303</v>
      </c>
      <c r="C6133" s="20"/>
      <c r="D6133" s="25" t="s">
        <v>26232</v>
      </c>
      <c r="E6133" s="20" t="s">
        <v>26300</v>
      </c>
      <c r="F6133" s="9" t="str">
        <f t="shared" si="88"/>
        <v>structure with developmental contribution from neural crest</v>
      </c>
      <c r="G6133" s="9" t="s">
        <v>5090</v>
      </c>
      <c r="H6133" s="9" t="s">
        <v>18138</v>
      </c>
      <c r="I6133" s="9" t="s">
        <v>11356</v>
      </c>
      <c r="J6133" s="9" t="s">
        <v>11357</v>
      </c>
      <c r="K6133" s="5" t="s">
        <v>15173</v>
      </c>
      <c r="L6133" s="13">
        <v>17514</v>
      </c>
      <c r="M6133" t="str">
        <f>VLOOKUP(L6133,[1]DevMouse!$B$2:$C$2693,2,FALSE)</f>
        <v>r9BIm</v>
      </c>
    </row>
    <row r="6134" spans="2:13" x14ac:dyDescent="0.25">
      <c r="B6134" s="36"/>
      <c r="C6134" s="20"/>
      <c r="D6134" s="25" t="s">
        <v>26232</v>
      </c>
      <c r="E6134" s="20" t="s">
        <v>26300</v>
      </c>
      <c r="F6134" s="9" t="str">
        <f t="shared" si="88"/>
        <v>structure with developmental contribution from neural crest</v>
      </c>
      <c r="G6134" s="9" t="s">
        <v>5090</v>
      </c>
      <c r="H6134" s="9" t="s">
        <v>18139</v>
      </c>
      <c r="I6134" s="9" t="s">
        <v>11358</v>
      </c>
      <c r="J6134" s="9" t="s">
        <v>11359</v>
      </c>
      <c r="K6134" s="5" t="s">
        <v>15173</v>
      </c>
      <c r="L6134" s="13">
        <v>17515</v>
      </c>
      <c r="M6134" t="str">
        <f>VLOOKUP(L6134,[1]DevMouse!$B$2:$C$2693,2,FALSE)</f>
        <v>r9BIp</v>
      </c>
    </row>
    <row r="6135" spans="2:13" x14ac:dyDescent="0.25">
      <c r="B6135" s="36"/>
      <c r="C6135" s="20"/>
      <c r="D6135" s="25" t="s">
        <v>26232</v>
      </c>
      <c r="E6135" s="25"/>
      <c r="F6135" s="9" t="str">
        <f t="shared" ref="F6135:F6198" si="89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6135" s="9" t="s">
        <v>5090</v>
      </c>
      <c r="H6135" s="9" t="s">
        <v>18140</v>
      </c>
      <c r="I6135" s="9" t="s">
        <v>11360</v>
      </c>
      <c r="J6135" s="9" t="s">
        <v>11361</v>
      </c>
      <c r="K6135" s="5" t="s">
        <v>15173</v>
      </c>
      <c r="L6135" s="13">
        <v>17516</v>
      </c>
      <c r="M6135" t="str">
        <f>VLOOKUP(L6135,[1]DevMouse!$B$2:$C$2693,2,FALSE)</f>
        <v>r9BIIZ</v>
      </c>
    </row>
    <row r="6136" spans="2:13" x14ac:dyDescent="0.25">
      <c r="B6136" s="31" t="s">
        <v>26303</v>
      </c>
      <c r="C6136" s="25" t="s">
        <v>3262</v>
      </c>
      <c r="D6136" s="25" t="s">
        <v>26232</v>
      </c>
      <c r="E6136" s="25" t="s">
        <v>26308</v>
      </c>
      <c r="F6136" s="9" t="str">
        <f t="shared" si="89"/>
        <v>structure with developmental contribution from neural crest</v>
      </c>
      <c r="G6136" s="9" t="s">
        <v>5090</v>
      </c>
      <c r="H6136" s="9" t="s">
        <v>18141</v>
      </c>
      <c r="I6136" s="9" t="s">
        <v>11362</v>
      </c>
      <c r="J6136" s="9" t="s">
        <v>11363</v>
      </c>
      <c r="K6136" s="5" t="s">
        <v>15173</v>
      </c>
      <c r="L6136" s="13">
        <v>17517</v>
      </c>
      <c r="M6136" t="str">
        <f>VLOOKUP(L6136,[1]DevMouse!$B$2:$C$2693,2,FALSE)</f>
        <v>r9IS</v>
      </c>
    </row>
    <row r="6137" spans="2:13" x14ac:dyDescent="0.25">
      <c r="B6137" s="36"/>
      <c r="C6137" s="20"/>
      <c r="D6137" s="25" t="s">
        <v>26232</v>
      </c>
      <c r="E6137" s="25"/>
      <c r="F6137" s="9" t="str">
        <f t="shared" si="89"/>
        <v>structure with developmental contribution from neural crest</v>
      </c>
      <c r="G6137" s="9" t="s">
        <v>5090</v>
      </c>
      <c r="H6137" s="9" t="s">
        <v>18142</v>
      </c>
      <c r="I6137" s="9" t="s">
        <v>11364</v>
      </c>
      <c r="J6137" s="9" t="s">
        <v>11365</v>
      </c>
      <c r="K6137" s="5" t="s">
        <v>15173</v>
      </c>
      <c r="L6137" s="13">
        <v>17518</v>
      </c>
      <c r="M6137" t="str">
        <f>VLOOKUP(L6137,[1]DevMouse!$B$2:$C$2693,2,FALSE)</f>
        <v>r9BIi</v>
      </c>
    </row>
    <row r="6138" spans="2:13" x14ac:dyDescent="0.25">
      <c r="B6138" s="36"/>
      <c r="C6138" s="20"/>
      <c r="D6138" s="25" t="s">
        <v>26232</v>
      </c>
      <c r="E6138" s="25"/>
      <c r="F6138" s="9" t="str">
        <f t="shared" si="89"/>
        <v>structure with developmental contribution from neural crest</v>
      </c>
      <c r="G6138" s="9" t="s">
        <v>5090</v>
      </c>
      <c r="H6138" s="9" t="s">
        <v>18143</v>
      </c>
      <c r="I6138" s="9" t="s">
        <v>11366</v>
      </c>
      <c r="J6138" s="9" t="s">
        <v>11367</v>
      </c>
      <c r="K6138" s="5" t="s">
        <v>15173</v>
      </c>
      <c r="L6138" s="13">
        <v>17519</v>
      </c>
      <c r="M6138" t="str">
        <f>VLOOKUP(L6138,[1]DevMouse!$B$2:$C$2693,2,FALSE)</f>
        <v>r9BIRt</v>
      </c>
    </row>
    <row r="6139" spans="2:13" x14ac:dyDescent="0.25">
      <c r="B6139" s="36"/>
      <c r="C6139" s="20"/>
      <c r="D6139" s="25" t="s">
        <v>26232</v>
      </c>
      <c r="E6139" s="25"/>
      <c r="F6139" s="9" t="str">
        <f t="shared" si="89"/>
        <v>structure with developmental contribution from neural crest</v>
      </c>
      <c r="G6139" s="9" t="s">
        <v>5090</v>
      </c>
      <c r="H6139" s="9" t="s">
        <v>18144</v>
      </c>
      <c r="I6139" s="9" t="s">
        <v>11368</v>
      </c>
      <c r="J6139" s="9" t="s">
        <v>11369</v>
      </c>
      <c r="K6139" s="5" t="s">
        <v>15173</v>
      </c>
      <c r="L6139" s="13">
        <v>17520</v>
      </c>
      <c r="M6139" t="str">
        <f>VLOOKUP(L6139,[1]DevMouse!$B$2:$C$2693,2,FALSE)</f>
        <v>r9BIs</v>
      </c>
    </row>
    <row r="6140" spans="2:13" x14ac:dyDescent="0.25">
      <c r="B6140" s="31" t="s">
        <v>26303</v>
      </c>
      <c r="C6140" s="25" t="s">
        <v>3591</v>
      </c>
      <c r="D6140" s="25" t="s">
        <v>26185</v>
      </c>
      <c r="E6140" s="25" t="s">
        <v>26308</v>
      </c>
      <c r="F6140" s="9" t="str">
        <f t="shared" si="89"/>
        <v>structure with developmental contribution from neural crest</v>
      </c>
      <c r="G6140" s="9" t="s">
        <v>5090</v>
      </c>
      <c r="H6140" s="9" t="s">
        <v>18145</v>
      </c>
      <c r="I6140" s="9" t="s">
        <v>11370</v>
      </c>
      <c r="J6140" s="9" t="s">
        <v>11371</v>
      </c>
      <c r="K6140" s="5" t="s">
        <v>15173</v>
      </c>
      <c r="L6140" s="13">
        <v>17521</v>
      </c>
      <c r="M6140" t="str">
        <f>VLOOKUP(L6140,[1]DevMouse!$B$2:$C$2693,2,FALSE)</f>
        <v>r9PGi</v>
      </c>
    </row>
    <row r="6141" spans="2:13" x14ac:dyDescent="0.25">
      <c r="B6141" s="36"/>
      <c r="C6141" s="20"/>
      <c r="D6141" s="25" t="s">
        <v>26232</v>
      </c>
      <c r="E6141" s="25"/>
      <c r="F6141" s="9" t="str">
        <f t="shared" si="89"/>
        <v>structure with developmental contribution from neural crest</v>
      </c>
      <c r="G6141" s="9" t="s">
        <v>5090</v>
      </c>
      <c r="H6141" s="9" t="s">
        <v>18146</v>
      </c>
      <c r="I6141" s="9" t="s">
        <v>11372</v>
      </c>
      <c r="J6141" s="9" t="s">
        <v>11373</v>
      </c>
      <c r="K6141" s="5" t="s">
        <v>15173</v>
      </c>
      <c r="L6141" s="13">
        <v>17522</v>
      </c>
      <c r="M6141" t="str">
        <f>VLOOKUP(L6141,[1]DevMouse!$B$2:$C$2693,2,FALSE)</f>
        <v>r9RVM</v>
      </c>
    </row>
    <row r="6142" spans="2:13" x14ac:dyDescent="0.25">
      <c r="B6142" s="36"/>
      <c r="C6142" s="20"/>
      <c r="D6142" s="25" t="s">
        <v>26232</v>
      </c>
      <c r="E6142" s="25"/>
      <c r="F6142" s="9" t="str">
        <f t="shared" si="89"/>
        <v>structure with developmental contribution from neural crest</v>
      </c>
      <c r="G6142" s="9" t="s">
        <v>5090</v>
      </c>
      <c r="H6142" s="9" t="s">
        <v>18147</v>
      </c>
      <c r="I6142" s="9" t="s">
        <v>11374</v>
      </c>
      <c r="J6142" s="9" t="s">
        <v>11375</v>
      </c>
      <c r="K6142" s="5" t="s">
        <v>15173</v>
      </c>
      <c r="L6142" s="13">
        <v>17523</v>
      </c>
      <c r="M6142" t="str">
        <f>VLOOKUP(L6142,[1]DevMouse!$B$2:$C$2693,2,FALSE)</f>
        <v>r9BM</v>
      </c>
    </row>
    <row r="6143" spans="2:13" x14ac:dyDescent="0.25">
      <c r="B6143" s="36"/>
      <c r="C6143" s="20"/>
      <c r="D6143" s="25" t="s">
        <v>26232</v>
      </c>
      <c r="E6143" s="25"/>
      <c r="F6143" s="9" t="str">
        <f t="shared" si="89"/>
        <v>structure with developmental contribution from neural crest</v>
      </c>
      <c r="G6143" s="9" t="s">
        <v>5090</v>
      </c>
      <c r="H6143" s="9" t="s">
        <v>18148</v>
      </c>
      <c r="I6143" s="9" t="s">
        <v>11376</v>
      </c>
      <c r="J6143" s="9" t="s">
        <v>11377</v>
      </c>
      <c r="K6143" s="5" t="s">
        <v>15173</v>
      </c>
      <c r="L6143" s="13">
        <v>17524</v>
      </c>
      <c r="M6143" t="str">
        <f>VLOOKUP(L6143,[1]DevMouse!$B$2:$C$2693,2,FALSE)</f>
        <v>r9BMv</v>
      </c>
    </row>
    <row r="6144" spans="2:13" x14ac:dyDescent="0.25">
      <c r="B6144" s="31" t="s">
        <v>26303</v>
      </c>
      <c r="C6144" s="20"/>
      <c r="D6144" s="25" t="s">
        <v>26232</v>
      </c>
      <c r="E6144" s="20" t="s">
        <v>26300</v>
      </c>
      <c r="F6144" s="9" t="str">
        <f t="shared" si="89"/>
        <v>structure with developmental contribution from neural crest</v>
      </c>
      <c r="G6144" s="9" t="s">
        <v>5090</v>
      </c>
      <c r="H6144" s="9" t="s">
        <v>18149</v>
      </c>
      <c r="I6144" s="9" t="s">
        <v>11378</v>
      </c>
      <c r="J6144" s="9" t="s">
        <v>11379</v>
      </c>
      <c r="K6144" s="5" t="s">
        <v>15173</v>
      </c>
      <c r="L6144" s="13">
        <v>17525</v>
      </c>
      <c r="M6144" t="str">
        <f>VLOOKUP(L6144,[1]DevMouse!$B$2:$C$2693,2,FALSE)</f>
        <v>r9BMm</v>
      </c>
    </row>
    <row r="6145" spans="2:13" x14ac:dyDescent="0.25">
      <c r="B6145" s="36"/>
      <c r="C6145" s="20"/>
      <c r="D6145" s="25" t="s">
        <v>26232</v>
      </c>
      <c r="E6145" s="20" t="s">
        <v>26300</v>
      </c>
      <c r="F6145" s="9" t="str">
        <f t="shared" si="89"/>
        <v>structure with developmental contribution from neural crest</v>
      </c>
      <c r="G6145" s="9" t="s">
        <v>5090</v>
      </c>
      <c r="H6145" s="9" t="s">
        <v>18150</v>
      </c>
      <c r="I6145" s="9" t="s">
        <v>11380</v>
      </c>
      <c r="J6145" s="9" t="s">
        <v>11381</v>
      </c>
      <c r="K6145" s="5" t="s">
        <v>15173</v>
      </c>
      <c r="L6145" s="13">
        <v>17526</v>
      </c>
      <c r="M6145" t="str">
        <f>VLOOKUP(L6145,[1]DevMouse!$B$2:$C$2693,2,FALSE)</f>
        <v>r9BMp</v>
      </c>
    </row>
    <row r="6146" spans="2:13" x14ac:dyDescent="0.25">
      <c r="B6146" s="31" t="s">
        <v>26303</v>
      </c>
      <c r="C6146" s="25" t="s">
        <v>2327</v>
      </c>
      <c r="D6146" s="25" t="s">
        <v>26185</v>
      </c>
      <c r="E6146" s="25" t="s">
        <v>26308</v>
      </c>
      <c r="F6146" s="9" t="str">
        <f t="shared" si="89"/>
        <v>structure with developmental contribution from neural crest</v>
      </c>
      <c r="G6146" s="9" t="s">
        <v>5090</v>
      </c>
      <c r="H6146" s="9" t="s">
        <v>18151</v>
      </c>
      <c r="I6146" s="9" t="s">
        <v>11382</v>
      </c>
      <c r="J6146" s="9" t="s">
        <v>11383</v>
      </c>
      <c r="K6146" s="5" t="s">
        <v>15173</v>
      </c>
      <c r="L6146" s="13">
        <v>17527</v>
      </c>
      <c r="M6146" t="str">
        <f>VLOOKUP(L6146,[1]DevMouse!$B$2:$C$2693,2,FALSE)</f>
        <v>r9-12M</v>
      </c>
    </row>
    <row r="6147" spans="2:13" x14ac:dyDescent="0.25">
      <c r="B6147" s="31" t="s">
        <v>26303</v>
      </c>
      <c r="C6147" s="25" t="s">
        <v>26233</v>
      </c>
      <c r="D6147" s="25" t="s">
        <v>26232</v>
      </c>
      <c r="E6147" s="25" t="s">
        <v>26308</v>
      </c>
      <c r="F6147" s="9" t="str">
        <f t="shared" si="89"/>
        <v>structure with developmental contribution from neural crest</v>
      </c>
      <c r="G6147" s="9" t="s">
        <v>5090</v>
      </c>
      <c r="H6147" s="9" t="s">
        <v>18152</v>
      </c>
      <c r="I6147" s="9" t="s">
        <v>11384</v>
      </c>
      <c r="J6147" s="9" t="s">
        <v>11385</v>
      </c>
      <c r="K6147" s="5" t="s">
        <v>15173</v>
      </c>
      <c r="L6147" s="13">
        <v>17528</v>
      </c>
      <c r="M6147" t="str">
        <f>VLOOKUP(L6147,[1]DevMouse!$B$2:$C$2693,2,FALSE)</f>
        <v>r9Ro</v>
      </c>
    </row>
    <row r="6148" spans="2:13" x14ac:dyDescent="0.25">
      <c r="B6148" s="36"/>
      <c r="C6148" s="20"/>
      <c r="D6148" s="25" t="s">
        <v>26232</v>
      </c>
      <c r="E6148" s="25"/>
      <c r="F6148" s="9" t="str">
        <f t="shared" si="89"/>
        <v>structure with developmental contribution from neural crest</v>
      </c>
      <c r="G6148" s="9" t="s">
        <v>5090</v>
      </c>
      <c r="H6148" s="9" t="s">
        <v>18153</v>
      </c>
      <c r="I6148" s="9" t="s">
        <v>11386</v>
      </c>
      <c r="J6148" s="9" t="s">
        <v>11387</v>
      </c>
      <c r="K6148" s="5" t="s">
        <v>15173</v>
      </c>
      <c r="L6148" s="13">
        <v>17529</v>
      </c>
      <c r="M6148" t="str">
        <f>VLOOKUP(L6148,[1]DevMouse!$B$2:$C$2693,2,FALSE)</f>
        <v>r9BMi</v>
      </c>
    </row>
    <row r="6149" spans="2:13" x14ac:dyDescent="0.25">
      <c r="B6149" s="31" t="s">
        <v>26303</v>
      </c>
      <c r="C6149" s="25" t="s">
        <v>3363</v>
      </c>
      <c r="D6149" s="25" t="s">
        <v>26232</v>
      </c>
      <c r="E6149" s="25" t="s">
        <v>26308</v>
      </c>
      <c r="F6149" s="9" t="str">
        <f t="shared" si="89"/>
        <v>structure with developmental contribution from neural crest</v>
      </c>
      <c r="G6149" s="9" t="s">
        <v>5090</v>
      </c>
      <c r="H6149" s="9" t="s">
        <v>18154</v>
      </c>
      <c r="I6149" s="9" t="s">
        <v>11388</v>
      </c>
      <c r="J6149" s="9" t="s">
        <v>11389</v>
      </c>
      <c r="K6149" s="5" t="s">
        <v>15173</v>
      </c>
      <c r="L6149" s="13">
        <v>17530</v>
      </c>
      <c r="M6149" t="str">
        <f>VLOOKUP(L6149,[1]DevMouse!$B$2:$C$2693,2,FALSE)</f>
        <v>r9-RO</v>
      </c>
    </row>
    <row r="6150" spans="2:13" x14ac:dyDescent="0.25">
      <c r="B6150" s="36"/>
      <c r="C6150" s="20"/>
      <c r="D6150" s="25" t="s">
        <v>26232</v>
      </c>
      <c r="E6150" s="25"/>
      <c r="F6150" s="9" t="str">
        <f t="shared" si="89"/>
        <v>structure with developmental contribution from neural crest</v>
      </c>
      <c r="G6150" s="9" t="s">
        <v>5090</v>
      </c>
      <c r="H6150" s="9" t="s">
        <v>18155</v>
      </c>
      <c r="I6150" s="9" t="s">
        <v>11390</v>
      </c>
      <c r="J6150" s="9" t="s">
        <v>11391</v>
      </c>
      <c r="K6150" s="5" t="s">
        <v>15173</v>
      </c>
      <c r="L6150" s="13">
        <v>17531</v>
      </c>
      <c r="M6150" t="str">
        <f>VLOOKUP(L6150,[1]DevMouse!$B$2:$C$2693,2,FALSE)</f>
        <v>r9BMRt</v>
      </c>
    </row>
    <row r="6151" spans="2:13" x14ac:dyDescent="0.25">
      <c r="B6151" s="31" t="s">
        <v>26303</v>
      </c>
      <c r="C6151" s="25" t="s">
        <v>25947</v>
      </c>
      <c r="D6151" s="25" t="s">
        <v>26185</v>
      </c>
      <c r="E6151" s="25" t="s">
        <v>26308</v>
      </c>
      <c r="F6151" s="9" t="str">
        <f t="shared" si="89"/>
        <v>structure with developmental contribution from neural crest</v>
      </c>
      <c r="G6151" s="9" t="s">
        <v>5090</v>
      </c>
      <c r="H6151" s="9" t="s">
        <v>18156</v>
      </c>
      <c r="I6151" s="9" t="s">
        <v>11392</v>
      </c>
      <c r="J6151" s="9" t="s">
        <v>11393</v>
      </c>
      <c r="K6151" s="5" t="s">
        <v>15173</v>
      </c>
      <c r="L6151" s="13">
        <v>17532</v>
      </c>
      <c r="M6151" t="str">
        <f>VLOOKUP(L6151,[1]DevMouse!$B$2:$C$2693,2,FALSE)</f>
        <v>r9Gi</v>
      </c>
    </row>
    <row r="6152" spans="2:13" x14ac:dyDescent="0.25">
      <c r="B6152" s="36"/>
      <c r="C6152" s="20"/>
      <c r="D6152" s="25" t="s">
        <v>26232</v>
      </c>
      <c r="E6152" s="25"/>
      <c r="F6152" s="9" t="str">
        <f t="shared" si="89"/>
        <v>structure with developmental contribution from neural crest</v>
      </c>
      <c r="G6152" s="9" t="s">
        <v>5090</v>
      </c>
      <c r="H6152" s="9" t="s">
        <v>18157</v>
      </c>
      <c r="I6152" s="9" t="s">
        <v>11394</v>
      </c>
      <c r="J6152" s="9" t="s">
        <v>11395</v>
      </c>
      <c r="K6152" s="5" t="s">
        <v>15173</v>
      </c>
      <c r="L6152" s="13">
        <v>17533</v>
      </c>
      <c r="M6152" t="str">
        <f>VLOOKUP(L6152,[1]DevMouse!$B$2:$C$2693,2,FALSE)</f>
        <v>r9GiV</v>
      </c>
    </row>
    <row r="6153" spans="2:13" x14ac:dyDescent="0.25">
      <c r="B6153" s="36"/>
      <c r="C6153" s="20"/>
      <c r="D6153" s="25" t="s">
        <v>26232</v>
      </c>
      <c r="E6153" s="25"/>
      <c r="F6153" s="9" t="str">
        <f t="shared" si="89"/>
        <v>structure with developmental contribution from neural crest</v>
      </c>
      <c r="G6153" s="9" t="s">
        <v>5090</v>
      </c>
      <c r="H6153" s="9" t="s">
        <v>18158</v>
      </c>
      <c r="I6153" s="9" t="s">
        <v>11396</v>
      </c>
      <c r="J6153" s="9" t="s">
        <v>11397</v>
      </c>
      <c r="K6153" s="5" t="s">
        <v>15173</v>
      </c>
      <c r="L6153" s="13">
        <v>17534</v>
      </c>
      <c r="M6153" t="str">
        <f>VLOOKUP(L6153,[1]DevMouse!$B$2:$C$2693,2,FALSE)</f>
        <v>r9BMs</v>
      </c>
    </row>
    <row r="6154" spans="2:13" x14ac:dyDescent="0.25">
      <c r="B6154" s="31" t="s">
        <v>26303</v>
      </c>
      <c r="C6154" s="25" t="s">
        <v>3369</v>
      </c>
      <c r="D6154" s="25" t="s">
        <v>26232</v>
      </c>
      <c r="E6154" s="25" t="s">
        <v>26308</v>
      </c>
      <c r="F6154" s="9" t="str">
        <f t="shared" si="89"/>
        <v>structure with developmental contribution from neural crest</v>
      </c>
      <c r="G6154" s="9" t="s">
        <v>5090</v>
      </c>
      <c r="H6154" s="9" t="s">
        <v>18159</v>
      </c>
      <c r="I6154" s="9" t="s">
        <v>11398</v>
      </c>
      <c r="J6154" s="9" t="s">
        <v>11399</v>
      </c>
      <c r="K6154" s="5" t="s">
        <v>15173</v>
      </c>
      <c r="L6154" s="13">
        <v>17535</v>
      </c>
      <c r="M6154" t="str">
        <f>VLOOKUP(L6154,[1]DevMouse!$B$2:$C$2693,2,FALSE)</f>
        <v>r9-RP</v>
      </c>
    </row>
    <row r="6155" spans="2:13" x14ac:dyDescent="0.25">
      <c r="B6155" s="31" t="s">
        <v>26303</v>
      </c>
      <c r="C6155" s="25" t="s">
        <v>2387</v>
      </c>
      <c r="D6155" s="25" t="s">
        <v>26185</v>
      </c>
      <c r="E6155" s="25" t="s">
        <v>26308</v>
      </c>
      <c r="F6155" s="9" t="str">
        <f t="shared" si="89"/>
        <v>structure with developmental contribution from neural crest</v>
      </c>
      <c r="G6155" s="9" t="s">
        <v>5090</v>
      </c>
      <c r="H6155" s="9" t="s">
        <v>18160</v>
      </c>
      <c r="I6155" s="9" t="s">
        <v>11400</v>
      </c>
      <c r="J6155" s="9" t="s">
        <v>11401</v>
      </c>
      <c r="K6155" s="5" t="s">
        <v>15173</v>
      </c>
      <c r="L6155" s="13">
        <v>17536</v>
      </c>
      <c r="M6155" t="str">
        <f>VLOOKUP(L6155,[1]DevMouse!$B$2:$C$2693,2,FALSE)</f>
        <v>r9-IO</v>
      </c>
    </row>
    <row r="6156" spans="2:13" x14ac:dyDescent="0.25">
      <c r="B6156" s="31" t="s">
        <v>26303</v>
      </c>
      <c r="C6156" s="20"/>
      <c r="D6156" s="25" t="s">
        <v>26232</v>
      </c>
      <c r="E6156" s="25" t="s">
        <v>26300</v>
      </c>
      <c r="F6156" s="9" t="str">
        <f t="shared" si="89"/>
        <v>structure with developmental contribution from neural crest</v>
      </c>
      <c r="G6156" s="9" t="s">
        <v>5090</v>
      </c>
      <c r="H6156" s="9" t="s">
        <v>18161</v>
      </c>
      <c r="I6156" s="9" t="s">
        <v>11402</v>
      </c>
      <c r="J6156" s="9" t="s">
        <v>11403</v>
      </c>
      <c r="K6156" s="5" t="s">
        <v>15173</v>
      </c>
      <c r="L6156" s="13">
        <v>17537</v>
      </c>
      <c r="M6156" t="str">
        <f>VLOOKUP(L6156,[1]DevMouse!$B$2:$C$2693,2,FALSE)</f>
        <v>r9F</v>
      </c>
    </row>
    <row r="6157" spans="2:13" x14ac:dyDescent="0.25">
      <c r="B6157" s="36"/>
      <c r="C6157" s="20"/>
      <c r="D6157" s="25" t="s">
        <v>26232</v>
      </c>
      <c r="E6157" s="25"/>
      <c r="F6157" s="9" t="str">
        <f t="shared" si="89"/>
        <v>structure with developmental contribution from neural crest</v>
      </c>
      <c r="G6157" s="9" t="s">
        <v>5090</v>
      </c>
      <c r="H6157" s="9" t="s">
        <v>18168</v>
      </c>
      <c r="I6157" s="9" t="s">
        <v>11404</v>
      </c>
      <c r="J6157" s="9" t="s">
        <v>11405</v>
      </c>
      <c r="K6157" s="5" t="s">
        <v>15173</v>
      </c>
      <c r="L6157" s="13">
        <v>17539</v>
      </c>
      <c r="M6157" t="str">
        <f>VLOOKUP(L6157,[1]DevMouse!$B$2:$C$2693,2,FALSE)</f>
        <v>r10R</v>
      </c>
    </row>
    <row r="6158" spans="2:13" x14ac:dyDescent="0.25">
      <c r="B6158" s="36"/>
      <c r="C6158" s="20"/>
      <c r="D6158" s="25" t="s">
        <v>26232</v>
      </c>
      <c r="E6158" s="25"/>
      <c r="F6158" s="9" t="str">
        <f t="shared" si="89"/>
        <v>structure with developmental contribution from neural crest</v>
      </c>
      <c r="G6158" s="9" t="s">
        <v>5090</v>
      </c>
      <c r="H6158" s="9" t="s">
        <v>18169</v>
      </c>
      <c r="I6158" s="9" t="s">
        <v>11406</v>
      </c>
      <c r="J6158" s="9" t="s">
        <v>11407</v>
      </c>
      <c r="K6158" s="5" t="s">
        <v>15173</v>
      </c>
      <c r="L6158" s="13">
        <v>17540</v>
      </c>
      <c r="M6158" t="str">
        <f>VLOOKUP(L6158,[1]DevMouse!$B$2:$C$2693,2,FALSE)</f>
        <v>r10A</v>
      </c>
    </row>
    <row r="6159" spans="2:13" x14ac:dyDescent="0.25">
      <c r="B6159" s="36"/>
      <c r="C6159" s="20"/>
      <c r="D6159" s="25" t="s">
        <v>26232</v>
      </c>
      <c r="E6159" s="25"/>
      <c r="F6159" s="9" t="str">
        <f t="shared" si="89"/>
        <v>structure with developmental contribution from neural crest</v>
      </c>
      <c r="G6159" s="9" t="s">
        <v>5090</v>
      </c>
      <c r="H6159" s="9" t="s">
        <v>18172</v>
      </c>
      <c r="I6159" s="9" t="s">
        <v>11408</v>
      </c>
      <c r="J6159" s="9" t="s">
        <v>11409</v>
      </c>
      <c r="K6159" s="5" t="s">
        <v>15173</v>
      </c>
      <c r="L6159" s="13">
        <v>17541</v>
      </c>
      <c r="M6159" t="str">
        <f>VLOOKUP(L6159,[1]DevMouse!$B$2:$C$2693,2,FALSE)</f>
        <v>r10Ve</v>
      </c>
    </row>
    <row r="6160" spans="2:13" x14ac:dyDescent="0.25">
      <c r="B6160" s="36"/>
      <c r="C6160" s="20"/>
      <c r="D6160" s="25" t="s">
        <v>26232</v>
      </c>
      <c r="E6160" s="25"/>
      <c r="F6160" s="9" t="str">
        <f t="shared" si="89"/>
        <v>structure with developmental contribution from neural crest</v>
      </c>
      <c r="G6160" s="9" t="s">
        <v>5090</v>
      </c>
      <c r="H6160" s="9" t="s">
        <v>18173</v>
      </c>
      <c r="I6160" s="9" t="s">
        <v>11410</v>
      </c>
      <c r="J6160" s="9" t="s">
        <v>11411</v>
      </c>
      <c r="K6160" s="5" t="s">
        <v>15173</v>
      </c>
      <c r="L6160" s="13">
        <v>17542</v>
      </c>
      <c r="M6160" t="str">
        <f>VLOOKUP(L6160,[1]DevMouse!$B$2:$C$2693,2,FALSE)</f>
        <v>r10Vev</v>
      </c>
    </row>
    <row r="6161" spans="2:13" x14ac:dyDescent="0.25">
      <c r="B6161" s="31" t="s">
        <v>26303</v>
      </c>
      <c r="C6161" s="20"/>
      <c r="D6161" s="25" t="s">
        <v>26232</v>
      </c>
      <c r="E6161" s="20" t="s">
        <v>26300</v>
      </c>
      <c r="F6161" s="9" t="str">
        <f t="shared" si="89"/>
        <v>structure with developmental contribution from neural crest</v>
      </c>
      <c r="G6161" s="9" t="s">
        <v>5090</v>
      </c>
      <c r="H6161" s="9" t="s">
        <v>18174</v>
      </c>
      <c r="I6161" s="9" t="s">
        <v>11412</v>
      </c>
      <c r="J6161" s="9" t="s">
        <v>11413</v>
      </c>
      <c r="K6161" s="5" t="s">
        <v>15173</v>
      </c>
      <c r="L6161" s="13">
        <v>17543</v>
      </c>
      <c r="M6161" t="str">
        <f>VLOOKUP(L6161,[1]DevMouse!$B$2:$C$2693,2,FALSE)</f>
        <v>r10Vem</v>
      </c>
    </row>
    <row r="6162" spans="2:13" x14ac:dyDescent="0.25">
      <c r="B6162" s="31" t="s">
        <v>26303</v>
      </c>
      <c r="C6162" s="25" t="s">
        <v>25970</v>
      </c>
      <c r="D6162" s="25" t="s">
        <v>26232</v>
      </c>
      <c r="E6162" s="25" t="s">
        <v>26308</v>
      </c>
      <c r="F6162" s="9" t="str">
        <f t="shared" si="89"/>
        <v>structure with developmental contribution from neural crest</v>
      </c>
      <c r="G6162" s="9" t="s">
        <v>5090</v>
      </c>
      <c r="H6162" s="9" t="s">
        <v>18178</v>
      </c>
      <c r="I6162" s="9" t="s">
        <v>11414</v>
      </c>
      <c r="J6162" s="9" t="s">
        <v>11415</v>
      </c>
      <c r="K6162" s="5" t="s">
        <v>15173</v>
      </c>
      <c r="L6162" s="13">
        <v>17544</v>
      </c>
      <c r="M6162" t="str">
        <f>VLOOKUP(L6162,[1]DevMouse!$B$2:$C$2693,2,FALSE)</f>
        <v>r10SpVe</v>
      </c>
    </row>
    <row r="6163" spans="2:13" x14ac:dyDescent="0.25">
      <c r="B6163" s="31" t="s">
        <v>26303</v>
      </c>
      <c r="C6163" s="25" t="s">
        <v>3042</v>
      </c>
      <c r="D6163" s="25" t="s">
        <v>26232</v>
      </c>
      <c r="E6163" s="25" t="s">
        <v>26308</v>
      </c>
      <c r="F6163" s="9" t="str">
        <f t="shared" si="89"/>
        <v>structure with developmental contribution from neural crest</v>
      </c>
      <c r="G6163" s="9" t="s">
        <v>5090</v>
      </c>
      <c r="H6163" s="9" t="s">
        <v>18176</v>
      </c>
      <c r="I6163" s="9" t="s">
        <v>11416</v>
      </c>
      <c r="J6163" s="9" t="s">
        <v>11417</v>
      </c>
      <c r="K6163" s="5" t="s">
        <v>15173</v>
      </c>
      <c r="L6163" s="13">
        <v>17545</v>
      </c>
      <c r="M6163" t="str">
        <f>VLOOKUP(L6163,[1]DevMouse!$B$2:$C$2693,2,FALSE)</f>
        <v>r10MVePC</v>
      </c>
    </row>
    <row r="6164" spans="2:13" x14ac:dyDescent="0.25">
      <c r="B6164" s="36"/>
      <c r="C6164" s="20"/>
      <c r="D6164" s="25" t="s">
        <v>26232</v>
      </c>
      <c r="E6164" s="25"/>
      <c r="F6164" s="9" t="str">
        <f t="shared" si="89"/>
        <v>structure with developmental contribution from neural crest</v>
      </c>
      <c r="G6164" s="9" t="s">
        <v>5090</v>
      </c>
      <c r="H6164" s="9" t="s">
        <v>18180</v>
      </c>
      <c r="I6164" s="9" t="s">
        <v>11418</v>
      </c>
      <c r="J6164" s="9" t="s">
        <v>11419</v>
      </c>
      <c r="K6164" s="5" t="s">
        <v>15173</v>
      </c>
      <c r="L6164" s="13">
        <v>17546</v>
      </c>
      <c r="M6164" t="str">
        <f>VLOOKUP(L6164,[1]DevMouse!$B$2:$C$2693,2,FALSE)</f>
        <v>r10ECu</v>
      </c>
    </row>
    <row r="6165" spans="2:13" x14ac:dyDescent="0.25">
      <c r="B6165" s="36"/>
      <c r="C6165" s="20"/>
      <c r="D6165" s="25" t="s">
        <v>26232</v>
      </c>
      <c r="E6165" s="25" t="s">
        <v>26308</v>
      </c>
      <c r="F6165" s="9" t="str">
        <f t="shared" si="89"/>
        <v>structure with developmental contribution from neural crest</v>
      </c>
      <c r="G6165" s="9" t="s">
        <v>5090</v>
      </c>
      <c r="H6165" s="9" t="s">
        <v>18181</v>
      </c>
      <c r="I6165" s="9" t="s">
        <v>11420</v>
      </c>
      <c r="J6165" s="9" t="s">
        <v>11421</v>
      </c>
      <c r="K6165" s="5" t="s">
        <v>15173</v>
      </c>
      <c r="L6165" s="13">
        <v>17547</v>
      </c>
      <c r="M6165" t="str">
        <f>VLOOKUP(L6165,[1]DevMouse!$B$2:$C$2693,2,FALSE)</f>
        <v>r10Tr</v>
      </c>
    </row>
    <row r="6166" spans="2:13" x14ac:dyDescent="0.25">
      <c r="B6166" s="36"/>
      <c r="C6166" s="20"/>
      <c r="D6166" s="25" t="s">
        <v>26232</v>
      </c>
      <c r="E6166" s="25"/>
      <c r="F6166" s="9" t="str">
        <f t="shared" si="89"/>
        <v>structure with developmental contribution from neural crest</v>
      </c>
      <c r="G6166" s="9" t="s">
        <v>5090</v>
      </c>
      <c r="H6166" s="9" t="s">
        <v>18182</v>
      </c>
      <c r="I6166" s="9" t="s">
        <v>11422</v>
      </c>
      <c r="J6166" s="9" t="s">
        <v>11423</v>
      </c>
      <c r="K6166" s="5" t="s">
        <v>15173</v>
      </c>
      <c r="L6166" s="13">
        <v>17548</v>
      </c>
      <c r="M6166" t="str">
        <f>VLOOKUP(L6166,[1]DevMouse!$B$2:$C$2693,2,FALSE)</f>
        <v>r10Trv</v>
      </c>
    </row>
    <row r="6167" spans="2:13" x14ac:dyDescent="0.25">
      <c r="B6167" s="31" t="s">
        <v>26303</v>
      </c>
      <c r="C6167" s="20"/>
      <c r="D6167" s="25" t="s">
        <v>26232</v>
      </c>
      <c r="E6167" s="20" t="s">
        <v>26300</v>
      </c>
      <c r="F6167" s="9" t="str">
        <f t="shared" si="89"/>
        <v>structure with developmental contribution from neural crest</v>
      </c>
      <c r="G6167" s="9" t="s">
        <v>5090</v>
      </c>
      <c r="H6167" s="9" t="s">
        <v>18183</v>
      </c>
      <c r="I6167" s="9" t="s">
        <v>11424</v>
      </c>
      <c r="J6167" s="9" t="s">
        <v>11425</v>
      </c>
      <c r="K6167" s="5" t="s">
        <v>15173</v>
      </c>
      <c r="L6167" s="13">
        <v>17549</v>
      </c>
      <c r="M6167" t="str">
        <f>VLOOKUP(L6167,[1]DevMouse!$B$2:$C$2693,2,FALSE)</f>
        <v>r10Trm</v>
      </c>
    </row>
    <row r="6168" spans="2:13" x14ac:dyDescent="0.25">
      <c r="B6168" s="31" t="s">
        <v>26303</v>
      </c>
      <c r="C6168" s="25" t="s">
        <v>25822</v>
      </c>
      <c r="D6168" s="25" t="s">
        <v>26185</v>
      </c>
      <c r="E6168" s="25" t="s">
        <v>26308</v>
      </c>
      <c r="F6168" s="9" t="str">
        <f t="shared" si="89"/>
        <v>structure with developmental contribution from neural crest</v>
      </c>
      <c r="G6168" s="9" t="s">
        <v>5090</v>
      </c>
      <c r="H6168" s="9" t="s">
        <v>18190</v>
      </c>
      <c r="I6168" s="9" t="s">
        <v>11426</v>
      </c>
      <c r="J6168" s="9" t="s">
        <v>11427</v>
      </c>
      <c r="K6168" s="5" t="s">
        <v>15173</v>
      </c>
      <c r="L6168" s="13">
        <v>17550</v>
      </c>
      <c r="M6168" t="str">
        <f>VLOOKUP(L6168,[1]DevMouse!$B$2:$C$2693,2,FALSE)</f>
        <v>r10Sp5C</v>
      </c>
    </row>
    <row r="6169" spans="2:13" x14ac:dyDescent="0.25">
      <c r="B6169" s="36"/>
      <c r="C6169" s="20"/>
      <c r="D6169" s="25" t="s">
        <v>26232</v>
      </c>
      <c r="E6169" s="25" t="s">
        <v>26308</v>
      </c>
      <c r="F6169" s="9" t="str">
        <f t="shared" si="89"/>
        <v>structure with developmental contribution from neural crest</v>
      </c>
      <c r="G6169" s="9" t="s">
        <v>5090</v>
      </c>
      <c r="H6169" s="9" t="s">
        <v>18187</v>
      </c>
      <c r="I6169" s="9" t="s">
        <v>11428</v>
      </c>
      <c r="J6169" s="9" t="s">
        <v>11429</v>
      </c>
      <c r="K6169" s="5" t="s">
        <v>15173</v>
      </c>
      <c r="L6169" s="13">
        <v>17551</v>
      </c>
      <c r="M6169" t="str">
        <f>VLOOKUP(L6169,[1]DevMouse!$B$2:$C$2693,2,FALSE)</f>
        <v>r10-5Tr</v>
      </c>
    </row>
    <row r="6170" spans="2:13" x14ac:dyDescent="0.25">
      <c r="B6170" s="36"/>
      <c r="C6170" s="20"/>
      <c r="D6170" s="25" t="s">
        <v>26232</v>
      </c>
      <c r="E6170" s="25"/>
      <c r="F6170" s="9" t="str">
        <f t="shared" si="89"/>
        <v>structure with developmental contribution from neural crest</v>
      </c>
      <c r="G6170" s="9" t="s">
        <v>5090</v>
      </c>
      <c r="H6170" s="9" t="s">
        <v>18185</v>
      </c>
      <c r="I6170" s="9" t="s">
        <v>11430</v>
      </c>
      <c r="J6170" s="9" t="s">
        <v>11431</v>
      </c>
      <c r="K6170" s="5" t="s">
        <v>15173</v>
      </c>
      <c r="L6170" s="13">
        <v>17552</v>
      </c>
      <c r="M6170" t="str">
        <f>VLOOKUP(L6170,[1]DevMouse!$B$2:$C$2693,2,FALSE)</f>
        <v>r10Sol</v>
      </c>
    </row>
    <row r="6171" spans="2:13" x14ac:dyDescent="0.25">
      <c r="B6171" s="31" t="s">
        <v>26303</v>
      </c>
      <c r="C6171" s="25" t="s">
        <v>2098</v>
      </c>
      <c r="D6171" s="25" t="s">
        <v>26232</v>
      </c>
      <c r="E6171" s="25" t="s">
        <v>26308</v>
      </c>
      <c r="F6171" s="9" t="str">
        <f t="shared" si="89"/>
        <v>structure with developmental contribution from neural crest</v>
      </c>
      <c r="G6171" s="9" t="s">
        <v>5090</v>
      </c>
      <c r="H6171" s="9" t="s">
        <v>18191</v>
      </c>
      <c r="I6171" s="9" t="s">
        <v>11432</v>
      </c>
      <c r="J6171" s="9" t="s">
        <v>11433</v>
      </c>
      <c r="K6171" s="5" t="s">
        <v>15173</v>
      </c>
      <c r="L6171" s="13">
        <v>17553</v>
      </c>
      <c r="M6171" t="str">
        <f>VLOOKUP(L6171,[1]DevMouse!$B$2:$C$2693,2,FALSE)</f>
        <v>r10Gr</v>
      </c>
    </row>
    <row r="6172" spans="2:13" x14ac:dyDescent="0.25">
      <c r="B6172" s="36"/>
      <c r="C6172" s="20"/>
      <c r="D6172" s="25" t="s">
        <v>26232</v>
      </c>
      <c r="E6172" s="25"/>
      <c r="F6172" s="9" t="str">
        <f t="shared" si="89"/>
        <v>structure with developmental contribution from neural crest</v>
      </c>
      <c r="G6172" s="9" t="s">
        <v>5090</v>
      </c>
      <c r="H6172" s="9" t="s">
        <v>18192</v>
      </c>
      <c r="I6172" s="9" t="s">
        <v>11434</v>
      </c>
      <c r="J6172" s="9" t="s">
        <v>11435</v>
      </c>
      <c r="K6172" s="5" t="s">
        <v>15173</v>
      </c>
      <c r="L6172" s="13">
        <v>17554</v>
      </c>
      <c r="M6172" t="str">
        <f>VLOOKUP(L6172,[1]DevMouse!$B$2:$C$2693,2,FALSE)</f>
        <v>r10Cu</v>
      </c>
    </row>
    <row r="6173" spans="2:13" x14ac:dyDescent="0.25">
      <c r="B6173" s="36"/>
      <c r="C6173" s="20"/>
      <c r="D6173" s="25" t="s">
        <v>26232</v>
      </c>
      <c r="E6173" s="25"/>
      <c r="F6173" s="9" t="str">
        <f t="shared" si="89"/>
        <v>structure with developmental contribution from neural crest</v>
      </c>
      <c r="G6173" s="9" t="s">
        <v>5090</v>
      </c>
      <c r="H6173" s="9" t="s">
        <v>18188</v>
      </c>
      <c r="I6173" s="9" t="s">
        <v>11436</v>
      </c>
      <c r="J6173" s="9" t="s">
        <v>11437</v>
      </c>
      <c r="K6173" s="5" t="s">
        <v>15173</v>
      </c>
      <c r="L6173" s="13">
        <v>17555</v>
      </c>
      <c r="M6173" t="str">
        <f>VLOOKUP(L6173,[1]DevMouse!$B$2:$C$2693,2,FALSE)</f>
        <v>r10DPCRt</v>
      </c>
    </row>
    <row r="6174" spans="2:13" x14ac:dyDescent="0.25">
      <c r="B6174" s="36"/>
      <c r="C6174" s="20"/>
      <c r="D6174" s="25" t="s">
        <v>26232</v>
      </c>
      <c r="E6174" s="25"/>
      <c r="F6174" s="9" t="str">
        <f t="shared" si="89"/>
        <v>structure with developmental contribution from neural crest</v>
      </c>
      <c r="G6174" s="9" t="s">
        <v>5090</v>
      </c>
      <c r="H6174" s="9" t="s">
        <v>18193</v>
      </c>
      <c r="I6174" s="9" t="s">
        <v>11438</v>
      </c>
      <c r="J6174" s="9" t="s">
        <v>11439</v>
      </c>
      <c r="K6174" s="5" t="s">
        <v>15173</v>
      </c>
      <c r="L6174" s="13">
        <v>17556</v>
      </c>
      <c r="M6174" t="str">
        <f>VLOOKUP(L6174,[1]DevMouse!$B$2:$C$2693,2,FALSE)</f>
        <v>r10Lim</v>
      </c>
    </row>
    <row r="6175" spans="2:13" x14ac:dyDescent="0.25">
      <c r="B6175" s="36"/>
      <c r="C6175" s="20"/>
      <c r="D6175" s="25" t="s">
        <v>26232</v>
      </c>
      <c r="E6175" s="25"/>
      <c r="F6175" s="9" t="str">
        <f t="shared" si="89"/>
        <v>structure with developmental contribution from neural crest</v>
      </c>
      <c r="G6175" s="9" t="s">
        <v>5090</v>
      </c>
      <c r="H6175" s="9" t="s">
        <v>18194</v>
      </c>
      <c r="I6175" s="9" t="s">
        <v>11440</v>
      </c>
      <c r="J6175" s="9" t="s">
        <v>11441</v>
      </c>
      <c r="K6175" s="5" t="s">
        <v>15173</v>
      </c>
      <c r="L6175" s="13">
        <v>17557</v>
      </c>
      <c r="M6175" t="str">
        <f>VLOOKUP(L6175,[1]DevMouse!$B$2:$C$2693,2,FALSE)</f>
        <v>r10Limv</v>
      </c>
    </row>
    <row r="6176" spans="2:13" x14ac:dyDescent="0.25">
      <c r="B6176" s="31" t="s">
        <v>26303</v>
      </c>
      <c r="C6176" s="20"/>
      <c r="D6176" s="25" t="s">
        <v>26232</v>
      </c>
      <c r="E6176" s="20" t="s">
        <v>26300</v>
      </c>
      <c r="F6176" s="9" t="str">
        <f t="shared" si="89"/>
        <v>structure with developmental contribution from neural crest</v>
      </c>
      <c r="G6176" s="9" t="s">
        <v>5090</v>
      </c>
      <c r="H6176" s="9" t="s">
        <v>18195</v>
      </c>
      <c r="I6176" s="9" t="s">
        <v>11442</v>
      </c>
      <c r="J6176" s="9" t="s">
        <v>11443</v>
      </c>
      <c r="K6176" s="5" t="s">
        <v>15173</v>
      </c>
      <c r="L6176" s="13">
        <v>17558</v>
      </c>
      <c r="M6176" t="str">
        <f>VLOOKUP(L6176,[1]DevMouse!$B$2:$C$2693,2,FALSE)</f>
        <v>r10Limm</v>
      </c>
    </row>
    <row r="6177" spans="2:13" x14ac:dyDescent="0.25">
      <c r="B6177" s="36"/>
      <c r="C6177" s="20"/>
      <c r="D6177" s="25" t="s">
        <v>26232</v>
      </c>
      <c r="E6177" s="25"/>
      <c r="F6177" s="9" t="str">
        <f t="shared" si="89"/>
        <v>structure with developmental contribution from neural crest</v>
      </c>
      <c r="G6177" s="9" t="s">
        <v>5090</v>
      </c>
      <c r="H6177" s="9" t="s">
        <v>18200</v>
      </c>
      <c r="I6177" s="9" t="s">
        <v>11444</v>
      </c>
      <c r="J6177" s="9" t="s">
        <v>11445</v>
      </c>
      <c r="K6177" s="5" t="s">
        <v>15173</v>
      </c>
      <c r="L6177" s="13">
        <v>17559</v>
      </c>
      <c r="M6177" t="str">
        <f>VLOOKUP(L6177,[1]DevMouse!$B$2:$C$2693,2,FALSE)</f>
        <v>r10VPCRt</v>
      </c>
    </row>
    <row r="6178" spans="2:13" x14ac:dyDescent="0.25">
      <c r="B6178" s="36"/>
      <c r="C6178" s="20"/>
      <c r="D6178" s="25" t="s">
        <v>26232</v>
      </c>
      <c r="E6178" s="25"/>
      <c r="F6178" s="9" t="str">
        <f t="shared" si="89"/>
        <v>structure with developmental contribution from neural crest</v>
      </c>
      <c r="G6178" s="9" t="s">
        <v>5090</v>
      </c>
      <c r="H6178" s="9" t="s">
        <v>18197</v>
      </c>
      <c r="I6178" s="9" t="s">
        <v>11446</v>
      </c>
      <c r="J6178" s="9" t="s">
        <v>11447</v>
      </c>
      <c r="K6178" s="5" t="s">
        <v>15173</v>
      </c>
      <c r="L6178" s="13">
        <v>17560</v>
      </c>
      <c r="M6178" t="str">
        <f>VLOOKUP(L6178,[1]DevMouse!$B$2:$C$2693,2,FALSE)</f>
        <v>r10-10M</v>
      </c>
    </row>
    <row r="6179" spans="2:13" x14ac:dyDescent="0.25">
      <c r="B6179" s="36"/>
      <c r="C6179" s="20"/>
      <c r="D6179" s="25" t="s">
        <v>26232</v>
      </c>
      <c r="E6179" s="25"/>
      <c r="F6179" s="9" t="str">
        <f t="shared" si="89"/>
        <v>structure with developmental contribution from neural crest</v>
      </c>
      <c r="G6179" s="9" t="s">
        <v>5090</v>
      </c>
      <c r="H6179" s="9" t="s">
        <v>18202</v>
      </c>
      <c r="I6179" s="9" t="s">
        <v>11448</v>
      </c>
      <c r="J6179" s="9" t="s">
        <v>11449</v>
      </c>
      <c r="K6179" s="5" t="s">
        <v>15173</v>
      </c>
      <c r="L6179" s="13">
        <v>17561</v>
      </c>
      <c r="M6179" t="str">
        <f>VLOOKUP(L6179,[1]DevMouse!$B$2:$C$2693,2,FALSE)</f>
        <v>r10Amb</v>
      </c>
    </row>
    <row r="6180" spans="2:13" x14ac:dyDescent="0.25">
      <c r="B6180" s="36"/>
      <c r="C6180" s="20"/>
      <c r="D6180" s="25" t="s">
        <v>26232</v>
      </c>
      <c r="E6180" s="25"/>
      <c r="F6180" s="9" t="str">
        <f t="shared" si="89"/>
        <v>structure with developmental contribution from neural crest</v>
      </c>
      <c r="G6180" s="9" t="s">
        <v>5090</v>
      </c>
      <c r="H6180" s="9" t="s">
        <v>18203</v>
      </c>
      <c r="I6180" s="9" t="s">
        <v>11450</v>
      </c>
      <c r="J6180" s="9" t="s">
        <v>11451</v>
      </c>
      <c r="K6180" s="5" t="s">
        <v>15173</v>
      </c>
      <c r="L6180" s="13">
        <v>17562</v>
      </c>
      <c r="M6180" t="str">
        <f>VLOOKUP(L6180,[1]DevMouse!$B$2:$C$2693,2,FALSE)</f>
        <v>r10B</v>
      </c>
    </row>
    <row r="6181" spans="2:13" x14ac:dyDescent="0.25">
      <c r="B6181" s="36"/>
      <c r="C6181" s="20"/>
      <c r="D6181" s="25" t="s">
        <v>26232</v>
      </c>
      <c r="E6181" s="25"/>
      <c r="F6181" s="9" t="str">
        <f t="shared" si="89"/>
        <v>structure with developmental contribution from neural crest</v>
      </c>
      <c r="G6181" s="9" t="s">
        <v>5090</v>
      </c>
      <c r="H6181" s="9" t="s">
        <v>18206</v>
      </c>
      <c r="I6181" s="9" t="s">
        <v>11452</v>
      </c>
      <c r="J6181" s="9" t="s">
        <v>11453</v>
      </c>
      <c r="K6181" s="5" t="s">
        <v>15173</v>
      </c>
      <c r="L6181" s="13">
        <v>17563</v>
      </c>
      <c r="M6181" t="str">
        <f>VLOOKUP(L6181,[1]DevMouse!$B$2:$C$2693,2,FALSE)</f>
        <v>r10BL</v>
      </c>
    </row>
    <row r="6182" spans="2:13" x14ac:dyDescent="0.25">
      <c r="B6182" s="36"/>
      <c r="C6182" s="20"/>
      <c r="D6182" s="25" t="s">
        <v>26232</v>
      </c>
      <c r="E6182" s="25"/>
      <c r="F6182" s="9" t="str">
        <f t="shared" si="89"/>
        <v>structure with developmental contribution from neural crest</v>
      </c>
      <c r="G6182" s="9" t="s">
        <v>5090</v>
      </c>
      <c r="H6182" s="9" t="s">
        <v>18207</v>
      </c>
      <c r="I6182" s="9" t="s">
        <v>11454</v>
      </c>
      <c r="J6182" s="9" t="s">
        <v>11455</v>
      </c>
      <c r="K6182" s="5" t="s">
        <v>15173</v>
      </c>
      <c r="L6182" s="13">
        <v>17564</v>
      </c>
      <c r="M6182" t="str">
        <f>VLOOKUP(L6182,[1]DevMouse!$B$2:$C$2693,2,FALSE)</f>
        <v>r10BLv</v>
      </c>
    </row>
    <row r="6183" spans="2:13" x14ac:dyDescent="0.25">
      <c r="B6183" s="31" t="s">
        <v>26303</v>
      </c>
      <c r="C6183" s="20"/>
      <c r="D6183" s="25" t="s">
        <v>26232</v>
      </c>
      <c r="E6183" s="20" t="s">
        <v>26300</v>
      </c>
      <c r="F6183" s="9" t="str">
        <f t="shared" si="89"/>
        <v>structure with developmental contribution from neural crest</v>
      </c>
      <c r="G6183" s="9" t="s">
        <v>5090</v>
      </c>
      <c r="H6183" s="9" t="s">
        <v>18208</v>
      </c>
      <c r="I6183" s="9" t="s">
        <v>11456</v>
      </c>
      <c r="J6183" s="9" t="s">
        <v>11457</v>
      </c>
      <c r="K6183" s="5" t="s">
        <v>15173</v>
      </c>
      <c r="L6183" s="13">
        <v>17565</v>
      </c>
      <c r="M6183" t="str">
        <f>VLOOKUP(L6183,[1]DevMouse!$B$2:$C$2693,2,FALSE)</f>
        <v>r10BLm</v>
      </c>
    </row>
    <row r="6184" spans="2:13" x14ac:dyDescent="0.25">
      <c r="B6184" s="36"/>
      <c r="C6184" s="20"/>
      <c r="D6184" s="25" t="s">
        <v>26232</v>
      </c>
      <c r="E6184" s="20" t="s">
        <v>26300</v>
      </c>
      <c r="F6184" s="9" t="str">
        <f t="shared" si="89"/>
        <v>structure with developmental contribution from neural crest</v>
      </c>
      <c r="G6184" s="9" t="s">
        <v>5090</v>
      </c>
      <c r="H6184" s="9" t="s">
        <v>18209</v>
      </c>
      <c r="I6184" s="9" t="s">
        <v>11458</v>
      </c>
      <c r="J6184" s="9" t="s">
        <v>11459</v>
      </c>
      <c r="K6184" s="5" t="s">
        <v>15173</v>
      </c>
      <c r="L6184" s="13">
        <v>17566</v>
      </c>
      <c r="M6184" t="str">
        <f>VLOOKUP(L6184,[1]DevMouse!$B$2:$C$2693,2,FALSE)</f>
        <v>r10BLp</v>
      </c>
    </row>
    <row r="6185" spans="2:13" x14ac:dyDescent="0.25">
      <c r="B6185" s="36"/>
      <c r="C6185" s="20"/>
      <c r="D6185" s="25" t="s">
        <v>26232</v>
      </c>
      <c r="E6185" s="25"/>
      <c r="F6185" s="9" t="str">
        <f t="shared" si="89"/>
        <v>structure with developmental contribution from neural crest</v>
      </c>
      <c r="G6185" s="9" t="s">
        <v>5090</v>
      </c>
      <c r="H6185" s="9" t="s">
        <v>18210</v>
      </c>
      <c r="I6185" s="9" t="s">
        <v>11460</v>
      </c>
      <c r="J6185" s="9" t="s">
        <v>11461</v>
      </c>
      <c r="K6185" s="5" t="s">
        <v>15173</v>
      </c>
      <c r="L6185" s="13">
        <v>17567</v>
      </c>
      <c r="M6185" t="str">
        <f>VLOOKUP(L6185,[1]DevMouse!$B$2:$C$2693,2,FALSE)</f>
        <v>r10BLIZ</v>
      </c>
    </row>
    <row r="6186" spans="2:13" x14ac:dyDescent="0.25">
      <c r="B6186" s="36"/>
      <c r="C6186" s="20"/>
      <c r="D6186" s="25" t="s">
        <v>26232</v>
      </c>
      <c r="E6186" s="25"/>
      <c r="F6186" s="9" t="str">
        <f t="shared" si="89"/>
        <v>structure with developmental contribution from neural crest</v>
      </c>
      <c r="G6186" s="9" t="s">
        <v>5090</v>
      </c>
      <c r="H6186" s="9" t="s">
        <v>18211</v>
      </c>
      <c r="I6186" s="9" t="s">
        <v>11462</v>
      </c>
      <c r="J6186" s="9" t="s">
        <v>11463</v>
      </c>
      <c r="K6186" s="5" t="s">
        <v>15173</v>
      </c>
      <c r="L6186" s="13">
        <v>17568</v>
      </c>
      <c r="M6186" t="str">
        <f>VLOOKUP(L6186,[1]DevMouse!$B$2:$C$2693,2,FALSE)</f>
        <v>r10BLi</v>
      </c>
    </row>
    <row r="6187" spans="2:13" x14ac:dyDescent="0.25">
      <c r="B6187" s="36"/>
      <c r="C6187" s="20"/>
      <c r="D6187" s="25" t="s">
        <v>26232</v>
      </c>
      <c r="E6187" s="25"/>
      <c r="F6187" s="9" t="str">
        <f t="shared" si="89"/>
        <v>structure with developmental contribution from neural crest</v>
      </c>
      <c r="G6187" s="9" t="s">
        <v>5090</v>
      </c>
      <c r="H6187" s="9" t="s">
        <v>18212</v>
      </c>
      <c r="I6187" s="9" t="s">
        <v>11464</v>
      </c>
      <c r="J6187" s="9" t="s">
        <v>11465</v>
      </c>
      <c r="K6187" s="5" t="s">
        <v>15173</v>
      </c>
      <c r="L6187" s="13">
        <v>17569</v>
      </c>
      <c r="M6187" t="str">
        <f>VLOOKUP(L6187,[1]DevMouse!$B$2:$C$2693,2,FALSE)</f>
        <v>r10BLRt</v>
      </c>
    </row>
    <row r="6188" spans="2:13" x14ac:dyDescent="0.25">
      <c r="B6188" s="36"/>
      <c r="C6188" s="20"/>
      <c r="D6188" s="25" t="s">
        <v>26232</v>
      </c>
      <c r="E6188" s="25"/>
      <c r="F6188" s="9" t="str">
        <f t="shared" si="89"/>
        <v>structure with developmental contribution from neural crest</v>
      </c>
      <c r="G6188" s="9" t="s">
        <v>5090</v>
      </c>
      <c r="H6188" s="9" t="s">
        <v>18213</v>
      </c>
      <c r="I6188" s="9" t="s">
        <v>11466</v>
      </c>
      <c r="J6188" s="9" t="s">
        <v>11467</v>
      </c>
      <c r="K6188" s="5" t="s">
        <v>15173</v>
      </c>
      <c r="L6188" s="13">
        <v>17570</v>
      </c>
      <c r="M6188" t="str">
        <f>VLOOKUP(L6188,[1]DevMouse!$B$2:$C$2693,2,FALSE)</f>
        <v>r10BLs</v>
      </c>
    </row>
    <row r="6189" spans="2:13" x14ac:dyDescent="0.25">
      <c r="B6189" s="36"/>
      <c r="C6189" s="20"/>
      <c r="D6189" s="25" t="s">
        <v>26232</v>
      </c>
      <c r="E6189" s="25"/>
      <c r="F6189" s="9" t="str">
        <f t="shared" si="89"/>
        <v>structure with developmental contribution from neural crest</v>
      </c>
      <c r="G6189" s="9" t="s">
        <v>5090</v>
      </c>
      <c r="H6189" s="9" t="s">
        <v>18214</v>
      </c>
      <c r="I6189" s="9" t="s">
        <v>11468</v>
      </c>
      <c r="J6189" s="9" t="s">
        <v>11469</v>
      </c>
      <c r="K6189" s="5" t="s">
        <v>15173</v>
      </c>
      <c r="L6189" s="13">
        <v>17571</v>
      </c>
      <c r="M6189" t="str">
        <f>VLOOKUP(L6189,[1]DevMouse!$B$2:$C$2693,2,FALSE)</f>
        <v>r10BI</v>
      </c>
    </row>
    <row r="6190" spans="2:13" x14ac:dyDescent="0.25">
      <c r="B6190" s="36"/>
      <c r="C6190" s="20"/>
      <c r="D6190" s="25" t="s">
        <v>26232</v>
      </c>
      <c r="E6190" s="25"/>
      <c r="F6190" s="9" t="str">
        <f t="shared" si="89"/>
        <v>structure with developmental contribution from neural crest</v>
      </c>
      <c r="G6190" s="9" t="s">
        <v>5090</v>
      </c>
      <c r="H6190" s="9" t="s">
        <v>18215</v>
      </c>
      <c r="I6190" s="9" t="s">
        <v>11470</v>
      </c>
      <c r="J6190" s="9" t="s">
        <v>11471</v>
      </c>
      <c r="K6190" s="5" t="s">
        <v>15173</v>
      </c>
      <c r="L6190" s="13">
        <v>17572</v>
      </c>
      <c r="M6190" t="str">
        <f>VLOOKUP(L6190,[1]DevMouse!$B$2:$C$2693,2,FALSE)</f>
        <v>r10BIv</v>
      </c>
    </row>
    <row r="6191" spans="2:13" x14ac:dyDescent="0.25">
      <c r="B6191" s="31" t="s">
        <v>26303</v>
      </c>
      <c r="C6191" s="20"/>
      <c r="D6191" s="25" t="s">
        <v>26232</v>
      </c>
      <c r="E6191" s="20" t="s">
        <v>26300</v>
      </c>
      <c r="F6191" s="9" t="str">
        <f t="shared" si="89"/>
        <v>structure with developmental contribution from neural crest</v>
      </c>
      <c r="G6191" s="9" t="s">
        <v>5090</v>
      </c>
      <c r="H6191" s="9" t="s">
        <v>18216</v>
      </c>
      <c r="I6191" s="9" t="s">
        <v>11472</v>
      </c>
      <c r="J6191" s="9" t="s">
        <v>11473</v>
      </c>
      <c r="K6191" s="5" t="s">
        <v>15173</v>
      </c>
      <c r="L6191" s="13">
        <v>17573</v>
      </c>
      <c r="M6191" t="str">
        <f>VLOOKUP(L6191,[1]DevMouse!$B$2:$C$2693,2,FALSE)</f>
        <v>r10BIm</v>
      </c>
    </row>
    <row r="6192" spans="2:13" x14ac:dyDescent="0.25">
      <c r="B6192" s="36"/>
      <c r="C6192" s="20"/>
      <c r="D6192" s="25" t="s">
        <v>26232</v>
      </c>
      <c r="E6192" s="20" t="s">
        <v>26300</v>
      </c>
      <c r="F6192" s="9" t="str">
        <f t="shared" si="89"/>
        <v>structure with developmental contribution from neural crest</v>
      </c>
      <c r="G6192" s="9" t="s">
        <v>5090</v>
      </c>
      <c r="H6192" s="9" t="s">
        <v>18217</v>
      </c>
      <c r="I6192" s="9" t="s">
        <v>11474</v>
      </c>
      <c r="J6192" s="9" t="s">
        <v>11475</v>
      </c>
      <c r="K6192" s="5" t="s">
        <v>15173</v>
      </c>
      <c r="L6192" s="13">
        <v>17574</v>
      </c>
      <c r="M6192" t="str">
        <f>VLOOKUP(L6192,[1]DevMouse!$B$2:$C$2693,2,FALSE)</f>
        <v>r10BIp</v>
      </c>
    </row>
    <row r="6193" spans="2:13" x14ac:dyDescent="0.25">
      <c r="B6193" s="31" t="s">
        <v>26303</v>
      </c>
      <c r="C6193" s="25" t="s">
        <v>3262</v>
      </c>
      <c r="D6193" s="25" t="s">
        <v>26232</v>
      </c>
      <c r="E6193" s="25" t="s">
        <v>26308</v>
      </c>
      <c r="F6193" s="9" t="str">
        <f t="shared" si="89"/>
        <v>structure with developmental contribution from neural crest</v>
      </c>
      <c r="G6193" s="9" t="s">
        <v>5090</v>
      </c>
      <c r="H6193" s="9" t="s">
        <v>18218</v>
      </c>
      <c r="I6193" s="9" t="s">
        <v>11476</v>
      </c>
      <c r="J6193" s="9" t="s">
        <v>11477</v>
      </c>
      <c r="K6193" s="5" t="s">
        <v>15173</v>
      </c>
      <c r="L6193" s="13">
        <v>17575</v>
      </c>
      <c r="M6193" t="str">
        <f>VLOOKUP(L6193,[1]DevMouse!$B$2:$C$2693,2,FALSE)</f>
        <v>r10IS</v>
      </c>
    </row>
    <row r="6194" spans="2:13" x14ac:dyDescent="0.25">
      <c r="B6194" s="36"/>
      <c r="C6194" s="20"/>
      <c r="D6194" s="25" t="s">
        <v>26232</v>
      </c>
      <c r="E6194" s="25"/>
      <c r="F6194" s="9" t="str">
        <f t="shared" si="89"/>
        <v>structure with developmental contribution from neural crest</v>
      </c>
      <c r="G6194" s="9" t="s">
        <v>5090</v>
      </c>
      <c r="H6194" s="9" t="s">
        <v>18219</v>
      </c>
      <c r="I6194" s="9" t="s">
        <v>11478</v>
      </c>
      <c r="J6194" s="9" t="s">
        <v>11479</v>
      </c>
      <c r="K6194" s="5" t="s">
        <v>15173</v>
      </c>
      <c r="L6194" s="13">
        <v>17576</v>
      </c>
      <c r="M6194" t="str">
        <f>VLOOKUP(L6194,[1]DevMouse!$B$2:$C$2693,2,FALSE)</f>
        <v>r10BIIZ</v>
      </c>
    </row>
    <row r="6195" spans="2:13" x14ac:dyDescent="0.25">
      <c r="B6195" s="36"/>
      <c r="C6195" s="20"/>
      <c r="D6195" s="25" t="s">
        <v>26232</v>
      </c>
      <c r="E6195" s="25"/>
      <c r="F6195" s="9" t="str">
        <f t="shared" si="89"/>
        <v>structure with developmental contribution from neural crest</v>
      </c>
      <c r="G6195" s="9" t="s">
        <v>5090</v>
      </c>
      <c r="H6195" s="9" t="s">
        <v>18220</v>
      </c>
      <c r="I6195" s="9" t="s">
        <v>11480</v>
      </c>
      <c r="J6195" s="9" t="s">
        <v>11481</v>
      </c>
      <c r="K6195" s="5" t="s">
        <v>15173</v>
      </c>
      <c r="L6195" s="13">
        <v>17577</v>
      </c>
      <c r="M6195" t="str">
        <f>VLOOKUP(L6195,[1]DevMouse!$B$2:$C$2693,2,FALSE)</f>
        <v>r10BIi</v>
      </c>
    </row>
    <row r="6196" spans="2:13" x14ac:dyDescent="0.25">
      <c r="B6196" s="36"/>
      <c r="C6196" s="20"/>
      <c r="D6196" s="25" t="s">
        <v>26232</v>
      </c>
      <c r="E6196" s="25"/>
      <c r="F6196" s="9" t="str">
        <f t="shared" si="89"/>
        <v>structure with developmental contribution from neural crest</v>
      </c>
      <c r="G6196" s="9" t="s">
        <v>5090</v>
      </c>
      <c r="H6196" s="9" t="s">
        <v>18221</v>
      </c>
      <c r="I6196" s="9" t="s">
        <v>11482</v>
      </c>
      <c r="J6196" s="9" t="s">
        <v>11483</v>
      </c>
      <c r="K6196" s="5" t="s">
        <v>15173</v>
      </c>
      <c r="L6196" s="13">
        <v>17578</v>
      </c>
      <c r="M6196" t="str">
        <f>VLOOKUP(L6196,[1]DevMouse!$B$2:$C$2693,2,FALSE)</f>
        <v>r10-11M</v>
      </c>
    </row>
    <row r="6197" spans="2:13" x14ac:dyDescent="0.25">
      <c r="B6197" s="36"/>
      <c r="C6197" s="20"/>
      <c r="D6197" s="25" t="s">
        <v>26232</v>
      </c>
      <c r="E6197" s="25"/>
      <c r="F6197" s="9" t="str">
        <f t="shared" si="89"/>
        <v>structure with developmental contribution from neural crest</v>
      </c>
      <c r="G6197" s="9" t="s">
        <v>5090</v>
      </c>
      <c r="H6197" s="9" t="s">
        <v>18222</v>
      </c>
      <c r="I6197" s="9" t="s">
        <v>11484</v>
      </c>
      <c r="J6197" s="9" t="s">
        <v>11485</v>
      </c>
      <c r="K6197" s="5" t="s">
        <v>15173</v>
      </c>
      <c r="L6197" s="13">
        <v>17579</v>
      </c>
      <c r="M6197" t="str">
        <f>VLOOKUP(L6197,[1]DevMouse!$B$2:$C$2693,2,FALSE)</f>
        <v>r10BIRt</v>
      </c>
    </row>
    <row r="6198" spans="2:13" x14ac:dyDescent="0.25">
      <c r="B6198" s="36"/>
      <c r="C6198" s="20"/>
      <c r="D6198" s="25" t="s">
        <v>26232</v>
      </c>
      <c r="E6198" s="25"/>
      <c r="F6198" s="9" t="str">
        <f t="shared" si="89"/>
        <v>structure with developmental contribution from neural crest</v>
      </c>
      <c r="G6198" s="9" t="s">
        <v>5090</v>
      </c>
      <c r="H6198" s="9" t="s">
        <v>18223</v>
      </c>
      <c r="I6198" s="9" t="s">
        <v>11486</v>
      </c>
      <c r="J6198" s="9" t="s">
        <v>11487</v>
      </c>
      <c r="K6198" s="5" t="s">
        <v>15173</v>
      </c>
      <c r="L6198" s="13">
        <v>17580</v>
      </c>
      <c r="M6198" t="str">
        <f>VLOOKUP(L6198,[1]DevMouse!$B$2:$C$2693,2,FALSE)</f>
        <v>r10BIs</v>
      </c>
    </row>
    <row r="6199" spans="2:13" x14ac:dyDescent="0.25">
      <c r="B6199" s="36"/>
      <c r="C6199" s="20"/>
      <c r="D6199" s="25" t="s">
        <v>26232</v>
      </c>
      <c r="E6199" s="25"/>
      <c r="F6199" s="9" t="str">
        <f t="shared" ref="F6199:F6262" si="90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6199" s="9" t="s">
        <v>5090</v>
      </c>
      <c r="H6199" s="9" t="s">
        <v>18224</v>
      </c>
      <c r="I6199" s="9" t="s">
        <v>11488</v>
      </c>
      <c r="J6199" s="9" t="s">
        <v>11489</v>
      </c>
      <c r="K6199" s="5" t="s">
        <v>15173</v>
      </c>
      <c r="L6199" s="13">
        <v>17581</v>
      </c>
      <c r="M6199" t="str">
        <f>VLOOKUP(L6199,[1]DevMouse!$B$2:$C$2693,2,FALSE)</f>
        <v>r10BM</v>
      </c>
    </row>
    <row r="6200" spans="2:13" x14ac:dyDescent="0.25">
      <c r="B6200" s="36"/>
      <c r="C6200" s="20"/>
      <c r="D6200" s="25" t="s">
        <v>26232</v>
      </c>
      <c r="E6200" s="25"/>
      <c r="F6200" s="9" t="str">
        <f t="shared" si="90"/>
        <v>structure with developmental contribution from neural crest</v>
      </c>
      <c r="G6200" s="9" t="s">
        <v>5090</v>
      </c>
      <c r="H6200" s="9" t="s">
        <v>18225</v>
      </c>
      <c r="I6200" s="9" t="s">
        <v>11490</v>
      </c>
      <c r="J6200" s="9" t="s">
        <v>11491</v>
      </c>
      <c r="K6200" s="5" t="s">
        <v>15173</v>
      </c>
      <c r="L6200" s="13">
        <v>17582</v>
      </c>
      <c r="M6200" t="str">
        <f>VLOOKUP(L6200,[1]DevMouse!$B$2:$C$2693,2,FALSE)</f>
        <v>r10BMv</v>
      </c>
    </row>
    <row r="6201" spans="2:13" x14ac:dyDescent="0.25">
      <c r="B6201" s="31" t="s">
        <v>26303</v>
      </c>
      <c r="C6201" s="20"/>
      <c r="D6201" s="25" t="s">
        <v>26232</v>
      </c>
      <c r="E6201" s="20" t="s">
        <v>26300</v>
      </c>
      <c r="F6201" s="9" t="str">
        <f t="shared" si="90"/>
        <v>structure with developmental contribution from neural crest</v>
      </c>
      <c r="G6201" s="9" t="s">
        <v>5090</v>
      </c>
      <c r="H6201" s="9" t="s">
        <v>18226</v>
      </c>
      <c r="I6201" s="9" t="s">
        <v>11492</v>
      </c>
      <c r="J6201" s="9" t="s">
        <v>11493</v>
      </c>
      <c r="K6201" s="5" t="s">
        <v>15173</v>
      </c>
      <c r="L6201" s="13">
        <v>17583</v>
      </c>
      <c r="M6201" t="str">
        <f>VLOOKUP(L6201,[1]DevMouse!$B$2:$C$2693,2,FALSE)</f>
        <v>r10BMm</v>
      </c>
    </row>
    <row r="6202" spans="2:13" x14ac:dyDescent="0.25">
      <c r="B6202" s="36"/>
      <c r="C6202" s="20"/>
      <c r="D6202" s="25" t="s">
        <v>26232</v>
      </c>
      <c r="E6202" s="20" t="s">
        <v>26300</v>
      </c>
      <c r="F6202" s="9" t="str">
        <f t="shared" si="90"/>
        <v>structure with developmental contribution from neural crest</v>
      </c>
      <c r="G6202" s="9" t="s">
        <v>5090</v>
      </c>
      <c r="H6202" s="9" t="s">
        <v>18227</v>
      </c>
      <c r="I6202" s="9" t="s">
        <v>11494</v>
      </c>
      <c r="J6202" s="9" t="s">
        <v>11495</v>
      </c>
      <c r="K6202" s="5" t="s">
        <v>15173</v>
      </c>
      <c r="L6202" s="13">
        <v>17584</v>
      </c>
      <c r="M6202" t="str">
        <f>VLOOKUP(L6202,[1]DevMouse!$B$2:$C$2693,2,FALSE)</f>
        <v>r10BMp</v>
      </c>
    </row>
    <row r="6203" spans="2:13" x14ac:dyDescent="0.25">
      <c r="B6203" s="31" t="s">
        <v>26303</v>
      </c>
      <c r="C6203" s="25" t="s">
        <v>2327</v>
      </c>
      <c r="D6203" s="25" t="s">
        <v>26185</v>
      </c>
      <c r="E6203" s="25" t="s">
        <v>26308</v>
      </c>
      <c r="F6203" s="9" t="str">
        <f t="shared" si="90"/>
        <v>structure with developmental contribution from neural crest</v>
      </c>
      <c r="G6203" s="9" t="s">
        <v>5090</v>
      </c>
      <c r="H6203" s="9" t="s">
        <v>18228</v>
      </c>
      <c r="I6203" s="9" t="s">
        <v>11496</v>
      </c>
      <c r="J6203" s="9" t="s">
        <v>11497</v>
      </c>
      <c r="K6203" s="5" t="s">
        <v>15173</v>
      </c>
      <c r="L6203" s="13">
        <v>17585</v>
      </c>
      <c r="M6203" t="str">
        <f>VLOOKUP(L6203,[1]DevMouse!$B$2:$C$2693,2,FALSE)</f>
        <v>r10-12M</v>
      </c>
    </row>
    <row r="6204" spans="2:13" x14ac:dyDescent="0.25">
      <c r="B6204" s="31" t="s">
        <v>26303</v>
      </c>
      <c r="C6204" s="25" t="s">
        <v>26233</v>
      </c>
      <c r="D6204" s="25" t="s">
        <v>26232</v>
      </c>
      <c r="E6204" s="25" t="s">
        <v>26308</v>
      </c>
      <c r="F6204" s="9" t="str">
        <f t="shared" si="90"/>
        <v>structure with developmental contribution from neural crest</v>
      </c>
      <c r="G6204" s="9" t="s">
        <v>5090</v>
      </c>
      <c r="H6204" s="9" t="s">
        <v>18229</v>
      </c>
      <c r="I6204" s="9" t="s">
        <v>11498</v>
      </c>
      <c r="J6204" s="9" t="s">
        <v>11499</v>
      </c>
      <c r="K6204" s="5" t="s">
        <v>15173</v>
      </c>
      <c r="L6204" s="13">
        <v>17586</v>
      </c>
      <c r="M6204" t="str">
        <f>VLOOKUP(L6204,[1]DevMouse!$B$2:$C$2693,2,FALSE)</f>
        <v>r10Ro</v>
      </c>
    </row>
    <row r="6205" spans="2:13" x14ac:dyDescent="0.25">
      <c r="B6205" s="36"/>
      <c r="C6205" s="20"/>
      <c r="D6205" s="25" t="s">
        <v>26232</v>
      </c>
      <c r="E6205" s="25"/>
      <c r="F6205" s="9" t="str">
        <f t="shared" si="90"/>
        <v>structure with developmental contribution from neural crest</v>
      </c>
      <c r="G6205" s="9" t="s">
        <v>5090</v>
      </c>
      <c r="H6205" s="9" t="s">
        <v>18230</v>
      </c>
      <c r="I6205" s="9" t="s">
        <v>11500</v>
      </c>
      <c r="J6205" s="9" t="s">
        <v>11501</v>
      </c>
      <c r="K6205" s="5" t="s">
        <v>15173</v>
      </c>
      <c r="L6205" s="13">
        <v>17587</v>
      </c>
      <c r="M6205" t="str">
        <f>VLOOKUP(L6205,[1]DevMouse!$B$2:$C$2693,2,FALSE)</f>
        <v>r10BMi</v>
      </c>
    </row>
    <row r="6206" spans="2:13" x14ac:dyDescent="0.25">
      <c r="B6206" s="31" t="s">
        <v>26303</v>
      </c>
      <c r="C6206" s="25" t="s">
        <v>3363</v>
      </c>
      <c r="D6206" s="25" t="s">
        <v>26232</v>
      </c>
      <c r="E6206" s="25" t="s">
        <v>26308</v>
      </c>
      <c r="F6206" s="9" t="str">
        <f t="shared" si="90"/>
        <v>structure with developmental contribution from neural crest</v>
      </c>
      <c r="G6206" s="9" t="s">
        <v>5090</v>
      </c>
      <c r="H6206" s="9" t="s">
        <v>18231</v>
      </c>
      <c r="I6206" s="9" t="s">
        <v>11502</v>
      </c>
      <c r="J6206" s="9" t="s">
        <v>11503</v>
      </c>
      <c r="K6206" s="5" t="s">
        <v>15173</v>
      </c>
      <c r="L6206" s="13">
        <v>17588</v>
      </c>
      <c r="M6206" t="str">
        <f>VLOOKUP(L6206,[1]DevMouse!$B$2:$C$2693,2,FALSE)</f>
        <v>r10-RO</v>
      </c>
    </row>
    <row r="6207" spans="2:13" x14ac:dyDescent="0.25">
      <c r="B6207" s="36"/>
      <c r="C6207" s="20"/>
      <c r="D6207" s="25" t="s">
        <v>26232</v>
      </c>
      <c r="E6207" s="25"/>
      <c r="F6207" s="9" t="str">
        <f t="shared" si="90"/>
        <v>structure with developmental contribution from neural crest</v>
      </c>
      <c r="G6207" s="9" t="s">
        <v>5090</v>
      </c>
      <c r="H6207" s="9" t="s">
        <v>18232</v>
      </c>
      <c r="I6207" s="9" t="s">
        <v>11504</v>
      </c>
      <c r="J6207" s="9" t="s">
        <v>11505</v>
      </c>
      <c r="K6207" s="5" t="s">
        <v>15173</v>
      </c>
      <c r="L6207" s="13">
        <v>17589</v>
      </c>
      <c r="M6207" t="str">
        <f>VLOOKUP(L6207,[1]DevMouse!$B$2:$C$2693,2,FALSE)</f>
        <v>r10BMRt</v>
      </c>
    </row>
    <row r="6208" spans="2:13" x14ac:dyDescent="0.25">
      <c r="B6208" s="31" t="s">
        <v>26303</v>
      </c>
      <c r="C6208" s="25" t="s">
        <v>25947</v>
      </c>
      <c r="D6208" s="25" t="s">
        <v>26185</v>
      </c>
      <c r="E6208" s="25" t="s">
        <v>26308</v>
      </c>
      <c r="F6208" s="9" t="str">
        <f t="shared" si="90"/>
        <v>structure with developmental contribution from neural crest</v>
      </c>
      <c r="G6208" s="9" t="s">
        <v>5090</v>
      </c>
      <c r="H6208" s="9" t="s">
        <v>18233</v>
      </c>
      <c r="I6208" s="9" t="s">
        <v>11506</v>
      </c>
      <c r="J6208" s="9" t="s">
        <v>11507</v>
      </c>
      <c r="K6208" s="5" t="s">
        <v>15173</v>
      </c>
      <c r="L6208" s="13">
        <v>17590</v>
      </c>
      <c r="M6208" t="str">
        <f>VLOOKUP(L6208,[1]DevMouse!$B$2:$C$2693,2,FALSE)</f>
        <v>r10Gi</v>
      </c>
    </row>
    <row r="6209" spans="2:13" x14ac:dyDescent="0.25">
      <c r="B6209" s="31" t="s">
        <v>26303</v>
      </c>
      <c r="C6209" s="25" t="s">
        <v>25947</v>
      </c>
      <c r="D6209" s="25" t="s">
        <v>26232</v>
      </c>
      <c r="E6209" s="25" t="s">
        <v>26308</v>
      </c>
      <c r="F6209" s="9" t="str">
        <f t="shared" si="90"/>
        <v>structure with developmental contribution from neural crest</v>
      </c>
      <c r="G6209" s="9" t="s">
        <v>5090</v>
      </c>
      <c r="H6209" s="9" t="s">
        <v>18234</v>
      </c>
      <c r="I6209" s="9" t="s">
        <v>11508</v>
      </c>
      <c r="J6209" s="9" t="s">
        <v>11509</v>
      </c>
      <c r="K6209" s="5" t="s">
        <v>15173</v>
      </c>
      <c r="L6209" s="13">
        <v>17591</v>
      </c>
      <c r="M6209" t="str">
        <f>VLOOKUP(L6209,[1]DevMouse!$B$2:$C$2693,2,FALSE)</f>
        <v>r10GiV</v>
      </c>
    </row>
    <row r="6210" spans="2:13" x14ac:dyDescent="0.25">
      <c r="B6210" s="36"/>
      <c r="C6210" s="20"/>
      <c r="D6210" s="25" t="s">
        <v>26232</v>
      </c>
      <c r="E6210" s="25"/>
      <c r="F6210" s="9" t="str">
        <f t="shared" si="90"/>
        <v>structure with developmental contribution from neural crest</v>
      </c>
      <c r="G6210" s="9" t="s">
        <v>5090</v>
      </c>
      <c r="H6210" s="9" t="s">
        <v>18235</v>
      </c>
      <c r="I6210" s="9" t="s">
        <v>11510</v>
      </c>
      <c r="J6210" s="9" t="s">
        <v>11511</v>
      </c>
      <c r="K6210" s="5" t="s">
        <v>15173</v>
      </c>
      <c r="L6210" s="13">
        <v>17592</v>
      </c>
      <c r="M6210" t="str">
        <f>VLOOKUP(L6210,[1]DevMouse!$B$2:$C$2693,2,FALSE)</f>
        <v>r10BMs</v>
      </c>
    </row>
    <row r="6211" spans="2:13" x14ac:dyDescent="0.25">
      <c r="B6211" s="31" t="s">
        <v>26303</v>
      </c>
      <c r="C6211" s="25" t="s">
        <v>3369</v>
      </c>
      <c r="D6211" s="25" t="s">
        <v>26232</v>
      </c>
      <c r="E6211" s="25" t="s">
        <v>26308</v>
      </c>
      <c r="F6211" s="9" t="str">
        <f t="shared" si="90"/>
        <v>structure with developmental contribution from neural crest</v>
      </c>
      <c r="G6211" s="9" t="s">
        <v>5090</v>
      </c>
      <c r="H6211" s="9" t="s">
        <v>18236</v>
      </c>
      <c r="I6211" s="9" t="s">
        <v>11512</v>
      </c>
      <c r="J6211" s="9" t="s">
        <v>11513</v>
      </c>
      <c r="K6211" s="5" t="s">
        <v>15173</v>
      </c>
      <c r="L6211" s="13">
        <v>17593</v>
      </c>
      <c r="M6211" t="str">
        <f>VLOOKUP(L6211,[1]DevMouse!$B$2:$C$2693,2,FALSE)</f>
        <v>r10-RP</v>
      </c>
    </row>
    <row r="6212" spans="2:13" x14ac:dyDescent="0.25">
      <c r="B6212" s="31" t="s">
        <v>26303</v>
      </c>
      <c r="C6212" s="25" t="s">
        <v>2387</v>
      </c>
      <c r="D6212" s="25" t="s">
        <v>26185</v>
      </c>
      <c r="E6212" s="25" t="s">
        <v>26308</v>
      </c>
      <c r="F6212" s="9" t="str">
        <f t="shared" si="90"/>
        <v>structure with developmental contribution from neural crest</v>
      </c>
      <c r="G6212" s="9" t="s">
        <v>5090</v>
      </c>
      <c r="H6212" s="9" t="s">
        <v>18237</v>
      </c>
      <c r="I6212" s="9" t="s">
        <v>11514</v>
      </c>
      <c r="J6212" s="9" t="s">
        <v>11515</v>
      </c>
      <c r="K6212" s="5" t="s">
        <v>15173</v>
      </c>
      <c r="L6212" s="13">
        <v>17594</v>
      </c>
      <c r="M6212" t="str">
        <f>VLOOKUP(L6212,[1]DevMouse!$B$2:$C$2693,2,FALSE)</f>
        <v>r10-IO</v>
      </c>
    </row>
    <row r="6213" spans="2:13" x14ac:dyDescent="0.25">
      <c r="B6213" s="31" t="s">
        <v>26303</v>
      </c>
      <c r="C6213" s="20"/>
      <c r="D6213" s="25" t="s">
        <v>26232</v>
      </c>
      <c r="E6213" s="25" t="s">
        <v>26300</v>
      </c>
      <c r="F6213" s="9" t="str">
        <f t="shared" si="90"/>
        <v>structure with developmental contribution from neural crest</v>
      </c>
      <c r="G6213" s="9" t="s">
        <v>5090</v>
      </c>
      <c r="H6213" s="9" t="s">
        <v>18238</v>
      </c>
      <c r="I6213" s="9" t="s">
        <v>11516</v>
      </c>
      <c r="J6213" s="9" t="s">
        <v>11517</v>
      </c>
      <c r="K6213" s="5" t="s">
        <v>15173</v>
      </c>
      <c r="L6213" s="13">
        <v>17595</v>
      </c>
      <c r="M6213" t="str">
        <f>VLOOKUP(L6213,[1]DevMouse!$B$2:$C$2693,2,FALSE)</f>
        <v>r10F</v>
      </c>
    </row>
    <row r="6214" spans="2:13" x14ac:dyDescent="0.25">
      <c r="B6214" s="36"/>
      <c r="C6214" s="20"/>
      <c r="D6214" s="25" t="s">
        <v>26232</v>
      </c>
      <c r="E6214" s="25"/>
      <c r="F6214" s="9" t="str">
        <f t="shared" si="90"/>
        <v>structure with developmental contribution from neural crest</v>
      </c>
      <c r="G6214" s="9" t="s">
        <v>5090</v>
      </c>
      <c r="H6214" s="9" t="s">
        <v>18245</v>
      </c>
      <c r="I6214" s="9" t="s">
        <v>11518</v>
      </c>
      <c r="J6214" s="9" t="s">
        <v>11519</v>
      </c>
      <c r="K6214" s="5" t="s">
        <v>15173</v>
      </c>
      <c r="L6214" s="13">
        <v>17597</v>
      </c>
      <c r="M6214" t="str">
        <f>VLOOKUP(L6214,[1]DevMouse!$B$2:$C$2693,2,FALSE)</f>
        <v>r11R</v>
      </c>
    </row>
    <row r="6215" spans="2:13" x14ac:dyDescent="0.25">
      <c r="B6215" s="36"/>
      <c r="C6215" s="20"/>
      <c r="D6215" s="25" t="s">
        <v>26232</v>
      </c>
      <c r="E6215" s="25"/>
      <c r="F6215" s="9" t="str">
        <f t="shared" si="90"/>
        <v>structure with developmental contribution from neural crest</v>
      </c>
      <c r="G6215" s="9" t="s">
        <v>5090</v>
      </c>
      <c r="H6215" s="9" t="s">
        <v>18246</v>
      </c>
      <c r="I6215" s="9" t="s">
        <v>11520</v>
      </c>
      <c r="J6215" s="9" t="s">
        <v>11521</v>
      </c>
      <c r="K6215" s="5" t="s">
        <v>15173</v>
      </c>
      <c r="L6215" s="13">
        <v>17598</v>
      </c>
      <c r="M6215" t="str">
        <f>VLOOKUP(L6215,[1]DevMouse!$B$2:$C$2693,2,FALSE)</f>
        <v>r11A</v>
      </c>
    </row>
    <row r="6216" spans="2:13" x14ac:dyDescent="0.25">
      <c r="B6216" s="36"/>
      <c r="C6216" s="20"/>
      <c r="D6216" s="25" t="s">
        <v>26232</v>
      </c>
      <c r="E6216" s="25"/>
      <c r="F6216" s="9" t="str">
        <f t="shared" si="90"/>
        <v>structure with developmental contribution from neural crest</v>
      </c>
      <c r="G6216" s="9" t="s">
        <v>5090</v>
      </c>
      <c r="H6216" s="9" t="s">
        <v>18249</v>
      </c>
      <c r="I6216" s="9" t="s">
        <v>11522</v>
      </c>
      <c r="J6216" s="9" t="s">
        <v>11523</v>
      </c>
      <c r="K6216" s="5" t="s">
        <v>15173</v>
      </c>
      <c r="L6216" s="13">
        <v>17599</v>
      </c>
      <c r="M6216" t="str">
        <f>VLOOKUP(L6216,[1]DevMouse!$B$2:$C$2693,2,FALSE)</f>
        <v>r11Ve</v>
      </c>
    </row>
    <row r="6217" spans="2:13" x14ac:dyDescent="0.25">
      <c r="B6217" s="36"/>
      <c r="C6217" s="20"/>
      <c r="D6217" s="25" t="s">
        <v>26232</v>
      </c>
      <c r="E6217" s="25"/>
      <c r="F6217" s="9" t="str">
        <f t="shared" si="90"/>
        <v>structure with developmental contribution from neural crest</v>
      </c>
      <c r="G6217" s="9" t="s">
        <v>5090</v>
      </c>
      <c r="H6217" s="9" t="s">
        <v>18250</v>
      </c>
      <c r="I6217" s="9" t="s">
        <v>11524</v>
      </c>
      <c r="J6217" s="9" t="s">
        <v>11525</v>
      </c>
      <c r="K6217" s="5" t="s">
        <v>15173</v>
      </c>
      <c r="L6217" s="13">
        <v>17600</v>
      </c>
      <c r="M6217" t="str">
        <f>VLOOKUP(L6217,[1]DevMouse!$B$2:$C$2693,2,FALSE)</f>
        <v>r11Vev</v>
      </c>
    </row>
    <row r="6218" spans="2:13" x14ac:dyDescent="0.25">
      <c r="B6218" s="31" t="s">
        <v>26303</v>
      </c>
      <c r="C6218" s="20"/>
      <c r="D6218" s="25" t="s">
        <v>26232</v>
      </c>
      <c r="E6218" s="20" t="s">
        <v>26300</v>
      </c>
      <c r="F6218" s="9" t="str">
        <f t="shared" si="90"/>
        <v>structure with developmental contribution from neural crest</v>
      </c>
      <c r="G6218" s="9" t="s">
        <v>5090</v>
      </c>
      <c r="H6218" s="9" t="s">
        <v>18251</v>
      </c>
      <c r="I6218" s="9" t="s">
        <v>11526</v>
      </c>
      <c r="J6218" s="9" t="s">
        <v>11527</v>
      </c>
      <c r="K6218" s="5" t="s">
        <v>15173</v>
      </c>
      <c r="L6218" s="13">
        <v>17601</v>
      </c>
      <c r="M6218" t="str">
        <f>VLOOKUP(L6218,[1]DevMouse!$B$2:$C$2693,2,FALSE)</f>
        <v>r11Vem</v>
      </c>
    </row>
    <row r="6219" spans="2:13" x14ac:dyDescent="0.25">
      <c r="B6219" s="36"/>
      <c r="C6219" s="20"/>
      <c r="D6219" s="25" t="s">
        <v>26232</v>
      </c>
      <c r="E6219" s="25"/>
      <c r="F6219" s="9" t="str">
        <f t="shared" si="90"/>
        <v>structure with developmental contribution from neural crest</v>
      </c>
      <c r="G6219" s="9" t="s">
        <v>5090</v>
      </c>
      <c r="H6219" s="9" t="s">
        <v>18255</v>
      </c>
      <c r="I6219" s="9" t="s">
        <v>11528</v>
      </c>
      <c r="J6219" s="9" t="s">
        <v>11529</v>
      </c>
      <c r="K6219" s="5" t="s">
        <v>15173</v>
      </c>
      <c r="L6219" s="13">
        <v>17602</v>
      </c>
      <c r="M6219" t="str">
        <f>VLOOKUP(L6219,[1]DevMouse!$B$2:$C$2693,2,FALSE)</f>
        <v>r11ECu</v>
      </c>
    </row>
    <row r="6220" spans="2:13" x14ac:dyDescent="0.25">
      <c r="B6220" s="36"/>
      <c r="C6220" s="20"/>
      <c r="D6220" s="25" t="s">
        <v>26232</v>
      </c>
      <c r="E6220" s="25" t="s">
        <v>26308</v>
      </c>
      <c r="F6220" s="9" t="str">
        <f t="shared" si="90"/>
        <v>structure with developmental contribution from neural crest</v>
      </c>
      <c r="G6220" s="9" t="s">
        <v>5090</v>
      </c>
      <c r="H6220" s="9" t="s">
        <v>18256</v>
      </c>
      <c r="I6220" s="9" t="s">
        <v>11530</v>
      </c>
      <c r="J6220" s="9" t="s">
        <v>11531</v>
      </c>
      <c r="K6220" s="5" t="s">
        <v>15173</v>
      </c>
      <c r="L6220" s="13">
        <v>17603</v>
      </c>
      <c r="M6220" t="str">
        <f>VLOOKUP(L6220,[1]DevMouse!$B$2:$C$2693,2,FALSE)</f>
        <v>r11Tr</v>
      </c>
    </row>
    <row r="6221" spans="2:13" x14ac:dyDescent="0.25">
      <c r="B6221" s="36"/>
      <c r="C6221" s="20"/>
      <c r="D6221" s="25" t="s">
        <v>26232</v>
      </c>
      <c r="E6221" s="25"/>
      <c r="F6221" s="9" t="str">
        <f t="shared" si="90"/>
        <v>structure with developmental contribution from neural crest</v>
      </c>
      <c r="G6221" s="9" t="s">
        <v>5090</v>
      </c>
      <c r="H6221" s="9" t="s">
        <v>18257</v>
      </c>
      <c r="I6221" s="9" t="s">
        <v>11532</v>
      </c>
      <c r="J6221" s="9" t="s">
        <v>11533</v>
      </c>
      <c r="K6221" s="5" t="s">
        <v>15173</v>
      </c>
      <c r="L6221" s="13">
        <v>17604</v>
      </c>
      <c r="M6221" t="str">
        <f>VLOOKUP(L6221,[1]DevMouse!$B$2:$C$2693,2,FALSE)</f>
        <v>r11Trv</v>
      </c>
    </row>
    <row r="6222" spans="2:13" x14ac:dyDescent="0.25">
      <c r="B6222" s="31" t="s">
        <v>26303</v>
      </c>
      <c r="C6222" s="20"/>
      <c r="D6222" s="25" t="s">
        <v>26232</v>
      </c>
      <c r="E6222" s="20" t="s">
        <v>26300</v>
      </c>
      <c r="F6222" s="9" t="str">
        <f t="shared" si="90"/>
        <v>structure with developmental contribution from neural crest</v>
      </c>
      <c r="G6222" s="9" t="s">
        <v>5090</v>
      </c>
      <c r="H6222" s="9" t="s">
        <v>18258</v>
      </c>
      <c r="I6222" s="9" t="s">
        <v>11534</v>
      </c>
      <c r="J6222" s="9" t="s">
        <v>11535</v>
      </c>
      <c r="K6222" s="5" t="s">
        <v>15173</v>
      </c>
      <c r="L6222" s="13">
        <v>17605</v>
      </c>
      <c r="M6222" t="str">
        <f>VLOOKUP(L6222,[1]DevMouse!$B$2:$C$2693,2,FALSE)</f>
        <v>r11Trm</v>
      </c>
    </row>
    <row r="6223" spans="2:13" x14ac:dyDescent="0.25">
      <c r="B6223" s="31" t="s">
        <v>26303</v>
      </c>
      <c r="C6223" s="25" t="s">
        <v>25822</v>
      </c>
      <c r="D6223" s="25" t="s">
        <v>26185</v>
      </c>
      <c r="E6223" s="25" t="s">
        <v>26308</v>
      </c>
      <c r="F6223" s="9" t="str">
        <f t="shared" si="90"/>
        <v>structure with developmental contribution from neural crest</v>
      </c>
      <c r="G6223" s="9" t="s">
        <v>5090</v>
      </c>
      <c r="H6223" s="9" t="s">
        <v>18265</v>
      </c>
      <c r="I6223" s="9" t="s">
        <v>11536</v>
      </c>
      <c r="J6223" s="9" t="s">
        <v>11537</v>
      </c>
      <c r="K6223" s="5" t="s">
        <v>15173</v>
      </c>
      <c r="L6223" s="13">
        <v>17606</v>
      </c>
      <c r="M6223" t="str">
        <f>VLOOKUP(L6223,[1]DevMouse!$B$2:$C$2693,2,FALSE)</f>
        <v>r11Sp5C</v>
      </c>
    </row>
    <row r="6224" spans="2:13" x14ac:dyDescent="0.25">
      <c r="B6224" s="36"/>
      <c r="C6224" s="20"/>
      <c r="D6224" s="25" t="s">
        <v>26232</v>
      </c>
      <c r="E6224" s="25" t="s">
        <v>26308</v>
      </c>
      <c r="F6224" s="9" t="str">
        <f t="shared" si="90"/>
        <v>structure with developmental contribution from neural crest</v>
      </c>
      <c r="G6224" s="9" t="s">
        <v>5090</v>
      </c>
      <c r="H6224" s="9" t="s">
        <v>18262</v>
      </c>
      <c r="I6224" s="9" t="s">
        <v>11538</v>
      </c>
      <c r="J6224" s="9" t="s">
        <v>11539</v>
      </c>
      <c r="K6224" s="5" t="s">
        <v>15173</v>
      </c>
      <c r="L6224" s="13">
        <v>17607</v>
      </c>
      <c r="M6224" t="str">
        <f>VLOOKUP(L6224,[1]DevMouse!$B$2:$C$2693,2,FALSE)</f>
        <v>r11-5Tr</v>
      </c>
    </row>
    <row r="6225" spans="2:13" x14ac:dyDescent="0.25">
      <c r="B6225" s="36"/>
      <c r="C6225" s="20"/>
      <c r="D6225" s="25" t="s">
        <v>26232</v>
      </c>
      <c r="E6225" s="25"/>
      <c r="F6225" s="9" t="str">
        <f t="shared" si="90"/>
        <v>structure with developmental contribution from neural crest</v>
      </c>
      <c r="G6225" s="9" t="s">
        <v>5090</v>
      </c>
      <c r="H6225" s="9" t="s">
        <v>18260</v>
      </c>
      <c r="I6225" s="9" t="s">
        <v>11540</v>
      </c>
      <c r="J6225" s="9" t="s">
        <v>11541</v>
      </c>
      <c r="K6225" s="5" t="s">
        <v>15173</v>
      </c>
      <c r="L6225" s="13">
        <v>17608</v>
      </c>
      <c r="M6225" t="str">
        <f>VLOOKUP(L6225,[1]DevMouse!$B$2:$C$2693,2,FALSE)</f>
        <v>r11Sol</v>
      </c>
    </row>
    <row r="6226" spans="2:13" x14ac:dyDescent="0.25">
      <c r="B6226" s="31" t="s">
        <v>26303</v>
      </c>
      <c r="C6226" s="25" t="s">
        <v>2098</v>
      </c>
      <c r="D6226" s="25" t="s">
        <v>26232</v>
      </c>
      <c r="E6226" s="25" t="s">
        <v>26308</v>
      </c>
      <c r="F6226" s="9" t="str">
        <f t="shared" si="90"/>
        <v>structure with developmental contribution from neural crest</v>
      </c>
      <c r="G6226" s="9" t="s">
        <v>5090</v>
      </c>
      <c r="H6226" s="9" t="s">
        <v>18266</v>
      </c>
      <c r="I6226" s="9" t="s">
        <v>11542</v>
      </c>
      <c r="J6226" s="9" t="s">
        <v>11543</v>
      </c>
      <c r="K6226" s="5" t="s">
        <v>15173</v>
      </c>
      <c r="L6226" s="13">
        <v>17609</v>
      </c>
      <c r="M6226" t="str">
        <f>VLOOKUP(L6226,[1]DevMouse!$B$2:$C$2693,2,FALSE)</f>
        <v>r11Gr</v>
      </c>
    </row>
    <row r="6227" spans="2:13" x14ac:dyDescent="0.25">
      <c r="B6227" s="36"/>
      <c r="C6227" s="20"/>
      <c r="D6227" s="25" t="s">
        <v>26232</v>
      </c>
      <c r="E6227" s="25"/>
      <c r="F6227" s="9" t="str">
        <f t="shared" si="90"/>
        <v>structure with developmental contribution from neural crest</v>
      </c>
      <c r="G6227" s="9" t="s">
        <v>5090</v>
      </c>
      <c r="H6227" s="9" t="s">
        <v>18267</v>
      </c>
      <c r="I6227" s="9" t="s">
        <v>11544</v>
      </c>
      <c r="J6227" s="9" t="s">
        <v>11545</v>
      </c>
      <c r="K6227" s="5" t="s">
        <v>15173</v>
      </c>
      <c r="L6227" s="13">
        <v>17610</v>
      </c>
      <c r="M6227" t="str">
        <f>VLOOKUP(L6227,[1]DevMouse!$B$2:$C$2693,2,FALSE)</f>
        <v>r11Cu</v>
      </c>
    </row>
    <row r="6228" spans="2:13" x14ac:dyDescent="0.25">
      <c r="B6228" s="36"/>
      <c r="C6228" s="20"/>
      <c r="D6228" s="25" t="s">
        <v>26232</v>
      </c>
      <c r="E6228" s="25"/>
      <c r="F6228" s="9" t="str">
        <f t="shared" si="90"/>
        <v>structure with developmental contribution from neural crest</v>
      </c>
      <c r="G6228" s="9" t="s">
        <v>5090</v>
      </c>
      <c r="H6228" s="9" t="s">
        <v>18263</v>
      </c>
      <c r="I6228" s="9" t="s">
        <v>11546</v>
      </c>
      <c r="J6228" s="9" t="s">
        <v>11547</v>
      </c>
      <c r="K6228" s="5" t="s">
        <v>15173</v>
      </c>
      <c r="L6228" s="13">
        <v>17611</v>
      </c>
      <c r="M6228" t="str">
        <f>VLOOKUP(L6228,[1]DevMouse!$B$2:$C$2693,2,FALSE)</f>
        <v>r11DPCRt</v>
      </c>
    </row>
    <row r="6229" spans="2:13" x14ac:dyDescent="0.25">
      <c r="B6229" s="36"/>
      <c r="C6229" s="20"/>
      <c r="D6229" s="25" t="s">
        <v>26232</v>
      </c>
      <c r="E6229" s="25"/>
      <c r="F6229" s="9" t="str">
        <f t="shared" si="90"/>
        <v>structure with developmental contribution from neural crest</v>
      </c>
      <c r="G6229" s="9" t="s">
        <v>5090</v>
      </c>
      <c r="H6229" s="9" t="s">
        <v>18268</v>
      </c>
      <c r="I6229" s="9" t="s">
        <v>11548</v>
      </c>
      <c r="J6229" s="9" t="s">
        <v>11549</v>
      </c>
      <c r="K6229" s="5" t="s">
        <v>15173</v>
      </c>
      <c r="L6229" s="13">
        <v>17612</v>
      </c>
      <c r="M6229" t="str">
        <f>VLOOKUP(L6229,[1]DevMouse!$B$2:$C$2693,2,FALSE)</f>
        <v>r11Lim</v>
      </c>
    </row>
    <row r="6230" spans="2:13" x14ac:dyDescent="0.25">
      <c r="B6230" s="36"/>
      <c r="C6230" s="25"/>
      <c r="D6230" s="25" t="s">
        <v>26232</v>
      </c>
      <c r="E6230" s="20"/>
      <c r="F6230" s="9" t="str">
        <f t="shared" si="90"/>
        <v>structure with developmental contribution from neural crest</v>
      </c>
      <c r="G6230" s="9" t="s">
        <v>5090</v>
      </c>
      <c r="H6230" s="9" t="s">
        <v>18269</v>
      </c>
      <c r="I6230" s="9" t="s">
        <v>11550</v>
      </c>
      <c r="J6230" s="9" t="s">
        <v>11551</v>
      </c>
      <c r="K6230" s="5" t="s">
        <v>15173</v>
      </c>
      <c r="L6230" s="13">
        <v>17613</v>
      </c>
      <c r="M6230" t="str">
        <f>VLOOKUP(L6230,[1]DevMouse!$B$2:$C$2693,2,FALSE)</f>
        <v>r11Limv</v>
      </c>
    </row>
    <row r="6231" spans="2:13" x14ac:dyDescent="0.25">
      <c r="B6231" s="31" t="s">
        <v>26299</v>
      </c>
      <c r="C6231" s="25" t="s">
        <v>26080</v>
      </c>
      <c r="D6231" s="25" t="s">
        <v>26232</v>
      </c>
      <c r="E6231" s="20" t="s">
        <v>26300</v>
      </c>
      <c r="F6231" s="9" t="str">
        <f t="shared" si="90"/>
        <v>structure with developmental contribution from neural crest</v>
      </c>
      <c r="G6231" s="9" t="s">
        <v>5090</v>
      </c>
      <c r="H6231" s="9" t="s">
        <v>18270</v>
      </c>
      <c r="I6231" s="9" t="s">
        <v>11552</v>
      </c>
      <c r="J6231" s="9" t="s">
        <v>11553</v>
      </c>
      <c r="K6231" s="5" t="s">
        <v>15173</v>
      </c>
      <c r="L6231" s="13">
        <v>17614</v>
      </c>
      <c r="M6231" t="str">
        <f>VLOOKUP(L6231,[1]DevMouse!$B$2:$C$2693,2,FALSE)</f>
        <v>r11Limm</v>
      </c>
    </row>
    <row r="6232" spans="2:13" x14ac:dyDescent="0.25">
      <c r="B6232" s="36"/>
      <c r="C6232" s="20"/>
      <c r="D6232" s="25" t="s">
        <v>26232</v>
      </c>
      <c r="E6232" s="25"/>
      <c r="F6232" s="9" t="str">
        <f t="shared" si="90"/>
        <v>structure with developmental contribution from neural crest</v>
      </c>
      <c r="G6232" s="9" t="s">
        <v>5090</v>
      </c>
      <c r="H6232" s="9" t="s">
        <v>18272</v>
      </c>
      <c r="I6232" s="9" t="s">
        <v>11554</v>
      </c>
      <c r="J6232" s="9" t="s">
        <v>11555</v>
      </c>
      <c r="K6232" s="5" t="s">
        <v>15173</v>
      </c>
      <c r="L6232" s="13">
        <v>17615</v>
      </c>
      <c r="M6232" t="str">
        <f>VLOOKUP(L6232,[1]DevMouse!$B$2:$C$2693,2,FALSE)</f>
        <v>r11LimCG</v>
      </c>
    </row>
    <row r="6233" spans="2:13" x14ac:dyDescent="0.25">
      <c r="B6233" s="36"/>
      <c r="C6233" s="20"/>
      <c r="D6233" s="25" t="s">
        <v>26232</v>
      </c>
      <c r="E6233" s="25"/>
      <c r="F6233" s="9" t="str">
        <f t="shared" si="90"/>
        <v>structure with developmental contribution from neural crest</v>
      </c>
      <c r="G6233" s="9" t="s">
        <v>5090</v>
      </c>
      <c r="H6233" s="9" t="s">
        <v>18275</v>
      </c>
      <c r="I6233" s="9" t="s">
        <v>11556</v>
      </c>
      <c r="J6233" s="9" t="s">
        <v>11557</v>
      </c>
      <c r="K6233" s="5" t="s">
        <v>15173</v>
      </c>
      <c r="L6233" s="13">
        <v>17616</v>
      </c>
      <c r="M6233" t="str">
        <f>VLOOKUP(L6233,[1]DevMouse!$B$2:$C$2693,2,FALSE)</f>
        <v>r11VPCRt</v>
      </c>
    </row>
    <row r="6234" spans="2:13" x14ac:dyDescent="0.25">
      <c r="B6234" s="36"/>
      <c r="C6234" s="20"/>
      <c r="D6234" s="25" t="s">
        <v>26232</v>
      </c>
      <c r="E6234" s="25" t="s">
        <v>26308</v>
      </c>
      <c r="F6234" s="9" t="str">
        <f t="shared" si="90"/>
        <v>structure with developmental contribution from neural crest</v>
      </c>
      <c r="G6234" s="9" t="s">
        <v>5090</v>
      </c>
      <c r="H6234" s="9" t="s">
        <v>18273</v>
      </c>
      <c r="I6234" s="9" t="s">
        <v>11558</v>
      </c>
      <c r="J6234" s="9" t="s">
        <v>11559</v>
      </c>
      <c r="K6234" s="5" t="s">
        <v>15173</v>
      </c>
      <c r="L6234" s="13">
        <v>17617</v>
      </c>
      <c r="M6234" t="str">
        <f>VLOOKUP(L6234,[1]DevMouse!$B$2:$C$2693,2,FALSE)</f>
        <v>r11-10M</v>
      </c>
    </row>
    <row r="6235" spans="2:13" x14ac:dyDescent="0.25">
      <c r="B6235" s="36"/>
      <c r="C6235" s="20"/>
      <c r="D6235" s="25" t="s">
        <v>26232</v>
      </c>
      <c r="E6235" s="25" t="s">
        <v>26308</v>
      </c>
      <c r="F6235" s="9" t="str">
        <f t="shared" si="90"/>
        <v>structure with developmental contribution from neural crest</v>
      </c>
      <c r="G6235" s="9" t="s">
        <v>5090</v>
      </c>
      <c r="H6235" s="9" t="s">
        <v>18276</v>
      </c>
      <c r="I6235" s="9" t="s">
        <v>11560</v>
      </c>
      <c r="J6235" s="9" t="s">
        <v>11561</v>
      </c>
      <c r="K6235" s="5" t="s">
        <v>15173</v>
      </c>
      <c r="L6235" s="13">
        <v>17618</v>
      </c>
      <c r="M6235" t="str">
        <f>VLOOKUP(L6235,[1]DevMouse!$B$2:$C$2693,2,FALSE)</f>
        <v>r11-11M</v>
      </c>
    </row>
    <row r="6236" spans="2:13" x14ac:dyDescent="0.25">
      <c r="B6236" s="36"/>
      <c r="C6236" s="20"/>
      <c r="D6236" s="25" t="s">
        <v>26232</v>
      </c>
      <c r="E6236" s="25"/>
      <c r="F6236" s="9" t="str">
        <f t="shared" si="90"/>
        <v>structure with developmental contribution from neural crest</v>
      </c>
      <c r="G6236" s="9" t="s">
        <v>5090</v>
      </c>
      <c r="H6236" s="9" t="s">
        <v>18278</v>
      </c>
      <c r="I6236" s="9" t="s">
        <v>11562</v>
      </c>
      <c r="J6236" s="9" t="s">
        <v>11563</v>
      </c>
      <c r="K6236" s="5" t="s">
        <v>15173</v>
      </c>
      <c r="L6236" s="13">
        <v>17619</v>
      </c>
      <c r="M6236" t="str">
        <f>VLOOKUP(L6236,[1]DevMouse!$B$2:$C$2693,2,FALSE)</f>
        <v>r11Amb</v>
      </c>
    </row>
    <row r="6237" spans="2:13" x14ac:dyDescent="0.25">
      <c r="B6237" s="36"/>
      <c r="C6237" s="20"/>
      <c r="D6237" s="25" t="s">
        <v>26232</v>
      </c>
      <c r="E6237" s="25"/>
      <c r="F6237" s="9" t="str">
        <f t="shared" si="90"/>
        <v>structure with developmental contribution from neural crest</v>
      </c>
      <c r="G6237" s="9" t="s">
        <v>5090</v>
      </c>
      <c r="H6237" s="9" t="s">
        <v>18279</v>
      </c>
      <c r="I6237" s="9" t="s">
        <v>11564</v>
      </c>
      <c r="J6237" s="9" t="s">
        <v>11565</v>
      </c>
      <c r="K6237" s="5" t="s">
        <v>15173</v>
      </c>
      <c r="L6237" s="13">
        <v>17620</v>
      </c>
      <c r="M6237" t="str">
        <f>VLOOKUP(L6237,[1]DevMouse!$B$2:$C$2693,2,FALSE)</f>
        <v>r11B</v>
      </c>
    </row>
    <row r="6238" spans="2:13" x14ac:dyDescent="0.25">
      <c r="B6238" s="36"/>
      <c r="C6238" s="20"/>
      <c r="D6238" s="25" t="s">
        <v>26232</v>
      </c>
      <c r="E6238" s="25"/>
      <c r="F6238" s="9" t="str">
        <f t="shared" si="90"/>
        <v>structure with developmental contribution from neural crest</v>
      </c>
      <c r="G6238" s="9" t="s">
        <v>5090</v>
      </c>
      <c r="H6238" s="9" t="s">
        <v>18282</v>
      </c>
      <c r="I6238" s="9" t="s">
        <v>11566</v>
      </c>
      <c r="J6238" s="9" t="s">
        <v>11567</v>
      </c>
      <c r="K6238" s="5" t="s">
        <v>15173</v>
      </c>
      <c r="L6238" s="13">
        <v>17621</v>
      </c>
      <c r="M6238" t="str">
        <f>VLOOKUP(L6238,[1]DevMouse!$B$2:$C$2693,2,FALSE)</f>
        <v>r11BL</v>
      </c>
    </row>
    <row r="6239" spans="2:13" x14ac:dyDescent="0.25">
      <c r="B6239" s="36"/>
      <c r="C6239" s="20"/>
      <c r="D6239" s="25" t="s">
        <v>26232</v>
      </c>
      <c r="E6239" s="25"/>
      <c r="F6239" s="9" t="str">
        <f t="shared" si="90"/>
        <v>structure with developmental contribution from neural crest</v>
      </c>
      <c r="G6239" s="9" t="s">
        <v>5090</v>
      </c>
      <c r="H6239" s="9" t="s">
        <v>18283</v>
      </c>
      <c r="I6239" s="9" t="s">
        <v>11568</v>
      </c>
      <c r="J6239" s="9" t="s">
        <v>11569</v>
      </c>
      <c r="K6239" s="5" t="s">
        <v>15173</v>
      </c>
      <c r="L6239" s="13">
        <v>17622</v>
      </c>
      <c r="M6239" t="str">
        <f>VLOOKUP(L6239,[1]DevMouse!$B$2:$C$2693,2,FALSE)</f>
        <v>r11BLv</v>
      </c>
    </row>
    <row r="6240" spans="2:13" x14ac:dyDescent="0.25">
      <c r="B6240" s="31" t="s">
        <v>26303</v>
      </c>
      <c r="C6240" s="20"/>
      <c r="D6240" s="25" t="s">
        <v>26232</v>
      </c>
      <c r="E6240" s="20" t="s">
        <v>26300</v>
      </c>
      <c r="F6240" s="9" t="str">
        <f t="shared" si="90"/>
        <v>structure with developmental contribution from neural crest</v>
      </c>
      <c r="G6240" s="9" t="s">
        <v>5090</v>
      </c>
      <c r="H6240" s="9" t="s">
        <v>18284</v>
      </c>
      <c r="I6240" s="9" t="s">
        <v>11570</v>
      </c>
      <c r="J6240" s="9" t="s">
        <v>11571</v>
      </c>
      <c r="K6240" s="5" t="s">
        <v>15173</v>
      </c>
      <c r="L6240" s="13">
        <v>17623</v>
      </c>
      <c r="M6240" t="str">
        <f>VLOOKUP(L6240,[1]DevMouse!$B$2:$C$2693,2,FALSE)</f>
        <v>r11BLm</v>
      </c>
    </row>
    <row r="6241" spans="2:13" x14ac:dyDescent="0.25">
      <c r="B6241" s="36"/>
      <c r="C6241" s="20"/>
      <c r="D6241" s="25" t="s">
        <v>26232</v>
      </c>
      <c r="E6241" s="20" t="s">
        <v>26300</v>
      </c>
      <c r="F6241" s="9" t="str">
        <f t="shared" si="90"/>
        <v>structure with developmental contribution from neural crest</v>
      </c>
      <c r="G6241" s="9" t="s">
        <v>5090</v>
      </c>
      <c r="H6241" s="9" t="s">
        <v>18285</v>
      </c>
      <c r="I6241" s="9" t="s">
        <v>11572</v>
      </c>
      <c r="J6241" s="9" t="s">
        <v>11573</v>
      </c>
      <c r="K6241" s="5" t="s">
        <v>15173</v>
      </c>
      <c r="L6241" s="13">
        <v>17624</v>
      </c>
      <c r="M6241" t="str">
        <f>VLOOKUP(L6241,[1]DevMouse!$B$2:$C$2693,2,FALSE)</f>
        <v>r11BLp</v>
      </c>
    </row>
    <row r="6242" spans="2:13" x14ac:dyDescent="0.25">
      <c r="B6242" s="36"/>
      <c r="C6242" s="20"/>
      <c r="D6242" s="25" t="s">
        <v>26232</v>
      </c>
      <c r="E6242" s="25"/>
      <c r="F6242" s="9" t="str">
        <f t="shared" si="90"/>
        <v>structure with developmental contribution from neural crest</v>
      </c>
      <c r="G6242" s="9" t="s">
        <v>5090</v>
      </c>
      <c r="H6242" s="9" t="s">
        <v>18286</v>
      </c>
      <c r="I6242" s="9" t="s">
        <v>11574</v>
      </c>
      <c r="J6242" s="9" t="s">
        <v>11575</v>
      </c>
      <c r="K6242" s="5" t="s">
        <v>15173</v>
      </c>
      <c r="L6242" s="13">
        <v>17625</v>
      </c>
      <c r="M6242" t="str">
        <f>VLOOKUP(L6242,[1]DevMouse!$B$2:$C$2693,2,FALSE)</f>
        <v>r11BLIZ</v>
      </c>
    </row>
    <row r="6243" spans="2:13" x14ac:dyDescent="0.25">
      <c r="B6243" s="36"/>
      <c r="C6243" s="20"/>
      <c r="D6243" s="25" t="s">
        <v>26232</v>
      </c>
      <c r="E6243" s="25"/>
      <c r="F6243" s="9" t="str">
        <f t="shared" si="90"/>
        <v>structure with developmental contribution from neural crest</v>
      </c>
      <c r="G6243" s="9" t="s">
        <v>5090</v>
      </c>
      <c r="H6243" s="9" t="s">
        <v>18287</v>
      </c>
      <c r="I6243" s="9" t="s">
        <v>11576</v>
      </c>
      <c r="J6243" s="9" t="s">
        <v>11577</v>
      </c>
      <c r="K6243" s="5" t="s">
        <v>15173</v>
      </c>
      <c r="L6243" s="13">
        <v>17626</v>
      </c>
      <c r="M6243" t="str">
        <f>VLOOKUP(L6243,[1]DevMouse!$B$2:$C$2693,2,FALSE)</f>
        <v>r11BLi</v>
      </c>
    </row>
    <row r="6244" spans="2:13" x14ac:dyDescent="0.25">
      <c r="B6244" s="36"/>
      <c r="C6244" s="20"/>
      <c r="D6244" s="25" t="s">
        <v>26232</v>
      </c>
      <c r="E6244" s="25"/>
      <c r="F6244" s="9" t="str">
        <f t="shared" si="90"/>
        <v>structure with developmental contribution from neural crest</v>
      </c>
      <c r="G6244" s="9" t="s">
        <v>5090</v>
      </c>
      <c r="H6244" s="9" t="s">
        <v>18288</v>
      </c>
      <c r="I6244" s="9" t="s">
        <v>11578</v>
      </c>
      <c r="J6244" s="9" t="s">
        <v>11579</v>
      </c>
      <c r="K6244" s="5" t="s">
        <v>15173</v>
      </c>
      <c r="L6244" s="13">
        <v>17627</v>
      </c>
      <c r="M6244" t="str">
        <f>VLOOKUP(L6244,[1]DevMouse!$B$2:$C$2693,2,FALSE)</f>
        <v>r11BLRt</v>
      </c>
    </row>
    <row r="6245" spans="2:13" x14ac:dyDescent="0.25">
      <c r="B6245" s="36"/>
      <c r="C6245" s="20"/>
      <c r="D6245" s="25" t="s">
        <v>26232</v>
      </c>
      <c r="E6245" s="25"/>
      <c r="F6245" s="9" t="str">
        <f t="shared" si="90"/>
        <v>structure with developmental contribution from neural crest</v>
      </c>
      <c r="G6245" s="9" t="s">
        <v>5090</v>
      </c>
      <c r="H6245" s="9" t="s">
        <v>18289</v>
      </c>
      <c r="I6245" s="9" t="s">
        <v>11580</v>
      </c>
      <c r="J6245" s="9" t="s">
        <v>11581</v>
      </c>
      <c r="K6245" s="5" t="s">
        <v>15173</v>
      </c>
      <c r="L6245" s="13">
        <v>17628</v>
      </c>
      <c r="M6245" t="str">
        <f>VLOOKUP(L6245,[1]DevMouse!$B$2:$C$2693,2,FALSE)</f>
        <v>r11BLs</v>
      </c>
    </row>
    <row r="6246" spans="2:13" x14ac:dyDescent="0.25">
      <c r="B6246" s="36"/>
      <c r="C6246" s="20"/>
      <c r="D6246" s="25" t="s">
        <v>26232</v>
      </c>
      <c r="E6246" s="25"/>
      <c r="F6246" s="9" t="str">
        <f t="shared" si="90"/>
        <v>structure with developmental contribution from neural crest</v>
      </c>
      <c r="G6246" s="9" t="s">
        <v>5090</v>
      </c>
      <c r="H6246" s="9" t="s">
        <v>18290</v>
      </c>
      <c r="I6246" s="9" t="s">
        <v>11582</v>
      </c>
      <c r="J6246" s="9" t="s">
        <v>11583</v>
      </c>
      <c r="K6246" s="5" t="s">
        <v>15173</v>
      </c>
      <c r="L6246" s="13">
        <v>17629</v>
      </c>
      <c r="M6246" t="str">
        <f>VLOOKUP(L6246,[1]DevMouse!$B$2:$C$2693,2,FALSE)</f>
        <v>r11BI</v>
      </c>
    </row>
    <row r="6247" spans="2:13" x14ac:dyDescent="0.25">
      <c r="B6247" s="36"/>
      <c r="C6247" s="20"/>
      <c r="D6247" s="25" t="s">
        <v>26232</v>
      </c>
      <c r="E6247" s="25"/>
      <c r="F6247" s="9" t="str">
        <f t="shared" si="90"/>
        <v>structure with developmental contribution from neural crest</v>
      </c>
      <c r="G6247" s="9" t="s">
        <v>5090</v>
      </c>
      <c r="H6247" s="9" t="s">
        <v>18291</v>
      </c>
      <c r="I6247" s="9" t="s">
        <v>11584</v>
      </c>
      <c r="J6247" s="9" t="s">
        <v>11585</v>
      </c>
      <c r="K6247" s="5" t="s">
        <v>15173</v>
      </c>
      <c r="L6247" s="13">
        <v>17630</v>
      </c>
      <c r="M6247" t="str">
        <f>VLOOKUP(L6247,[1]DevMouse!$B$2:$C$2693,2,FALSE)</f>
        <v>r11BIv</v>
      </c>
    </row>
    <row r="6248" spans="2:13" x14ac:dyDescent="0.25">
      <c r="B6248" s="31" t="s">
        <v>26303</v>
      </c>
      <c r="C6248" s="20"/>
      <c r="D6248" s="25" t="s">
        <v>26232</v>
      </c>
      <c r="E6248" s="20" t="s">
        <v>26300</v>
      </c>
      <c r="F6248" s="9" t="str">
        <f t="shared" si="90"/>
        <v>structure with developmental contribution from neural crest</v>
      </c>
      <c r="G6248" s="9" t="s">
        <v>5090</v>
      </c>
      <c r="H6248" s="9" t="s">
        <v>18292</v>
      </c>
      <c r="I6248" s="9" t="s">
        <v>11586</v>
      </c>
      <c r="J6248" s="9" t="s">
        <v>11587</v>
      </c>
      <c r="K6248" s="5" t="s">
        <v>15173</v>
      </c>
      <c r="L6248" s="13">
        <v>17631</v>
      </c>
      <c r="M6248" t="str">
        <f>VLOOKUP(L6248,[1]DevMouse!$B$2:$C$2693,2,FALSE)</f>
        <v>r11BIm</v>
      </c>
    </row>
    <row r="6249" spans="2:13" x14ac:dyDescent="0.25">
      <c r="B6249" s="36"/>
      <c r="C6249" s="20"/>
      <c r="D6249" s="25" t="s">
        <v>26232</v>
      </c>
      <c r="E6249" s="20" t="s">
        <v>26300</v>
      </c>
      <c r="F6249" s="9" t="str">
        <f t="shared" si="90"/>
        <v>structure with developmental contribution from neural crest</v>
      </c>
      <c r="G6249" s="9" t="s">
        <v>5090</v>
      </c>
      <c r="H6249" s="9" t="s">
        <v>18293</v>
      </c>
      <c r="I6249" s="9" t="s">
        <v>11588</v>
      </c>
      <c r="J6249" s="9" t="s">
        <v>11589</v>
      </c>
      <c r="K6249" s="5" t="s">
        <v>15173</v>
      </c>
      <c r="L6249" s="13">
        <v>17632</v>
      </c>
      <c r="M6249" t="str">
        <f>VLOOKUP(L6249,[1]DevMouse!$B$2:$C$2693,2,FALSE)</f>
        <v>r11BIp</v>
      </c>
    </row>
    <row r="6250" spans="2:13" x14ac:dyDescent="0.25">
      <c r="B6250" s="36"/>
      <c r="C6250" s="20"/>
      <c r="D6250" s="25" t="s">
        <v>26232</v>
      </c>
      <c r="E6250" s="25"/>
      <c r="F6250" s="9" t="str">
        <f t="shared" si="90"/>
        <v>structure with developmental contribution from neural crest</v>
      </c>
      <c r="G6250" s="9" t="s">
        <v>5090</v>
      </c>
      <c r="H6250" s="9" t="s">
        <v>18294</v>
      </c>
      <c r="I6250" s="9" t="s">
        <v>11590</v>
      </c>
      <c r="J6250" s="9" t="s">
        <v>11591</v>
      </c>
      <c r="K6250" s="5" t="s">
        <v>15173</v>
      </c>
      <c r="L6250" s="13">
        <v>17633</v>
      </c>
      <c r="M6250" t="str">
        <f>VLOOKUP(L6250,[1]DevMouse!$B$2:$C$2693,2,FALSE)</f>
        <v>r11BIIZ</v>
      </c>
    </row>
    <row r="6251" spans="2:13" x14ac:dyDescent="0.25">
      <c r="B6251" s="36"/>
      <c r="C6251" s="20"/>
      <c r="D6251" s="25" t="s">
        <v>26232</v>
      </c>
      <c r="E6251" s="25"/>
      <c r="F6251" s="9" t="str">
        <f t="shared" si="90"/>
        <v>structure with developmental contribution from neural crest</v>
      </c>
      <c r="G6251" s="9" t="s">
        <v>5090</v>
      </c>
      <c r="H6251" s="9" t="s">
        <v>18295</v>
      </c>
      <c r="I6251" s="9" t="s">
        <v>11592</v>
      </c>
      <c r="J6251" s="9" t="s">
        <v>11593</v>
      </c>
      <c r="K6251" s="5" t="s">
        <v>15173</v>
      </c>
      <c r="L6251" s="13">
        <v>17634</v>
      </c>
      <c r="M6251" t="str">
        <f>VLOOKUP(L6251,[1]DevMouse!$B$2:$C$2693,2,FALSE)</f>
        <v>r11-11</v>
      </c>
    </row>
    <row r="6252" spans="2:13" x14ac:dyDescent="0.25">
      <c r="B6252" s="36"/>
      <c r="C6252" s="20"/>
      <c r="D6252" s="25" t="s">
        <v>26232</v>
      </c>
      <c r="E6252" s="25"/>
      <c r="F6252" s="9" t="str">
        <f t="shared" si="90"/>
        <v>structure with developmental contribution from neural crest</v>
      </c>
      <c r="G6252" s="9" t="s">
        <v>5090</v>
      </c>
      <c r="H6252" s="9" t="s">
        <v>18296</v>
      </c>
      <c r="I6252" s="9" t="s">
        <v>11594</v>
      </c>
      <c r="J6252" s="9" t="s">
        <v>11595</v>
      </c>
      <c r="K6252" s="5" t="s">
        <v>15173</v>
      </c>
      <c r="L6252" s="13">
        <v>17635</v>
      </c>
      <c r="M6252" t="str">
        <f>VLOOKUP(L6252,[1]DevMouse!$B$2:$C$2693,2,FALSE)</f>
        <v>r11BIi</v>
      </c>
    </row>
    <row r="6253" spans="2:13" x14ac:dyDescent="0.25">
      <c r="B6253" s="36"/>
      <c r="C6253" s="20"/>
      <c r="D6253" s="25" t="s">
        <v>26232</v>
      </c>
      <c r="E6253" s="25"/>
      <c r="F6253" s="9" t="str">
        <f t="shared" si="90"/>
        <v>structure with developmental contribution from neural crest</v>
      </c>
      <c r="G6253" s="9" t="s">
        <v>5090</v>
      </c>
      <c r="H6253" s="9" t="s">
        <v>18297</v>
      </c>
      <c r="I6253" s="9" t="s">
        <v>11596</v>
      </c>
      <c r="J6253" s="9" t="s">
        <v>11597</v>
      </c>
      <c r="K6253" s="5" t="s">
        <v>15173</v>
      </c>
      <c r="L6253" s="13">
        <v>17636</v>
      </c>
      <c r="M6253" t="str">
        <f>VLOOKUP(L6253,[1]DevMouse!$B$2:$C$2693,2,FALSE)</f>
        <v>r11BIRt</v>
      </c>
    </row>
    <row r="6254" spans="2:13" x14ac:dyDescent="0.25">
      <c r="B6254" s="36"/>
      <c r="C6254" s="20"/>
      <c r="D6254" s="25" t="s">
        <v>26232</v>
      </c>
      <c r="E6254" s="25"/>
      <c r="F6254" s="9" t="str">
        <f t="shared" si="90"/>
        <v>structure with developmental contribution from neural crest</v>
      </c>
      <c r="G6254" s="9" t="s">
        <v>5090</v>
      </c>
      <c r="H6254" s="9" t="s">
        <v>18298</v>
      </c>
      <c r="I6254" s="9" t="s">
        <v>11598</v>
      </c>
      <c r="J6254" s="9" t="s">
        <v>11599</v>
      </c>
      <c r="K6254" s="5" t="s">
        <v>15173</v>
      </c>
      <c r="L6254" s="13">
        <v>17637</v>
      </c>
      <c r="M6254" t="str">
        <f>VLOOKUP(L6254,[1]DevMouse!$B$2:$C$2693,2,FALSE)</f>
        <v>r11BIs</v>
      </c>
    </row>
    <row r="6255" spans="2:13" x14ac:dyDescent="0.25">
      <c r="B6255" s="36"/>
      <c r="C6255" s="20"/>
      <c r="D6255" s="25" t="s">
        <v>26232</v>
      </c>
      <c r="E6255" s="25"/>
      <c r="F6255" s="9" t="str">
        <f t="shared" si="90"/>
        <v>structure with developmental contribution from neural crest</v>
      </c>
      <c r="G6255" s="9" t="s">
        <v>5090</v>
      </c>
      <c r="H6255" s="9" t="s">
        <v>18299</v>
      </c>
      <c r="I6255" s="9" t="s">
        <v>11600</v>
      </c>
      <c r="J6255" s="9" t="s">
        <v>11601</v>
      </c>
      <c r="K6255" s="5" t="s">
        <v>15173</v>
      </c>
      <c r="L6255" s="13">
        <v>17638</v>
      </c>
      <c r="M6255" t="str">
        <f>VLOOKUP(L6255,[1]DevMouse!$B$2:$C$2693,2,FALSE)</f>
        <v>r11BM</v>
      </c>
    </row>
    <row r="6256" spans="2:13" x14ac:dyDescent="0.25">
      <c r="B6256" s="36"/>
      <c r="C6256" s="20"/>
      <c r="D6256" s="25" t="s">
        <v>26232</v>
      </c>
      <c r="E6256" s="25"/>
      <c r="F6256" s="9" t="str">
        <f t="shared" si="90"/>
        <v>structure with developmental contribution from neural crest</v>
      </c>
      <c r="G6256" s="9" t="s">
        <v>5090</v>
      </c>
      <c r="H6256" s="9" t="s">
        <v>18300</v>
      </c>
      <c r="I6256" s="9" t="s">
        <v>11602</v>
      </c>
      <c r="J6256" s="9" t="s">
        <v>11603</v>
      </c>
      <c r="K6256" s="5" t="s">
        <v>15173</v>
      </c>
      <c r="L6256" s="13">
        <v>17639</v>
      </c>
      <c r="M6256" t="str">
        <f>VLOOKUP(L6256,[1]DevMouse!$B$2:$C$2693,2,FALSE)</f>
        <v>r11BMv</v>
      </c>
    </row>
    <row r="6257" spans="2:13" x14ac:dyDescent="0.25">
      <c r="B6257" s="31" t="s">
        <v>26303</v>
      </c>
      <c r="C6257" s="20"/>
      <c r="D6257" s="25" t="s">
        <v>26232</v>
      </c>
      <c r="E6257" s="20" t="s">
        <v>26300</v>
      </c>
      <c r="F6257" s="9" t="str">
        <f t="shared" si="90"/>
        <v>structure with developmental contribution from neural crest</v>
      </c>
      <c r="G6257" s="9" t="s">
        <v>5090</v>
      </c>
      <c r="H6257" s="9" t="s">
        <v>18301</v>
      </c>
      <c r="I6257" s="9" t="s">
        <v>11604</v>
      </c>
      <c r="J6257" s="9" t="s">
        <v>11605</v>
      </c>
      <c r="K6257" s="5" t="s">
        <v>15173</v>
      </c>
      <c r="L6257" s="13">
        <v>17640</v>
      </c>
      <c r="M6257" t="str">
        <f>VLOOKUP(L6257,[1]DevMouse!$B$2:$C$2693,2,FALSE)</f>
        <v>r11BMm</v>
      </c>
    </row>
    <row r="6258" spans="2:13" x14ac:dyDescent="0.25">
      <c r="B6258" s="36"/>
      <c r="C6258" s="20"/>
      <c r="D6258" s="25" t="s">
        <v>26232</v>
      </c>
      <c r="E6258" s="20" t="s">
        <v>26300</v>
      </c>
      <c r="F6258" s="9" t="str">
        <f t="shared" si="90"/>
        <v>structure with developmental contribution from neural crest</v>
      </c>
      <c r="G6258" s="9" t="s">
        <v>5090</v>
      </c>
      <c r="H6258" s="9" t="s">
        <v>18302</v>
      </c>
      <c r="I6258" s="9" t="s">
        <v>11606</v>
      </c>
      <c r="J6258" s="9" t="s">
        <v>11607</v>
      </c>
      <c r="K6258" s="5" t="s">
        <v>15173</v>
      </c>
      <c r="L6258" s="13">
        <v>17641</v>
      </c>
      <c r="M6258" t="str">
        <f>VLOOKUP(L6258,[1]DevMouse!$B$2:$C$2693,2,FALSE)</f>
        <v>r11BMp</v>
      </c>
    </row>
    <row r="6259" spans="2:13" x14ac:dyDescent="0.25">
      <c r="B6259" s="31" t="s">
        <v>26303</v>
      </c>
      <c r="C6259" s="25" t="s">
        <v>2327</v>
      </c>
      <c r="D6259" s="25" t="s">
        <v>26185</v>
      </c>
      <c r="E6259" s="25" t="s">
        <v>26308</v>
      </c>
      <c r="F6259" s="9" t="str">
        <f t="shared" si="90"/>
        <v>structure with developmental contribution from neural crest</v>
      </c>
      <c r="G6259" s="9" t="s">
        <v>5090</v>
      </c>
      <c r="H6259" s="9" t="s">
        <v>18304</v>
      </c>
      <c r="I6259" s="9" t="s">
        <v>11608</v>
      </c>
      <c r="J6259" s="9" t="s">
        <v>11609</v>
      </c>
      <c r="K6259" s="5" t="s">
        <v>15173</v>
      </c>
      <c r="L6259" s="13">
        <v>17642</v>
      </c>
      <c r="M6259" t="str">
        <f>VLOOKUP(L6259,[1]DevMouse!$B$2:$C$2693,2,FALSE)</f>
        <v>r11-12M</v>
      </c>
    </row>
    <row r="6260" spans="2:13" x14ac:dyDescent="0.25">
      <c r="B6260" s="36"/>
      <c r="C6260" s="20"/>
      <c r="D6260" s="25" t="s">
        <v>26232</v>
      </c>
      <c r="E6260" s="25"/>
      <c r="F6260" s="9" t="str">
        <f t="shared" si="90"/>
        <v>structure with developmental contribution from neural crest</v>
      </c>
      <c r="G6260" s="9" t="s">
        <v>5090</v>
      </c>
      <c r="H6260" s="9" t="s">
        <v>18305</v>
      </c>
      <c r="I6260" s="9" t="s">
        <v>11610</v>
      </c>
      <c r="J6260" s="9" t="s">
        <v>11611</v>
      </c>
      <c r="K6260" s="5" t="s">
        <v>15173</v>
      </c>
      <c r="L6260" s="13">
        <v>17643</v>
      </c>
      <c r="M6260" t="str">
        <f>VLOOKUP(L6260,[1]DevMouse!$B$2:$C$2693,2,FALSE)</f>
        <v>r11BMi</v>
      </c>
    </row>
    <row r="6261" spans="2:13" x14ac:dyDescent="0.25">
      <c r="B6261" s="31" t="s">
        <v>26303</v>
      </c>
      <c r="C6261" s="25" t="s">
        <v>3363</v>
      </c>
      <c r="D6261" s="25" t="s">
        <v>26232</v>
      </c>
      <c r="E6261" s="25" t="s">
        <v>26308</v>
      </c>
      <c r="F6261" s="9" t="str">
        <f t="shared" si="90"/>
        <v>structure with developmental contribution from neural crest</v>
      </c>
      <c r="G6261" s="9" t="s">
        <v>5090</v>
      </c>
      <c r="H6261" s="9" t="s">
        <v>18306</v>
      </c>
      <c r="I6261" s="9" t="s">
        <v>11612</v>
      </c>
      <c r="J6261" s="9" t="s">
        <v>11613</v>
      </c>
      <c r="K6261" s="5" t="s">
        <v>15173</v>
      </c>
      <c r="L6261" s="13">
        <v>17644</v>
      </c>
      <c r="M6261" t="str">
        <f>VLOOKUP(L6261,[1]DevMouse!$B$2:$C$2693,2,FALSE)</f>
        <v>r11-RO</v>
      </c>
    </row>
    <row r="6262" spans="2:13" x14ac:dyDescent="0.25">
      <c r="B6262" s="36"/>
      <c r="C6262" s="20"/>
      <c r="D6262" s="25" t="s">
        <v>26232</v>
      </c>
      <c r="E6262" s="25"/>
      <c r="F6262" s="9" t="str">
        <f t="shared" si="90"/>
        <v>structure with developmental contribution from neural crest</v>
      </c>
      <c r="G6262" s="9" t="s">
        <v>5090</v>
      </c>
      <c r="H6262" s="9" t="s">
        <v>18307</v>
      </c>
      <c r="I6262" s="9" t="s">
        <v>11614</v>
      </c>
      <c r="J6262" s="9" t="s">
        <v>11615</v>
      </c>
      <c r="K6262" s="5" t="s">
        <v>15173</v>
      </c>
      <c r="L6262" s="13">
        <v>17645</v>
      </c>
      <c r="M6262" t="str">
        <f>VLOOKUP(L6262,[1]DevMouse!$B$2:$C$2693,2,FALSE)</f>
        <v>r11BMRt</v>
      </c>
    </row>
    <row r="6263" spans="2:13" x14ac:dyDescent="0.25">
      <c r="B6263" s="31" t="s">
        <v>26303</v>
      </c>
      <c r="C6263" s="25" t="s">
        <v>25947</v>
      </c>
      <c r="D6263" s="25" t="s">
        <v>26185</v>
      </c>
      <c r="E6263" s="25" t="s">
        <v>26308</v>
      </c>
      <c r="F6263" s="9" t="str">
        <f t="shared" ref="F6263:F6326" si="91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6263" s="9" t="s">
        <v>5090</v>
      </c>
      <c r="H6263" s="9" t="s">
        <v>18308</v>
      </c>
      <c r="I6263" s="9" t="s">
        <v>11616</v>
      </c>
      <c r="J6263" s="9" t="s">
        <v>11617</v>
      </c>
      <c r="K6263" s="5" t="s">
        <v>15173</v>
      </c>
      <c r="L6263" s="13">
        <v>17646</v>
      </c>
      <c r="M6263" t="str">
        <f>VLOOKUP(L6263,[1]DevMouse!$B$2:$C$2693,2,FALSE)</f>
        <v>r11Gi</v>
      </c>
    </row>
    <row r="6264" spans="2:13" x14ac:dyDescent="0.25">
      <c r="B6264" s="36"/>
      <c r="C6264" s="20"/>
      <c r="D6264" s="25" t="s">
        <v>26232</v>
      </c>
      <c r="E6264" s="25"/>
      <c r="F6264" s="9" t="str">
        <f t="shared" si="91"/>
        <v>structure with developmental contribution from neural crest</v>
      </c>
      <c r="G6264" s="9" t="s">
        <v>5090</v>
      </c>
      <c r="H6264" s="9" t="s">
        <v>18309</v>
      </c>
      <c r="I6264" s="9" t="s">
        <v>11618</v>
      </c>
      <c r="J6264" s="9" t="s">
        <v>11619</v>
      </c>
      <c r="K6264" s="5" t="s">
        <v>15173</v>
      </c>
      <c r="L6264" s="13">
        <v>17647</v>
      </c>
      <c r="M6264" t="str">
        <f>VLOOKUP(L6264,[1]DevMouse!$B$2:$C$2693,2,FALSE)</f>
        <v>r11GiV</v>
      </c>
    </row>
    <row r="6265" spans="2:13" x14ac:dyDescent="0.25">
      <c r="B6265" s="36"/>
      <c r="C6265" s="20"/>
      <c r="D6265" s="25" t="s">
        <v>26232</v>
      </c>
      <c r="E6265" s="25"/>
      <c r="F6265" s="9" t="str">
        <f t="shared" si="91"/>
        <v>structure with developmental contribution from neural crest</v>
      </c>
      <c r="G6265" s="9" t="s">
        <v>5090</v>
      </c>
      <c r="H6265" s="9" t="s">
        <v>18310</v>
      </c>
      <c r="I6265" s="9" t="s">
        <v>11620</v>
      </c>
      <c r="J6265" s="9" t="s">
        <v>11621</v>
      </c>
      <c r="K6265" s="5" t="s">
        <v>15173</v>
      </c>
      <c r="L6265" s="13">
        <v>17648</v>
      </c>
      <c r="M6265" t="str">
        <f>VLOOKUP(L6265,[1]DevMouse!$B$2:$C$2693,2,FALSE)</f>
        <v>r11BMs</v>
      </c>
    </row>
    <row r="6266" spans="2:13" x14ac:dyDescent="0.25">
      <c r="B6266" s="31" t="s">
        <v>26303</v>
      </c>
      <c r="C6266" s="25" t="s">
        <v>3369</v>
      </c>
      <c r="D6266" s="25" t="s">
        <v>26232</v>
      </c>
      <c r="E6266" s="25" t="s">
        <v>26308</v>
      </c>
      <c r="F6266" s="9" t="str">
        <f t="shared" si="91"/>
        <v>structure with developmental contribution from neural crest</v>
      </c>
      <c r="G6266" s="9" t="s">
        <v>5090</v>
      </c>
      <c r="H6266" s="9" t="s">
        <v>18311</v>
      </c>
      <c r="I6266" s="9" t="s">
        <v>11622</v>
      </c>
      <c r="J6266" s="9" t="s">
        <v>11623</v>
      </c>
      <c r="K6266" s="5" t="s">
        <v>15173</v>
      </c>
      <c r="L6266" s="13">
        <v>17649</v>
      </c>
      <c r="M6266" t="str">
        <f>VLOOKUP(L6266,[1]DevMouse!$B$2:$C$2693,2,FALSE)</f>
        <v>r11-RP</v>
      </c>
    </row>
    <row r="6267" spans="2:13" x14ac:dyDescent="0.25">
      <c r="B6267" s="31" t="s">
        <v>26303</v>
      </c>
      <c r="C6267" s="20"/>
      <c r="D6267" s="25" t="s">
        <v>26232</v>
      </c>
      <c r="E6267" s="25" t="s">
        <v>26300</v>
      </c>
      <c r="F6267" s="9" t="str">
        <f t="shared" si="91"/>
        <v>structure with developmental contribution from neural crest</v>
      </c>
      <c r="G6267" s="9" t="s">
        <v>5090</v>
      </c>
      <c r="H6267" s="9" t="s">
        <v>18313</v>
      </c>
      <c r="I6267" s="9" t="s">
        <v>11624</v>
      </c>
      <c r="J6267" s="9" t="s">
        <v>11625</v>
      </c>
      <c r="K6267" s="5" t="s">
        <v>15173</v>
      </c>
      <c r="L6267" s="13">
        <v>17650</v>
      </c>
      <c r="M6267" t="str">
        <f>VLOOKUP(L6267,[1]DevMouse!$B$2:$C$2693,2,FALSE)</f>
        <v>r11F</v>
      </c>
    </row>
    <row r="6268" spans="2:13" x14ac:dyDescent="0.25">
      <c r="B6268" s="31" t="s">
        <v>26303</v>
      </c>
      <c r="C6268" s="25" t="s">
        <v>11626</v>
      </c>
      <c r="D6268" s="25" t="s">
        <v>26232</v>
      </c>
      <c r="E6268" s="25"/>
      <c r="F6268" s="9" t="str">
        <f t="shared" si="91"/>
        <v>structure with developmental contribution from neural crest</v>
      </c>
      <c r="G6268" s="9" t="s">
        <v>5090</v>
      </c>
      <c r="H6268" s="9" t="s">
        <v>18418</v>
      </c>
      <c r="I6268" s="9" t="s">
        <v>11626</v>
      </c>
      <c r="J6268" s="9" t="s">
        <v>11627</v>
      </c>
      <c r="K6268" s="5" t="s">
        <v>15173</v>
      </c>
      <c r="L6268" s="13">
        <v>17739</v>
      </c>
      <c r="M6268" t="str">
        <f>VLOOKUP(L6268,[1]DevMouse!$B$2:$C$2693,2,FALSE)</f>
        <v>5n</v>
      </c>
    </row>
    <row r="6269" spans="2:13" x14ac:dyDescent="0.25">
      <c r="B6269" s="31" t="s">
        <v>26303</v>
      </c>
      <c r="C6269" s="25" t="s">
        <v>4864</v>
      </c>
      <c r="D6269" s="25" t="s">
        <v>26232</v>
      </c>
      <c r="E6269" s="25"/>
      <c r="F6269" s="9" t="str">
        <f t="shared" si="91"/>
        <v>structure with developmental contribution from neural crest</v>
      </c>
      <c r="G6269" s="9" t="s">
        <v>5090</v>
      </c>
      <c r="H6269" s="9" t="s">
        <v>18421</v>
      </c>
      <c r="I6269" s="9" t="s">
        <v>4866</v>
      </c>
      <c r="J6269" s="9" t="s">
        <v>4867</v>
      </c>
      <c r="K6269" s="5" t="s">
        <v>15173</v>
      </c>
      <c r="L6269" s="13">
        <v>17741</v>
      </c>
      <c r="M6269" t="str">
        <f>VLOOKUP(L6269,[1]DevMouse!$B$2:$C$2693,2,FALSE)</f>
        <v>6n</v>
      </c>
    </row>
    <row r="6270" spans="2:13" x14ac:dyDescent="0.25">
      <c r="B6270" s="31" t="s">
        <v>26303</v>
      </c>
      <c r="C6270" s="25" t="s">
        <v>1820</v>
      </c>
      <c r="D6270" s="25" t="s">
        <v>26232</v>
      </c>
      <c r="E6270" s="25"/>
      <c r="F6270" s="9" t="str">
        <f t="shared" si="91"/>
        <v>structure with developmental contribution from neural crest</v>
      </c>
      <c r="G6270" s="9" t="s">
        <v>5090</v>
      </c>
      <c r="H6270" s="9" t="s">
        <v>18422</v>
      </c>
      <c r="I6270" s="9" t="s">
        <v>1820</v>
      </c>
      <c r="J6270" s="9" t="s">
        <v>1821</v>
      </c>
      <c r="K6270" s="5" t="s">
        <v>15173</v>
      </c>
      <c r="L6270" s="13">
        <v>17742</v>
      </c>
      <c r="M6270" t="str">
        <f>VLOOKUP(L6270,[1]DevMouse!$B$2:$C$2693,2,FALSE)</f>
        <v>7n</v>
      </c>
    </row>
    <row r="6271" spans="2:13" x14ac:dyDescent="0.25">
      <c r="B6271" s="31" t="s">
        <v>26299</v>
      </c>
      <c r="C6271" s="25" t="s">
        <v>15125</v>
      </c>
      <c r="D6271" s="25" t="s">
        <v>26232</v>
      </c>
      <c r="E6271" s="25"/>
      <c r="F6271" s="9" t="str">
        <f t="shared" si="91"/>
        <v>structure with developmental contribution from neural crest</v>
      </c>
      <c r="G6271" s="9" t="s">
        <v>5090</v>
      </c>
      <c r="H6271" s="9" t="s">
        <v>18429</v>
      </c>
      <c r="I6271" s="9" t="s">
        <v>11628</v>
      </c>
      <c r="J6271" s="9" t="s">
        <v>11629</v>
      </c>
      <c r="K6271" s="5" t="s">
        <v>15173</v>
      </c>
      <c r="L6271" s="13">
        <v>17746</v>
      </c>
      <c r="M6271" t="str">
        <f>VLOOKUP(L6271,[1]DevMouse!$B$2:$C$2693,2,FALSE)</f>
        <v>8n</v>
      </c>
    </row>
    <row r="6272" spans="2:13" x14ac:dyDescent="0.25">
      <c r="B6272" s="31" t="s">
        <v>26303</v>
      </c>
      <c r="C6272" s="25" t="s">
        <v>2093</v>
      </c>
      <c r="D6272" s="25" t="s">
        <v>26232</v>
      </c>
      <c r="E6272" s="25"/>
      <c r="F6272" s="9" t="str">
        <f t="shared" si="91"/>
        <v>structure with developmental contribution from neural crest</v>
      </c>
      <c r="G6272" s="9" t="s">
        <v>5090</v>
      </c>
      <c r="H6272" s="9" t="s">
        <v>18430</v>
      </c>
      <c r="I6272" s="9" t="s">
        <v>2093</v>
      </c>
      <c r="J6272" s="9" t="s">
        <v>2094</v>
      </c>
      <c r="K6272" s="5" t="s">
        <v>15173</v>
      </c>
      <c r="L6272" s="13">
        <v>17747</v>
      </c>
      <c r="M6272" t="str">
        <f>VLOOKUP(L6272,[1]DevMouse!$B$2:$C$2693,2,FALSE)</f>
        <v>9n</v>
      </c>
    </row>
    <row r="6273" spans="2:13" x14ac:dyDescent="0.25">
      <c r="B6273" s="31" t="s">
        <v>26303</v>
      </c>
      <c r="C6273" s="25" t="s">
        <v>2318</v>
      </c>
      <c r="D6273" s="25" t="s">
        <v>26232</v>
      </c>
      <c r="E6273" s="25"/>
      <c r="F6273" s="9" t="str">
        <f t="shared" si="91"/>
        <v>structure with developmental contribution from neural crest</v>
      </c>
      <c r="G6273" s="9" t="s">
        <v>5090</v>
      </c>
      <c r="H6273" s="9" t="s">
        <v>18433</v>
      </c>
      <c r="I6273" s="9" t="s">
        <v>2324</v>
      </c>
      <c r="J6273" s="9" t="s">
        <v>2325</v>
      </c>
      <c r="K6273" s="5" t="s">
        <v>15173</v>
      </c>
      <c r="L6273" s="13">
        <v>17750</v>
      </c>
      <c r="M6273" t="str">
        <f>VLOOKUP(L6273,[1]DevMouse!$B$2:$C$2693,2,FALSE)</f>
        <v>12n</v>
      </c>
    </row>
    <row r="6274" spans="2:13" x14ac:dyDescent="0.25">
      <c r="B6274" s="31" t="s">
        <v>26303</v>
      </c>
      <c r="C6274" s="25" t="s">
        <v>318</v>
      </c>
      <c r="D6274" s="25" t="s">
        <v>26232</v>
      </c>
      <c r="E6274" s="25"/>
      <c r="F6274" s="9" t="str">
        <f t="shared" si="91"/>
        <v>structure with developmental contribution from neural crest</v>
      </c>
      <c r="G6274" s="9" t="s">
        <v>5090</v>
      </c>
      <c r="H6274" s="9" t="s">
        <v>18434</v>
      </c>
      <c r="I6274" s="9" t="s">
        <v>318</v>
      </c>
      <c r="J6274" s="9" t="s">
        <v>320</v>
      </c>
      <c r="K6274" s="5" t="s">
        <v>15173</v>
      </c>
      <c r="L6274" s="13">
        <v>17751</v>
      </c>
      <c r="M6274" t="str">
        <f>VLOOKUP(L6274,[1]DevMouse!$B$2:$C$2693,2,FALSE)</f>
        <v>ac</v>
      </c>
    </row>
    <row r="6275" spans="2:13" x14ac:dyDescent="0.25">
      <c r="B6275" s="31" t="s">
        <v>26303</v>
      </c>
      <c r="C6275" s="25" t="s">
        <v>593</v>
      </c>
      <c r="D6275" s="25" t="s">
        <v>26232</v>
      </c>
      <c r="E6275" s="25"/>
      <c r="F6275" s="9" t="str">
        <f t="shared" si="91"/>
        <v>structure with developmental contribution from neural crest</v>
      </c>
      <c r="G6275" s="9" t="s">
        <v>5090</v>
      </c>
      <c r="H6275" s="9" t="s">
        <v>18441</v>
      </c>
      <c r="I6275" s="9" t="s">
        <v>593</v>
      </c>
      <c r="J6275" s="9" t="s">
        <v>595</v>
      </c>
      <c r="K6275" s="5" t="s">
        <v>15173</v>
      </c>
      <c r="L6275" s="13">
        <v>17753</v>
      </c>
      <c r="M6275" t="str">
        <f>VLOOKUP(L6275,[1]DevMouse!$B$2:$C$2693,2,FALSE)</f>
        <v>bic</v>
      </c>
    </row>
    <row r="6276" spans="2:13" x14ac:dyDescent="0.25">
      <c r="B6276" s="31" t="s">
        <v>26303</v>
      </c>
      <c r="C6276" s="20"/>
      <c r="D6276" s="25" t="s">
        <v>26185</v>
      </c>
      <c r="E6276" s="25" t="s">
        <v>26300</v>
      </c>
      <c r="F6276" s="9" t="str">
        <f t="shared" si="91"/>
        <v>structure with developmental contribution from neural crest</v>
      </c>
      <c r="G6276" s="9" t="s">
        <v>5090</v>
      </c>
      <c r="H6276" s="9" t="s">
        <v>18451</v>
      </c>
      <c r="I6276" s="9" t="s">
        <v>4215</v>
      </c>
      <c r="J6276" s="9" t="s">
        <v>4216</v>
      </c>
      <c r="K6276" s="5" t="s">
        <v>15173</v>
      </c>
      <c r="L6276" s="13">
        <v>17760</v>
      </c>
      <c r="M6276" t="str">
        <f>VLOOKUP(L6276,[1]DevMouse!$B$2:$C$2693,2,FALSE)</f>
        <v>dpy</v>
      </c>
    </row>
    <row r="6277" spans="2:13" x14ac:dyDescent="0.25">
      <c r="B6277" s="37" t="s">
        <v>26303</v>
      </c>
      <c r="C6277" s="25" t="s">
        <v>26144</v>
      </c>
      <c r="D6277" s="25" t="s">
        <v>26232</v>
      </c>
      <c r="E6277" s="25"/>
      <c r="F6277" s="9" t="str">
        <f t="shared" si="91"/>
        <v>structure with developmental contribution from neural crest</v>
      </c>
      <c r="G6277" s="9" t="s">
        <v>5090</v>
      </c>
      <c r="H6277" s="9" t="s">
        <v>18452</v>
      </c>
      <c r="I6277" s="9" t="s">
        <v>3992</v>
      </c>
      <c r="J6277" s="9" t="s">
        <v>3994</v>
      </c>
      <c r="K6277" s="5" t="s">
        <v>15173</v>
      </c>
      <c r="L6277" s="13">
        <v>17761</v>
      </c>
      <c r="M6277" t="str">
        <f>VLOOKUP(L6277,[1]DevMouse!$B$2:$C$2693,2,FALSE)</f>
        <v>dsc</v>
      </c>
    </row>
    <row r="6278" spans="2:13" x14ac:dyDescent="0.25">
      <c r="B6278" s="31" t="s">
        <v>26303</v>
      </c>
      <c r="C6278" s="25" t="s">
        <v>25930</v>
      </c>
      <c r="D6278" s="25" t="s">
        <v>26232</v>
      </c>
      <c r="E6278" s="25"/>
      <c r="F6278" s="9" t="str">
        <f t="shared" si="91"/>
        <v>structure with developmental contribution from neural crest</v>
      </c>
      <c r="G6278" s="9" t="s">
        <v>5090</v>
      </c>
      <c r="H6278" s="9" t="s">
        <v>18459</v>
      </c>
      <c r="I6278" s="9" t="s">
        <v>1782</v>
      </c>
      <c r="J6278" s="9" t="s">
        <v>1784</v>
      </c>
      <c r="K6278" s="5" t="s">
        <v>15173</v>
      </c>
      <c r="L6278" s="13">
        <v>17765</v>
      </c>
      <c r="M6278" t="str">
        <f>VLOOKUP(L6278,[1]DevMouse!$B$2:$C$2693,2,FALSE)</f>
        <v>ec</v>
      </c>
    </row>
    <row r="6279" spans="2:13" x14ac:dyDescent="0.25">
      <c r="B6279" s="31" t="s">
        <v>26303</v>
      </c>
      <c r="C6279" s="25" t="s">
        <v>25964</v>
      </c>
      <c r="D6279" s="25" t="s">
        <v>26232</v>
      </c>
      <c r="E6279" s="25"/>
      <c r="F6279" s="9" t="str">
        <f t="shared" si="91"/>
        <v>structure with developmental contribution from neural crest</v>
      </c>
      <c r="G6279" s="9" t="s">
        <v>5090</v>
      </c>
      <c r="H6279" s="9" t="s">
        <v>18460</v>
      </c>
      <c r="I6279" s="9" t="s">
        <v>2308</v>
      </c>
      <c r="J6279" s="9" t="s">
        <v>2310</v>
      </c>
      <c r="K6279" s="5" t="s">
        <v>15173</v>
      </c>
      <c r="L6279" s="13">
        <v>17766</v>
      </c>
      <c r="M6279" t="str">
        <f>VLOOKUP(L6279,[1]DevMouse!$B$2:$C$2693,2,FALSE)</f>
        <v>fi</v>
      </c>
    </row>
    <row r="6280" spans="2:13" x14ac:dyDescent="0.25">
      <c r="B6280" s="31" t="s">
        <v>26303</v>
      </c>
      <c r="C6280" s="25" t="s">
        <v>25940</v>
      </c>
      <c r="D6280" s="25" t="s">
        <v>26232</v>
      </c>
      <c r="E6280" s="25"/>
      <c r="F6280" s="9" t="str">
        <f t="shared" si="91"/>
        <v>structure with developmental contribution from neural crest</v>
      </c>
      <c r="G6280" s="9" t="s">
        <v>5090</v>
      </c>
      <c r="H6280" s="9" t="s">
        <v>18461</v>
      </c>
      <c r="I6280" s="9" t="s">
        <v>2001</v>
      </c>
      <c r="J6280" s="9" t="s">
        <v>2002</v>
      </c>
      <c r="K6280" s="5" t="s">
        <v>15173</v>
      </c>
      <c r="L6280" s="13">
        <v>17767</v>
      </c>
      <c r="M6280" t="str">
        <f>VLOOKUP(L6280,[1]DevMouse!$B$2:$C$2693,2,FALSE)</f>
        <v>fx</v>
      </c>
    </row>
    <row r="6281" spans="2:13" x14ac:dyDescent="0.25">
      <c r="B6281" s="31" t="s">
        <v>26303</v>
      </c>
      <c r="C6281" s="25" t="s">
        <v>2138</v>
      </c>
      <c r="D6281" s="25" t="s">
        <v>26232</v>
      </c>
      <c r="E6281" s="25"/>
      <c r="F6281" s="9" t="str">
        <f t="shared" si="91"/>
        <v>structure with developmental contribution from neural crest</v>
      </c>
      <c r="G6281" s="9" t="s">
        <v>5090</v>
      </c>
      <c r="H6281" s="9" t="s">
        <v>18462</v>
      </c>
      <c r="I6281" s="9" t="s">
        <v>2138</v>
      </c>
      <c r="J6281" s="9" t="s">
        <v>2140</v>
      </c>
      <c r="K6281" s="5" t="s">
        <v>15173</v>
      </c>
      <c r="L6281" s="13">
        <v>17768</v>
      </c>
      <c r="M6281" t="str">
        <f>VLOOKUP(L6281,[1]DevMouse!$B$2:$C$2693,2,FALSE)</f>
        <v>hbc</v>
      </c>
    </row>
    <row r="6282" spans="2:13" x14ac:dyDescent="0.25">
      <c r="B6282" s="31" t="s">
        <v>26303</v>
      </c>
      <c r="C6282" s="25" t="s">
        <v>2282</v>
      </c>
      <c r="D6282" s="25" t="s">
        <v>26232</v>
      </c>
      <c r="E6282" s="25"/>
      <c r="F6282" s="9" t="str">
        <f t="shared" si="91"/>
        <v>structure with developmental contribution from neural crest</v>
      </c>
      <c r="G6282" s="9" t="s">
        <v>5090</v>
      </c>
      <c r="H6282" s="9" t="s">
        <v>18463</v>
      </c>
      <c r="I6282" s="9" t="s">
        <v>2282</v>
      </c>
      <c r="J6282" s="9" t="s">
        <v>2284</v>
      </c>
      <c r="K6282" s="5" t="s">
        <v>15173</v>
      </c>
      <c r="L6282" s="13">
        <v>17769</v>
      </c>
      <c r="M6282" t="str">
        <f>VLOOKUP(L6282,[1]DevMouse!$B$2:$C$2693,2,FALSE)</f>
        <v>hc</v>
      </c>
    </row>
    <row r="6283" spans="2:13" x14ac:dyDescent="0.25">
      <c r="B6283" s="31" t="s">
        <v>26303</v>
      </c>
      <c r="C6283" s="25" t="s">
        <v>25976</v>
      </c>
      <c r="D6283" s="25" t="s">
        <v>26232</v>
      </c>
      <c r="E6283" s="25"/>
      <c r="F6283" s="9" t="str">
        <f t="shared" si="91"/>
        <v>structure with developmental contribution from neural crest</v>
      </c>
      <c r="G6283" s="9" t="s">
        <v>5090</v>
      </c>
      <c r="H6283" s="9" t="s">
        <v>18464</v>
      </c>
      <c r="I6283" s="9" t="s">
        <v>2490</v>
      </c>
      <c r="J6283" s="9" t="s">
        <v>2492</v>
      </c>
      <c r="K6283" s="5" t="s">
        <v>15173</v>
      </c>
      <c r="L6283" s="13">
        <v>17770</v>
      </c>
      <c r="M6283" t="str">
        <f>VLOOKUP(L6283,[1]DevMouse!$B$2:$C$2693,2,FALSE)</f>
        <v>ic</v>
      </c>
    </row>
    <row r="6284" spans="2:13" x14ac:dyDescent="0.25">
      <c r="B6284" s="37" t="s">
        <v>26303</v>
      </c>
      <c r="C6284" s="25" t="s">
        <v>2350</v>
      </c>
      <c r="D6284" s="25" t="s">
        <v>26232</v>
      </c>
      <c r="E6284" s="25"/>
      <c r="F6284" s="9" t="str">
        <f t="shared" si="91"/>
        <v>structure with developmental contribution from neural crest</v>
      </c>
      <c r="G6284" s="9" t="s">
        <v>5090</v>
      </c>
      <c r="H6284" s="9" t="s">
        <v>18467</v>
      </c>
      <c r="I6284" s="9" t="s">
        <v>2350</v>
      </c>
      <c r="J6284" s="9" t="s">
        <v>2352</v>
      </c>
      <c r="K6284" s="5" t="s">
        <v>15173</v>
      </c>
      <c r="L6284" s="13">
        <v>17772</v>
      </c>
      <c r="M6284" t="str">
        <f>VLOOKUP(L6284,[1]DevMouse!$B$2:$C$2693,2,FALSE)</f>
        <v>icp</v>
      </c>
    </row>
    <row r="6285" spans="2:13" x14ac:dyDescent="0.25">
      <c r="B6285" s="31" t="s">
        <v>26303</v>
      </c>
      <c r="C6285" s="25" t="s">
        <v>3464</v>
      </c>
      <c r="D6285" s="25" t="s">
        <v>26185</v>
      </c>
      <c r="E6285" s="25" t="s">
        <v>26300</v>
      </c>
      <c r="F6285" s="9" t="str">
        <f t="shared" si="91"/>
        <v>structure with developmental contribution from neural crest</v>
      </c>
      <c r="G6285" s="9" t="s">
        <v>5090</v>
      </c>
      <c r="H6285" s="9" t="s">
        <v>18468</v>
      </c>
      <c r="I6285" s="9" t="s">
        <v>2645</v>
      </c>
      <c r="J6285" s="9" t="s">
        <v>2646</v>
      </c>
      <c r="K6285" s="5" t="s">
        <v>15173</v>
      </c>
      <c r="L6285" s="13">
        <v>17773</v>
      </c>
      <c r="M6285" t="str">
        <f>VLOOKUP(L6285,[1]DevMouse!$B$2:$C$2693,2,FALSE)</f>
        <v>lot</v>
      </c>
    </row>
    <row r="6286" spans="2:13" x14ac:dyDescent="0.25">
      <c r="B6286" s="31" t="s">
        <v>26303</v>
      </c>
      <c r="C6286" s="25" t="s">
        <v>2607</v>
      </c>
      <c r="D6286" s="25" t="s">
        <v>26232</v>
      </c>
      <c r="E6286" s="25"/>
      <c r="F6286" s="9" t="str">
        <f t="shared" si="91"/>
        <v>structure with developmental contribution from neural crest</v>
      </c>
      <c r="G6286" s="9" t="s">
        <v>5090</v>
      </c>
      <c r="H6286" s="9" t="s">
        <v>18469</v>
      </c>
      <c r="I6286" s="9" t="s">
        <v>2607</v>
      </c>
      <c r="J6286" s="9" t="s">
        <v>2609</v>
      </c>
      <c r="K6286" s="5" t="s">
        <v>15173</v>
      </c>
      <c r="L6286" s="13">
        <v>17774</v>
      </c>
      <c r="M6286" t="str">
        <f>VLOOKUP(L6286,[1]DevMouse!$B$2:$C$2693,2,FALSE)</f>
        <v>ll</v>
      </c>
    </row>
    <row r="6287" spans="2:13" x14ac:dyDescent="0.25">
      <c r="B6287" s="31" t="s">
        <v>26303</v>
      </c>
      <c r="C6287" s="25" t="s">
        <v>1416</v>
      </c>
      <c r="D6287" s="25" t="s">
        <v>26232</v>
      </c>
      <c r="E6287" s="25"/>
      <c r="F6287" s="9" t="str">
        <f t="shared" si="91"/>
        <v>structure with developmental contribution from neural crest</v>
      </c>
      <c r="G6287" s="9" t="s">
        <v>5090</v>
      </c>
      <c r="H6287" s="9" t="s">
        <v>18473</v>
      </c>
      <c r="I6287" s="9" t="s">
        <v>1416</v>
      </c>
      <c r="J6287" s="9" t="s">
        <v>1418</v>
      </c>
      <c r="K6287" s="5" t="s">
        <v>15173</v>
      </c>
      <c r="L6287" s="13">
        <v>17777</v>
      </c>
      <c r="M6287" t="str">
        <f>VLOOKUP(L6287,[1]DevMouse!$B$2:$C$2693,2,FALSE)</f>
        <v>dml</v>
      </c>
    </row>
    <row r="6288" spans="2:13" x14ac:dyDescent="0.25">
      <c r="B6288" s="31" t="s">
        <v>26303</v>
      </c>
      <c r="C6288" s="25" t="s">
        <v>26075</v>
      </c>
      <c r="D6288" s="25" t="s">
        <v>26232</v>
      </c>
      <c r="E6288" s="25"/>
      <c r="F6288" s="9" t="str">
        <f t="shared" si="91"/>
        <v>structure with developmental contribution from neural crest</v>
      </c>
      <c r="G6288" s="9" t="s">
        <v>5090</v>
      </c>
      <c r="H6288" s="9" t="s">
        <v>18480</v>
      </c>
      <c r="I6288" s="9" t="s">
        <v>3492</v>
      </c>
      <c r="J6288" s="9" t="s">
        <v>3494</v>
      </c>
      <c r="K6288" s="5" t="s">
        <v>15173</v>
      </c>
      <c r="L6288" s="13">
        <v>17783</v>
      </c>
      <c r="M6288" t="str">
        <f>VLOOKUP(L6288,[1]DevMouse!$B$2:$C$2693,2,FALSE)</f>
        <v>och</v>
      </c>
    </row>
    <row r="6289" spans="2:13" x14ac:dyDescent="0.25">
      <c r="B6289" s="31" t="s">
        <v>25743</v>
      </c>
      <c r="C6289" s="20"/>
      <c r="D6289" s="25" t="s">
        <v>26232</v>
      </c>
      <c r="E6289" s="25"/>
      <c r="F6289" s="9" t="str">
        <f t="shared" si="91"/>
        <v>structure with developmental contribution from neural crest</v>
      </c>
      <c r="G6289" s="9" t="s">
        <v>5090</v>
      </c>
      <c r="H6289" s="9" t="s">
        <v>18483</v>
      </c>
      <c r="I6289" s="9" t="s">
        <v>3504</v>
      </c>
      <c r="J6289" s="9" t="s">
        <v>3506</v>
      </c>
      <c r="K6289" s="5" t="s">
        <v>15173</v>
      </c>
      <c r="L6289" s="13">
        <v>17785</v>
      </c>
      <c r="M6289" t="str">
        <f>VLOOKUP(L6289,[1]DevMouse!$B$2:$C$2693,2,FALSE)</f>
        <v>opt</v>
      </c>
    </row>
    <row r="6290" spans="2:13" x14ac:dyDescent="0.25">
      <c r="B6290" s="31" t="s">
        <v>26303</v>
      </c>
      <c r="C6290" s="25" t="s">
        <v>4929</v>
      </c>
      <c r="D6290" s="25" t="s">
        <v>26232</v>
      </c>
      <c r="E6290" s="25"/>
      <c r="F6290" s="9" t="str">
        <f t="shared" si="91"/>
        <v>structure with developmental contribution from neural crest</v>
      </c>
      <c r="G6290" s="9" t="s">
        <v>5090</v>
      </c>
      <c r="H6290" s="9" t="s">
        <v>18494</v>
      </c>
      <c r="I6290" s="9" t="s">
        <v>4929</v>
      </c>
      <c r="J6290" s="9" t="s">
        <v>4931</v>
      </c>
      <c r="K6290" s="5" t="s">
        <v>15173</v>
      </c>
      <c r="L6290" s="13">
        <v>17792</v>
      </c>
      <c r="M6290" t="str">
        <f>VLOOKUP(L6290,[1]DevMouse!$B$2:$C$2693,2,FALSE)</f>
        <v>rs</v>
      </c>
    </row>
    <row r="6291" spans="2:13" x14ac:dyDescent="0.25">
      <c r="B6291" s="31" t="s">
        <v>26303</v>
      </c>
      <c r="C6291" s="25" t="s">
        <v>4980</v>
      </c>
      <c r="D6291" s="25" t="s">
        <v>26232</v>
      </c>
      <c r="E6291" s="25"/>
      <c r="F6291" s="9" t="str">
        <f t="shared" si="91"/>
        <v>structure with developmental contribution from neural crest</v>
      </c>
      <c r="G6291" s="9" t="s">
        <v>5090</v>
      </c>
      <c r="H6291" s="9" t="s">
        <v>18499</v>
      </c>
      <c r="I6291" s="9" t="s">
        <v>4980</v>
      </c>
      <c r="J6291" s="9" t="s">
        <v>4982</v>
      </c>
      <c r="K6291" s="5" t="s">
        <v>15173</v>
      </c>
      <c r="L6291" s="13">
        <v>17796</v>
      </c>
      <c r="M6291" t="str">
        <f>VLOOKUP(L6291,[1]DevMouse!$B$2:$C$2693,2,FALSE)</f>
        <v>sol</v>
      </c>
    </row>
    <row r="6292" spans="2:13" x14ac:dyDescent="0.25">
      <c r="B6292" s="31" t="s">
        <v>26303</v>
      </c>
      <c r="C6292" s="25" t="s">
        <v>7806</v>
      </c>
      <c r="D6292" s="25" t="s">
        <v>26232</v>
      </c>
      <c r="E6292" s="25"/>
      <c r="F6292" s="9" t="str">
        <f t="shared" si="91"/>
        <v>structure with developmental contribution from neural crest</v>
      </c>
      <c r="G6292" s="9" t="s">
        <v>5090</v>
      </c>
      <c r="H6292" s="9" t="s">
        <v>18509</v>
      </c>
      <c r="I6292" s="9" t="s">
        <v>7806</v>
      </c>
      <c r="J6292" s="9" t="s">
        <v>11630</v>
      </c>
      <c r="K6292" s="5" t="s">
        <v>15173</v>
      </c>
      <c r="L6292" s="13">
        <v>17802</v>
      </c>
      <c r="M6292" t="str">
        <f>VLOOKUP(L6292,[1]DevMouse!$B$2:$C$2693,2,FALSE)</f>
        <v>tsp</v>
      </c>
    </row>
    <row r="6293" spans="2:13" x14ac:dyDescent="0.25">
      <c r="B6293" s="37" t="s">
        <v>26303</v>
      </c>
      <c r="C6293" s="25" t="s">
        <v>25796</v>
      </c>
      <c r="D6293" s="25" t="s">
        <v>26232</v>
      </c>
      <c r="E6293" s="25"/>
      <c r="F6293" s="9" t="str">
        <f t="shared" si="91"/>
        <v>structure with developmental contribution from neural crest</v>
      </c>
      <c r="G6293" s="9" t="s">
        <v>5090</v>
      </c>
      <c r="H6293" s="9" t="s">
        <v>18514</v>
      </c>
      <c r="I6293" s="9" t="s">
        <v>417</v>
      </c>
      <c r="J6293" s="9" t="s">
        <v>419</v>
      </c>
      <c r="K6293" s="5" t="s">
        <v>15173</v>
      </c>
      <c r="L6293" s="13">
        <v>17805</v>
      </c>
      <c r="M6293" t="str">
        <f>VLOOKUP(L6293,[1]DevMouse!$B$2:$C$2693,2,FALSE)</f>
        <v>vsc</v>
      </c>
    </row>
    <row r="6294" spans="2:13" x14ac:dyDescent="0.25">
      <c r="B6294" s="31" t="s">
        <v>26303</v>
      </c>
      <c r="C6294" s="25" t="s">
        <v>11631</v>
      </c>
      <c r="D6294" s="25" t="s">
        <v>26232</v>
      </c>
      <c r="E6294" s="25"/>
      <c r="F6294" s="9" t="str">
        <f t="shared" si="91"/>
        <v>structure with developmental contribution from neural crest</v>
      </c>
      <c r="G6294" s="9" t="s">
        <v>5090</v>
      </c>
      <c r="H6294" s="9" t="s">
        <v>18517</v>
      </c>
      <c r="I6294" s="9" t="s">
        <v>11631</v>
      </c>
      <c r="J6294" s="9" t="s">
        <v>11632</v>
      </c>
      <c r="K6294" s="5" t="s">
        <v>15173</v>
      </c>
      <c r="L6294" s="13">
        <v>17807</v>
      </c>
      <c r="M6294" t="str">
        <f>VLOOKUP(L6294,[1]DevMouse!$B$2:$C$2693,2,FALSE)</f>
        <v>vtg</v>
      </c>
    </row>
    <row r="6295" spans="2:13" x14ac:dyDescent="0.25">
      <c r="B6295" s="31" t="s">
        <v>26303</v>
      </c>
      <c r="C6295" s="25" t="s">
        <v>3837</v>
      </c>
      <c r="D6295" s="25" t="s">
        <v>26232</v>
      </c>
      <c r="E6295" s="25"/>
      <c r="F6295" s="9" t="str">
        <f t="shared" si="91"/>
        <v>structure with developmental contribution from neural crest</v>
      </c>
      <c r="G6295" s="9" t="s">
        <v>5090</v>
      </c>
      <c r="H6295" s="9" t="s">
        <v>23141</v>
      </c>
      <c r="I6295" s="9" t="s">
        <v>11633</v>
      </c>
      <c r="J6295" s="9" t="s">
        <v>11634</v>
      </c>
      <c r="K6295" s="7" t="s">
        <v>15171</v>
      </c>
      <c r="L6295" s="13">
        <v>10143</v>
      </c>
      <c r="M6295" t="str">
        <f>VLOOKUP(L6295,[1]HBA!$B$2:$C$4000,2,FALSE)</f>
        <v>Pir</v>
      </c>
    </row>
    <row r="6296" spans="2:13" x14ac:dyDescent="0.25">
      <c r="B6296" s="31" t="s">
        <v>26303</v>
      </c>
      <c r="C6296" s="25" t="s">
        <v>3837</v>
      </c>
      <c r="D6296" s="25" t="s">
        <v>26232</v>
      </c>
      <c r="E6296" s="25"/>
      <c r="F6296" s="9" t="str">
        <f t="shared" si="91"/>
        <v>structure with developmental contribution from neural crest</v>
      </c>
      <c r="G6296" s="9" t="s">
        <v>5090</v>
      </c>
      <c r="H6296" s="9" t="s">
        <v>23141</v>
      </c>
      <c r="I6296" s="9" t="s">
        <v>11635</v>
      </c>
      <c r="J6296" s="9" t="s">
        <v>11636</v>
      </c>
      <c r="K6296" s="7" t="s">
        <v>15171</v>
      </c>
      <c r="L6296" s="13">
        <v>10144</v>
      </c>
      <c r="M6296" t="str">
        <f>VLOOKUP(L6296,[1]HBA!$B$2:$C$4000,2,FALSE)</f>
        <v>Pir</v>
      </c>
    </row>
    <row r="6297" spans="2:13" x14ac:dyDescent="0.25">
      <c r="B6297" s="31" t="s">
        <v>26303</v>
      </c>
      <c r="C6297" s="25" t="s">
        <v>3471</v>
      </c>
      <c r="D6297" s="25" t="s">
        <v>26232</v>
      </c>
      <c r="E6297" s="25"/>
      <c r="F6297" s="9" t="str">
        <f t="shared" si="91"/>
        <v>structure with developmental contribution from neural crest</v>
      </c>
      <c r="G6297" s="9" t="s">
        <v>5090</v>
      </c>
      <c r="H6297" s="9" t="s">
        <v>24898</v>
      </c>
      <c r="I6297" s="9" t="s">
        <v>3473</v>
      </c>
      <c r="J6297" s="9" t="s">
        <v>3474</v>
      </c>
      <c r="K6297" s="7" t="s">
        <v>15171</v>
      </c>
      <c r="L6297" s="13">
        <v>10145</v>
      </c>
      <c r="M6297" t="str">
        <f>VLOOKUP(L6297,[1]HBA!$B$2:$C$4000,2,FALSE)</f>
        <v>OlfT</v>
      </c>
    </row>
    <row r="6298" spans="2:13" x14ac:dyDescent="0.25">
      <c r="B6298" s="31" t="s">
        <v>26303</v>
      </c>
      <c r="C6298" s="25" t="s">
        <v>3471</v>
      </c>
      <c r="D6298" s="25" t="s">
        <v>26232</v>
      </c>
      <c r="E6298" s="25"/>
      <c r="F6298" s="9" t="str">
        <f t="shared" si="91"/>
        <v>structure with developmental contribution from neural crest</v>
      </c>
      <c r="G6298" s="9" t="s">
        <v>5090</v>
      </c>
      <c r="H6298" s="9" t="s">
        <v>24898</v>
      </c>
      <c r="I6298" s="9" t="s">
        <v>11637</v>
      </c>
      <c r="J6298" s="9" t="s">
        <v>11638</v>
      </c>
      <c r="K6298" s="7" t="s">
        <v>15171</v>
      </c>
      <c r="L6298" s="13">
        <v>10146</v>
      </c>
      <c r="M6298" t="str">
        <f>VLOOKUP(L6298,[1]HBA!$B$2:$C$4000,2,FALSE)</f>
        <v>OlfT</v>
      </c>
    </row>
    <row r="6299" spans="2:13" x14ac:dyDescent="0.25">
      <c r="B6299" s="31" t="s">
        <v>26303</v>
      </c>
      <c r="C6299" s="25" t="s">
        <v>25830</v>
      </c>
      <c r="D6299" s="25" t="s">
        <v>26232</v>
      </c>
      <c r="E6299" s="25"/>
      <c r="F6299" s="9" t="str">
        <f t="shared" si="91"/>
        <v>structure with developmental contribution from neural crest</v>
      </c>
      <c r="G6299" s="9" t="s">
        <v>5090</v>
      </c>
      <c r="H6299" s="9" t="s">
        <v>25432</v>
      </c>
      <c r="I6299" s="9" t="s">
        <v>11639</v>
      </c>
      <c r="J6299" s="9" t="s">
        <v>11640</v>
      </c>
      <c r="K6299" s="7" t="s">
        <v>15171</v>
      </c>
      <c r="L6299" s="13">
        <v>10148</v>
      </c>
      <c r="M6299" t="str">
        <f>VLOOKUP(L6299,[1]HBA!$B$2:$C$4000,2,FALSE)</f>
        <v>CGPo</v>
      </c>
    </row>
    <row r="6300" spans="2:13" x14ac:dyDescent="0.25">
      <c r="B6300" s="31" t="s">
        <v>26303</v>
      </c>
      <c r="C6300" s="25" t="s">
        <v>25830</v>
      </c>
      <c r="D6300" s="25" t="s">
        <v>26232</v>
      </c>
      <c r="E6300" s="25"/>
      <c r="F6300" s="9" t="str">
        <f t="shared" si="91"/>
        <v>structure with developmental contribution from neural crest</v>
      </c>
      <c r="G6300" s="9" t="s">
        <v>5090</v>
      </c>
      <c r="H6300" s="9" t="s">
        <v>25432</v>
      </c>
      <c r="I6300" s="9" t="s">
        <v>11641</v>
      </c>
      <c r="J6300" s="9" t="s">
        <v>11642</v>
      </c>
      <c r="K6300" s="7" t="s">
        <v>15171</v>
      </c>
      <c r="L6300" s="13">
        <v>10149</v>
      </c>
      <c r="M6300" t="str">
        <f>VLOOKUP(L6300,[1]HBA!$B$2:$C$4000,2,FALSE)</f>
        <v>CGPo</v>
      </c>
    </row>
    <row r="6301" spans="2:13" x14ac:dyDescent="0.25">
      <c r="B6301" s="31" t="s">
        <v>26303</v>
      </c>
      <c r="C6301" s="25" t="s">
        <v>25989</v>
      </c>
      <c r="D6301" s="25" t="s">
        <v>26232</v>
      </c>
      <c r="E6301" s="25"/>
      <c r="F6301" s="9" t="str">
        <f t="shared" si="91"/>
        <v>structure with developmental contribution from neural crest</v>
      </c>
      <c r="G6301" s="9" t="s">
        <v>5090</v>
      </c>
      <c r="H6301" s="9" t="s">
        <v>19816</v>
      </c>
      <c r="I6301" s="9" t="s">
        <v>2593</v>
      </c>
      <c r="J6301" s="9" t="s">
        <v>2594</v>
      </c>
      <c r="K6301" s="7" t="s">
        <v>15171</v>
      </c>
      <c r="L6301" s="13">
        <v>12897</v>
      </c>
      <c r="M6301" t="str">
        <f>VLOOKUP(L6301,[1]HBA!$B$2:$C$4000,2,FALSE)</f>
        <v>GPe</v>
      </c>
    </row>
    <row r="6302" spans="2:13" x14ac:dyDescent="0.25">
      <c r="B6302" s="31" t="s">
        <v>26303</v>
      </c>
      <c r="C6302" s="25" t="s">
        <v>26022</v>
      </c>
      <c r="D6302" s="25" t="s">
        <v>26232</v>
      </c>
      <c r="E6302" s="25"/>
      <c r="F6302" s="9" t="str">
        <f t="shared" si="91"/>
        <v>structure with developmental contribution from neural crest</v>
      </c>
      <c r="G6302" s="9" t="s">
        <v>5090</v>
      </c>
      <c r="H6302" s="9" t="s">
        <v>19818</v>
      </c>
      <c r="I6302" s="9" t="s">
        <v>2915</v>
      </c>
      <c r="J6302" s="9" t="s">
        <v>2916</v>
      </c>
      <c r="K6302" s="7" t="s">
        <v>15171</v>
      </c>
      <c r="L6302" s="13">
        <v>12898</v>
      </c>
      <c r="M6302" t="str">
        <f>VLOOKUP(L6302,[1]HBA!$B$2:$C$4000,2,FALSE)</f>
        <v>GPi</v>
      </c>
    </row>
    <row r="6303" spans="2:13" x14ac:dyDescent="0.25">
      <c r="B6303" s="31" t="s">
        <v>26303</v>
      </c>
      <c r="C6303" s="25" t="s">
        <v>25809</v>
      </c>
      <c r="D6303" s="25" t="s">
        <v>26232</v>
      </c>
      <c r="E6303" s="25"/>
      <c r="F6303" s="9" t="str">
        <f t="shared" si="91"/>
        <v>structure with developmental contribution from neural crest</v>
      </c>
      <c r="G6303" s="9" t="s">
        <v>5090</v>
      </c>
      <c r="H6303" s="9" t="s">
        <v>24902</v>
      </c>
      <c r="I6303" s="9" t="s">
        <v>573</v>
      </c>
      <c r="J6303" s="9" t="s">
        <v>574</v>
      </c>
      <c r="K6303" s="7" t="s">
        <v>15171</v>
      </c>
      <c r="L6303" s="13">
        <v>12899</v>
      </c>
      <c r="M6303" t="str">
        <f>VLOOKUP(L6303,[1]HBA!$B$2:$C$4000,2,FALSE)</f>
        <v>BCd</v>
      </c>
    </row>
    <row r="6304" spans="2:13" x14ac:dyDescent="0.25">
      <c r="B6304" s="31" t="s">
        <v>26303</v>
      </c>
      <c r="C6304" s="25" t="s">
        <v>25957</v>
      </c>
      <c r="D6304" s="25" t="s">
        <v>26232</v>
      </c>
      <c r="E6304" s="25"/>
      <c r="F6304" s="9" t="str">
        <f t="shared" si="91"/>
        <v>structure with developmental contribution from neural crest</v>
      </c>
      <c r="G6304" s="9" t="s">
        <v>5090</v>
      </c>
      <c r="H6304" s="9" t="s">
        <v>24903</v>
      </c>
      <c r="I6304" s="9" t="s">
        <v>2156</v>
      </c>
      <c r="J6304" s="9" t="s">
        <v>2157</v>
      </c>
      <c r="K6304" s="7" t="s">
        <v>15171</v>
      </c>
      <c r="L6304" s="13">
        <v>12900</v>
      </c>
      <c r="M6304" t="str">
        <f>VLOOKUP(L6304,[1]HBA!$B$2:$C$4000,2,FALSE)</f>
        <v>HCd</v>
      </c>
    </row>
    <row r="6305" spans="2:13" x14ac:dyDescent="0.25">
      <c r="B6305" s="31" t="s">
        <v>26303</v>
      </c>
      <c r="C6305" s="25" t="s">
        <v>26253</v>
      </c>
      <c r="D6305" s="25" t="s">
        <v>26232</v>
      </c>
      <c r="E6305" s="25"/>
      <c r="F6305" s="9" t="str">
        <f t="shared" si="91"/>
        <v>structure with developmental contribution from neural crest</v>
      </c>
      <c r="G6305" s="9" t="s">
        <v>5090</v>
      </c>
      <c r="H6305" s="9" t="s">
        <v>24904</v>
      </c>
      <c r="I6305" s="9" t="s">
        <v>11643</v>
      </c>
      <c r="J6305" s="9" t="s">
        <v>11644</v>
      </c>
      <c r="K6305" s="7" t="s">
        <v>15171</v>
      </c>
      <c r="L6305" s="13">
        <v>12901</v>
      </c>
      <c r="M6305" t="str">
        <f>VLOOKUP(L6305,[1]HBA!$B$2:$C$4000,2,FALSE)</f>
        <v>TCd</v>
      </c>
    </row>
    <row r="6306" spans="2:13" x14ac:dyDescent="0.25">
      <c r="B6306" s="31" t="s">
        <v>26303</v>
      </c>
      <c r="C6306" s="25" t="s">
        <v>1472</v>
      </c>
      <c r="D6306" s="25" t="s">
        <v>26232</v>
      </c>
      <c r="E6306" s="25"/>
      <c r="F6306" s="9" t="str">
        <f t="shared" si="91"/>
        <v>structure with developmental contribution from neural crest</v>
      </c>
      <c r="G6306" s="9" t="s">
        <v>5090</v>
      </c>
      <c r="H6306" s="9" t="s">
        <v>25428</v>
      </c>
      <c r="I6306" s="9" t="s">
        <v>1472</v>
      </c>
      <c r="J6306" s="9" t="s">
        <v>1473</v>
      </c>
      <c r="K6306" s="7" t="s">
        <v>15171</v>
      </c>
      <c r="L6306" s="13">
        <v>12946</v>
      </c>
      <c r="M6306" t="str">
        <f>VLOOKUP(L6306,[1]HBA!$B$2:$C$4000,2,FALSE)</f>
        <v>Dt</v>
      </c>
    </row>
    <row r="6307" spans="2:13" x14ac:dyDescent="0.25">
      <c r="B6307" s="31" t="s">
        <v>26303</v>
      </c>
      <c r="C6307" s="25" t="s">
        <v>843</v>
      </c>
      <c r="D6307" s="25" t="s">
        <v>26232</v>
      </c>
      <c r="E6307" s="25"/>
      <c r="F6307" s="9" t="str">
        <f t="shared" si="91"/>
        <v>structure with developmental contribution from neural crest</v>
      </c>
      <c r="G6307" s="9" t="s">
        <v>5090</v>
      </c>
      <c r="H6307" s="9" t="s">
        <v>24250</v>
      </c>
      <c r="I6307" s="9" t="s">
        <v>843</v>
      </c>
      <c r="J6307" s="9" t="s">
        <v>1840</v>
      </c>
      <c r="K6307" s="7" t="s">
        <v>15171</v>
      </c>
      <c r="L6307" s="13">
        <v>12948</v>
      </c>
      <c r="M6307" t="str">
        <f>VLOOKUP(L6307,[1]HBA!$B$2:$C$4000,2,FALSE)</f>
        <v>Fas</v>
      </c>
    </row>
    <row r="6308" spans="2:13" x14ac:dyDescent="0.25">
      <c r="B6308" s="31" t="s">
        <v>26303</v>
      </c>
      <c r="C6308" s="25" t="s">
        <v>1008</v>
      </c>
      <c r="D6308" s="25" t="s">
        <v>26232</v>
      </c>
      <c r="E6308" s="25"/>
      <c r="F6308" s="9" t="str">
        <f t="shared" si="91"/>
        <v>structure with developmental contribution from neural crest</v>
      </c>
      <c r="G6308" s="9" t="s">
        <v>5090</v>
      </c>
      <c r="H6308" s="9" t="s">
        <v>24600</v>
      </c>
      <c r="I6308" s="9" t="s">
        <v>1008</v>
      </c>
      <c r="J6308" s="9" t="s">
        <v>11645</v>
      </c>
      <c r="K6308" s="7" t="s">
        <v>15171</v>
      </c>
      <c r="L6308" s="13">
        <v>12950</v>
      </c>
      <c r="M6308" t="str">
        <f>VLOOKUP(L6308,[1]HBA!$B$2:$C$4000,2,FALSE)</f>
        <v>ctg</v>
      </c>
    </row>
    <row r="6309" spans="2:13" x14ac:dyDescent="0.25">
      <c r="B6309" s="31" t="s">
        <v>26303</v>
      </c>
      <c r="C6309" s="25" t="s">
        <v>1008</v>
      </c>
      <c r="D6309" s="25" t="s">
        <v>26232</v>
      </c>
      <c r="E6309" s="25"/>
      <c r="F6309" s="9" t="str">
        <f t="shared" si="91"/>
        <v>structure with developmental contribution from neural crest</v>
      </c>
      <c r="G6309" s="9" t="s">
        <v>5090</v>
      </c>
      <c r="H6309" s="9" t="s">
        <v>24600</v>
      </c>
      <c r="I6309" s="9" t="s">
        <v>11646</v>
      </c>
      <c r="J6309" s="9" t="s">
        <v>11647</v>
      </c>
      <c r="K6309" s="7" t="s">
        <v>15171</v>
      </c>
      <c r="L6309" s="13">
        <v>12951</v>
      </c>
      <c r="M6309" t="str">
        <f>VLOOKUP(L6309,[1]HBA!$B$2:$C$4000,2,FALSE)</f>
        <v>ctg</v>
      </c>
    </row>
    <row r="6310" spans="2:13" x14ac:dyDescent="0.25">
      <c r="B6310" s="31" t="s">
        <v>26303</v>
      </c>
      <c r="C6310" s="25" t="s">
        <v>1008</v>
      </c>
      <c r="D6310" s="25" t="s">
        <v>26232</v>
      </c>
      <c r="E6310" s="25"/>
      <c r="F6310" s="9" t="str">
        <f t="shared" si="91"/>
        <v>structure with developmental contribution from neural crest</v>
      </c>
      <c r="G6310" s="9" t="s">
        <v>5090</v>
      </c>
      <c r="H6310" s="9" t="s">
        <v>24600</v>
      </c>
      <c r="I6310" s="9" t="s">
        <v>1010</v>
      </c>
      <c r="J6310" s="9" t="s">
        <v>1011</v>
      </c>
      <c r="K6310" s="7" t="s">
        <v>15171</v>
      </c>
      <c r="L6310" s="13">
        <v>12952</v>
      </c>
      <c r="M6310" t="str">
        <f>VLOOKUP(L6310,[1]HBA!$B$2:$C$4000,2,FALSE)</f>
        <v>ctg</v>
      </c>
    </row>
    <row r="6311" spans="2:13" x14ac:dyDescent="0.25">
      <c r="B6311" s="31" t="s">
        <v>26303</v>
      </c>
      <c r="C6311" s="25" t="s">
        <v>25956</v>
      </c>
      <c r="D6311" s="25" t="s">
        <v>26232</v>
      </c>
      <c r="E6311" s="25"/>
      <c r="F6311" s="9" t="str">
        <f t="shared" si="91"/>
        <v>structure with developmental contribution from neural crest</v>
      </c>
      <c r="G6311" s="9" t="s">
        <v>5090</v>
      </c>
      <c r="H6311" s="9" t="s">
        <v>20945</v>
      </c>
      <c r="I6311" s="9" t="s">
        <v>2150</v>
      </c>
      <c r="J6311" s="9" t="s">
        <v>2151</v>
      </c>
      <c r="K6311" s="7" t="s">
        <v>15171</v>
      </c>
      <c r="L6311" s="13">
        <v>12953</v>
      </c>
      <c r="M6311" t="str">
        <f>VLOOKUP(L6311,[1]HBA!$B$2:$C$4000,2,FALSE)</f>
        <v>fr</v>
      </c>
    </row>
    <row r="6312" spans="2:13" x14ac:dyDescent="0.25">
      <c r="B6312" s="31" t="s">
        <v>26303</v>
      </c>
      <c r="C6312" s="25" t="s">
        <v>25956</v>
      </c>
      <c r="D6312" s="25" t="s">
        <v>26232</v>
      </c>
      <c r="E6312" s="25"/>
      <c r="F6312" s="9" t="str">
        <f t="shared" si="91"/>
        <v>structure with developmental contribution from neural crest</v>
      </c>
      <c r="G6312" s="9" t="s">
        <v>5090</v>
      </c>
      <c r="H6312" s="9" t="s">
        <v>20945</v>
      </c>
      <c r="I6312" s="9" t="s">
        <v>11648</v>
      </c>
      <c r="J6312" s="9" t="s">
        <v>11649</v>
      </c>
      <c r="K6312" s="7" t="s">
        <v>15171</v>
      </c>
      <c r="L6312" s="13">
        <v>12954</v>
      </c>
      <c r="M6312" t="str">
        <f>VLOOKUP(L6312,[1]HBA!$B$2:$C$4000,2,FALSE)</f>
        <v>fr</v>
      </c>
    </row>
    <row r="6313" spans="2:13" x14ac:dyDescent="0.25">
      <c r="B6313" s="31" t="s">
        <v>26303</v>
      </c>
      <c r="C6313" s="25" t="s">
        <v>25956</v>
      </c>
      <c r="D6313" s="25" t="s">
        <v>26232</v>
      </c>
      <c r="E6313" s="25"/>
      <c r="F6313" s="9" t="str">
        <f t="shared" si="91"/>
        <v>structure with developmental contribution from neural crest</v>
      </c>
      <c r="G6313" s="9" t="s">
        <v>5090</v>
      </c>
      <c r="H6313" s="9" t="s">
        <v>20945</v>
      </c>
      <c r="I6313" s="9" t="s">
        <v>11650</v>
      </c>
      <c r="J6313" s="9" t="s">
        <v>11651</v>
      </c>
      <c r="K6313" s="7" t="s">
        <v>15171</v>
      </c>
      <c r="L6313" s="13">
        <v>12955</v>
      </c>
      <c r="M6313" t="str">
        <f>VLOOKUP(L6313,[1]HBA!$B$2:$C$4000,2,FALSE)</f>
        <v>fr</v>
      </c>
    </row>
    <row r="6314" spans="2:13" x14ac:dyDescent="0.25">
      <c r="B6314" s="31" t="s">
        <v>26303</v>
      </c>
      <c r="C6314" s="25" t="s">
        <v>2607</v>
      </c>
      <c r="D6314" s="25" t="s">
        <v>26232</v>
      </c>
      <c r="E6314" s="25"/>
      <c r="F6314" s="9" t="str">
        <f t="shared" si="91"/>
        <v>structure with developmental contribution from neural crest</v>
      </c>
      <c r="G6314" s="9" t="s">
        <v>5090</v>
      </c>
      <c r="H6314" s="9" t="s">
        <v>18469</v>
      </c>
      <c r="I6314" s="9" t="s">
        <v>2607</v>
      </c>
      <c r="J6314" s="9" t="s">
        <v>11652</v>
      </c>
      <c r="K6314" s="7" t="s">
        <v>15171</v>
      </c>
      <c r="L6314" s="13">
        <v>12956</v>
      </c>
      <c r="M6314" t="str">
        <f>VLOOKUP(L6314,[1]HBA!$B$2:$C$4000,2,FALSE)</f>
        <v>ll</v>
      </c>
    </row>
    <row r="6315" spans="2:13" x14ac:dyDescent="0.25">
      <c r="B6315" s="31" t="s">
        <v>26303</v>
      </c>
      <c r="C6315" s="25" t="s">
        <v>2607</v>
      </c>
      <c r="D6315" s="25" t="s">
        <v>26232</v>
      </c>
      <c r="E6315" s="25"/>
      <c r="F6315" s="9" t="str">
        <f t="shared" si="91"/>
        <v>structure with developmental contribution from neural crest</v>
      </c>
      <c r="G6315" s="9" t="s">
        <v>5090</v>
      </c>
      <c r="H6315" s="9" t="s">
        <v>18469</v>
      </c>
      <c r="I6315" s="9" t="s">
        <v>11653</v>
      </c>
      <c r="J6315" s="9" t="s">
        <v>11654</v>
      </c>
      <c r="K6315" s="7" t="s">
        <v>15171</v>
      </c>
      <c r="L6315" s="13">
        <v>12957</v>
      </c>
      <c r="M6315" t="str">
        <f>VLOOKUP(L6315,[1]HBA!$B$2:$C$4000,2,FALSE)</f>
        <v>ll</v>
      </c>
    </row>
    <row r="6316" spans="2:13" x14ac:dyDescent="0.25">
      <c r="B6316" s="31" t="s">
        <v>26303</v>
      </c>
      <c r="C6316" s="25" t="s">
        <v>2607</v>
      </c>
      <c r="D6316" s="25" t="s">
        <v>26232</v>
      </c>
      <c r="E6316" s="25"/>
      <c r="F6316" s="9" t="str">
        <f t="shared" si="91"/>
        <v>structure with developmental contribution from neural crest</v>
      </c>
      <c r="G6316" s="9" t="s">
        <v>5090</v>
      </c>
      <c r="H6316" s="9" t="s">
        <v>18469</v>
      </c>
      <c r="I6316" s="9" t="s">
        <v>2610</v>
      </c>
      <c r="J6316" s="9" t="s">
        <v>2611</v>
      </c>
      <c r="K6316" s="7" t="s">
        <v>15171</v>
      </c>
      <c r="L6316" s="13">
        <v>12958</v>
      </c>
      <c r="M6316" t="str">
        <f>VLOOKUP(L6316,[1]HBA!$B$2:$C$4000,2,FALSE)</f>
        <v>ll</v>
      </c>
    </row>
    <row r="6317" spans="2:13" x14ac:dyDescent="0.25">
      <c r="B6317" s="31" t="s">
        <v>26303</v>
      </c>
      <c r="C6317" s="25" t="s">
        <v>2924</v>
      </c>
      <c r="D6317" s="25" t="s">
        <v>26232</v>
      </c>
      <c r="E6317" s="25"/>
      <c r="F6317" s="9" t="str">
        <f t="shared" si="91"/>
        <v>structure with developmental contribution from neural crest</v>
      </c>
      <c r="G6317" s="9" t="s">
        <v>5090</v>
      </c>
      <c r="H6317" s="9" t="s">
        <v>18472</v>
      </c>
      <c r="I6317" s="9" t="s">
        <v>2924</v>
      </c>
      <c r="J6317" s="9" t="s">
        <v>11655</v>
      </c>
      <c r="K6317" s="7" t="s">
        <v>15171</v>
      </c>
      <c r="L6317" s="13">
        <v>12959</v>
      </c>
      <c r="M6317" t="str">
        <f>VLOOKUP(L6317,[1]HBA!$B$2:$C$4000,2,FALSE)</f>
        <v>ml</v>
      </c>
    </row>
    <row r="6318" spans="2:13" x14ac:dyDescent="0.25">
      <c r="B6318" s="31" t="s">
        <v>26303</v>
      </c>
      <c r="C6318" s="25" t="s">
        <v>2924</v>
      </c>
      <c r="D6318" s="25" t="s">
        <v>26232</v>
      </c>
      <c r="E6318" s="25"/>
      <c r="F6318" s="9" t="str">
        <f t="shared" si="91"/>
        <v>structure with developmental contribution from neural crest</v>
      </c>
      <c r="G6318" s="9" t="s">
        <v>5090</v>
      </c>
      <c r="H6318" s="9" t="s">
        <v>18472</v>
      </c>
      <c r="I6318" s="9" t="s">
        <v>11656</v>
      </c>
      <c r="J6318" s="9" t="s">
        <v>11657</v>
      </c>
      <c r="K6318" s="7" t="s">
        <v>15171</v>
      </c>
      <c r="L6318" s="13">
        <v>12960</v>
      </c>
      <c r="M6318" t="str">
        <f>VLOOKUP(L6318,[1]HBA!$B$2:$C$4000,2,FALSE)</f>
        <v>ml</v>
      </c>
    </row>
    <row r="6319" spans="2:13" x14ac:dyDescent="0.25">
      <c r="B6319" s="31" t="s">
        <v>26303</v>
      </c>
      <c r="C6319" s="25" t="s">
        <v>2924</v>
      </c>
      <c r="D6319" s="25" t="s">
        <v>26232</v>
      </c>
      <c r="E6319" s="25"/>
      <c r="F6319" s="9" t="str">
        <f t="shared" si="91"/>
        <v>structure with developmental contribution from neural crest</v>
      </c>
      <c r="G6319" s="9" t="s">
        <v>5090</v>
      </c>
      <c r="H6319" s="9" t="s">
        <v>18472</v>
      </c>
      <c r="I6319" s="9" t="s">
        <v>2927</v>
      </c>
      <c r="J6319" s="9" t="s">
        <v>2928</v>
      </c>
      <c r="K6319" s="7" t="s">
        <v>15171</v>
      </c>
      <c r="L6319" s="13">
        <v>12961</v>
      </c>
      <c r="M6319" t="str">
        <f>VLOOKUP(L6319,[1]HBA!$B$2:$C$4000,2,FALSE)</f>
        <v>ml</v>
      </c>
    </row>
    <row r="6320" spans="2:13" x14ac:dyDescent="0.25">
      <c r="B6320" s="31" t="s">
        <v>26303</v>
      </c>
      <c r="C6320" s="20"/>
      <c r="D6320" s="25" t="s">
        <v>26185</v>
      </c>
      <c r="E6320" s="25" t="s">
        <v>26300</v>
      </c>
      <c r="F6320" s="9" t="str">
        <f t="shared" si="91"/>
        <v>structure with developmental contribution from neural crest</v>
      </c>
      <c r="G6320" s="9" t="s">
        <v>5090</v>
      </c>
      <c r="H6320" s="9" t="s">
        <v>18489</v>
      </c>
      <c r="I6320" s="9" t="s">
        <v>7778</v>
      </c>
      <c r="J6320" s="9" t="s">
        <v>11658</v>
      </c>
      <c r="K6320" s="7" t="s">
        <v>15171</v>
      </c>
      <c r="L6320" s="13">
        <v>12962</v>
      </c>
      <c r="M6320" t="str">
        <f>VLOOKUP(L6320,[1]HBA!$B$2:$C$4000,2,FALSE)</f>
        <v>py</v>
      </c>
    </row>
    <row r="6321" spans="2:13" x14ac:dyDescent="0.25">
      <c r="B6321" s="31" t="s">
        <v>26303</v>
      </c>
      <c r="C6321" s="20"/>
      <c r="D6321" s="25" t="s">
        <v>26185</v>
      </c>
      <c r="E6321" s="25" t="s">
        <v>26300</v>
      </c>
      <c r="F6321" s="9" t="str">
        <f t="shared" si="91"/>
        <v>structure with developmental contribution from neural crest</v>
      </c>
      <c r="G6321" s="9" t="s">
        <v>5090</v>
      </c>
      <c r="H6321" s="9" t="s">
        <v>18489</v>
      </c>
      <c r="I6321" s="9" t="s">
        <v>11659</v>
      </c>
      <c r="J6321" s="9" t="s">
        <v>11660</v>
      </c>
      <c r="K6321" s="7" t="s">
        <v>15171</v>
      </c>
      <c r="L6321" s="13">
        <v>12963</v>
      </c>
      <c r="M6321" t="str">
        <f>VLOOKUP(L6321,[1]HBA!$B$2:$C$4000,2,FALSE)</f>
        <v>py</v>
      </c>
    </row>
    <row r="6322" spans="2:13" x14ac:dyDescent="0.25">
      <c r="B6322" s="31" t="s">
        <v>26303</v>
      </c>
      <c r="C6322" s="20"/>
      <c r="D6322" s="25" t="s">
        <v>26185</v>
      </c>
      <c r="E6322" s="25" t="s">
        <v>26300</v>
      </c>
      <c r="F6322" s="9" t="str">
        <f t="shared" si="91"/>
        <v>structure with developmental contribution from neural crest</v>
      </c>
      <c r="G6322" s="9" t="s">
        <v>5090</v>
      </c>
      <c r="H6322" s="9" t="s">
        <v>18489</v>
      </c>
      <c r="I6322" s="9" t="s">
        <v>11661</v>
      </c>
      <c r="J6322" s="9" t="s">
        <v>11662</v>
      </c>
      <c r="K6322" s="7" t="s">
        <v>15171</v>
      </c>
      <c r="L6322" s="13">
        <v>12964</v>
      </c>
      <c r="M6322" t="str">
        <f>VLOOKUP(L6322,[1]HBA!$B$2:$C$4000,2,FALSE)</f>
        <v>py</v>
      </c>
    </row>
    <row r="6323" spans="2:13" x14ac:dyDescent="0.25">
      <c r="B6323" s="31" t="s">
        <v>26303</v>
      </c>
      <c r="C6323" s="35" t="s">
        <v>4213</v>
      </c>
      <c r="D6323" s="25" t="s">
        <v>26232</v>
      </c>
      <c r="E6323" s="25"/>
      <c r="F6323" s="9" t="str">
        <f t="shared" si="91"/>
        <v>structure with developmental contribution from neural crest</v>
      </c>
      <c r="G6323" s="9" t="s">
        <v>5090</v>
      </c>
      <c r="H6323" s="9" t="s">
        <v>25513</v>
      </c>
      <c r="I6323" s="9" t="s">
        <v>4213</v>
      </c>
      <c r="J6323" s="9" t="s">
        <v>4217</v>
      </c>
      <c r="K6323" s="7" t="s">
        <v>15171</v>
      </c>
      <c r="L6323" s="13">
        <v>12965</v>
      </c>
      <c r="M6323" t="str">
        <f>VLOOKUP(L6323,[1]HBA!$B$2:$C$4000,2,FALSE)</f>
        <v>pyx</v>
      </c>
    </row>
    <row r="6324" spans="2:13" x14ac:dyDescent="0.25">
      <c r="B6324" s="31" t="s">
        <v>26303</v>
      </c>
      <c r="C6324" s="25" t="s">
        <v>26219</v>
      </c>
      <c r="D6324" s="25" t="s">
        <v>26232</v>
      </c>
      <c r="E6324" s="25"/>
      <c r="F6324" s="9" t="str">
        <f t="shared" si="91"/>
        <v>structure with developmental contribution from neural crest</v>
      </c>
      <c r="G6324" s="9" t="s">
        <v>5090</v>
      </c>
      <c r="H6324" s="9" t="s">
        <v>24892</v>
      </c>
      <c r="I6324" s="9" t="s">
        <v>4958</v>
      </c>
      <c r="J6324" s="9" t="s">
        <v>4960</v>
      </c>
      <c r="K6324" s="7" t="s">
        <v>15171</v>
      </c>
      <c r="L6324" s="13">
        <v>13002</v>
      </c>
      <c r="M6324" t="str">
        <f>VLOOKUP(L6324,[1]HBA!$B$2:$C$4000,2,FALSE)</f>
        <v>SptN</v>
      </c>
    </row>
    <row r="6325" spans="2:13" x14ac:dyDescent="0.25">
      <c r="B6325" s="31" t="s">
        <v>26303</v>
      </c>
      <c r="C6325" s="25" t="s">
        <v>7966</v>
      </c>
      <c r="D6325" s="25" t="s">
        <v>26232</v>
      </c>
      <c r="E6325" s="25"/>
      <c r="F6325" s="9" t="str">
        <f t="shared" si="91"/>
        <v>structure with developmental contribution from neural crest</v>
      </c>
      <c r="G6325" s="9" t="s">
        <v>5090</v>
      </c>
      <c r="H6325" s="9" t="s">
        <v>19822</v>
      </c>
      <c r="I6325" s="9" t="s">
        <v>7966</v>
      </c>
      <c r="J6325" s="9" t="s">
        <v>11663</v>
      </c>
      <c r="K6325" s="7" t="s">
        <v>15171</v>
      </c>
      <c r="L6325" s="13">
        <v>13003</v>
      </c>
      <c r="M6325" t="str">
        <f>VLOOKUP(L6325,[1]HBA!$B$2:$C$4000,2,FALSE)</f>
        <v>SI</v>
      </c>
    </row>
    <row r="6326" spans="2:13" x14ac:dyDescent="0.25">
      <c r="B6326" s="31" t="s">
        <v>26303</v>
      </c>
      <c r="C6326" s="25" t="s">
        <v>26073</v>
      </c>
      <c r="D6326" s="25" t="s">
        <v>26232</v>
      </c>
      <c r="E6326" s="25"/>
      <c r="F6326" s="9" t="str">
        <f t="shared" si="91"/>
        <v>structure with developmental contribution from neural crest</v>
      </c>
      <c r="G6326" s="9" t="s">
        <v>5090</v>
      </c>
      <c r="H6326" s="9" t="s">
        <v>24769</v>
      </c>
      <c r="I6326" s="9" t="s">
        <v>11664</v>
      </c>
      <c r="J6326" s="9" t="s">
        <v>11665</v>
      </c>
      <c r="K6326" s="7" t="s">
        <v>15171</v>
      </c>
      <c r="L6326" s="13">
        <v>265504410</v>
      </c>
      <c r="M6326" t="str">
        <f>VLOOKUP(L6326,[1]HBA!$B$2:$C$4000,2,FALSE)</f>
        <v>OlfA</v>
      </c>
    </row>
    <row r="6327" spans="2:13" x14ac:dyDescent="0.25">
      <c r="B6327" s="31" t="s">
        <v>26303</v>
      </c>
      <c r="C6327" s="25" t="s">
        <v>26073</v>
      </c>
      <c r="D6327" s="25" t="s">
        <v>26232</v>
      </c>
      <c r="E6327" s="25"/>
      <c r="F6327" s="9" t="str">
        <f t="shared" ref="F6327:F6390" si="92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6327" s="9" t="s">
        <v>5090</v>
      </c>
      <c r="H6327" s="9" t="s">
        <v>24769</v>
      </c>
      <c r="I6327" s="9" t="s">
        <v>11666</v>
      </c>
      <c r="J6327" s="9" t="s">
        <v>11667</v>
      </c>
      <c r="K6327" s="7" t="s">
        <v>15171</v>
      </c>
      <c r="L6327" s="13">
        <v>265504414</v>
      </c>
      <c r="M6327" t="str">
        <f>VLOOKUP(L6327,[1]HBA!$B$2:$C$4000,2,FALSE)</f>
        <v>OlfA</v>
      </c>
    </row>
    <row r="6328" spans="2:13" x14ac:dyDescent="0.25">
      <c r="B6328" s="31" t="s">
        <v>26303</v>
      </c>
      <c r="C6328" s="25" t="s">
        <v>2345</v>
      </c>
      <c r="D6328" s="25" t="s">
        <v>26232</v>
      </c>
      <c r="E6328" s="25"/>
      <c r="F6328" s="9" t="str">
        <f t="shared" si="92"/>
        <v>structure with developmental contribution from neural crest</v>
      </c>
      <c r="G6328" s="9" t="s">
        <v>5090</v>
      </c>
      <c r="H6328" s="9" t="s">
        <v>15946</v>
      </c>
      <c r="I6328" s="9" t="s">
        <v>11668</v>
      </c>
      <c r="J6328" s="9" t="s">
        <v>11669</v>
      </c>
      <c r="K6328" s="7" t="s">
        <v>15171</v>
      </c>
      <c r="L6328" s="13">
        <v>265504428</v>
      </c>
      <c r="M6328" t="str">
        <f>VLOOKUP(L6328,[1]HBA!$B$2:$C$4000,2,FALSE)</f>
        <v>IG</v>
      </c>
    </row>
    <row r="6329" spans="2:13" x14ac:dyDescent="0.25">
      <c r="B6329" s="31" t="s">
        <v>26303</v>
      </c>
      <c r="C6329" s="25" t="s">
        <v>2345</v>
      </c>
      <c r="D6329" s="25" t="s">
        <v>26232</v>
      </c>
      <c r="E6329" s="25"/>
      <c r="F6329" s="9" t="str">
        <f t="shared" si="92"/>
        <v>structure with developmental contribution from neural crest</v>
      </c>
      <c r="G6329" s="9" t="s">
        <v>5090</v>
      </c>
      <c r="H6329" s="9" t="s">
        <v>15946</v>
      </c>
      <c r="I6329" s="9" t="s">
        <v>11670</v>
      </c>
      <c r="J6329" s="9" t="s">
        <v>11671</v>
      </c>
      <c r="K6329" s="7" t="s">
        <v>15171</v>
      </c>
      <c r="L6329" s="13">
        <v>265504432</v>
      </c>
      <c r="M6329" t="str">
        <f>VLOOKUP(L6329,[1]HBA!$B$2:$C$4000,2,FALSE)</f>
        <v>IG</v>
      </c>
    </row>
    <row r="6330" spans="2:13" x14ac:dyDescent="0.25">
      <c r="B6330" s="31" t="s">
        <v>26303</v>
      </c>
      <c r="C6330" s="20"/>
      <c r="D6330" s="25" t="s">
        <v>26232</v>
      </c>
      <c r="E6330" s="25" t="s">
        <v>26309</v>
      </c>
      <c r="F6330" s="9" t="str">
        <f t="shared" si="92"/>
        <v>structure with developmental contribution from neural crest</v>
      </c>
      <c r="G6330" s="9" t="s">
        <v>5090</v>
      </c>
      <c r="H6330" s="9" t="s">
        <v>19689</v>
      </c>
      <c r="I6330" s="9" t="s">
        <v>11672</v>
      </c>
      <c r="J6330" s="9" t="s">
        <v>11673</v>
      </c>
      <c r="K6330" s="7" t="s">
        <v>15171</v>
      </c>
      <c r="L6330" s="13">
        <v>265504436</v>
      </c>
      <c r="M6330" t="str">
        <f>VLOOKUP(L6330,[1]HBA!$B$2:$C$4000,2,FALSE)</f>
        <v>ProS</v>
      </c>
    </row>
    <row r="6331" spans="2:13" x14ac:dyDescent="0.25">
      <c r="B6331" s="31" t="s">
        <v>26303</v>
      </c>
      <c r="C6331" s="25" t="s">
        <v>14722</v>
      </c>
      <c r="D6331" s="25" t="s">
        <v>26232</v>
      </c>
      <c r="E6331" s="25"/>
      <c r="F6331" s="9" t="str">
        <f t="shared" si="92"/>
        <v>structure with developmental contribution from neural crest</v>
      </c>
      <c r="G6331" s="9" t="s">
        <v>5090</v>
      </c>
      <c r="H6331" s="9" t="s">
        <v>23095</v>
      </c>
      <c r="I6331" s="9" t="s">
        <v>11674</v>
      </c>
      <c r="J6331" s="9" t="s">
        <v>11675</v>
      </c>
      <c r="K6331" s="7" t="s">
        <v>15171</v>
      </c>
      <c r="L6331" s="13">
        <v>265504440</v>
      </c>
      <c r="M6331" t="str">
        <f>VLOOKUP(L6331,[1]HBA!$B$2:$C$4000,2,FALSE)</f>
        <v>Sub</v>
      </c>
    </row>
    <row r="6332" spans="2:13" x14ac:dyDescent="0.25">
      <c r="B6332" s="31" t="s">
        <v>26303</v>
      </c>
      <c r="C6332" s="20"/>
      <c r="D6332" s="25" t="s">
        <v>26232</v>
      </c>
      <c r="E6332" s="25" t="s">
        <v>26309</v>
      </c>
      <c r="F6332" s="9" t="str">
        <f t="shared" si="92"/>
        <v>structure with developmental contribution from neural crest</v>
      </c>
      <c r="G6332" s="9" t="s">
        <v>5090</v>
      </c>
      <c r="H6332" s="9" t="s">
        <v>19689</v>
      </c>
      <c r="I6332" s="9" t="s">
        <v>11676</v>
      </c>
      <c r="J6332" s="9" t="s">
        <v>11677</v>
      </c>
      <c r="K6332" s="7" t="s">
        <v>15171</v>
      </c>
      <c r="L6332" s="13">
        <v>265504444</v>
      </c>
      <c r="M6332" t="str">
        <f>VLOOKUP(L6332,[1]HBA!$B$2:$C$4000,2,FALSE)</f>
        <v>ProS</v>
      </c>
    </row>
    <row r="6333" spans="2:13" x14ac:dyDescent="0.25">
      <c r="B6333" s="31" t="s">
        <v>26303</v>
      </c>
      <c r="C6333" s="25" t="s">
        <v>14722</v>
      </c>
      <c r="D6333" s="25" t="s">
        <v>26232</v>
      </c>
      <c r="E6333" s="25"/>
      <c r="F6333" s="9" t="str">
        <f t="shared" si="92"/>
        <v>structure with developmental contribution from neural crest</v>
      </c>
      <c r="G6333" s="9" t="s">
        <v>5090</v>
      </c>
      <c r="H6333" s="9" t="s">
        <v>23095</v>
      </c>
      <c r="I6333" s="9" t="s">
        <v>11678</v>
      </c>
      <c r="J6333" s="9" t="s">
        <v>11679</v>
      </c>
      <c r="K6333" s="7" t="s">
        <v>15171</v>
      </c>
      <c r="L6333" s="13">
        <v>265504448</v>
      </c>
      <c r="M6333" t="str">
        <f>VLOOKUP(L6333,[1]HBA!$B$2:$C$4000,2,FALSE)</f>
        <v>Sub</v>
      </c>
    </row>
    <row r="6334" spans="2:13" x14ac:dyDescent="0.25">
      <c r="B6334" s="31" t="s">
        <v>26303</v>
      </c>
      <c r="C6334" s="25" t="s">
        <v>237</v>
      </c>
      <c r="D6334" s="25" t="s">
        <v>26232</v>
      </c>
      <c r="E6334" s="20" t="s">
        <v>26300</v>
      </c>
      <c r="F6334" s="9" t="str">
        <f t="shared" si="92"/>
        <v>structure with developmental contribution from neural crest</v>
      </c>
      <c r="G6334" s="9" t="s">
        <v>5090</v>
      </c>
      <c r="H6334" s="9" t="s">
        <v>24846</v>
      </c>
      <c r="I6334" s="9" t="s">
        <v>11680</v>
      </c>
      <c r="J6334" s="9" t="s">
        <v>11681</v>
      </c>
      <c r="K6334" s="7" t="s">
        <v>15171</v>
      </c>
      <c r="L6334" s="13">
        <v>265504460</v>
      </c>
      <c r="M6334" t="str">
        <f>VLOOKUP(L6334,[1]HBA!$B$2:$C$4000,2,FALSE)</f>
        <v>AHiAml</v>
      </c>
    </row>
    <row r="6335" spans="2:13" x14ac:dyDescent="0.25">
      <c r="B6335" s="31" t="s">
        <v>26303</v>
      </c>
      <c r="C6335" s="25" t="s">
        <v>25774</v>
      </c>
      <c r="D6335" s="25" t="s">
        <v>26232</v>
      </c>
      <c r="E6335" s="25"/>
      <c r="F6335" s="9" t="str">
        <f t="shared" si="92"/>
        <v>structure with developmental contribution from neural crest</v>
      </c>
      <c r="G6335" s="9" t="s">
        <v>5090</v>
      </c>
      <c r="H6335" s="9" t="s">
        <v>24844</v>
      </c>
      <c r="I6335" s="9" t="s">
        <v>11682</v>
      </c>
      <c r="J6335" s="9" t="s">
        <v>11683</v>
      </c>
      <c r="K6335" s="7" t="s">
        <v>15171</v>
      </c>
      <c r="L6335" s="13">
        <v>265504464</v>
      </c>
      <c r="M6335" t="str">
        <f>VLOOKUP(L6335,[1]HBA!$B$2:$C$4000,2,FALSE)</f>
        <v>AHiAm</v>
      </c>
    </row>
    <row r="6336" spans="2:13" x14ac:dyDescent="0.25">
      <c r="B6336" s="31" t="s">
        <v>26303</v>
      </c>
      <c r="C6336" s="25" t="s">
        <v>25775</v>
      </c>
      <c r="D6336" s="25" t="s">
        <v>26232</v>
      </c>
      <c r="E6336" s="25"/>
      <c r="F6336" s="9" t="str">
        <f t="shared" si="92"/>
        <v>structure with developmental contribution from neural crest</v>
      </c>
      <c r="G6336" s="9" t="s">
        <v>5090</v>
      </c>
      <c r="H6336" s="9" t="s">
        <v>24845</v>
      </c>
      <c r="I6336" s="9" t="s">
        <v>11684</v>
      </c>
      <c r="J6336" s="9" t="s">
        <v>11685</v>
      </c>
      <c r="K6336" s="7" t="s">
        <v>15171</v>
      </c>
      <c r="L6336" s="13">
        <v>265504468</v>
      </c>
      <c r="M6336" t="str">
        <f>VLOOKUP(L6336,[1]HBA!$B$2:$C$4000,2,FALSE)</f>
        <v>AHiAp</v>
      </c>
    </row>
    <row r="6337" spans="2:13" x14ac:dyDescent="0.25">
      <c r="B6337" s="31" t="s">
        <v>26303</v>
      </c>
      <c r="C6337" s="25" t="s">
        <v>237</v>
      </c>
      <c r="D6337" s="25" t="s">
        <v>26232</v>
      </c>
      <c r="E6337" s="20" t="s">
        <v>26300</v>
      </c>
      <c r="F6337" s="9" t="str">
        <f t="shared" si="92"/>
        <v>structure with developmental contribution from neural crest</v>
      </c>
      <c r="G6337" s="9" t="s">
        <v>5090</v>
      </c>
      <c r="H6337" s="9" t="s">
        <v>24846</v>
      </c>
      <c r="I6337" s="9" t="s">
        <v>11686</v>
      </c>
      <c r="J6337" s="9" t="s">
        <v>11687</v>
      </c>
      <c r="K6337" s="7" t="s">
        <v>15171</v>
      </c>
      <c r="L6337" s="13">
        <v>265504472</v>
      </c>
      <c r="M6337" t="str">
        <f>VLOOKUP(L6337,[1]HBA!$B$2:$C$4000,2,FALSE)</f>
        <v>AHiAml</v>
      </c>
    </row>
    <row r="6338" spans="2:13" x14ac:dyDescent="0.25">
      <c r="B6338" s="31" t="s">
        <v>26303</v>
      </c>
      <c r="C6338" s="25" t="s">
        <v>306</v>
      </c>
      <c r="D6338" s="25" t="s">
        <v>26232</v>
      </c>
      <c r="E6338" s="25"/>
      <c r="F6338" s="9" t="str">
        <f t="shared" si="92"/>
        <v>structure with developmental contribution from neural crest</v>
      </c>
      <c r="G6338" s="9" t="s">
        <v>5090</v>
      </c>
      <c r="H6338" s="9" t="s">
        <v>19783</v>
      </c>
      <c r="I6338" s="9" t="s">
        <v>306</v>
      </c>
      <c r="J6338" s="9" t="s">
        <v>310</v>
      </c>
      <c r="K6338" s="7" t="s">
        <v>15171</v>
      </c>
      <c r="L6338" s="13">
        <v>265504476</v>
      </c>
      <c r="M6338" t="str">
        <f>VLOOKUP(L6338,[1]HBA!$B$2:$C$4000,2,FALSE)</f>
        <v>AAA</v>
      </c>
    </row>
    <row r="6339" spans="2:13" x14ac:dyDescent="0.25">
      <c r="B6339" s="31" t="s">
        <v>26303</v>
      </c>
      <c r="C6339" s="25" t="s">
        <v>306</v>
      </c>
      <c r="D6339" s="25" t="s">
        <v>26232</v>
      </c>
      <c r="E6339" s="25"/>
      <c r="F6339" s="9" t="str">
        <f t="shared" si="92"/>
        <v>structure with developmental contribution from neural crest</v>
      </c>
      <c r="G6339" s="9" t="s">
        <v>5090</v>
      </c>
      <c r="H6339" s="9" t="s">
        <v>19783</v>
      </c>
      <c r="I6339" s="9" t="s">
        <v>11688</v>
      </c>
      <c r="J6339" s="9" t="s">
        <v>11689</v>
      </c>
      <c r="K6339" s="7" t="s">
        <v>15171</v>
      </c>
      <c r="L6339" s="13">
        <v>265504480</v>
      </c>
      <c r="M6339" t="str">
        <f>VLOOKUP(L6339,[1]HBA!$B$2:$C$4000,2,FALSE)</f>
        <v>AAA</v>
      </c>
    </row>
    <row r="6340" spans="2:13" x14ac:dyDescent="0.25">
      <c r="B6340" s="31" t="s">
        <v>26303</v>
      </c>
      <c r="C6340" s="25" t="s">
        <v>306</v>
      </c>
      <c r="D6340" s="25" t="s">
        <v>26232</v>
      </c>
      <c r="E6340" s="25"/>
      <c r="F6340" s="9" t="str">
        <f t="shared" si="92"/>
        <v>structure with developmental contribution from neural crest</v>
      </c>
      <c r="G6340" s="9" t="s">
        <v>5090</v>
      </c>
      <c r="H6340" s="9" t="s">
        <v>23150</v>
      </c>
      <c r="I6340" s="9" t="s">
        <v>11690</v>
      </c>
      <c r="J6340" s="9" t="s">
        <v>11691</v>
      </c>
      <c r="K6340" s="7" t="s">
        <v>15171</v>
      </c>
      <c r="L6340" s="13">
        <v>265504484</v>
      </c>
      <c r="M6340" t="str">
        <f>VLOOKUP(L6340,[1]HBA!$B$2:$C$4000,2,FALSE)</f>
        <v>AAAd</v>
      </c>
    </row>
    <row r="6341" spans="2:13" x14ac:dyDescent="0.25">
      <c r="B6341" s="31" t="s">
        <v>26303</v>
      </c>
      <c r="C6341" s="25" t="s">
        <v>306</v>
      </c>
      <c r="D6341" s="25" t="s">
        <v>26232</v>
      </c>
      <c r="E6341" s="25"/>
      <c r="F6341" s="9" t="str">
        <f t="shared" si="92"/>
        <v>structure with developmental contribution from neural crest</v>
      </c>
      <c r="G6341" s="9" t="s">
        <v>5090</v>
      </c>
      <c r="H6341" s="9" t="s">
        <v>23151</v>
      </c>
      <c r="I6341" s="9" t="s">
        <v>11692</v>
      </c>
      <c r="J6341" s="9" t="s">
        <v>11693</v>
      </c>
      <c r="K6341" s="7" t="s">
        <v>15171</v>
      </c>
      <c r="L6341" s="13">
        <v>265504488</v>
      </c>
      <c r="M6341" t="str">
        <f>VLOOKUP(L6341,[1]HBA!$B$2:$C$4000,2,FALSE)</f>
        <v>AAAv</v>
      </c>
    </row>
    <row r="6342" spans="2:13" x14ac:dyDescent="0.25">
      <c r="B6342" s="31" t="s">
        <v>26303</v>
      </c>
      <c r="C6342" s="25" t="s">
        <v>306</v>
      </c>
      <c r="D6342" s="25" t="s">
        <v>26232</v>
      </c>
      <c r="E6342" s="25"/>
      <c r="F6342" s="9" t="str">
        <f t="shared" si="92"/>
        <v>structure with developmental contribution from neural crest</v>
      </c>
      <c r="G6342" s="9" t="s">
        <v>5090</v>
      </c>
      <c r="H6342" s="9" t="s">
        <v>19783</v>
      </c>
      <c r="I6342" s="9" t="s">
        <v>11694</v>
      </c>
      <c r="J6342" s="9" t="s">
        <v>11695</v>
      </c>
      <c r="K6342" s="7" t="s">
        <v>15171</v>
      </c>
      <c r="L6342" s="13">
        <v>265504492</v>
      </c>
      <c r="M6342" t="str">
        <f>VLOOKUP(L6342,[1]HBA!$B$2:$C$4000,2,FALSE)</f>
        <v>AAA</v>
      </c>
    </row>
    <row r="6343" spans="2:13" x14ac:dyDescent="0.25">
      <c r="B6343" s="31" t="s">
        <v>26303</v>
      </c>
      <c r="C6343" s="25" t="s">
        <v>306</v>
      </c>
      <c r="D6343" s="25" t="s">
        <v>26232</v>
      </c>
      <c r="E6343" s="25"/>
      <c r="F6343" s="9" t="str">
        <f t="shared" si="92"/>
        <v>structure with developmental contribution from neural crest</v>
      </c>
      <c r="G6343" s="9" t="s">
        <v>5090</v>
      </c>
      <c r="H6343" s="9" t="s">
        <v>23150</v>
      </c>
      <c r="I6343" s="9" t="s">
        <v>11696</v>
      </c>
      <c r="J6343" s="9" t="s">
        <v>11697</v>
      </c>
      <c r="K6343" s="7" t="s">
        <v>15171</v>
      </c>
      <c r="L6343" s="13">
        <v>265504496</v>
      </c>
      <c r="M6343" t="str">
        <f>VLOOKUP(L6343,[1]HBA!$B$2:$C$4000,2,FALSE)</f>
        <v>AAAd</v>
      </c>
    </row>
    <row r="6344" spans="2:13" x14ac:dyDescent="0.25">
      <c r="B6344" s="31" t="s">
        <v>26303</v>
      </c>
      <c r="C6344" s="25" t="s">
        <v>306</v>
      </c>
      <c r="D6344" s="25" t="s">
        <v>26232</v>
      </c>
      <c r="E6344" s="25"/>
      <c r="F6344" s="9" t="str">
        <f t="shared" si="92"/>
        <v>structure with developmental contribution from neural crest</v>
      </c>
      <c r="G6344" s="9" t="s">
        <v>5090</v>
      </c>
      <c r="H6344" s="9" t="s">
        <v>23151</v>
      </c>
      <c r="I6344" s="9" t="s">
        <v>11698</v>
      </c>
      <c r="J6344" s="9" t="s">
        <v>11699</v>
      </c>
      <c r="K6344" s="7" t="s">
        <v>15171</v>
      </c>
      <c r="L6344" s="13">
        <v>265504500</v>
      </c>
      <c r="M6344" t="str">
        <f>VLOOKUP(L6344,[1]HBA!$B$2:$C$4000,2,FALSE)</f>
        <v>AAAv</v>
      </c>
    </row>
    <row r="6345" spans="2:13" x14ac:dyDescent="0.25">
      <c r="B6345" s="31" t="s">
        <v>26303</v>
      </c>
      <c r="C6345" s="25" t="s">
        <v>25804</v>
      </c>
      <c r="D6345" s="25" t="s">
        <v>26232</v>
      </c>
      <c r="E6345" s="20"/>
      <c r="F6345" s="9" t="str">
        <f t="shared" si="92"/>
        <v>structure with developmental contribution from neural crest</v>
      </c>
      <c r="G6345" s="9" t="s">
        <v>5090</v>
      </c>
      <c r="H6345" s="9" t="s">
        <v>24848</v>
      </c>
      <c r="I6345" s="9" t="s">
        <v>11700</v>
      </c>
      <c r="J6345" s="9" t="s">
        <v>11701</v>
      </c>
      <c r="K6345" s="7" t="s">
        <v>15171</v>
      </c>
      <c r="L6345" s="13">
        <v>265504504</v>
      </c>
      <c r="M6345" t="str">
        <f>VLOOKUP(L6345,[1]HBA!$B$2:$C$4000,2,FALSE)</f>
        <v>BLAdl</v>
      </c>
    </row>
    <row r="6346" spans="2:13" x14ac:dyDescent="0.25">
      <c r="B6346" s="31" t="s">
        <v>26303</v>
      </c>
      <c r="C6346" s="25" t="s">
        <v>25804</v>
      </c>
      <c r="D6346" s="25" t="s">
        <v>26232</v>
      </c>
      <c r="E6346" s="20"/>
      <c r="F6346" s="9" t="str">
        <f t="shared" si="92"/>
        <v>structure with developmental contribution from neural crest</v>
      </c>
      <c r="G6346" s="9" t="s">
        <v>5090</v>
      </c>
      <c r="H6346" s="9" t="s">
        <v>24850</v>
      </c>
      <c r="I6346" s="9" t="s">
        <v>11702</v>
      </c>
      <c r="J6346" s="9" t="s">
        <v>11703</v>
      </c>
      <c r="K6346" s="7" t="s">
        <v>15171</v>
      </c>
      <c r="L6346" s="13">
        <v>265504508</v>
      </c>
      <c r="M6346" t="str">
        <f>VLOOKUP(L6346,[1]HBA!$B$2:$C$4000,2,FALSE)</f>
        <v>BLAvl</v>
      </c>
    </row>
    <row r="6347" spans="2:13" x14ac:dyDescent="0.25">
      <c r="B6347" s="31" t="s">
        <v>26303</v>
      </c>
      <c r="C6347" s="25" t="s">
        <v>25804</v>
      </c>
      <c r="D6347" s="25" t="s">
        <v>26232</v>
      </c>
      <c r="E6347" s="20"/>
      <c r="F6347" s="9" t="str">
        <f t="shared" si="92"/>
        <v>structure with developmental contribution from neural crest</v>
      </c>
      <c r="G6347" s="9" t="s">
        <v>5090</v>
      </c>
      <c r="H6347" s="9" t="s">
        <v>24851</v>
      </c>
      <c r="I6347" s="9" t="s">
        <v>11704</v>
      </c>
      <c r="J6347" s="9" t="s">
        <v>11705</v>
      </c>
      <c r="K6347" s="7" t="s">
        <v>15171</v>
      </c>
      <c r="L6347" s="13">
        <v>265504512</v>
      </c>
      <c r="M6347" t="str">
        <f>VLOOKUP(L6347,[1]HBA!$B$2:$C$4000,2,FALSE)</f>
        <v>BLAvm</v>
      </c>
    </row>
    <row r="6348" spans="2:13" x14ac:dyDescent="0.25">
      <c r="B6348" s="31" t="s">
        <v>26303</v>
      </c>
      <c r="C6348" s="25" t="s">
        <v>25804</v>
      </c>
      <c r="D6348" s="25" t="s">
        <v>26232</v>
      </c>
      <c r="E6348" s="20"/>
      <c r="F6348" s="9" t="str">
        <f t="shared" si="92"/>
        <v>structure with developmental contribution from neural crest</v>
      </c>
      <c r="G6348" s="9" t="s">
        <v>5090</v>
      </c>
      <c r="H6348" s="9" t="s">
        <v>24848</v>
      </c>
      <c r="I6348" s="9" t="s">
        <v>11706</v>
      </c>
      <c r="J6348" s="9" t="s">
        <v>11707</v>
      </c>
      <c r="K6348" s="7" t="s">
        <v>15171</v>
      </c>
      <c r="L6348" s="13">
        <v>265504516</v>
      </c>
      <c r="M6348" t="str">
        <f>VLOOKUP(L6348,[1]HBA!$B$2:$C$4000,2,FALSE)</f>
        <v>BLAdl</v>
      </c>
    </row>
    <row r="6349" spans="2:13" x14ac:dyDescent="0.25">
      <c r="B6349" s="31" t="s">
        <v>26303</v>
      </c>
      <c r="C6349" s="25" t="s">
        <v>25804</v>
      </c>
      <c r="D6349" s="25" t="s">
        <v>26232</v>
      </c>
      <c r="E6349" s="20"/>
      <c r="F6349" s="9" t="str">
        <f t="shared" si="92"/>
        <v>structure with developmental contribution from neural crest</v>
      </c>
      <c r="G6349" s="9" t="s">
        <v>5090</v>
      </c>
      <c r="H6349" s="9" t="s">
        <v>24850</v>
      </c>
      <c r="I6349" s="9" t="s">
        <v>11708</v>
      </c>
      <c r="J6349" s="9" t="s">
        <v>11709</v>
      </c>
      <c r="K6349" s="7" t="s">
        <v>15171</v>
      </c>
      <c r="L6349" s="13">
        <v>265504520</v>
      </c>
      <c r="M6349" t="str">
        <f>VLOOKUP(L6349,[1]HBA!$B$2:$C$4000,2,FALSE)</f>
        <v>BLAvl</v>
      </c>
    </row>
    <row r="6350" spans="2:13" x14ac:dyDescent="0.25">
      <c r="B6350" s="31" t="s">
        <v>26303</v>
      </c>
      <c r="C6350" s="25" t="s">
        <v>25804</v>
      </c>
      <c r="D6350" s="25" t="s">
        <v>26232</v>
      </c>
      <c r="E6350" s="20"/>
      <c r="F6350" s="9" t="str">
        <f t="shared" si="92"/>
        <v>structure with developmental contribution from neural crest</v>
      </c>
      <c r="G6350" s="9" t="s">
        <v>5090</v>
      </c>
      <c r="H6350" s="9" t="s">
        <v>24851</v>
      </c>
      <c r="I6350" s="9" t="s">
        <v>11710</v>
      </c>
      <c r="J6350" s="9" t="s">
        <v>11711</v>
      </c>
      <c r="K6350" s="7" t="s">
        <v>15171</v>
      </c>
      <c r="L6350" s="13">
        <v>265504524</v>
      </c>
      <c r="M6350" t="str">
        <f>VLOOKUP(L6350,[1]HBA!$B$2:$C$4000,2,FALSE)</f>
        <v>BLAvm</v>
      </c>
    </row>
    <row r="6351" spans="2:13" x14ac:dyDescent="0.25">
      <c r="B6351" s="31" t="s">
        <v>26303</v>
      </c>
      <c r="C6351" s="25" t="s">
        <v>25765</v>
      </c>
      <c r="D6351" s="25" t="s">
        <v>26232</v>
      </c>
      <c r="E6351" s="25"/>
      <c r="F6351" s="9" t="str">
        <f t="shared" si="92"/>
        <v>structure with developmental contribution from neural crest</v>
      </c>
      <c r="G6351" s="9" t="s">
        <v>5090</v>
      </c>
      <c r="H6351" s="9" t="s">
        <v>24852</v>
      </c>
      <c r="I6351" s="9" t="s">
        <v>11712</v>
      </c>
      <c r="J6351" s="9" t="s">
        <v>11713</v>
      </c>
      <c r="K6351" s="7" t="s">
        <v>15171</v>
      </c>
      <c r="L6351" s="13">
        <v>265504528</v>
      </c>
      <c r="M6351" t="str">
        <f>VLOOKUP(L6351,[1]HBA!$B$2:$C$4000,2,FALSE)</f>
        <v>BMAd</v>
      </c>
    </row>
    <row r="6352" spans="2:13" x14ac:dyDescent="0.25">
      <c r="B6352" s="31" t="s">
        <v>26303</v>
      </c>
      <c r="C6352" s="25" t="s">
        <v>25765</v>
      </c>
      <c r="D6352" s="25" t="s">
        <v>26232</v>
      </c>
      <c r="E6352" s="25"/>
      <c r="F6352" s="9" t="str">
        <f t="shared" si="92"/>
        <v>structure with developmental contribution from neural crest</v>
      </c>
      <c r="G6352" s="9" t="s">
        <v>5090</v>
      </c>
      <c r="H6352" s="9" t="s">
        <v>24854</v>
      </c>
      <c r="I6352" s="9" t="s">
        <v>11714</v>
      </c>
      <c r="J6352" s="9" t="s">
        <v>11715</v>
      </c>
      <c r="K6352" s="7" t="s">
        <v>15171</v>
      </c>
      <c r="L6352" s="13">
        <v>265504534</v>
      </c>
      <c r="M6352" t="str">
        <f>VLOOKUP(L6352,[1]HBA!$B$2:$C$4000,2,FALSE)</f>
        <v>BMAdl</v>
      </c>
    </row>
    <row r="6353" spans="2:13" x14ac:dyDescent="0.25">
      <c r="B6353" s="31" t="s">
        <v>26303</v>
      </c>
      <c r="C6353" s="25" t="s">
        <v>25765</v>
      </c>
      <c r="D6353" s="25" t="s">
        <v>26232</v>
      </c>
      <c r="E6353" s="25"/>
      <c r="F6353" s="9" t="str">
        <f t="shared" si="92"/>
        <v>structure with developmental contribution from neural crest</v>
      </c>
      <c r="G6353" s="9" t="s">
        <v>5090</v>
      </c>
      <c r="H6353" s="9" t="s">
        <v>24855</v>
      </c>
      <c r="I6353" s="9" t="s">
        <v>11716</v>
      </c>
      <c r="J6353" s="9" t="s">
        <v>11717</v>
      </c>
      <c r="K6353" s="7" t="s">
        <v>15171</v>
      </c>
      <c r="L6353" s="13">
        <v>265504538</v>
      </c>
      <c r="M6353" t="str">
        <f>VLOOKUP(L6353,[1]HBA!$B$2:$C$4000,2,FALSE)</f>
        <v>BMAm</v>
      </c>
    </row>
    <row r="6354" spans="2:13" x14ac:dyDescent="0.25">
      <c r="B6354" s="31" t="s">
        <v>26303</v>
      </c>
      <c r="C6354" s="25" t="s">
        <v>25765</v>
      </c>
      <c r="D6354" s="25" t="s">
        <v>26232</v>
      </c>
      <c r="E6354" s="25"/>
      <c r="F6354" s="9" t="str">
        <f t="shared" si="92"/>
        <v>structure with developmental contribution from neural crest</v>
      </c>
      <c r="G6354" s="9" t="s">
        <v>5090</v>
      </c>
      <c r="H6354" s="9" t="s">
        <v>24856</v>
      </c>
      <c r="I6354" s="9" t="s">
        <v>11718</v>
      </c>
      <c r="J6354" s="9" t="s">
        <v>11719</v>
      </c>
      <c r="K6354" s="7" t="s">
        <v>15171</v>
      </c>
      <c r="L6354" s="13">
        <v>265504542</v>
      </c>
      <c r="M6354" t="str">
        <f>VLOOKUP(L6354,[1]HBA!$B$2:$C$4000,2,FALSE)</f>
        <v>BMAv</v>
      </c>
    </row>
    <row r="6355" spans="2:13" x14ac:dyDescent="0.25">
      <c r="B6355" s="31" t="s">
        <v>26303</v>
      </c>
      <c r="C6355" s="25" t="s">
        <v>25765</v>
      </c>
      <c r="D6355" s="25" t="s">
        <v>26232</v>
      </c>
      <c r="E6355" s="25"/>
      <c r="F6355" s="9" t="str">
        <f t="shared" si="92"/>
        <v>structure with developmental contribution from neural crest</v>
      </c>
      <c r="G6355" s="9" t="s">
        <v>5090</v>
      </c>
      <c r="H6355" s="9" t="s">
        <v>24852</v>
      </c>
      <c r="I6355" s="9" t="s">
        <v>11720</v>
      </c>
      <c r="J6355" s="9" t="s">
        <v>11721</v>
      </c>
      <c r="K6355" s="7" t="s">
        <v>15171</v>
      </c>
      <c r="L6355" s="13">
        <v>265504550</v>
      </c>
      <c r="M6355" t="str">
        <f>VLOOKUP(L6355,[1]HBA!$B$2:$C$4000,2,FALSE)</f>
        <v>BMAd</v>
      </c>
    </row>
    <row r="6356" spans="2:13" x14ac:dyDescent="0.25">
      <c r="B6356" s="31" t="s">
        <v>26303</v>
      </c>
      <c r="C6356" s="25" t="s">
        <v>25765</v>
      </c>
      <c r="D6356" s="25" t="s">
        <v>26232</v>
      </c>
      <c r="E6356" s="25"/>
      <c r="F6356" s="9" t="str">
        <f t="shared" si="92"/>
        <v>structure with developmental contribution from neural crest</v>
      </c>
      <c r="G6356" s="9" t="s">
        <v>5090</v>
      </c>
      <c r="H6356" s="9" t="s">
        <v>24854</v>
      </c>
      <c r="I6356" s="9" t="s">
        <v>11722</v>
      </c>
      <c r="J6356" s="9" t="s">
        <v>11723</v>
      </c>
      <c r="K6356" s="7" t="s">
        <v>15171</v>
      </c>
      <c r="L6356" s="13">
        <v>265504556</v>
      </c>
      <c r="M6356" t="str">
        <f>VLOOKUP(L6356,[1]HBA!$B$2:$C$4000,2,FALSE)</f>
        <v>BMAdl</v>
      </c>
    </row>
    <row r="6357" spans="2:13" x14ac:dyDescent="0.25">
      <c r="B6357" s="31" t="s">
        <v>26303</v>
      </c>
      <c r="C6357" s="25" t="s">
        <v>25765</v>
      </c>
      <c r="D6357" s="25" t="s">
        <v>26232</v>
      </c>
      <c r="E6357" s="25"/>
      <c r="F6357" s="9" t="str">
        <f t="shared" si="92"/>
        <v>structure with developmental contribution from neural crest</v>
      </c>
      <c r="G6357" s="9" t="s">
        <v>5090</v>
      </c>
      <c r="H6357" s="9" t="s">
        <v>24855</v>
      </c>
      <c r="I6357" s="9" t="s">
        <v>11724</v>
      </c>
      <c r="J6357" s="9" t="s">
        <v>11725</v>
      </c>
      <c r="K6357" s="7" t="s">
        <v>15171</v>
      </c>
      <c r="L6357" s="13">
        <v>265504561</v>
      </c>
      <c r="M6357" t="str">
        <f>VLOOKUP(L6357,[1]HBA!$B$2:$C$4000,2,FALSE)</f>
        <v>BMAm</v>
      </c>
    </row>
    <row r="6358" spans="2:13" x14ac:dyDescent="0.25">
      <c r="B6358" s="31" t="s">
        <v>26303</v>
      </c>
      <c r="C6358" s="25" t="s">
        <v>25765</v>
      </c>
      <c r="D6358" s="25" t="s">
        <v>26232</v>
      </c>
      <c r="E6358" s="25"/>
      <c r="F6358" s="9" t="str">
        <f t="shared" si="92"/>
        <v>structure with developmental contribution from neural crest</v>
      </c>
      <c r="G6358" s="9" t="s">
        <v>5090</v>
      </c>
      <c r="H6358" s="9" t="s">
        <v>24856</v>
      </c>
      <c r="I6358" s="9" t="s">
        <v>11726</v>
      </c>
      <c r="J6358" s="9" t="s">
        <v>11727</v>
      </c>
      <c r="K6358" s="7" t="s">
        <v>15171</v>
      </c>
      <c r="L6358" s="13">
        <v>265504565</v>
      </c>
      <c r="M6358" t="str">
        <f>VLOOKUP(L6358,[1]HBA!$B$2:$C$4000,2,FALSE)</f>
        <v>BMAv</v>
      </c>
    </row>
    <row r="6359" spans="2:13" x14ac:dyDescent="0.25">
      <c r="B6359" s="31" t="s">
        <v>26303</v>
      </c>
      <c r="C6359" s="25" t="s">
        <v>920</v>
      </c>
      <c r="D6359" s="25" t="s">
        <v>26232</v>
      </c>
      <c r="E6359" s="25"/>
      <c r="F6359" s="9" t="str">
        <f t="shared" si="92"/>
        <v>structure with developmental contribution from neural crest</v>
      </c>
      <c r="G6359" s="9" t="s">
        <v>5090</v>
      </c>
      <c r="H6359" s="9" t="s">
        <v>24861</v>
      </c>
      <c r="I6359" s="9" t="s">
        <v>11728</v>
      </c>
      <c r="J6359" s="9" t="s">
        <v>11729</v>
      </c>
      <c r="K6359" s="7" t="s">
        <v>15171</v>
      </c>
      <c r="L6359" s="13">
        <v>265504574</v>
      </c>
      <c r="M6359" t="str">
        <f>VLOOKUP(L6359,[1]HBA!$B$2:$C$4000,2,FALSE)</f>
        <v>CeAmd</v>
      </c>
    </row>
    <row r="6360" spans="2:13" x14ac:dyDescent="0.25">
      <c r="B6360" s="31" t="s">
        <v>26303</v>
      </c>
      <c r="C6360" s="25" t="s">
        <v>920</v>
      </c>
      <c r="D6360" s="25" t="s">
        <v>26232</v>
      </c>
      <c r="E6360" s="25"/>
      <c r="F6360" s="9" t="str">
        <f t="shared" si="92"/>
        <v>structure with developmental contribution from neural crest</v>
      </c>
      <c r="G6360" s="9" t="s">
        <v>5090</v>
      </c>
      <c r="H6360" s="9" t="s">
        <v>24862</v>
      </c>
      <c r="I6360" s="9" t="s">
        <v>11730</v>
      </c>
      <c r="J6360" s="9" t="s">
        <v>11731</v>
      </c>
      <c r="K6360" s="7" t="s">
        <v>15171</v>
      </c>
      <c r="L6360" s="13">
        <v>265504578</v>
      </c>
      <c r="M6360" t="str">
        <f>VLOOKUP(L6360,[1]HBA!$B$2:$C$4000,2,FALSE)</f>
        <v>CeAmv</v>
      </c>
    </row>
    <row r="6361" spans="2:13" x14ac:dyDescent="0.25">
      <c r="B6361" s="31" t="s">
        <v>26303</v>
      </c>
      <c r="C6361" s="25" t="s">
        <v>920</v>
      </c>
      <c r="D6361" s="25" t="s">
        <v>26232</v>
      </c>
      <c r="E6361" s="25"/>
      <c r="F6361" s="9" t="str">
        <f t="shared" si="92"/>
        <v>structure with developmental contribution from neural crest</v>
      </c>
      <c r="G6361" s="9" t="s">
        <v>5090</v>
      </c>
      <c r="H6361" s="9" t="s">
        <v>24864</v>
      </c>
      <c r="I6361" s="9" t="s">
        <v>11732</v>
      </c>
      <c r="J6361" s="9" t="s">
        <v>11733</v>
      </c>
      <c r="K6361" s="7" t="s">
        <v>15171</v>
      </c>
      <c r="L6361" s="13">
        <v>265504583</v>
      </c>
      <c r="M6361" t="str">
        <f>VLOOKUP(L6361,[1]HBA!$B$2:$C$4000,2,FALSE)</f>
        <v>CeAla</v>
      </c>
    </row>
    <row r="6362" spans="2:13" x14ac:dyDescent="0.25">
      <c r="B6362" s="31" t="s">
        <v>26303</v>
      </c>
      <c r="C6362" s="25" t="s">
        <v>920</v>
      </c>
      <c r="D6362" s="25" t="s">
        <v>26232</v>
      </c>
      <c r="E6362" s="25"/>
      <c r="F6362" s="9" t="str">
        <f t="shared" si="92"/>
        <v>structure with developmental contribution from neural crest</v>
      </c>
      <c r="G6362" s="9" t="s">
        <v>5090</v>
      </c>
      <c r="H6362" s="9" t="s">
        <v>24865</v>
      </c>
      <c r="I6362" s="9" t="s">
        <v>11734</v>
      </c>
      <c r="J6362" s="9" t="s">
        <v>11735</v>
      </c>
      <c r="K6362" s="7" t="s">
        <v>15171</v>
      </c>
      <c r="L6362" s="13">
        <v>265504587</v>
      </c>
      <c r="M6362" t="str">
        <f>VLOOKUP(L6362,[1]HBA!$B$2:$C$4000,2,FALSE)</f>
        <v>CeAlca</v>
      </c>
    </row>
    <row r="6363" spans="2:13" x14ac:dyDescent="0.25">
      <c r="B6363" s="31" t="s">
        <v>26303</v>
      </c>
      <c r="C6363" s="25" t="s">
        <v>920</v>
      </c>
      <c r="D6363" s="25" t="s">
        <v>26232</v>
      </c>
      <c r="E6363" s="25"/>
      <c r="F6363" s="9" t="str">
        <f t="shared" si="92"/>
        <v>structure with developmental contribution from neural crest</v>
      </c>
      <c r="G6363" s="9" t="s">
        <v>5090</v>
      </c>
      <c r="H6363" s="9" t="s">
        <v>24866</v>
      </c>
      <c r="I6363" s="9" t="s">
        <v>11736</v>
      </c>
      <c r="J6363" s="9" t="s">
        <v>11737</v>
      </c>
      <c r="K6363" s="7" t="s">
        <v>15171</v>
      </c>
      <c r="L6363" s="13">
        <v>265504591</v>
      </c>
      <c r="M6363" t="str">
        <f>VLOOKUP(L6363,[1]HBA!$B$2:$C$4000,2,FALSE)</f>
        <v>CeAlp</v>
      </c>
    </row>
    <row r="6364" spans="2:13" x14ac:dyDescent="0.25">
      <c r="B6364" s="31" t="s">
        <v>26303</v>
      </c>
      <c r="C6364" s="25" t="s">
        <v>920</v>
      </c>
      <c r="D6364" s="25" t="s">
        <v>26232</v>
      </c>
      <c r="E6364" s="25"/>
      <c r="F6364" s="9" t="str">
        <f t="shared" si="92"/>
        <v>structure with developmental contribution from neural crest</v>
      </c>
      <c r="G6364" s="9" t="s">
        <v>5090</v>
      </c>
      <c r="H6364" s="9" t="s">
        <v>24867</v>
      </c>
      <c r="I6364" s="9" t="s">
        <v>11738</v>
      </c>
      <c r="J6364" s="9" t="s">
        <v>11739</v>
      </c>
      <c r="K6364" s="7" t="s">
        <v>15171</v>
      </c>
      <c r="L6364" s="13">
        <v>265504596</v>
      </c>
      <c r="M6364" t="str">
        <f>VLOOKUP(L6364,[1]HBA!$B$2:$C$4000,2,FALSE)</f>
        <v>CeAlc</v>
      </c>
    </row>
    <row r="6365" spans="2:13" x14ac:dyDescent="0.25">
      <c r="B6365" s="31" t="s">
        <v>26303</v>
      </c>
      <c r="C6365" s="25" t="s">
        <v>920</v>
      </c>
      <c r="D6365" s="25" t="s">
        <v>26232</v>
      </c>
      <c r="E6365" s="25"/>
      <c r="F6365" s="9" t="str">
        <f t="shared" si="92"/>
        <v>structure with developmental contribution from neural crest</v>
      </c>
      <c r="G6365" s="9" t="s">
        <v>5090</v>
      </c>
      <c r="H6365" s="9" t="s">
        <v>24861</v>
      </c>
      <c r="I6365" s="9" t="s">
        <v>11740</v>
      </c>
      <c r="J6365" s="9" t="s">
        <v>11741</v>
      </c>
      <c r="K6365" s="7" t="s">
        <v>15171</v>
      </c>
      <c r="L6365" s="13">
        <v>265504600</v>
      </c>
      <c r="M6365" t="str">
        <f>VLOOKUP(L6365,[1]HBA!$B$2:$C$4000,2,FALSE)</f>
        <v>CeAmd</v>
      </c>
    </row>
    <row r="6366" spans="2:13" x14ac:dyDescent="0.25">
      <c r="B6366" s="31" t="s">
        <v>26303</v>
      </c>
      <c r="C6366" s="25" t="s">
        <v>920</v>
      </c>
      <c r="D6366" s="25" t="s">
        <v>26232</v>
      </c>
      <c r="E6366" s="25"/>
      <c r="F6366" s="9" t="str">
        <f t="shared" si="92"/>
        <v>structure with developmental contribution from neural crest</v>
      </c>
      <c r="G6366" s="9" t="s">
        <v>5090</v>
      </c>
      <c r="H6366" s="9" t="s">
        <v>24862</v>
      </c>
      <c r="I6366" s="9" t="s">
        <v>11742</v>
      </c>
      <c r="J6366" s="9" t="s">
        <v>11743</v>
      </c>
      <c r="K6366" s="7" t="s">
        <v>15171</v>
      </c>
      <c r="L6366" s="13">
        <v>265504604</v>
      </c>
      <c r="M6366" t="str">
        <f>VLOOKUP(L6366,[1]HBA!$B$2:$C$4000,2,FALSE)</f>
        <v>CeAmv</v>
      </c>
    </row>
    <row r="6367" spans="2:13" x14ac:dyDescent="0.25">
      <c r="B6367" s="31" t="s">
        <v>26303</v>
      </c>
      <c r="C6367" s="25" t="s">
        <v>920</v>
      </c>
      <c r="D6367" s="25" t="s">
        <v>26232</v>
      </c>
      <c r="E6367" s="25"/>
      <c r="F6367" s="9" t="str">
        <f t="shared" si="92"/>
        <v>structure with developmental contribution from neural crest</v>
      </c>
      <c r="G6367" s="9" t="s">
        <v>5090</v>
      </c>
      <c r="H6367" s="9" t="s">
        <v>24864</v>
      </c>
      <c r="I6367" s="9" t="s">
        <v>11744</v>
      </c>
      <c r="J6367" s="9" t="s">
        <v>11745</v>
      </c>
      <c r="K6367" s="7" t="s">
        <v>15171</v>
      </c>
      <c r="L6367" s="13">
        <v>265504608</v>
      </c>
      <c r="M6367" t="str">
        <f>VLOOKUP(L6367,[1]HBA!$B$2:$C$4000,2,FALSE)</f>
        <v>CeAla</v>
      </c>
    </row>
    <row r="6368" spans="2:13" x14ac:dyDescent="0.25">
      <c r="B6368" s="31" t="s">
        <v>26303</v>
      </c>
      <c r="C6368" s="25" t="s">
        <v>920</v>
      </c>
      <c r="D6368" s="25" t="s">
        <v>26232</v>
      </c>
      <c r="E6368" s="25"/>
      <c r="F6368" s="9" t="str">
        <f t="shared" si="92"/>
        <v>structure with developmental contribution from neural crest</v>
      </c>
      <c r="G6368" s="9" t="s">
        <v>5090</v>
      </c>
      <c r="H6368" s="9" t="s">
        <v>24865</v>
      </c>
      <c r="I6368" s="9" t="s">
        <v>11746</v>
      </c>
      <c r="J6368" s="9" t="s">
        <v>11747</v>
      </c>
      <c r="K6368" s="7" t="s">
        <v>15171</v>
      </c>
      <c r="L6368" s="13">
        <v>265504612</v>
      </c>
      <c r="M6368" t="str">
        <f>VLOOKUP(L6368,[1]HBA!$B$2:$C$4000,2,FALSE)</f>
        <v>CeAlca</v>
      </c>
    </row>
    <row r="6369" spans="2:13" x14ac:dyDescent="0.25">
      <c r="B6369" s="31" t="s">
        <v>26303</v>
      </c>
      <c r="C6369" s="25" t="s">
        <v>920</v>
      </c>
      <c r="D6369" s="25" t="s">
        <v>26232</v>
      </c>
      <c r="E6369" s="25"/>
      <c r="F6369" s="9" t="str">
        <f t="shared" si="92"/>
        <v>structure with developmental contribution from neural crest</v>
      </c>
      <c r="G6369" s="9" t="s">
        <v>5090</v>
      </c>
      <c r="H6369" s="9" t="s">
        <v>24866</v>
      </c>
      <c r="I6369" s="9" t="s">
        <v>11748</v>
      </c>
      <c r="J6369" s="9" t="s">
        <v>11749</v>
      </c>
      <c r="K6369" s="7" t="s">
        <v>15171</v>
      </c>
      <c r="L6369" s="13">
        <v>265504616</v>
      </c>
      <c r="M6369" t="str">
        <f>VLOOKUP(L6369,[1]HBA!$B$2:$C$4000,2,FALSE)</f>
        <v>CeAlp</v>
      </c>
    </row>
    <row r="6370" spans="2:13" x14ac:dyDescent="0.25">
      <c r="B6370" s="31" t="s">
        <v>26303</v>
      </c>
      <c r="C6370" s="25" t="s">
        <v>920</v>
      </c>
      <c r="D6370" s="25" t="s">
        <v>26232</v>
      </c>
      <c r="E6370" s="25"/>
      <c r="F6370" s="9" t="str">
        <f t="shared" si="92"/>
        <v>structure with developmental contribution from neural crest</v>
      </c>
      <c r="G6370" s="9" t="s">
        <v>5090</v>
      </c>
      <c r="H6370" s="9" t="s">
        <v>24867</v>
      </c>
      <c r="I6370" s="9" t="s">
        <v>11750</v>
      </c>
      <c r="J6370" s="9" t="s">
        <v>11751</v>
      </c>
      <c r="K6370" s="7" t="s">
        <v>15171</v>
      </c>
      <c r="L6370" s="13">
        <v>265504620</v>
      </c>
      <c r="M6370" t="str">
        <f>VLOOKUP(L6370,[1]HBA!$B$2:$C$4000,2,FALSE)</f>
        <v>CeAlc</v>
      </c>
    </row>
    <row r="6371" spans="2:13" x14ac:dyDescent="0.25">
      <c r="B6371" s="31" t="s">
        <v>26303</v>
      </c>
      <c r="C6371" s="25" t="s">
        <v>25783</v>
      </c>
      <c r="D6371" s="25" t="s">
        <v>26232</v>
      </c>
      <c r="E6371" s="25"/>
      <c r="F6371" s="9" t="str">
        <f t="shared" si="92"/>
        <v>structure with developmental contribution from neural crest</v>
      </c>
      <c r="G6371" s="9" t="s">
        <v>5090</v>
      </c>
      <c r="H6371" s="9" t="s">
        <v>24869</v>
      </c>
      <c r="I6371" s="9" t="s">
        <v>11752</v>
      </c>
      <c r="J6371" s="9" t="s">
        <v>11753</v>
      </c>
      <c r="K6371" s="7" t="s">
        <v>15171</v>
      </c>
      <c r="L6371" s="13">
        <v>265504624</v>
      </c>
      <c r="M6371" t="str">
        <f>VLOOKUP(L6371,[1]HBA!$B$2:$C$4000,2,FALSE)</f>
        <v>COAad</v>
      </c>
    </row>
    <row r="6372" spans="2:13" x14ac:dyDescent="0.25">
      <c r="B6372" s="31" t="s">
        <v>26303</v>
      </c>
      <c r="C6372" s="25" t="s">
        <v>25783</v>
      </c>
      <c r="D6372" s="25" t="s">
        <v>26232</v>
      </c>
      <c r="E6372" s="25"/>
      <c r="F6372" s="9" t="str">
        <f t="shared" si="92"/>
        <v>structure with developmental contribution from neural crest</v>
      </c>
      <c r="G6372" s="9" t="s">
        <v>5090</v>
      </c>
      <c r="H6372" s="9" t="s">
        <v>24870</v>
      </c>
      <c r="I6372" s="9" t="s">
        <v>11754</v>
      </c>
      <c r="J6372" s="9" t="s">
        <v>11755</v>
      </c>
      <c r="K6372" s="7" t="s">
        <v>15171</v>
      </c>
      <c r="L6372" s="13">
        <v>265504628</v>
      </c>
      <c r="M6372" t="str">
        <f>VLOOKUP(L6372,[1]HBA!$B$2:$C$4000,2,FALSE)</f>
        <v>COAav</v>
      </c>
    </row>
    <row r="6373" spans="2:13" x14ac:dyDescent="0.25">
      <c r="B6373" s="31" t="s">
        <v>26303</v>
      </c>
      <c r="C6373" s="25" t="s">
        <v>25783</v>
      </c>
      <c r="D6373" s="25" t="s">
        <v>26232</v>
      </c>
      <c r="E6373" s="25"/>
      <c r="F6373" s="9" t="str">
        <f t="shared" si="92"/>
        <v>structure with developmental contribution from neural crest</v>
      </c>
      <c r="G6373" s="9" t="s">
        <v>5090</v>
      </c>
      <c r="H6373" s="9" t="s">
        <v>24871</v>
      </c>
      <c r="I6373" s="9" t="s">
        <v>11756</v>
      </c>
      <c r="J6373" s="9" t="s">
        <v>11757</v>
      </c>
      <c r="K6373" s="7" t="s">
        <v>15171</v>
      </c>
      <c r="L6373" s="13">
        <v>265504632</v>
      </c>
      <c r="M6373" t="str">
        <f>VLOOKUP(L6373,[1]HBA!$B$2:$C$4000,2,FALSE)</f>
        <v>COAam</v>
      </c>
    </row>
    <row r="6374" spans="2:13" x14ac:dyDescent="0.25">
      <c r="B6374" s="31" t="s">
        <v>26303</v>
      </c>
      <c r="C6374" s="25" t="s">
        <v>26018</v>
      </c>
      <c r="D6374" s="25" t="s">
        <v>26232</v>
      </c>
      <c r="E6374" s="25"/>
      <c r="F6374" s="9" t="str">
        <f t="shared" si="92"/>
        <v>structure with developmental contribution from neural crest</v>
      </c>
      <c r="G6374" s="9" t="s">
        <v>5090</v>
      </c>
      <c r="H6374" s="9" t="s">
        <v>24872</v>
      </c>
      <c r="I6374" s="9" t="s">
        <v>11758</v>
      </c>
      <c r="J6374" s="9" t="s">
        <v>11759</v>
      </c>
      <c r="K6374" s="7" t="s">
        <v>15171</v>
      </c>
      <c r="L6374" s="13">
        <v>265504636</v>
      </c>
      <c r="M6374" t="str">
        <f>VLOOKUP(L6374,[1]HBA!$B$2:$C$4000,2,FALSE)</f>
        <v>MAa</v>
      </c>
    </row>
    <row r="6375" spans="2:13" x14ac:dyDescent="0.25">
      <c r="B6375" s="31" t="s">
        <v>26303</v>
      </c>
      <c r="C6375" s="25" t="s">
        <v>26018</v>
      </c>
      <c r="D6375" s="25" t="s">
        <v>26232</v>
      </c>
      <c r="E6375" s="25"/>
      <c r="F6375" s="9" t="str">
        <f t="shared" si="92"/>
        <v>structure with developmental contribution from neural crest</v>
      </c>
      <c r="G6375" s="9" t="s">
        <v>5090</v>
      </c>
      <c r="H6375" s="9" t="s">
        <v>24873</v>
      </c>
      <c r="I6375" s="9" t="s">
        <v>11760</v>
      </c>
      <c r="J6375" s="9" t="s">
        <v>11761</v>
      </c>
      <c r="K6375" s="7" t="s">
        <v>15171</v>
      </c>
      <c r="L6375" s="13">
        <v>265504640</v>
      </c>
      <c r="M6375" t="str">
        <f>VLOOKUP(L6375,[1]HBA!$B$2:$C$4000,2,FALSE)</f>
        <v>MAp</v>
      </c>
    </row>
    <row r="6376" spans="2:13" x14ac:dyDescent="0.25">
      <c r="B6376" s="31" t="s">
        <v>26303</v>
      </c>
      <c r="C6376" s="25" t="s">
        <v>26018</v>
      </c>
      <c r="D6376" s="25" t="s">
        <v>26232</v>
      </c>
      <c r="E6376" s="25"/>
      <c r="F6376" s="9" t="str">
        <f t="shared" si="92"/>
        <v>structure with developmental contribution from neural crest</v>
      </c>
      <c r="G6376" s="9" t="s">
        <v>5090</v>
      </c>
      <c r="H6376" s="9" t="s">
        <v>24874</v>
      </c>
      <c r="I6376" s="9" t="s">
        <v>11762</v>
      </c>
      <c r="J6376" s="9" t="s">
        <v>11763</v>
      </c>
      <c r="K6376" s="7" t="s">
        <v>15171</v>
      </c>
      <c r="L6376" s="13">
        <v>265504644</v>
      </c>
      <c r="M6376" t="str">
        <f>VLOOKUP(L6376,[1]HBA!$B$2:$C$4000,2,FALSE)</f>
        <v>MApd</v>
      </c>
    </row>
    <row r="6377" spans="2:13" x14ac:dyDescent="0.25">
      <c r="B6377" s="31" t="s">
        <v>26303</v>
      </c>
      <c r="C6377" s="25" t="s">
        <v>26018</v>
      </c>
      <c r="D6377" s="25" t="s">
        <v>26232</v>
      </c>
      <c r="E6377" s="25"/>
      <c r="F6377" s="9" t="str">
        <f t="shared" si="92"/>
        <v>structure with developmental contribution from neural crest</v>
      </c>
      <c r="G6377" s="9" t="s">
        <v>5090</v>
      </c>
      <c r="H6377" s="9" t="s">
        <v>24875</v>
      </c>
      <c r="I6377" s="9" t="s">
        <v>11764</v>
      </c>
      <c r="J6377" s="9" t="s">
        <v>11765</v>
      </c>
      <c r="K6377" s="7" t="s">
        <v>15171</v>
      </c>
      <c r="L6377" s="13">
        <v>265504648</v>
      </c>
      <c r="M6377" t="str">
        <f>VLOOKUP(L6377,[1]HBA!$B$2:$C$4000,2,FALSE)</f>
        <v>MApv</v>
      </c>
    </row>
    <row r="6378" spans="2:13" x14ac:dyDescent="0.25">
      <c r="B6378" s="31" t="s">
        <v>26303</v>
      </c>
      <c r="C6378" s="25" t="s">
        <v>26018</v>
      </c>
      <c r="D6378" s="25" t="s">
        <v>26232</v>
      </c>
      <c r="E6378" s="25"/>
      <c r="F6378" s="9" t="str">
        <f t="shared" si="92"/>
        <v>structure with developmental contribution from neural crest</v>
      </c>
      <c r="G6378" s="9" t="s">
        <v>5090</v>
      </c>
      <c r="H6378" s="9" t="s">
        <v>24876</v>
      </c>
      <c r="I6378" s="9" t="s">
        <v>11766</v>
      </c>
      <c r="J6378" s="9" t="s">
        <v>11767</v>
      </c>
      <c r="K6378" s="7" t="s">
        <v>15171</v>
      </c>
      <c r="L6378" s="13">
        <v>265504652</v>
      </c>
      <c r="M6378" t="str">
        <f>VLOOKUP(L6378,[1]HBA!$B$2:$C$4000,2,FALSE)</f>
        <v>MAm</v>
      </c>
    </row>
    <row r="6379" spans="2:13" x14ac:dyDescent="0.25">
      <c r="B6379" s="31" t="s">
        <v>26303</v>
      </c>
      <c r="C6379" s="20"/>
      <c r="D6379" s="25" t="s">
        <v>26232</v>
      </c>
      <c r="E6379" s="25" t="s">
        <v>26300</v>
      </c>
      <c r="F6379" s="9" t="str">
        <f t="shared" si="92"/>
        <v>structure with developmental contribution from neural crest</v>
      </c>
      <c r="G6379" s="9" t="s">
        <v>5090</v>
      </c>
      <c r="H6379" s="9" t="s">
        <v>24877</v>
      </c>
      <c r="I6379" s="9" t="s">
        <v>11768</v>
      </c>
      <c r="J6379" s="9" t="s">
        <v>11769</v>
      </c>
      <c r="K6379" s="7" t="s">
        <v>15171</v>
      </c>
      <c r="L6379" s="13">
        <v>265504656</v>
      </c>
      <c r="M6379" t="str">
        <f>VLOOKUP(L6379,[1]HBA!$B$2:$C$4000,2,FALSE)</f>
        <v>COApd</v>
      </c>
    </row>
    <row r="6380" spans="2:13" x14ac:dyDescent="0.25">
      <c r="B6380" s="31" t="s">
        <v>26303</v>
      </c>
      <c r="C6380" s="20"/>
      <c r="D6380" s="25" t="s">
        <v>26232</v>
      </c>
      <c r="E6380" s="25" t="s">
        <v>26300</v>
      </c>
      <c r="F6380" s="9" t="str">
        <f t="shared" si="92"/>
        <v>structure with developmental contribution from neural crest</v>
      </c>
      <c r="G6380" s="9" t="s">
        <v>5090</v>
      </c>
      <c r="H6380" s="9" t="s">
        <v>24878</v>
      </c>
      <c r="I6380" s="9" t="s">
        <v>11770</v>
      </c>
      <c r="J6380" s="9" t="s">
        <v>11771</v>
      </c>
      <c r="K6380" s="7" t="s">
        <v>15171</v>
      </c>
      <c r="L6380" s="13">
        <v>265504660</v>
      </c>
      <c r="M6380" t="str">
        <f>VLOOKUP(L6380,[1]HBA!$B$2:$C$4000,2,FALSE)</f>
        <v>COApv</v>
      </c>
    </row>
    <row r="6381" spans="2:13" x14ac:dyDescent="0.25">
      <c r="B6381" s="31" t="s">
        <v>26303</v>
      </c>
      <c r="C6381" s="20"/>
      <c r="D6381" s="25" t="s">
        <v>26232</v>
      </c>
      <c r="E6381" s="25" t="s">
        <v>26300</v>
      </c>
      <c r="F6381" s="9" t="str">
        <f t="shared" si="92"/>
        <v>structure with developmental contribution from neural crest</v>
      </c>
      <c r="G6381" s="9" t="s">
        <v>5090</v>
      </c>
      <c r="H6381" s="9" t="s">
        <v>19509</v>
      </c>
      <c r="I6381" s="9" t="s">
        <v>11772</v>
      </c>
      <c r="J6381" s="9" t="s">
        <v>11773</v>
      </c>
      <c r="K6381" s="7" t="s">
        <v>15171</v>
      </c>
      <c r="L6381" s="13">
        <v>265504664</v>
      </c>
      <c r="M6381" t="str">
        <f>VLOOKUP(L6381,[1]HBA!$B$2:$C$4000,2,FALSE)</f>
        <v>COApm</v>
      </c>
    </row>
    <row r="6382" spans="2:13" x14ac:dyDescent="0.25">
      <c r="B6382" s="31" t="s">
        <v>26303</v>
      </c>
      <c r="C6382" s="25" t="s">
        <v>25783</v>
      </c>
      <c r="D6382" s="25" t="s">
        <v>26232</v>
      </c>
      <c r="E6382" s="25"/>
      <c r="F6382" s="9" t="str">
        <f t="shared" si="92"/>
        <v>structure with developmental contribution from neural crest</v>
      </c>
      <c r="G6382" s="9" t="s">
        <v>5090</v>
      </c>
      <c r="H6382" s="9" t="s">
        <v>24869</v>
      </c>
      <c r="I6382" s="9" t="s">
        <v>11774</v>
      </c>
      <c r="J6382" s="9" t="s">
        <v>11775</v>
      </c>
      <c r="K6382" s="7" t="s">
        <v>15171</v>
      </c>
      <c r="L6382" s="13">
        <v>265504668</v>
      </c>
      <c r="M6382" t="str">
        <f>VLOOKUP(L6382,[1]HBA!$B$2:$C$4000,2,FALSE)</f>
        <v>COAad</v>
      </c>
    </row>
    <row r="6383" spans="2:13" x14ac:dyDescent="0.25">
      <c r="B6383" s="31" t="s">
        <v>26303</v>
      </c>
      <c r="C6383" s="25" t="s">
        <v>25783</v>
      </c>
      <c r="D6383" s="25" t="s">
        <v>26232</v>
      </c>
      <c r="E6383" s="25"/>
      <c r="F6383" s="9" t="str">
        <f t="shared" si="92"/>
        <v>structure with developmental contribution from neural crest</v>
      </c>
      <c r="G6383" s="9" t="s">
        <v>5090</v>
      </c>
      <c r="H6383" s="9" t="s">
        <v>24870</v>
      </c>
      <c r="I6383" s="9" t="s">
        <v>11776</v>
      </c>
      <c r="J6383" s="9" t="s">
        <v>11777</v>
      </c>
      <c r="K6383" s="7" t="s">
        <v>15171</v>
      </c>
      <c r="L6383" s="13">
        <v>265504672</v>
      </c>
      <c r="M6383" t="str">
        <f>VLOOKUP(L6383,[1]HBA!$B$2:$C$4000,2,FALSE)</f>
        <v>COAav</v>
      </c>
    </row>
    <row r="6384" spans="2:13" x14ac:dyDescent="0.25">
      <c r="B6384" s="31" t="s">
        <v>26303</v>
      </c>
      <c r="C6384" s="25" t="s">
        <v>25783</v>
      </c>
      <c r="D6384" s="25" t="s">
        <v>26232</v>
      </c>
      <c r="E6384" s="25"/>
      <c r="F6384" s="9" t="str">
        <f t="shared" si="92"/>
        <v>structure with developmental contribution from neural crest</v>
      </c>
      <c r="G6384" s="9" t="s">
        <v>5090</v>
      </c>
      <c r="H6384" s="9" t="s">
        <v>24871</v>
      </c>
      <c r="I6384" s="9" t="s">
        <v>11778</v>
      </c>
      <c r="J6384" s="9" t="s">
        <v>11779</v>
      </c>
      <c r="K6384" s="7" t="s">
        <v>15171</v>
      </c>
      <c r="L6384" s="13">
        <v>265504676</v>
      </c>
      <c r="M6384" t="str">
        <f>VLOOKUP(L6384,[1]HBA!$B$2:$C$4000,2,FALSE)</f>
        <v>COAam</v>
      </c>
    </row>
    <row r="6385" spans="2:13" x14ac:dyDescent="0.25">
      <c r="B6385" s="31" t="s">
        <v>26303</v>
      </c>
      <c r="C6385" s="25" t="s">
        <v>26018</v>
      </c>
      <c r="D6385" s="25" t="s">
        <v>26232</v>
      </c>
      <c r="E6385" s="25"/>
      <c r="F6385" s="9" t="str">
        <f t="shared" si="92"/>
        <v>structure with developmental contribution from neural crest</v>
      </c>
      <c r="G6385" s="9" t="s">
        <v>5090</v>
      </c>
      <c r="H6385" s="9" t="s">
        <v>24872</v>
      </c>
      <c r="I6385" s="9" t="s">
        <v>11780</v>
      </c>
      <c r="J6385" s="9" t="s">
        <v>11781</v>
      </c>
      <c r="K6385" s="7" t="s">
        <v>15171</v>
      </c>
      <c r="L6385" s="13">
        <v>265504680</v>
      </c>
      <c r="M6385" t="str">
        <f>VLOOKUP(L6385,[1]HBA!$B$2:$C$4000,2,FALSE)</f>
        <v>MAa</v>
      </c>
    </row>
    <row r="6386" spans="2:13" x14ac:dyDescent="0.25">
      <c r="B6386" s="31" t="s">
        <v>26303</v>
      </c>
      <c r="C6386" s="25" t="s">
        <v>26018</v>
      </c>
      <c r="D6386" s="25" t="s">
        <v>26232</v>
      </c>
      <c r="E6386" s="25"/>
      <c r="F6386" s="9" t="str">
        <f t="shared" si="92"/>
        <v>structure with developmental contribution from neural crest</v>
      </c>
      <c r="G6386" s="9" t="s">
        <v>5090</v>
      </c>
      <c r="H6386" s="9" t="s">
        <v>24873</v>
      </c>
      <c r="I6386" s="9" t="s">
        <v>11782</v>
      </c>
      <c r="J6386" s="9" t="s">
        <v>11783</v>
      </c>
      <c r="K6386" s="7" t="s">
        <v>15171</v>
      </c>
      <c r="L6386" s="13">
        <v>265504684</v>
      </c>
      <c r="M6386" t="str">
        <f>VLOOKUP(L6386,[1]HBA!$B$2:$C$4000,2,FALSE)</f>
        <v>MAp</v>
      </c>
    </row>
    <row r="6387" spans="2:13" x14ac:dyDescent="0.25">
      <c r="B6387" s="31" t="s">
        <v>26303</v>
      </c>
      <c r="C6387" s="25" t="s">
        <v>26018</v>
      </c>
      <c r="D6387" s="25" t="s">
        <v>26232</v>
      </c>
      <c r="E6387" s="25"/>
      <c r="F6387" s="9" t="str">
        <f t="shared" si="92"/>
        <v>structure with developmental contribution from neural crest</v>
      </c>
      <c r="G6387" s="9" t="s">
        <v>5090</v>
      </c>
      <c r="H6387" s="9" t="s">
        <v>24874</v>
      </c>
      <c r="I6387" s="9" t="s">
        <v>11784</v>
      </c>
      <c r="J6387" s="9" t="s">
        <v>11785</v>
      </c>
      <c r="K6387" s="7" t="s">
        <v>15171</v>
      </c>
      <c r="L6387" s="13">
        <v>265504688</v>
      </c>
      <c r="M6387" t="str">
        <f>VLOOKUP(L6387,[1]HBA!$B$2:$C$4000,2,FALSE)</f>
        <v>MApd</v>
      </c>
    </row>
    <row r="6388" spans="2:13" x14ac:dyDescent="0.25">
      <c r="B6388" s="31" t="s">
        <v>26303</v>
      </c>
      <c r="C6388" s="25" t="s">
        <v>26018</v>
      </c>
      <c r="D6388" s="25" t="s">
        <v>26232</v>
      </c>
      <c r="E6388" s="25"/>
      <c r="F6388" s="9" t="str">
        <f t="shared" si="92"/>
        <v>structure with developmental contribution from neural crest</v>
      </c>
      <c r="G6388" s="9" t="s">
        <v>5090</v>
      </c>
      <c r="H6388" s="9" t="s">
        <v>24875</v>
      </c>
      <c r="I6388" s="9" t="s">
        <v>11786</v>
      </c>
      <c r="J6388" s="9" t="s">
        <v>11787</v>
      </c>
      <c r="K6388" s="7" t="s">
        <v>15171</v>
      </c>
      <c r="L6388" s="13">
        <v>265504692</v>
      </c>
      <c r="M6388" t="str">
        <f>VLOOKUP(L6388,[1]HBA!$B$2:$C$4000,2,FALSE)</f>
        <v>MApv</v>
      </c>
    </row>
    <row r="6389" spans="2:13" x14ac:dyDescent="0.25">
      <c r="B6389" s="31" t="s">
        <v>26303</v>
      </c>
      <c r="C6389" s="25" t="s">
        <v>26018</v>
      </c>
      <c r="D6389" s="25" t="s">
        <v>26232</v>
      </c>
      <c r="E6389" s="25"/>
      <c r="F6389" s="9" t="str">
        <f t="shared" si="92"/>
        <v>structure with developmental contribution from neural crest</v>
      </c>
      <c r="G6389" s="9" t="s">
        <v>5090</v>
      </c>
      <c r="H6389" s="9" t="s">
        <v>24876</v>
      </c>
      <c r="I6389" s="9" t="s">
        <v>11788</v>
      </c>
      <c r="J6389" s="9" t="s">
        <v>11789</v>
      </c>
      <c r="K6389" s="7" t="s">
        <v>15171</v>
      </c>
      <c r="L6389" s="13">
        <v>265504696</v>
      </c>
      <c r="M6389" t="str">
        <f>VLOOKUP(L6389,[1]HBA!$B$2:$C$4000,2,FALSE)</f>
        <v>MAm</v>
      </c>
    </row>
    <row r="6390" spans="2:13" x14ac:dyDescent="0.25">
      <c r="B6390" s="31" t="s">
        <v>26303</v>
      </c>
      <c r="C6390" s="20"/>
      <c r="D6390" s="25" t="s">
        <v>26232</v>
      </c>
      <c r="E6390" s="25" t="s">
        <v>26300</v>
      </c>
      <c r="F6390" s="9" t="str">
        <f t="shared" si="92"/>
        <v>structure with developmental contribution from neural crest</v>
      </c>
      <c r="G6390" s="9" t="s">
        <v>5090</v>
      </c>
      <c r="H6390" s="9" t="s">
        <v>24877</v>
      </c>
      <c r="I6390" s="9" t="s">
        <v>11790</v>
      </c>
      <c r="J6390" s="9" t="s">
        <v>11791</v>
      </c>
      <c r="K6390" s="7" t="s">
        <v>15171</v>
      </c>
      <c r="L6390" s="13">
        <v>265504700</v>
      </c>
      <c r="M6390" t="str">
        <f>VLOOKUP(L6390,[1]HBA!$B$2:$C$4000,2,FALSE)</f>
        <v>COApd</v>
      </c>
    </row>
    <row r="6391" spans="2:13" x14ac:dyDescent="0.25">
      <c r="B6391" s="31" t="s">
        <v>26303</v>
      </c>
      <c r="C6391" s="20"/>
      <c r="D6391" s="25" t="s">
        <v>26232</v>
      </c>
      <c r="E6391" s="25" t="s">
        <v>26300</v>
      </c>
      <c r="F6391" s="9" t="str">
        <f t="shared" ref="F6391:F6454" si="93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6391" s="9" t="s">
        <v>5090</v>
      </c>
      <c r="H6391" s="9" t="s">
        <v>24878</v>
      </c>
      <c r="I6391" s="9" t="s">
        <v>11792</v>
      </c>
      <c r="J6391" s="9" t="s">
        <v>11793</v>
      </c>
      <c r="K6391" s="7" t="s">
        <v>15171</v>
      </c>
      <c r="L6391" s="13">
        <v>265504704</v>
      </c>
      <c r="M6391" t="str">
        <f>VLOOKUP(L6391,[1]HBA!$B$2:$C$4000,2,FALSE)</f>
        <v>COApv</v>
      </c>
    </row>
    <row r="6392" spans="2:13" x14ac:dyDescent="0.25">
      <c r="B6392" s="31" t="s">
        <v>26303</v>
      </c>
      <c r="C6392" s="20"/>
      <c r="D6392" s="25" t="s">
        <v>26232</v>
      </c>
      <c r="E6392" s="25" t="s">
        <v>26300</v>
      </c>
      <c r="F6392" s="9" t="str">
        <f t="shared" si="93"/>
        <v>structure with developmental contribution from neural crest</v>
      </c>
      <c r="G6392" s="9" t="s">
        <v>5090</v>
      </c>
      <c r="H6392" s="9" t="s">
        <v>19509</v>
      </c>
      <c r="I6392" s="9" t="s">
        <v>11794</v>
      </c>
      <c r="J6392" s="9" t="s">
        <v>11795</v>
      </c>
      <c r="K6392" s="7" t="s">
        <v>15171</v>
      </c>
      <c r="L6392" s="13">
        <v>265504708</v>
      </c>
      <c r="M6392" t="str">
        <f>VLOOKUP(L6392,[1]HBA!$B$2:$C$4000,2,FALSE)</f>
        <v>COApm</v>
      </c>
    </row>
    <row r="6393" spans="2:13" x14ac:dyDescent="0.25">
      <c r="B6393" s="31" t="s">
        <v>26303</v>
      </c>
      <c r="C6393" s="25" t="s">
        <v>2559</v>
      </c>
      <c r="D6393" s="25" t="s">
        <v>26232</v>
      </c>
      <c r="E6393" s="25"/>
      <c r="F6393" s="9" t="str">
        <f t="shared" si="93"/>
        <v>structure with developmental contribution from neural crest</v>
      </c>
      <c r="G6393" s="9" t="s">
        <v>5090</v>
      </c>
      <c r="H6393" s="9" t="s">
        <v>24879</v>
      </c>
      <c r="I6393" s="9" t="s">
        <v>11796</v>
      </c>
      <c r="J6393" s="9" t="s">
        <v>11797</v>
      </c>
      <c r="K6393" s="7" t="s">
        <v>15171</v>
      </c>
      <c r="L6393" s="13">
        <v>265504712</v>
      </c>
      <c r="M6393" t="str">
        <f>VLOOKUP(L6393,[1]HBA!$B$2:$C$4000,2,FALSE)</f>
        <v>LAd</v>
      </c>
    </row>
    <row r="6394" spans="2:13" x14ac:dyDescent="0.25">
      <c r="B6394" s="31" t="s">
        <v>26303</v>
      </c>
      <c r="C6394" s="25" t="s">
        <v>2559</v>
      </c>
      <c r="D6394" s="25" t="s">
        <v>26232</v>
      </c>
      <c r="E6394" s="25"/>
      <c r="F6394" s="9" t="str">
        <f t="shared" si="93"/>
        <v>structure with developmental contribution from neural crest</v>
      </c>
      <c r="G6394" s="9" t="s">
        <v>5090</v>
      </c>
      <c r="H6394" s="9" t="s">
        <v>24880</v>
      </c>
      <c r="I6394" s="9" t="s">
        <v>11798</v>
      </c>
      <c r="J6394" s="9" t="s">
        <v>11799</v>
      </c>
      <c r="K6394" s="7" t="s">
        <v>15171</v>
      </c>
      <c r="L6394" s="13">
        <v>265504716</v>
      </c>
      <c r="M6394" t="str">
        <f>VLOOKUP(L6394,[1]HBA!$B$2:$C$4000,2,FALSE)</f>
        <v>LAda</v>
      </c>
    </row>
    <row r="6395" spans="2:13" x14ac:dyDescent="0.25">
      <c r="B6395" s="31" t="s">
        <v>26303</v>
      </c>
      <c r="C6395" s="25" t="s">
        <v>2559</v>
      </c>
      <c r="D6395" s="25" t="s">
        <v>26232</v>
      </c>
      <c r="E6395" s="25"/>
      <c r="F6395" s="9" t="str">
        <f t="shared" si="93"/>
        <v>structure with developmental contribution from neural crest</v>
      </c>
      <c r="G6395" s="9" t="s">
        <v>5090</v>
      </c>
      <c r="H6395" s="9" t="s">
        <v>24882</v>
      </c>
      <c r="I6395" s="9" t="s">
        <v>11800</v>
      </c>
      <c r="J6395" s="9" t="s">
        <v>11801</v>
      </c>
      <c r="K6395" s="7" t="s">
        <v>15171</v>
      </c>
      <c r="L6395" s="13">
        <v>265504722</v>
      </c>
      <c r="M6395" t="str">
        <f>VLOOKUP(L6395,[1]HBA!$B$2:$C$4000,2,FALSE)</f>
        <v>LAdl</v>
      </c>
    </row>
    <row r="6396" spans="2:13" x14ac:dyDescent="0.25">
      <c r="B6396" s="31" t="s">
        <v>26303</v>
      </c>
      <c r="C6396" s="25" t="s">
        <v>2559</v>
      </c>
      <c r="D6396" s="25" t="s">
        <v>26232</v>
      </c>
      <c r="E6396" s="25"/>
      <c r="F6396" s="9" t="str">
        <f t="shared" si="93"/>
        <v>structure with developmental contribution from neural crest</v>
      </c>
      <c r="G6396" s="9" t="s">
        <v>5090</v>
      </c>
      <c r="H6396" s="9" t="s">
        <v>24883</v>
      </c>
      <c r="I6396" s="9" t="s">
        <v>11802</v>
      </c>
      <c r="J6396" s="9" t="s">
        <v>11803</v>
      </c>
      <c r="K6396" s="7" t="s">
        <v>15171</v>
      </c>
      <c r="L6396" s="13">
        <v>265504726</v>
      </c>
      <c r="M6396" t="str">
        <f>VLOOKUP(L6396,[1]HBA!$B$2:$C$4000,2,FALSE)</f>
        <v>LAdl-com</v>
      </c>
    </row>
    <row r="6397" spans="2:13" x14ac:dyDescent="0.25">
      <c r="B6397" s="31" t="s">
        <v>26303</v>
      </c>
      <c r="C6397" s="25" t="s">
        <v>2559</v>
      </c>
      <c r="D6397" s="25" t="s">
        <v>26232</v>
      </c>
      <c r="E6397" s="25"/>
      <c r="F6397" s="9" t="str">
        <f t="shared" si="93"/>
        <v>structure with developmental contribution from neural crest</v>
      </c>
      <c r="G6397" s="9" t="s">
        <v>5090</v>
      </c>
      <c r="H6397" s="9" t="s">
        <v>24884</v>
      </c>
      <c r="I6397" s="9" t="s">
        <v>11804</v>
      </c>
      <c r="J6397" s="9" t="s">
        <v>11805</v>
      </c>
      <c r="K6397" s="7" t="s">
        <v>15171</v>
      </c>
      <c r="L6397" s="13">
        <v>265504730</v>
      </c>
      <c r="M6397" t="str">
        <f>VLOOKUP(L6397,[1]HBA!$B$2:$C$4000,2,FALSE)</f>
        <v>LAi</v>
      </c>
    </row>
    <row r="6398" spans="2:13" x14ac:dyDescent="0.25">
      <c r="B6398" s="31" t="s">
        <v>26303</v>
      </c>
      <c r="C6398" s="25" t="s">
        <v>2559</v>
      </c>
      <c r="D6398" s="25" t="s">
        <v>26232</v>
      </c>
      <c r="E6398" s="25"/>
      <c r="F6398" s="9" t="str">
        <f t="shared" si="93"/>
        <v>structure with developmental contribution from neural crest</v>
      </c>
      <c r="G6398" s="9" t="s">
        <v>5090</v>
      </c>
      <c r="H6398" s="9" t="s">
        <v>24885</v>
      </c>
      <c r="I6398" s="9" t="s">
        <v>11806</v>
      </c>
      <c r="J6398" s="9" t="s">
        <v>11807</v>
      </c>
      <c r="K6398" s="7" t="s">
        <v>15171</v>
      </c>
      <c r="L6398" s="13">
        <v>265504734</v>
      </c>
      <c r="M6398" t="str">
        <f>VLOOKUP(L6398,[1]HBA!$B$2:$C$4000,2,FALSE)</f>
        <v>LAv</v>
      </c>
    </row>
    <row r="6399" spans="2:13" x14ac:dyDescent="0.25">
      <c r="B6399" s="31" t="s">
        <v>26303</v>
      </c>
      <c r="C6399" s="25" t="s">
        <v>2559</v>
      </c>
      <c r="D6399" s="25" t="s">
        <v>26232</v>
      </c>
      <c r="E6399" s="25"/>
      <c r="F6399" s="9" t="str">
        <f t="shared" si="93"/>
        <v>structure with developmental contribution from neural crest</v>
      </c>
      <c r="G6399" s="9" t="s">
        <v>5090</v>
      </c>
      <c r="H6399" s="9" t="s">
        <v>24887</v>
      </c>
      <c r="I6399" s="9" t="s">
        <v>11808</v>
      </c>
      <c r="J6399" s="9" t="s">
        <v>11809</v>
      </c>
      <c r="K6399" s="7" t="s">
        <v>15171</v>
      </c>
      <c r="L6399" s="13">
        <v>265504740</v>
      </c>
      <c r="M6399" t="str">
        <f>VLOOKUP(L6399,[1]HBA!$B$2:$C$4000,2,FALSE)</f>
        <v>LAvm</v>
      </c>
    </row>
    <row r="6400" spans="2:13" x14ac:dyDescent="0.25">
      <c r="B6400" s="31" t="s">
        <v>26303</v>
      </c>
      <c r="C6400" s="25" t="s">
        <v>2559</v>
      </c>
      <c r="D6400" s="25" t="s">
        <v>26232</v>
      </c>
      <c r="E6400" s="25"/>
      <c r="F6400" s="9" t="str">
        <f t="shared" si="93"/>
        <v>structure with developmental contribution from neural crest</v>
      </c>
      <c r="G6400" s="9" t="s">
        <v>5090</v>
      </c>
      <c r="H6400" s="9" t="s">
        <v>24888</v>
      </c>
      <c r="I6400" s="9" t="s">
        <v>11810</v>
      </c>
      <c r="J6400" s="9" t="s">
        <v>11811</v>
      </c>
      <c r="K6400" s="7" t="s">
        <v>15171</v>
      </c>
      <c r="L6400" s="13">
        <v>265504744</v>
      </c>
      <c r="M6400" t="str">
        <f>VLOOKUP(L6400,[1]HBA!$B$2:$C$4000,2,FALSE)</f>
        <v>LAvglo</v>
      </c>
    </row>
    <row r="6401" spans="2:14" x14ac:dyDescent="0.25">
      <c r="B6401" s="31" t="s">
        <v>26303</v>
      </c>
      <c r="C6401" s="25" t="s">
        <v>2559</v>
      </c>
      <c r="D6401" s="25" t="s">
        <v>26232</v>
      </c>
      <c r="E6401" s="25"/>
      <c r="F6401" s="9" t="str">
        <f t="shared" si="93"/>
        <v>structure with developmental contribution from neural crest</v>
      </c>
      <c r="G6401" s="9" t="s">
        <v>5090</v>
      </c>
      <c r="H6401" s="9" t="s">
        <v>24879</v>
      </c>
      <c r="I6401" s="9" t="s">
        <v>11812</v>
      </c>
      <c r="J6401" s="9" t="s">
        <v>11813</v>
      </c>
      <c r="K6401" s="7" t="s">
        <v>15171</v>
      </c>
      <c r="L6401" s="13">
        <v>265504748</v>
      </c>
      <c r="M6401" t="str">
        <f>VLOOKUP(L6401,[1]HBA!$B$2:$C$4000,2,FALSE)</f>
        <v>LAd</v>
      </c>
    </row>
    <row r="6402" spans="2:14" x14ac:dyDescent="0.25">
      <c r="B6402" s="31" t="s">
        <v>26303</v>
      </c>
      <c r="C6402" s="25" t="s">
        <v>2559</v>
      </c>
      <c r="D6402" s="25" t="s">
        <v>26232</v>
      </c>
      <c r="E6402" s="25"/>
      <c r="F6402" s="9" t="str">
        <f t="shared" si="93"/>
        <v>structure with developmental contribution from neural crest</v>
      </c>
      <c r="G6402" s="9" t="s">
        <v>5090</v>
      </c>
      <c r="H6402" s="9" t="s">
        <v>24880</v>
      </c>
      <c r="I6402" s="9" t="s">
        <v>11814</v>
      </c>
      <c r="J6402" s="9" t="s">
        <v>11815</v>
      </c>
      <c r="K6402" s="7" t="s">
        <v>15171</v>
      </c>
      <c r="L6402" s="13">
        <v>265504752</v>
      </c>
      <c r="M6402" t="str">
        <f>VLOOKUP(L6402,[1]HBA!$B$2:$C$4000,2,FALSE)</f>
        <v>LAda</v>
      </c>
    </row>
    <row r="6403" spans="2:14" x14ac:dyDescent="0.25">
      <c r="B6403" s="31" t="s">
        <v>26303</v>
      </c>
      <c r="C6403" s="25" t="s">
        <v>2559</v>
      </c>
      <c r="D6403" s="25" t="s">
        <v>26232</v>
      </c>
      <c r="E6403" s="25"/>
      <c r="F6403" s="9" t="str">
        <f t="shared" si="93"/>
        <v>structure with developmental contribution from neural crest</v>
      </c>
      <c r="G6403" s="9" t="s">
        <v>5090</v>
      </c>
      <c r="H6403" s="9" t="s">
        <v>24882</v>
      </c>
      <c r="I6403" s="9" t="s">
        <v>11816</v>
      </c>
      <c r="J6403" s="9" t="s">
        <v>11817</v>
      </c>
      <c r="K6403" s="7" t="s">
        <v>15171</v>
      </c>
      <c r="L6403" s="13">
        <v>265504758</v>
      </c>
      <c r="M6403" t="str">
        <f>VLOOKUP(L6403,[1]HBA!$B$2:$C$4000,2,FALSE)</f>
        <v>LAdl</v>
      </c>
    </row>
    <row r="6404" spans="2:14" x14ac:dyDescent="0.25">
      <c r="B6404" s="31" t="s">
        <v>26303</v>
      </c>
      <c r="C6404" s="25" t="s">
        <v>2559</v>
      </c>
      <c r="D6404" s="25" t="s">
        <v>26232</v>
      </c>
      <c r="E6404" s="25"/>
      <c r="F6404" s="9" t="str">
        <f t="shared" si="93"/>
        <v>structure with developmental contribution from neural crest</v>
      </c>
      <c r="G6404" s="9" t="s">
        <v>5090</v>
      </c>
      <c r="H6404" s="9" t="s">
        <v>24883</v>
      </c>
      <c r="I6404" s="9" t="s">
        <v>11818</v>
      </c>
      <c r="J6404" s="9" t="s">
        <v>11819</v>
      </c>
      <c r="K6404" s="7" t="s">
        <v>15171</v>
      </c>
      <c r="L6404" s="13">
        <v>265504762</v>
      </c>
      <c r="M6404" t="str">
        <f>VLOOKUP(L6404,[1]HBA!$B$2:$C$4000,2,FALSE)</f>
        <v>LAdl-com</v>
      </c>
    </row>
    <row r="6405" spans="2:14" x14ac:dyDescent="0.25">
      <c r="B6405" s="31" t="s">
        <v>26303</v>
      </c>
      <c r="C6405" s="25" t="s">
        <v>2559</v>
      </c>
      <c r="D6405" s="25" t="s">
        <v>26232</v>
      </c>
      <c r="E6405" s="25"/>
      <c r="F6405" s="9" t="str">
        <f t="shared" si="93"/>
        <v>structure with developmental contribution from neural crest</v>
      </c>
      <c r="G6405" s="9" t="s">
        <v>5090</v>
      </c>
      <c r="H6405" s="9" t="s">
        <v>24884</v>
      </c>
      <c r="I6405" s="9" t="s">
        <v>11820</v>
      </c>
      <c r="J6405" s="9" t="s">
        <v>11821</v>
      </c>
      <c r="K6405" s="7" t="s">
        <v>15171</v>
      </c>
      <c r="L6405" s="13">
        <v>265504766</v>
      </c>
      <c r="M6405" t="str">
        <f>VLOOKUP(L6405,[1]HBA!$B$2:$C$4000,2,FALSE)</f>
        <v>LAi</v>
      </c>
    </row>
    <row r="6406" spans="2:14" x14ac:dyDescent="0.25">
      <c r="B6406" s="31" t="s">
        <v>26303</v>
      </c>
      <c r="C6406" s="25" t="s">
        <v>2559</v>
      </c>
      <c r="D6406" s="25" t="s">
        <v>26232</v>
      </c>
      <c r="E6406" s="25"/>
      <c r="F6406" s="9" t="str">
        <f t="shared" si="93"/>
        <v>structure with developmental contribution from neural crest</v>
      </c>
      <c r="G6406" s="9" t="s">
        <v>5090</v>
      </c>
      <c r="H6406" s="9" t="s">
        <v>24885</v>
      </c>
      <c r="I6406" s="9" t="s">
        <v>11822</v>
      </c>
      <c r="J6406" s="9" t="s">
        <v>11823</v>
      </c>
      <c r="K6406" s="7" t="s">
        <v>15171</v>
      </c>
      <c r="L6406" s="13">
        <v>265504770</v>
      </c>
      <c r="M6406" t="str">
        <f>VLOOKUP(L6406,[1]HBA!$B$2:$C$4000,2,FALSE)</f>
        <v>LAv</v>
      </c>
    </row>
    <row r="6407" spans="2:14" x14ac:dyDescent="0.25">
      <c r="B6407" s="31" t="s">
        <v>26303</v>
      </c>
      <c r="C6407" s="25" t="s">
        <v>2559</v>
      </c>
      <c r="D6407" s="25" t="s">
        <v>26232</v>
      </c>
      <c r="E6407" s="25"/>
      <c r="F6407" s="9" t="str">
        <f t="shared" si="93"/>
        <v>structure with developmental contribution from neural crest</v>
      </c>
      <c r="G6407" s="9" t="s">
        <v>5090</v>
      </c>
      <c r="H6407" s="9" t="s">
        <v>24887</v>
      </c>
      <c r="I6407" s="9" t="s">
        <v>11824</v>
      </c>
      <c r="J6407" s="9" t="s">
        <v>11825</v>
      </c>
      <c r="K6407" s="7" t="s">
        <v>15171</v>
      </c>
      <c r="L6407" s="13">
        <v>265504776</v>
      </c>
      <c r="M6407" t="str">
        <f>VLOOKUP(L6407,[1]HBA!$B$2:$C$4000,2,FALSE)</f>
        <v>LAvm</v>
      </c>
    </row>
    <row r="6408" spans="2:14" x14ac:dyDescent="0.25">
      <c r="B6408" s="31" t="s">
        <v>26303</v>
      </c>
      <c r="C6408" s="25" t="s">
        <v>2559</v>
      </c>
      <c r="D6408" s="25" t="s">
        <v>26232</v>
      </c>
      <c r="E6408" s="25"/>
      <c r="F6408" s="9" t="str">
        <f t="shared" si="93"/>
        <v>structure with developmental contribution from neural crest</v>
      </c>
      <c r="G6408" s="9" t="s">
        <v>5090</v>
      </c>
      <c r="H6408" s="9" t="s">
        <v>24888</v>
      </c>
      <c r="I6408" s="9" t="s">
        <v>11826</v>
      </c>
      <c r="J6408" s="9" t="s">
        <v>11827</v>
      </c>
      <c r="K6408" s="7" t="s">
        <v>15171</v>
      </c>
      <c r="L6408" s="13">
        <v>265504780</v>
      </c>
      <c r="M6408" t="str">
        <f>VLOOKUP(L6408,[1]HBA!$B$2:$C$4000,2,FALSE)</f>
        <v>LAvglo</v>
      </c>
    </row>
    <row r="6409" spans="2:14" x14ac:dyDescent="0.25">
      <c r="B6409" s="31" t="s">
        <v>26303</v>
      </c>
      <c r="C6409" s="20"/>
      <c r="D6409" s="25" t="s">
        <v>26232</v>
      </c>
      <c r="E6409" s="25" t="s">
        <v>26300</v>
      </c>
      <c r="F6409" s="9" t="str">
        <f t="shared" si="93"/>
        <v>structure with developmental contribution from neural crest</v>
      </c>
      <c r="G6409" s="9" t="s">
        <v>5090</v>
      </c>
      <c r="H6409" s="9" t="s">
        <v>24890</v>
      </c>
      <c r="I6409" s="38" t="s">
        <v>11828</v>
      </c>
      <c r="J6409" s="9" t="s">
        <v>11829</v>
      </c>
      <c r="K6409" s="7" t="s">
        <v>15171</v>
      </c>
      <c r="L6409" s="13">
        <v>265504784</v>
      </c>
      <c r="M6409" t="str">
        <f>VLOOKUP(L6409,[1]HBA!$B$2:$C$4000,2,FALSE)</f>
        <v>PLAglo</v>
      </c>
      <c r="N6409" t="s">
        <v>26316</v>
      </c>
    </row>
    <row r="6410" spans="2:14" x14ac:dyDescent="0.25">
      <c r="B6410" s="31" t="s">
        <v>26303</v>
      </c>
      <c r="C6410" s="20"/>
      <c r="D6410" s="25" t="s">
        <v>26232</v>
      </c>
      <c r="E6410" s="25" t="s">
        <v>26300</v>
      </c>
      <c r="F6410" s="9" t="str">
        <f t="shared" si="93"/>
        <v>structure with developmental contribution from neural crest</v>
      </c>
      <c r="G6410" s="9" t="s">
        <v>5090</v>
      </c>
      <c r="H6410" s="9" t="s">
        <v>24890</v>
      </c>
      <c r="I6410" s="38" t="s">
        <v>11830</v>
      </c>
      <c r="J6410" s="9" t="s">
        <v>11831</v>
      </c>
      <c r="K6410" s="7" t="s">
        <v>15171</v>
      </c>
      <c r="L6410" s="13">
        <v>265504788</v>
      </c>
      <c r="M6410" t="str">
        <f>VLOOKUP(L6410,[1]HBA!$B$2:$C$4000,2,FALSE)</f>
        <v>PLAglo</v>
      </c>
      <c r="N6410" t="s">
        <v>26316</v>
      </c>
    </row>
    <row r="6411" spans="2:14" x14ac:dyDescent="0.25">
      <c r="B6411" s="31" t="s">
        <v>26303</v>
      </c>
      <c r="C6411" s="25" t="s">
        <v>25983</v>
      </c>
      <c r="D6411" s="25" t="s">
        <v>26232</v>
      </c>
      <c r="E6411" s="25"/>
      <c r="F6411" s="9" t="str">
        <f t="shared" si="93"/>
        <v>structure with developmental contribution from neural crest</v>
      </c>
      <c r="G6411" s="9" t="s">
        <v>5090</v>
      </c>
      <c r="H6411" s="9" t="s">
        <v>24899</v>
      </c>
      <c r="I6411" s="9" t="s">
        <v>2544</v>
      </c>
      <c r="J6411" s="9" t="s">
        <v>2545</v>
      </c>
      <c r="K6411" s="7" t="s">
        <v>15171</v>
      </c>
      <c r="L6411" s="13">
        <v>265504792</v>
      </c>
      <c r="M6411" t="str">
        <f>VLOOKUP(L6411,[1]HBA!$B$2:$C$4000,2,FALSE)</f>
        <v>IslC</v>
      </c>
    </row>
    <row r="6412" spans="2:14" x14ac:dyDescent="0.25">
      <c r="B6412" s="31" t="s">
        <v>26303</v>
      </c>
      <c r="C6412" s="25" t="s">
        <v>25983</v>
      </c>
      <c r="D6412" s="25" t="s">
        <v>26232</v>
      </c>
      <c r="E6412" s="25"/>
      <c r="F6412" s="9" t="str">
        <f t="shared" si="93"/>
        <v>structure with developmental contribution from neural crest</v>
      </c>
      <c r="G6412" s="9" t="s">
        <v>5090</v>
      </c>
      <c r="H6412" s="9" t="s">
        <v>24899</v>
      </c>
      <c r="I6412" s="9" t="s">
        <v>11832</v>
      </c>
      <c r="J6412" s="9" t="s">
        <v>11833</v>
      </c>
      <c r="K6412" s="7" t="s">
        <v>15171</v>
      </c>
      <c r="L6412" s="13">
        <v>265504796</v>
      </c>
      <c r="M6412" t="str">
        <f>VLOOKUP(L6412,[1]HBA!$B$2:$C$4000,2,FALSE)</f>
        <v>IslC</v>
      </c>
    </row>
    <row r="6413" spans="2:14" x14ac:dyDescent="0.25">
      <c r="B6413" s="31" t="s">
        <v>26303</v>
      </c>
      <c r="C6413" s="20"/>
      <c r="D6413" s="25" t="s">
        <v>26232</v>
      </c>
      <c r="E6413" s="25" t="s">
        <v>26309</v>
      </c>
      <c r="F6413" s="9" t="str">
        <f t="shared" si="93"/>
        <v>structure with developmental contribution from neural crest</v>
      </c>
      <c r="G6413" s="9" t="s">
        <v>5090</v>
      </c>
      <c r="H6413" s="9" t="s">
        <v>17554</v>
      </c>
      <c r="I6413" s="9" t="s">
        <v>8339</v>
      </c>
      <c r="J6413" s="9" t="s">
        <v>11834</v>
      </c>
      <c r="K6413" s="7" t="s">
        <v>15171</v>
      </c>
      <c r="L6413" s="13">
        <v>265504864</v>
      </c>
      <c r="M6413" t="str">
        <f>VLOOKUP(L6413,[1]HBA!$B$2:$C$4000,2,FALSE)</f>
        <v>DMTg</v>
      </c>
    </row>
    <row r="6414" spans="2:14" x14ac:dyDescent="0.25">
      <c r="B6414" s="31" t="s">
        <v>26303</v>
      </c>
      <c r="C6414" s="20"/>
      <c r="D6414" s="25" t="s">
        <v>26232</v>
      </c>
      <c r="E6414" s="25" t="s">
        <v>26300</v>
      </c>
      <c r="F6414" s="9" t="str">
        <f t="shared" si="93"/>
        <v>structure with developmental contribution from neural crest</v>
      </c>
      <c r="G6414" s="9" t="s">
        <v>5090</v>
      </c>
      <c r="H6414" s="9" t="s">
        <v>17554</v>
      </c>
      <c r="I6414" s="9" t="s">
        <v>11835</v>
      </c>
      <c r="J6414" s="9" t="s">
        <v>11836</v>
      </c>
      <c r="K6414" s="7" t="s">
        <v>15171</v>
      </c>
      <c r="L6414" s="13">
        <v>265504868</v>
      </c>
      <c r="M6414" t="str">
        <f>VLOOKUP(L6414,[1]HBA!$B$2:$C$4000,2,FALSE)</f>
        <v>DMTg</v>
      </c>
    </row>
    <row r="6415" spans="2:14" x14ac:dyDescent="0.25">
      <c r="B6415" s="31" t="s">
        <v>26303</v>
      </c>
      <c r="C6415" s="20"/>
      <c r="D6415" s="25" t="s">
        <v>26232</v>
      </c>
      <c r="E6415" s="25" t="s">
        <v>26300</v>
      </c>
      <c r="F6415" s="9" t="str">
        <f t="shared" si="93"/>
        <v>structure with developmental contribution from neural crest</v>
      </c>
      <c r="G6415" s="9" t="s">
        <v>5090</v>
      </c>
      <c r="H6415" s="9" t="s">
        <v>17554</v>
      </c>
      <c r="I6415" s="9" t="s">
        <v>11837</v>
      </c>
      <c r="J6415" s="9" t="s">
        <v>11838</v>
      </c>
      <c r="K6415" s="7" t="s">
        <v>15171</v>
      </c>
      <c r="L6415" s="13">
        <v>265504872</v>
      </c>
      <c r="M6415" t="str">
        <f>VLOOKUP(L6415,[1]HBA!$B$2:$C$4000,2,FALSE)</f>
        <v>DMTg</v>
      </c>
    </row>
    <row r="6416" spans="2:14" x14ac:dyDescent="0.25">
      <c r="B6416" s="31" t="s">
        <v>26303</v>
      </c>
      <c r="C6416" s="25" t="s">
        <v>1614</v>
      </c>
      <c r="D6416" s="25" t="s">
        <v>26232</v>
      </c>
      <c r="E6416" s="25"/>
      <c r="F6416" s="9" t="str">
        <f t="shared" si="93"/>
        <v>structure with developmental contribution from neural crest</v>
      </c>
      <c r="G6416" s="9" t="s">
        <v>5090</v>
      </c>
      <c r="H6416" s="9" t="s">
        <v>17455</v>
      </c>
      <c r="I6416" s="9" t="s">
        <v>1614</v>
      </c>
      <c r="J6416" s="9" t="s">
        <v>1617</v>
      </c>
      <c r="K6416" s="7" t="s">
        <v>15171</v>
      </c>
      <c r="L6416" s="13">
        <v>265504876</v>
      </c>
      <c r="M6416" t="str">
        <f>VLOOKUP(L6416,[1]HBA!$B$2:$C$4000,2,FALSE)</f>
        <v>DTg</v>
      </c>
    </row>
    <row r="6417" spans="2:13" x14ac:dyDescent="0.25">
      <c r="B6417" s="31" t="s">
        <v>26303</v>
      </c>
      <c r="C6417" s="25" t="s">
        <v>1614</v>
      </c>
      <c r="D6417" s="25" t="s">
        <v>26232</v>
      </c>
      <c r="E6417" s="25"/>
      <c r="F6417" s="9" t="str">
        <f t="shared" si="93"/>
        <v>structure with developmental contribution from neural crest</v>
      </c>
      <c r="G6417" s="9" t="s">
        <v>5090</v>
      </c>
      <c r="H6417" s="9" t="s">
        <v>17455</v>
      </c>
      <c r="I6417" s="9" t="s">
        <v>11839</v>
      </c>
      <c r="J6417" s="9" t="s">
        <v>11840</v>
      </c>
      <c r="K6417" s="7" t="s">
        <v>15171</v>
      </c>
      <c r="L6417" s="13">
        <v>265504880</v>
      </c>
      <c r="M6417" t="str">
        <f>VLOOKUP(L6417,[1]HBA!$B$2:$C$4000,2,FALSE)</f>
        <v>DTg</v>
      </c>
    </row>
    <row r="6418" spans="2:13" x14ac:dyDescent="0.25">
      <c r="B6418" s="31" t="s">
        <v>26303</v>
      </c>
      <c r="C6418" s="25" t="s">
        <v>1614</v>
      </c>
      <c r="D6418" s="25" t="s">
        <v>26232</v>
      </c>
      <c r="E6418" s="25"/>
      <c r="F6418" s="9" t="str">
        <f t="shared" si="93"/>
        <v>structure with developmental contribution from neural crest</v>
      </c>
      <c r="G6418" s="9" t="s">
        <v>5090</v>
      </c>
      <c r="H6418" s="9" t="s">
        <v>17455</v>
      </c>
      <c r="I6418" s="9" t="s">
        <v>11841</v>
      </c>
      <c r="J6418" s="9" t="s">
        <v>11842</v>
      </c>
      <c r="K6418" s="7" t="s">
        <v>15171</v>
      </c>
      <c r="L6418" s="13">
        <v>265504884</v>
      </c>
      <c r="M6418" t="str">
        <f>VLOOKUP(L6418,[1]HBA!$B$2:$C$4000,2,FALSE)</f>
        <v>DTg</v>
      </c>
    </row>
    <row r="6419" spans="2:13" x14ac:dyDescent="0.25">
      <c r="B6419" s="31" t="s">
        <v>26303</v>
      </c>
      <c r="C6419" s="25" t="s">
        <v>2468</v>
      </c>
      <c r="D6419" s="25" t="s">
        <v>26232</v>
      </c>
      <c r="E6419" s="25"/>
      <c r="F6419" s="9" t="str">
        <f t="shared" si="93"/>
        <v>structure with developmental contribution from neural crest</v>
      </c>
      <c r="G6419" s="9" t="s">
        <v>5090</v>
      </c>
      <c r="H6419" s="9" t="s">
        <v>24305</v>
      </c>
      <c r="I6419" s="9" t="s">
        <v>11843</v>
      </c>
      <c r="J6419" s="9" t="s">
        <v>11844</v>
      </c>
      <c r="K6419" s="7" t="s">
        <v>15171</v>
      </c>
      <c r="L6419" s="13">
        <v>265504892</v>
      </c>
      <c r="M6419" t="str">
        <f>VLOOKUP(L6419,[1]HBA!$B$2:$C$4000,2,FALSE)</f>
        <v>ILL</v>
      </c>
    </row>
    <row r="6420" spans="2:13" x14ac:dyDescent="0.25">
      <c r="B6420" s="31" t="s">
        <v>26303</v>
      </c>
      <c r="C6420" s="25" t="s">
        <v>2468</v>
      </c>
      <c r="D6420" s="25" t="s">
        <v>26232</v>
      </c>
      <c r="E6420" s="25"/>
      <c r="F6420" s="9" t="str">
        <f t="shared" si="93"/>
        <v>structure with developmental contribution from neural crest</v>
      </c>
      <c r="G6420" s="9" t="s">
        <v>5090</v>
      </c>
      <c r="H6420" s="9" t="s">
        <v>24305</v>
      </c>
      <c r="I6420" s="9" t="s">
        <v>11845</v>
      </c>
      <c r="J6420" s="9" t="s">
        <v>11846</v>
      </c>
      <c r="K6420" s="7" t="s">
        <v>15171</v>
      </c>
      <c r="L6420" s="13">
        <v>265504896</v>
      </c>
      <c r="M6420" t="str">
        <f>VLOOKUP(L6420,[1]HBA!$B$2:$C$4000,2,FALSE)</f>
        <v>ILL</v>
      </c>
    </row>
    <row r="6421" spans="2:13" x14ac:dyDescent="0.25">
      <c r="B6421" s="31" t="s">
        <v>26303</v>
      </c>
      <c r="C6421" s="20"/>
      <c r="D6421" s="25" t="s">
        <v>26232</v>
      </c>
      <c r="E6421" s="25" t="s">
        <v>26309</v>
      </c>
      <c r="F6421" s="9" t="str">
        <f t="shared" si="93"/>
        <v>structure with developmental contribution from neural crest</v>
      </c>
      <c r="G6421" s="9" t="s">
        <v>5090</v>
      </c>
      <c r="H6421" s="9" t="s">
        <v>24315</v>
      </c>
      <c r="I6421" s="9" t="s">
        <v>11847</v>
      </c>
      <c r="J6421" s="9" t="s">
        <v>11848</v>
      </c>
      <c r="K6421" s="7" t="s">
        <v>15171</v>
      </c>
      <c r="L6421" s="13">
        <v>265504906</v>
      </c>
      <c r="M6421" t="str">
        <f>VLOOKUP(L6421,[1]HBA!$B$2:$C$4000,2,FALSE)</f>
        <v>SPO</v>
      </c>
    </row>
    <row r="6422" spans="2:13" x14ac:dyDescent="0.25">
      <c r="B6422" s="31" t="s">
        <v>26303</v>
      </c>
      <c r="C6422" s="20"/>
      <c r="D6422" s="25" t="s">
        <v>26232</v>
      </c>
      <c r="E6422" s="25" t="s">
        <v>26309</v>
      </c>
      <c r="F6422" s="9" t="str">
        <f t="shared" si="93"/>
        <v>structure with developmental contribution from neural crest</v>
      </c>
      <c r="G6422" s="9" t="s">
        <v>5090</v>
      </c>
      <c r="H6422" s="9" t="s">
        <v>24315</v>
      </c>
      <c r="I6422" s="9" t="s">
        <v>11849</v>
      </c>
      <c r="J6422" s="9" t="s">
        <v>11850</v>
      </c>
      <c r="K6422" s="7" t="s">
        <v>15171</v>
      </c>
      <c r="L6422" s="13">
        <v>265504910</v>
      </c>
      <c r="M6422" t="str">
        <f>VLOOKUP(L6422,[1]HBA!$B$2:$C$4000,2,FALSE)</f>
        <v>SPO</v>
      </c>
    </row>
    <row r="6423" spans="2:13" x14ac:dyDescent="0.25">
      <c r="B6423" s="31" t="s">
        <v>26303</v>
      </c>
      <c r="C6423" s="25" t="s">
        <v>25829</v>
      </c>
      <c r="D6423" s="25" t="s">
        <v>26232</v>
      </c>
      <c r="E6423" s="25"/>
      <c r="F6423" s="9" t="str">
        <f t="shared" si="93"/>
        <v>structure with developmental contribution from neural crest</v>
      </c>
      <c r="G6423" s="9" t="s">
        <v>5090</v>
      </c>
      <c r="H6423" s="9" t="s">
        <v>25444</v>
      </c>
      <c r="I6423" s="9" t="s">
        <v>11851</v>
      </c>
      <c r="J6423" s="9" t="s">
        <v>11852</v>
      </c>
      <c r="K6423" s="7" t="s">
        <v>15171</v>
      </c>
      <c r="L6423" s="13">
        <v>265504918</v>
      </c>
      <c r="M6423" t="str">
        <f>VLOOKUP(L6423,[1]HBA!$B$2:$C$4000,2,FALSE)</f>
        <v>CGMe</v>
      </c>
    </row>
    <row r="6424" spans="2:13" x14ac:dyDescent="0.25">
      <c r="B6424" s="31" t="s">
        <v>26303</v>
      </c>
      <c r="C6424" s="25" t="s">
        <v>25829</v>
      </c>
      <c r="D6424" s="25" t="s">
        <v>26232</v>
      </c>
      <c r="E6424" s="25"/>
      <c r="F6424" s="9" t="str">
        <f t="shared" si="93"/>
        <v>structure with developmental contribution from neural crest</v>
      </c>
      <c r="G6424" s="9" t="s">
        <v>5090</v>
      </c>
      <c r="H6424" s="9" t="s">
        <v>25444</v>
      </c>
      <c r="I6424" s="9" t="s">
        <v>11853</v>
      </c>
      <c r="J6424" s="9" t="s">
        <v>11854</v>
      </c>
      <c r="K6424" s="7" t="s">
        <v>15171</v>
      </c>
      <c r="L6424" s="13">
        <v>265504922</v>
      </c>
      <c r="M6424" t="str">
        <f>VLOOKUP(L6424,[1]HBA!$B$2:$C$4000,2,FALSE)</f>
        <v>CGMe</v>
      </c>
    </row>
    <row r="6425" spans="2:13" x14ac:dyDescent="0.25">
      <c r="B6425" s="31" t="s">
        <v>26303</v>
      </c>
      <c r="C6425" s="25" t="s">
        <v>180</v>
      </c>
      <c r="D6425" s="25" t="s">
        <v>26185</v>
      </c>
      <c r="E6425" s="25" t="s">
        <v>26300</v>
      </c>
      <c r="F6425" s="9" t="str">
        <f t="shared" si="93"/>
        <v>structure with developmental contribution from neural crest</v>
      </c>
      <c r="G6425" s="9" t="s">
        <v>5090</v>
      </c>
      <c r="H6425" s="9" t="s">
        <v>24420</v>
      </c>
      <c r="I6425" s="9" t="s">
        <v>7551</v>
      </c>
      <c r="J6425" s="9" t="s">
        <v>11855</v>
      </c>
      <c r="K6425" s="7" t="s">
        <v>15171</v>
      </c>
      <c r="L6425" s="13">
        <v>265504926</v>
      </c>
      <c r="M6425" t="str">
        <f>VLOOKUP(L6425,[1]HBA!$B$2:$C$4000,2,FALSE)</f>
        <v>ECu</v>
      </c>
    </row>
    <row r="6426" spans="2:13" x14ac:dyDescent="0.25">
      <c r="B6426" s="31" t="s">
        <v>26303</v>
      </c>
      <c r="C6426" s="25" t="s">
        <v>180</v>
      </c>
      <c r="D6426" s="25" t="s">
        <v>26185</v>
      </c>
      <c r="E6426" s="25" t="s">
        <v>26300</v>
      </c>
      <c r="F6426" s="9" t="str">
        <f t="shared" si="93"/>
        <v>structure with developmental contribution from neural crest</v>
      </c>
      <c r="G6426" s="9" t="s">
        <v>5090</v>
      </c>
      <c r="H6426" s="9" t="s">
        <v>24420</v>
      </c>
      <c r="I6426" s="9" t="s">
        <v>11856</v>
      </c>
      <c r="J6426" s="9" t="s">
        <v>11857</v>
      </c>
      <c r="K6426" s="7" t="s">
        <v>15171</v>
      </c>
      <c r="L6426" s="13">
        <v>265504930</v>
      </c>
      <c r="M6426" t="str">
        <f>VLOOKUP(L6426,[1]HBA!$B$2:$C$4000,2,FALSE)</f>
        <v>ECu</v>
      </c>
    </row>
    <row r="6427" spans="2:13" x14ac:dyDescent="0.25">
      <c r="B6427" s="31" t="s">
        <v>26303</v>
      </c>
      <c r="C6427" s="25" t="s">
        <v>180</v>
      </c>
      <c r="D6427" s="25" t="s">
        <v>26185</v>
      </c>
      <c r="E6427" s="25" t="s">
        <v>26300</v>
      </c>
      <c r="F6427" s="9" t="str">
        <f t="shared" si="93"/>
        <v>structure with developmental contribution from neural crest</v>
      </c>
      <c r="G6427" s="9" t="s">
        <v>5090</v>
      </c>
      <c r="H6427" s="9" t="s">
        <v>24420</v>
      </c>
      <c r="I6427" s="9" t="s">
        <v>11858</v>
      </c>
      <c r="J6427" s="9" t="s">
        <v>11859</v>
      </c>
      <c r="K6427" s="7" t="s">
        <v>15171</v>
      </c>
      <c r="L6427" s="13">
        <v>265504934</v>
      </c>
      <c r="M6427" t="str">
        <f>VLOOKUP(L6427,[1]HBA!$B$2:$C$4000,2,FALSE)</f>
        <v>ECu</v>
      </c>
    </row>
    <row r="6428" spans="2:13" x14ac:dyDescent="0.25">
      <c r="B6428" s="31" t="s">
        <v>26303</v>
      </c>
      <c r="C6428" s="20"/>
      <c r="D6428" s="25" t="s">
        <v>26185</v>
      </c>
      <c r="E6428" s="25" t="s">
        <v>26300</v>
      </c>
      <c r="F6428" s="9" t="str">
        <f t="shared" si="93"/>
        <v>structure with developmental contribution from neural crest</v>
      </c>
      <c r="G6428" s="9" t="s">
        <v>5090</v>
      </c>
      <c r="H6428" s="9" t="s">
        <v>25451</v>
      </c>
      <c r="I6428" s="9" t="s">
        <v>11860</v>
      </c>
      <c r="J6428" s="9" t="s">
        <v>11861</v>
      </c>
      <c r="K6428" s="7" t="s">
        <v>15171</v>
      </c>
      <c r="L6428" s="13">
        <v>265504938</v>
      </c>
      <c r="M6428" t="str">
        <f>VLOOKUP(L6428,[1]HBA!$B$2:$C$4000,2,FALSE)</f>
        <v>BIO</v>
      </c>
    </row>
    <row r="6429" spans="2:13" x14ac:dyDescent="0.25">
      <c r="B6429" s="31" t="s">
        <v>26303</v>
      </c>
      <c r="C6429" s="20"/>
      <c r="D6429" s="25" t="s">
        <v>26185</v>
      </c>
      <c r="E6429" s="25" t="s">
        <v>26300</v>
      </c>
      <c r="F6429" s="9" t="str">
        <f t="shared" si="93"/>
        <v>structure with developmental contribution from neural crest</v>
      </c>
      <c r="G6429" s="9" t="s">
        <v>5090</v>
      </c>
      <c r="H6429" s="9" t="s">
        <v>25451</v>
      </c>
      <c r="I6429" s="9" t="s">
        <v>11862</v>
      </c>
      <c r="J6429" s="9" t="s">
        <v>11863</v>
      </c>
      <c r="K6429" s="7" t="s">
        <v>15171</v>
      </c>
      <c r="L6429" s="13">
        <v>265504942</v>
      </c>
      <c r="M6429" t="str">
        <f>VLOOKUP(L6429,[1]HBA!$B$2:$C$4000,2,FALSE)</f>
        <v>BIO</v>
      </c>
    </row>
    <row r="6430" spans="2:13" x14ac:dyDescent="0.25">
      <c r="B6430" s="31" t="s">
        <v>26303</v>
      </c>
      <c r="C6430" s="20"/>
      <c r="D6430" s="25" t="s">
        <v>26232</v>
      </c>
      <c r="E6430" s="25" t="s">
        <v>26309</v>
      </c>
      <c r="F6430" s="9" t="str">
        <f t="shared" si="93"/>
        <v>structure with developmental contribution from neural crest</v>
      </c>
      <c r="G6430" s="9" t="s">
        <v>5090</v>
      </c>
      <c r="H6430" s="9" t="s">
        <v>25465</v>
      </c>
      <c r="I6430" s="9" t="s">
        <v>8267</v>
      </c>
      <c r="J6430" s="9" t="s">
        <v>11864</v>
      </c>
      <c r="K6430" s="7" t="s">
        <v>15171</v>
      </c>
      <c r="L6430" s="13">
        <v>265504950</v>
      </c>
      <c r="M6430" t="str">
        <f>VLOOKUP(L6430,[1]HBA!$B$2:$C$4000,2,FALSE)</f>
        <v>RPRa</v>
      </c>
    </row>
    <row r="6431" spans="2:13" x14ac:dyDescent="0.25">
      <c r="B6431" s="31" t="s">
        <v>26303</v>
      </c>
      <c r="C6431" s="20"/>
      <c r="D6431" s="25" t="s">
        <v>26232</v>
      </c>
      <c r="E6431" s="25" t="s">
        <v>26309</v>
      </c>
      <c r="F6431" s="9" t="str">
        <f t="shared" si="93"/>
        <v>structure with developmental contribution from neural crest</v>
      </c>
      <c r="G6431" s="9" t="s">
        <v>5090</v>
      </c>
      <c r="H6431" s="9" t="s">
        <v>25465</v>
      </c>
      <c r="I6431" s="9" t="s">
        <v>11865</v>
      </c>
      <c r="J6431" s="9" t="s">
        <v>11866</v>
      </c>
      <c r="K6431" s="7" t="s">
        <v>15171</v>
      </c>
      <c r="L6431" s="13">
        <v>265504954</v>
      </c>
      <c r="M6431" t="str">
        <f>VLOOKUP(L6431,[1]HBA!$B$2:$C$4000,2,FALSE)</f>
        <v>RPRa</v>
      </c>
    </row>
    <row r="6432" spans="2:13" x14ac:dyDescent="0.25">
      <c r="B6432" s="31" t="s">
        <v>26303</v>
      </c>
      <c r="C6432" s="20"/>
      <c r="D6432" s="25" t="s">
        <v>26232</v>
      </c>
      <c r="E6432" s="25" t="s">
        <v>26309</v>
      </c>
      <c r="F6432" s="9" t="str">
        <f t="shared" si="93"/>
        <v>structure with developmental contribution from neural crest</v>
      </c>
      <c r="G6432" s="9" t="s">
        <v>5090</v>
      </c>
      <c r="H6432" s="9" t="s">
        <v>25465</v>
      </c>
      <c r="I6432" s="9" t="s">
        <v>11867</v>
      </c>
      <c r="J6432" s="9" t="s">
        <v>11868</v>
      </c>
      <c r="K6432" s="7" t="s">
        <v>15171</v>
      </c>
      <c r="L6432" s="13">
        <v>265504958</v>
      </c>
      <c r="M6432" t="str">
        <f>VLOOKUP(L6432,[1]HBA!$B$2:$C$4000,2,FALSE)</f>
        <v>RPRa</v>
      </c>
    </row>
    <row r="6433" spans="2:13" x14ac:dyDescent="0.25">
      <c r="B6433" s="31" t="s">
        <v>26303</v>
      </c>
      <c r="C6433" s="25" t="s">
        <v>26183</v>
      </c>
      <c r="D6433" s="25" t="s">
        <v>26232</v>
      </c>
      <c r="E6433" s="25"/>
      <c r="F6433" s="9" t="str">
        <f t="shared" si="93"/>
        <v>structure with developmental contribution from neural crest</v>
      </c>
      <c r="G6433" s="9" t="s">
        <v>5090</v>
      </c>
      <c r="H6433" s="9" t="s">
        <v>25480</v>
      </c>
      <c r="I6433" s="9" t="s">
        <v>4237</v>
      </c>
      <c r="J6433" s="9" t="s">
        <v>4239</v>
      </c>
      <c r="K6433" s="7" t="s">
        <v>15171</v>
      </c>
      <c r="L6433" s="13">
        <v>265504962</v>
      </c>
      <c r="M6433" t="str">
        <f>VLOOKUP(L6433,[1]HBA!$B$2:$C$4000,2,FALSE)</f>
        <v>rdcc</v>
      </c>
    </row>
    <row r="6434" spans="2:13" x14ac:dyDescent="0.25">
      <c r="B6434" s="31" t="s">
        <v>26303</v>
      </c>
      <c r="C6434" s="20"/>
      <c r="D6434" s="25" t="s">
        <v>26185</v>
      </c>
      <c r="E6434" s="25" t="s">
        <v>26300</v>
      </c>
      <c r="F6434" s="9" t="str">
        <f t="shared" si="93"/>
        <v>structure with developmental contribution from neural crest</v>
      </c>
      <c r="G6434" s="9" t="s">
        <v>5090</v>
      </c>
      <c r="H6434" s="9" t="s">
        <v>23548</v>
      </c>
      <c r="I6434" s="9" t="s">
        <v>11869</v>
      </c>
      <c r="J6434" s="9" t="s">
        <v>11870</v>
      </c>
      <c r="K6434" s="7" t="s">
        <v>15171</v>
      </c>
      <c r="L6434" s="13">
        <v>265504970</v>
      </c>
      <c r="M6434" t="str">
        <f>VLOOKUP(L6434,[1]HBA!$B$2:$C$4000,2,FALSE)</f>
        <v>smc</v>
      </c>
    </row>
    <row r="6435" spans="2:13" x14ac:dyDescent="0.25">
      <c r="B6435" s="31" t="s">
        <v>26303</v>
      </c>
      <c r="C6435" s="25" t="s">
        <v>7243</v>
      </c>
      <c r="D6435" s="25" t="s">
        <v>26232</v>
      </c>
      <c r="E6435" s="25"/>
      <c r="F6435" s="9" t="str">
        <f t="shared" si="93"/>
        <v>structure with developmental contribution from neural crest</v>
      </c>
      <c r="G6435" s="9" t="s">
        <v>5090</v>
      </c>
      <c r="H6435" s="9" t="s">
        <v>20847</v>
      </c>
      <c r="I6435" s="9" t="s">
        <v>11871</v>
      </c>
      <c r="J6435" s="9" t="s">
        <v>11872</v>
      </c>
      <c r="K6435" s="7" t="s">
        <v>15171</v>
      </c>
      <c r="L6435" s="13">
        <v>265504978</v>
      </c>
      <c r="M6435" t="str">
        <f>VLOOKUP(L6435,[1]HBA!$B$2:$C$4000,2,FALSE)</f>
        <v>ar</v>
      </c>
    </row>
    <row r="6436" spans="2:13" x14ac:dyDescent="0.25">
      <c r="B6436" s="31" t="s">
        <v>26303</v>
      </c>
      <c r="C6436" s="25" t="s">
        <v>7243</v>
      </c>
      <c r="D6436" s="25" t="s">
        <v>26232</v>
      </c>
      <c r="E6436" s="25"/>
      <c r="F6436" s="9" t="str">
        <f t="shared" si="93"/>
        <v>structure with developmental contribution from neural crest</v>
      </c>
      <c r="G6436" s="9" t="s">
        <v>5090</v>
      </c>
      <c r="H6436" s="9" t="s">
        <v>20847</v>
      </c>
      <c r="I6436" s="9" t="s">
        <v>11873</v>
      </c>
      <c r="J6436" s="9" t="s">
        <v>11874</v>
      </c>
      <c r="K6436" s="7" t="s">
        <v>15171</v>
      </c>
      <c r="L6436" s="13">
        <v>265504982</v>
      </c>
      <c r="M6436" t="str">
        <f>VLOOKUP(L6436,[1]HBA!$B$2:$C$4000,2,FALSE)</f>
        <v>ar</v>
      </c>
    </row>
    <row r="6437" spans="2:13" x14ac:dyDescent="0.25">
      <c r="B6437" s="31" t="s">
        <v>26303</v>
      </c>
      <c r="C6437" s="20"/>
      <c r="D6437" s="25" t="s">
        <v>26232</v>
      </c>
      <c r="E6437" s="25" t="s">
        <v>26300</v>
      </c>
      <c r="F6437" s="9" t="str">
        <f t="shared" si="93"/>
        <v>structure with developmental contribution from neural crest</v>
      </c>
      <c r="G6437" s="9" t="s">
        <v>5090</v>
      </c>
      <c r="H6437" s="9" t="s">
        <v>23550</v>
      </c>
      <c r="I6437" s="9" t="s">
        <v>11875</v>
      </c>
      <c r="J6437" s="9" t="s">
        <v>11876</v>
      </c>
      <c r="K6437" s="7" t="s">
        <v>15171</v>
      </c>
      <c r="L6437" s="13">
        <v>265504986</v>
      </c>
      <c r="M6437" t="str">
        <f>VLOOKUP(L6437,[1]HBA!$B$2:$C$4000,2,FALSE)</f>
        <v>amtg</v>
      </c>
    </row>
    <row r="6438" spans="2:13" x14ac:dyDescent="0.25">
      <c r="B6438" s="31" t="s">
        <v>26303</v>
      </c>
      <c r="C6438" s="20"/>
      <c r="D6438" s="25" t="s">
        <v>26232</v>
      </c>
      <c r="E6438" s="25" t="s">
        <v>26300</v>
      </c>
      <c r="F6438" s="9" t="str">
        <f t="shared" si="93"/>
        <v>structure with developmental contribution from neural crest</v>
      </c>
      <c r="G6438" s="9" t="s">
        <v>5090</v>
      </c>
      <c r="H6438" s="9" t="s">
        <v>23550</v>
      </c>
      <c r="I6438" s="9" t="s">
        <v>11877</v>
      </c>
      <c r="J6438" s="9" t="s">
        <v>11878</v>
      </c>
      <c r="K6438" s="7" t="s">
        <v>15171</v>
      </c>
      <c r="L6438" s="13">
        <v>265504990</v>
      </c>
      <c r="M6438" t="str">
        <f>VLOOKUP(L6438,[1]HBA!$B$2:$C$4000,2,FALSE)</f>
        <v>amtg</v>
      </c>
    </row>
    <row r="6439" spans="2:13" x14ac:dyDescent="0.25">
      <c r="B6439" s="31" t="s">
        <v>26303</v>
      </c>
      <c r="C6439" s="20"/>
      <c r="D6439" s="25" t="s">
        <v>26232</v>
      </c>
      <c r="E6439" s="25" t="s">
        <v>26300</v>
      </c>
      <c r="F6439" s="9" t="str">
        <f t="shared" si="93"/>
        <v>structure with developmental contribution from neural crest</v>
      </c>
      <c r="G6439" s="9" t="s">
        <v>5090</v>
      </c>
      <c r="H6439" s="9" t="s">
        <v>23550</v>
      </c>
      <c r="I6439" s="9" t="s">
        <v>11879</v>
      </c>
      <c r="J6439" s="9" t="s">
        <v>11880</v>
      </c>
      <c r="K6439" s="7" t="s">
        <v>15171</v>
      </c>
      <c r="L6439" s="13">
        <v>265504994</v>
      </c>
      <c r="M6439" t="str">
        <f>VLOOKUP(L6439,[1]HBA!$B$2:$C$4000,2,FALSE)</f>
        <v>amtg</v>
      </c>
    </row>
    <row r="6440" spans="2:13" x14ac:dyDescent="0.25">
      <c r="B6440" s="31" t="s">
        <v>26303</v>
      </c>
      <c r="C6440" s="20"/>
      <c r="D6440" s="25" t="s">
        <v>26232</v>
      </c>
      <c r="E6440" s="25" t="s">
        <v>26309</v>
      </c>
      <c r="F6440" s="9" t="str">
        <f t="shared" si="93"/>
        <v>structure with developmental contribution from neural crest</v>
      </c>
      <c r="G6440" s="9" t="s">
        <v>5090</v>
      </c>
      <c r="H6440" s="9" t="s">
        <v>23551</v>
      </c>
      <c r="I6440" s="9" t="s">
        <v>11881</v>
      </c>
      <c r="J6440" s="9" t="s">
        <v>11882</v>
      </c>
      <c r="K6440" s="7" t="s">
        <v>15171</v>
      </c>
      <c r="L6440" s="13">
        <v>265504998</v>
      </c>
      <c r="M6440" t="str">
        <f>VLOOKUP(L6440,[1]HBA!$B$2:$C$4000,2,FALSE)</f>
        <v>agb</v>
      </c>
    </row>
    <row r="6441" spans="2:13" x14ac:dyDescent="0.25">
      <c r="B6441" s="31" t="s">
        <v>26303</v>
      </c>
      <c r="C6441" s="20"/>
      <c r="D6441" s="25" t="s">
        <v>26232</v>
      </c>
      <c r="E6441" s="25" t="s">
        <v>26300</v>
      </c>
      <c r="F6441" s="9" t="str">
        <f t="shared" si="93"/>
        <v>structure with developmental contribution from neural crest</v>
      </c>
      <c r="G6441" s="9" t="s">
        <v>5090</v>
      </c>
      <c r="H6441" s="9" t="s">
        <v>23551</v>
      </c>
      <c r="I6441" s="9" t="s">
        <v>11883</v>
      </c>
      <c r="J6441" s="9" t="s">
        <v>11884</v>
      </c>
      <c r="K6441" s="7" t="s">
        <v>15171</v>
      </c>
      <c r="L6441" s="13">
        <v>265505002</v>
      </c>
      <c r="M6441" t="str">
        <f>VLOOKUP(L6441,[1]HBA!$B$2:$C$4000,2,FALSE)</f>
        <v>agb</v>
      </c>
    </row>
    <row r="6442" spans="2:13" x14ac:dyDescent="0.25">
      <c r="B6442" s="31" t="s">
        <v>26303</v>
      </c>
      <c r="C6442" s="20"/>
      <c r="D6442" s="25" t="s">
        <v>26232</v>
      </c>
      <c r="E6442" s="25" t="s">
        <v>26300</v>
      </c>
      <c r="F6442" s="9" t="str">
        <f t="shared" si="93"/>
        <v>structure with developmental contribution from neural crest</v>
      </c>
      <c r="G6442" s="9" t="s">
        <v>5090</v>
      </c>
      <c r="H6442" s="9" t="s">
        <v>23551</v>
      </c>
      <c r="I6442" s="9" t="s">
        <v>11885</v>
      </c>
      <c r="J6442" s="9" t="s">
        <v>11886</v>
      </c>
      <c r="K6442" s="7" t="s">
        <v>15171</v>
      </c>
      <c r="L6442" s="13">
        <v>265505006</v>
      </c>
      <c r="M6442" t="str">
        <f>VLOOKUP(L6442,[1]HBA!$B$2:$C$4000,2,FALSE)</f>
        <v>agb</v>
      </c>
    </row>
    <row r="6443" spans="2:13" x14ac:dyDescent="0.25">
      <c r="B6443" s="31" t="s">
        <v>26303</v>
      </c>
      <c r="C6443" s="25" t="s">
        <v>284</v>
      </c>
      <c r="D6443" s="25" t="s">
        <v>26232</v>
      </c>
      <c r="E6443" s="25"/>
      <c r="F6443" s="9" t="str">
        <f t="shared" si="93"/>
        <v>structure with developmental contribution from neural crest</v>
      </c>
      <c r="G6443" s="9" t="s">
        <v>5090</v>
      </c>
      <c r="H6443" s="9" t="s">
        <v>23553</v>
      </c>
      <c r="I6443" s="9" t="s">
        <v>284</v>
      </c>
      <c r="J6443" s="9" t="s">
        <v>11887</v>
      </c>
      <c r="K6443" s="7" t="s">
        <v>15171</v>
      </c>
      <c r="L6443" s="13">
        <v>265505010</v>
      </c>
      <c r="M6443" t="str">
        <f>VLOOKUP(L6443,[1]HBA!$B$2:$C$4000,2,FALSE)</f>
        <v>ap</v>
      </c>
    </row>
    <row r="6444" spans="2:13" x14ac:dyDescent="0.25">
      <c r="B6444" s="31" t="s">
        <v>26303</v>
      </c>
      <c r="C6444" s="25" t="s">
        <v>284</v>
      </c>
      <c r="D6444" s="25" t="s">
        <v>26232</v>
      </c>
      <c r="E6444" s="25"/>
      <c r="F6444" s="9" t="str">
        <f t="shared" si="93"/>
        <v>structure with developmental contribution from neural crest</v>
      </c>
      <c r="G6444" s="9" t="s">
        <v>5090</v>
      </c>
      <c r="H6444" s="9" t="s">
        <v>23553</v>
      </c>
      <c r="I6444" s="9" t="s">
        <v>11888</v>
      </c>
      <c r="J6444" s="9" t="s">
        <v>11889</v>
      </c>
      <c r="K6444" s="7" t="s">
        <v>15171</v>
      </c>
      <c r="L6444" s="13">
        <v>265505014</v>
      </c>
      <c r="M6444" t="str">
        <f>VLOOKUP(L6444,[1]HBA!$B$2:$C$4000,2,FALSE)</f>
        <v>ap</v>
      </c>
    </row>
    <row r="6445" spans="2:13" x14ac:dyDescent="0.25">
      <c r="B6445" s="31" t="s">
        <v>26303</v>
      </c>
      <c r="C6445" s="25" t="s">
        <v>284</v>
      </c>
      <c r="D6445" s="25" t="s">
        <v>26232</v>
      </c>
      <c r="E6445" s="25"/>
      <c r="F6445" s="9" t="str">
        <f t="shared" si="93"/>
        <v>structure with developmental contribution from neural crest</v>
      </c>
      <c r="G6445" s="9" t="s">
        <v>5090</v>
      </c>
      <c r="H6445" s="9" t="s">
        <v>23553</v>
      </c>
      <c r="I6445" s="9" t="s">
        <v>11890</v>
      </c>
      <c r="J6445" s="9" t="s">
        <v>11891</v>
      </c>
      <c r="K6445" s="7" t="s">
        <v>15171</v>
      </c>
      <c r="L6445" s="13">
        <v>265505018</v>
      </c>
      <c r="M6445" t="str">
        <f>VLOOKUP(L6445,[1]HBA!$B$2:$C$4000,2,FALSE)</f>
        <v>ap</v>
      </c>
    </row>
    <row r="6446" spans="2:13" x14ac:dyDescent="0.25">
      <c r="B6446" s="31" t="s">
        <v>26303</v>
      </c>
      <c r="C6446" s="20"/>
      <c r="D6446" s="25" t="s">
        <v>26232</v>
      </c>
      <c r="E6446" s="25" t="s">
        <v>26300</v>
      </c>
      <c r="F6446" s="9" t="str">
        <f t="shared" si="93"/>
        <v>structure with developmental contribution from neural crest</v>
      </c>
      <c r="G6446" s="9" t="s">
        <v>5090</v>
      </c>
      <c r="H6446" s="9" t="s">
        <v>23555</v>
      </c>
      <c r="I6446" s="9" t="s">
        <v>11892</v>
      </c>
      <c r="J6446" s="9" t="s">
        <v>11893</v>
      </c>
      <c r="K6446" s="7" t="s">
        <v>15171</v>
      </c>
      <c r="L6446" s="13">
        <v>265505022</v>
      </c>
      <c r="M6446" t="str">
        <f>VLOOKUP(L6446,[1]HBA!$B$2:$C$4000,2,FALSE)</f>
        <v>bx</v>
      </c>
    </row>
    <row r="6447" spans="2:13" x14ac:dyDescent="0.25">
      <c r="B6447" s="31" t="s">
        <v>26303</v>
      </c>
      <c r="C6447" s="20"/>
      <c r="D6447" s="25" t="s">
        <v>26232</v>
      </c>
      <c r="E6447" s="25" t="s">
        <v>26300</v>
      </c>
      <c r="F6447" s="9" t="str">
        <f t="shared" si="93"/>
        <v>structure with developmental contribution from neural crest</v>
      </c>
      <c r="G6447" s="9" t="s">
        <v>5090</v>
      </c>
      <c r="H6447" s="9" t="s">
        <v>23555</v>
      </c>
      <c r="I6447" s="9" t="s">
        <v>11894</v>
      </c>
      <c r="J6447" s="9" t="s">
        <v>11895</v>
      </c>
      <c r="K6447" s="7" t="s">
        <v>15171</v>
      </c>
      <c r="L6447" s="13">
        <v>265505026</v>
      </c>
      <c r="M6447" t="str">
        <f>VLOOKUP(L6447,[1]HBA!$B$2:$C$4000,2,FALSE)</f>
        <v>bx</v>
      </c>
    </row>
    <row r="6448" spans="2:13" x14ac:dyDescent="0.25">
      <c r="B6448" s="31" t="s">
        <v>26303</v>
      </c>
      <c r="C6448" s="20"/>
      <c r="D6448" s="25" t="s">
        <v>26232</v>
      </c>
      <c r="E6448" s="25" t="s">
        <v>26300</v>
      </c>
      <c r="F6448" s="9" t="str">
        <f t="shared" si="93"/>
        <v>structure with developmental contribution from neural crest</v>
      </c>
      <c r="G6448" s="9" t="s">
        <v>5090</v>
      </c>
      <c r="H6448" s="9" t="s">
        <v>23555</v>
      </c>
      <c r="I6448" s="9" t="s">
        <v>11896</v>
      </c>
      <c r="J6448" s="9" t="s">
        <v>11897</v>
      </c>
      <c r="K6448" s="7" t="s">
        <v>15171</v>
      </c>
      <c r="L6448" s="13">
        <v>265505030</v>
      </c>
      <c r="M6448" t="str">
        <f>VLOOKUP(L6448,[1]HBA!$B$2:$C$4000,2,FALSE)</f>
        <v>bx</v>
      </c>
    </row>
    <row r="6449" spans="2:13" x14ac:dyDescent="0.25">
      <c r="B6449" s="31" t="s">
        <v>26303</v>
      </c>
      <c r="C6449" s="20"/>
      <c r="D6449" s="25" t="s">
        <v>26232</v>
      </c>
      <c r="E6449" s="25" t="s">
        <v>26300</v>
      </c>
      <c r="F6449" s="9" t="str">
        <f t="shared" si="93"/>
        <v>structure with developmental contribution from neural crest</v>
      </c>
      <c r="G6449" s="9" t="s">
        <v>5090</v>
      </c>
      <c r="H6449" s="9" t="s">
        <v>23559</v>
      </c>
      <c r="I6449" s="9" t="s">
        <v>11898</v>
      </c>
      <c r="J6449" s="9" t="s">
        <v>11899</v>
      </c>
      <c r="K6449" s="7" t="s">
        <v>15171</v>
      </c>
      <c r="L6449" s="13">
        <v>265505034</v>
      </c>
      <c r="M6449" t="str">
        <f>VLOOKUP(L6449,[1]HBA!$B$2:$C$4000,2,FALSE)</f>
        <v>comb</v>
      </c>
    </row>
    <row r="6450" spans="2:13" x14ac:dyDescent="0.25">
      <c r="B6450" s="31" t="s">
        <v>26303</v>
      </c>
      <c r="C6450" s="20"/>
      <c r="D6450" s="25" t="s">
        <v>26232</v>
      </c>
      <c r="E6450" s="25" t="s">
        <v>26300</v>
      </c>
      <c r="F6450" s="9" t="str">
        <f t="shared" si="93"/>
        <v>structure with developmental contribution from neural crest</v>
      </c>
      <c r="G6450" s="9" t="s">
        <v>5090</v>
      </c>
      <c r="H6450" s="9" t="s">
        <v>23559</v>
      </c>
      <c r="I6450" s="9" t="s">
        <v>11900</v>
      </c>
      <c r="J6450" s="9" t="s">
        <v>11901</v>
      </c>
      <c r="K6450" s="7" t="s">
        <v>15171</v>
      </c>
      <c r="L6450" s="13">
        <v>265505038</v>
      </c>
      <c r="M6450" t="str">
        <f>VLOOKUP(L6450,[1]HBA!$B$2:$C$4000,2,FALSE)</f>
        <v>comb</v>
      </c>
    </row>
    <row r="6451" spans="2:13" x14ac:dyDescent="0.25">
      <c r="B6451" s="31" t="s">
        <v>26303</v>
      </c>
      <c r="C6451" s="20"/>
      <c r="D6451" s="25" t="s">
        <v>26232</v>
      </c>
      <c r="E6451" s="25" t="s">
        <v>26300</v>
      </c>
      <c r="F6451" s="9" t="str">
        <f t="shared" si="93"/>
        <v>structure with developmental contribution from neural crest</v>
      </c>
      <c r="G6451" s="9" t="s">
        <v>5090</v>
      </c>
      <c r="H6451" s="9" t="s">
        <v>23559</v>
      </c>
      <c r="I6451" s="9" t="s">
        <v>11902</v>
      </c>
      <c r="J6451" s="9" t="s">
        <v>11903</v>
      </c>
      <c r="K6451" s="7" t="s">
        <v>15171</v>
      </c>
      <c r="L6451" s="13">
        <v>265505042</v>
      </c>
      <c r="M6451" t="str">
        <f>VLOOKUP(L6451,[1]HBA!$B$2:$C$4000,2,FALSE)</f>
        <v>comb</v>
      </c>
    </row>
    <row r="6452" spans="2:13" x14ac:dyDescent="0.25">
      <c r="B6452" s="31" t="s">
        <v>26303</v>
      </c>
      <c r="C6452" s="25" t="s">
        <v>25881</v>
      </c>
      <c r="D6452" s="25" t="s">
        <v>26232</v>
      </c>
      <c r="E6452" s="25"/>
      <c r="F6452" s="9" t="str">
        <f t="shared" si="93"/>
        <v>structure with developmental contribution from neural crest</v>
      </c>
      <c r="G6452" s="9" t="s">
        <v>5090</v>
      </c>
      <c r="H6452" s="9" t="s">
        <v>23560</v>
      </c>
      <c r="I6452" s="9" t="s">
        <v>11904</v>
      </c>
      <c r="J6452" s="9" t="s">
        <v>11905</v>
      </c>
      <c r="K6452" s="7" t="s">
        <v>15171</v>
      </c>
      <c r="L6452" s="13">
        <v>265505050</v>
      </c>
      <c r="M6452" t="str">
        <f>VLOOKUP(L6452,[1]HBA!$B$2:$C$4000,2,FALSE)</f>
        <v>cor</v>
      </c>
    </row>
    <row r="6453" spans="2:13" x14ac:dyDescent="0.25">
      <c r="B6453" s="31" t="s">
        <v>26303</v>
      </c>
      <c r="C6453" s="25" t="s">
        <v>25881</v>
      </c>
      <c r="D6453" s="25" t="s">
        <v>26232</v>
      </c>
      <c r="E6453" s="25"/>
      <c r="F6453" s="9" t="str">
        <f t="shared" si="93"/>
        <v>structure with developmental contribution from neural crest</v>
      </c>
      <c r="G6453" s="9" t="s">
        <v>5090</v>
      </c>
      <c r="H6453" s="9" t="s">
        <v>23560</v>
      </c>
      <c r="I6453" s="9" t="s">
        <v>11906</v>
      </c>
      <c r="J6453" s="9" t="s">
        <v>11907</v>
      </c>
      <c r="K6453" s="7" t="s">
        <v>15171</v>
      </c>
      <c r="L6453" s="13">
        <v>265505054</v>
      </c>
      <c r="M6453" t="str">
        <f>VLOOKUP(L6453,[1]HBA!$B$2:$C$4000,2,FALSE)</f>
        <v>cor</v>
      </c>
    </row>
    <row r="6454" spans="2:13" x14ac:dyDescent="0.25">
      <c r="B6454" s="31" t="s">
        <v>26303</v>
      </c>
      <c r="C6454" s="25" t="s">
        <v>1357</v>
      </c>
      <c r="D6454" s="25" t="s">
        <v>26232</v>
      </c>
      <c r="E6454" s="25"/>
      <c r="F6454" s="9" t="str">
        <f t="shared" si="93"/>
        <v>structure with developmental contribution from neural crest</v>
      </c>
      <c r="G6454" s="9" t="s">
        <v>5090</v>
      </c>
      <c r="H6454" s="9" t="s">
        <v>25484</v>
      </c>
      <c r="I6454" s="9" t="s">
        <v>1357</v>
      </c>
      <c r="J6454" s="9" t="s">
        <v>1359</v>
      </c>
      <c r="K6454" s="7" t="s">
        <v>15171</v>
      </c>
      <c r="L6454" s="13">
        <v>265505058</v>
      </c>
      <c r="M6454" t="str">
        <f>VLOOKUP(L6454,[1]HBA!$B$2:$C$4000,2,FALSE)</f>
        <v>cbu</v>
      </c>
    </row>
    <row r="6455" spans="2:13" x14ac:dyDescent="0.25">
      <c r="B6455" s="31" t="s">
        <v>26303</v>
      </c>
      <c r="C6455" s="25" t="s">
        <v>1357</v>
      </c>
      <c r="D6455" s="25" t="s">
        <v>26232</v>
      </c>
      <c r="E6455" s="25"/>
      <c r="F6455" s="9" t="str">
        <f t="shared" ref="F6455:F6518" si="94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6455" s="9" t="s">
        <v>5090</v>
      </c>
      <c r="H6455" s="9" t="s">
        <v>23564</v>
      </c>
      <c r="I6455" s="9" t="s">
        <v>11908</v>
      </c>
      <c r="J6455" s="9" t="s">
        <v>11909</v>
      </c>
      <c r="K6455" s="7" t="s">
        <v>15171</v>
      </c>
      <c r="L6455" s="13">
        <v>265505062</v>
      </c>
      <c r="M6455" t="str">
        <f>VLOOKUP(L6455,[1]HBA!$B$2:$C$4000,2,FALSE)</f>
        <v>cbu-sc</v>
      </c>
    </row>
    <row r="6456" spans="2:13" x14ac:dyDescent="0.25">
      <c r="B6456" s="31" t="s">
        <v>26303</v>
      </c>
      <c r="C6456" s="25" t="s">
        <v>1357</v>
      </c>
      <c r="D6456" s="25" t="s">
        <v>26232</v>
      </c>
      <c r="E6456" s="25"/>
      <c r="F6456" s="9" t="str">
        <f t="shared" si="94"/>
        <v>structure with developmental contribution from neural crest</v>
      </c>
      <c r="G6456" s="9" t="s">
        <v>5090</v>
      </c>
      <c r="H6456" s="9" t="s">
        <v>23564</v>
      </c>
      <c r="I6456" s="9" t="s">
        <v>11910</v>
      </c>
      <c r="J6456" s="9" t="s">
        <v>11911</v>
      </c>
      <c r="K6456" s="7" t="s">
        <v>15171</v>
      </c>
      <c r="L6456" s="13">
        <v>265505066</v>
      </c>
      <c r="M6456" t="str">
        <f>VLOOKUP(L6456,[1]HBA!$B$2:$C$4000,2,FALSE)</f>
        <v>cbu-sc</v>
      </c>
    </row>
    <row r="6457" spans="2:13" x14ac:dyDescent="0.25">
      <c r="B6457" s="31" t="s">
        <v>26303</v>
      </c>
      <c r="C6457" s="25" t="s">
        <v>1357</v>
      </c>
      <c r="D6457" s="25" t="s">
        <v>26232</v>
      </c>
      <c r="E6457" s="25"/>
      <c r="F6457" s="9" t="str">
        <f t="shared" si="94"/>
        <v>structure with developmental contribution from neural crest</v>
      </c>
      <c r="G6457" s="9" t="s">
        <v>5090</v>
      </c>
      <c r="H6457" s="9" t="s">
        <v>23564</v>
      </c>
      <c r="I6457" s="9" t="s">
        <v>11912</v>
      </c>
      <c r="J6457" s="9" t="s">
        <v>11913</v>
      </c>
      <c r="K6457" s="7" t="s">
        <v>15171</v>
      </c>
      <c r="L6457" s="13">
        <v>265505070</v>
      </c>
      <c r="M6457" t="str">
        <f>VLOOKUP(L6457,[1]HBA!$B$2:$C$4000,2,FALSE)</f>
        <v>cbu-sc</v>
      </c>
    </row>
    <row r="6458" spans="2:13" x14ac:dyDescent="0.25">
      <c r="B6458" s="31" t="s">
        <v>26303</v>
      </c>
      <c r="C6458" s="25" t="s">
        <v>1357</v>
      </c>
      <c r="D6458" s="25" t="s">
        <v>26232</v>
      </c>
      <c r="E6458" s="25"/>
      <c r="F6458" s="9" t="str">
        <f t="shared" si="94"/>
        <v>structure with developmental contribution from neural crest</v>
      </c>
      <c r="G6458" s="9" t="s">
        <v>5090</v>
      </c>
      <c r="H6458" s="9" t="s">
        <v>23591</v>
      </c>
      <c r="I6458" s="9" t="s">
        <v>11914</v>
      </c>
      <c r="J6458" s="9" t="s">
        <v>11915</v>
      </c>
      <c r="K6458" s="7" t="s">
        <v>15171</v>
      </c>
      <c r="L6458" s="13">
        <v>265505074</v>
      </c>
      <c r="M6458" t="str">
        <f>VLOOKUP(L6458,[1]HBA!$B$2:$C$4000,2,FALSE)</f>
        <v>cbu-ic</v>
      </c>
    </row>
    <row r="6459" spans="2:13" x14ac:dyDescent="0.25">
      <c r="B6459" s="31" t="s">
        <v>26303</v>
      </c>
      <c r="C6459" s="25" t="s">
        <v>1357</v>
      </c>
      <c r="D6459" s="25" t="s">
        <v>26232</v>
      </c>
      <c r="E6459" s="25"/>
      <c r="F6459" s="9" t="str">
        <f t="shared" si="94"/>
        <v>structure with developmental contribution from neural crest</v>
      </c>
      <c r="G6459" s="9" t="s">
        <v>5090</v>
      </c>
      <c r="H6459" s="9" t="s">
        <v>23591</v>
      </c>
      <c r="I6459" s="9" t="s">
        <v>11916</v>
      </c>
      <c r="J6459" s="9" t="s">
        <v>11917</v>
      </c>
      <c r="K6459" s="7" t="s">
        <v>15171</v>
      </c>
      <c r="L6459" s="13">
        <v>265505078</v>
      </c>
      <c r="M6459" t="str">
        <f>VLOOKUP(L6459,[1]HBA!$B$2:$C$4000,2,FALSE)</f>
        <v>cbu-ic</v>
      </c>
    </row>
    <row r="6460" spans="2:13" x14ac:dyDescent="0.25">
      <c r="B6460" s="31" t="s">
        <v>26303</v>
      </c>
      <c r="C6460" s="25" t="s">
        <v>1357</v>
      </c>
      <c r="D6460" s="25" t="s">
        <v>26232</v>
      </c>
      <c r="E6460" s="25"/>
      <c r="F6460" s="9" t="str">
        <f t="shared" si="94"/>
        <v>structure with developmental contribution from neural crest</v>
      </c>
      <c r="G6460" s="9" t="s">
        <v>5090</v>
      </c>
      <c r="H6460" s="9" t="s">
        <v>23591</v>
      </c>
      <c r="I6460" s="9" t="s">
        <v>11918</v>
      </c>
      <c r="J6460" s="9" t="s">
        <v>11919</v>
      </c>
      <c r="K6460" s="7" t="s">
        <v>15171</v>
      </c>
      <c r="L6460" s="13">
        <v>265505082</v>
      </c>
      <c r="M6460" t="str">
        <f>VLOOKUP(L6460,[1]HBA!$B$2:$C$4000,2,FALSE)</f>
        <v>cbu-ic</v>
      </c>
    </row>
    <row r="6461" spans="2:13" x14ac:dyDescent="0.25">
      <c r="B6461" s="31" t="s">
        <v>26303</v>
      </c>
      <c r="C6461" s="25" t="s">
        <v>25990</v>
      </c>
      <c r="D6461" s="25" t="s">
        <v>26232</v>
      </c>
      <c r="E6461" s="25"/>
      <c r="F6461" s="9" t="str">
        <f t="shared" si="94"/>
        <v>structure with developmental contribution from neural crest</v>
      </c>
      <c r="G6461" s="9" t="s">
        <v>5090</v>
      </c>
      <c r="H6461" s="9" t="s">
        <v>23574</v>
      </c>
      <c r="I6461" s="9" t="s">
        <v>2622</v>
      </c>
      <c r="J6461" s="9" t="s">
        <v>2624</v>
      </c>
      <c r="K6461" s="7" t="s">
        <v>15171</v>
      </c>
      <c r="L6461" s="13">
        <v>265505086</v>
      </c>
      <c r="M6461" t="str">
        <f>VLOOKUP(L6461,[1]HBA!$B$2:$C$4000,2,FALSE)</f>
        <v>emlgp</v>
      </c>
    </row>
    <row r="6462" spans="2:13" x14ac:dyDescent="0.25">
      <c r="B6462" s="31" t="s">
        <v>26303</v>
      </c>
      <c r="C6462" s="25" t="s">
        <v>25990</v>
      </c>
      <c r="D6462" s="25" t="s">
        <v>26232</v>
      </c>
      <c r="E6462" s="25"/>
      <c r="F6462" s="9" t="str">
        <f t="shared" si="94"/>
        <v>structure with developmental contribution from neural crest</v>
      </c>
      <c r="G6462" s="9" t="s">
        <v>5090</v>
      </c>
      <c r="H6462" s="9" t="s">
        <v>23574</v>
      </c>
      <c r="I6462" s="9" t="s">
        <v>11920</v>
      </c>
      <c r="J6462" s="9" t="s">
        <v>11921</v>
      </c>
      <c r="K6462" s="7" t="s">
        <v>15171</v>
      </c>
      <c r="L6462" s="13">
        <v>265505090</v>
      </c>
      <c r="M6462" t="str">
        <f>VLOOKUP(L6462,[1]HBA!$B$2:$C$4000,2,FALSE)</f>
        <v>emlgp</v>
      </c>
    </row>
    <row r="6463" spans="2:13" x14ac:dyDescent="0.25">
      <c r="B6463" s="31" t="s">
        <v>26303</v>
      </c>
      <c r="C6463" s="25" t="s">
        <v>25990</v>
      </c>
      <c r="D6463" s="25" t="s">
        <v>26232</v>
      </c>
      <c r="E6463" s="25"/>
      <c r="F6463" s="9" t="str">
        <f t="shared" si="94"/>
        <v>structure with developmental contribution from neural crest</v>
      </c>
      <c r="G6463" s="9" t="s">
        <v>5090</v>
      </c>
      <c r="H6463" s="9" t="s">
        <v>23574</v>
      </c>
      <c r="I6463" s="9" t="s">
        <v>11922</v>
      </c>
      <c r="J6463" s="9" t="s">
        <v>11923</v>
      </c>
      <c r="K6463" s="7" t="s">
        <v>15171</v>
      </c>
      <c r="L6463" s="13">
        <v>265505094</v>
      </c>
      <c r="M6463" t="str">
        <f>VLOOKUP(L6463,[1]HBA!$B$2:$C$4000,2,FALSE)</f>
        <v>emlgp</v>
      </c>
    </row>
    <row r="6464" spans="2:13" x14ac:dyDescent="0.25">
      <c r="B6464" s="31" t="s">
        <v>26303</v>
      </c>
      <c r="C6464" s="25" t="s">
        <v>1788</v>
      </c>
      <c r="D6464" s="25" t="s">
        <v>26232</v>
      </c>
      <c r="E6464" s="25"/>
      <c r="F6464" s="9" t="str">
        <f t="shared" si="94"/>
        <v>structure with developmental contribution from neural crest</v>
      </c>
      <c r="G6464" s="9" t="s">
        <v>5090</v>
      </c>
      <c r="H6464" s="9" t="s">
        <v>23575</v>
      </c>
      <c r="I6464" s="9" t="s">
        <v>1788</v>
      </c>
      <c r="J6464" s="9" t="s">
        <v>1790</v>
      </c>
      <c r="K6464" s="7" t="s">
        <v>15171</v>
      </c>
      <c r="L6464" s="13">
        <v>265505098</v>
      </c>
      <c r="M6464" t="str">
        <f>VLOOKUP(L6464,[1]HBA!$B$2:$C$4000,2,FALSE)</f>
        <v>emlth</v>
      </c>
    </row>
    <row r="6465" spans="2:13" x14ac:dyDescent="0.25">
      <c r="B6465" s="31" t="s">
        <v>26303</v>
      </c>
      <c r="C6465" s="25" t="s">
        <v>1788</v>
      </c>
      <c r="D6465" s="25" t="s">
        <v>26232</v>
      </c>
      <c r="E6465" s="25"/>
      <c r="F6465" s="9" t="str">
        <f t="shared" si="94"/>
        <v>structure with developmental contribution from neural crest</v>
      </c>
      <c r="G6465" s="9" t="s">
        <v>5090</v>
      </c>
      <c r="H6465" s="9" t="s">
        <v>23575</v>
      </c>
      <c r="I6465" s="9" t="s">
        <v>11924</v>
      </c>
      <c r="J6465" s="9" t="s">
        <v>11925</v>
      </c>
      <c r="K6465" s="7" t="s">
        <v>15171</v>
      </c>
      <c r="L6465" s="13">
        <v>265505102</v>
      </c>
      <c r="M6465" t="str">
        <f>VLOOKUP(L6465,[1]HBA!$B$2:$C$4000,2,FALSE)</f>
        <v>emlth</v>
      </c>
    </row>
    <row r="6466" spans="2:13" x14ac:dyDescent="0.25">
      <c r="B6466" s="31" t="s">
        <v>26303</v>
      </c>
      <c r="C6466" s="25" t="s">
        <v>1788</v>
      </c>
      <c r="D6466" s="25" t="s">
        <v>26232</v>
      </c>
      <c r="E6466" s="25"/>
      <c r="F6466" s="9" t="str">
        <f t="shared" si="94"/>
        <v>structure with developmental contribution from neural crest</v>
      </c>
      <c r="G6466" s="9" t="s">
        <v>5090</v>
      </c>
      <c r="H6466" s="9" t="s">
        <v>23575</v>
      </c>
      <c r="I6466" s="9" t="s">
        <v>11926</v>
      </c>
      <c r="J6466" s="9" t="s">
        <v>11927</v>
      </c>
      <c r="K6466" s="7" t="s">
        <v>15171</v>
      </c>
      <c r="L6466" s="13">
        <v>265505106</v>
      </c>
      <c r="M6466" t="str">
        <f>VLOOKUP(L6466,[1]HBA!$B$2:$C$4000,2,FALSE)</f>
        <v>emlth</v>
      </c>
    </row>
    <row r="6467" spans="2:13" x14ac:dyDescent="0.25">
      <c r="B6467" s="31" t="s">
        <v>26303</v>
      </c>
      <c r="C6467" s="25" t="s">
        <v>2424</v>
      </c>
      <c r="D6467" s="25" t="s">
        <v>26232</v>
      </c>
      <c r="E6467" s="25"/>
      <c r="F6467" s="9" t="str">
        <f t="shared" si="94"/>
        <v>structure with developmental contribution from neural crest</v>
      </c>
      <c r="G6467" s="9" t="s">
        <v>5090</v>
      </c>
      <c r="H6467" s="9" t="s">
        <v>23586</v>
      </c>
      <c r="I6467" s="9" t="s">
        <v>11928</v>
      </c>
      <c r="J6467" s="9" t="s">
        <v>11929</v>
      </c>
      <c r="K6467" s="7" t="s">
        <v>15171</v>
      </c>
      <c r="L6467" s="13">
        <v>265505114</v>
      </c>
      <c r="M6467" t="str">
        <f>VLOOKUP(L6467,[1]HBA!$B$2:$C$4000,2,FALSE)</f>
        <v>ithp</v>
      </c>
    </row>
    <row r="6468" spans="2:13" x14ac:dyDescent="0.25">
      <c r="B6468" s="31" t="s">
        <v>26303</v>
      </c>
      <c r="C6468" s="25" t="s">
        <v>2424</v>
      </c>
      <c r="D6468" s="25" t="s">
        <v>26232</v>
      </c>
      <c r="E6468" s="25"/>
      <c r="F6468" s="9" t="str">
        <f t="shared" si="94"/>
        <v>structure with developmental contribution from neural crest</v>
      </c>
      <c r="G6468" s="9" t="s">
        <v>5090</v>
      </c>
      <c r="H6468" s="9" t="s">
        <v>23586</v>
      </c>
      <c r="I6468" s="9" t="s">
        <v>11930</v>
      </c>
      <c r="J6468" s="9" t="s">
        <v>11931</v>
      </c>
      <c r="K6468" s="7" t="s">
        <v>15171</v>
      </c>
      <c r="L6468" s="13">
        <v>265505118</v>
      </c>
      <c r="M6468" t="str">
        <f>VLOOKUP(L6468,[1]HBA!$B$2:$C$4000,2,FALSE)</f>
        <v>ithp</v>
      </c>
    </row>
    <row r="6469" spans="2:13" x14ac:dyDescent="0.25">
      <c r="B6469" s="31" t="s">
        <v>26303</v>
      </c>
      <c r="C6469" s="25" t="s">
        <v>26023</v>
      </c>
      <c r="D6469" s="25" t="s">
        <v>26232</v>
      </c>
      <c r="E6469" s="25"/>
      <c r="F6469" s="9" t="str">
        <f t="shared" si="94"/>
        <v>structure with developmental contribution from neural crest</v>
      </c>
      <c r="G6469" s="9" t="s">
        <v>5090</v>
      </c>
      <c r="H6469" s="9" t="s">
        <v>23607</v>
      </c>
      <c r="I6469" s="9" t="s">
        <v>2946</v>
      </c>
      <c r="J6469" s="9" t="s">
        <v>2948</v>
      </c>
      <c r="K6469" s="7" t="s">
        <v>15171</v>
      </c>
      <c r="L6469" s="13">
        <v>265505122</v>
      </c>
      <c r="M6469" t="str">
        <f>VLOOKUP(L6469,[1]HBA!$B$2:$C$4000,2,FALSE)</f>
        <v>imlgp</v>
      </c>
    </row>
    <row r="6470" spans="2:13" x14ac:dyDescent="0.25">
      <c r="B6470" s="31" t="s">
        <v>26303</v>
      </c>
      <c r="C6470" s="25" t="s">
        <v>26023</v>
      </c>
      <c r="D6470" s="25" t="s">
        <v>26232</v>
      </c>
      <c r="E6470" s="25"/>
      <c r="F6470" s="9" t="str">
        <f t="shared" si="94"/>
        <v>structure with developmental contribution from neural crest</v>
      </c>
      <c r="G6470" s="9" t="s">
        <v>5090</v>
      </c>
      <c r="H6470" s="9" t="s">
        <v>23607</v>
      </c>
      <c r="I6470" s="9" t="s">
        <v>11932</v>
      </c>
      <c r="J6470" s="9" t="s">
        <v>11933</v>
      </c>
      <c r="K6470" s="7" t="s">
        <v>15171</v>
      </c>
      <c r="L6470" s="13">
        <v>265505126</v>
      </c>
      <c r="M6470" t="str">
        <f>VLOOKUP(L6470,[1]HBA!$B$2:$C$4000,2,FALSE)</f>
        <v>imlgp</v>
      </c>
    </row>
    <row r="6471" spans="2:13" x14ac:dyDescent="0.25">
      <c r="B6471" s="31" t="s">
        <v>26303</v>
      </c>
      <c r="C6471" s="25" t="s">
        <v>26023</v>
      </c>
      <c r="D6471" s="25" t="s">
        <v>26232</v>
      </c>
      <c r="E6471" s="25"/>
      <c r="F6471" s="9" t="str">
        <f t="shared" si="94"/>
        <v>structure with developmental contribution from neural crest</v>
      </c>
      <c r="G6471" s="9" t="s">
        <v>5090</v>
      </c>
      <c r="H6471" s="9" t="s">
        <v>23607</v>
      </c>
      <c r="I6471" s="9" t="s">
        <v>11934</v>
      </c>
      <c r="J6471" s="9" t="s">
        <v>11935</v>
      </c>
      <c r="K6471" s="7" t="s">
        <v>15171</v>
      </c>
      <c r="L6471" s="13">
        <v>265505130</v>
      </c>
      <c r="M6471" t="str">
        <f>VLOOKUP(L6471,[1]HBA!$B$2:$C$4000,2,FALSE)</f>
        <v>imlgp</v>
      </c>
    </row>
    <row r="6472" spans="2:13" x14ac:dyDescent="0.25">
      <c r="B6472" s="31" t="s">
        <v>26303</v>
      </c>
      <c r="C6472" s="25" t="s">
        <v>2497</v>
      </c>
      <c r="D6472" s="25" t="s">
        <v>26232</v>
      </c>
      <c r="E6472" s="25"/>
      <c r="F6472" s="9" t="str">
        <f t="shared" si="94"/>
        <v>structure with developmental contribution from neural crest</v>
      </c>
      <c r="G6472" s="9" t="s">
        <v>5090</v>
      </c>
      <c r="H6472" s="9" t="s">
        <v>23608</v>
      </c>
      <c r="I6472" s="9" t="s">
        <v>2497</v>
      </c>
      <c r="J6472" s="9" t="s">
        <v>2499</v>
      </c>
      <c r="K6472" s="7" t="s">
        <v>15171</v>
      </c>
      <c r="L6472" s="13">
        <v>265505134</v>
      </c>
      <c r="M6472" t="str">
        <f>VLOOKUP(L6472,[1]HBA!$B$2:$C$4000,2,FALSE)</f>
        <v>imlth</v>
      </c>
    </row>
    <row r="6473" spans="2:13" x14ac:dyDescent="0.25">
      <c r="B6473" s="31" t="s">
        <v>26303</v>
      </c>
      <c r="C6473" s="25" t="s">
        <v>2497</v>
      </c>
      <c r="D6473" s="25" t="s">
        <v>26232</v>
      </c>
      <c r="E6473" s="25"/>
      <c r="F6473" s="9" t="str">
        <f t="shared" si="94"/>
        <v>structure with developmental contribution from neural crest</v>
      </c>
      <c r="G6473" s="9" t="s">
        <v>5090</v>
      </c>
      <c r="H6473" s="9" t="s">
        <v>23608</v>
      </c>
      <c r="I6473" s="9" t="s">
        <v>11936</v>
      </c>
      <c r="J6473" s="9" t="s">
        <v>11937</v>
      </c>
      <c r="K6473" s="7" t="s">
        <v>15171</v>
      </c>
      <c r="L6473" s="13">
        <v>265505138</v>
      </c>
      <c r="M6473" t="str">
        <f>VLOOKUP(L6473,[1]HBA!$B$2:$C$4000,2,FALSE)</f>
        <v>imlth</v>
      </c>
    </row>
    <row r="6474" spans="2:13" x14ac:dyDescent="0.25">
      <c r="B6474" s="31" t="s">
        <v>26303</v>
      </c>
      <c r="C6474" s="25" t="s">
        <v>2497</v>
      </c>
      <c r="D6474" s="25" t="s">
        <v>26232</v>
      </c>
      <c r="E6474" s="25"/>
      <c r="F6474" s="9" t="str">
        <f t="shared" si="94"/>
        <v>structure with developmental contribution from neural crest</v>
      </c>
      <c r="G6474" s="9" t="s">
        <v>5090</v>
      </c>
      <c r="H6474" s="9" t="s">
        <v>23608</v>
      </c>
      <c r="I6474" s="9" t="s">
        <v>11938</v>
      </c>
      <c r="J6474" s="9" t="s">
        <v>11939</v>
      </c>
      <c r="K6474" s="7" t="s">
        <v>15171</v>
      </c>
      <c r="L6474" s="13">
        <v>265505142</v>
      </c>
      <c r="M6474" t="str">
        <f>VLOOKUP(L6474,[1]HBA!$B$2:$C$4000,2,FALSE)</f>
        <v>imlth</v>
      </c>
    </row>
    <row r="6475" spans="2:13" x14ac:dyDescent="0.25">
      <c r="B6475" s="31" t="s">
        <v>26303</v>
      </c>
      <c r="C6475" s="25" t="s">
        <v>2614</v>
      </c>
      <c r="D6475" s="25" t="s">
        <v>26232</v>
      </c>
      <c r="E6475" s="25"/>
      <c r="F6475" s="9" t="str">
        <f t="shared" si="94"/>
        <v>structure with developmental contribution from neural crest</v>
      </c>
      <c r="G6475" s="9" t="s">
        <v>5090</v>
      </c>
      <c r="H6475" s="9" t="s">
        <v>23609</v>
      </c>
      <c r="I6475" s="9" t="s">
        <v>11940</v>
      </c>
      <c r="J6475" s="9" t="s">
        <v>11941</v>
      </c>
      <c r="K6475" s="7" t="s">
        <v>15171</v>
      </c>
      <c r="L6475" s="13">
        <v>265505150</v>
      </c>
      <c r="M6475" t="str">
        <f>VLOOKUP(L6475,[1]HBA!$B$2:$C$4000,2,FALSE)</f>
        <v>lls</v>
      </c>
    </row>
    <row r="6476" spans="2:13" x14ac:dyDescent="0.25">
      <c r="B6476" s="31" t="s">
        <v>26303</v>
      </c>
      <c r="C6476" s="25" t="s">
        <v>2614</v>
      </c>
      <c r="D6476" s="25" t="s">
        <v>26232</v>
      </c>
      <c r="E6476" s="25"/>
      <c r="F6476" s="9" t="str">
        <f t="shared" si="94"/>
        <v>structure with developmental contribution from neural crest</v>
      </c>
      <c r="G6476" s="9" t="s">
        <v>5090</v>
      </c>
      <c r="H6476" s="9" t="s">
        <v>23609</v>
      </c>
      <c r="I6476" s="9" t="s">
        <v>11942</v>
      </c>
      <c r="J6476" s="9" t="s">
        <v>11943</v>
      </c>
      <c r="K6476" s="7" t="s">
        <v>15171</v>
      </c>
      <c r="L6476" s="13">
        <v>265505154</v>
      </c>
      <c r="M6476" t="str">
        <f>VLOOKUP(L6476,[1]HBA!$B$2:$C$4000,2,FALSE)</f>
        <v>lls</v>
      </c>
    </row>
    <row r="6477" spans="2:13" x14ac:dyDescent="0.25">
      <c r="B6477" s="31" t="s">
        <v>26303</v>
      </c>
      <c r="C6477" s="25" t="s">
        <v>2861</v>
      </c>
      <c r="D6477" s="25" t="s">
        <v>26232</v>
      </c>
      <c r="E6477" s="25"/>
      <c r="F6477" s="9" t="str">
        <f t="shared" si="94"/>
        <v>structure with developmental contribution from neural crest</v>
      </c>
      <c r="G6477" s="9" t="s">
        <v>5090</v>
      </c>
      <c r="H6477" s="9" t="s">
        <v>20938</v>
      </c>
      <c r="I6477" s="9" t="s">
        <v>11944</v>
      </c>
      <c r="J6477" s="9" t="s">
        <v>11945</v>
      </c>
      <c r="K6477" s="7" t="s">
        <v>15171</v>
      </c>
      <c r="L6477" s="13">
        <v>265505170</v>
      </c>
      <c r="M6477" t="str">
        <f>VLOOKUP(L6477,[1]HBA!$B$2:$C$4000,2,FALSE)</f>
        <v>mp</v>
      </c>
    </row>
    <row r="6478" spans="2:13" x14ac:dyDescent="0.25">
      <c r="B6478" s="31" t="s">
        <v>26303</v>
      </c>
      <c r="C6478" s="25" t="s">
        <v>2861</v>
      </c>
      <c r="D6478" s="25" t="s">
        <v>26232</v>
      </c>
      <c r="E6478" s="25"/>
      <c r="F6478" s="9" t="str">
        <f t="shared" si="94"/>
        <v>structure with developmental contribution from neural crest</v>
      </c>
      <c r="G6478" s="9" t="s">
        <v>5090</v>
      </c>
      <c r="H6478" s="9" t="s">
        <v>20938</v>
      </c>
      <c r="I6478" s="9" t="s">
        <v>11946</v>
      </c>
      <c r="J6478" s="9" t="s">
        <v>11947</v>
      </c>
      <c r="K6478" s="7" t="s">
        <v>15171</v>
      </c>
      <c r="L6478" s="13">
        <v>265505174</v>
      </c>
      <c r="M6478" t="str">
        <f>VLOOKUP(L6478,[1]HBA!$B$2:$C$4000,2,FALSE)</f>
        <v>mp</v>
      </c>
    </row>
    <row r="6479" spans="2:13" x14ac:dyDescent="0.25">
      <c r="B6479" s="31" t="s">
        <v>26303</v>
      </c>
      <c r="C6479" s="25" t="s">
        <v>26014</v>
      </c>
      <c r="D6479" s="25" t="s">
        <v>26232</v>
      </c>
      <c r="E6479" s="25"/>
      <c r="F6479" s="9" t="str">
        <f t="shared" si="94"/>
        <v>structure with developmental contribution from neural crest</v>
      </c>
      <c r="G6479" s="9" t="s">
        <v>5090</v>
      </c>
      <c r="H6479" s="9" t="s">
        <v>18478</v>
      </c>
      <c r="I6479" s="9" t="s">
        <v>2870</v>
      </c>
      <c r="J6479" s="9" t="s">
        <v>2873</v>
      </c>
      <c r="K6479" s="7" t="s">
        <v>15171</v>
      </c>
      <c r="L6479" s="13">
        <v>265505178</v>
      </c>
      <c r="M6479" t="str">
        <f>VLOOKUP(L6479,[1]HBA!$B$2:$C$4000,2,FALSE)</f>
        <v>mtg</v>
      </c>
    </row>
    <row r="6480" spans="2:13" x14ac:dyDescent="0.25">
      <c r="B6480" s="31" t="s">
        <v>26303</v>
      </c>
      <c r="C6480" s="25" t="s">
        <v>26014</v>
      </c>
      <c r="D6480" s="25" t="s">
        <v>26232</v>
      </c>
      <c r="E6480" s="25"/>
      <c r="F6480" s="9" t="str">
        <f t="shared" si="94"/>
        <v>structure with developmental contribution from neural crest</v>
      </c>
      <c r="G6480" s="9" t="s">
        <v>5090</v>
      </c>
      <c r="H6480" s="9" t="s">
        <v>18478</v>
      </c>
      <c r="I6480" s="9" t="s">
        <v>11948</v>
      </c>
      <c r="J6480" s="9" t="s">
        <v>11949</v>
      </c>
      <c r="K6480" s="7" t="s">
        <v>15171</v>
      </c>
      <c r="L6480" s="13">
        <v>265505182</v>
      </c>
      <c r="M6480" t="str">
        <f>VLOOKUP(L6480,[1]HBA!$B$2:$C$4000,2,FALSE)</f>
        <v>mtg</v>
      </c>
    </row>
    <row r="6481" spans="2:13" x14ac:dyDescent="0.25">
      <c r="B6481" s="31" t="s">
        <v>26303</v>
      </c>
      <c r="C6481" s="25" t="s">
        <v>26014</v>
      </c>
      <c r="D6481" s="25" t="s">
        <v>26232</v>
      </c>
      <c r="E6481" s="25"/>
      <c r="F6481" s="9" t="str">
        <f t="shared" si="94"/>
        <v>structure with developmental contribution from neural crest</v>
      </c>
      <c r="G6481" s="9" t="s">
        <v>5090</v>
      </c>
      <c r="H6481" s="9" t="s">
        <v>18478</v>
      </c>
      <c r="I6481" s="9" t="s">
        <v>11950</v>
      </c>
      <c r="J6481" s="9" t="s">
        <v>11951</v>
      </c>
      <c r="K6481" s="7" t="s">
        <v>15171</v>
      </c>
      <c r="L6481" s="13">
        <v>265505186</v>
      </c>
      <c r="M6481" t="str">
        <f>VLOOKUP(L6481,[1]HBA!$B$2:$C$4000,2,FALSE)</f>
        <v>mtg</v>
      </c>
    </row>
    <row r="6482" spans="2:13" x14ac:dyDescent="0.25">
      <c r="B6482" s="31" t="s">
        <v>26303</v>
      </c>
      <c r="C6482" s="25" t="s">
        <v>1209</v>
      </c>
      <c r="D6482" s="25" t="s">
        <v>26232</v>
      </c>
      <c r="E6482" s="25"/>
      <c r="F6482" s="9" t="str">
        <f t="shared" si="94"/>
        <v>structure with developmental contribution from neural crest</v>
      </c>
      <c r="G6482" s="9" t="s">
        <v>5090</v>
      </c>
      <c r="H6482" s="9" t="s">
        <v>20909</v>
      </c>
      <c r="I6482" s="9" t="s">
        <v>1209</v>
      </c>
      <c r="J6482" s="9" t="s">
        <v>1215</v>
      </c>
      <c r="K6482" s="7" t="s">
        <v>15171</v>
      </c>
      <c r="L6482" s="13">
        <v>265505190</v>
      </c>
      <c r="M6482" t="str">
        <f>VLOOKUP(L6482,[1]HBA!$B$2:$C$4000,2,FALSE)</f>
        <v>mfb</v>
      </c>
    </row>
    <row r="6483" spans="2:13" x14ac:dyDescent="0.25">
      <c r="B6483" s="31" t="s">
        <v>26303</v>
      </c>
      <c r="C6483" s="25" t="s">
        <v>1209</v>
      </c>
      <c r="D6483" s="25" t="s">
        <v>26232</v>
      </c>
      <c r="E6483" s="25"/>
      <c r="F6483" s="9" t="str">
        <f t="shared" si="94"/>
        <v>structure with developmental contribution from neural crest</v>
      </c>
      <c r="G6483" s="9" t="s">
        <v>5090</v>
      </c>
      <c r="H6483" s="9" t="s">
        <v>20909</v>
      </c>
      <c r="I6483" s="9" t="s">
        <v>11952</v>
      </c>
      <c r="J6483" s="9" t="s">
        <v>11953</v>
      </c>
      <c r="K6483" s="7" t="s">
        <v>15171</v>
      </c>
      <c r="L6483" s="13">
        <v>265505194</v>
      </c>
      <c r="M6483" t="str">
        <f>VLOOKUP(L6483,[1]HBA!$B$2:$C$4000,2,FALSE)</f>
        <v>mfb</v>
      </c>
    </row>
    <row r="6484" spans="2:13" x14ac:dyDescent="0.25">
      <c r="B6484" s="31" t="s">
        <v>26303</v>
      </c>
      <c r="C6484" s="25" t="s">
        <v>1209</v>
      </c>
      <c r="D6484" s="25" t="s">
        <v>26232</v>
      </c>
      <c r="E6484" s="25"/>
      <c r="F6484" s="9" t="str">
        <f t="shared" si="94"/>
        <v>structure with developmental contribution from neural crest</v>
      </c>
      <c r="G6484" s="9" t="s">
        <v>5090</v>
      </c>
      <c r="H6484" s="9" t="s">
        <v>20909</v>
      </c>
      <c r="I6484" s="9" t="s">
        <v>11954</v>
      </c>
      <c r="J6484" s="9" t="s">
        <v>11955</v>
      </c>
      <c r="K6484" s="7" t="s">
        <v>15171</v>
      </c>
      <c r="L6484" s="13">
        <v>265505198</v>
      </c>
      <c r="M6484" t="str">
        <f>VLOOKUP(L6484,[1]HBA!$B$2:$C$4000,2,FALSE)</f>
        <v>mfb</v>
      </c>
    </row>
    <row r="6485" spans="2:13" x14ac:dyDescent="0.25">
      <c r="B6485" s="31" t="s">
        <v>26303</v>
      </c>
      <c r="C6485" s="25" t="s">
        <v>2938</v>
      </c>
      <c r="D6485" s="25" t="s">
        <v>26232</v>
      </c>
      <c r="E6485" s="25"/>
      <c r="F6485" s="9" t="str">
        <f t="shared" si="94"/>
        <v>structure with developmental contribution from neural crest</v>
      </c>
      <c r="G6485" s="9" t="s">
        <v>5090</v>
      </c>
      <c r="H6485" s="9" t="s">
        <v>23612</v>
      </c>
      <c r="I6485" s="9" t="s">
        <v>11956</v>
      </c>
      <c r="J6485" s="9" t="s">
        <v>11957</v>
      </c>
      <c r="K6485" s="7" t="s">
        <v>15171</v>
      </c>
      <c r="L6485" s="13">
        <v>265505206</v>
      </c>
      <c r="M6485" t="str">
        <f>VLOOKUP(L6485,[1]HBA!$B$2:$C$4000,2,FALSE)</f>
        <v>mls</v>
      </c>
    </row>
    <row r="6486" spans="2:13" x14ac:dyDescent="0.25">
      <c r="B6486" s="31" t="s">
        <v>26303</v>
      </c>
      <c r="C6486" s="25" t="s">
        <v>2938</v>
      </c>
      <c r="D6486" s="25" t="s">
        <v>26232</v>
      </c>
      <c r="E6486" s="25"/>
      <c r="F6486" s="9" t="str">
        <f t="shared" si="94"/>
        <v>structure with developmental contribution from neural crest</v>
      </c>
      <c r="G6486" s="9" t="s">
        <v>5090</v>
      </c>
      <c r="H6486" s="9" t="s">
        <v>23612</v>
      </c>
      <c r="I6486" s="9" t="s">
        <v>11958</v>
      </c>
      <c r="J6486" s="9" t="s">
        <v>11959</v>
      </c>
      <c r="K6486" s="7" t="s">
        <v>15171</v>
      </c>
      <c r="L6486" s="13">
        <v>265505210</v>
      </c>
      <c r="M6486" t="str">
        <f>VLOOKUP(L6486,[1]HBA!$B$2:$C$4000,2,FALSE)</f>
        <v>mls</v>
      </c>
    </row>
    <row r="6487" spans="2:13" x14ac:dyDescent="0.25">
      <c r="B6487" s="31" t="s">
        <v>26303</v>
      </c>
      <c r="C6487" s="25" t="s">
        <v>150</v>
      </c>
      <c r="D6487" s="25" t="s">
        <v>26232</v>
      </c>
      <c r="E6487" s="25"/>
      <c r="F6487" s="9" t="str">
        <f t="shared" si="94"/>
        <v>structure with developmental contribution from neural crest</v>
      </c>
      <c r="G6487" s="9" t="s">
        <v>5090</v>
      </c>
      <c r="H6487" s="9" t="s">
        <v>23613</v>
      </c>
      <c r="I6487" s="9" t="s">
        <v>11960</v>
      </c>
      <c r="J6487" s="9" t="s">
        <v>11961</v>
      </c>
      <c r="K6487" s="7" t="s">
        <v>15171</v>
      </c>
      <c r="L6487" s="13">
        <v>265505218</v>
      </c>
      <c r="M6487" t="str">
        <f>VLOOKUP(L6487,[1]HBA!$B$2:$C$4000,2,FALSE)</f>
        <v>or-lp</v>
      </c>
    </row>
    <row r="6488" spans="2:13" x14ac:dyDescent="0.25">
      <c r="B6488" s="31" t="s">
        <v>26303</v>
      </c>
      <c r="C6488" s="25" t="s">
        <v>150</v>
      </c>
      <c r="D6488" s="25" t="s">
        <v>26232</v>
      </c>
      <c r="E6488" s="25"/>
      <c r="F6488" s="9" t="str">
        <f t="shared" si="94"/>
        <v>structure with developmental contribution from neural crest</v>
      </c>
      <c r="G6488" s="9" t="s">
        <v>5090</v>
      </c>
      <c r="H6488" s="9" t="s">
        <v>23613</v>
      </c>
      <c r="I6488" s="9" t="s">
        <v>11962</v>
      </c>
      <c r="J6488" s="9" t="s">
        <v>11963</v>
      </c>
      <c r="K6488" s="7" t="s">
        <v>15171</v>
      </c>
      <c r="L6488" s="13">
        <v>265505222</v>
      </c>
      <c r="M6488" t="str">
        <f>VLOOKUP(L6488,[1]HBA!$B$2:$C$4000,2,FALSE)</f>
        <v>or-lp</v>
      </c>
    </row>
    <row r="6489" spans="2:13" x14ac:dyDescent="0.25">
      <c r="B6489" s="31" t="s">
        <v>26303</v>
      </c>
      <c r="C6489" s="25" t="s">
        <v>2931</v>
      </c>
      <c r="D6489" s="25" t="s">
        <v>26232</v>
      </c>
      <c r="E6489" s="25"/>
      <c r="F6489" s="9" t="str">
        <f t="shared" si="94"/>
        <v>structure with developmental contribution from neural crest</v>
      </c>
      <c r="G6489" s="9" t="s">
        <v>5090</v>
      </c>
      <c r="H6489" s="9" t="s">
        <v>23615</v>
      </c>
      <c r="I6489" s="9" t="s">
        <v>11964</v>
      </c>
      <c r="J6489" s="9" t="s">
        <v>11965</v>
      </c>
      <c r="K6489" s="7" t="s">
        <v>15171</v>
      </c>
      <c r="L6489" s="13">
        <v>265505226</v>
      </c>
      <c r="M6489" t="str">
        <f>VLOOKUP(L6489,[1]HBA!$B$2:$C$4000,2,FALSE)</f>
        <v>milf</v>
      </c>
    </row>
    <row r="6490" spans="2:13" x14ac:dyDescent="0.25">
      <c r="B6490" s="31" t="s">
        <v>26303</v>
      </c>
      <c r="C6490" s="25" t="s">
        <v>2931</v>
      </c>
      <c r="D6490" s="25" t="s">
        <v>26232</v>
      </c>
      <c r="E6490" s="25"/>
      <c r="F6490" s="9" t="str">
        <f t="shared" si="94"/>
        <v>structure with developmental contribution from neural crest</v>
      </c>
      <c r="G6490" s="9" t="s">
        <v>5090</v>
      </c>
      <c r="H6490" s="9" t="s">
        <v>23615</v>
      </c>
      <c r="I6490" s="9" t="s">
        <v>11966</v>
      </c>
      <c r="J6490" s="9" t="s">
        <v>11967</v>
      </c>
      <c r="K6490" s="7" t="s">
        <v>15171</v>
      </c>
      <c r="L6490" s="13">
        <v>265505230</v>
      </c>
      <c r="M6490" t="str">
        <f>VLOOKUP(L6490,[1]HBA!$B$2:$C$4000,2,FALSE)</f>
        <v>milf</v>
      </c>
    </row>
    <row r="6491" spans="2:13" x14ac:dyDescent="0.25">
      <c r="B6491" s="31" t="s">
        <v>26303</v>
      </c>
      <c r="C6491" s="25" t="s">
        <v>2931</v>
      </c>
      <c r="D6491" s="25" t="s">
        <v>26232</v>
      </c>
      <c r="E6491" s="25"/>
      <c r="F6491" s="9" t="str">
        <f t="shared" si="94"/>
        <v>structure with developmental contribution from neural crest</v>
      </c>
      <c r="G6491" s="9" t="s">
        <v>5090</v>
      </c>
      <c r="H6491" s="9" t="s">
        <v>23615</v>
      </c>
      <c r="I6491" s="9" t="s">
        <v>11968</v>
      </c>
      <c r="J6491" s="9" t="s">
        <v>11969</v>
      </c>
      <c r="K6491" s="7" t="s">
        <v>15171</v>
      </c>
      <c r="L6491" s="13">
        <v>265505234</v>
      </c>
      <c r="M6491" t="str">
        <f>VLOOKUP(L6491,[1]HBA!$B$2:$C$4000,2,FALSE)</f>
        <v>milf</v>
      </c>
    </row>
    <row r="6492" spans="2:13" x14ac:dyDescent="0.25">
      <c r="B6492" s="31" t="s">
        <v>26303</v>
      </c>
      <c r="C6492" s="20"/>
      <c r="D6492" s="25" t="s">
        <v>26232</v>
      </c>
      <c r="E6492" s="25" t="s">
        <v>26300</v>
      </c>
      <c r="F6492" s="9" t="str">
        <f t="shared" si="94"/>
        <v>structure with developmental contribution from neural crest</v>
      </c>
      <c r="G6492" s="9" t="s">
        <v>5090</v>
      </c>
      <c r="H6492" s="9" t="s">
        <v>25490</v>
      </c>
      <c r="I6492" s="9" t="s">
        <v>11970</v>
      </c>
      <c r="J6492" s="9" t="s">
        <v>11971</v>
      </c>
      <c r="K6492" s="7" t="s">
        <v>15171</v>
      </c>
      <c r="L6492" s="13">
        <v>265505238</v>
      </c>
      <c r="M6492" t="str">
        <f>VLOOKUP(L6492,[1]HBA!$B$2:$C$4000,2,FALSE)</f>
        <v>orpt</v>
      </c>
    </row>
    <row r="6493" spans="2:13" x14ac:dyDescent="0.25">
      <c r="B6493" s="31" t="s">
        <v>26303</v>
      </c>
      <c r="C6493" s="20"/>
      <c r="D6493" s="25" t="s">
        <v>26232</v>
      </c>
      <c r="E6493" s="25" t="s">
        <v>26300</v>
      </c>
      <c r="F6493" s="9" t="str">
        <f t="shared" si="94"/>
        <v>structure with developmental contribution from neural crest</v>
      </c>
      <c r="G6493" s="9" t="s">
        <v>5090</v>
      </c>
      <c r="H6493" s="9" t="s">
        <v>25490</v>
      </c>
      <c r="I6493" s="9" t="s">
        <v>11972</v>
      </c>
      <c r="J6493" s="9" t="s">
        <v>11973</v>
      </c>
      <c r="K6493" s="7" t="s">
        <v>15171</v>
      </c>
      <c r="L6493" s="13">
        <v>265505242</v>
      </c>
      <c r="M6493" t="str">
        <f>VLOOKUP(L6493,[1]HBA!$B$2:$C$4000,2,FALSE)</f>
        <v>orpt</v>
      </c>
    </row>
    <row r="6494" spans="2:13" x14ac:dyDescent="0.25">
      <c r="B6494" s="31" t="s">
        <v>26303</v>
      </c>
      <c r="C6494" s="20"/>
      <c r="D6494" s="25" t="s">
        <v>26232</v>
      </c>
      <c r="E6494" s="25" t="s">
        <v>26300</v>
      </c>
      <c r="F6494" s="9" t="str">
        <f t="shared" si="94"/>
        <v>structure with developmental contribution from neural crest</v>
      </c>
      <c r="G6494" s="9" t="s">
        <v>5090</v>
      </c>
      <c r="H6494" s="9" t="s">
        <v>25490</v>
      </c>
      <c r="I6494" s="9" t="s">
        <v>11974</v>
      </c>
      <c r="J6494" s="9" t="s">
        <v>11975</v>
      </c>
      <c r="K6494" s="7" t="s">
        <v>15171</v>
      </c>
      <c r="L6494" s="13">
        <v>265505246</v>
      </c>
      <c r="M6494" t="str">
        <f>VLOOKUP(L6494,[1]HBA!$B$2:$C$4000,2,FALSE)</f>
        <v>orpt</v>
      </c>
    </row>
    <row r="6495" spans="2:13" x14ac:dyDescent="0.25">
      <c r="B6495" s="31" t="s">
        <v>26303</v>
      </c>
      <c r="C6495" s="25" t="s">
        <v>3781</v>
      </c>
      <c r="D6495" s="25" t="s">
        <v>26232</v>
      </c>
      <c r="E6495" s="25"/>
      <c r="F6495" s="9" t="str">
        <f t="shared" si="94"/>
        <v>structure with developmental contribution from neural crest</v>
      </c>
      <c r="G6495" s="9" t="s">
        <v>5090</v>
      </c>
      <c r="H6495" s="9" t="s">
        <v>23633</v>
      </c>
      <c r="I6495" s="9" t="s">
        <v>3781</v>
      </c>
      <c r="J6495" s="9" t="s">
        <v>3783</v>
      </c>
      <c r="K6495" s="7" t="s">
        <v>15171</v>
      </c>
      <c r="L6495" s="13">
        <v>265505250</v>
      </c>
      <c r="M6495" t="str">
        <f>VLOOKUP(L6495,[1]HBA!$B$2:$C$4000,2,FALSE)</f>
        <v>perf</v>
      </c>
    </row>
    <row r="6496" spans="2:13" x14ac:dyDescent="0.25">
      <c r="B6496" s="31" t="s">
        <v>26303</v>
      </c>
      <c r="C6496" s="25" t="s">
        <v>3781</v>
      </c>
      <c r="D6496" s="25" t="s">
        <v>26232</v>
      </c>
      <c r="E6496" s="25"/>
      <c r="F6496" s="9" t="str">
        <f t="shared" si="94"/>
        <v>structure with developmental contribution from neural crest</v>
      </c>
      <c r="G6496" s="9" t="s">
        <v>5090</v>
      </c>
      <c r="H6496" s="9" t="s">
        <v>23633</v>
      </c>
      <c r="I6496" s="9" t="s">
        <v>11976</v>
      </c>
      <c r="J6496" s="9" t="s">
        <v>11977</v>
      </c>
      <c r="K6496" s="7" t="s">
        <v>15171</v>
      </c>
      <c r="L6496" s="13">
        <v>265505254</v>
      </c>
      <c r="M6496" t="str">
        <f>VLOOKUP(L6496,[1]HBA!$B$2:$C$4000,2,FALSE)</f>
        <v>perf</v>
      </c>
    </row>
    <row r="6497" spans="2:13" x14ac:dyDescent="0.25">
      <c r="B6497" s="31" t="s">
        <v>26303</v>
      </c>
      <c r="C6497" s="25" t="s">
        <v>3781</v>
      </c>
      <c r="D6497" s="25" t="s">
        <v>26232</v>
      </c>
      <c r="E6497" s="25"/>
      <c r="F6497" s="9" t="str">
        <f t="shared" si="94"/>
        <v>structure with developmental contribution from neural crest</v>
      </c>
      <c r="G6497" s="9" t="s">
        <v>5090</v>
      </c>
      <c r="H6497" s="9" t="s">
        <v>23633</v>
      </c>
      <c r="I6497" s="9" t="s">
        <v>11978</v>
      </c>
      <c r="J6497" s="9" t="s">
        <v>11979</v>
      </c>
      <c r="K6497" s="7" t="s">
        <v>15171</v>
      </c>
      <c r="L6497" s="13">
        <v>265505258</v>
      </c>
      <c r="M6497" t="str">
        <f>VLOOKUP(L6497,[1]HBA!$B$2:$C$4000,2,FALSE)</f>
        <v>perf</v>
      </c>
    </row>
    <row r="6498" spans="2:13" x14ac:dyDescent="0.25">
      <c r="B6498" s="31" t="s">
        <v>26303</v>
      </c>
      <c r="C6498" s="20"/>
      <c r="D6498" s="25" t="s">
        <v>26232</v>
      </c>
      <c r="E6498" s="25" t="s">
        <v>26300</v>
      </c>
      <c r="F6498" s="9" t="str">
        <f t="shared" si="94"/>
        <v>structure with developmental contribution from neural crest</v>
      </c>
      <c r="G6498" s="9" t="s">
        <v>5090</v>
      </c>
      <c r="H6498" s="9" t="s">
        <v>23635</v>
      </c>
      <c r="I6498" s="9" t="s">
        <v>11980</v>
      </c>
      <c r="J6498" s="9" t="s">
        <v>11981</v>
      </c>
      <c r="K6498" s="7" t="s">
        <v>15171</v>
      </c>
      <c r="L6498" s="13">
        <v>265505262</v>
      </c>
      <c r="M6498" t="str">
        <f>VLOOKUP(L6498,[1]HBA!$B$2:$C$4000,2,FALSE)</f>
        <v>ponb</v>
      </c>
    </row>
    <row r="6499" spans="2:13" x14ac:dyDescent="0.25">
      <c r="B6499" s="31" t="s">
        <v>26303</v>
      </c>
      <c r="C6499" s="20"/>
      <c r="D6499" s="25" t="s">
        <v>26232</v>
      </c>
      <c r="E6499" s="25" t="s">
        <v>26300</v>
      </c>
      <c r="F6499" s="9" t="str">
        <f t="shared" si="94"/>
        <v>structure with developmental contribution from neural crest</v>
      </c>
      <c r="G6499" s="9" t="s">
        <v>5090</v>
      </c>
      <c r="H6499" s="9" t="s">
        <v>23635</v>
      </c>
      <c r="I6499" s="9" t="s">
        <v>11982</v>
      </c>
      <c r="J6499" s="9" t="s">
        <v>11983</v>
      </c>
      <c r="K6499" s="7" t="s">
        <v>15171</v>
      </c>
      <c r="L6499" s="13">
        <v>265505266</v>
      </c>
      <c r="M6499" t="str">
        <f>VLOOKUP(L6499,[1]HBA!$B$2:$C$4000,2,FALSE)</f>
        <v>ponb</v>
      </c>
    </row>
    <row r="6500" spans="2:13" x14ac:dyDescent="0.25">
      <c r="B6500" s="31" t="s">
        <v>26303</v>
      </c>
      <c r="C6500" s="20"/>
      <c r="D6500" s="25" t="s">
        <v>26232</v>
      </c>
      <c r="E6500" s="25" t="s">
        <v>26300</v>
      </c>
      <c r="F6500" s="9" t="str">
        <f t="shared" si="94"/>
        <v>structure with developmental contribution from neural crest</v>
      </c>
      <c r="G6500" s="9" t="s">
        <v>5090</v>
      </c>
      <c r="H6500" s="9" t="s">
        <v>23635</v>
      </c>
      <c r="I6500" s="9" t="s">
        <v>11984</v>
      </c>
      <c r="J6500" s="9" t="s">
        <v>11985</v>
      </c>
      <c r="K6500" s="7" t="s">
        <v>15171</v>
      </c>
      <c r="L6500" s="13">
        <v>265505270</v>
      </c>
      <c r="M6500" t="str">
        <f>VLOOKUP(L6500,[1]HBA!$B$2:$C$4000,2,FALSE)</f>
        <v>ponb</v>
      </c>
    </row>
    <row r="6501" spans="2:13" x14ac:dyDescent="0.25">
      <c r="B6501" s="31" t="s">
        <v>26303</v>
      </c>
      <c r="C6501" s="25" t="s">
        <v>25797</v>
      </c>
      <c r="D6501" s="25" t="s">
        <v>26232</v>
      </c>
      <c r="E6501" s="25"/>
      <c r="F6501" s="9" t="str">
        <f t="shared" si="94"/>
        <v>structure with developmental contribution from neural crest</v>
      </c>
      <c r="G6501" s="9" t="s">
        <v>5090</v>
      </c>
      <c r="H6501" s="9" t="s">
        <v>23636</v>
      </c>
      <c r="I6501" s="9" t="s">
        <v>11986</v>
      </c>
      <c r="J6501" s="9" t="s">
        <v>11987</v>
      </c>
      <c r="K6501" s="7" t="s">
        <v>15171</v>
      </c>
      <c r="L6501" s="13">
        <v>265505278</v>
      </c>
      <c r="M6501" t="str">
        <f>VLOOKUP(L6501,[1]HBA!$B$2:$C$4000,2,FALSE)</f>
        <v>rthp</v>
      </c>
    </row>
    <row r="6502" spans="2:13" x14ac:dyDescent="0.25">
      <c r="B6502" s="31" t="s">
        <v>26303</v>
      </c>
      <c r="C6502" s="25" t="s">
        <v>25797</v>
      </c>
      <c r="D6502" s="25" t="s">
        <v>26232</v>
      </c>
      <c r="E6502" s="25"/>
      <c r="F6502" s="9" t="str">
        <f t="shared" si="94"/>
        <v>structure with developmental contribution from neural crest</v>
      </c>
      <c r="G6502" s="9" t="s">
        <v>5090</v>
      </c>
      <c r="H6502" s="9" t="s">
        <v>23636</v>
      </c>
      <c r="I6502" s="9" t="s">
        <v>11988</v>
      </c>
      <c r="J6502" s="9" t="s">
        <v>11989</v>
      </c>
      <c r="K6502" s="7" t="s">
        <v>15171</v>
      </c>
      <c r="L6502" s="13">
        <v>265505282</v>
      </c>
      <c r="M6502" t="str">
        <f>VLOOKUP(L6502,[1]HBA!$B$2:$C$4000,2,FALSE)</f>
        <v>rthp</v>
      </c>
    </row>
    <row r="6503" spans="2:13" x14ac:dyDescent="0.25">
      <c r="B6503" s="31" t="s">
        <v>26303</v>
      </c>
      <c r="C6503" s="25" t="s">
        <v>4934</v>
      </c>
      <c r="D6503" s="25" t="s">
        <v>26232</v>
      </c>
      <c r="E6503" s="25"/>
      <c r="F6503" s="9" t="str">
        <f t="shared" si="94"/>
        <v>structure with developmental contribution from neural crest</v>
      </c>
      <c r="G6503" s="9" t="s">
        <v>5090</v>
      </c>
      <c r="H6503" s="9" t="s">
        <v>20781</v>
      </c>
      <c r="I6503" s="9" t="s">
        <v>4934</v>
      </c>
      <c r="J6503" s="9" t="s">
        <v>4936</v>
      </c>
      <c r="K6503" s="7" t="s">
        <v>15171</v>
      </c>
      <c r="L6503" s="13">
        <v>265505286</v>
      </c>
      <c r="M6503" t="str">
        <f>VLOOKUP(L6503,[1]HBA!$B$2:$C$4000,2,FALSE)</f>
        <v>sst</v>
      </c>
    </row>
    <row r="6504" spans="2:13" x14ac:dyDescent="0.25">
      <c r="B6504" s="31" t="s">
        <v>26303</v>
      </c>
      <c r="C6504" s="25" t="s">
        <v>4934</v>
      </c>
      <c r="D6504" s="25" t="s">
        <v>26232</v>
      </c>
      <c r="E6504" s="25"/>
      <c r="F6504" s="9" t="str">
        <f t="shared" si="94"/>
        <v>structure with developmental contribution from neural crest</v>
      </c>
      <c r="G6504" s="9" t="s">
        <v>5090</v>
      </c>
      <c r="H6504" s="9" t="s">
        <v>20781</v>
      </c>
      <c r="I6504" s="9" t="s">
        <v>11990</v>
      </c>
      <c r="J6504" s="9" t="s">
        <v>11991</v>
      </c>
      <c r="K6504" s="7" t="s">
        <v>15171</v>
      </c>
      <c r="L6504" s="13">
        <v>265505290</v>
      </c>
      <c r="M6504" t="str">
        <f>VLOOKUP(L6504,[1]HBA!$B$2:$C$4000,2,FALSE)</f>
        <v>sst</v>
      </c>
    </row>
    <row r="6505" spans="2:13" x14ac:dyDescent="0.25">
      <c r="B6505" s="31" t="s">
        <v>26303</v>
      </c>
      <c r="C6505" s="25" t="s">
        <v>4934</v>
      </c>
      <c r="D6505" s="25" t="s">
        <v>26232</v>
      </c>
      <c r="E6505" s="25"/>
      <c r="F6505" s="9" t="str">
        <f t="shared" si="94"/>
        <v>structure with developmental contribution from neural crest</v>
      </c>
      <c r="G6505" s="9" t="s">
        <v>5090</v>
      </c>
      <c r="H6505" s="9" t="s">
        <v>23637</v>
      </c>
      <c r="I6505" s="9" t="s">
        <v>11992</v>
      </c>
      <c r="J6505" s="9" t="s">
        <v>11993</v>
      </c>
      <c r="K6505" s="7" t="s">
        <v>15171</v>
      </c>
      <c r="L6505" s="13">
        <v>265505294</v>
      </c>
      <c r="M6505" t="str">
        <f>VLOOKUP(L6505,[1]HBA!$B$2:$C$4000,2,FALSE)</f>
        <v>sste</v>
      </c>
    </row>
    <row r="6506" spans="2:13" x14ac:dyDescent="0.25">
      <c r="B6506" s="31" t="s">
        <v>26303</v>
      </c>
      <c r="C6506" s="25" t="s">
        <v>4934</v>
      </c>
      <c r="D6506" s="25" t="s">
        <v>26232</v>
      </c>
      <c r="E6506" s="25"/>
      <c r="F6506" s="9" t="str">
        <f t="shared" si="94"/>
        <v>structure with developmental contribution from neural crest</v>
      </c>
      <c r="G6506" s="9" t="s">
        <v>5090</v>
      </c>
      <c r="H6506" s="9" t="s">
        <v>23638</v>
      </c>
      <c r="I6506" s="9" t="s">
        <v>11994</v>
      </c>
      <c r="J6506" s="9" t="s">
        <v>11995</v>
      </c>
      <c r="K6506" s="7" t="s">
        <v>15171</v>
      </c>
      <c r="L6506" s="13">
        <v>265505298</v>
      </c>
      <c r="M6506" t="str">
        <f>VLOOKUP(L6506,[1]HBA!$B$2:$C$4000,2,FALSE)</f>
        <v>ssti</v>
      </c>
    </row>
    <row r="6507" spans="2:13" x14ac:dyDescent="0.25">
      <c r="B6507" s="31" t="s">
        <v>26303</v>
      </c>
      <c r="C6507" s="25" t="s">
        <v>4934</v>
      </c>
      <c r="D6507" s="25" t="s">
        <v>26232</v>
      </c>
      <c r="E6507" s="25"/>
      <c r="F6507" s="9" t="str">
        <f t="shared" si="94"/>
        <v>structure with developmental contribution from neural crest</v>
      </c>
      <c r="G6507" s="9" t="s">
        <v>5090</v>
      </c>
      <c r="H6507" s="9" t="s">
        <v>20781</v>
      </c>
      <c r="I6507" s="9" t="s">
        <v>11996</v>
      </c>
      <c r="J6507" s="9" t="s">
        <v>11997</v>
      </c>
      <c r="K6507" s="7" t="s">
        <v>15171</v>
      </c>
      <c r="L6507" s="13">
        <v>265505302</v>
      </c>
      <c r="M6507" t="str">
        <f>VLOOKUP(L6507,[1]HBA!$B$2:$C$4000,2,FALSE)</f>
        <v>sst</v>
      </c>
    </row>
    <row r="6508" spans="2:13" x14ac:dyDescent="0.25">
      <c r="B6508" s="31" t="s">
        <v>26303</v>
      </c>
      <c r="C6508" s="25" t="s">
        <v>4934</v>
      </c>
      <c r="D6508" s="25" t="s">
        <v>26232</v>
      </c>
      <c r="E6508" s="25"/>
      <c r="F6508" s="9" t="str">
        <f t="shared" si="94"/>
        <v>structure with developmental contribution from neural crest</v>
      </c>
      <c r="G6508" s="9" t="s">
        <v>5090</v>
      </c>
      <c r="H6508" s="9" t="s">
        <v>23637</v>
      </c>
      <c r="I6508" s="9" t="s">
        <v>11998</v>
      </c>
      <c r="J6508" s="9" t="s">
        <v>11999</v>
      </c>
      <c r="K6508" s="7" t="s">
        <v>15171</v>
      </c>
      <c r="L6508" s="13">
        <v>265505306</v>
      </c>
      <c r="M6508" t="str">
        <f>VLOOKUP(L6508,[1]HBA!$B$2:$C$4000,2,FALSE)</f>
        <v>sste</v>
      </c>
    </row>
    <row r="6509" spans="2:13" x14ac:dyDescent="0.25">
      <c r="B6509" s="31" t="s">
        <v>26303</v>
      </c>
      <c r="C6509" s="25" t="s">
        <v>4934</v>
      </c>
      <c r="D6509" s="25" t="s">
        <v>26232</v>
      </c>
      <c r="E6509" s="25"/>
      <c r="F6509" s="9" t="str">
        <f t="shared" si="94"/>
        <v>structure with developmental contribution from neural crest</v>
      </c>
      <c r="G6509" s="9" t="s">
        <v>5090</v>
      </c>
      <c r="H6509" s="9" t="s">
        <v>23638</v>
      </c>
      <c r="I6509" s="9" t="s">
        <v>12000</v>
      </c>
      <c r="J6509" s="9" t="s">
        <v>12001</v>
      </c>
      <c r="K6509" s="7" t="s">
        <v>15171</v>
      </c>
      <c r="L6509" s="13">
        <v>265505310</v>
      </c>
      <c r="M6509" t="str">
        <f>VLOOKUP(L6509,[1]HBA!$B$2:$C$4000,2,FALSE)</f>
        <v>ssti</v>
      </c>
    </row>
    <row r="6510" spans="2:13" x14ac:dyDescent="0.25">
      <c r="B6510" s="31" t="s">
        <v>26303</v>
      </c>
      <c r="C6510" s="20"/>
      <c r="D6510" s="25" t="s">
        <v>26232</v>
      </c>
      <c r="E6510" s="25" t="s">
        <v>26300</v>
      </c>
      <c r="F6510" s="9" t="str">
        <f t="shared" si="94"/>
        <v>structure with developmental contribution from neural crest</v>
      </c>
      <c r="G6510" s="9" t="s">
        <v>5090</v>
      </c>
      <c r="H6510" s="9" t="s">
        <v>23639</v>
      </c>
      <c r="I6510" s="9" t="s">
        <v>12002</v>
      </c>
      <c r="J6510" s="9" t="s">
        <v>12003</v>
      </c>
      <c r="K6510" s="7" t="s">
        <v>15171</v>
      </c>
      <c r="L6510" s="13">
        <v>265505314</v>
      </c>
      <c r="M6510" t="str">
        <f>VLOOKUP(L6510,[1]HBA!$B$2:$C$4000,2,FALSE)</f>
        <v>saf</v>
      </c>
    </row>
    <row r="6511" spans="2:13" x14ac:dyDescent="0.25">
      <c r="B6511" s="31" t="s">
        <v>26303</v>
      </c>
      <c r="C6511" s="20"/>
      <c r="D6511" s="25" t="s">
        <v>26232</v>
      </c>
      <c r="E6511" s="25" t="s">
        <v>26300</v>
      </c>
      <c r="F6511" s="9" t="str">
        <f t="shared" si="94"/>
        <v>structure with developmental contribution from neural crest</v>
      </c>
      <c r="G6511" s="9" t="s">
        <v>5090</v>
      </c>
      <c r="H6511" s="9" t="s">
        <v>23639</v>
      </c>
      <c r="I6511" s="9" t="s">
        <v>12004</v>
      </c>
      <c r="J6511" s="9" t="s">
        <v>12005</v>
      </c>
      <c r="K6511" s="7" t="s">
        <v>15171</v>
      </c>
      <c r="L6511" s="13">
        <v>265505318</v>
      </c>
      <c r="M6511" t="str">
        <f>VLOOKUP(L6511,[1]HBA!$B$2:$C$4000,2,FALSE)</f>
        <v>saf</v>
      </c>
    </row>
    <row r="6512" spans="2:13" x14ac:dyDescent="0.25">
      <c r="B6512" s="31" t="s">
        <v>26303</v>
      </c>
      <c r="C6512" s="20"/>
      <c r="D6512" s="25" t="s">
        <v>26232</v>
      </c>
      <c r="E6512" s="25" t="s">
        <v>26300</v>
      </c>
      <c r="F6512" s="9" t="str">
        <f t="shared" si="94"/>
        <v>structure with developmental contribution from neural crest</v>
      </c>
      <c r="G6512" s="9" t="s">
        <v>5090</v>
      </c>
      <c r="H6512" s="9" t="s">
        <v>23639</v>
      </c>
      <c r="I6512" s="9" t="s">
        <v>12006</v>
      </c>
      <c r="J6512" s="9" t="s">
        <v>12007</v>
      </c>
      <c r="K6512" s="7" t="s">
        <v>15171</v>
      </c>
      <c r="L6512" s="13">
        <v>265505322</v>
      </c>
      <c r="M6512" t="str">
        <f>VLOOKUP(L6512,[1]HBA!$B$2:$C$4000,2,FALSE)</f>
        <v>saf</v>
      </c>
    </row>
    <row r="6513" spans="2:13" x14ac:dyDescent="0.25">
      <c r="B6513" s="31" t="s">
        <v>26303</v>
      </c>
      <c r="C6513" s="25" t="s">
        <v>5070</v>
      </c>
      <c r="D6513" s="25" t="s">
        <v>26232</v>
      </c>
      <c r="E6513" s="25"/>
      <c r="F6513" s="9" t="str">
        <f t="shared" si="94"/>
        <v>structure with developmental contribution from neural crest</v>
      </c>
      <c r="G6513" s="9" t="s">
        <v>5090</v>
      </c>
      <c r="H6513" s="9" t="s">
        <v>23640</v>
      </c>
      <c r="I6513" s="9" t="s">
        <v>12008</v>
      </c>
      <c r="J6513" s="9" t="s">
        <v>12009</v>
      </c>
      <c r="K6513" s="7" t="s">
        <v>15171</v>
      </c>
      <c r="L6513" s="13">
        <v>265505330</v>
      </c>
      <c r="M6513" t="str">
        <f>VLOOKUP(L6513,[1]HBA!$B$2:$C$4000,2,FALSE)</f>
        <v>szt</v>
      </c>
    </row>
    <row r="6514" spans="2:13" x14ac:dyDescent="0.25">
      <c r="B6514" s="31" t="s">
        <v>26303</v>
      </c>
      <c r="C6514" s="25" t="s">
        <v>5070</v>
      </c>
      <c r="D6514" s="25" t="s">
        <v>26232</v>
      </c>
      <c r="E6514" s="25"/>
      <c r="F6514" s="9" t="str">
        <f t="shared" si="94"/>
        <v>structure with developmental contribution from neural crest</v>
      </c>
      <c r="G6514" s="9" t="s">
        <v>5090</v>
      </c>
      <c r="H6514" s="9" t="s">
        <v>23640</v>
      </c>
      <c r="I6514" s="9" t="s">
        <v>12010</v>
      </c>
      <c r="J6514" s="9" t="s">
        <v>12011</v>
      </c>
      <c r="K6514" s="7" t="s">
        <v>15171</v>
      </c>
      <c r="L6514" s="13">
        <v>265505334</v>
      </c>
      <c r="M6514" t="str">
        <f>VLOOKUP(L6514,[1]HBA!$B$2:$C$4000,2,FALSE)</f>
        <v>szt</v>
      </c>
    </row>
    <row r="6515" spans="2:13" x14ac:dyDescent="0.25">
      <c r="B6515" s="31" t="s">
        <v>26303</v>
      </c>
      <c r="C6515" s="25" t="s">
        <v>14704</v>
      </c>
      <c r="D6515" s="25" t="s">
        <v>26232</v>
      </c>
      <c r="E6515" s="25"/>
      <c r="F6515" s="9" t="str">
        <f t="shared" si="94"/>
        <v>structure with developmental contribution from neural crest</v>
      </c>
      <c r="G6515" s="9" t="s">
        <v>5090</v>
      </c>
      <c r="H6515" s="9" t="s">
        <v>23648</v>
      </c>
      <c r="I6515" s="9" t="s">
        <v>12012</v>
      </c>
      <c r="J6515" s="9" t="s">
        <v>12013</v>
      </c>
      <c r="K6515" s="7" t="s">
        <v>15171</v>
      </c>
      <c r="L6515" s="13">
        <v>265505342</v>
      </c>
      <c r="M6515" t="str">
        <f>VLOOKUP(L6515,[1]HBA!$B$2:$C$4000,2,FALSE)</f>
        <v>scf</v>
      </c>
    </row>
    <row r="6516" spans="2:13" x14ac:dyDescent="0.25">
      <c r="B6516" s="31" t="s">
        <v>26303</v>
      </c>
      <c r="C6516" s="25" t="s">
        <v>14704</v>
      </c>
      <c r="D6516" s="25" t="s">
        <v>26232</v>
      </c>
      <c r="E6516" s="25"/>
      <c r="F6516" s="9" t="str">
        <f t="shared" si="94"/>
        <v>structure with developmental contribution from neural crest</v>
      </c>
      <c r="G6516" s="9" t="s">
        <v>5090</v>
      </c>
      <c r="H6516" s="9" t="s">
        <v>23648</v>
      </c>
      <c r="I6516" s="9" t="s">
        <v>12014</v>
      </c>
      <c r="J6516" s="9" t="s">
        <v>12015</v>
      </c>
      <c r="K6516" s="7" t="s">
        <v>15171</v>
      </c>
      <c r="L6516" s="13">
        <v>265505346</v>
      </c>
      <c r="M6516" t="str">
        <f>VLOOKUP(L6516,[1]HBA!$B$2:$C$4000,2,FALSE)</f>
        <v>scf</v>
      </c>
    </row>
    <row r="6517" spans="2:13" x14ac:dyDescent="0.25">
      <c r="B6517" s="31" t="s">
        <v>26303</v>
      </c>
      <c r="C6517" s="25" t="s">
        <v>1213</v>
      </c>
      <c r="D6517" s="25" t="s">
        <v>26232</v>
      </c>
      <c r="E6517" s="25"/>
      <c r="F6517" s="9" t="str">
        <f t="shared" si="94"/>
        <v>structure with developmental contribution from neural crest</v>
      </c>
      <c r="G6517" s="9" t="s">
        <v>5090</v>
      </c>
      <c r="H6517" s="9" t="s">
        <v>23649</v>
      </c>
      <c r="I6517" s="9" t="s">
        <v>1213</v>
      </c>
      <c r="J6517" s="9" t="s">
        <v>1216</v>
      </c>
      <c r="K6517" s="7" t="s">
        <v>15171</v>
      </c>
      <c r="L6517" s="13">
        <v>265505350</v>
      </c>
      <c r="M6517" t="str">
        <f>VLOOKUP(L6517,[1]HBA!$B$2:$C$4000,2,FALSE)</f>
        <v>sthf</v>
      </c>
    </row>
    <row r="6518" spans="2:13" x14ac:dyDescent="0.25">
      <c r="B6518" s="31" t="s">
        <v>26303</v>
      </c>
      <c r="C6518" s="25" t="s">
        <v>1213</v>
      </c>
      <c r="D6518" s="25" t="s">
        <v>26232</v>
      </c>
      <c r="E6518" s="25"/>
      <c r="F6518" s="9" t="str">
        <f t="shared" si="94"/>
        <v>structure with developmental contribution from neural crest</v>
      </c>
      <c r="G6518" s="9" t="s">
        <v>5090</v>
      </c>
      <c r="H6518" s="9" t="s">
        <v>23649</v>
      </c>
      <c r="I6518" s="9" t="s">
        <v>12016</v>
      </c>
      <c r="J6518" s="9" t="s">
        <v>12017</v>
      </c>
      <c r="K6518" s="7" t="s">
        <v>15171</v>
      </c>
      <c r="L6518" s="13">
        <v>265505354</v>
      </c>
      <c r="M6518" t="str">
        <f>VLOOKUP(L6518,[1]HBA!$B$2:$C$4000,2,FALSE)</f>
        <v>sthf</v>
      </c>
    </row>
    <row r="6519" spans="2:13" x14ac:dyDescent="0.25">
      <c r="B6519" s="31" t="s">
        <v>26303</v>
      </c>
      <c r="C6519" s="25" t="s">
        <v>1213</v>
      </c>
      <c r="D6519" s="25" t="s">
        <v>26232</v>
      </c>
      <c r="E6519" s="25"/>
      <c r="F6519" s="9" t="str">
        <f t="shared" ref="F6519:F6582" si="95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6519" s="9" t="s">
        <v>5090</v>
      </c>
      <c r="H6519" s="9" t="s">
        <v>23649</v>
      </c>
      <c r="I6519" s="9" t="s">
        <v>12018</v>
      </c>
      <c r="J6519" s="9" t="s">
        <v>12019</v>
      </c>
      <c r="K6519" s="7" t="s">
        <v>15171</v>
      </c>
      <c r="L6519" s="13">
        <v>265505358</v>
      </c>
      <c r="M6519" t="str">
        <f>VLOOKUP(L6519,[1]HBA!$B$2:$C$4000,2,FALSE)</f>
        <v>sthf</v>
      </c>
    </row>
    <row r="6520" spans="2:13" x14ac:dyDescent="0.25">
      <c r="B6520" s="31" t="s">
        <v>26303</v>
      </c>
      <c r="C6520" s="25" t="s">
        <v>26278</v>
      </c>
      <c r="D6520" s="25" t="s">
        <v>26232</v>
      </c>
      <c r="E6520" s="25"/>
      <c r="F6520" s="9" t="str">
        <f t="shared" si="95"/>
        <v>structure with developmental contribution from neural crest</v>
      </c>
      <c r="G6520" s="9" t="s">
        <v>5090</v>
      </c>
      <c r="H6520" s="9" t="s">
        <v>23659</v>
      </c>
      <c r="I6520" s="9" t="s">
        <v>1211</v>
      </c>
      <c r="J6520" s="9" t="s">
        <v>1217</v>
      </c>
      <c r="K6520" s="7" t="s">
        <v>15171</v>
      </c>
      <c r="L6520" s="13">
        <v>265505374</v>
      </c>
      <c r="M6520" t="str">
        <f>VLOOKUP(L6520,[1]HBA!$B$2:$C$4000,2,FALSE)</f>
        <v>thf</v>
      </c>
    </row>
    <row r="6521" spans="2:13" x14ac:dyDescent="0.25">
      <c r="B6521" s="31" t="s">
        <v>26303</v>
      </c>
      <c r="C6521" s="25" t="s">
        <v>26037</v>
      </c>
      <c r="D6521" s="25" t="s">
        <v>26232</v>
      </c>
      <c r="E6521" s="25"/>
      <c r="F6521" s="9" t="str">
        <f t="shared" si="95"/>
        <v>structure with developmental contribution from neural crest</v>
      </c>
      <c r="G6521" s="9" t="s">
        <v>5090</v>
      </c>
      <c r="H6521" s="9" t="s">
        <v>24629</v>
      </c>
      <c r="I6521" s="9" t="s">
        <v>3080</v>
      </c>
      <c r="J6521" s="9" t="s">
        <v>3082</v>
      </c>
      <c r="K6521" s="7" t="s">
        <v>15171</v>
      </c>
      <c r="L6521" s="13">
        <v>265505458</v>
      </c>
      <c r="M6521" t="str">
        <f>VLOOKUP(L6521,[1]HBA!$B$2:$C$4000,2,FALSE)</f>
        <v>me5</v>
      </c>
    </row>
    <row r="6522" spans="2:13" x14ac:dyDescent="0.25">
      <c r="B6522" s="31" t="s">
        <v>26303</v>
      </c>
      <c r="C6522" s="25" t="s">
        <v>26037</v>
      </c>
      <c r="D6522" s="25" t="s">
        <v>26232</v>
      </c>
      <c r="E6522" s="25"/>
      <c r="F6522" s="9" t="str">
        <f t="shared" si="95"/>
        <v>structure with developmental contribution from neural crest</v>
      </c>
      <c r="G6522" s="9" t="s">
        <v>5090</v>
      </c>
      <c r="H6522" s="9" t="s">
        <v>24629</v>
      </c>
      <c r="I6522" s="9" t="s">
        <v>12020</v>
      </c>
      <c r="J6522" s="9" t="s">
        <v>12021</v>
      </c>
      <c r="K6522" s="7" t="s">
        <v>15171</v>
      </c>
      <c r="L6522" s="13">
        <v>265505462</v>
      </c>
      <c r="M6522" t="str">
        <f>VLOOKUP(L6522,[1]HBA!$B$2:$C$4000,2,FALSE)</f>
        <v>me5</v>
      </c>
    </row>
    <row r="6523" spans="2:13" x14ac:dyDescent="0.25">
      <c r="B6523" s="31" t="s">
        <v>26303</v>
      </c>
      <c r="C6523" s="25" t="s">
        <v>26037</v>
      </c>
      <c r="D6523" s="25" t="s">
        <v>26232</v>
      </c>
      <c r="E6523" s="25"/>
      <c r="F6523" s="9" t="str">
        <f t="shared" si="95"/>
        <v>structure with developmental contribution from neural crest</v>
      </c>
      <c r="G6523" s="9" t="s">
        <v>5090</v>
      </c>
      <c r="H6523" s="9" t="s">
        <v>24629</v>
      </c>
      <c r="I6523" s="9" t="s">
        <v>12022</v>
      </c>
      <c r="J6523" s="9" t="s">
        <v>12023</v>
      </c>
      <c r="K6523" s="7" t="s">
        <v>15171</v>
      </c>
      <c r="L6523" s="13">
        <v>265505466</v>
      </c>
      <c r="M6523" t="str">
        <f>VLOOKUP(L6523,[1]HBA!$B$2:$C$4000,2,FALSE)</f>
        <v>me5</v>
      </c>
    </row>
    <row r="6524" spans="2:13" x14ac:dyDescent="0.25">
      <c r="B6524" s="37" t="s">
        <v>26303</v>
      </c>
      <c r="C6524" s="25" t="s">
        <v>3895</v>
      </c>
      <c r="D6524" s="25" t="s">
        <v>26232</v>
      </c>
      <c r="E6524" s="25"/>
      <c r="F6524" s="9" t="str">
        <f t="shared" si="95"/>
        <v>structure with developmental contribution from neural crest</v>
      </c>
      <c r="G6524" s="9" t="s">
        <v>5090</v>
      </c>
      <c r="H6524" s="9" t="s">
        <v>24630</v>
      </c>
      <c r="I6524" s="9" t="s">
        <v>3897</v>
      </c>
      <c r="J6524" s="9" t="s">
        <v>3898</v>
      </c>
      <c r="K6524" s="7" t="s">
        <v>15171</v>
      </c>
      <c r="L6524" s="13">
        <v>265505470</v>
      </c>
      <c r="M6524" t="str">
        <f>VLOOKUP(L6524,[1]HBA!$B$2:$C$4000,2,FALSE)</f>
        <v>pncb</v>
      </c>
    </row>
    <row r="6525" spans="2:13" x14ac:dyDescent="0.25">
      <c r="B6525" s="37" t="s">
        <v>26303</v>
      </c>
      <c r="C6525" s="25" t="s">
        <v>3895</v>
      </c>
      <c r="D6525" s="25" t="s">
        <v>26232</v>
      </c>
      <c r="E6525" s="25"/>
      <c r="F6525" s="9" t="str">
        <f t="shared" si="95"/>
        <v>structure with developmental contribution from neural crest</v>
      </c>
      <c r="G6525" s="9" t="s">
        <v>5090</v>
      </c>
      <c r="H6525" s="9" t="s">
        <v>24630</v>
      </c>
      <c r="I6525" s="9" t="s">
        <v>12024</v>
      </c>
      <c r="J6525" s="9" t="s">
        <v>12025</v>
      </c>
      <c r="K6525" s="7" t="s">
        <v>15171</v>
      </c>
      <c r="L6525" s="13">
        <v>265505474</v>
      </c>
      <c r="M6525" t="str">
        <f>VLOOKUP(L6525,[1]HBA!$B$2:$C$4000,2,FALSE)</f>
        <v>pncb</v>
      </c>
    </row>
    <row r="6526" spans="2:13" x14ac:dyDescent="0.25">
      <c r="B6526" s="37" t="s">
        <v>26303</v>
      </c>
      <c r="C6526" s="25" t="s">
        <v>3895</v>
      </c>
      <c r="D6526" s="25" t="s">
        <v>26232</v>
      </c>
      <c r="E6526" s="25"/>
      <c r="F6526" s="9" t="str">
        <f t="shared" si="95"/>
        <v>structure with developmental contribution from neural crest</v>
      </c>
      <c r="G6526" s="9" t="s">
        <v>5090</v>
      </c>
      <c r="H6526" s="9" t="s">
        <v>24630</v>
      </c>
      <c r="I6526" s="9" t="s">
        <v>12026</v>
      </c>
      <c r="J6526" s="9" t="s">
        <v>12027</v>
      </c>
      <c r="K6526" s="7" t="s">
        <v>15171</v>
      </c>
      <c r="L6526" s="13">
        <v>265505478</v>
      </c>
      <c r="M6526" t="str">
        <f>VLOOKUP(L6526,[1]HBA!$B$2:$C$4000,2,FALSE)</f>
        <v>pncb</v>
      </c>
    </row>
    <row r="6527" spans="2:13" x14ac:dyDescent="0.25">
      <c r="B6527" s="37" t="s">
        <v>26303</v>
      </c>
      <c r="C6527" s="25" t="s">
        <v>1421</v>
      </c>
      <c r="D6527" s="25" t="s">
        <v>26232</v>
      </c>
      <c r="E6527" s="25"/>
      <c r="F6527" s="9" t="str">
        <f t="shared" si="95"/>
        <v>structure with developmental contribution from neural crest</v>
      </c>
      <c r="G6527" s="9" t="s">
        <v>5090</v>
      </c>
      <c r="H6527" s="9" t="s">
        <v>24120</v>
      </c>
      <c r="I6527" s="9" t="s">
        <v>1423</v>
      </c>
      <c r="J6527" s="9" t="s">
        <v>1424</v>
      </c>
      <c r="K6527" s="7" t="s">
        <v>15171</v>
      </c>
      <c r="L6527" s="13">
        <v>265505482</v>
      </c>
      <c r="M6527" t="str">
        <f>VLOOKUP(L6527,[1]HBA!$B$2:$C$4000,2,FALSE)</f>
        <v>xscp</v>
      </c>
    </row>
    <row r="6528" spans="2:13" x14ac:dyDescent="0.25">
      <c r="B6528" s="31" t="s">
        <v>26303</v>
      </c>
      <c r="C6528" s="25" t="s">
        <v>25891</v>
      </c>
      <c r="D6528" s="25" t="s">
        <v>26232</v>
      </c>
      <c r="E6528" s="25"/>
      <c r="F6528" s="9" t="str">
        <f t="shared" si="95"/>
        <v>structure with developmental contribution from neural crest</v>
      </c>
      <c r="G6528" s="9" t="s">
        <v>5090</v>
      </c>
      <c r="H6528" s="9" t="s">
        <v>24601</v>
      </c>
      <c r="I6528" s="9" t="s">
        <v>1367</v>
      </c>
      <c r="J6528" s="9" t="s">
        <v>1368</v>
      </c>
      <c r="K6528" s="7" t="s">
        <v>15171</v>
      </c>
      <c r="L6528" s="13">
        <v>265505490</v>
      </c>
      <c r="M6528" t="str">
        <f>VLOOKUP(L6528,[1]HBA!$B$2:$C$4000,2,FALSE)</f>
        <v>cpn</v>
      </c>
    </row>
    <row r="6529" spans="2:13" x14ac:dyDescent="0.25">
      <c r="B6529" s="31" t="s">
        <v>26303</v>
      </c>
      <c r="C6529" s="25" t="s">
        <v>25891</v>
      </c>
      <c r="D6529" s="25" t="s">
        <v>26232</v>
      </c>
      <c r="E6529" s="25"/>
      <c r="F6529" s="9" t="str">
        <f t="shared" si="95"/>
        <v>structure with developmental contribution from neural crest</v>
      </c>
      <c r="G6529" s="9" t="s">
        <v>5090</v>
      </c>
      <c r="H6529" s="9" t="s">
        <v>24601</v>
      </c>
      <c r="I6529" s="9" t="s">
        <v>12028</v>
      </c>
      <c r="J6529" s="9" t="s">
        <v>12029</v>
      </c>
      <c r="K6529" s="7" t="s">
        <v>15171</v>
      </c>
      <c r="L6529" s="13">
        <v>265505494</v>
      </c>
      <c r="M6529" t="str">
        <f>VLOOKUP(L6529,[1]HBA!$B$2:$C$4000,2,FALSE)</f>
        <v>cpn</v>
      </c>
    </row>
    <row r="6530" spans="2:13" x14ac:dyDescent="0.25">
      <c r="B6530" s="31" t="s">
        <v>26303</v>
      </c>
      <c r="C6530" s="25" t="s">
        <v>25891</v>
      </c>
      <c r="D6530" s="25" t="s">
        <v>26232</v>
      </c>
      <c r="E6530" s="25"/>
      <c r="F6530" s="9" t="str">
        <f t="shared" si="95"/>
        <v>structure with developmental contribution from neural crest</v>
      </c>
      <c r="G6530" s="9" t="s">
        <v>5090</v>
      </c>
      <c r="H6530" s="9" t="s">
        <v>24601</v>
      </c>
      <c r="I6530" s="9" t="s">
        <v>12030</v>
      </c>
      <c r="J6530" s="9" t="s">
        <v>12031</v>
      </c>
      <c r="K6530" s="7" t="s">
        <v>15171</v>
      </c>
      <c r="L6530" s="13">
        <v>265505498</v>
      </c>
      <c r="M6530" t="str">
        <f>VLOOKUP(L6530,[1]HBA!$B$2:$C$4000,2,FALSE)</f>
        <v>cpn</v>
      </c>
    </row>
    <row r="6531" spans="2:13" x14ac:dyDescent="0.25">
      <c r="B6531" s="31" t="s">
        <v>26303</v>
      </c>
      <c r="C6531" s="25" t="s">
        <v>26005</v>
      </c>
      <c r="D6531" s="25" t="s">
        <v>26232</v>
      </c>
      <c r="E6531" s="25"/>
      <c r="F6531" s="9" t="str">
        <f t="shared" si="95"/>
        <v>structure with developmental contribution from neural crest</v>
      </c>
      <c r="G6531" s="9" t="s">
        <v>5090</v>
      </c>
      <c r="H6531" s="9" t="s">
        <v>24626</v>
      </c>
      <c r="I6531" s="9" t="s">
        <v>2809</v>
      </c>
      <c r="J6531" s="9" t="s">
        <v>2811</v>
      </c>
      <c r="K6531" s="7" t="s">
        <v>15171</v>
      </c>
      <c r="L6531" s="13">
        <v>265505502</v>
      </c>
      <c r="M6531" t="str">
        <f>VLOOKUP(L6531,[1]HBA!$B$2:$C$4000,2,FALSE)</f>
        <v>lfpn</v>
      </c>
    </row>
    <row r="6532" spans="2:13" x14ac:dyDescent="0.25">
      <c r="B6532" s="31" t="s">
        <v>26303</v>
      </c>
      <c r="C6532" s="25" t="s">
        <v>26005</v>
      </c>
      <c r="D6532" s="25" t="s">
        <v>26232</v>
      </c>
      <c r="E6532" s="25"/>
      <c r="F6532" s="9" t="str">
        <f t="shared" si="95"/>
        <v>structure with developmental contribution from neural crest</v>
      </c>
      <c r="G6532" s="9" t="s">
        <v>5090</v>
      </c>
      <c r="H6532" s="9" t="s">
        <v>24626</v>
      </c>
      <c r="I6532" s="9" t="s">
        <v>12032</v>
      </c>
      <c r="J6532" s="9" t="s">
        <v>12033</v>
      </c>
      <c r="K6532" s="7" t="s">
        <v>15171</v>
      </c>
      <c r="L6532" s="13">
        <v>265505506</v>
      </c>
      <c r="M6532" t="str">
        <f>VLOOKUP(L6532,[1]HBA!$B$2:$C$4000,2,FALSE)</f>
        <v>lfpn</v>
      </c>
    </row>
    <row r="6533" spans="2:13" x14ac:dyDescent="0.25">
      <c r="B6533" s="31" t="s">
        <v>26303</v>
      </c>
      <c r="C6533" s="25" t="s">
        <v>26005</v>
      </c>
      <c r="D6533" s="25" t="s">
        <v>26232</v>
      </c>
      <c r="E6533" s="25"/>
      <c r="F6533" s="9" t="str">
        <f t="shared" si="95"/>
        <v>structure with developmental contribution from neural crest</v>
      </c>
      <c r="G6533" s="9" t="s">
        <v>5090</v>
      </c>
      <c r="H6533" s="9" t="s">
        <v>24626</v>
      </c>
      <c r="I6533" s="9" t="s">
        <v>12034</v>
      </c>
      <c r="J6533" s="9" t="s">
        <v>12035</v>
      </c>
      <c r="K6533" s="7" t="s">
        <v>15171</v>
      </c>
      <c r="L6533" s="13">
        <v>265505510</v>
      </c>
      <c r="M6533" t="str">
        <f>VLOOKUP(L6533,[1]HBA!$B$2:$C$4000,2,FALSE)</f>
        <v>lfpn</v>
      </c>
    </row>
    <row r="6534" spans="2:13" x14ac:dyDescent="0.25">
      <c r="B6534" s="31" t="s">
        <v>26303</v>
      </c>
      <c r="C6534" s="25" t="s">
        <v>3464</v>
      </c>
      <c r="D6534" s="25" t="s">
        <v>26185</v>
      </c>
      <c r="E6534" s="25" t="s">
        <v>26300</v>
      </c>
      <c r="F6534" s="9" t="str">
        <f t="shared" si="95"/>
        <v>structure with developmental contribution from neural crest</v>
      </c>
      <c r="G6534" s="9" t="s">
        <v>5090</v>
      </c>
      <c r="H6534" s="9" t="s">
        <v>18468</v>
      </c>
      <c r="I6534" s="9" t="s">
        <v>12036</v>
      </c>
      <c r="J6534" s="9" t="s">
        <v>12037</v>
      </c>
      <c r="K6534" s="7" t="s">
        <v>15171</v>
      </c>
      <c r="L6534" s="13">
        <v>265505522</v>
      </c>
      <c r="M6534" t="str">
        <f>VLOOKUP(L6534,[1]HBA!$B$2:$C$4000,2,FALSE)</f>
        <v>lot</v>
      </c>
    </row>
    <row r="6535" spans="2:13" x14ac:dyDescent="0.25">
      <c r="B6535" s="31" t="s">
        <v>26303</v>
      </c>
      <c r="C6535" s="25" t="s">
        <v>3464</v>
      </c>
      <c r="D6535" s="25" t="s">
        <v>26185</v>
      </c>
      <c r="E6535" s="25" t="s">
        <v>26300</v>
      </c>
      <c r="F6535" s="9" t="str">
        <f t="shared" si="95"/>
        <v>structure with developmental contribution from neural crest</v>
      </c>
      <c r="G6535" s="9" t="s">
        <v>5090</v>
      </c>
      <c r="H6535" s="9" t="s">
        <v>18476</v>
      </c>
      <c r="I6535" s="9" t="s">
        <v>12038</v>
      </c>
      <c r="J6535" s="9" t="s">
        <v>12039</v>
      </c>
      <c r="K6535" s="7" t="s">
        <v>15171</v>
      </c>
      <c r="L6535" s="13">
        <v>265505526</v>
      </c>
      <c r="M6535" t="str">
        <f>VLOOKUP(L6535,[1]HBA!$B$2:$C$4000,2,FALSE)</f>
        <v>mot</v>
      </c>
    </row>
    <row r="6536" spans="2:13" x14ac:dyDescent="0.25">
      <c r="B6536" s="31" t="s">
        <v>26303</v>
      </c>
      <c r="C6536" s="20"/>
      <c r="D6536" s="25" t="s">
        <v>26185</v>
      </c>
      <c r="E6536" s="25" t="s">
        <v>26300</v>
      </c>
      <c r="F6536" s="9" t="str">
        <f t="shared" si="95"/>
        <v>structure with developmental contribution from neural crest</v>
      </c>
      <c r="G6536" s="9" t="s">
        <v>5090</v>
      </c>
      <c r="H6536" s="9" t="s">
        <v>23655</v>
      </c>
      <c r="I6536" s="9" t="s">
        <v>12040</v>
      </c>
      <c r="J6536" s="9" t="s">
        <v>12041</v>
      </c>
      <c r="K6536" s="7" t="s">
        <v>15171</v>
      </c>
      <c r="L6536" s="13">
        <v>265505530</v>
      </c>
      <c r="M6536" t="str">
        <f>VLOOKUP(L6536,[1]HBA!$B$2:$C$4000,2,FALSE)</f>
        <v>sox</v>
      </c>
    </row>
    <row r="6537" spans="2:13" x14ac:dyDescent="0.25">
      <c r="B6537" s="31" t="s">
        <v>26303</v>
      </c>
      <c r="C6537" s="20"/>
      <c r="D6537" s="25" t="s">
        <v>26185</v>
      </c>
      <c r="E6537" s="25" t="s">
        <v>26300</v>
      </c>
      <c r="F6537" s="9" t="str">
        <f t="shared" si="95"/>
        <v>structure with developmental contribution from neural crest</v>
      </c>
      <c r="G6537" s="9" t="s">
        <v>5090</v>
      </c>
      <c r="H6537" s="9" t="s">
        <v>23655</v>
      </c>
      <c r="I6537" s="9" t="s">
        <v>12042</v>
      </c>
      <c r="J6537" s="9" t="s">
        <v>12043</v>
      </c>
      <c r="K6537" s="7" t="s">
        <v>15171</v>
      </c>
      <c r="L6537" s="13">
        <v>265505534</v>
      </c>
      <c r="M6537" t="str">
        <f>VLOOKUP(L6537,[1]HBA!$B$2:$C$4000,2,FALSE)</f>
        <v>sox</v>
      </c>
    </row>
    <row r="6538" spans="2:13" x14ac:dyDescent="0.25">
      <c r="B6538" s="31" t="s">
        <v>26303</v>
      </c>
      <c r="C6538" s="25" t="s">
        <v>25773</v>
      </c>
      <c r="D6538" s="25" t="s">
        <v>26232</v>
      </c>
      <c r="E6538" s="25"/>
      <c r="F6538" s="9" t="str">
        <f t="shared" si="95"/>
        <v>structure with developmental contribution from neural crest</v>
      </c>
      <c r="G6538" s="9" t="s">
        <v>5090</v>
      </c>
      <c r="H6538" s="9" t="s">
        <v>24598</v>
      </c>
      <c r="I6538" s="9" t="s">
        <v>12044</v>
      </c>
      <c r="J6538" s="9" t="s">
        <v>12045</v>
      </c>
      <c r="K6538" s="7" t="s">
        <v>15171</v>
      </c>
      <c r="L6538" s="13">
        <v>265505542</v>
      </c>
      <c r="M6538" t="str">
        <f>VLOOKUP(L6538,[1]HBA!$B$2:$C$4000,2,FALSE)</f>
        <v>ami</v>
      </c>
    </row>
    <row r="6539" spans="2:13" x14ac:dyDescent="0.25">
      <c r="B6539" s="31" t="s">
        <v>26303</v>
      </c>
      <c r="C6539" s="25" t="s">
        <v>25773</v>
      </c>
      <c r="D6539" s="25" t="s">
        <v>26232</v>
      </c>
      <c r="E6539" s="25"/>
      <c r="F6539" s="9" t="str">
        <f t="shared" si="95"/>
        <v>structure with developmental contribution from neural crest</v>
      </c>
      <c r="G6539" s="9" t="s">
        <v>5090</v>
      </c>
      <c r="H6539" s="9" t="s">
        <v>24598</v>
      </c>
      <c r="I6539" s="9" t="s">
        <v>12046</v>
      </c>
      <c r="J6539" s="9" t="s">
        <v>12047</v>
      </c>
      <c r="K6539" s="7" t="s">
        <v>15171</v>
      </c>
      <c r="L6539" s="13">
        <v>265505546</v>
      </c>
      <c r="M6539" t="str">
        <f>VLOOKUP(L6539,[1]HBA!$B$2:$C$4000,2,FALSE)</f>
        <v>ami</v>
      </c>
    </row>
    <row r="6540" spans="2:13" x14ac:dyDescent="0.25">
      <c r="B6540" s="31" t="s">
        <v>26303</v>
      </c>
      <c r="C6540" s="25" t="s">
        <v>1389</v>
      </c>
      <c r="D6540" s="25" t="s">
        <v>26232</v>
      </c>
      <c r="E6540" s="25"/>
      <c r="F6540" s="9" t="str">
        <f t="shared" si="95"/>
        <v>structure with developmental contribution from neural crest</v>
      </c>
      <c r="G6540" s="9" t="s">
        <v>5090</v>
      </c>
      <c r="H6540" s="9" t="s">
        <v>20778</v>
      </c>
      <c r="I6540" s="9" t="s">
        <v>1389</v>
      </c>
      <c r="J6540" s="9" t="s">
        <v>1391</v>
      </c>
      <c r="K6540" s="7" t="s">
        <v>15171</v>
      </c>
      <c r="L6540" s="13">
        <v>265505550</v>
      </c>
      <c r="M6540" t="str">
        <f>VLOOKUP(L6540,[1]HBA!$B$2:$C$4000,2,FALSE)</f>
        <v>cuf</v>
      </c>
    </row>
    <row r="6541" spans="2:13" x14ac:dyDescent="0.25">
      <c r="B6541" s="31" t="s">
        <v>26303</v>
      </c>
      <c r="C6541" s="25" t="s">
        <v>1389</v>
      </c>
      <c r="D6541" s="25" t="s">
        <v>26232</v>
      </c>
      <c r="E6541" s="25"/>
      <c r="F6541" s="9" t="str">
        <f t="shared" si="95"/>
        <v>structure with developmental contribution from neural crest</v>
      </c>
      <c r="G6541" s="9" t="s">
        <v>5090</v>
      </c>
      <c r="H6541" s="9" t="s">
        <v>20778</v>
      </c>
      <c r="I6541" s="9" t="s">
        <v>12048</v>
      </c>
      <c r="J6541" s="9" t="s">
        <v>12049</v>
      </c>
      <c r="K6541" s="7" t="s">
        <v>15171</v>
      </c>
      <c r="L6541" s="13">
        <v>265505554</v>
      </c>
      <c r="M6541" t="str">
        <f>VLOOKUP(L6541,[1]HBA!$B$2:$C$4000,2,FALSE)</f>
        <v>cuf</v>
      </c>
    </row>
    <row r="6542" spans="2:13" x14ac:dyDescent="0.25">
      <c r="B6542" s="31" t="s">
        <v>26303</v>
      </c>
      <c r="C6542" s="25" t="s">
        <v>1389</v>
      </c>
      <c r="D6542" s="25" t="s">
        <v>26232</v>
      </c>
      <c r="E6542" s="25"/>
      <c r="F6542" s="9" t="str">
        <f t="shared" si="95"/>
        <v>structure with developmental contribution from neural crest</v>
      </c>
      <c r="G6542" s="9" t="s">
        <v>5090</v>
      </c>
      <c r="H6542" s="9" t="s">
        <v>20778</v>
      </c>
      <c r="I6542" s="9" t="s">
        <v>12050</v>
      </c>
      <c r="J6542" s="9" t="s">
        <v>12051</v>
      </c>
      <c r="K6542" s="7" t="s">
        <v>15171</v>
      </c>
      <c r="L6542" s="13">
        <v>265505558</v>
      </c>
      <c r="M6542" t="str">
        <f>VLOOKUP(L6542,[1]HBA!$B$2:$C$4000,2,FALSE)</f>
        <v>cuf</v>
      </c>
    </row>
    <row r="6543" spans="2:13" x14ac:dyDescent="0.25">
      <c r="B6543" s="31" t="s">
        <v>26303</v>
      </c>
      <c r="C6543" s="25" t="s">
        <v>1357</v>
      </c>
      <c r="D6543" s="25" t="s">
        <v>26232</v>
      </c>
      <c r="E6543" s="25"/>
      <c r="F6543" s="9" t="str">
        <f t="shared" si="95"/>
        <v>structure with developmental contribution from neural crest</v>
      </c>
      <c r="G6543" s="9" t="s">
        <v>5090</v>
      </c>
      <c r="H6543" s="9" t="s">
        <v>24634</v>
      </c>
      <c r="I6543" s="9" t="s">
        <v>12052</v>
      </c>
      <c r="J6543" s="9" t="s">
        <v>12053</v>
      </c>
      <c r="K6543" s="7" t="s">
        <v>15171</v>
      </c>
      <c r="L6543" s="13">
        <v>265505562</v>
      </c>
      <c r="M6543" t="str">
        <f>VLOOKUP(L6543,[1]HBA!$B$2:$C$4000,2,FALSE)</f>
        <v>cbu-h</v>
      </c>
    </row>
    <row r="6544" spans="2:13" x14ac:dyDescent="0.25">
      <c r="B6544" s="31" t="s">
        <v>26303</v>
      </c>
      <c r="C6544" s="25" t="s">
        <v>1357</v>
      </c>
      <c r="D6544" s="25" t="s">
        <v>26232</v>
      </c>
      <c r="E6544" s="25"/>
      <c r="F6544" s="9" t="str">
        <f t="shared" si="95"/>
        <v>structure with developmental contribution from neural crest</v>
      </c>
      <c r="G6544" s="9" t="s">
        <v>5090</v>
      </c>
      <c r="H6544" s="9" t="s">
        <v>24634</v>
      </c>
      <c r="I6544" s="9" t="s">
        <v>12054</v>
      </c>
      <c r="J6544" s="9" t="s">
        <v>12055</v>
      </c>
      <c r="K6544" s="7" t="s">
        <v>15171</v>
      </c>
      <c r="L6544" s="13">
        <v>265505566</v>
      </c>
      <c r="M6544" t="str">
        <f>VLOOKUP(L6544,[1]HBA!$B$2:$C$4000,2,FALSE)</f>
        <v>cbu-h</v>
      </c>
    </row>
    <row r="6545" spans="2:13" x14ac:dyDescent="0.25">
      <c r="B6545" s="31" t="s">
        <v>26303</v>
      </c>
      <c r="C6545" s="25" t="s">
        <v>1357</v>
      </c>
      <c r="D6545" s="25" t="s">
        <v>26232</v>
      </c>
      <c r="E6545" s="25"/>
      <c r="F6545" s="9" t="str">
        <f t="shared" si="95"/>
        <v>structure with developmental contribution from neural crest</v>
      </c>
      <c r="G6545" s="9" t="s">
        <v>5090</v>
      </c>
      <c r="H6545" s="9" t="s">
        <v>24634</v>
      </c>
      <c r="I6545" s="9" t="s">
        <v>12056</v>
      </c>
      <c r="J6545" s="9" t="s">
        <v>12057</v>
      </c>
      <c r="K6545" s="7" t="s">
        <v>15171</v>
      </c>
      <c r="L6545" s="13">
        <v>265505570</v>
      </c>
      <c r="M6545" t="str">
        <f>VLOOKUP(L6545,[1]HBA!$B$2:$C$4000,2,FALSE)</f>
        <v>cbu-h</v>
      </c>
    </row>
    <row r="6546" spans="2:13" x14ac:dyDescent="0.25">
      <c r="B6546" s="31" t="s">
        <v>26303</v>
      </c>
      <c r="C6546" s="25" t="s">
        <v>1370</v>
      </c>
      <c r="D6546" s="25" t="s">
        <v>26232</v>
      </c>
      <c r="E6546" s="25"/>
      <c r="F6546" s="9" t="str">
        <f t="shared" si="95"/>
        <v>structure with developmental contribution from neural crest</v>
      </c>
      <c r="G6546" s="9" t="s">
        <v>5090</v>
      </c>
      <c r="H6546" s="9" t="s">
        <v>18445</v>
      </c>
      <c r="I6546" s="9" t="s">
        <v>1370</v>
      </c>
      <c r="J6546" s="9" t="s">
        <v>1373</v>
      </c>
      <c r="K6546" s="7" t="s">
        <v>15171</v>
      </c>
      <c r="L6546" s="13">
        <v>265505574</v>
      </c>
      <c r="M6546" t="str">
        <f>VLOOKUP(L6546,[1]HBA!$B$2:$C$4000,2,FALSE)</f>
        <v>csp</v>
      </c>
    </row>
    <row r="6547" spans="2:13" x14ac:dyDescent="0.25">
      <c r="B6547" s="31" t="s">
        <v>26303</v>
      </c>
      <c r="C6547" s="25" t="s">
        <v>1370</v>
      </c>
      <c r="D6547" s="25" t="s">
        <v>26232</v>
      </c>
      <c r="E6547" s="25"/>
      <c r="F6547" s="9" t="str">
        <f t="shared" si="95"/>
        <v>structure with developmental contribution from neural crest</v>
      </c>
      <c r="G6547" s="9" t="s">
        <v>5090</v>
      </c>
      <c r="H6547" s="9" t="s">
        <v>18445</v>
      </c>
      <c r="I6547" s="9" t="s">
        <v>12058</v>
      </c>
      <c r="J6547" s="9" t="s">
        <v>12059</v>
      </c>
      <c r="K6547" s="7" t="s">
        <v>15171</v>
      </c>
      <c r="L6547" s="13">
        <v>265505578</v>
      </c>
      <c r="M6547" t="str">
        <f>VLOOKUP(L6547,[1]HBA!$B$2:$C$4000,2,FALSE)</f>
        <v>csp</v>
      </c>
    </row>
    <row r="6548" spans="2:13" x14ac:dyDescent="0.25">
      <c r="B6548" s="31" t="s">
        <v>26303</v>
      </c>
      <c r="C6548" s="25" t="s">
        <v>1370</v>
      </c>
      <c r="D6548" s="25" t="s">
        <v>26232</v>
      </c>
      <c r="E6548" s="25"/>
      <c r="F6548" s="9" t="str">
        <f t="shared" si="95"/>
        <v>structure with developmental contribution from neural crest</v>
      </c>
      <c r="G6548" s="9" t="s">
        <v>5090</v>
      </c>
      <c r="H6548" s="9" t="s">
        <v>18445</v>
      </c>
      <c r="I6548" s="9" t="s">
        <v>12060</v>
      </c>
      <c r="J6548" s="9" t="s">
        <v>12061</v>
      </c>
      <c r="K6548" s="7" t="s">
        <v>15171</v>
      </c>
      <c r="L6548" s="13">
        <v>265505582</v>
      </c>
      <c r="M6548" t="str">
        <f>VLOOKUP(L6548,[1]HBA!$B$2:$C$4000,2,FALSE)</f>
        <v>csp</v>
      </c>
    </row>
    <row r="6549" spans="2:13" x14ac:dyDescent="0.25">
      <c r="B6549" s="31" t="s">
        <v>26303</v>
      </c>
      <c r="C6549" s="25" t="s">
        <v>1826</v>
      </c>
      <c r="D6549" s="25" t="s">
        <v>26232</v>
      </c>
      <c r="E6549" s="25"/>
      <c r="F6549" s="9" t="str">
        <f t="shared" si="95"/>
        <v>structure with developmental contribution from neural crest</v>
      </c>
      <c r="G6549" s="9" t="s">
        <v>5090</v>
      </c>
      <c r="H6549" s="9" t="s">
        <v>24608</v>
      </c>
      <c r="I6549" s="9" t="s">
        <v>1826</v>
      </c>
      <c r="J6549" s="9" t="s">
        <v>1828</v>
      </c>
      <c r="K6549" s="7" t="s">
        <v>15171</v>
      </c>
      <c r="L6549" s="13">
        <v>265505586</v>
      </c>
      <c r="M6549" t="str">
        <f>VLOOKUP(L6549,[1]HBA!$B$2:$C$4000,2,FALSE)</f>
        <v>gr</v>
      </c>
    </row>
    <row r="6550" spans="2:13" x14ac:dyDescent="0.25">
      <c r="B6550" s="31" t="s">
        <v>26303</v>
      </c>
      <c r="C6550" s="25" t="s">
        <v>1826</v>
      </c>
      <c r="D6550" s="25" t="s">
        <v>26232</v>
      </c>
      <c r="E6550" s="25"/>
      <c r="F6550" s="9" t="str">
        <f t="shared" si="95"/>
        <v>structure with developmental contribution from neural crest</v>
      </c>
      <c r="G6550" s="9" t="s">
        <v>5090</v>
      </c>
      <c r="H6550" s="9" t="s">
        <v>24608</v>
      </c>
      <c r="I6550" s="9" t="s">
        <v>12062</v>
      </c>
      <c r="J6550" s="9" t="s">
        <v>12063</v>
      </c>
      <c r="K6550" s="7" t="s">
        <v>15171</v>
      </c>
      <c r="L6550" s="13">
        <v>265505590</v>
      </c>
      <c r="M6550" t="str">
        <f>VLOOKUP(L6550,[1]HBA!$B$2:$C$4000,2,FALSE)</f>
        <v>gr</v>
      </c>
    </row>
    <row r="6551" spans="2:13" x14ac:dyDescent="0.25">
      <c r="B6551" s="31" t="s">
        <v>26303</v>
      </c>
      <c r="C6551" s="25" t="s">
        <v>1826</v>
      </c>
      <c r="D6551" s="25" t="s">
        <v>26232</v>
      </c>
      <c r="E6551" s="25"/>
      <c r="F6551" s="9" t="str">
        <f t="shared" si="95"/>
        <v>structure with developmental contribution from neural crest</v>
      </c>
      <c r="G6551" s="9" t="s">
        <v>5090</v>
      </c>
      <c r="H6551" s="9" t="s">
        <v>24608</v>
      </c>
      <c r="I6551" s="9" t="s">
        <v>12064</v>
      </c>
      <c r="J6551" s="9" t="s">
        <v>12065</v>
      </c>
      <c r="K6551" s="7" t="s">
        <v>15171</v>
      </c>
      <c r="L6551" s="13">
        <v>265505594</v>
      </c>
      <c r="M6551" t="str">
        <f>VLOOKUP(L6551,[1]HBA!$B$2:$C$4000,2,FALSE)</f>
        <v>gr</v>
      </c>
    </row>
    <row r="6552" spans="2:13" x14ac:dyDescent="0.25">
      <c r="B6552" s="31" t="s">
        <v>26303</v>
      </c>
      <c r="C6552" s="25"/>
      <c r="D6552" s="25" t="s">
        <v>26185</v>
      </c>
      <c r="E6552" s="25" t="s">
        <v>26300</v>
      </c>
      <c r="F6552" s="9" t="str">
        <f t="shared" si="95"/>
        <v>structure with developmental contribution from neural crest</v>
      </c>
      <c r="G6552" s="9" t="s">
        <v>5090</v>
      </c>
      <c r="H6552" s="9" t="s">
        <v>24609</v>
      </c>
      <c r="I6552" s="9" t="s">
        <v>8347</v>
      </c>
      <c r="J6552" s="9" t="s">
        <v>12066</v>
      </c>
      <c r="K6552" s="7" t="s">
        <v>15171</v>
      </c>
      <c r="L6552" s="13">
        <v>265505598</v>
      </c>
      <c r="M6552" t="str">
        <f>VLOOKUP(L6552,[1]HBA!$B$2:$C$4000,2,FALSE)</f>
        <v>hio</v>
      </c>
    </row>
    <row r="6553" spans="2:13" x14ac:dyDescent="0.25">
      <c r="B6553" s="31" t="s">
        <v>26303</v>
      </c>
      <c r="C6553" s="25"/>
      <c r="D6553" s="25" t="s">
        <v>26185</v>
      </c>
      <c r="E6553" s="25" t="s">
        <v>26300</v>
      </c>
      <c r="F6553" s="9" t="str">
        <f t="shared" si="95"/>
        <v>structure with developmental contribution from neural crest</v>
      </c>
      <c r="G6553" s="9" t="s">
        <v>5090</v>
      </c>
      <c r="H6553" s="9" t="s">
        <v>24609</v>
      </c>
      <c r="I6553" s="9" t="s">
        <v>12067</v>
      </c>
      <c r="J6553" s="9" t="s">
        <v>12068</v>
      </c>
      <c r="K6553" s="7" t="s">
        <v>15171</v>
      </c>
      <c r="L6553" s="13">
        <v>265505602</v>
      </c>
      <c r="M6553" t="str">
        <f>VLOOKUP(L6553,[1]HBA!$B$2:$C$4000,2,FALSE)</f>
        <v>hio</v>
      </c>
    </row>
    <row r="6554" spans="2:13" x14ac:dyDescent="0.25">
      <c r="B6554" s="31" t="s">
        <v>26303</v>
      </c>
      <c r="C6554" s="25"/>
      <c r="D6554" s="25" t="s">
        <v>26185</v>
      </c>
      <c r="E6554" s="25" t="s">
        <v>26300</v>
      </c>
      <c r="F6554" s="9" t="str">
        <f t="shared" si="95"/>
        <v>structure with developmental contribution from neural crest</v>
      </c>
      <c r="G6554" s="9" t="s">
        <v>5090</v>
      </c>
      <c r="H6554" s="9" t="s">
        <v>24609</v>
      </c>
      <c r="I6554" s="9" t="s">
        <v>12069</v>
      </c>
      <c r="J6554" s="9" t="s">
        <v>12070</v>
      </c>
      <c r="K6554" s="7" t="s">
        <v>15171</v>
      </c>
      <c r="L6554" s="13">
        <v>265505606</v>
      </c>
      <c r="M6554" t="str">
        <f>VLOOKUP(L6554,[1]HBA!$B$2:$C$4000,2,FALSE)</f>
        <v>hio</v>
      </c>
    </row>
    <row r="6555" spans="2:13" x14ac:dyDescent="0.25">
      <c r="B6555" s="31" t="s">
        <v>26303</v>
      </c>
      <c r="C6555" s="25" t="s">
        <v>25975</v>
      </c>
      <c r="D6555" s="25" t="s">
        <v>26232</v>
      </c>
      <c r="E6555" s="25"/>
      <c r="F6555" s="9" t="str">
        <f t="shared" si="95"/>
        <v>structure with developmental contribution from neural crest</v>
      </c>
      <c r="G6555" s="9" t="s">
        <v>5090</v>
      </c>
      <c r="H6555" s="9" t="s">
        <v>20780</v>
      </c>
      <c r="I6555" s="9" t="s">
        <v>2485</v>
      </c>
      <c r="J6555" s="9" t="s">
        <v>2487</v>
      </c>
      <c r="K6555" s="7" t="s">
        <v>15171</v>
      </c>
      <c r="L6555" s="13">
        <v>265505610</v>
      </c>
      <c r="M6555" t="str">
        <f>VLOOKUP(L6555,[1]HBA!$B$2:$C$4000,2,FALSE)</f>
        <v>iaf</v>
      </c>
    </row>
    <row r="6556" spans="2:13" x14ac:dyDescent="0.25">
      <c r="B6556" s="31" t="s">
        <v>26303</v>
      </c>
      <c r="C6556" s="25" t="s">
        <v>25975</v>
      </c>
      <c r="D6556" s="25" t="s">
        <v>26232</v>
      </c>
      <c r="E6556" s="25"/>
      <c r="F6556" s="9" t="str">
        <f t="shared" si="95"/>
        <v>structure with developmental contribution from neural crest</v>
      </c>
      <c r="G6556" s="9" t="s">
        <v>5090</v>
      </c>
      <c r="H6556" s="9" t="s">
        <v>20780</v>
      </c>
      <c r="I6556" s="9" t="s">
        <v>12071</v>
      </c>
      <c r="J6556" s="9" t="s">
        <v>12072</v>
      </c>
      <c r="K6556" s="7" t="s">
        <v>15171</v>
      </c>
      <c r="L6556" s="13">
        <v>265505614</v>
      </c>
      <c r="M6556" t="str">
        <f>VLOOKUP(L6556,[1]HBA!$B$2:$C$4000,2,FALSE)</f>
        <v>iaf</v>
      </c>
    </row>
    <row r="6557" spans="2:13" x14ac:dyDescent="0.25">
      <c r="B6557" s="31" t="s">
        <v>26303</v>
      </c>
      <c r="C6557" s="25" t="s">
        <v>25975</v>
      </c>
      <c r="D6557" s="25" t="s">
        <v>26232</v>
      </c>
      <c r="E6557" s="25"/>
      <c r="F6557" s="9" t="str">
        <f t="shared" si="95"/>
        <v>structure with developmental contribution from neural crest</v>
      </c>
      <c r="G6557" s="9" t="s">
        <v>5090</v>
      </c>
      <c r="H6557" s="9" t="s">
        <v>20780</v>
      </c>
      <c r="I6557" s="9" t="s">
        <v>12073</v>
      </c>
      <c r="J6557" s="9" t="s">
        <v>12074</v>
      </c>
      <c r="K6557" s="7" t="s">
        <v>15171</v>
      </c>
      <c r="L6557" s="13">
        <v>265505618</v>
      </c>
      <c r="M6557" t="str">
        <f>VLOOKUP(L6557,[1]HBA!$B$2:$C$4000,2,FALSE)</f>
        <v>iaf</v>
      </c>
    </row>
    <row r="6558" spans="2:13" x14ac:dyDescent="0.25">
      <c r="B6558" s="31" t="s">
        <v>26303</v>
      </c>
      <c r="C6558" s="25" t="s">
        <v>1416</v>
      </c>
      <c r="D6558" s="25" t="s">
        <v>26232</v>
      </c>
      <c r="E6558" s="25"/>
      <c r="F6558" s="9" t="str">
        <f t="shared" si="95"/>
        <v>structure with developmental contribution from neural crest</v>
      </c>
      <c r="G6558" s="9" t="s">
        <v>5090</v>
      </c>
      <c r="H6558" s="9" t="s">
        <v>24602</v>
      </c>
      <c r="I6558" s="9" t="s">
        <v>1416</v>
      </c>
      <c r="J6558" s="9" t="s">
        <v>1419</v>
      </c>
      <c r="K6558" s="7" t="s">
        <v>15171</v>
      </c>
      <c r="L6558" s="13">
        <v>265505622</v>
      </c>
      <c r="M6558" t="str">
        <f>VLOOKUP(L6558,[1]HBA!$B$2:$C$4000,2,FALSE)</f>
        <v>xml</v>
      </c>
    </row>
    <row r="6559" spans="2:13" x14ac:dyDescent="0.25">
      <c r="B6559" s="31" t="s">
        <v>26303</v>
      </c>
      <c r="C6559" s="25" t="s">
        <v>4980</v>
      </c>
      <c r="D6559" s="25" t="s">
        <v>26232</v>
      </c>
      <c r="E6559" s="25"/>
      <c r="F6559" s="9" t="str">
        <f t="shared" si="95"/>
        <v>structure with developmental contribution from neural crest</v>
      </c>
      <c r="G6559" s="9" t="s">
        <v>5090</v>
      </c>
      <c r="H6559" s="9" t="s">
        <v>18499</v>
      </c>
      <c r="I6559" s="9" t="s">
        <v>4980</v>
      </c>
      <c r="J6559" s="9" t="s">
        <v>4983</v>
      </c>
      <c r="K6559" s="7" t="s">
        <v>15171</v>
      </c>
      <c r="L6559" s="13">
        <v>265505626</v>
      </c>
      <c r="M6559" t="str">
        <f>VLOOKUP(L6559,[1]HBA!$B$2:$C$4000,2,FALSE)</f>
        <v>sol</v>
      </c>
    </row>
    <row r="6560" spans="2:13" x14ac:dyDescent="0.25">
      <c r="B6560" s="31" t="s">
        <v>26303</v>
      </c>
      <c r="C6560" s="25" t="s">
        <v>4980</v>
      </c>
      <c r="D6560" s="25" t="s">
        <v>26232</v>
      </c>
      <c r="E6560" s="25"/>
      <c r="F6560" s="9" t="str">
        <f t="shared" si="95"/>
        <v>structure with developmental contribution from neural crest</v>
      </c>
      <c r="G6560" s="9" t="s">
        <v>5090</v>
      </c>
      <c r="H6560" s="9" t="s">
        <v>18499</v>
      </c>
      <c r="I6560" s="9" t="s">
        <v>12075</v>
      </c>
      <c r="J6560" s="9" t="s">
        <v>12076</v>
      </c>
      <c r="K6560" s="7" t="s">
        <v>15171</v>
      </c>
      <c r="L6560" s="13">
        <v>265505630</v>
      </c>
      <c r="M6560" t="str">
        <f>VLOOKUP(L6560,[1]HBA!$B$2:$C$4000,2,FALSE)</f>
        <v>sol</v>
      </c>
    </row>
    <row r="6561" spans="2:13" x14ac:dyDescent="0.25">
      <c r="B6561" s="31" t="s">
        <v>26303</v>
      </c>
      <c r="C6561" s="25" t="s">
        <v>4980</v>
      </c>
      <c r="D6561" s="25" t="s">
        <v>26232</v>
      </c>
      <c r="E6561" s="25"/>
      <c r="F6561" s="9" t="str">
        <f t="shared" si="95"/>
        <v>structure with developmental contribution from neural crest</v>
      </c>
      <c r="G6561" s="9" t="s">
        <v>5090</v>
      </c>
      <c r="H6561" s="9" t="s">
        <v>18499</v>
      </c>
      <c r="I6561" s="9" t="s">
        <v>12077</v>
      </c>
      <c r="J6561" s="9" t="s">
        <v>12078</v>
      </c>
      <c r="K6561" s="7" t="s">
        <v>15171</v>
      </c>
      <c r="L6561" s="13">
        <v>265505634</v>
      </c>
      <c r="M6561" t="str">
        <f>VLOOKUP(L6561,[1]HBA!$B$2:$C$4000,2,FALSE)</f>
        <v>sol</v>
      </c>
    </row>
    <row r="6562" spans="2:13" x14ac:dyDescent="0.25">
      <c r="B6562" s="31" t="s">
        <v>26303</v>
      </c>
      <c r="C6562" s="25" t="s">
        <v>2247</v>
      </c>
      <c r="D6562" s="25" t="s">
        <v>26232</v>
      </c>
      <c r="E6562" s="25"/>
      <c r="F6562" s="9" t="str">
        <f t="shared" si="95"/>
        <v>structure with developmental contribution from neural crest</v>
      </c>
      <c r="G6562" s="9" t="s">
        <v>5090</v>
      </c>
      <c r="H6562" s="9" t="s">
        <v>24643</v>
      </c>
      <c r="I6562" s="9" t="s">
        <v>7792</v>
      </c>
      <c r="J6562" s="9" t="s">
        <v>12079</v>
      </c>
      <c r="K6562" s="7" t="s">
        <v>15171</v>
      </c>
      <c r="L6562" s="13">
        <v>265505638</v>
      </c>
      <c r="M6562" t="str">
        <f>VLOOKUP(L6562,[1]HBA!$B$2:$C$4000,2,FALSE)</f>
        <v>slh</v>
      </c>
    </row>
    <row r="6563" spans="2:13" x14ac:dyDescent="0.25">
      <c r="B6563" s="31" t="s">
        <v>26303</v>
      </c>
      <c r="C6563" s="25" t="s">
        <v>2247</v>
      </c>
      <c r="D6563" s="25" t="s">
        <v>26232</v>
      </c>
      <c r="E6563" s="25"/>
      <c r="F6563" s="9" t="str">
        <f t="shared" si="95"/>
        <v>structure with developmental contribution from neural crest</v>
      </c>
      <c r="G6563" s="9" t="s">
        <v>5090</v>
      </c>
      <c r="H6563" s="9" t="s">
        <v>24643</v>
      </c>
      <c r="I6563" s="9" t="s">
        <v>12080</v>
      </c>
      <c r="J6563" s="9" t="s">
        <v>12081</v>
      </c>
      <c r="K6563" s="7" t="s">
        <v>15171</v>
      </c>
      <c r="L6563" s="13">
        <v>265505642</v>
      </c>
      <c r="M6563" t="str">
        <f>VLOOKUP(L6563,[1]HBA!$B$2:$C$4000,2,FALSE)</f>
        <v>slh</v>
      </c>
    </row>
    <row r="6564" spans="2:13" x14ac:dyDescent="0.25">
      <c r="B6564" s="31" t="s">
        <v>26303</v>
      </c>
      <c r="C6564" s="25" t="s">
        <v>2247</v>
      </c>
      <c r="D6564" s="25" t="s">
        <v>26232</v>
      </c>
      <c r="E6564" s="25"/>
      <c r="F6564" s="9" t="str">
        <f t="shared" si="95"/>
        <v>structure with developmental contribution from neural crest</v>
      </c>
      <c r="G6564" s="9" t="s">
        <v>5090</v>
      </c>
      <c r="H6564" s="9" t="s">
        <v>24643</v>
      </c>
      <c r="I6564" s="9" t="s">
        <v>12082</v>
      </c>
      <c r="J6564" s="9" t="s">
        <v>12083</v>
      </c>
      <c r="K6564" s="7" t="s">
        <v>15171</v>
      </c>
      <c r="L6564" s="13">
        <v>265505646</v>
      </c>
      <c r="M6564" t="str">
        <f>VLOOKUP(L6564,[1]HBA!$B$2:$C$4000,2,FALSE)</f>
        <v>slh</v>
      </c>
    </row>
    <row r="6565" spans="2:13" x14ac:dyDescent="0.25">
      <c r="B6565" s="31" t="s">
        <v>26303</v>
      </c>
      <c r="C6565" s="25" t="s">
        <v>5001</v>
      </c>
      <c r="D6565" s="25" t="s">
        <v>26232</v>
      </c>
      <c r="E6565" s="25"/>
      <c r="F6565" s="9" t="str">
        <f t="shared" si="95"/>
        <v>structure with developmental contribution from neural crest</v>
      </c>
      <c r="G6565" s="9" t="s">
        <v>5090</v>
      </c>
      <c r="H6565" s="9" t="s">
        <v>18500</v>
      </c>
      <c r="I6565" s="9" t="s">
        <v>5001</v>
      </c>
      <c r="J6565" s="9" t="s">
        <v>5003</v>
      </c>
      <c r="K6565" s="7" t="s">
        <v>15171</v>
      </c>
      <c r="L6565" s="13">
        <v>265505650</v>
      </c>
      <c r="M6565" t="str">
        <f>VLOOKUP(L6565,[1]HBA!$B$2:$C$4000,2,FALSE)</f>
        <v>sp5</v>
      </c>
    </row>
    <row r="6566" spans="2:13" x14ac:dyDescent="0.25">
      <c r="B6566" s="31" t="s">
        <v>26303</v>
      </c>
      <c r="C6566" s="25" t="s">
        <v>5001</v>
      </c>
      <c r="D6566" s="25" t="s">
        <v>26232</v>
      </c>
      <c r="E6566" s="25"/>
      <c r="F6566" s="9" t="str">
        <f t="shared" si="95"/>
        <v>structure with developmental contribution from neural crest</v>
      </c>
      <c r="G6566" s="9" t="s">
        <v>5090</v>
      </c>
      <c r="H6566" s="9" t="s">
        <v>18500</v>
      </c>
      <c r="I6566" s="9" t="s">
        <v>12084</v>
      </c>
      <c r="J6566" s="9" t="s">
        <v>12085</v>
      </c>
      <c r="K6566" s="7" t="s">
        <v>15171</v>
      </c>
      <c r="L6566" s="13">
        <v>265505654</v>
      </c>
      <c r="M6566" t="str">
        <f>VLOOKUP(L6566,[1]HBA!$B$2:$C$4000,2,FALSE)</f>
        <v>sp5</v>
      </c>
    </row>
    <row r="6567" spans="2:13" x14ac:dyDescent="0.25">
      <c r="B6567" s="31" t="s">
        <v>26303</v>
      </c>
      <c r="C6567" s="25" t="s">
        <v>5001</v>
      </c>
      <c r="D6567" s="25" t="s">
        <v>26232</v>
      </c>
      <c r="E6567" s="25"/>
      <c r="F6567" s="9" t="str">
        <f t="shared" si="95"/>
        <v>structure with developmental contribution from neural crest</v>
      </c>
      <c r="G6567" s="9" t="s">
        <v>5090</v>
      </c>
      <c r="H6567" s="9" t="s">
        <v>18500</v>
      </c>
      <c r="I6567" s="9" t="s">
        <v>12086</v>
      </c>
      <c r="J6567" s="9" t="s">
        <v>12087</v>
      </c>
      <c r="K6567" s="7" t="s">
        <v>15171</v>
      </c>
      <c r="L6567" s="13">
        <v>265505658</v>
      </c>
      <c r="M6567" t="str">
        <f>VLOOKUP(L6567,[1]HBA!$B$2:$C$4000,2,FALSE)</f>
        <v>sp5</v>
      </c>
    </row>
    <row r="6568" spans="2:13" x14ac:dyDescent="0.25">
      <c r="B6568" s="31" t="s">
        <v>26303</v>
      </c>
      <c r="C6568" s="25" t="s">
        <v>7806</v>
      </c>
      <c r="D6568" s="25" t="s">
        <v>26232</v>
      </c>
      <c r="E6568" s="25"/>
      <c r="F6568" s="9" t="str">
        <f t="shared" si="95"/>
        <v>structure with developmental contribution from neural crest</v>
      </c>
      <c r="G6568" s="9" t="s">
        <v>5090</v>
      </c>
      <c r="H6568" s="9" t="s">
        <v>18509</v>
      </c>
      <c r="I6568" s="9" t="s">
        <v>7806</v>
      </c>
      <c r="J6568" s="9" t="s">
        <v>12088</v>
      </c>
      <c r="K6568" s="7" t="s">
        <v>15171</v>
      </c>
      <c r="L6568" s="13">
        <v>265505662</v>
      </c>
      <c r="M6568" t="str">
        <f>VLOOKUP(L6568,[1]HBA!$B$2:$C$4000,2,FALSE)</f>
        <v>tsp</v>
      </c>
    </row>
    <row r="6569" spans="2:13" x14ac:dyDescent="0.25">
      <c r="B6569" s="31" t="s">
        <v>26303</v>
      </c>
      <c r="C6569" s="25" t="s">
        <v>7806</v>
      </c>
      <c r="D6569" s="25" t="s">
        <v>26232</v>
      </c>
      <c r="E6569" s="25"/>
      <c r="F6569" s="9" t="str">
        <f t="shared" si="95"/>
        <v>structure with developmental contribution from neural crest</v>
      </c>
      <c r="G6569" s="9" t="s">
        <v>5090</v>
      </c>
      <c r="H6569" s="9" t="s">
        <v>18509</v>
      </c>
      <c r="I6569" s="9" t="s">
        <v>12089</v>
      </c>
      <c r="J6569" s="9" t="s">
        <v>12090</v>
      </c>
      <c r="K6569" s="7" t="s">
        <v>15171</v>
      </c>
      <c r="L6569" s="13">
        <v>265505666</v>
      </c>
      <c r="M6569" t="str">
        <f>VLOOKUP(L6569,[1]HBA!$B$2:$C$4000,2,FALSE)</f>
        <v>tsp</v>
      </c>
    </row>
    <row r="6570" spans="2:13" x14ac:dyDescent="0.25">
      <c r="B6570" s="31" t="s">
        <v>26303</v>
      </c>
      <c r="C6570" s="25" t="s">
        <v>7806</v>
      </c>
      <c r="D6570" s="25" t="s">
        <v>26232</v>
      </c>
      <c r="E6570" s="25"/>
      <c r="F6570" s="9" t="str">
        <f t="shared" si="95"/>
        <v>structure with developmental contribution from neural crest</v>
      </c>
      <c r="G6570" s="9" t="s">
        <v>5090</v>
      </c>
      <c r="H6570" s="9" t="s">
        <v>18509</v>
      </c>
      <c r="I6570" s="9" t="s">
        <v>12091</v>
      </c>
      <c r="J6570" s="9" t="s">
        <v>12092</v>
      </c>
      <c r="K6570" s="7" t="s">
        <v>15171</v>
      </c>
      <c r="L6570" s="13">
        <v>265505670</v>
      </c>
      <c r="M6570" t="str">
        <f>VLOOKUP(L6570,[1]HBA!$B$2:$C$4000,2,FALSE)</f>
        <v>tsp</v>
      </c>
    </row>
    <row r="6571" spans="2:13" x14ac:dyDescent="0.25">
      <c r="B6571" s="31" t="s">
        <v>26303</v>
      </c>
      <c r="C6571" s="20"/>
      <c r="D6571" s="25" t="s">
        <v>26185</v>
      </c>
      <c r="E6571" s="25" t="s">
        <v>26300</v>
      </c>
      <c r="F6571" s="9" t="str">
        <f t="shared" si="95"/>
        <v>structure with developmental contribution from neural crest</v>
      </c>
      <c r="G6571" s="9" t="s">
        <v>5090</v>
      </c>
      <c r="H6571" s="9" t="s">
        <v>18517</v>
      </c>
      <c r="I6571" s="9" t="s">
        <v>7818</v>
      </c>
      <c r="J6571" s="9" t="s">
        <v>12093</v>
      </c>
      <c r="K6571" s="7" t="s">
        <v>15171</v>
      </c>
      <c r="L6571" s="13">
        <v>265505674</v>
      </c>
      <c r="M6571" t="str">
        <f>VLOOKUP(L6571,[1]HBA!$B$2:$C$4000,2,FALSE)</f>
        <v>vtg</v>
      </c>
    </row>
    <row r="6572" spans="2:13" x14ac:dyDescent="0.25">
      <c r="B6572" s="31" t="s">
        <v>26303</v>
      </c>
      <c r="C6572" s="20"/>
      <c r="D6572" s="25" t="s">
        <v>26185</v>
      </c>
      <c r="E6572" s="25" t="s">
        <v>26300</v>
      </c>
      <c r="F6572" s="9" t="str">
        <f t="shared" si="95"/>
        <v>structure with developmental contribution from neural crest</v>
      </c>
      <c r="G6572" s="9" t="s">
        <v>5090</v>
      </c>
      <c r="H6572" s="9" t="s">
        <v>18517</v>
      </c>
      <c r="I6572" s="9" t="s">
        <v>12094</v>
      </c>
      <c r="J6572" s="9" t="s">
        <v>12095</v>
      </c>
      <c r="K6572" s="7" t="s">
        <v>15171</v>
      </c>
      <c r="L6572" s="13">
        <v>265505678</v>
      </c>
      <c r="M6572" t="str">
        <f>VLOOKUP(L6572,[1]HBA!$B$2:$C$4000,2,FALSE)</f>
        <v>vtg</v>
      </c>
    </row>
    <row r="6573" spans="2:13" x14ac:dyDescent="0.25">
      <c r="B6573" s="31" t="s">
        <v>26303</v>
      </c>
      <c r="C6573" s="20"/>
      <c r="D6573" s="25" t="s">
        <v>26185</v>
      </c>
      <c r="E6573" s="25" t="s">
        <v>26300</v>
      </c>
      <c r="F6573" s="9" t="str">
        <f t="shared" si="95"/>
        <v>structure with developmental contribution from neural crest</v>
      </c>
      <c r="G6573" s="9" t="s">
        <v>5090</v>
      </c>
      <c r="H6573" s="9" t="s">
        <v>18517</v>
      </c>
      <c r="I6573" s="9" t="s">
        <v>12096</v>
      </c>
      <c r="J6573" s="9" t="s">
        <v>12097</v>
      </c>
      <c r="K6573" s="7" t="s">
        <v>15171</v>
      </c>
      <c r="L6573" s="13">
        <v>265505682</v>
      </c>
      <c r="M6573" t="str">
        <f>VLOOKUP(L6573,[1]HBA!$B$2:$C$4000,2,FALSE)</f>
        <v>vtg</v>
      </c>
    </row>
    <row r="6574" spans="2:13" x14ac:dyDescent="0.25">
      <c r="B6574" s="31" t="s">
        <v>26303</v>
      </c>
      <c r="C6574" s="20"/>
      <c r="D6574" s="25" t="s">
        <v>26232</v>
      </c>
      <c r="E6574" s="25" t="s">
        <v>26309</v>
      </c>
      <c r="F6574" s="9" t="str">
        <f t="shared" si="95"/>
        <v>structure with developmental contribution from neural crest</v>
      </c>
      <c r="G6574" s="9" t="s">
        <v>5090</v>
      </c>
      <c r="H6574" s="9" t="s">
        <v>24661</v>
      </c>
      <c r="I6574" s="9" t="s">
        <v>7820</v>
      </c>
      <c r="J6574" s="9" t="s">
        <v>12098</v>
      </c>
      <c r="K6574" s="7" t="s">
        <v>15171</v>
      </c>
      <c r="L6574" s="13">
        <v>265505686</v>
      </c>
      <c r="M6574" t="str">
        <f>VLOOKUP(L6574,[1]HBA!$B$2:$C$4000,2,FALSE)</f>
        <v>veme</v>
      </c>
    </row>
    <row r="6575" spans="2:13" x14ac:dyDescent="0.25">
      <c r="B6575" s="31" t="s">
        <v>26303</v>
      </c>
      <c r="C6575" s="20"/>
      <c r="D6575" s="25" t="s">
        <v>26232</v>
      </c>
      <c r="E6575" s="25" t="s">
        <v>26309</v>
      </c>
      <c r="F6575" s="9" t="str">
        <f t="shared" si="95"/>
        <v>structure with developmental contribution from neural crest</v>
      </c>
      <c r="G6575" s="9" t="s">
        <v>5090</v>
      </c>
      <c r="H6575" s="9" t="s">
        <v>24661</v>
      </c>
      <c r="I6575" s="9" t="s">
        <v>12099</v>
      </c>
      <c r="J6575" s="9" t="s">
        <v>12100</v>
      </c>
      <c r="K6575" s="7" t="s">
        <v>15171</v>
      </c>
      <c r="L6575" s="13">
        <v>265505690</v>
      </c>
      <c r="M6575" t="str">
        <f>VLOOKUP(L6575,[1]HBA!$B$2:$C$4000,2,FALSE)</f>
        <v>veme</v>
      </c>
    </row>
    <row r="6576" spans="2:13" x14ac:dyDescent="0.25">
      <c r="B6576" s="31" t="s">
        <v>26303</v>
      </c>
      <c r="C6576" s="20"/>
      <c r="D6576" s="25" t="s">
        <v>26232</v>
      </c>
      <c r="E6576" s="25" t="s">
        <v>26309</v>
      </c>
      <c r="F6576" s="9" t="str">
        <f t="shared" si="95"/>
        <v>structure with developmental contribution from neural crest</v>
      </c>
      <c r="G6576" s="9" t="s">
        <v>5090</v>
      </c>
      <c r="H6576" s="9" t="s">
        <v>24661</v>
      </c>
      <c r="I6576" s="9" t="s">
        <v>12101</v>
      </c>
      <c r="J6576" s="9" t="s">
        <v>12102</v>
      </c>
      <c r="K6576" s="7" t="s">
        <v>15171</v>
      </c>
      <c r="L6576" s="13">
        <v>265505694</v>
      </c>
      <c r="M6576" t="str">
        <f>VLOOKUP(L6576,[1]HBA!$B$2:$C$4000,2,FALSE)</f>
        <v>veme</v>
      </c>
    </row>
    <row r="6577" spans="2:13" x14ac:dyDescent="0.25">
      <c r="B6577" s="31" t="s">
        <v>26303</v>
      </c>
      <c r="C6577" s="20"/>
      <c r="D6577" s="25" t="s">
        <v>26232</v>
      </c>
      <c r="E6577" s="25" t="s">
        <v>26309</v>
      </c>
      <c r="F6577" s="9" t="str">
        <f t="shared" si="95"/>
        <v>structure with developmental contribution from neural crest</v>
      </c>
      <c r="G6577" s="9" t="s">
        <v>5090</v>
      </c>
      <c r="H6577" s="9" t="s">
        <v>15193</v>
      </c>
      <c r="I6577" s="9" t="s">
        <v>12103</v>
      </c>
      <c r="J6577" s="9" t="s">
        <v>12104</v>
      </c>
      <c r="K6577" s="7" t="s">
        <v>15171</v>
      </c>
      <c r="L6577" s="13">
        <v>265505706</v>
      </c>
      <c r="M6577" t="str">
        <f>VLOOKUP(L6577,[1]HBA!$B$2:$C$4000,2,FALSE)</f>
        <v>SP</v>
      </c>
    </row>
    <row r="6578" spans="2:13" x14ac:dyDescent="0.25">
      <c r="B6578" s="31" t="s">
        <v>26303</v>
      </c>
      <c r="C6578" s="20"/>
      <c r="D6578" s="25" t="s">
        <v>26232</v>
      </c>
      <c r="E6578" s="25" t="s">
        <v>26309</v>
      </c>
      <c r="F6578" s="9" t="str">
        <f t="shared" si="95"/>
        <v>structure with developmental contribution from neural crest</v>
      </c>
      <c r="G6578" s="9" t="s">
        <v>5090</v>
      </c>
      <c r="H6578" s="9" t="s">
        <v>24348</v>
      </c>
      <c r="I6578" s="9" t="s">
        <v>7441</v>
      </c>
      <c r="J6578" s="9" t="s">
        <v>12105</v>
      </c>
      <c r="K6578" s="7" t="s">
        <v>15171</v>
      </c>
      <c r="L6578" s="13">
        <v>272788859</v>
      </c>
      <c r="M6578" t="str">
        <f>VLOOKUP(L6578,[1]HBA!$B$2:$C$4000,2,FALSE)</f>
        <v>PnG</v>
      </c>
    </row>
    <row r="6579" spans="2:13" x14ac:dyDescent="0.25">
      <c r="B6579" s="31" t="s">
        <v>26303</v>
      </c>
      <c r="C6579" s="20"/>
      <c r="D6579" s="25" t="s">
        <v>26232</v>
      </c>
      <c r="E6579" s="25" t="s">
        <v>26309</v>
      </c>
      <c r="F6579" s="9" t="str">
        <f t="shared" si="95"/>
        <v>structure with developmental contribution from neural crest</v>
      </c>
      <c r="G6579" s="9" t="s">
        <v>5090</v>
      </c>
      <c r="H6579" s="9" t="s">
        <v>24348</v>
      </c>
      <c r="I6579" s="9" t="s">
        <v>12106</v>
      </c>
      <c r="J6579" s="9" t="s">
        <v>12107</v>
      </c>
      <c r="K6579" s="7" t="s">
        <v>15171</v>
      </c>
      <c r="L6579" s="13">
        <v>272788863</v>
      </c>
      <c r="M6579" t="str">
        <f>VLOOKUP(L6579,[1]HBA!$B$2:$C$4000,2,FALSE)</f>
        <v>PnG</v>
      </c>
    </row>
    <row r="6580" spans="2:13" x14ac:dyDescent="0.25">
      <c r="B6580" s="31" t="s">
        <v>26303</v>
      </c>
      <c r="C6580" s="20"/>
      <c r="D6580" s="25" t="s">
        <v>26232</v>
      </c>
      <c r="E6580" s="25" t="s">
        <v>26309</v>
      </c>
      <c r="F6580" s="9" t="str">
        <f t="shared" si="95"/>
        <v>structure with developmental contribution from neural crest</v>
      </c>
      <c r="G6580" s="9" t="s">
        <v>5090</v>
      </c>
      <c r="H6580" s="9" t="s">
        <v>24348</v>
      </c>
      <c r="I6580" s="9" t="s">
        <v>12108</v>
      </c>
      <c r="J6580" s="9" t="s">
        <v>12109</v>
      </c>
      <c r="K6580" s="7" t="s">
        <v>15171</v>
      </c>
      <c r="L6580" s="13">
        <v>272788867</v>
      </c>
      <c r="M6580" t="str">
        <f>VLOOKUP(L6580,[1]HBA!$B$2:$C$4000,2,FALSE)</f>
        <v>PnG</v>
      </c>
    </row>
    <row r="6581" spans="2:13" x14ac:dyDescent="0.25">
      <c r="B6581" s="31" t="s">
        <v>26303</v>
      </c>
      <c r="C6581" s="25" t="s">
        <v>1180</v>
      </c>
      <c r="D6581" s="25" t="s">
        <v>26232</v>
      </c>
      <c r="E6581" s="25"/>
      <c r="F6581" s="9" t="str">
        <f t="shared" si="95"/>
        <v>structure with developmental contribution from neural crest</v>
      </c>
      <c r="G6581" s="9" t="s">
        <v>5090</v>
      </c>
      <c r="H6581" s="9" t="s">
        <v>22077</v>
      </c>
      <c r="I6581" s="9" t="s">
        <v>1180</v>
      </c>
      <c r="J6581" s="9" t="s">
        <v>1182</v>
      </c>
      <c r="K6581" s="7" t="s">
        <v>15171</v>
      </c>
      <c r="L6581" s="13">
        <v>4008</v>
      </c>
      <c r="M6581" t="str">
        <f>VLOOKUP(L6581,[1]HBA!$B$2:$C$4000,2,FALSE)</f>
        <v>Cx</v>
      </c>
    </row>
    <row r="6582" spans="2:13" x14ac:dyDescent="0.25">
      <c r="B6582" s="25" t="s">
        <v>26303</v>
      </c>
      <c r="C6582" s="25" t="s">
        <v>4061</v>
      </c>
      <c r="D6582" s="25" t="s">
        <v>26232</v>
      </c>
      <c r="E6582" s="25"/>
      <c r="F6582" s="9" t="str">
        <f t="shared" si="95"/>
        <v>structure with developmental contribution from neural crest</v>
      </c>
      <c r="G6582" s="9" t="s">
        <v>5090</v>
      </c>
      <c r="H6582" s="9" t="s">
        <v>24774</v>
      </c>
      <c r="I6582" s="9" t="s">
        <v>12110</v>
      </c>
      <c r="J6582" s="9" t="s">
        <v>12111</v>
      </c>
      <c r="K6582" s="7" t="s">
        <v>15171</v>
      </c>
      <c r="L6582" s="13">
        <v>4011</v>
      </c>
      <c r="M6582" t="str">
        <f>VLOOKUP(L6582,[1]HBA!$B$2:$C$4000,2,FALSE)</f>
        <v>PrG</v>
      </c>
    </row>
    <row r="6583" spans="2:13" x14ac:dyDescent="0.25">
      <c r="B6583" s="25" t="s">
        <v>26303</v>
      </c>
      <c r="C6583" s="25" t="s">
        <v>4061</v>
      </c>
      <c r="D6583" s="25" t="s">
        <v>26232</v>
      </c>
      <c r="E6583" s="25"/>
      <c r="F6583" s="9" t="str">
        <f t="shared" ref="F6583:F6646" si="96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6583" s="9" t="s">
        <v>5090</v>
      </c>
      <c r="H6583" s="9" t="s">
        <v>24775</v>
      </c>
      <c r="I6583" s="9" t="s">
        <v>12112</v>
      </c>
      <c r="J6583" s="9" t="s">
        <v>12113</v>
      </c>
      <c r="K6583" s="7" t="s">
        <v>15171</v>
      </c>
      <c r="L6583" s="13">
        <v>4012</v>
      </c>
      <c r="M6583" t="str">
        <f>VLOOKUP(L6583,[1]HBA!$B$2:$C$4000,2,FALSE)</f>
        <v>PrG-prc</v>
      </c>
    </row>
    <row r="6584" spans="2:13" x14ac:dyDescent="0.25">
      <c r="B6584" s="31" t="s">
        <v>26303</v>
      </c>
      <c r="C6584" s="25" t="s">
        <v>4061</v>
      </c>
      <c r="D6584" s="25" t="s">
        <v>26232</v>
      </c>
      <c r="E6584" s="25"/>
      <c r="F6584" s="9" t="str">
        <f t="shared" si="96"/>
        <v>structure with developmental contribution from neural crest</v>
      </c>
      <c r="G6584" s="9" t="s">
        <v>5090</v>
      </c>
      <c r="H6584" s="9" t="s">
        <v>24776</v>
      </c>
      <c r="I6584" s="9" t="s">
        <v>12114</v>
      </c>
      <c r="J6584" s="9" t="s">
        <v>12115</v>
      </c>
      <c r="K6584" s="7" t="s">
        <v>15171</v>
      </c>
      <c r="L6584" s="13">
        <v>4013</v>
      </c>
      <c r="M6584" t="str">
        <f>VLOOKUP(L6584,[1]HBA!$B$2:$C$4000,2,FALSE)</f>
        <v>PrG-sl</v>
      </c>
    </row>
    <row r="6585" spans="2:13" x14ac:dyDescent="0.25">
      <c r="B6585" s="31" t="s">
        <v>26303</v>
      </c>
      <c r="C6585" s="25" t="s">
        <v>4061</v>
      </c>
      <c r="D6585" s="25" t="s">
        <v>26232</v>
      </c>
      <c r="E6585" s="25"/>
      <c r="F6585" s="9" t="str">
        <f t="shared" si="96"/>
        <v>structure with developmental contribution from neural crest</v>
      </c>
      <c r="G6585" s="9" t="s">
        <v>5090</v>
      </c>
      <c r="H6585" s="9" t="s">
        <v>24777</v>
      </c>
      <c r="I6585" s="9" t="s">
        <v>12116</v>
      </c>
      <c r="J6585" s="9" t="s">
        <v>12117</v>
      </c>
      <c r="K6585" s="7" t="s">
        <v>15171</v>
      </c>
      <c r="L6585" s="13">
        <v>4014</v>
      </c>
      <c r="M6585" t="str">
        <f>VLOOKUP(L6585,[1]HBA!$B$2:$C$4000,2,FALSE)</f>
        <v>PrG-il</v>
      </c>
    </row>
    <row r="6586" spans="2:13" x14ac:dyDescent="0.25">
      <c r="B6586" s="25" t="s">
        <v>26303</v>
      </c>
      <c r="C6586" s="25" t="s">
        <v>4061</v>
      </c>
      <c r="D6586" s="25" t="s">
        <v>26232</v>
      </c>
      <c r="E6586" s="25"/>
      <c r="F6586" s="9" t="str">
        <f t="shared" si="96"/>
        <v>structure with developmental contribution from neural crest</v>
      </c>
      <c r="G6586" s="9" t="s">
        <v>5090</v>
      </c>
      <c r="H6586" s="9" t="s">
        <v>24778</v>
      </c>
      <c r="I6586" s="9" t="s">
        <v>12118</v>
      </c>
      <c r="J6586" s="9" t="s">
        <v>12119</v>
      </c>
      <c r="K6586" s="7" t="s">
        <v>15171</v>
      </c>
      <c r="L6586" s="13">
        <v>4015</v>
      </c>
      <c r="M6586" t="str">
        <f>VLOOKUP(L6586,[1]HBA!$B$2:$C$4000,2,FALSE)</f>
        <v>PrG-cs</v>
      </c>
    </row>
    <row r="6587" spans="2:13" x14ac:dyDescent="0.25">
      <c r="B6587" s="25" t="s">
        <v>26303</v>
      </c>
      <c r="C6587" s="25" t="s">
        <v>4061</v>
      </c>
      <c r="D6587" s="25" t="s">
        <v>26232</v>
      </c>
      <c r="E6587" s="25"/>
      <c r="F6587" s="9" t="str">
        <f t="shared" si="96"/>
        <v>structure with developmental contribution from neural crest</v>
      </c>
      <c r="G6587" s="9" t="s">
        <v>5090</v>
      </c>
      <c r="H6587" s="9" t="s">
        <v>24774</v>
      </c>
      <c r="I6587" s="9" t="s">
        <v>12120</v>
      </c>
      <c r="J6587" s="9" t="s">
        <v>12121</v>
      </c>
      <c r="K6587" s="7" t="s">
        <v>15171</v>
      </c>
      <c r="L6587" s="13">
        <v>4016</v>
      </c>
      <c r="M6587" t="str">
        <f>VLOOKUP(L6587,[1]HBA!$B$2:$C$4000,2,FALSE)</f>
        <v>PrG</v>
      </c>
    </row>
    <row r="6588" spans="2:13" x14ac:dyDescent="0.25">
      <c r="B6588" s="25" t="s">
        <v>26303</v>
      </c>
      <c r="C6588" s="25" t="s">
        <v>4061</v>
      </c>
      <c r="D6588" s="25" t="s">
        <v>26232</v>
      </c>
      <c r="E6588" s="25"/>
      <c r="F6588" s="9" t="str">
        <f t="shared" si="96"/>
        <v>structure with developmental contribution from neural crest</v>
      </c>
      <c r="G6588" s="9" t="s">
        <v>5090</v>
      </c>
      <c r="H6588" s="9" t="s">
        <v>24775</v>
      </c>
      <c r="I6588" s="9" t="s">
        <v>12122</v>
      </c>
      <c r="J6588" s="9" t="s">
        <v>12123</v>
      </c>
      <c r="K6588" s="7" t="s">
        <v>15171</v>
      </c>
      <c r="L6588" s="13">
        <v>4017</v>
      </c>
      <c r="M6588" t="str">
        <f>VLOOKUP(L6588,[1]HBA!$B$2:$C$4000,2,FALSE)</f>
        <v>PrG-prc</v>
      </c>
    </row>
    <row r="6589" spans="2:13" x14ac:dyDescent="0.25">
      <c r="B6589" s="31" t="s">
        <v>26303</v>
      </c>
      <c r="C6589" s="25" t="s">
        <v>4061</v>
      </c>
      <c r="D6589" s="25" t="s">
        <v>26232</v>
      </c>
      <c r="E6589" s="25"/>
      <c r="F6589" s="9" t="str">
        <f t="shared" si="96"/>
        <v>structure with developmental contribution from neural crest</v>
      </c>
      <c r="G6589" s="9" t="s">
        <v>5090</v>
      </c>
      <c r="H6589" s="9" t="s">
        <v>24776</v>
      </c>
      <c r="I6589" s="9" t="s">
        <v>12124</v>
      </c>
      <c r="J6589" s="9" t="s">
        <v>12125</v>
      </c>
      <c r="K6589" s="7" t="s">
        <v>15171</v>
      </c>
      <c r="L6589" s="13">
        <v>4018</v>
      </c>
      <c r="M6589" t="str">
        <f>VLOOKUP(L6589,[1]HBA!$B$2:$C$4000,2,FALSE)</f>
        <v>PrG-sl</v>
      </c>
    </row>
    <row r="6590" spans="2:13" x14ac:dyDescent="0.25">
      <c r="B6590" s="31" t="s">
        <v>26303</v>
      </c>
      <c r="C6590" s="25" t="s">
        <v>4061</v>
      </c>
      <c r="D6590" s="25" t="s">
        <v>26232</v>
      </c>
      <c r="E6590" s="25"/>
      <c r="F6590" s="9" t="str">
        <f t="shared" si="96"/>
        <v>structure with developmental contribution from neural crest</v>
      </c>
      <c r="G6590" s="9" t="s">
        <v>5090</v>
      </c>
      <c r="H6590" s="9" t="s">
        <v>24777</v>
      </c>
      <c r="I6590" s="9" t="s">
        <v>12126</v>
      </c>
      <c r="J6590" s="9" t="s">
        <v>12127</v>
      </c>
      <c r="K6590" s="7" t="s">
        <v>15171</v>
      </c>
      <c r="L6590" s="13">
        <v>4019</v>
      </c>
      <c r="M6590" t="str">
        <f>VLOOKUP(L6590,[1]HBA!$B$2:$C$4000,2,FALSE)</f>
        <v>PrG-il</v>
      </c>
    </row>
    <row r="6591" spans="2:13" x14ac:dyDescent="0.25">
      <c r="B6591" s="25" t="s">
        <v>26303</v>
      </c>
      <c r="C6591" s="25" t="s">
        <v>4061</v>
      </c>
      <c r="D6591" s="25" t="s">
        <v>26232</v>
      </c>
      <c r="E6591" s="25"/>
      <c r="F6591" s="9" t="str">
        <f t="shared" si="96"/>
        <v>structure with developmental contribution from neural crest</v>
      </c>
      <c r="G6591" s="9" t="s">
        <v>5090</v>
      </c>
      <c r="H6591" s="9" t="s">
        <v>24778</v>
      </c>
      <c r="I6591" s="9" t="s">
        <v>12128</v>
      </c>
      <c r="J6591" s="9" t="s">
        <v>12129</v>
      </c>
      <c r="K6591" s="7" t="s">
        <v>15171</v>
      </c>
      <c r="L6591" s="13">
        <v>4020</v>
      </c>
      <c r="M6591" t="str">
        <f>VLOOKUP(L6591,[1]HBA!$B$2:$C$4000,2,FALSE)</f>
        <v>PrG-cs</v>
      </c>
    </row>
    <row r="6592" spans="2:13" x14ac:dyDescent="0.25">
      <c r="B6592" s="31" t="s">
        <v>26303</v>
      </c>
      <c r="C6592" s="25" t="s">
        <v>14814</v>
      </c>
      <c r="D6592" s="25" t="s">
        <v>26232</v>
      </c>
      <c r="E6592" s="25"/>
      <c r="F6592" s="9" t="str">
        <f t="shared" si="96"/>
        <v>structure with developmental contribution from neural crest</v>
      </c>
      <c r="G6592" s="9" t="s">
        <v>5090</v>
      </c>
      <c r="H6592" s="9" t="s">
        <v>23793</v>
      </c>
      <c r="I6592" s="9" t="s">
        <v>12130</v>
      </c>
      <c r="J6592" s="9" t="s">
        <v>12131</v>
      </c>
      <c r="K6592" s="7" t="s">
        <v>15171</v>
      </c>
      <c r="L6592" s="13">
        <v>4022</v>
      </c>
      <c r="M6592" t="str">
        <f>VLOOKUP(L6592,[1]HBA!$B$2:$C$4000,2,FALSE)</f>
        <v>SFG</v>
      </c>
    </row>
    <row r="6593" spans="2:13" x14ac:dyDescent="0.25">
      <c r="B6593" s="31" t="s">
        <v>26303</v>
      </c>
      <c r="C6593" s="25" t="s">
        <v>14814</v>
      </c>
      <c r="D6593" s="25" t="s">
        <v>26232</v>
      </c>
      <c r="E6593" s="25"/>
      <c r="F6593" s="9" t="str">
        <f t="shared" si="96"/>
        <v>structure with developmental contribution from neural crest</v>
      </c>
      <c r="G6593" s="9" t="s">
        <v>5090</v>
      </c>
      <c r="H6593" s="9" t="s">
        <v>24779</v>
      </c>
      <c r="I6593" s="9" t="s">
        <v>12132</v>
      </c>
      <c r="J6593" s="9" t="s">
        <v>12133</v>
      </c>
      <c r="K6593" s="7" t="s">
        <v>15171</v>
      </c>
      <c r="L6593" s="13">
        <v>4023</v>
      </c>
      <c r="M6593" t="str">
        <f>VLOOKUP(L6593,[1]HBA!$B$2:$C$4000,2,FALSE)</f>
        <v>SFG-m</v>
      </c>
    </row>
    <row r="6594" spans="2:13" x14ac:dyDescent="0.25">
      <c r="B6594" s="31" t="s">
        <v>26303</v>
      </c>
      <c r="C6594" s="25" t="s">
        <v>14814</v>
      </c>
      <c r="D6594" s="25" t="s">
        <v>26232</v>
      </c>
      <c r="E6594" s="25"/>
      <c r="F6594" s="9" t="str">
        <f t="shared" si="96"/>
        <v>structure with developmental contribution from neural crest</v>
      </c>
      <c r="G6594" s="9" t="s">
        <v>5090</v>
      </c>
      <c r="H6594" s="9" t="s">
        <v>24780</v>
      </c>
      <c r="I6594" s="9" t="s">
        <v>12134</v>
      </c>
      <c r="J6594" s="9" t="s">
        <v>12135</v>
      </c>
      <c r="K6594" s="7" t="s">
        <v>15171</v>
      </c>
      <c r="L6594" s="13">
        <v>4024</v>
      </c>
      <c r="M6594" t="str">
        <f>VLOOKUP(L6594,[1]HBA!$B$2:$C$4000,2,FALSE)</f>
        <v>SFG-l</v>
      </c>
    </row>
    <row r="6595" spans="2:13" x14ac:dyDescent="0.25">
      <c r="B6595" s="31" t="s">
        <v>26303</v>
      </c>
      <c r="C6595" s="25" t="s">
        <v>14814</v>
      </c>
      <c r="D6595" s="25" t="s">
        <v>26232</v>
      </c>
      <c r="E6595" s="25"/>
      <c r="F6595" s="9" t="str">
        <f t="shared" si="96"/>
        <v>structure with developmental contribution from neural crest</v>
      </c>
      <c r="G6595" s="9" t="s">
        <v>5090</v>
      </c>
      <c r="H6595" s="9" t="s">
        <v>23793</v>
      </c>
      <c r="I6595" s="9" t="s">
        <v>12136</v>
      </c>
      <c r="J6595" s="9" t="s">
        <v>12137</v>
      </c>
      <c r="K6595" s="7" t="s">
        <v>15171</v>
      </c>
      <c r="L6595" s="13">
        <v>4025</v>
      </c>
      <c r="M6595" t="str">
        <f>VLOOKUP(L6595,[1]HBA!$B$2:$C$4000,2,FALSE)</f>
        <v>SFG</v>
      </c>
    </row>
    <row r="6596" spans="2:13" x14ac:dyDescent="0.25">
      <c r="B6596" s="31" t="s">
        <v>26303</v>
      </c>
      <c r="C6596" s="25" t="s">
        <v>14814</v>
      </c>
      <c r="D6596" s="25" t="s">
        <v>26232</v>
      </c>
      <c r="E6596" s="25"/>
      <c r="F6596" s="9" t="str">
        <f t="shared" si="96"/>
        <v>structure with developmental contribution from neural crest</v>
      </c>
      <c r="G6596" s="9" t="s">
        <v>5090</v>
      </c>
      <c r="H6596" s="9" t="s">
        <v>24779</v>
      </c>
      <c r="I6596" s="9" t="s">
        <v>12138</v>
      </c>
      <c r="J6596" s="9" t="s">
        <v>12139</v>
      </c>
      <c r="K6596" s="7" t="s">
        <v>15171</v>
      </c>
      <c r="L6596" s="13">
        <v>4026</v>
      </c>
      <c r="M6596" t="str">
        <f>VLOOKUP(L6596,[1]HBA!$B$2:$C$4000,2,FALSE)</f>
        <v>SFG-m</v>
      </c>
    </row>
    <row r="6597" spans="2:13" x14ac:dyDescent="0.25">
      <c r="B6597" s="31" t="s">
        <v>26303</v>
      </c>
      <c r="C6597" s="25" t="s">
        <v>14814</v>
      </c>
      <c r="D6597" s="25" t="s">
        <v>26232</v>
      </c>
      <c r="E6597" s="25"/>
      <c r="F6597" s="9" t="str">
        <f t="shared" si="96"/>
        <v>structure with developmental contribution from neural crest</v>
      </c>
      <c r="G6597" s="9" t="s">
        <v>5090</v>
      </c>
      <c r="H6597" s="9" t="s">
        <v>24780</v>
      </c>
      <c r="I6597" s="9" t="s">
        <v>12140</v>
      </c>
      <c r="J6597" s="9" t="s">
        <v>12141</v>
      </c>
      <c r="K6597" s="7" t="s">
        <v>15171</v>
      </c>
      <c r="L6597" s="13">
        <v>4027</v>
      </c>
      <c r="M6597" t="str">
        <f>VLOOKUP(L6597,[1]HBA!$B$2:$C$4000,2,FALSE)</f>
        <v>SFG-l</v>
      </c>
    </row>
    <row r="6598" spans="2:13" x14ac:dyDescent="0.25">
      <c r="B6598" s="31" t="s">
        <v>26303</v>
      </c>
      <c r="C6598" s="25" t="s">
        <v>3152</v>
      </c>
      <c r="D6598" s="25" t="s">
        <v>26232</v>
      </c>
      <c r="E6598" s="25"/>
      <c r="F6598" s="9" t="str">
        <f t="shared" si="96"/>
        <v>structure with developmental contribution from neural crest</v>
      </c>
      <c r="G6598" s="9" t="s">
        <v>5090</v>
      </c>
      <c r="H6598" s="9" t="s">
        <v>23794</v>
      </c>
      <c r="I6598" s="9" t="s">
        <v>12142</v>
      </c>
      <c r="J6598" s="9" t="s">
        <v>12143</v>
      </c>
      <c r="K6598" s="7" t="s">
        <v>15171</v>
      </c>
      <c r="L6598" s="13">
        <v>4029</v>
      </c>
      <c r="M6598" t="str">
        <f>VLOOKUP(L6598,[1]HBA!$B$2:$C$4000,2,FALSE)</f>
        <v>MFG</v>
      </c>
    </row>
    <row r="6599" spans="2:13" x14ac:dyDescent="0.25">
      <c r="B6599" s="31" t="s">
        <v>26303</v>
      </c>
      <c r="C6599" s="25" t="s">
        <v>3152</v>
      </c>
      <c r="D6599" s="25" t="s">
        <v>26232</v>
      </c>
      <c r="E6599" s="25"/>
      <c r="F6599" s="9" t="str">
        <f t="shared" si="96"/>
        <v>structure with developmental contribution from neural crest</v>
      </c>
      <c r="G6599" s="9" t="s">
        <v>5090</v>
      </c>
      <c r="H6599" s="9" t="s">
        <v>24767</v>
      </c>
      <c r="I6599" s="9" t="s">
        <v>12144</v>
      </c>
      <c r="J6599" s="9" t="s">
        <v>12145</v>
      </c>
      <c r="K6599" s="7" t="s">
        <v>15171</v>
      </c>
      <c r="L6599" s="13">
        <v>4030</v>
      </c>
      <c r="M6599" t="str">
        <f>VLOOKUP(L6599,[1]HBA!$B$2:$C$4000,2,FALSE)</f>
        <v>MFG-s</v>
      </c>
    </row>
    <row r="6600" spans="2:13" x14ac:dyDescent="0.25">
      <c r="B6600" s="31" t="s">
        <v>26303</v>
      </c>
      <c r="C6600" s="25" t="s">
        <v>3152</v>
      </c>
      <c r="D6600" s="25" t="s">
        <v>26232</v>
      </c>
      <c r="E6600" s="25"/>
      <c r="F6600" s="9" t="str">
        <f t="shared" si="96"/>
        <v>structure with developmental contribution from neural crest</v>
      </c>
      <c r="G6600" s="9" t="s">
        <v>5090</v>
      </c>
      <c r="H6600" s="9" t="s">
        <v>24768</v>
      </c>
      <c r="I6600" s="9" t="s">
        <v>12146</v>
      </c>
      <c r="J6600" s="9" t="s">
        <v>12147</v>
      </c>
      <c r="K6600" s="7" t="s">
        <v>15171</v>
      </c>
      <c r="L6600" s="13">
        <v>4031</v>
      </c>
      <c r="M6600" t="str">
        <f>VLOOKUP(L6600,[1]HBA!$B$2:$C$4000,2,FALSE)</f>
        <v>MFG-i</v>
      </c>
    </row>
    <row r="6601" spans="2:13" x14ac:dyDescent="0.25">
      <c r="B6601" s="31" t="s">
        <v>26303</v>
      </c>
      <c r="C6601" s="25" t="s">
        <v>3152</v>
      </c>
      <c r="D6601" s="25" t="s">
        <v>26232</v>
      </c>
      <c r="E6601" s="25"/>
      <c r="F6601" s="9" t="str">
        <f t="shared" si="96"/>
        <v>structure with developmental contribution from neural crest</v>
      </c>
      <c r="G6601" s="9" t="s">
        <v>5090</v>
      </c>
      <c r="H6601" s="9" t="s">
        <v>23794</v>
      </c>
      <c r="I6601" s="9" t="s">
        <v>12148</v>
      </c>
      <c r="J6601" s="9" t="s">
        <v>12149</v>
      </c>
      <c r="K6601" s="7" t="s">
        <v>15171</v>
      </c>
      <c r="L6601" s="13">
        <v>4032</v>
      </c>
      <c r="M6601" t="str">
        <f>VLOOKUP(L6601,[1]HBA!$B$2:$C$4000,2,FALSE)</f>
        <v>MFG</v>
      </c>
    </row>
    <row r="6602" spans="2:13" x14ac:dyDescent="0.25">
      <c r="B6602" s="31" t="s">
        <v>26303</v>
      </c>
      <c r="C6602" s="25" t="s">
        <v>3152</v>
      </c>
      <c r="D6602" s="25" t="s">
        <v>26232</v>
      </c>
      <c r="E6602" s="25"/>
      <c r="F6602" s="9" t="str">
        <f t="shared" si="96"/>
        <v>structure with developmental contribution from neural crest</v>
      </c>
      <c r="G6602" s="9" t="s">
        <v>5090</v>
      </c>
      <c r="H6602" s="9" t="s">
        <v>24767</v>
      </c>
      <c r="I6602" s="9" t="s">
        <v>12150</v>
      </c>
      <c r="J6602" s="9" t="s">
        <v>12151</v>
      </c>
      <c r="K6602" s="7" t="s">
        <v>15171</v>
      </c>
      <c r="L6602" s="13">
        <v>4033</v>
      </c>
      <c r="M6602" t="str">
        <f>VLOOKUP(L6602,[1]HBA!$B$2:$C$4000,2,FALSE)</f>
        <v>MFG-s</v>
      </c>
    </row>
    <row r="6603" spans="2:13" x14ac:dyDescent="0.25">
      <c r="B6603" s="31" t="s">
        <v>26303</v>
      </c>
      <c r="C6603" s="25" t="s">
        <v>3152</v>
      </c>
      <c r="D6603" s="25" t="s">
        <v>26232</v>
      </c>
      <c r="E6603" s="25"/>
      <c r="F6603" s="9" t="str">
        <f t="shared" si="96"/>
        <v>structure with developmental contribution from neural crest</v>
      </c>
      <c r="G6603" s="9" t="s">
        <v>5090</v>
      </c>
      <c r="H6603" s="9" t="s">
        <v>24768</v>
      </c>
      <c r="I6603" s="9" t="s">
        <v>12152</v>
      </c>
      <c r="J6603" s="9" t="s">
        <v>12153</v>
      </c>
      <c r="K6603" s="7" t="s">
        <v>15171</v>
      </c>
      <c r="L6603" s="13">
        <v>4034</v>
      </c>
      <c r="M6603" t="str">
        <f>VLOOKUP(L6603,[1]HBA!$B$2:$C$4000,2,FALSE)</f>
        <v>MFG-i</v>
      </c>
    </row>
    <row r="6604" spans="2:13" x14ac:dyDescent="0.25">
      <c r="B6604" s="31" t="s">
        <v>26303</v>
      </c>
      <c r="C6604" s="25" t="s">
        <v>2363</v>
      </c>
      <c r="D6604" s="25" t="s">
        <v>26232</v>
      </c>
      <c r="E6604" s="25"/>
      <c r="F6604" s="9" t="str">
        <f t="shared" si="96"/>
        <v>structure with developmental contribution from neural crest</v>
      </c>
      <c r="G6604" s="9" t="s">
        <v>5090</v>
      </c>
      <c r="H6604" s="9" t="s">
        <v>23795</v>
      </c>
      <c r="I6604" s="9" t="s">
        <v>12154</v>
      </c>
      <c r="J6604" s="9" t="s">
        <v>12155</v>
      </c>
      <c r="K6604" s="7" t="s">
        <v>15171</v>
      </c>
      <c r="L6604" s="13">
        <v>4036</v>
      </c>
      <c r="M6604" t="str">
        <f>VLOOKUP(L6604,[1]HBA!$B$2:$C$4000,2,FALSE)</f>
        <v>IFG</v>
      </c>
    </row>
    <row r="6605" spans="2:13" x14ac:dyDescent="0.25">
      <c r="B6605" s="31" t="s">
        <v>26303</v>
      </c>
      <c r="C6605" s="25" t="s">
        <v>2363</v>
      </c>
      <c r="D6605" s="25" t="s">
        <v>26232</v>
      </c>
      <c r="E6605" s="25"/>
      <c r="F6605" s="9" t="str">
        <f t="shared" si="96"/>
        <v>structure with developmental contribution from neural crest</v>
      </c>
      <c r="G6605" s="9" t="s">
        <v>5090</v>
      </c>
      <c r="H6605" s="9" t="s">
        <v>23795</v>
      </c>
      <c r="I6605" s="9" t="s">
        <v>12156</v>
      </c>
      <c r="J6605" s="9" t="s">
        <v>12157</v>
      </c>
      <c r="K6605" s="7" t="s">
        <v>15171</v>
      </c>
      <c r="L6605" s="13">
        <v>4037</v>
      </c>
      <c r="M6605" t="str">
        <f>VLOOKUP(L6605,[1]HBA!$B$2:$C$4000,2,FALSE)</f>
        <v>IFG</v>
      </c>
    </row>
    <row r="6606" spans="2:13" x14ac:dyDescent="0.25">
      <c r="B6606" s="31" t="s">
        <v>26303</v>
      </c>
      <c r="C6606" s="25" t="s">
        <v>26265</v>
      </c>
      <c r="D6606" s="25" t="s">
        <v>26232</v>
      </c>
      <c r="E6606" s="25"/>
      <c r="F6606" s="9" t="str">
        <f t="shared" si="96"/>
        <v>structure with developmental contribution from neural crest</v>
      </c>
      <c r="G6606" s="9" t="s">
        <v>5090</v>
      </c>
      <c r="H6606" s="9" t="s">
        <v>24766</v>
      </c>
      <c r="I6606" s="9" t="s">
        <v>12158</v>
      </c>
      <c r="J6606" s="9" t="s">
        <v>12159</v>
      </c>
      <c r="K6606" s="7" t="s">
        <v>15171</v>
      </c>
      <c r="L6606" s="13">
        <v>4039</v>
      </c>
      <c r="M6606" t="str">
        <f>VLOOKUP(L6606,[1]HBA!$B$2:$C$4000,2,FALSE)</f>
        <v>trIFG</v>
      </c>
    </row>
    <row r="6607" spans="2:13" x14ac:dyDescent="0.25">
      <c r="B6607" s="31" t="s">
        <v>26303</v>
      </c>
      <c r="C6607" s="25" t="s">
        <v>26265</v>
      </c>
      <c r="D6607" s="25" t="s">
        <v>26232</v>
      </c>
      <c r="E6607" s="25"/>
      <c r="F6607" s="9" t="str">
        <f t="shared" si="96"/>
        <v>structure with developmental contribution from neural crest</v>
      </c>
      <c r="G6607" s="9" t="s">
        <v>5090</v>
      </c>
      <c r="H6607" s="9" t="s">
        <v>24766</v>
      </c>
      <c r="I6607" s="9" t="s">
        <v>12160</v>
      </c>
      <c r="J6607" s="9" t="s">
        <v>12161</v>
      </c>
      <c r="K6607" s="7" t="s">
        <v>15171</v>
      </c>
      <c r="L6607" s="13">
        <v>4040</v>
      </c>
      <c r="M6607" t="str">
        <f>VLOOKUP(L6607,[1]HBA!$B$2:$C$4000,2,FALSE)</f>
        <v>trIFG</v>
      </c>
    </row>
    <row r="6608" spans="2:13" x14ac:dyDescent="0.25">
      <c r="B6608" s="31" t="s">
        <v>26303</v>
      </c>
      <c r="C6608" s="25" t="s">
        <v>26074</v>
      </c>
      <c r="D6608" s="25" t="s">
        <v>26232</v>
      </c>
      <c r="E6608" s="25"/>
      <c r="F6608" s="9" t="str">
        <f t="shared" si="96"/>
        <v>structure with developmental contribution from neural crest</v>
      </c>
      <c r="G6608" s="9" t="s">
        <v>5090</v>
      </c>
      <c r="H6608" s="9" t="s">
        <v>24764</v>
      </c>
      <c r="I6608" s="9" t="s">
        <v>12162</v>
      </c>
      <c r="J6608" s="9" t="s">
        <v>12163</v>
      </c>
      <c r="K6608" s="7" t="s">
        <v>15171</v>
      </c>
      <c r="L6608" s="13">
        <v>4042</v>
      </c>
      <c r="M6608" t="str">
        <f>VLOOKUP(L6608,[1]HBA!$B$2:$C$4000,2,FALSE)</f>
        <v>opIFG</v>
      </c>
    </row>
    <row r="6609" spans="2:13" x14ac:dyDescent="0.25">
      <c r="B6609" s="31" t="s">
        <v>26303</v>
      </c>
      <c r="C6609" s="25" t="s">
        <v>26074</v>
      </c>
      <c r="D6609" s="25" t="s">
        <v>26232</v>
      </c>
      <c r="E6609" s="25"/>
      <c r="F6609" s="9" t="str">
        <f t="shared" si="96"/>
        <v>structure with developmental contribution from neural crest</v>
      </c>
      <c r="G6609" s="9" t="s">
        <v>5090</v>
      </c>
      <c r="H6609" s="9" t="s">
        <v>24764</v>
      </c>
      <c r="I6609" s="9" t="s">
        <v>12164</v>
      </c>
      <c r="J6609" s="9" t="s">
        <v>12165</v>
      </c>
      <c r="K6609" s="7" t="s">
        <v>15171</v>
      </c>
      <c r="L6609" s="13">
        <v>4043</v>
      </c>
      <c r="M6609" t="str">
        <f>VLOOKUP(L6609,[1]HBA!$B$2:$C$4000,2,FALSE)</f>
        <v>opIFG</v>
      </c>
    </row>
    <row r="6610" spans="2:13" x14ac:dyDescent="0.25">
      <c r="B6610" s="31" t="s">
        <v>26303</v>
      </c>
      <c r="C6610" s="25" t="s">
        <v>26079</v>
      </c>
      <c r="D6610" s="25" t="s">
        <v>26232</v>
      </c>
      <c r="E6610" s="25"/>
      <c r="F6610" s="9" t="str">
        <f t="shared" si="96"/>
        <v>structure with developmental contribution from neural crest</v>
      </c>
      <c r="G6610" s="9" t="s">
        <v>5090</v>
      </c>
      <c r="H6610" s="9" t="s">
        <v>24765</v>
      </c>
      <c r="I6610" s="9" t="s">
        <v>12166</v>
      </c>
      <c r="J6610" s="9" t="s">
        <v>12167</v>
      </c>
      <c r="K6610" s="7" t="s">
        <v>15171</v>
      </c>
      <c r="L6610" s="13">
        <v>4045</v>
      </c>
      <c r="M6610" t="str">
        <f>VLOOKUP(L6610,[1]HBA!$B$2:$C$4000,2,FALSE)</f>
        <v>orIFG</v>
      </c>
    </row>
    <row r="6611" spans="2:13" x14ac:dyDescent="0.25">
      <c r="B6611" s="31" t="s">
        <v>26303</v>
      </c>
      <c r="C6611" s="25" t="s">
        <v>26079</v>
      </c>
      <c r="D6611" s="25" t="s">
        <v>26232</v>
      </c>
      <c r="E6611" s="25"/>
      <c r="F6611" s="9" t="str">
        <f t="shared" si="96"/>
        <v>structure with developmental contribution from neural crest</v>
      </c>
      <c r="G6611" s="9" t="s">
        <v>5090</v>
      </c>
      <c r="H6611" s="9" t="s">
        <v>24765</v>
      </c>
      <c r="I6611" s="9" t="s">
        <v>12168</v>
      </c>
      <c r="J6611" s="9" t="s">
        <v>12169</v>
      </c>
      <c r="K6611" s="7" t="s">
        <v>15171</v>
      </c>
      <c r="L6611" s="13">
        <v>4046</v>
      </c>
      <c r="M6611" t="str">
        <f>VLOOKUP(L6611,[1]HBA!$B$2:$C$4000,2,FALSE)</f>
        <v>orIFG</v>
      </c>
    </row>
    <row r="6612" spans="2:13" x14ac:dyDescent="0.25">
      <c r="B6612" s="31" t="s">
        <v>26303</v>
      </c>
      <c r="C6612" s="25" t="s">
        <v>2132</v>
      </c>
      <c r="D6612" s="25" t="s">
        <v>26232</v>
      </c>
      <c r="E6612" s="25"/>
      <c r="F6612" s="9" t="str">
        <f t="shared" si="96"/>
        <v>structure with developmental contribution from neural crest</v>
      </c>
      <c r="G6612" s="9" t="s">
        <v>5090</v>
      </c>
      <c r="H6612" s="9" t="s">
        <v>24763</v>
      </c>
      <c r="I6612" s="9" t="s">
        <v>12170</v>
      </c>
      <c r="J6612" s="9" t="s">
        <v>12171</v>
      </c>
      <c r="K6612" s="7" t="s">
        <v>15171</v>
      </c>
      <c r="L6612" s="13">
        <v>4048</v>
      </c>
      <c r="M6612" t="str">
        <f>VLOOKUP(L6612,[1]HBA!$B$2:$C$4000,2,FALSE)</f>
        <v>GRe</v>
      </c>
    </row>
    <row r="6613" spans="2:13" x14ac:dyDescent="0.25">
      <c r="B6613" s="31" t="s">
        <v>26303</v>
      </c>
      <c r="C6613" s="25" t="s">
        <v>2132</v>
      </c>
      <c r="D6613" s="25" t="s">
        <v>26232</v>
      </c>
      <c r="E6613" s="25"/>
      <c r="F6613" s="9" t="str">
        <f t="shared" si="96"/>
        <v>structure with developmental contribution from neural crest</v>
      </c>
      <c r="G6613" s="9" t="s">
        <v>5090</v>
      </c>
      <c r="H6613" s="9" t="s">
        <v>24763</v>
      </c>
      <c r="I6613" s="9" t="s">
        <v>12172</v>
      </c>
      <c r="J6613" s="9" t="s">
        <v>12173</v>
      </c>
      <c r="K6613" s="7" t="s">
        <v>15171</v>
      </c>
      <c r="L6613" s="13">
        <v>4049</v>
      </c>
      <c r="M6613" t="str">
        <f>VLOOKUP(L6613,[1]HBA!$B$2:$C$4000,2,FALSE)</f>
        <v>GRe</v>
      </c>
    </row>
    <row r="6614" spans="2:13" x14ac:dyDescent="0.25">
      <c r="B6614" s="31" t="s">
        <v>26303</v>
      </c>
      <c r="C6614" s="25" t="s">
        <v>2969</v>
      </c>
      <c r="D6614" s="25" t="s">
        <v>26232</v>
      </c>
      <c r="E6614" s="25"/>
      <c r="F6614" s="9" t="str">
        <f t="shared" si="96"/>
        <v>structure with developmental contribution from neural crest</v>
      </c>
      <c r="G6614" s="9" t="s">
        <v>5090</v>
      </c>
      <c r="H6614" s="9" t="s">
        <v>23800</v>
      </c>
      <c r="I6614" s="9" t="s">
        <v>12174</v>
      </c>
      <c r="J6614" s="9" t="s">
        <v>12175</v>
      </c>
      <c r="K6614" s="7" t="s">
        <v>15171</v>
      </c>
      <c r="L6614" s="13">
        <v>4051</v>
      </c>
      <c r="M6614" t="str">
        <f>VLOOKUP(L6614,[1]HBA!$B$2:$C$4000,2,FALSE)</f>
        <v>MOrG</v>
      </c>
    </row>
    <row r="6615" spans="2:13" x14ac:dyDescent="0.25">
      <c r="B6615" s="31" t="s">
        <v>26303</v>
      </c>
      <c r="C6615" s="25" t="s">
        <v>2969</v>
      </c>
      <c r="D6615" s="25" t="s">
        <v>26232</v>
      </c>
      <c r="E6615" s="25"/>
      <c r="F6615" s="9" t="str">
        <f t="shared" si="96"/>
        <v>structure with developmental contribution from neural crest</v>
      </c>
      <c r="G6615" s="9" t="s">
        <v>5090</v>
      </c>
      <c r="H6615" s="9" t="s">
        <v>23800</v>
      </c>
      <c r="I6615" s="9" t="s">
        <v>12176</v>
      </c>
      <c r="J6615" s="9" t="s">
        <v>12177</v>
      </c>
      <c r="K6615" s="7" t="s">
        <v>15171</v>
      </c>
      <c r="L6615" s="13">
        <v>4052</v>
      </c>
      <c r="M6615" t="str">
        <f>VLOOKUP(L6615,[1]HBA!$B$2:$C$4000,2,FALSE)</f>
        <v>MOrG</v>
      </c>
    </row>
    <row r="6616" spans="2:13" x14ac:dyDescent="0.25">
      <c r="B6616" s="31" t="s">
        <v>26303</v>
      </c>
      <c r="C6616" s="25" t="s">
        <v>392</v>
      </c>
      <c r="D6616" s="25" t="s">
        <v>26232</v>
      </c>
      <c r="E6616" s="25"/>
      <c r="F6616" s="9" t="str">
        <f t="shared" si="96"/>
        <v>structure with developmental contribution from neural crest</v>
      </c>
      <c r="G6616" s="9" t="s">
        <v>5090</v>
      </c>
      <c r="H6616" s="9" t="s">
        <v>23801</v>
      </c>
      <c r="I6616" s="9" t="s">
        <v>12178</v>
      </c>
      <c r="J6616" s="9" t="s">
        <v>12179</v>
      </c>
      <c r="K6616" s="7" t="s">
        <v>15171</v>
      </c>
      <c r="L6616" s="13">
        <v>4054</v>
      </c>
      <c r="M6616" t="str">
        <f>VLOOKUP(L6616,[1]HBA!$B$2:$C$4000,2,FALSE)</f>
        <v>AOrG</v>
      </c>
    </row>
    <row r="6617" spans="2:13" x14ac:dyDescent="0.25">
      <c r="B6617" s="31" t="s">
        <v>26303</v>
      </c>
      <c r="C6617" s="25" t="s">
        <v>392</v>
      </c>
      <c r="D6617" s="25" t="s">
        <v>26232</v>
      </c>
      <c r="E6617" s="25"/>
      <c r="F6617" s="9" t="str">
        <f t="shared" si="96"/>
        <v>structure with developmental contribution from neural crest</v>
      </c>
      <c r="G6617" s="9" t="s">
        <v>5090</v>
      </c>
      <c r="H6617" s="9" t="s">
        <v>23801</v>
      </c>
      <c r="I6617" s="9" t="s">
        <v>12180</v>
      </c>
      <c r="J6617" s="9" t="s">
        <v>12181</v>
      </c>
      <c r="K6617" s="7" t="s">
        <v>15171</v>
      </c>
      <c r="L6617" s="13">
        <v>4055</v>
      </c>
      <c r="M6617" t="str">
        <f>VLOOKUP(L6617,[1]HBA!$B$2:$C$4000,2,FALSE)</f>
        <v>AOrG</v>
      </c>
    </row>
    <row r="6618" spans="2:13" x14ac:dyDescent="0.25">
      <c r="B6618" s="31" t="s">
        <v>26303</v>
      </c>
      <c r="C6618" s="25" t="s">
        <v>3964</v>
      </c>
      <c r="D6618" s="25" t="s">
        <v>26232</v>
      </c>
      <c r="E6618" s="25"/>
      <c r="F6618" s="9" t="str">
        <f t="shared" si="96"/>
        <v>structure with developmental contribution from neural crest</v>
      </c>
      <c r="G6618" s="9" t="s">
        <v>5090</v>
      </c>
      <c r="H6618" s="9" t="s">
        <v>23802</v>
      </c>
      <c r="I6618" s="9" t="s">
        <v>12182</v>
      </c>
      <c r="J6618" s="9" t="s">
        <v>12183</v>
      </c>
      <c r="K6618" s="7" t="s">
        <v>15171</v>
      </c>
      <c r="L6618" s="13">
        <v>4057</v>
      </c>
      <c r="M6618" t="str">
        <f>VLOOKUP(L6618,[1]HBA!$B$2:$C$4000,2,FALSE)</f>
        <v>POrG</v>
      </c>
    </row>
    <row r="6619" spans="2:13" x14ac:dyDescent="0.25">
      <c r="B6619" s="31" t="s">
        <v>26303</v>
      </c>
      <c r="C6619" s="25" t="s">
        <v>3964</v>
      </c>
      <c r="D6619" s="25" t="s">
        <v>26232</v>
      </c>
      <c r="E6619" s="25"/>
      <c r="F6619" s="9" t="str">
        <f t="shared" si="96"/>
        <v>structure with developmental contribution from neural crest</v>
      </c>
      <c r="G6619" s="9" t="s">
        <v>5090</v>
      </c>
      <c r="H6619" s="9" t="s">
        <v>23802</v>
      </c>
      <c r="I6619" s="9" t="s">
        <v>12184</v>
      </c>
      <c r="J6619" s="9" t="s">
        <v>12185</v>
      </c>
      <c r="K6619" s="7" t="s">
        <v>15171</v>
      </c>
      <c r="L6619" s="13">
        <v>4058</v>
      </c>
      <c r="M6619" t="str">
        <f>VLOOKUP(L6619,[1]HBA!$B$2:$C$4000,2,FALSE)</f>
        <v>POrG</v>
      </c>
    </row>
    <row r="6620" spans="2:13" x14ac:dyDescent="0.25">
      <c r="B6620" s="31" t="s">
        <v>26303</v>
      </c>
      <c r="C6620" s="25" t="s">
        <v>2652</v>
      </c>
      <c r="D6620" s="25" t="s">
        <v>26232</v>
      </c>
      <c r="E6620" s="25"/>
      <c r="F6620" s="9" t="str">
        <f t="shared" si="96"/>
        <v>structure with developmental contribution from neural crest</v>
      </c>
      <c r="G6620" s="9" t="s">
        <v>5090</v>
      </c>
      <c r="H6620" s="9" t="s">
        <v>23803</v>
      </c>
      <c r="I6620" s="9" t="s">
        <v>12186</v>
      </c>
      <c r="J6620" s="9" t="s">
        <v>12187</v>
      </c>
      <c r="K6620" s="7" t="s">
        <v>15171</v>
      </c>
      <c r="L6620" s="13">
        <v>4060</v>
      </c>
      <c r="M6620" t="str">
        <f>VLOOKUP(L6620,[1]HBA!$B$2:$C$4000,2,FALSE)</f>
        <v>LOrG</v>
      </c>
    </row>
    <row r="6621" spans="2:13" x14ac:dyDescent="0.25">
      <c r="B6621" s="31" t="s">
        <v>26303</v>
      </c>
      <c r="C6621" s="25" t="s">
        <v>2652</v>
      </c>
      <c r="D6621" s="25" t="s">
        <v>26232</v>
      </c>
      <c r="E6621" s="25"/>
      <c r="F6621" s="9" t="str">
        <f t="shared" si="96"/>
        <v>structure with developmental contribution from neural crest</v>
      </c>
      <c r="G6621" s="9" t="s">
        <v>5090</v>
      </c>
      <c r="H6621" s="9" t="s">
        <v>23803</v>
      </c>
      <c r="I6621" s="9" t="s">
        <v>12188</v>
      </c>
      <c r="J6621" s="9" t="s">
        <v>12189</v>
      </c>
      <c r="K6621" s="7" t="s">
        <v>15171</v>
      </c>
      <c r="L6621" s="13">
        <v>4061</v>
      </c>
      <c r="M6621" t="str">
        <f>VLOOKUP(L6621,[1]HBA!$B$2:$C$4000,2,FALSE)</f>
        <v>LOrG</v>
      </c>
    </row>
    <row r="6622" spans="2:13" x14ac:dyDescent="0.25">
      <c r="B6622" s="31" t="s">
        <v>26303</v>
      </c>
      <c r="C6622" s="20"/>
      <c r="D6622" s="25" t="s">
        <v>26232</v>
      </c>
      <c r="E6622" s="25" t="s">
        <v>26300</v>
      </c>
      <c r="F6622" s="9" t="str">
        <f t="shared" si="96"/>
        <v>structure with developmental contribution from neural crest</v>
      </c>
      <c r="G6622" s="9" t="s">
        <v>5090</v>
      </c>
      <c r="H6622" s="9" t="s">
        <v>23852</v>
      </c>
      <c r="I6622" s="9" t="s">
        <v>12190</v>
      </c>
      <c r="J6622" s="9" t="s">
        <v>12191</v>
      </c>
      <c r="K6622" s="7" t="s">
        <v>15171</v>
      </c>
      <c r="L6622" s="13">
        <v>4062</v>
      </c>
      <c r="M6622" t="str">
        <f>VLOOKUP(L6622,[1]HBA!$B$2:$C$4000,2,FALSE)</f>
        <v>SCG</v>
      </c>
    </row>
    <row r="6623" spans="2:13" x14ac:dyDescent="0.25">
      <c r="B6623" s="31" t="s">
        <v>26303</v>
      </c>
      <c r="C6623" s="20"/>
      <c r="D6623" s="25" t="s">
        <v>26232</v>
      </c>
      <c r="E6623" s="25" t="s">
        <v>26300</v>
      </c>
      <c r="F6623" s="9" t="str">
        <f t="shared" si="96"/>
        <v>structure with developmental contribution from neural crest</v>
      </c>
      <c r="G6623" s="9" t="s">
        <v>5090</v>
      </c>
      <c r="H6623" s="9" t="s">
        <v>23852</v>
      </c>
      <c r="I6623" s="9" t="s">
        <v>12192</v>
      </c>
      <c r="J6623" s="9" t="s">
        <v>12193</v>
      </c>
      <c r="K6623" s="7" t="s">
        <v>15171</v>
      </c>
      <c r="L6623" s="13">
        <v>4063</v>
      </c>
      <c r="M6623" t="str">
        <f>VLOOKUP(L6623,[1]HBA!$B$2:$C$4000,2,FALSE)</f>
        <v>SCG</v>
      </c>
    </row>
    <row r="6624" spans="2:13" x14ac:dyDescent="0.25">
      <c r="B6624" s="31" t="s">
        <v>26303</v>
      </c>
      <c r="C6624" s="20"/>
      <c r="D6624" s="25" t="s">
        <v>26232</v>
      </c>
      <c r="E6624" s="25" t="s">
        <v>26300</v>
      </c>
      <c r="F6624" s="9" t="str">
        <f t="shared" si="96"/>
        <v>structure with developmental contribution from neural crest</v>
      </c>
      <c r="G6624" s="9" t="s">
        <v>5090</v>
      </c>
      <c r="H6624" s="9" t="s">
        <v>23852</v>
      </c>
      <c r="I6624" s="9" t="s">
        <v>12194</v>
      </c>
      <c r="J6624" s="9" t="s">
        <v>12195</v>
      </c>
      <c r="K6624" s="7" t="s">
        <v>15171</v>
      </c>
      <c r="L6624" s="13">
        <v>4064</v>
      </c>
      <c r="M6624" t="str">
        <f>VLOOKUP(L6624,[1]HBA!$B$2:$C$4000,2,FALSE)</f>
        <v>SCG</v>
      </c>
    </row>
    <row r="6625" spans="2:13" x14ac:dyDescent="0.25">
      <c r="B6625" s="31" t="s">
        <v>26303</v>
      </c>
      <c r="C6625" s="25" t="s">
        <v>3625</v>
      </c>
      <c r="D6625" s="25" t="s">
        <v>26232</v>
      </c>
      <c r="E6625" s="25"/>
      <c r="F6625" s="9" t="str">
        <f t="shared" si="96"/>
        <v>structure with developmental contribution from neural crest</v>
      </c>
      <c r="G6625" s="9" t="s">
        <v>5090</v>
      </c>
      <c r="H6625" s="9" t="s">
        <v>23853</v>
      </c>
      <c r="I6625" s="9" t="s">
        <v>12196</v>
      </c>
      <c r="J6625" s="9" t="s">
        <v>12197</v>
      </c>
      <c r="K6625" s="7" t="s">
        <v>15171</v>
      </c>
      <c r="L6625" s="13">
        <v>4066</v>
      </c>
      <c r="M6625" t="str">
        <f>VLOOKUP(L6625,[1]HBA!$B$2:$C$4000,2,FALSE)</f>
        <v>PTG</v>
      </c>
    </row>
    <row r="6626" spans="2:13" x14ac:dyDescent="0.25">
      <c r="B6626" s="31" t="s">
        <v>26303</v>
      </c>
      <c r="C6626" s="25" t="s">
        <v>3625</v>
      </c>
      <c r="D6626" s="25" t="s">
        <v>26232</v>
      </c>
      <c r="E6626" s="25"/>
      <c r="F6626" s="9" t="str">
        <f t="shared" si="96"/>
        <v>structure with developmental contribution from neural crest</v>
      </c>
      <c r="G6626" s="9" t="s">
        <v>5090</v>
      </c>
      <c r="H6626" s="9" t="s">
        <v>23853</v>
      </c>
      <c r="I6626" s="9" t="s">
        <v>12198</v>
      </c>
      <c r="J6626" s="9" t="s">
        <v>12199</v>
      </c>
      <c r="K6626" s="7" t="s">
        <v>15171</v>
      </c>
      <c r="L6626" s="13">
        <v>4067</v>
      </c>
      <c r="M6626" t="str">
        <f>VLOOKUP(L6626,[1]HBA!$B$2:$C$4000,2,FALSE)</f>
        <v>PTG</v>
      </c>
    </row>
    <row r="6627" spans="2:13" x14ac:dyDescent="0.25">
      <c r="B6627" s="31" t="s">
        <v>26303</v>
      </c>
      <c r="C6627" s="20"/>
      <c r="D6627" s="25" t="s">
        <v>26232</v>
      </c>
      <c r="E6627" s="25"/>
      <c r="F6627" s="9" t="str">
        <f t="shared" si="96"/>
        <v>structure with developmental contribution from neural crest</v>
      </c>
      <c r="G6627" s="9" t="s">
        <v>5090</v>
      </c>
      <c r="H6627" s="9" t="s">
        <v>24773</v>
      </c>
      <c r="I6627" s="9" t="s">
        <v>12200</v>
      </c>
      <c r="J6627" s="9" t="s">
        <v>12201</v>
      </c>
      <c r="K6627" s="7" t="s">
        <v>15171</v>
      </c>
      <c r="L6627" s="13">
        <v>4068</v>
      </c>
      <c r="M6627" t="str">
        <f>VLOOKUP(L6627,[1]HBA!$B$2:$C$4000,2,FALSE)</f>
        <v>PaOG</v>
      </c>
    </row>
    <row r="6628" spans="2:13" x14ac:dyDescent="0.25">
      <c r="B6628" s="31" t="s">
        <v>26303</v>
      </c>
      <c r="C6628" s="20"/>
      <c r="D6628" s="25" t="s">
        <v>26232</v>
      </c>
      <c r="E6628" s="25"/>
      <c r="F6628" s="9" t="str">
        <f t="shared" si="96"/>
        <v>structure with developmental contribution from neural crest</v>
      </c>
      <c r="G6628" s="9" t="s">
        <v>5090</v>
      </c>
      <c r="H6628" s="9" t="s">
        <v>24773</v>
      </c>
      <c r="I6628" s="9" t="s">
        <v>12202</v>
      </c>
      <c r="J6628" s="9" t="s">
        <v>12203</v>
      </c>
      <c r="K6628" s="7" t="s">
        <v>15171</v>
      </c>
      <c r="L6628" s="13">
        <v>4069</v>
      </c>
      <c r="M6628" t="str">
        <f>VLOOKUP(L6628,[1]HBA!$B$2:$C$4000,2,FALSE)</f>
        <v>PaOG</v>
      </c>
    </row>
    <row r="6629" spans="2:13" x14ac:dyDescent="0.25">
      <c r="B6629" s="31" t="s">
        <v>26303</v>
      </c>
      <c r="C6629" s="20"/>
      <c r="D6629" s="25" t="s">
        <v>26232</v>
      </c>
      <c r="E6629" s="25"/>
      <c r="F6629" s="9" t="str">
        <f t="shared" si="96"/>
        <v>structure with developmental contribution from neural crest</v>
      </c>
      <c r="G6629" s="9" t="s">
        <v>5090</v>
      </c>
      <c r="H6629" s="9" t="s">
        <v>24773</v>
      </c>
      <c r="I6629" s="9" t="s">
        <v>12204</v>
      </c>
      <c r="J6629" s="9" t="s">
        <v>12205</v>
      </c>
      <c r="K6629" s="7" t="s">
        <v>15171</v>
      </c>
      <c r="L6629" s="13">
        <v>4070</v>
      </c>
      <c r="M6629" t="str">
        <f>VLOOKUP(L6629,[1]HBA!$B$2:$C$4000,2,FALSE)</f>
        <v>PaOG</v>
      </c>
    </row>
    <row r="6630" spans="2:13" x14ac:dyDescent="0.25">
      <c r="B6630" s="31" t="s">
        <v>26303</v>
      </c>
      <c r="C6630" s="25" t="s">
        <v>25795</v>
      </c>
      <c r="D6630" s="25" t="s">
        <v>26232</v>
      </c>
      <c r="E6630" s="25"/>
      <c r="F6630" s="9" t="str">
        <f t="shared" si="96"/>
        <v>structure with developmental contribution from neural crest</v>
      </c>
      <c r="G6630" s="9" t="s">
        <v>5090</v>
      </c>
      <c r="H6630" s="9" t="s">
        <v>24770</v>
      </c>
      <c r="I6630" s="9" t="s">
        <v>12206</v>
      </c>
      <c r="J6630" s="9" t="s">
        <v>12207</v>
      </c>
      <c r="K6630" s="7" t="s">
        <v>15171</v>
      </c>
      <c r="L6630" s="13">
        <v>4072</v>
      </c>
      <c r="M6630" t="str">
        <f>VLOOKUP(L6630,[1]HBA!$B$2:$C$4000,2,FALSE)</f>
        <v>PCLa</v>
      </c>
    </row>
    <row r="6631" spans="2:13" x14ac:dyDescent="0.25">
      <c r="B6631" s="31" t="s">
        <v>26303</v>
      </c>
      <c r="C6631" s="25" t="s">
        <v>25795</v>
      </c>
      <c r="D6631" s="25" t="s">
        <v>26232</v>
      </c>
      <c r="E6631" s="25"/>
      <c r="F6631" s="9" t="str">
        <f t="shared" si="96"/>
        <v>structure with developmental contribution from neural crest</v>
      </c>
      <c r="G6631" s="9" t="s">
        <v>5090</v>
      </c>
      <c r="H6631" s="9" t="s">
        <v>24771</v>
      </c>
      <c r="I6631" s="9" t="s">
        <v>12208</v>
      </c>
      <c r="J6631" s="9" t="s">
        <v>12209</v>
      </c>
      <c r="K6631" s="7" t="s">
        <v>15171</v>
      </c>
      <c r="L6631" s="13">
        <v>4073</v>
      </c>
      <c r="M6631" t="str">
        <f>VLOOKUP(L6631,[1]HBA!$B$2:$C$4000,2,FALSE)</f>
        <v>PCLa-s</v>
      </c>
    </row>
    <row r="6632" spans="2:13" x14ac:dyDescent="0.25">
      <c r="B6632" s="31" t="s">
        <v>26303</v>
      </c>
      <c r="C6632" s="25" t="s">
        <v>25795</v>
      </c>
      <c r="D6632" s="25" t="s">
        <v>26232</v>
      </c>
      <c r="E6632" s="25"/>
      <c r="F6632" s="9" t="str">
        <f t="shared" si="96"/>
        <v>structure with developmental contribution from neural crest</v>
      </c>
      <c r="G6632" s="9" t="s">
        <v>5090</v>
      </c>
      <c r="H6632" s="9" t="s">
        <v>24772</v>
      </c>
      <c r="I6632" s="9" t="s">
        <v>12210</v>
      </c>
      <c r="J6632" s="9" t="s">
        <v>12211</v>
      </c>
      <c r="K6632" s="7" t="s">
        <v>15171</v>
      </c>
      <c r="L6632" s="13">
        <v>4074</v>
      </c>
      <c r="M6632" t="str">
        <f>VLOOKUP(L6632,[1]HBA!$B$2:$C$4000,2,FALSE)</f>
        <v>PCLa-i</v>
      </c>
    </row>
    <row r="6633" spans="2:13" x14ac:dyDescent="0.25">
      <c r="B6633" s="31" t="s">
        <v>26303</v>
      </c>
      <c r="C6633" s="25" t="s">
        <v>25795</v>
      </c>
      <c r="D6633" s="25" t="s">
        <v>26232</v>
      </c>
      <c r="E6633" s="25"/>
      <c r="F6633" s="9" t="str">
        <f t="shared" si="96"/>
        <v>structure with developmental contribution from neural crest</v>
      </c>
      <c r="G6633" s="9" t="s">
        <v>5090</v>
      </c>
      <c r="H6633" s="9" t="s">
        <v>24770</v>
      </c>
      <c r="I6633" s="9" t="s">
        <v>12212</v>
      </c>
      <c r="J6633" s="9" t="s">
        <v>12213</v>
      </c>
      <c r="K6633" s="7" t="s">
        <v>15171</v>
      </c>
      <c r="L6633" s="13">
        <v>4075</v>
      </c>
      <c r="M6633" t="str">
        <f>VLOOKUP(L6633,[1]HBA!$B$2:$C$4000,2,FALSE)</f>
        <v>PCLa</v>
      </c>
    </row>
    <row r="6634" spans="2:13" x14ac:dyDescent="0.25">
      <c r="B6634" s="31" t="s">
        <v>26303</v>
      </c>
      <c r="C6634" s="25" t="s">
        <v>25795</v>
      </c>
      <c r="D6634" s="25" t="s">
        <v>26232</v>
      </c>
      <c r="E6634" s="25"/>
      <c r="F6634" s="9" t="str">
        <f t="shared" si="96"/>
        <v>structure with developmental contribution from neural crest</v>
      </c>
      <c r="G6634" s="9" t="s">
        <v>5090</v>
      </c>
      <c r="H6634" s="9" t="s">
        <v>24771</v>
      </c>
      <c r="I6634" s="9" t="s">
        <v>12214</v>
      </c>
      <c r="J6634" s="9" t="s">
        <v>12215</v>
      </c>
      <c r="K6634" s="7" t="s">
        <v>15171</v>
      </c>
      <c r="L6634" s="13">
        <v>4076</v>
      </c>
      <c r="M6634" t="str">
        <f>VLOOKUP(L6634,[1]HBA!$B$2:$C$4000,2,FALSE)</f>
        <v>PCLa-s</v>
      </c>
    </row>
    <row r="6635" spans="2:13" x14ac:dyDescent="0.25">
      <c r="B6635" s="31" t="s">
        <v>26303</v>
      </c>
      <c r="C6635" s="25" t="s">
        <v>25795</v>
      </c>
      <c r="D6635" s="25" t="s">
        <v>26232</v>
      </c>
      <c r="E6635" s="25"/>
      <c r="F6635" s="9" t="str">
        <f t="shared" si="96"/>
        <v>structure with developmental contribution from neural crest</v>
      </c>
      <c r="G6635" s="9" t="s">
        <v>5090</v>
      </c>
      <c r="H6635" s="9" t="s">
        <v>24772</v>
      </c>
      <c r="I6635" s="9" t="s">
        <v>12216</v>
      </c>
      <c r="J6635" s="9" t="s">
        <v>12217</v>
      </c>
      <c r="K6635" s="7" t="s">
        <v>15171</v>
      </c>
      <c r="L6635" s="13">
        <v>4077</v>
      </c>
      <c r="M6635" t="str">
        <f>VLOOKUP(L6635,[1]HBA!$B$2:$C$4000,2,FALSE)</f>
        <v>PCLa-i</v>
      </c>
    </row>
    <row r="6636" spans="2:13" x14ac:dyDescent="0.25">
      <c r="B6636" s="31" t="s">
        <v>26303</v>
      </c>
      <c r="C6636" s="25" t="s">
        <v>2023</v>
      </c>
      <c r="D6636" s="25" t="s">
        <v>26232</v>
      </c>
      <c r="E6636" s="25"/>
      <c r="F6636" s="9" t="str">
        <f t="shared" si="96"/>
        <v>structure with developmental contribution from neural crest</v>
      </c>
      <c r="G6636" s="9" t="s">
        <v>5090</v>
      </c>
      <c r="H6636" s="9" t="s">
        <v>24759</v>
      </c>
      <c r="I6636" s="9" t="s">
        <v>12218</v>
      </c>
      <c r="J6636" s="9" t="s">
        <v>12219</v>
      </c>
      <c r="K6636" s="7" t="s">
        <v>15171</v>
      </c>
      <c r="L6636" s="13">
        <v>4079</v>
      </c>
      <c r="M6636" t="str">
        <f>VLOOKUP(L6636,[1]HBA!$B$2:$C$4000,2,FALSE)</f>
        <v>fro</v>
      </c>
    </row>
    <row r="6637" spans="2:13" x14ac:dyDescent="0.25">
      <c r="B6637" s="31" t="s">
        <v>26303</v>
      </c>
      <c r="C6637" s="25" t="s">
        <v>2023</v>
      </c>
      <c r="D6637" s="25" t="s">
        <v>26232</v>
      </c>
      <c r="E6637" s="25"/>
      <c r="F6637" s="9" t="str">
        <f t="shared" si="96"/>
        <v>structure with developmental contribution from neural crest</v>
      </c>
      <c r="G6637" s="9" t="s">
        <v>5090</v>
      </c>
      <c r="H6637" s="9" t="s">
        <v>24759</v>
      </c>
      <c r="I6637" s="9" t="s">
        <v>12220</v>
      </c>
      <c r="J6637" s="9" t="s">
        <v>12221</v>
      </c>
      <c r="K6637" s="7" t="s">
        <v>15171</v>
      </c>
      <c r="L6637" s="13">
        <v>4080</v>
      </c>
      <c r="M6637" t="str">
        <f>VLOOKUP(L6637,[1]HBA!$B$2:$C$4000,2,FALSE)</f>
        <v>fro</v>
      </c>
    </row>
    <row r="6638" spans="2:13" x14ac:dyDescent="0.25">
      <c r="B6638" s="31" t="s">
        <v>26303</v>
      </c>
      <c r="C6638" s="25" t="s">
        <v>3900</v>
      </c>
      <c r="D6638" s="25" t="s">
        <v>26232</v>
      </c>
      <c r="E6638" s="25"/>
      <c r="F6638" s="9" t="str">
        <f t="shared" si="96"/>
        <v>structure with developmental contribution from neural crest</v>
      </c>
      <c r="G6638" s="9" t="s">
        <v>5090</v>
      </c>
      <c r="H6638" s="9" t="s">
        <v>24815</v>
      </c>
      <c r="I6638" s="9" t="s">
        <v>12222</v>
      </c>
      <c r="J6638" s="9" t="s">
        <v>12223</v>
      </c>
      <c r="K6638" s="7" t="s">
        <v>15171</v>
      </c>
      <c r="L6638" s="13">
        <v>4086</v>
      </c>
      <c r="M6638" t="str">
        <f>VLOOKUP(L6638,[1]HBA!$B$2:$C$4000,2,FALSE)</f>
        <v>PoG</v>
      </c>
    </row>
    <row r="6639" spans="2:13" x14ac:dyDescent="0.25">
      <c r="B6639" s="31" t="s">
        <v>26303</v>
      </c>
      <c r="C6639" s="25" t="s">
        <v>3900</v>
      </c>
      <c r="D6639" s="25" t="s">
        <v>26232</v>
      </c>
      <c r="E6639" s="25"/>
      <c r="F6639" s="9" t="str">
        <f t="shared" si="96"/>
        <v>structure with developmental contribution from neural crest</v>
      </c>
      <c r="G6639" s="9" t="s">
        <v>5090</v>
      </c>
      <c r="H6639" s="9" t="s">
        <v>24816</v>
      </c>
      <c r="I6639" s="9" t="s">
        <v>12224</v>
      </c>
      <c r="J6639" s="9" t="s">
        <v>12225</v>
      </c>
      <c r="K6639" s="7" t="s">
        <v>15171</v>
      </c>
      <c r="L6639" s="13">
        <v>4087</v>
      </c>
      <c r="M6639" t="str">
        <f>VLOOKUP(L6639,[1]HBA!$B$2:$C$4000,2,FALSE)</f>
        <v>PoG-cs</v>
      </c>
    </row>
    <row r="6640" spans="2:13" x14ac:dyDescent="0.25">
      <c r="B6640" s="31" t="s">
        <v>26303</v>
      </c>
      <c r="C6640" s="25" t="s">
        <v>3900</v>
      </c>
      <c r="D6640" s="25" t="s">
        <v>26232</v>
      </c>
      <c r="E6640" s="25"/>
      <c r="F6640" s="9" t="str">
        <f t="shared" si="96"/>
        <v>structure with developmental contribution from neural crest</v>
      </c>
      <c r="G6640" s="9" t="s">
        <v>5090</v>
      </c>
      <c r="H6640" s="9" t="s">
        <v>24817</v>
      </c>
      <c r="I6640" s="9" t="s">
        <v>12226</v>
      </c>
      <c r="J6640" s="9" t="s">
        <v>12227</v>
      </c>
      <c r="K6640" s="7" t="s">
        <v>15171</v>
      </c>
      <c r="L6640" s="13">
        <v>4088</v>
      </c>
      <c r="M6640" t="str">
        <f>VLOOKUP(L6640,[1]HBA!$B$2:$C$4000,2,FALSE)</f>
        <v>PoG-sl</v>
      </c>
    </row>
    <row r="6641" spans="2:13" x14ac:dyDescent="0.25">
      <c r="B6641" s="31" t="s">
        <v>26303</v>
      </c>
      <c r="C6641" s="25" t="s">
        <v>3900</v>
      </c>
      <c r="D6641" s="25" t="s">
        <v>26232</v>
      </c>
      <c r="E6641" s="25"/>
      <c r="F6641" s="9" t="str">
        <f t="shared" si="96"/>
        <v>structure with developmental contribution from neural crest</v>
      </c>
      <c r="G6641" s="9" t="s">
        <v>5090</v>
      </c>
      <c r="H6641" s="9" t="s">
        <v>24818</v>
      </c>
      <c r="I6641" s="9" t="s">
        <v>12228</v>
      </c>
      <c r="J6641" s="9" t="s">
        <v>12229</v>
      </c>
      <c r="K6641" s="7" t="s">
        <v>15171</v>
      </c>
      <c r="L6641" s="13">
        <v>4089</v>
      </c>
      <c r="M6641" t="str">
        <f>VLOOKUP(L6641,[1]HBA!$B$2:$C$4000,2,FALSE)</f>
        <v>PoG-il</v>
      </c>
    </row>
    <row r="6642" spans="2:13" x14ac:dyDescent="0.25">
      <c r="B6642" s="31" t="s">
        <v>26303</v>
      </c>
      <c r="C6642" s="25" t="s">
        <v>3900</v>
      </c>
      <c r="D6642" s="25" t="s">
        <v>26232</v>
      </c>
      <c r="E6642" s="25"/>
      <c r="F6642" s="9" t="str">
        <f t="shared" si="96"/>
        <v>structure with developmental contribution from neural crest</v>
      </c>
      <c r="G6642" s="9" t="s">
        <v>5090</v>
      </c>
      <c r="H6642" s="9" t="s">
        <v>24819</v>
      </c>
      <c r="I6642" s="9" t="s">
        <v>12230</v>
      </c>
      <c r="J6642" s="9" t="s">
        <v>12231</v>
      </c>
      <c r="K6642" s="7" t="s">
        <v>15171</v>
      </c>
      <c r="L6642" s="13">
        <v>4090</v>
      </c>
      <c r="M6642" t="str">
        <f>VLOOKUP(L6642,[1]HBA!$B$2:$C$4000,2,FALSE)</f>
        <v>PoG-pcs</v>
      </c>
    </row>
    <row r="6643" spans="2:13" x14ac:dyDescent="0.25">
      <c r="B6643" s="31" t="s">
        <v>26303</v>
      </c>
      <c r="C6643" s="25" t="s">
        <v>3900</v>
      </c>
      <c r="D6643" s="25" t="s">
        <v>26232</v>
      </c>
      <c r="E6643" s="25"/>
      <c r="F6643" s="9" t="str">
        <f t="shared" si="96"/>
        <v>structure with developmental contribution from neural crest</v>
      </c>
      <c r="G6643" s="9" t="s">
        <v>5090</v>
      </c>
      <c r="H6643" s="9" t="s">
        <v>24815</v>
      </c>
      <c r="I6643" s="9" t="s">
        <v>12232</v>
      </c>
      <c r="J6643" s="9" t="s">
        <v>12233</v>
      </c>
      <c r="K6643" s="7" t="s">
        <v>15171</v>
      </c>
      <c r="L6643" s="13">
        <v>4091</v>
      </c>
      <c r="M6643" t="str">
        <f>VLOOKUP(L6643,[1]HBA!$B$2:$C$4000,2,FALSE)</f>
        <v>PoG</v>
      </c>
    </row>
    <row r="6644" spans="2:13" x14ac:dyDescent="0.25">
      <c r="B6644" s="31" t="s">
        <v>26303</v>
      </c>
      <c r="C6644" s="25" t="s">
        <v>3900</v>
      </c>
      <c r="D6644" s="25" t="s">
        <v>26232</v>
      </c>
      <c r="E6644" s="25"/>
      <c r="F6644" s="9" t="str">
        <f t="shared" si="96"/>
        <v>structure with developmental contribution from neural crest</v>
      </c>
      <c r="G6644" s="9" t="s">
        <v>5090</v>
      </c>
      <c r="H6644" s="9" t="s">
        <v>24816</v>
      </c>
      <c r="I6644" s="9" t="s">
        <v>12234</v>
      </c>
      <c r="J6644" s="9" t="s">
        <v>12235</v>
      </c>
      <c r="K6644" s="7" t="s">
        <v>15171</v>
      </c>
      <c r="L6644" s="13">
        <v>4092</v>
      </c>
      <c r="M6644" t="str">
        <f>VLOOKUP(L6644,[1]HBA!$B$2:$C$4000,2,FALSE)</f>
        <v>PoG-cs</v>
      </c>
    </row>
    <row r="6645" spans="2:13" x14ac:dyDescent="0.25">
      <c r="B6645" s="31" t="s">
        <v>26303</v>
      </c>
      <c r="C6645" s="25" t="s">
        <v>3900</v>
      </c>
      <c r="D6645" s="25" t="s">
        <v>26232</v>
      </c>
      <c r="E6645" s="25"/>
      <c r="F6645" s="9" t="str">
        <f t="shared" si="96"/>
        <v>structure with developmental contribution from neural crest</v>
      </c>
      <c r="G6645" s="9" t="s">
        <v>5090</v>
      </c>
      <c r="H6645" s="9" t="s">
        <v>24817</v>
      </c>
      <c r="I6645" s="9" t="s">
        <v>12236</v>
      </c>
      <c r="J6645" s="9" t="s">
        <v>12237</v>
      </c>
      <c r="K6645" s="7" t="s">
        <v>15171</v>
      </c>
      <c r="L6645" s="13">
        <v>4093</v>
      </c>
      <c r="M6645" t="str">
        <f>VLOOKUP(L6645,[1]HBA!$B$2:$C$4000,2,FALSE)</f>
        <v>PoG-sl</v>
      </c>
    </row>
    <row r="6646" spans="2:13" x14ac:dyDescent="0.25">
      <c r="B6646" s="31" t="s">
        <v>26303</v>
      </c>
      <c r="C6646" s="25" t="s">
        <v>3900</v>
      </c>
      <c r="D6646" s="25" t="s">
        <v>26232</v>
      </c>
      <c r="E6646" s="25"/>
      <c r="F6646" s="9" t="str">
        <f t="shared" si="96"/>
        <v>structure with developmental contribution from neural crest</v>
      </c>
      <c r="G6646" s="9" t="s">
        <v>5090</v>
      </c>
      <c r="H6646" s="9" t="s">
        <v>24818</v>
      </c>
      <c r="I6646" s="9" t="s">
        <v>12238</v>
      </c>
      <c r="J6646" s="9" t="s">
        <v>12239</v>
      </c>
      <c r="K6646" s="7" t="s">
        <v>15171</v>
      </c>
      <c r="L6646" s="13">
        <v>4094</v>
      </c>
      <c r="M6646" t="str">
        <f>VLOOKUP(L6646,[1]HBA!$B$2:$C$4000,2,FALSE)</f>
        <v>PoG-il</v>
      </c>
    </row>
    <row r="6647" spans="2:13" x14ac:dyDescent="0.25">
      <c r="B6647" s="31" t="s">
        <v>26303</v>
      </c>
      <c r="C6647" s="25" t="s">
        <v>3900</v>
      </c>
      <c r="D6647" s="25" t="s">
        <v>26232</v>
      </c>
      <c r="E6647" s="25"/>
      <c r="F6647" s="9" t="str">
        <f t="shared" ref="F6647:F6710" si="97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6647" s="9" t="s">
        <v>5090</v>
      </c>
      <c r="H6647" s="9" t="s">
        <v>24819</v>
      </c>
      <c r="I6647" s="9" t="s">
        <v>12240</v>
      </c>
      <c r="J6647" s="9" t="s">
        <v>12241</v>
      </c>
      <c r="K6647" s="7" t="s">
        <v>15171</v>
      </c>
      <c r="L6647" s="13">
        <v>4095</v>
      </c>
      <c r="M6647" t="str">
        <f>VLOOKUP(L6647,[1]HBA!$B$2:$C$4000,2,FALSE)</f>
        <v>PoG-pcs</v>
      </c>
    </row>
    <row r="6648" spans="2:13" x14ac:dyDescent="0.25">
      <c r="B6648" s="31" t="s">
        <v>26303</v>
      </c>
      <c r="C6648" s="25" t="s">
        <v>26244</v>
      </c>
      <c r="D6648" s="25" t="s">
        <v>26232</v>
      </c>
      <c r="E6648" s="25"/>
      <c r="F6648" s="9" t="str">
        <f t="shared" si="97"/>
        <v>structure with developmental contribution from neural crest</v>
      </c>
      <c r="G6648" s="9" t="s">
        <v>5090</v>
      </c>
      <c r="H6648" s="9" t="s">
        <v>23816</v>
      </c>
      <c r="I6648" s="9" t="s">
        <v>12242</v>
      </c>
      <c r="J6648" s="9" t="s">
        <v>12243</v>
      </c>
      <c r="K6648" s="7" t="s">
        <v>15171</v>
      </c>
      <c r="L6648" s="13">
        <v>4097</v>
      </c>
      <c r="M6648" t="str">
        <f>VLOOKUP(L6648,[1]HBA!$B$2:$C$4000,2,FALSE)</f>
        <v>SPL</v>
      </c>
    </row>
    <row r="6649" spans="2:13" x14ac:dyDescent="0.25">
      <c r="B6649" s="31" t="s">
        <v>26303</v>
      </c>
      <c r="C6649" s="25" t="s">
        <v>26244</v>
      </c>
      <c r="D6649" s="25" t="s">
        <v>26232</v>
      </c>
      <c r="E6649" s="25"/>
      <c r="F6649" s="9" t="str">
        <f t="shared" si="97"/>
        <v>structure with developmental contribution from neural crest</v>
      </c>
      <c r="G6649" s="9" t="s">
        <v>5090</v>
      </c>
      <c r="H6649" s="9" t="s">
        <v>24823</v>
      </c>
      <c r="I6649" s="9" t="s">
        <v>12244</v>
      </c>
      <c r="J6649" s="9" t="s">
        <v>12245</v>
      </c>
      <c r="K6649" s="7" t="s">
        <v>15171</v>
      </c>
      <c r="L6649" s="13">
        <v>4098</v>
      </c>
      <c r="M6649" t="str">
        <f>VLOOKUP(L6649,[1]HBA!$B$2:$C$4000,2,FALSE)</f>
        <v>SPL-s</v>
      </c>
    </row>
    <row r="6650" spans="2:13" x14ac:dyDescent="0.25">
      <c r="B6650" s="31" t="s">
        <v>26303</v>
      </c>
      <c r="C6650" s="25" t="s">
        <v>26244</v>
      </c>
      <c r="D6650" s="25" t="s">
        <v>26232</v>
      </c>
      <c r="E6650" s="25"/>
      <c r="F6650" s="9" t="str">
        <f t="shared" si="97"/>
        <v>structure with developmental contribution from neural crest</v>
      </c>
      <c r="G6650" s="9" t="s">
        <v>5090</v>
      </c>
      <c r="H6650" s="9" t="s">
        <v>24824</v>
      </c>
      <c r="I6650" s="9" t="s">
        <v>12246</v>
      </c>
      <c r="J6650" s="9" t="s">
        <v>12247</v>
      </c>
      <c r="K6650" s="7" t="s">
        <v>15171</v>
      </c>
      <c r="L6650" s="13">
        <v>4099</v>
      </c>
      <c r="M6650" t="str">
        <f>VLOOKUP(L6650,[1]HBA!$B$2:$C$4000,2,FALSE)</f>
        <v>SPL-i</v>
      </c>
    </row>
    <row r="6651" spans="2:13" x14ac:dyDescent="0.25">
      <c r="B6651" s="31" t="s">
        <v>26303</v>
      </c>
      <c r="C6651" s="25" t="s">
        <v>26244</v>
      </c>
      <c r="D6651" s="25" t="s">
        <v>26232</v>
      </c>
      <c r="E6651" s="25"/>
      <c r="F6651" s="9" t="str">
        <f t="shared" si="97"/>
        <v>structure with developmental contribution from neural crest</v>
      </c>
      <c r="G6651" s="9" t="s">
        <v>5090</v>
      </c>
      <c r="H6651" s="9" t="s">
        <v>23816</v>
      </c>
      <c r="I6651" s="9" t="s">
        <v>12248</v>
      </c>
      <c r="J6651" s="9" t="s">
        <v>12249</v>
      </c>
      <c r="K6651" s="7" t="s">
        <v>15171</v>
      </c>
      <c r="L6651" s="13">
        <v>4100</v>
      </c>
      <c r="M6651" t="str">
        <f>VLOOKUP(L6651,[1]HBA!$B$2:$C$4000,2,FALSE)</f>
        <v>SPL</v>
      </c>
    </row>
    <row r="6652" spans="2:13" x14ac:dyDescent="0.25">
      <c r="B6652" s="31" t="s">
        <v>26303</v>
      </c>
      <c r="C6652" s="25" t="s">
        <v>26244</v>
      </c>
      <c r="D6652" s="25" t="s">
        <v>26232</v>
      </c>
      <c r="E6652" s="25"/>
      <c r="F6652" s="9" t="str">
        <f t="shared" si="97"/>
        <v>structure with developmental contribution from neural crest</v>
      </c>
      <c r="G6652" s="9" t="s">
        <v>5090</v>
      </c>
      <c r="H6652" s="9" t="s">
        <v>24823</v>
      </c>
      <c r="I6652" s="9" t="s">
        <v>12250</v>
      </c>
      <c r="J6652" s="9" t="s">
        <v>12251</v>
      </c>
      <c r="K6652" s="7" t="s">
        <v>15171</v>
      </c>
      <c r="L6652" s="13">
        <v>4101</v>
      </c>
      <c r="M6652" t="str">
        <f>VLOOKUP(L6652,[1]HBA!$B$2:$C$4000,2,FALSE)</f>
        <v>SPL-s</v>
      </c>
    </row>
    <row r="6653" spans="2:13" x14ac:dyDescent="0.25">
      <c r="B6653" s="31" t="s">
        <v>26303</v>
      </c>
      <c r="C6653" s="25" t="s">
        <v>26244</v>
      </c>
      <c r="D6653" s="25" t="s">
        <v>26232</v>
      </c>
      <c r="E6653" s="25"/>
      <c r="F6653" s="9" t="str">
        <f t="shared" si="97"/>
        <v>structure with developmental contribution from neural crest</v>
      </c>
      <c r="G6653" s="9" t="s">
        <v>5090</v>
      </c>
      <c r="H6653" s="9" t="s">
        <v>24824</v>
      </c>
      <c r="I6653" s="9" t="s">
        <v>12252</v>
      </c>
      <c r="J6653" s="9" t="s">
        <v>12253</v>
      </c>
      <c r="K6653" s="7" t="s">
        <v>15171</v>
      </c>
      <c r="L6653" s="13">
        <v>4102</v>
      </c>
      <c r="M6653" t="str">
        <f>VLOOKUP(L6653,[1]HBA!$B$2:$C$4000,2,FALSE)</f>
        <v>SPL-i</v>
      </c>
    </row>
    <row r="6654" spans="2:13" x14ac:dyDescent="0.25">
      <c r="B6654" s="31" t="s">
        <v>26303</v>
      </c>
      <c r="C6654" s="25" t="s">
        <v>14876</v>
      </c>
      <c r="D6654" s="25" t="s">
        <v>26232</v>
      </c>
      <c r="E6654" s="25"/>
      <c r="F6654" s="9" t="str">
        <f t="shared" si="97"/>
        <v>structure with developmental contribution from neural crest</v>
      </c>
      <c r="G6654" s="9" t="s">
        <v>5090</v>
      </c>
      <c r="H6654" s="9" t="s">
        <v>23817</v>
      </c>
      <c r="I6654" s="9" t="s">
        <v>12254</v>
      </c>
      <c r="J6654" s="9" t="s">
        <v>12255</v>
      </c>
      <c r="K6654" s="7" t="s">
        <v>15171</v>
      </c>
      <c r="L6654" s="13">
        <v>4105</v>
      </c>
      <c r="M6654" t="str">
        <f>VLOOKUP(L6654,[1]HBA!$B$2:$C$4000,2,FALSE)</f>
        <v>SMG</v>
      </c>
    </row>
    <row r="6655" spans="2:13" x14ac:dyDescent="0.25">
      <c r="B6655" s="31" t="s">
        <v>26303</v>
      </c>
      <c r="C6655" s="25" t="s">
        <v>14876</v>
      </c>
      <c r="D6655" s="25" t="s">
        <v>26232</v>
      </c>
      <c r="E6655" s="25"/>
      <c r="F6655" s="9" t="str">
        <f t="shared" si="97"/>
        <v>structure with developmental contribution from neural crest</v>
      </c>
      <c r="G6655" s="9" t="s">
        <v>5090</v>
      </c>
      <c r="H6655" s="9" t="s">
        <v>24810</v>
      </c>
      <c r="I6655" s="9" t="s">
        <v>12256</v>
      </c>
      <c r="J6655" s="9" t="s">
        <v>12257</v>
      </c>
      <c r="K6655" s="7" t="s">
        <v>15171</v>
      </c>
      <c r="L6655" s="13">
        <v>4106</v>
      </c>
      <c r="M6655" t="str">
        <f>VLOOKUP(L6655,[1]HBA!$B$2:$C$4000,2,FALSE)</f>
        <v>SMG-s</v>
      </c>
    </row>
    <row r="6656" spans="2:13" x14ac:dyDescent="0.25">
      <c r="B6656" s="31" t="s">
        <v>26303</v>
      </c>
      <c r="C6656" s="25" t="s">
        <v>14876</v>
      </c>
      <c r="D6656" s="25" t="s">
        <v>26232</v>
      </c>
      <c r="E6656" s="25"/>
      <c r="F6656" s="9" t="str">
        <f t="shared" si="97"/>
        <v>structure with developmental contribution from neural crest</v>
      </c>
      <c r="G6656" s="9" t="s">
        <v>5090</v>
      </c>
      <c r="H6656" s="9" t="s">
        <v>24811</v>
      </c>
      <c r="I6656" s="9" t="s">
        <v>12258</v>
      </c>
      <c r="J6656" s="9" t="s">
        <v>12259</v>
      </c>
      <c r="K6656" s="7" t="s">
        <v>15171</v>
      </c>
      <c r="L6656" s="13">
        <v>4107</v>
      </c>
      <c r="M6656" t="str">
        <f>VLOOKUP(L6656,[1]HBA!$B$2:$C$4000,2,FALSE)</f>
        <v>SMG-i</v>
      </c>
    </row>
    <row r="6657" spans="2:13" x14ac:dyDescent="0.25">
      <c r="B6657" s="31" t="s">
        <v>26303</v>
      </c>
      <c r="C6657" s="25" t="s">
        <v>14876</v>
      </c>
      <c r="D6657" s="25" t="s">
        <v>26232</v>
      </c>
      <c r="E6657" s="25"/>
      <c r="F6657" s="9" t="str">
        <f t="shared" si="97"/>
        <v>structure with developmental contribution from neural crest</v>
      </c>
      <c r="G6657" s="9" t="s">
        <v>5090</v>
      </c>
      <c r="H6657" s="9" t="s">
        <v>23817</v>
      </c>
      <c r="I6657" s="9" t="s">
        <v>12260</v>
      </c>
      <c r="J6657" s="9" t="s">
        <v>12261</v>
      </c>
      <c r="K6657" s="7" t="s">
        <v>15171</v>
      </c>
      <c r="L6657" s="13">
        <v>4108</v>
      </c>
      <c r="M6657" t="str">
        <f>VLOOKUP(L6657,[1]HBA!$B$2:$C$4000,2,FALSE)</f>
        <v>SMG</v>
      </c>
    </row>
    <row r="6658" spans="2:13" x14ac:dyDescent="0.25">
      <c r="B6658" s="31" t="s">
        <v>26303</v>
      </c>
      <c r="C6658" s="25" t="s">
        <v>14876</v>
      </c>
      <c r="D6658" s="25" t="s">
        <v>26232</v>
      </c>
      <c r="E6658" s="25"/>
      <c r="F6658" s="9" t="str">
        <f t="shared" si="97"/>
        <v>structure with developmental contribution from neural crest</v>
      </c>
      <c r="G6658" s="9" t="s">
        <v>5090</v>
      </c>
      <c r="H6658" s="9" t="s">
        <v>24810</v>
      </c>
      <c r="I6658" s="9" t="s">
        <v>12262</v>
      </c>
      <c r="J6658" s="9" t="s">
        <v>12263</v>
      </c>
      <c r="K6658" s="7" t="s">
        <v>15171</v>
      </c>
      <c r="L6658" s="13">
        <v>4109</v>
      </c>
      <c r="M6658" t="str">
        <f>VLOOKUP(L6658,[1]HBA!$B$2:$C$4000,2,FALSE)</f>
        <v>SMG-s</v>
      </c>
    </row>
    <row r="6659" spans="2:13" x14ac:dyDescent="0.25">
      <c r="B6659" s="31" t="s">
        <v>26303</v>
      </c>
      <c r="C6659" s="25" t="s">
        <v>14876</v>
      </c>
      <c r="D6659" s="25" t="s">
        <v>26232</v>
      </c>
      <c r="E6659" s="25"/>
      <c r="F6659" s="9" t="str">
        <f t="shared" si="97"/>
        <v>structure with developmental contribution from neural crest</v>
      </c>
      <c r="G6659" s="9" t="s">
        <v>5090</v>
      </c>
      <c r="H6659" s="9" t="s">
        <v>24811</v>
      </c>
      <c r="I6659" s="9" t="s">
        <v>12264</v>
      </c>
      <c r="J6659" s="9" t="s">
        <v>12265</v>
      </c>
      <c r="K6659" s="7" t="s">
        <v>15171</v>
      </c>
      <c r="L6659" s="13">
        <v>4110</v>
      </c>
      <c r="M6659" t="str">
        <f>VLOOKUP(L6659,[1]HBA!$B$2:$C$4000,2,FALSE)</f>
        <v>SMG-i</v>
      </c>
    </row>
    <row r="6660" spans="2:13" x14ac:dyDescent="0.25">
      <c r="B6660" s="31" t="s">
        <v>26303</v>
      </c>
      <c r="C6660" s="25" t="s">
        <v>273</v>
      </c>
      <c r="D6660" s="25" t="s">
        <v>26232</v>
      </c>
      <c r="E6660" s="25"/>
      <c r="F6660" s="9" t="str">
        <f t="shared" si="97"/>
        <v>structure with developmental contribution from neural crest</v>
      </c>
      <c r="G6660" s="9" t="s">
        <v>5090</v>
      </c>
      <c r="H6660" s="9" t="s">
        <v>23818</v>
      </c>
      <c r="I6660" s="9" t="s">
        <v>12266</v>
      </c>
      <c r="J6660" s="9" t="s">
        <v>12267</v>
      </c>
      <c r="K6660" s="7" t="s">
        <v>15171</v>
      </c>
      <c r="L6660" s="13">
        <v>4112</v>
      </c>
      <c r="M6660" t="str">
        <f>VLOOKUP(L6660,[1]HBA!$B$2:$C$4000,2,FALSE)</f>
        <v>AnG</v>
      </c>
    </row>
    <row r="6661" spans="2:13" x14ac:dyDescent="0.25">
      <c r="B6661" s="31" t="s">
        <v>26303</v>
      </c>
      <c r="C6661" s="25" t="s">
        <v>273</v>
      </c>
      <c r="D6661" s="25" t="s">
        <v>26232</v>
      </c>
      <c r="E6661" s="25"/>
      <c r="F6661" s="9" t="str">
        <f t="shared" si="97"/>
        <v>structure with developmental contribution from neural crest</v>
      </c>
      <c r="G6661" s="9" t="s">
        <v>5090</v>
      </c>
      <c r="H6661" s="9" t="s">
        <v>24808</v>
      </c>
      <c r="I6661" s="9" t="s">
        <v>12268</v>
      </c>
      <c r="J6661" s="9" t="s">
        <v>12269</v>
      </c>
      <c r="K6661" s="7" t="s">
        <v>15171</v>
      </c>
      <c r="L6661" s="13">
        <v>4113</v>
      </c>
      <c r="M6661" t="str">
        <f>VLOOKUP(L6661,[1]HBA!$B$2:$C$4000,2,FALSE)</f>
        <v>AnG-s</v>
      </c>
    </row>
    <row r="6662" spans="2:13" x14ac:dyDescent="0.25">
      <c r="B6662" s="31" t="s">
        <v>26303</v>
      </c>
      <c r="C6662" s="25" t="s">
        <v>273</v>
      </c>
      <c r="D6662" s="25" t="s">
        <v>26232</v>
      </c>
      <c r="E6662" s="25"/>
      <c r="F6662" s="9" t="str">
        <f t="shared" si="97"/>
        <v>structure with developmental contribution from neural crest</v>
      </c>
      <c r="G6662" s="9" t="s">
        <v>5090</v>
      </c>
      <c r="H6662" s="9" t="s">
        <v>24809</v>
      </c>
      <c r="I6662" s="9" t="s">
        <v>12270</v>
      </c>
      <c r="J6662" s="9" t="s">
        <v>12271</v>
      </c>
      <c r="K6662" s="7" t="s">
        <v>15171</v>
      </c>
      <c r="L6662" s="13">
        <v>4114</v>
      </c>
      <c r="M6662" t="str">
        <f>VLOOKUP(L6662,[1]HBA!$B$2:$C$4000,2,FALSE)</f>
        <v>AnG-i</v>
      </c>
    </row>
    <row r="6663" spans="2:13" x14ac:dyDescent="0.25">
      <c r="B6663" s="31" t="s">
        <v>26303</v>
      </c>
      <c r="C6663" s="25" t="s">
        <v>273</v>
      </c>
      <c r="D6663" s="25" t="s">
        <v>26232</v>
      </c>
      <c r="E6663" s="25"/>
      <c r="F6663" s="9" t="str">
        <f t="shared" si="97"/>
        <v>structure with developmental contribution from neural crest</v>
      </c>
      <c r="G6663" s="9" t="s">
        <v>5090</v>
      </c>
      <c r="H6663" s="9" t="s">
        <v>23818</v>
      </c>
      <c r="I6663" s="9" t="s">
        <v>12272</v>
      </c>
      <c r="J6663" s="9" t="s">
        <v>12273</v>
      </c>
      <c r="K6663" s="7" t="s">
        <v>15171</v>
      </c>
      <c r="L6663" s="13">
        <v>4115</v>
      </c>
      <c r="M6663" t="str">
        <f>VLOOKUP(L6663,[1]HBA!$B$2:$C$4000,2,FALSE)</f>
        <v>AnG</v>
      </c>
    </row>
    <row r="6664" spans="2:13" x14ac:dyDescent="0.25">
      <c r="B6664" s="31" t="s">
        <v>26303</v>
      </c>
      <c r="C6664" s="25" t="s">
        <v>273</v>
      </c>
      <c r="D6664" s="25" t="s">
        <v>26232</v>
      </c>
      <c r="E6664" s="25"/>
      <c r="F6664" s="9" t="str">
        <f t="shared" si="97"/>
        <v>structure with developmental contribution from neural crest</v>
      </c>
      <c r="G6664" s="9" t="s">
        <v>5090</v>
      </c>
      <c r="H6664" s="9" t="s">
        <v>24808</v>
      </c>
      <c r="I6664" s="9" t="s">
        <v>12274</v>
      </c>
      <c r="J6664" s="9" t="s">
        <v>12275</v>
      </c>
      <c r="K6664" s="7" t="s">
        <v>15171</v>
      </c>
      <c r="L6664" s="13">
        <v>4116</v>
      </c>
      <c r="M6664" t="str">
        <f>VLOOKUP(L6664,[1]HBA!$B$2:$C$4000,2,FALSE)</f>
        <v>AnG-s</v>
      </c>
    </row>
    <row r="6665" spans="2:13" x14ac:dyDescent="0.25">
      <c r="B6665" s="31" t="s">
        <v>26303</v>
      </c>
      <c r="C6665" s="25" t="s">
        <v>273</v>
      </c>
      <c r="D6665" s="25" t="s">
        <v>26232</v>
      </c>
      <c r="E6665" s="25"/>
      <c r="F6665" s="9" t="str">
        <f t="shared" si="97"/>
        <v>structure with developmental contribution from neural crest</v>
      </c>
      <c r="G6665" s="9" t="s">
        <v>5090</v>
      </c>
      <c r="H6665" s="9" t="s">
        <v>24809</v>
      </c>
      <c r="I6665" s="9" t="s">
        <v>12276</v>
      </c>
      <c r="J6665" s="9" t="s">
        <v>12277</v>
      </c>
      <c r="K6665" s="7" t="s">
        <v>15171</v>
      </c>
      <c r="L6665" s="13">
        <v>4117</v>
      </c>
      <c r="M6665" t="str">
        <f>VLOOKUP(L6665,[1]HBA!$B$2:$C$4000,2,FALSE)</f>
        <v>AnG-i</v>
      </c>
    </row>
    <row r="6666" spans="2:13" x14ac:dyDescent="0.25">
      <c r="B6666" s="31" t="s">
        <v>26303</v>
      </c>
      <c r="C6666" s="25" t="s">
        <v>26155</v>
      </c>
      <c r="D6666" s="25" t="s">
        <v>26232</v>
      </c>
      <c r="E6666" s="25"/>
      <c r="F6666" s="9" t="str">
        <f t="shared" si="97"/>
        <v>structure with developmental contribution from neural crest</v>
      </c>
      <c r="G6666" s="9" t="s">
        <v>5090</v>
      </c>
      <c r="H6666" s="9" t="s">
        <v>24820</v>
      </c>
      <c r="I6666" s="9" t="s">
        <v>12278</v>
      </c>
      <c r="J6666" s="9" t="s">
        <v>12279</v>
      </c>
      <c r="K6666" s="7" t="s">
        <v>15171</v>
      </c>
      <c r="L6666" s="13">
        <v>4119</v>
      </c>
      <c r="M6666" t="str">
        <f>VLOOKUP(L6666,[1]HBA!$B$2:$C$4000,2,FALSE)</f>
        <v>PCu</v>
      </c>
    </row>
    <row r="6667" spans="2:13" x14ac:dyDescent="0.25">
      <c r="B6667" s="31" t="s">
        <v>26303</v>
      </c>
      <c r="C6667" s="25" t="s">
        <v>26155</v>
      </c>
      <c r="D6667" s="25" t="s">
        <v>26232</v>
      </c>
      <c r="E6667" s="25"/>
      <c r="F6667" s="9" t="str">
        <f t="shared" si="97"/>
        <v>structure with developmental contribution from neural crest</v>
      </c>
      <c r="G6667" s="9" t="s">
        <v>5090</v>
      </c>
      <c r="H6667" s="9" t="s">
        <v>24821</v>
      </c>
      <c r="I6667" s="9" t="s">
        <v>12280</v>
      </c>
      <c r="J6667" s="9" t="s">
        <v>12281</v>
      </c>
      <c r="K6667" s="7" t="s">
        <v>15171</v>
      </c>
      <c r="L6667" s="13">
        <v>4120</v>
      </c>
      <c r="M6667" t="str">
        <f>VLOOKUP(L6667,[1]HBA!$B$2:$C$4000,2,FALSE)</f>
        <v>Pcu-s</v>
      </c>
    </row>
    <row r="6668" spans="2:13" x14ac:dyDescent="0.25">
      <c r="B6668" s="31" t="s">
        <v>26303</v>
      </c>
      <c r="C6668" s="25" t="s">
        <v>26155</v>
      </c>
      <c r="D6668" s="25" t="s">
        <v>26232</v>
      </c>
      <c r="E6668" s="25"/>
      <c r="F6668" s="9" t="str">
        <f t="shared" si="97"/>
        <v>structure with developmental contribution from neural crest</v>
      </c>
      <c r="G6668" s="9" t="s">
        <v>5090</v>
      </c>
      <c r="H6668" s="9" t="s">
        <v>24822</v>
      </c>
      <c r="I6668" s="9" t="s">
        <v>12282</v>
      </c>
      <c r="J6668" s="9" t="s">
        <v>12283</v>
      </c>
      <c r="K6668" s="7" t="s">
        <v>15171</v>
      </c>
      <c r="L6668" s="13">
        <v>4121</v>
      </c>
      <c r="M6668" t="str">
        <f>VLOOKUP(L6668,[1]HBA!$B$2:$C$4000,2,FALSE)</f>
        <v>Pcu-i</v>
      </c>
    </row>
    <row r="6669" spans="2:13" x14ac:dyDescent="0.25">
      <c r="B6669" s="31" t="s">
        <v>26303</v>
      </c>
      <c r="C6669" s="25" t="s">
        <v>26155</v>
      </c>
      <c r="D6669" s="25" t="s">
        <v>26232</v>
      </c>
      <c r="E6669" s="25"/>
      <c r="F6669" s="9" t="str">
        <f t="shared" si="97"/>
        <v>structure with developmental contribution from neural crest</v>
      </c>
      <c r="G6669" s="9" t="s">
        <v>5090</v>
      </c>
      <c r="H6669" s="9" t="s">
        <v>24820</v>
      </c>
      <c r="I6669" s="9" t="s">
        <v>12284</v>
      </c>
      <c r="J6669" s="9" t="s">
        <v>12285</v>
      </c>
      <c r="K6669" s="7" t="s">
        <v>15171</v>
      </c>
      <c r="L6669" s="13">
        <v>4122</v>
      </c>
      <c r="M6669" t="str">
        <f>VLOOKUP(L6669,[1]HBA!$B$2:$C$4000,2,FALSE)</f>
        <v>PCu</v>
      </c>
    </row>
    <row r="6670" spans="2:13" x14ac:dyDescent="0.25">
      <c r="B6670" s="31" t="s">
        <v>26303</v>
      </c>
      <c r="C6670" s="25" t="s">
        <v>26155</v>
      </c>
      <c r="D6670" s="25" t="s">
        <v>26232</v>
      </c>
      <c r="E6670" s="25"/>
      <c r="F6670" s="9" t="str">
        <f t="shared" si="97"/>
        <v>structure with developmental contribution from neural crest</v>
      </c>
      <c r="G6670" s="9" t="s">
        <v>5090</v>
      </c>
      <c r="H6670" s="9" t="s">
        <v>24821</v>
      </c>
      <c r="I6670" s="9" t="s">
        <v>12286</v>
      </c>
      <c r="J6670" s="9" t="s">
        <v>12287</v>
      </c>
      <c r="K6670" s="7" t="s">
        <v>15171</v>
      </c>
      <c r="L6670" s="13">
        <v>4123</v>
      </c>
      <c r="M6670" t="str">
        <f>VLOOKUP(L6670,[1]HBA!$B$2:$C$4000,2,FALSE)</f>
        <v>Pcu-s</v>
      </c>
    </row>
    <row r="6671" spans="2:13" x14ac:dyDescent="0.25">
      <c r="B6671" s="31" t="s">
        <v>26303</v>
      </c>
      <c r="C6671" s="25" t="s">
        <v>26155</v>
      </c>
      <c r="D6671" s="25" t="s">
        <v>26232</v>
      </c>
      <c r="E6671" s="25"/>
      <c r="F6671" s="9" t="str">
        <f t="shared" si="97"/>
        <v>structure with developmental contribution from neural crest</v>
      </c>
      <c r="G6671" s="9" t="s">
        <v>5090</v>
      </c>
      <c r="H6671" s="9" t="s">
        <v>24822</v>
      </c>
      <c r="I6671" s="9" t="s">
        <v>12288</v>
      </c>
      <c r="J6671" s="9" t="s">
        <v>12289</v>
      </c>
      <c r="K6671" s="7" t="s">
        <v>15171</v>
      </c>
      <c r="L6671" s="13">
        <v>4124</v>
      </c>
      <c r="M6671" t="str">
        <f>VLOOKUP(L6671,[1]HBA!$B$2:$C$4000,2,FALSE)</f>
        <v>Pcu-i</v>
      </c>
    </row>
    <row r="6672" spans="2:13" x14ac:dyDescent="0.25">
      <c r="B6672" s="31" t="s">
        <v>26303</v>
      </c>
      <c r="C6672" s="25" t="s">
        <v>26143</v>
      </c>
      <c r="D6672" s="25" t="s">
        <v>26232</v>
      </c>
      <c r="E6672" s="25"/>
      <c r="F6672" s="9" t="str">
        <f t="shared" si="97"/>
        <v>structure with developmental contribution from neural crest</v>
      </c>
      <c r="G6672" s="9" t="s">
        <v>5090</v>
      </c>
      <c r="H6672" s="9" t="s">
        <v>24812</v>
      </c>
      <c r="I6672" s="9" t="s">
        <v>12290</v>
      </c>
      <c r="J6672" s="9" t="s">
        <v>12291</v>
      </c>
      <c r="K6672" s="7" t="s">
        <v>15171</v>
      </c>
      <c r="L6672" s="13">
        <v>4126</v>
      </c>
      <c r="M6672" t="str">
        <f>VLOOKUP(L6672,[1]HBA!$B$2:$C$4000,2,FALSE)</f>
        <v>PCLp</v>
      </c>
    </row>
    <row r="6673" spans="2:13" x14ac:dyDescent="0.25">
      <c r="B6673" s="31" t="s">
        <v>26303</v>
      </c>
      <c r="C6673" s="25" t="s">
        <v>26143</v>
      </c>
      <c r="D6673" s="25" t="s">
        <v>26232</v>
      </c>
      <c r="E6673" s="25"/>
      <c r="F6673" s="9" t="str">
        <f t="shared" si="97"/>
        <v>structure with developmental contribution from neural crest</v>
      </c>
      <c r="G6673" s="9" t="s">
        <v>5090</v>
      </c>
      <c r="H6673" s="9" t="s">
        <v>24813</v>
      </c>
      <c r="I6673" s="9" t="s">
        <v>12292</v>
      </c>
      <c r="J6673" s="9" t="s">
        <v>12293</v>
      </c>
      <c r="K6673" s="7" t="s">
        <v>15171</v>
      </c>
      <c r="L6673" s="13">
        <v>4127</v>
      </c>
      <c r="M6673" t="str">
        <f>VLOOKUP(L6673,[1]HBA!$B$2:$C$4000,2,FALSE)</f>
        <v>PCLp-l</v>
      </c>
    </row>
    <row r="6674" spans="2:13" x14ac:dyDescent="0.25">
      <c r="B6674" s="31" t="s">
        <v>26303</v>
      </c>
      <c r="C6674" s="25" t="s">
        <v>26143</v>
      </c>
      <c r="D6674" s="25" t="s">
        <v>26232</v>
      </c>
      <c r="E6674" s="25"/>
      <c r="F6674" s="9" t="str">
        <f t="shared" si="97"/>
        <v>structure with developmental contribution from neural crest</v>
      </c>
      <c r="G6674" s="9" t="s">
        <v>5090</v>
      </c>
      <c r="H6674" s="9" t="s">
        <v>24814</v>
      </c>
      <c r="I6674" s="9" t="s">
        <v>12294</v>
      </c>
      <c r="J6674" s="9" t="s">
        <v>12295</v>
      </c>
      <c r="K6674" s="7" t="s">
        <v>15171</v>
      </c>
      <c r="L6674" s="13">
        <v>4128</v>
      </c>
      <c r="M6674" t="str">
        <f>VLOOKUP(L6674,[1]HBA!$B$2:$C$4000,2,FALSE)</f>
        <v>PCLp-cs</v>
      </c>
    </row>
    <row r="6675" spans="2:13" x14ac:dyDescent="0.25">
      <c r="B6675" s="31" t="s">
        <v>26303</v>
      </c>
      <c r="C6675" s="25" t="s">
        <v>26143</v>
      </c>
      <c r="D6675" s="25" t="s">
        <v>26232</v>
      </c>
      <c r="E6675" s="25"/>
      <c r="F6675" s="9" t="str">
        <f t="shared" si="97"/>
        <v>structure with developmental contribution from neural crest</v>
      </c>
      <c r="G6675" s="9" t="s">
        <v>5090</v>
      </c>
      <c r="H6675" s="9" t="s">
        <v>24812</v>
      </c>
      <c r="I6675" s="9" t="s">
        <v>12296</v>
      </c>
      <c r="J6675" s="9" t="s">
        <v>12297</v>
      </c>
      <c r="K6675" s="7" t="s">
        <v>15171</v>
      </c>
      <c r="L6675" s="13">
        <v>4129</v>
      </c>
      <c r="M6675" t="str">
        <f>VLOOKUP(L6675,[1]HBA!$B$2:$C$4000,2,FALSE)</f>
        <v>PCLp</v>
      </c>
    </row>
    <row r="6676" spans="2:13" x14ac:dyDescent="0.25">
      <c r="B6676" s="31" t="s">
        <v>26303</v>
      </c>
      <c r="C6676" s="25" t="s">
        <v>26143</v>
      </c>
      <c r="D6676" s="25" t="s">
        <v>26232</v>
      </c>
      <c r="E6676" s="25"/>
      <c r="F6676" s="9" t="str">
        <f t="shared" si="97"/>
        <v>structure with developmental contribution from neural crest</v>
      </c>
      <c r="G6676" s="9" t="s">
        <v>5090</v>
      </c>
      <c r="H6676" s="9" t="s">
        <v>24813</v>
      </c>
      <c r="I6676" s="9" t="s">
        <v>12298</v>
      </c>
      <c r="J6676" s="9" t="s">
        <v>12299</v>
      </c>
      <c r="K6676" s="7" t="s">
        <v>15171</v>
      </c>
      <c r="L6676" s="13">
        <v>4130</v>
      </c>
      <c r="M6676" t="str">
        <f>VLOOKUP(L6676,[1]HBA!$B$2:$C$4000,2,FALSE)</f>
        <v>PCLp-l</v>
      </c>
    </row>
    <row r="6677" spans="2:13" x14ac:dyDescent="0.25">
      <c r="B6677" s="31" t="s">
        <v>26303</v>
      </c>
      <c r="C6677" s="25" t="s">
        <v>26143</v>
      </c>
      <c r="D6677" s="25" t="s">
        <v>26232</v>
      </c>
      <c r="E6677" s="25"/>
      <c r="F6677" s="9" t="str">
        <f t="shared" si="97"/>
        <v>structure with developmental contribution from neural crest</v>
      </c>
      <c r="G6677" s="9" t="s">
        <v>5090</v>
      </c>
      <c r="H6677" s="9" t="s">
        <v>24814</v>
      </c>
      <c r="I6677" s="9" t="s">
        <v>12300</v>
      </c>
      <c r="J6677" s="9" t="s">
        <v>12301</v>
      </c>
      <c r="K6677" s="7" t="s">
        <v>15171</v>
      </c>
      <c r="L6677" s="13">
        <v>4131</v>
      </c>
      <c r="M6677" t="str">
        <f>VLOOKUP(L6677,[1]HBA!$B$2:$C$4000,2,FALSE)</f>
        <v>PCLp-cs</v>
      </c>
    </row>
    <row r="6678" spans="2:13" x14ac:dyDescent="0.25">
      <c r="B6678" s="31" t="s">
        <v>26303</v>
      </c>
      <c r="C6678" s="25" t="s">
        <v>14846</v>
      </c>
      <c r="D6678" s="25" t="s">
        <v>26232</v>
      </c>
      <c r="E6678" s="25"/>
      <c r="F6678" s="9" t="str">
        <f t="shared" si="97"/>
        <v>structure with developmental contribution from neural crest</v>
      </c>
      <c r="G6678" s="9" t="s">
        <v>5090</v>
      </c>
      <c r="H6678" s="9" t="s">
        <v>23823</v>
      </c>
      <c r="I6678" s="9" t="s">
        <v>12302</v>
      </c>
      <c r="J6678" s="9" t="s">
        <v>12303</v>
      </c>
      <c r="K6678" s="7" t="s">
        <v>15171</v>
      </c>
      <c r="L6678" s="13">
        <v>4134</v>
      </c>
      <c r="M6678" t="str">
        <f>VLOOKUP(L6678,[1]HBA!$B$2:$C$4000,2,FALSE)</f>
        <v>STG</v>
      </c>
    </row>
    <row r="6679" spans="2:13" x14ac:dyDescent="0.25">
      <c r="B6679" s="31" t="s">
        <v>26303</v>
      </c>
      <c r="C6679" s="25" t="s">
        <v>14846</v>
      </c>
      <c r="D6679" s="25" t="s">
        <v>26232</v>
      </c>
      <c r="E6679" s="25"/>
      <c r="F6679" s="9" t="str">
        <f t="shared" si="97"/>
        <v>structure with developmental contribution from neural crest</v>
      </c>
      <c r="G6679" s="9" t="s">
        <v>5090</v>
      </c>
      <c r="H6679" s="9" t="s">
        <v>24835</v>
      </c>
      <c r="I6679" s="9" t="s">
        <v>12304</v>
      </c>
      <c r="J6679" s="9" t="s">
        <v>12305</v>
      </c>
      <c r="K6679" s="7" t="s">
        <v>15171</v>
      </c>
      <c r="L6679" s="13">
        <v>4135</v>
      </c>
      <c r="M6679" t="str">
        <f>VLOOKUP(L6679,[1]HBA!$B$2:$C$4000,2,FALSE)</f>
        <v>STG-l</v>
      </c>
    </row>
    <row r="6680" spans="2:13" x14ac:dyDescent="0.25">
      <c r="B6680" s="31" t="s">
        <v>26303</v>
      </c>
      <c r="C6680" s="25" t="s">
        <v>14846</v>
      </c>
      <c r="D6680" s="25" t="s">
        <v>26232</v>
      </c>
      <c r="E6680" s="25"/>
      <c r="F6680" s="9" t="str">
        <f t="shared" si="97"/>
        <v>structure with developmental contribution from neural crest</v>
      </c>
      <c r="G6680" s="9" t="s">
        <v>5090</v>
      </c>
      <c r="H6680" s="9" t="s">
        <v>24836</v>
      </c>
      <c r="I6680" s="9" t="s">
        <v>12306</v>
      </c>
      <c r="J6680" s="9" t="s">
        <v>12307</v>
      </c>
      <c r="K6680" s="7" t="s">
        <v>15171</v>
      </c>
      <c r="L6680" s="13">
        <v>4136</v>
      </c>
      <c r="M6680" t="str">
        <f>VLOOKUP(L6680,[1]HBA!$B$2:$C$4000,2,FALSE)</f>
        <v>STG-i</v>
      </c>
    </row>
    <row r="6681" spans="2:13" x14ac:dyDescent="0.25">
      <c r="B6681" s="31" t="s">
        <v>26303</v>
      </c>
      <c r="C6681" s="25" t="s">
        <v>14846</v>
      </c>
      <c r="D6681" s="25" t="s">
        <v>26232</v>
      </c>
      <c r="E6681" s="25"/>
      <c r="F6681" s="9" t="str">
        <f t="shared" si="97"/>
        <v>structure with developmental contribution from neural crest</v>
      </c>
      <c r="G6681" s="9" t="s">
        <v>5090</v>
      </c>
      <c r="H6681" s="9" t="s">
        <v>23823</v>
      </c>
      <c r="I6681" s="9" t="s">
        <v>12308</v>
      </c>
      <c r="J6681" s="9" t="s">
        <v>12309</v>
      </c>
      <c r="K6681" s="7" t="s">
        <v>15171</v>
      </c>
      <c r="L6681" s="13">
        <v>4137</v>
      </c>
      <c r="M6681" t="str">
        <f>VLOOKUP(L6681,[1]HBA!$B$2:$C$4000,2,FALSE)</f>
        <v>STG</v>
      </c>
    </row>
    <row r="6682" spans="2:13" x14ac:dyDescent="0.25">
      <c r="B6682" s="31" t="s">
        <v>26303</v>
      </c>
      <c r="C6682" s="25" t="s">
        <v>14846</v>
      </c>
      <c r="D6682" s="25" t="s">
        <v>26232</v>
      </c>
      <c r="E6682" s="25"/>
      <c r="F6682" s="9" t="str">
        <f t="shared" si="97"/>
        <v>structure with developmental contribution from neural crest</v>
      </c>
      <c r="G6682" s="9" t="s">
        <v>5090</v>
      </c>
      <c r="H6682" s="9" t="s">
        <v>24835</v>
      </c>
      <c r="I6682" s="9" t="s">
        <v>12310</v>
      </c>
      <c r="J6682" s="9" t="s">
        <v>12311</v>
      </c>
      <c r="K6682" s="7" t="s">
        <v>15171</v>
      </c>
      <c r="L6682" s="13">
        <v>4138</v>
      </c>
      <c r="M6682" t="str">
        <f>VLOOKUP(L6682,[1]HBA!$B$2:$C$4000,2,FALSE)</f>
        <v>STG-l</v>
      </c>
    </row>
    <row r="6683" spans="2:13" x14ac:dyDescent="0.25">
      <c r="B6683" s="31" t="s">
        <v>26303</v>
      </c>
      <c r="C6683" s="25" t="s">
        <v>14846</v>
      </c>
      <c r="D6683" s="25" t="s">
        <v>26232</v>
      </c>
      <c r="E6683" s="25"/>
      <c r="F6683" s="9" t="str">
        <f t="shared" si="97"/>
        <v>structure with developmental contribution from neural crest</v>
      </c>
      <c r="G6683" s="9" t="s">
        <v>5090</v>
      </c>
      <c r="H6683" s="9" t="s">
        <v>24836</v>
      </c>
      <c r="I6683" s="9" t="s">
        <v>12312</v>
      </c>
      <c r="J6683" s="9" t="s">
        <v>12313</v>
      </c>
      <c r="K6683" s="7" t="s">
        <v>15171</v>
      </c>
      <c r="L6683" s="13">
        <v>4139</v>
      </c>
      <c r="M6683" t="str">
        <f>VLOOKUP(L6683,[1]HBA!$B$2:$C$4000,2,FALSE)</f>
        <v>STG-i</v>
      </c>
    </row>
    <row r="6684" spans="2:13" x14ac:dyDescent="0.25">
      <c r="B6684" s="31" t="s">
        <v>26303</v>
      </c>
      <c r="C6684" s="25" t="s">
        <v>3165</v>
      </c>
      <c r="D6684" s="25" t="s">
        <v>26232</v>
      </c>
      <c r="E6684" s="25"/>
      <c r="F6684" s="9" t="str">
        <f t="shared" si="97"/>
        <v>structure with developmental contribution from neural crest</v>
      </c>
      <c r="G6684" s="9" t="s">
        <v>5090</v>
      </c>
      <c r="H6684" s="9" t="s">
        <v>23824</v>
      </c>
      <c r="I6684" s="9" t="s">
        <v>12314</v>
      </c>
      <c r="J6684" s="9" t="s">
        <v>12315</v>
      </c>
      <c r="K6684" s="7" t="s">
        <v>15171</v>
      </c>
      <c r="L6684" s="13">
        <v>4141</v>
      </c>
      <c r="M6684" t="str">
        <f>VLOOKUP(L6684,[1]HBA!$B$2:$C$4000,2,FALSE)</f>
        <v>MTG</v>
      </c>
    </row>
    <row r="6685" spans="2:13" x14ac:dyDescent="0.25">
      <c r="B6685" s="31" t="s">
        <v>26303</v>
      </c>
      <c r="C6685" s="25" t="s">
        <v>3165</v>
      </c>
      <c r="D6685" s="25" t="s">
        <v>26232</v>
      </c>
      <c r="E6685" s="25"/>
      <c r="F6685" s="9" t="str">
        <f t="shared" si="97"/>
        <v>structure with developmental contribution from neural crest</v>
      </c>
      <c r="G6685" s="9" t="s">
        <v>5090</v>
      </c>
      <c r="H6685" s="9" t="s">
        <v>24833</v>
      </c>
      <c r="I6685" s="9" t="s">
        <v>12316</v>
      </c>
      <c r="J6685" s="9" t="s">
        <v>12317</v>
      </c>
      <c r="K6685" s="7" t="s">
        <v>15171</v>
      </c>
      <c r="L6685" s="13">
        <v>4142</v>
      </c>
      <c r="M6685" t="str">
        <f>VLOOKUP(L6685,[1]HBA!$B$2:$C$4000,2,FALSE)</f>
        <v>MTG-s</v>
      </c>
    </row>
    <row r="6686" spans="2:13" x14ac:dyDescent="0.25">
      <c r="B6686" s="31" t="s">
        <v>26303</v>
      </c>
      <c r="C6686" s="25" t="s">
        <v>3165</v>
      </c>
      <c r="D6686" s="25" t="s">
        <v>26232</v>
      </c>
      <c r="E6686" s="25"/>
      <c r="F6686" s="9" t="str">
        <f t="shared" si="97"/>
        <v>structure with developmental contribution from neural crest</v>
      </c>
      <c r="G6686" s="9" t="s">
        <v>5090</v>
      </c>
      <c r="H6686" s="9" t="s">
        <v>24834</v>
      </c>
      <c r="I6686" s="9" t="s">
        <v>12318</v>
      </c>
      <c r="J6686" s="9" t="s">
        <v>12319</v>
      </c>
      <c r="K6686" s="7" t="s">
        <v>15171</v>
      </c>
      <c r="L6686" s="13">
        <v>4143</v>
      </c>
      <c r="M6686" t="str">
        <f>VLOOKUP(L6686,[1]HBA!$B$2:$C$4000,2,FALSE)</f>
        <v>MTG-i</v>
      </c>
    </row>
    <row r="6687" spans="2:13" x14ac:dyDescent="0.25">
      <c r="B6687" s="31" t="s">
        <v>26303</v>
      </c>
      <c r="C6687" s="25" t="s">
        <v>3165</v>
      </c>
      <c r="D6687" s="25" t="s">
        <v>26232</v>
      </c>
      <c r="E6687" s="25"/>
      <c r="F6687" s="9" t="str">
        <f t="shared" si="97"/>
        <v>structure with developmental contribution from neural crest</v>
      </c>
      <c r="G6687" s="9" t="s">
        <v>5090</v>
      </c>
      <c r="H6687" s="9" t="s">
        <v>23824</v>
      </c>
      <c r="I6687" s="9" t="s">
        <v>12320</v>
      </c>
      <c r="J6687" s="9" t="s">
        <v>12321</v>
      </c>
      <c r="K6687" s="7" t="s">
        <v>15171</v>
      </c>
      <c r="L6687" s="13">
        <v>4144</v>
      </c>
      <c r="M6687" t="str">
        <f>VLOOKUP(L6687,[1]HBA!$B$2:$C$4000,2,FALSE)</f>
        <v>MTG</v>
      </c>
    </row>
    <row r="6688" spans="2:13" x14ac:dyDescent="0.25">
      <c r="B6688" s="31" t="s">
        <v>26303</v>
      </c>
      <c r="C6688" s="25" t="s">
        <v>3165</v>
      </c>
      <c r="D6688" s="25" t="s">
        <v>26232</v>
      </c>
      <c r="E6688" s="25"/>
      <c r="F6688" s="9" t="str">
        <f t="shared" si="97"/>
        <v>structure with developmental contribution from neural crest</v>
      </c>
      <c r="G6688" s="9" t="s">
        <v>5090</v>
      </c>
      <c r="H6688" s="9" t="s">
        <v>24833</v>
      </c>
      <c r="I6688" s="9" t="s">
        <v>12322</v>
      </c>
      <c r="J6688" s="9" t="s">
        <v>12323</v>
      </c>
      <c r="K6688" s="7" t="s">
        <v>15171</v>
      </c>
      <c r="L6688" s="13">
        <v>4145</v>
      </c>
      <c r="M6688" t="str">
        <f>VLOOKUP(L6688,[1]HBA!$B$2:$C$4000,2,FALSE)</f>
        <v>MTG-s</v>
      </c>
    </row>
    <row r="6689" spans="2:13" x14ac:dyDescent="0.25">
      <c r="B6689" s="31" t="s">
        <v>26303</v>
      </c>
      <c r="C6689" s="25" t="s">
        <v>3165</v>
      </c>
      <c r="D6689" s="25" t="s">
        <v>26232</v>
      </c>
      <c r="E6689" s="25"/>
      <c r="F6689" s="9" t="str">
        <f t="shared" si="97"/>
        <v>structure with developmental contribution from neural crest</v>
      </c>
      <c r="G6689" s="9" t="s">
        <v>5090</v>
      </c>
      <c r="H6689" s="9" t="s">
        <v>24834</v>
      </c>
      <c r="I6689" s="9" t="s">
        <v>12324</v>
      </c>
      <c r="J6689" s="9" t="s">
        <v>12325</v>
      </c>
      <c r="K6689" s="7" t="s">
        <v>15171</v>
      </c>
      <c r="L6689" s="13">
        <v>4146</v>
      </c>
      <c r="M6689" t="str">
        <f>VLOOKUP(L6689,[1]HBA!$B$2:$C$4000,2,FALSE)</f>
        <v>MTG-i</v>
      </c>
    </row>
    <row r="6690" spans="2:13" x14ac:dyDescent="0.25">
      <c r="B6690" s="31" t="s">
        <v>26303</v>
      </c>
      <c r="C6690" s="25" t="s">
        <v>2416</v>
      </c>
      <c r="D6690" s="25" t="s">
        <v>26232</v>
      </c>
      <c r="E6690" s="25"/>
      <c r="F6690" s="9" t="str">
        <f t="shared" si="97"/>
        <v>structure with developmental contribution from neural crest</v>
      </c>
      <c r="G6690" s="9" t="s">
        <v>5090</v>
      </c>
      <c r="H6690" s="9" t="s">
        <v>23825</v>
      </c>
      <c r="I6690" s="9" t="s">
        <v>12326</v>
      </c>
      <c r="J6690" s="9" t="s">
        <v>12327</v>
      </c>
      <c r="K6690" s="7" t="s">
        <v>15171</v>
      </c>
      <c r="L6690" s="13">
        <v>4148</v>
      </c>
      <c r="M6690" t="str">
        <f>VLOOKUP(L6690,[1]HBA!$B$2:$C$4000,2,FALSE)</f>
        <v>ITG</v>
      </c>
    </row>
    <row r="6691" spans="2:13" x14ac:dyDescent="0.25">
      <c r="B6691" s="31" t="s">
        <v>26303</v>
      </c>
      <c r="C6691" s="25" t="s">
        <v>2416</v>
      </c>
      <c r="D6691" s="25" t="s">
        <v>26232</v>
      </c>
      <c r="E6691" s="25"/>
      <c r="F6691" s="9" t="str">
        <f t="shared" si="97"/>
        <v>structure with developmental contribution from neural crest</v>
      </c>
      <c r="G6691" s="9" t="s">
        <v>5090</v>
      </c>
      <c r="H6691" s="9" t="s">
        <v>24830</v>
      </c>
      <c r="I6691" s="9" t="s">
        <v>12328</v>
      </c>
      <c r="J6691" s="9" t="s">
        <v>12329</v>
      </c>
      <c r="K6691" s="7" t="s">
        <v>15171</v>
      </c>
      <c r="L6691" s="13">
        <v>4149</v>
      </c>
      <c r="M6691" t="str">
        <f>VLOOKUP(L6691,[1]HBA!$B$2:$C$4000,2,FALSE)</f>
        <v>ITG-its</v>
      </c>
    </row>
    <row r="6692" spans="2:13" x14ac:dyDescent="0.25">
      <c r="B6692" s="31" t="s">
        <v>26303</v>
      </c>
      <c r="C6692" s="25" t="s">
        <v>2416</v>
      </c>
      <c r="D6692" s="25" t="s">
        <v>26232</v>
      </c>
      <c r="E6692" s="25"/>
      <c r="F6692" s="9" t="str">
        <f t="shared" si="97"/>
        <v>structure with developmental contribution from neural crest</v>
      </c>
      <c r="G6692" s="9" t="s">
        <v>5090</v>
      </c>
      <c r="H6692" s="9" t="s">
        <v>24831</v>
      </c>
      <c r="I6692" s="9" t="s">
        <v>12330</v>
      </c>
      <c r="J6692" s="9" t="s">
        <v>12331</v>
      </c>
      <c r="K6692" s="7" t="s">
        <v>15171</v>
      </c>
      <c r="L6692" s="13">
        <v>4150</v>
      </c>
      <c r="M6692" t="str">
        <f>VLOOKUP(L6692,[1]HBA!$B$2:$C$4000,2,FALSE)</f>
        <v>ITG-l</v>
      </c>
    </row>
    <row r="6693" spans="2:13" x14ac:dyDescent="0.25">
      <c r="B6693" s="31" t="s">
        <v>26303</v>
      </c>
      <c r="C6693" s="25" t="s">
        <v>2416</v>
      </c>
      <c r="D6693" s="25" t="s">
        <v>26232</v>
      </c>
      <c r="E6693" s="25"/>
      <c r="F6693" s="9" t="str">
        <f t="shared" si="97"/>
        <v>structure with developmental contribution from neural crest</v>
      </c>
      <c r="G6693" s="9" t="s">
        <v>5090</v>
      </c>
      <c r="H6693" s="9" t="s">
        <v>24832</v>
      </c>
      <c r="I6693" s="9" t="s">
        <v>12332</v>
      </c>
      <c r="J6693" s="9" t="s">
        <v>12333</v>
      </c>
      <c r="K6693" s="7" t="s">
        <v>15171</v>
      </c>
      <c r="L6693" s="13">
        <v>4151</v>
      </c>
      <c r="M6693" t="str">
        <f>VLOOKUP(L6693,[1]HBA!$B$2:$C$4000,2,FALSE)</f>
        <v>ITG-mts</v>
      </c>
    </row>
    <row r="6694" spans="2:13" x14ac:dyDescent="0.25">
      <c r="B6694" s="31" t="s">
        <v>26303</v>
      </c>
      <c r="C6694" s="25" t="s">
        <v>2416</v>
      </c>
      <c r="D6694" s="25" t="s">
        <v>26232</v>
      </c>
      <c r="E6694" s="25"/>
      <c r="F6694" s="9" t="str">
        <f t="shared" si="97"/>
        <v>structure with developmental contribution from neural crest</v>
      </c>
      <c r="G6694" s="9" t="s">
        <v>5090</v>
      </c>
      <c r="H6694" s="9" t="s">
        <v>23825</v>
      </c>
      <c r="I6694" s="9" t="s">
        <v>12334</v>
      </c>
      <c r="J6694" s="9" t="s">
        <v>12335</v>
      </c>
      <c r="K6694" s="7" t="s">
        <v>15171</v>
      </c>
      <c r="L6694" s="13">
        <v>4152</v>
      </c>
      <c r="M6694" t="str">
        <f>VLOOKUP(L6694,[1]HBA!$B$2:$C$4000,2,FALSE)</f>
        <v>ITG</v>
      </c>
    </row>
    <row r="6695" spans="2:13" x14ac:dyDescent="0.25">
      <c r="B6695" s="31" t="s">
        <v>26303</v>
      </c>
      <c r="C6695" s="25" t="s">
        <v>2416</v>
      </c>
      <c r="D6695" s="25" t="s">
        <v>26232</v>
      </c>
      <c r="E6695" s="25"/>
      <c r="F6695" s="9" t="str">
        <f t="shared" si="97"/>
        <v>structure with developmental contribution from neural crest</v>
      </c>
      <c r="G6695" s="9" t="s">
        <v>5090</v>
      </c>
      <c r="H6695" s="9" t="s">
        <v>24830</v>
      </c>
      <c r="I6695" s="9" t="s">
        <v>12336</v>
      </c>
      <c r="J6695" s="9" t="s">
        <v>12337</v>
      </c>
      <c r="K6695" s="7" t="s">
        <v>15171</v>
      </c>
      <c r="L6695" s="13">
        <v>4153</v>
      </c>
      <c r="M6695" t="str">
        <f>VLOOKUP(L6695,[1]HBA!$B$2:$C$4000,2,FALSE)</f>
        <v>ITG-its</v>
      </c>
    </row>
    <row r="6696" spans="2:13" x14ac:dyDescent="0.25">
      <c r="B6696" s="31" t="s">
        <v>26303</v>
      </c>
      <c r="C6696" s="25" t="s">
        <v>2416</v>
      </c>
      <c r="D6696" s="25" t="s">
        <v>26232</v>
      </c>
      <c r="E6696" s="25"/>
      <c r="F6696" s="9" t="str">
        <f t="shared" si="97"/>
        <v>structure with developmental contribution from neural crest</v>
      </c>
      <c r="G6696" s="9" t="s">
        <v>5090</v>
      </c>
      <c r="H6696" s="9" t="s">
        <v>24831</v>
      </c>
      <c r="I6696" s="9" t="s">
        <v>12338</v>
      </c>
      <c r="J6696" s="9" t="s">
        <v>12339</v>
      </c>
      <c r="K6696" s="7" t="s">
        <v>15171</v>
      </c>
      <c r="L6696" s="13">
        <v>4154</v>
      </c>
      <c r="M6696" t="str">
        <f>VLOOKUP(L6696,[1]HBA!$B$2:$C$4000,2,FALSE)</f>
        <v>ITG-l</v>
      </c>
    </row>
    <row r="6697" spans="2:13" x14ac:dyDescent="0.25">
      <c r="B6697" s="31" t="s">
        <v>26303</v>
      </c>
      <c r="C6697" s="25" t="s">
        <v>2416</v>
      </c>
      <c r="D6697" s="25" t="s">
        <v>26232</v>
      </c>
      <c r="E6697" s="25"/>
      <c r="F6697" s="9" t="str">
        <f t="shared" si="97"/>
        <v>structure with developmental contribution from neural crest</v>
      </c>
      <c r="G6697" s="9" t="s">
        <v>5090</v>
      </c>
      <c r="H6697" s="9" t="s">
        <v>24832</v>
      </c>
      <c r="I6697" s="9" t="s">
        <v>12340</v>
      </c>
      <c r="J6697" s="9" t="s">
        <v>12341</v>
      </c>
      <c r="K6697" s="7" t="s">
        <v>15171</v>
      </c>
      <c r="L6697" s="13">
        <v>4155</v>
      </c>
      <c r="M6697" t="str">
        <f>VLOOKUP(L6697,[1]HBA!$B$2:$C$4000,2,FALSE)</f>
        <v>ITG-mts</v>
      </c>
    </row>
    <row r="6698" spans="2:13" x14ac:dyDescent="0.25">
      <c r="B6698" s="31" t="s">
        <v>26303</v>
      </c>
      <c r="C6698" s="25" t="s">
        <v>2046</v>
      </c>
      <c r="D6698" s="25" t="s">
        <v>26232</v>
      </c>
      <c r="E6698" s="25"/>
      <c r="F6698" s="9" t="str">
        <f t="shared" si="97"/>
        <v>structure with developmental contribution from neural crest</v>
      </c>
      <c r="G6698" s="9" t="s">
        <v>5090</v>
      </c>
      <c r="H6698" s="9" t="s">
        <v>24825</v>
      </c>
      <c r="I6698" s="9" t="s">
        <v>12342</v>
      </c>
      <c r="J6698" s="9" t="s">
        <v>12343</v>
      </c>
      <c r="K6698" s="7" t="s">
        <v>15171</v>
      </c>
      <c r="L6698" s="13">
        <v>4157</v>
      </c>
      <c r="M6698" t="str">
        <f>VLOOKUP(L6698,[1]HBA!$B$2:$C$4000,2,FALSE)</f>
        <v>FuG</v>
      </c>
    </row>
    <row r="6699" spans="2:13" x14ac:dyDescent="0.25">
      <c r="B6699" s="31" t="s">
        <v>26303</v>
      </c>
      <c r="C6699" s="25" t="s">
        <v>2046</v>
      </c>
      <c r="D6699" s="25" t="s">
        <v>26232</v>
      </c>
      <c r="E6699" s="25"/>
      <c r="F6699" s="9" t="str">
        <f t="shared" si="97"/>
        <v>structure with developmental contribution from neural crest</v>
      </c>
      <c r="G6699" s="9" t="s">
        <v>5090</v>
      </c>
      <c r="H6699" s="9" t="s">
        <v>24826</v>
      </c>
      <c r="I6699" s="9" t="s">
        <v>12344</v>
      </c>
      <c r="J6699" s="9" t="s">
        <v>12345</v>
      </c>
      <c r="K6699" s="7" t="s">
        <v>15171</v>
      </c>
      <c r="L6699" s="13">
        <v>4158</v>
      </c>
      <c r="M6699" t="str">
        <f>VLOOKUP(L6699,[1]HBA!$B$2:$C$4000,2,FALSE)</f>
        <v>FuG-its</v>
      </c>
    </row>
    <row r="6700" spans="2:13" x14ac:dyDescent="0.25">
      <c r="B6700" s="31" t="s">
        <v>26303</v>
      </c>
      <c r="C6700" s="25" t="s">
        <v>2046</v>
      </c>
      <c r="D6700" s="25" t="s">
        <v>26232</v>
      </c>
      <c r="E6700" s="25"/>
      <c r="F6700" s="9" t="str">
        <f t="shared" si="97"/>
        <v>structure with developmental contribution from neural crest</v>
      </c>
      <c r="G6700" s="9" t="s">
        <v>5090</v>
      </c>
      <c r="H6700" s="9" t="s">
        <v>24827</v>
      </c>
      <c r="I6700" s="9" t="s">
        <v>12346</v>
      </c>
      <c r="J6700" s="9" t="s">
        <v>12347</v>
      </c>
      <c r="K6700" s="7" t="s">
        <v>15171</v>
      </c>
      <c r="L6700" s="13">
        <v>4159</v>
      </c>
      <c r="M6700" t="str">
        <f>VLOOKUP(L6700,[1]HBA!$B$2:$C$4000,2,FALSE)</f>
        <v>FuG-l</v>
      </c>
    </row>
    <row r="6701" spans="2:13" x14ac:dyDescent="0.25">
      <c r="B6701" s="31" t="s">
        <v>26303</v>
      </c>
      <c r="C6701" s="25" t="s">
        <v>2046</v>
      </c>
      <c r="D6701" s="25" t="s">
        <v>26232</v>
      </c>
      <c r="E6701" s="25"/>
      <c r="F6701" s="9" t="str">
        <f t="shared" si="97"/>
        <v>structure with developmental contribution from neural crest</v>
      </c>
      <c r="G6701" s="9" t="s">
        <v>5090</v>
      </c>
      <c r="H6701" s="9" t="s">
        <v>24828</v>
      </c>
      <c r="I6701" s="9" t="s">
        <v>12348</v>
      </c>
      <c r="J6701" s="9" t="s">
        <v>12349</v>
      </c>
      <c r="K6701" s="7" t="s">
        <v>15171</v>
      </c>
      <c r="L6701" s="13">
        <v>4160</v>
      </c>
      <c r="M6701" t="str">
        <f>VLOOKUP(L6701,[1]HBA!$B$2:$C$4000,2,FALSE)</f>
        <v>FuG-cos</v>
      </c>
    </row>
    <row r="6702" spans="2:13" x14ac:dyDescent="0.25">
      <c r="B6702" s="31" t="s">
        <v>26303</v>
      </c>
      <c r="C6702" s="25" t="s">
        <v>2046</v>
      </c>
      <c r="D6702" s="25" t="s">
        <v>26232</v>
      </c>
      <c r="E6702" s="25"/>
      <c r="F6702" s="9" t="str">
        <f t="shared" si="97"/>
        <v>structure with developmental contribution from neural crest</v>
      </c>
      <c r="G6702" s="9" t="s">
        <v>5090</v>
      </c>
      <c r="H6702" s="9" t="s">
        <v>24825</v>
      </c>
      <c r="I6702" s="9" t="s">
        <v>12350</v>
      </c>
      <c r="J6702" s="9" t="s">
        <v>12351</v>
      </c>
      <c r="K6702" s="7" t="s">
        <v>15171</v>
      </c>
      <c r="L6702" s="13">
        <v>4161</v>
      </c>
      <c r="M6702" t="str">
        <f>VLOOKUP(L6702,[1]HBA!$B$2:$C$4000,2,FALSE)</f>
        <v>FuG</v>
      </c>
    </row>
    <row r="6703" spans="2:13" x14ac:dyDescent="0.25">
      <c r="B6703" s="31" t="s">
        <v>26303</v>
      </c>
      <c r="C6703" s="25" t="s">
        <v>2046</v>
      </c>
      <c r="D6703" s="25" t="s">
        <v>26232</v>
      </c>
      <c r="E6703" s="25"/>
      <c r="F6703" s="9" t="str">
        <f t="shared" si="97"/>
        <v>structure with developmental contribution from neural crest</v>
      </c>
      <c r="G6703" s="9" t="s">
        <v>5090</v>
      </c>
      <c r="H6703" s="9" t="s">
        <v>24826</v>
      </c>
      <c r="I6703" s="9" t="s">
        <v>12352</v>
      </c>
      <c r="J6703" s="9" t="s">
        <v>12353</v>
      </c>
      <c r="K6703" s="7" t="s">
        <v>15171</v>
      </c>
      <c r="L6703" s="13">
        <v>4162</v>
      </c>
      <c r="M6703" t="str">
        <f>VLOOKUP(L6703,[1]HBA!$B$2:$C$4000,2,FALSE)</f>
        <v>FuG-its</v>
      </c>
    </row>
    <row r="6704" spans="2:13" x14ac:dyDescent="0.25">
      <c r="B6704" s="31" t="s">
        <v>26303</v>
      </c>
      <c r="C6704" s="25" t="s">
        <v>2046</v>
      </c>
      <c r="D6704" s="25" t="s">
        <v>26232</v>
      </c>
      <c r="E6704" s="25"/>
      <c r="F6704" s="9" t="str">
        <f t="shared" si="97"/>
        <v>structure with developmental contribution from neural crest</v>
      </c>
      <c r="G6704" s="9" t="s">
        <v>5090</v>
      </c>
      <c r="H6704" s="9" t="s">
        <v>24827</v>
      </c>
      <c r="I6704" s="9" t="s">
        <v>12354</v>
      </c>
      <c r="J6704" s="9" t="s">
        <v>12355</v>
      </c>
      <c r="K6704" s="7" t="s">
        <v>15171</v>
      </c>
      <c r="L6704" s="13">
        <v>4163</v>
      </c>
      <c r="M6704" t="str">
        <f>VLOOKUP(L6704,[1]HBA!$B$2:$C$4000,2,FALSE)</f>
        <v>FuG-l</v>
      </c>
    </row>
    <row r="6705" spans="2:13" x14ac:dyDescent="0.25">
      <c r="B6705" s="31" t="s">
        <v>26303</v>
      </c>
      <c r="C6705" s="25" t="s">
        <v>2046</v>
      </c>
      <c r="D6705" s="25" t="s">
        <v>26232</v>
      </c>
      <c r="E6705" s="25"/>
      <c r="F6705" s="9" t="str">
        <f t="shared" si="97"/>
        <v>structure with developmental contribution from neural crest</v>
      </c>
      <c r="G6705" s="9" t="s">
        <v>5090</v>
      </c>
      <c r="H6705" s="9" t="s">
        <v>24828</v>
      </c>
      <c r="I6705" s="9" t="s">
        <v>12356</v>
      </c>
      <c r="J6705" s="9" t="s">
        <v>12357</v>
      </c>
      <c r="K6705" s="7" t="s">
        <v>15171</v>
      </c>
      <c r="L6705" s="13">
        <v>4164</v>
      </c>
      <c r="M6705" t="str">
        <f>VLOOKUP(L6705,[1]HBA!$B$2:$C$4000,2,FALSE)</f>
        <v>FuG-cos</v>
      </c>
    </row>
    <row r="6706" spans="2:13" x14ac:dyDescent="0.25">
      <c r="B6706" s="31" t="s">
        <v>26303</v>
      </c>
      <c r="C6706" s="25" t="s">
        <v>25798</v>
      </c>
      <c r="D6706" s="25" t="s">
        <v>26232</v>
      </c>
      <c r="E6706" s="25"/>
      <c r="F6706" s="9" t="str">
        <f t="shared" si="97"/>
        <v>structure with developmental contribution from neural crest</v>
      </c>
      <c r="G6706" s="9" t="s">
        <v>5090</v>
      </c>
      <c r="H6706" s="9" t="s">
        <v>24829</v>
      </c>
      <c r="I6706" s="9" t="s">
        <v>12358</v>
      </c>
      <c r="J6706" s="9" t="s">
        <v>12359</v>
      </c>
      <c r="K6706" s="7" t="s">
        <v>15171</v>
      </c>
      <c r="L6706" s="13">
        <v>4166</v>
      </c>
      <c r="M6706" t="str">
        <f>VLOOKUP(L6706,[1]HBA!$B$2:$C$4000,2,FALSE)</f>
        <v>HG</v>
      </c>
    </row>
    <row r="6707" spans="2:13" x14ac:dyDescent="0.25">
      <c r="B6707" s="31" t="s">
        <v>26303</v>
      </c>
      <c r="C6707" s="25" t="s">
        <v>25798</v>
      </c>
      <c r="D6707" s="25" t="s">
        <v>26232</v>
      </c>
      <c r="E6707" s="25"/>
      <c r="F6707" s="9" t="str">
        <f t="shared" si="97"/>
        <v>structure with developmental contribution from neural crest</v>
      </c>
      <c r="G6707" s="9" t="s">
        <v>5090</v>
      </c>
      <c r="H6707" s="9" t="s">
        <v>24829</v>
      </c>
      <c r="I6707" s="9" t="s">
        <v>12360</v>
      </c>
      <c r="J6707" s="9" t="s">
        <v>12361</v>
      </c>
      <c r="K6707" s="7" t="s">
        <v>15171</v>
      </c>
      <c r="L6707" s="13">
        <v>4167</v>
      </c>
      <c r="M6707" t="str">
        <f>VLOOKUP(L6707,[1]HBA!$B$2:$C$4000,2,FALSE)</f>
        <v>HG</v>
      </c>
    </row>
    <row r="6708" spans="2:13" x14ac:dyDescent="0.25">
      <c r="B6708" s="31" t="s">
        <v>26299</v>
      </c>
      <c r="C6708" s="25" t="s">
        <v>25798</v>
      </c>
      <c r="D6708" s="25" t="s">
        <v>26232</v>
      </c>
      <c r="E6708" s="25"/>
      <c r="F6708" s="9" t="str">
        <f t="shared" si="97"/>
        <v>structure with developmental contribution from neural crest</v>
      </c>
      <c r="G6708" s="9" t="s">
        <v>5090</v>
      </c>
      <c r="H6708" s="9" t="s">
        <v>16933</v>
      </c>
      <c r="I6708" s="9" t="s">
        <v>12362</v>
      </c>
      <c r="J6708" s="9" t="s">
        <v>12363</v>
      </c>
      <c r="K6708" s="7" t="s">
        <v>15171</v>
      </c>
      <c r="L6708" s="13">
        <v>4168</v>
      </c>
      <c r="M6708" t="str">
        <f>VLOOKUP(L6708,[1]HBA!$B$2:$C$4000,2,FALSE)</f>
        <v>TG</v>
      </c>
    </row>
    <row r="6709" spans="2:13" x14ac:dyDescent="0.25">
      <c r="B6709" s="31" t="s">
        <v>26299</v>
      </c>
      <c r="C6709" s="25" t="s">
        <v>25798</v>
      </c>
      <c r="D6709" s="25" t="s">
        <v>26232</v>
      </c>
      <c r="E6709" s="25"/>
      <c r="F6709" s="9" t="str">
        <f t="shared" si="97"/>
        <v>structure with developmental contribution from neural crest</v>
      </c>
      <c r="G6709" s="9" t="s">
        <v>5090</v>
      </c>
      <c r="H6709" s="9" t="s">
        <v>16933</v>
      </c>
      <c r="I6709" s="9" t="s">
        <v>12364</v>
      </c>
      <c r="J6709" s="9" t="s">
        <v>12365</v>
      </c>
      <c r="K6709" s="7" t="s">
        <v>15171</v>
      </c>
      <c r="L6709" s="13">
        <v>4169</v>
      </c>
      <c r="M6709" t="str">
        <f>VLOOKUP(L6709,[1]HBA!$B$2:$C$4000,2,FALSE)</f>
        <v>TG</v>
      </c>
    </row>
    <row r="6710" spans="2:13" x14ac:dyDescent="0.25">
      <c r="B6710" s="31" t="s">
        <v>26299</v>
      </c>
      <c r="C6710" s="25" t="s">
        <v>25798</v>
      </c>
      <c r="D6710" s="25" t="s">
        <v>26232</v>
      </c>
      <c r="E6710" s="25"/>
      <c r="F6710" s="9" t="str">
        <f t="shared" si="97"/>
        <v>structure with developmental contribution from neural crest</v>
      </c>
      <c r="G6710" s="9" t="s">
        <v>5090</v>
      </c>
      <c r="H6710" s="9" t="s">
        <v>16933</v>
      </c>
      <c r="I6710" s="9" t="s">
        <v>12366</v>
      </c>
      <c r="J6710" s="9" t="s">
        <v>12367</v>
      </c>
      <c r="K6710" s="7" t="s">
        <v>15171</v>
      </c>
      <c r="L6710" s="13">
        <v>4170</v>
      </c>
      <c r="M6710" t="str">
        <f>VLOOKUP(L6710,[1]HBA!$B$2:$C$4000,2,FALSE)</f>
        <v>TG</v>
      </c>
    </row>
    <row r="6711" spans="2:13" x14ac:dyDescent="0.25">
      <c r="B6711" s="31" t="s">
        <v>26303</v>
      </c>
      <c r="C6711" s="25" t="s">
        <v>3858</v>
      </c>
      <c r="D6711" s="25" t="s">
        <v>26232</v>
      </c>
      <c r="E6711" s="25"/>
      <c r="F6711" s="9" t="str">
        <f t="shared" ref="F6711:F6774" si="98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6711" s="9" t="s">
        <v>5090</v>
      </c>
      <c r="H6711" s="9" t="s">
        <v>23831</v>
      </c>
      <c r="I6711" s="9" t="s">
        <v>12368</v>
      </c>
      <c r="J6711" s="9" t="s">
        <v>12369</v>
      </c>
      <c r="K6711" s="7" t="s">
        <v>15171</v>
      </c>
      <c r="L6711" s="13">
        <v>4172</v>
      </c>
      <c r="M6711" t="str">
        <f>VLOOKUP(L6711,[1]HBA!$B$2:$C$4000,2,FALSE)</f>
        <v>PLT</v>
      </c>
    </row>
    <row r="6712" spans="2:13" x14ac:dyDescent="0.25">
      <c r="B6712" s="31" t="s">
        <v>26303</v>
      </c>
      <c r="C6712" s="25" t="s">
        <v>3858</v>
      </c>
      <c r="D6712" s="25" t="s">
        <v>26232</v>
      </c>
      <c r="E6712" s="25"/>
      <c r="F6712" s="9" t="str">
        <f t="shared" si="98"/>
        <v>structure with developmental contribution from neural crest</v>
      </c>
      <c r="G6712" s="9" t="s">
        <v>5090</v>
      </c>
      <c r="H6712" s="9" t="s">
        <v>23831</v>
      </c>
      <c r="I6712" s="9" t="s">
        <v>12370</v>
      </c>
      <c r="J6712" s="9" t="s">
        <v>12371</v>
      </c>
      <c r="K6712" s="7" t="s">
        <v>15171</v>
      </c>
      <c r="L6712" s="13">
        <v>4173</v>
      </c>
      <c r="M6712" t="str">
        <f>VLOOKUP(L6712,[1]HBA!$B$2:$C$4000,2,FALSE)</f>
        <v>PLT</v>
      </c>
    </row>
    <row r="6713" spans="2:13" x14ac:dyDescent="0.25">
      <c r="B6713" s="31" t="s">
        <v>26303</v>
      </c>
      <c r="C6713" s="25" t="s">
        <v>14932</v>
      </c>
      <c r="D6713" s="25" t="s">
        <v>26232</v>
      </c>
      <c r="E6713" s="25"/>
      <c r="F6713" s="9" t="str">
        <f t="shared" si="98"/>
        <v>structure with developmental contribution from neural crest</v>
      </c>
      <c r="G6713" s="9" t="s">
        <v>5090</v>
      </c>
      <c r="H6713" s="9" t="s">
        <v>23832</v>
      </c>
      <c r="I6713" s="9" t="s">
        <v>12372</v>
      </c>
      <c r="J6713" s="9" t="s">
        <v>12373</v>
      </c>
      <c r="K6713" s="7" t="s">
        <v>15171</v>
      </c>
      <c r="L6713" s="13">
        <v>4175</v>
      </c>
      <c r="M6713" t="str">
        <f>VLOOKUP(L6713,[1]HBA!$B$2:$C$4000,2,FALSE)</f>
        <v>TP</v>
      </c>
    </row>
    <row r="6714" spans="2:13" x14ac:dyDescent="0.25">
      <c r="B6714" s="31" t="s">
        <v>26303</v>
      </c>
      <c r="C6714" s="25" t="s">
        <v>14932</v>
      </c>
      <c r="D6714" s="25" t="s">
        <v>26232</v>
      </c>
      <c r="E6714" s="25"/>
      <c r="F6714" s="9" t="str">
        <f t="shared" si="98"/>
        <v>structure with developmental contribution from neural crest</v>
      </c>
      <c r="G6714" s="9" t="s">
        <v>5090</v>
      </c>
      <c r="H6714" s="9" t="s">
        <v>23832</v>
      </c>
      <c r="I6714" s="9" t="s">
        <v>12374</v>
      </c>
      <c r="J6714" s="9" t="s">
        <v>12375</v>
      </c>
      <c r="K6714" s="7" t="s">
        <v>15171</v>
      </c>
      <c r="L6714" s="13">
        <v>4176</v>
      </c>
      <c r="M6714" t="str">
        <f>VLOOKUP(L6714,[1]HBA!$B$2:$C$4000,2,FALSE)</f>
        <v>TP</v>
      </c>
    </row>
    <row r="6715" spans="2:13" x14ac:dyDescent="0.25">
      <c r="B6715" s="31" t="s">
        <v>26303</v>
      </c>
      <c r="C6715" s="25" t="s">
        <v>3855</v>
      </c>
      <c r="D6715" s="25" t="s">
        <v>26232</v>
      </c>
      <c r="E6715" s="25"/>
      <c r="F6715" s="9" t="str">
        <f t="shared" si="98"/>
        <v>structure with developmental contribution from neural crest</v>
      </c>
      <c r="G6715" s="9" t="s">
        <v>5090</v>
      </c>
      <c r="H6715" s="9" t="s">
        <v>23834</v>
      </c>
      <c r="I6715" s="9" t="s">
        <v>12376</v>
      </c>
      <c r="J6715" s="9" t="s">
        <v>12377</v>
      </c>
      <c r="K6715" s="7" t="s">
        <v>15171</v>
      </c>
      <c r="L6715" s="13">
        <v>4178</v>
      </c>
      <c r="M6715" t="str">
        <f>VLOOKUP(L6715,[1]HBA!$B$2:$C$4000,2,FALSE)</f>
        <v>PLP</v>
      </c>
    </row>
    <row r="6716" spans="2:13" x14ac:dyDescent="0.25">
      <c r="B6716" s="31" t="s">
        <v>26303</v>
      </c>
      <c r="C6716" s="25" t="s">
        <v>3855</v>
      </c>
      <c r="D6716" s="25" t="s">
        <v>26232</v>
      </c>
      <c r="E6716" s="25"/>
      <c r="F6716" s="9" t="str">
        <f t="shared" si="98"/>
        <v>structure with developmental contribution from neural crest</v>
      </c>
      <c r="G6716" s="9" t="s">
        <v>5090</v>
      </c>
      <c r="H6716" s="9" t="s">
        <v>23834</v>
      </c>
      <c r="I6716" s="9" t="s">
        <v>12378</v>
      </c>
      <c r="J6716" s="9" t="s">
        <v>12379</v>
      </c>
      <c r="K6716" s="7" t="s">
        <v>15171</v>
      </c>
      <c r="L6716" s="13">
        <v>4179</v>
      </c>
      <c r="M6716" t="str">
        <f>VLOOKUP(L6716,[1]HBA!$B$2:$C$4000,2,FALSE)</f>
        <v>PLP</v>
      </c>
    </row>
    <row r="6717" spans="2:13" x14ac:dyDescent="0.25">
      <c r="B6717" s="31" t="s">
        <v>26303</v>
      </c>
      <c r="C6717" s="25" t="s">
        <v>3387</v>
      </c>
      <c r="D6717" s="25" t="s">
        <v>26232</v>
      </c>
      <c r="E6717" s="25"/>
      <c r="F6717" s="9" t="str">
        <f t="shared" si="98"/>
        <v>structure with developmental contribution from neural crest</v>
      </c>
      <c r="G6717" s="9" t="s">
        <v>5090</v>
      </c>
      <c r="H6717" s="9" t="s">
        <v>20238</v>
      </c>
      <c r="I6717" s="9" t="s">
        <v>12380</v>
      </c>
      <c r="J6717" s="9" t="s">
        <v>12381</v>
      </c>
      <c r="K6717" s="7" t="s">
        <v>15171</v>
      </c>
      <c r="L6717" s="13">
        <v>4182</v>
      </c>
      <c r="M6717" t="str">
        <f>VLOOKUP(L6717,[1]HBA!$B$2:$C$4000,2,FALSE)</f>
        <v>OP</v>
      </c>
    </row>
    <row r="6718" spans="2:13" x14ac:dyDescent="0.25">
      <c r="B6718" s="31" t="s">
        <v>26303</v>
      </c>
      <c r="C6718" s="25" t="s">
        <v>3387</v>
      </c>
      <c r="D6718" s="25" t="s">
        <v>26232</v>
      </c>
      <c r="E6718" s="25"/>
      <c r="F6718" s="9" t="str">
        <f t="shared" si="98"/>
        <v>structure with developmental contribution from neural crest</v>
      </c>
      <c r="G6718" s="9" t="s">
        <v>5090</v>
      </c>
      <c r="H6718" s="9" t="s">
        <v>20238</v>
      </c>
      <c r="I6718" s="9" t="s">
        <v>12382</v>
      </c>
      <c r="J6718" s="9" t="s">
        <v>12383</v>
      </c>
      <c r="K6718" s="7" t="s">
        <v>15171</v>
      </c>
      <c r="L6718" s="13">
        <v>4183</v>
      </c>
      <c r="M6718" t="str">
        <f>VLOOKUP(L6718,[1]HBA!$B$2:$C$4000,2,FALSE)</f>
        <v>OP</v>
      </c>
    </row>
    <row r="6719" spans="2:13" x14ac:dyDescent="0.25">
      <c r="B6719" s="31" t="s">
        <v>26303</v>
      </c>
      <c r="C6719" s="25" t="s">
        <v>25895</v>
      </c>
      <c r="D6719" s="25" t="s">
        <v>26232</v>
      </c>
      <c r="E6719" s="25"/>
      <c r="F6719" s="9" t="str">
        <f t="shared" si="98"/>
        <v>structure with developmental contribution from neural crest</v>
      </c>
      <c r="G6719" s="9" t="s">
        <v>5090</v>
      </c>
      <c r="H6719" s="9" t="s">
        <v>23838</v>
      </c>
      <c r="I6719" s="9" t="s">
        <v>12384</v>
      </c>
      <c r="J6719" s="9" t="s">
        <v>12385</v>
      </c>
      <c r="K6719" s="7" t="s">
        <v>15171</v>
      </c>
      <c r="L6719" s="13">
        <v>4185</v>
      </c>
      <c r="M6719" t="str">
        <f>VLOOKUP(L6719,[1]HBA!$B$2:$C$4000,2,FALSE)</f>
        <v>Cun</v>
      </c>
    </row>
    <row r="6720" spans="2:13" x14ac:dyDescent="0.25">
      <c r="B6720" s="31" t="s">
        <v>26303</v>
      </c>
      <c r="C6720" s="25" t="s">
        <v>25895</v>
      </c>
      <c r="D6720" s="25" t="s">
        <v>26232</v>
      </c>
      <c r="E6720" s="25"/>
      <c r="F6720" s="9" t="str">
        <f t="shared" si="98"/>
        <v>structure with developmental contribution from neural crest</v>
      </c>
      <c r="G6720" s="9" t="s">
        <v>5090</v>
      </c>
      <c r="H6720" s="9" t="s">
        <v>24794</v>
      </c>
      <c r="I6720" s="9" t="s">
        <v>12386</v>
      </c>
      <c r="J6720" s="9" t="s">
        <v>12387</v>
      </c>
      <c r="K6720" s="7" t="s">
        <v>15171</v>
      </c>
      <c r="L6720" s="13">
        <v>4186</v>
      </c>
      <c r="M6720" t="str">
        <f>VLOOKUP(L6720,[1]HBA!$B$2:$C$4000,2,FALSE)</f>
        <v>Cun-pest</v>
      </c>
    </row>
    <row r="6721" spans="2:13" x14ac:dyDescent="0.25">
      <c r="B6721" s="31" t="s">
        <v>26303</v>
      </c>
      <c r="C6721" s="25" t="s">
        <v>25895</v>
      </c>
      <c r="D6721" s="25" t="s">
        <v>26232</v>
      </c>
      <c r="E6721" s="25"/>
      <c r="F6721" s="9" t="str">
        <f t="shared" si="98"/>
        <v>structure with developmental contribution from neural crest</v>
      </c>
      <c r="G6721" s="9" t="s">
        <v>5090</v>
      </c>
      <c r="H6721" s="9" t="s">
        <v>24795</v>
      </c>
      <c r="I6721" s="9" t="s">
        <v>12388</v>
      </c>
      <c r="J6721" s="9" t="s">
        <v>12389</v>
      </c>
      <c r="K6721" s="7" t="s">
        <v>15171</v>
      </c>
      <c r="L6721" s="13">
        <v>4187</v>
      </c>
      <c r="M6721" t="str">
        <f>VLOOKUP(L6721,[1]HBA!$B$2:$C$4000,2,FALSE)</f>
        <v>Cun-str</v>
      </c>
    </row>
    <row r="6722" spans="2:13" x14ac:dyDescent="0.25">
      <c r="B6722" s="31" t="s">
        <v>26303</v>
      </c>
      <c r="C6722" s="25" t="s">
        <v>25895</v>
      </c>
      <c r="D6722" s="25" t="s">
        <v>26232</v>
      </c>
      <c r="E6722" s="25"/>
      <c r="F6722" s="9" t="str">
        <f t="shared" si="98"/>
        <v>structure with developmental contribution from neural crest</v>
      </c>
      <c r="G6722" s="9" t="s">
        <v>5090</v>
      </c>
      <c r="H6722" s="9" t="s">
        <v>23838</v>
      </c>
      <c r="I6722" s="9" t="s">
        <v>12390</v>
      </c>
      <c r="J6722" s="9" t="s">
        <v>12391</v>
      </c>
      <c r="K6722" s="7" t="s">
        <v>15171</v>
      </c>
      <c r="L6722" s="13">
        <v>4188</v>
      </c>
      <c r="M6722" t="str">
        <f>VLOOKUP(L6722,[1]HBA!$B$2:$C$4000,2,FALSE)</f>
        <v>Cun</v>
      </c>
    </row>
    <row r="6723" spans="2:13" x14ac:dyDescent="0.25">
      <c r="B6723" s="31" t="s">
        <v>26303</v>
      </c>
      <c r="C6723" s="25" t="s">
        <v>25895</v>
      </c>
      <c r="D6723" s="25" t="s">
        <v>26232</v>
      </c>
      <c r="E6723" s="25"/>
      <c r="F6723" s="9" t="str">
        <f t="shared" si="98"/>
        <v>structure with developmental contribution from neural crest</v>
      </c>
      <c r="G6723" s="9" t="s">
        <v>5090</v>
      </c>
      <c r="H6723" s="9" t="s">
        <v>24794</v>
      </c>
      <c r="I6723" s="9" t="s">
        <v>12392</v>
      </c>
      <c r="J6723" s="9" t="s">
        <v>12393</v>
      </c>
      <c r="K6723" s="7" t="s">
        <v>15171</v>
      </c>
      <c r="L6723" s="13">
        <v>4189</v>
      </c>
      <c r="M6723" t="str">
        <f>VLOOKUP(L6723,[1]HBA!$B$2:$C$4000,2,FALSE)</f>
        <v>Cun-pest</v>
      </c>
    </row>
    <row r="6724" spans="2:13" x14ac:dyDescent="0.25">
      <c r="B6724" s="31" t="s">
        <v>26303</v>
      </c>
      <c r="C6724" s="25" t="s">
        <v>25895</v>
      </c>
      <c r="D6724" s="25" t="s">
        <v>26232</v>
      </c>
      <c r="E6724" s="25"/>
      <c r="F6724" s="9" t="str">
        <f t="shared" si="98"/>
        <v>structure with developmental contribution from neural crest</v>
      </c>
      <c r="G6724" s="9" t="s">
        <v>5090</v>
      </c>
      <c r="H6724" s="9" t="s">
        <v>24795</v>
      </c>
      <c r="I6724" s="9" t="s">
        <v>12394</v>
      </c>
      <c r="J6724" s="9" t="s">
        <v>12395</v>
      </c>
      <c r="K6724" s="7" t="s">
        <v>15171</v>
      </c>
      <c r="L6724" s="13">
        <v>4190</v>
      </c>
      <c r="M6724" t="str">
        <f>VLOOKUP(L6724,[1]HBA!$B$2:$C$4000,2,FALSE)</f>
        <v>Cun-str</v>
      </c>
    </row>
    <row r="6725" spans="2:13" x14ac:dyDescent="0.25">
      <c r="B6725" s="31" t="s">
        <v>26303</v>
      </c>
      <c r="C6725" s="25" t="s">
        <v>2790</v>
      </c>
      <c r="D6725" s="25" t="s">
        <v>26232</v>
      </c>
      <c r="E6725" s="25"/>
      <c r="F6725" s="9" t="str">
        <f t="shared" si="98"/>
        <v>structure with developmental contribution from neural crest</v>
      </c>
      <c r="G6725" s="9" t="s">
        <v>5090</v>
      </c>
      <c r="H6725" s="9" t="s">
        <v>23839</v>
      </c>
      <c r="I6725" s="9" t="s">
        <v>12396</v>
      </c>
      <c r="J6725" s="9" t="s">
        <v>12397</v>
      </c>
      <c r="K6725" s="7" t="s">
        <v>15171</v>
      </c>
      <c r="L6725" s="13">
        <v>4192</v>
      </c>
      <c r="M6725" t="str">
        <f>VLOOKUP(L6725,[1]HBA!$B$2:$C$4000,2,FALSE)</f>
        <v>LiG</v>
      </c>
    </row>
    <row r="6726" spans="2:13" x14ac:dyDescent="0.25">
      <c r="B6726" s="31" t="s">
        <v>26303</v>
      </c>
      <c r="C6726" s="25" t="s">
        <v>2790</v>
      </c>
      <c r="D6726" s="25" t="s">
        <v>26232</v>
      </c>
      <c r="E6726" s="25"/>
      <c r="F6726" s="9" t="str">
        <f t="shared" si="98"/>
        <v>structure with developmental contribution from neural crest</v>
      </c>
      <c r="G6726" s="9" t="s">
        <v>5090</v>
      </c>
      <c r="H6726" s="9" t="s">
        <v>24798</v>
      </c>
      <c r="I6726" s="9" t="s">
        <v>12398</v>
      </c>
      <c r="J6726" s="9" t="s">
        <v>12399</v>
      </c>
      <c r="K6726" s="7" t="s">
        <v>15171</v>
      </c>
      <c r="L6726" s="13">
        <v>4193</v>
      </c>
      <c r="M6726" t="str">
        <f>VLOOKUP(L6726,[1]HBA!$B$2:$C$4000,2,FALSE)</f>
        <v>LiG-pest</v>
      </c>
    </row>
    <row r="6727" spans="2:13" x14ac:dyDescent="0.25">
      <c r="B6727" s="31" t="s">
        <v>26303</v>
      </c>
      <c r="C6727" s="25" t="s">
        <v>2790</v>
      </c>
      <c r="D6727" s="25" t="s">
        <v>26232</v>
      </c>
      <c r="E6727" s="25"/>
      <c r="F6727" s="9" t="str">
        <f t="shared" si="98"/>
        <v>structure with developmental contribution from neural crest</v>
      </c>
      <c r="G6727" s="9" t="s">
        <v>5090</v>
      </c>
      <c r="H6727" s="9" t="s">
        <v>24799</v>
      </c>
      <c r="I6727" s="9" t="s">
        <v>12400</v>
      </c>
      <c r="J6727" s="9" t="s">
        <v>12401</v>
      </c>
      <c r="K6727" s="7" t="s">
        <v>15171</v>
      </c>
      <c r="L6727" s="13">
        <v>4194</v>
      </c>
      <c r="M6727" t="str">
        <f>VLOOKUP(L6727,[1]HBA!$B$2:$C$4000,2,FALSE)</f>
        <v>LiG-str</v>
      </c>
    </row>
    <row r="6728" spans="2:13" x14ac:dyDescent="0.25">
      <c r="B6728" s="31" t="s">
        <v>26303</v>
      </c>
      <c r="C6728" s="25" t="s">
        <v>2790</v>
      </c>
      <c r="D6728" s="25" t="s">
        <v>26232</v>
      </c>
      <c r="E6728" s="25"/>
      <c r="F6728" s="9" t="str">
        <f t="shared" si="98"/>
        <v>structure with developmental contribution from neural crest</v>
      </c>
      <c r="G6728" s="9" t="s">
        <v>5090</v>
      </c>
      <c r="H6728" s="9" t="s">
        <v>23839</v>
      </c>
      <c r="I6728" s="9" t="s">
        <v>12402</v>
      </c>
      <c r="J6728" s="9" t="s">
        <v>12403</v>
      </c>
      <c r="K6728" s="7" t="s">
        <v>15171</v>
      </c>
      <c r="L6728" s="13">
        <v>4195</v>
      </c>
      <c r="M6728" t="str">
        <f>VLOOKUP(L6728,[1]HBA!$B$2:$C$4000,2,FALSE)</f>
        <v>LiG</v>
      </c>
    </row>
    <row r="6729" spans="2:13" x14ac:dyDescent="0.25">
      <c r="B6729" s="31" t="s">
        <v>26303</v>
      </c>
      <c r="C6729" s="25" t="s">
        <v>2790</v>
      </c>
      <c r="D6729" s="25" t="s">
        <v>26232</v>
      </c>
      <c r="E6729" s="25"/>
      <c r="F6729" s="9" t="str">
        <f t="shared" si="98"/>
        <v>structure with developmental contribution from neural crest</v>
      </c>
      <c r="G6729" s="9" t="s">
        <v>5090</v>
      </c>
      <c r="H6729" s="9" t="s">
        <v>24798</v>
      </c>
      <c r="I6729" s="9" t="s">
        <v>12404</v>
      </c>
      <c r="J6729" s="9" t="s">
        <v>12405</v>
      </c>
      <c r="K6729" s="7" t="s">
        <v>15171</v>
      </c>
      <c r="L6729" s="13">
        <v>4196</v>
      </c>
      <c r="M6729" t="str">
        <f>VLOOKUP(L6729,[1]HBA!$B$2:$C$4000,2,FALSE)</f>
        <v>LiG-pest</v>
      </c>
    </row>
    <row r="6730" spans="2:13" x14ac:dyDescent="0.25">
      <c r="B6730" s="31" t="s">
        <v>26303</v>
      </c>
      <c r="C6730" s="25" t="s">
        <v>2790</v>
      </c>
      <c r="D6730" s="25" t="s">
        <v>26232</v>
      </c>
      <c r="E6730" s="25"/>
      <c r="F6730" s="9" t="str">
        <f t="shared" si="98"/>
        <v>structure with developmental contribution from neural crest</v>
      </c>
      <c r="G6730" s="9" t="s">
        <v>5090</v>
      </c>
      <c r="H6730" s="9" t="s">
        <v>24799</v>
      </c>
      <c r="I6730" s="9" t="s">
        <v>12406</v>
      </c>
      <c r="J6730" s="9" t="s">
        <v>12407</v>
      </c>
      <c r="K6730" s="7" t="s">
        <v>15171</v>
      </c>
      <c r="L6730" s="13">
        <v>4197</v>
      </c>
      <c r="M6730" t="str">
        <f>VLOOKUP(L6730,[1]HBA!$B$2:$C$4000,2,FALSE)</f>
        <v>LiG-str</v>
      </c>
    </row>
    <row r="6731" spans="2:13" x14ac:dyDescent="0.25">
      <c r="B6731" s="31" t="s">
        <v>26299</v>
      </c>
      <c r="C6731" s="25" t="s">
        <v>26064</v>
      </c>
      <c r="D6731" s="25" t="s">
        <v>26232</v>
      </c>
      <c r="E6731" s="25"/>
      <c r="F6731" s="9" t="str">
        <f t="shared" si="98"/>
        <v>structure with developmental contribution from neural crest</v>
      </c>
      <c r="G6731" s="9" t="s">
        <v>5090</v>
      </c>
      <c r="H6731" s="9" t="s">
        <v>24803</v>
      </c>
      <c r="I6731" s="9" t="s">
        <v>12408</v>
      </c>
      <c r="J6731" s="9" t="s">
        <v>12409</v>
      </c>
      <c r="K6731" s="7" t="s">
        <v>15171</v>
      </c>
      <c r="L6731" s="13">
        <v>4198</v>
      </c>
      <c r="M6731" t="str">
        <f>VLOOKUP(L6731,[1]HBA!$B$2:$C$4000,2,FALSE)</f>
        <v>OTG</v>
      </c>
    </row>
    <row r="6732" spans="2:13" x14ac:dyDescent="0.25">
      <c r="B6732" s="31" t="s">
        <v>26299</v>
      </c>
      <c r="C6732" s="25" t="s">
        <v>26064</v>
      </c>
      <c r="D6732" s="25" t="s">
        <v>26232</v>
      </c>
      <c r="E6732" s="25"/>
      <c r="F6732" s="9" t="str">
        <f t="shared" si="98"/>
        <v>structure with developmental contribution from neural crest</v>
      </c>
      <c r="G6732" s="9" t="s">
        <v>5090</v>
      </c>
      <c r="H6732" s="9" t="s">
        <v>24803</v>
      </c>
      <c r="I6732" s="9" t="s">
        <v>12410</v>
      </c>
      <c r="J6732" s="9" t="s">
        <v>12411</v>
      </c>
      <c r="K6732" s="7" t="s">
        <v>15171</v>
      </c>
      <c r="L6732" s="13">
        <v>4199</v>
      </c>
      <c r="M6732" t="str">
        <f>VLOOKUP(L6732,[1]HBA!$B$2:$C$4000,2,FALSE)</f>
        <v>OTG</v>
      </c>
    </row>
    <row r="6733" spans="2:13" x14ac:dyDescent="0.25">
      <c r="B6733" s="31" t="s">
        <v>26299</v>
      </c>
      <c r="C6733" s="25" t="s">
        <v>26064</v>
      </c>
      <c r="D6733" s="25" t="s">
        <v>26232</v>
      </c>
      <c r="E6733" s="25"/>
      <c r="F6733" s="9" t="str">
        <f t="shared" si="98"/>
        <v>structure with developmental contribution from neural crest</v>
      </c>
      <c r="G6733" s="9" t="s">
        <v>5090</v>
      </c>
      <c r="H6733" s="9" t="s">
        <v>24804</v>
      </c>
      <c r="I6733" s="9" t="s">
        <v>12412</v>
      </c>
      <c r="J6733" s="9" t="s">
        <v>12413</v>
      </c>
      <c r="K6733" s="7" t="s">
        <v>15171</v>
      </c>
      <c r="L6733" s="13">
        <v>4200</v>
      </c>
      <c r="M6733" t="str">
        <f>VLOOKUP(L6733,[1]HBA!$B$2:$C$4000,2,FALSE)</f>
        <v>OTG-s</v>
      </c>
    </row>
    <row r="6734" spans="2:13" x14ac:dyDescent="0.25">
      <c r="B6734" s="31" t="s">
        <v>26299</v>
      </c>
      <c r="C6734" s="25" t="s">
        <v>26064</v>
      </c>
      <c r="D6734" s="25" t="s">
        <v>26232</v>
      </c>
      <c r="E6734" s="25"/>
      <c r="F6734" s="9" t="str">
        <f t="shared" si="98"/>
        <v>structure with developmental contribution from neural crest</v>
      </c>
      <c r="G6734" s="9" t="s">
        <v>5090</v>
      </c>
      <c r="H6734" s="9" t="s">
        <v>24805</v>
      </c>
      <c r="I6734" s="9" t="s">
        <v>12414</v>
      </c>
      <c r="J6734" s="9" t="s">
        <v>12415</v>
      </c>
      <c r="K6734" s="7" t="s">
        <v>15171</v>
      </c>
      <c r="L6734" s="13">
        <v>4201</v>
      </c>
      <c r="M6734" t="str">
        <f>VLOOKUP(L6734,[1]HBA!$B$2:$C$4000,2,FALSE)</f>
        <v>OTG-i</v>
      </c>
    </row>
    <row r="6735" spans="2:13" x14ac:dyDescent="0.25">
      <c r="B6735" s="31" t="s">
        <v>26299</v>
      </c>
      <c r="C6735" s="25" t="s">
        <v>26064</v>
      </c>
      <c r="D6735" s="25" t="s">
        <v>26232</v>
      </c>
      <c r="E6735" s="25"/>
      <c r="F6735" s="9" t="str">
        <f t="shared" si="98"/>
        <v>structure with developmental contribution from neural crest</v>
      </c>
      <c r="G6735" s="9" t="s">
        <v>5090</v>
      </c>
      <c r="H6735" s="9" t="s">
        <v>24803</v>
      </c>
      <c r="I6735" s="9" t="s">
        <v>12416</v>
      </c>
      <c r="J6735" s="9" t="s">
        <v>12417</v>
      </c>
      <c r="K6735" s="7" t="s">
        <v>15171</v>
      </c>
      <c r="L6735" s="13">
        <v>4202</v>
      </c>
      <c r="M6735" t="str">
        <f>VLOOKUP(L6735,[1]HBA!$B$2:$C$4000,2,FALSE)</f>
        <v>OTG</v>
      </c>
    </row>
    <row r="6736" spans="2:13" x14ac:dyDescent="0.25">
      <c r="B6736" s="31" t="s">
        <v>26299</v>
      </c>
      <c r="C6736" s="25" t="s">
        <v>26064</v>
      </c>
      <c r="D6736" s="25" t="s">
        <v>26232</v>
      </c>
      <c r="E6736" s="25"/>
      <c r="F6736" s="9" t="str">
        <f t="shared" si="98"/>
        <v>structure with developmental contribution from neural crest</v>
      </c>
      <c r="G6736" s="9" t="s">
        <v>5090</v>
      </c>
      <c r="H6736" s="9" t="s">
        <v>24804</v>
      </c>
      <c r="I6736" s="9" t="s">
        <v>12418</v>
      </c>
      <c r="J6736" s="9" t="s">
        <v>12419</v>
      </c>
      <c r="K6736" s="7" t="s">
        <v>15171</v>
      </c>
      <c r="L6736" s="13">
        <v>4203</v>
      </c>
      <c r="M6736" t="str">
        <f>VLOOKUP(L6736,[1]HBA!$B$2:$C$4000,2,FALSE)</f>
        <v>OTG-s</v>
      </c>
    </row>
    <row r="6737" spans="2:13" x14ac:dyDescent="0.25">
      <c r="B6737" s="31" t="s">
        <v>26299</v>
      </c>
      <c r="C6737" s="25" t="s">
        <v>26064</v>
      </c>
      <c r="D6737" s="25" t="s">
        <v>26232</v>
      </c>
      <c r="E6737" s="25"/>
      <c r="F6737" s="9" t="str">
        <f t="shared" si="98"/>
        <v>structure with developmental contribution from neural crest</v>
      </c>
      <c r="G6737" s="9" t="s">
        <v>5090</v>
      </c>
      <c r="H6737" s="9" t="s">
        <v>24805</v>
      </c>
      <c r="I6737" s="9" t="s">
        <v>12420</v>
      </c>
      <c r="J6737" s="9" t="s">
        <v>12421</v>
      </c>
      <c r="K6737" s="7" t="s">
        <v>15171</v>
      </c>
      <c r="L6737" s="13">
        <v>4204</v>
      </c>
      <c r="M6737" t="str">
        <f>VLOOKUP(L6737,[1]HBA!$B$2:$C$4000,2,FALSE)</f>
        <v>OTG-i</v>
      </c>
    </row>
    <row r="6738" spans="2:13" x14ac:dyDescent="0.25">
      <c r="B6738" s="31" t="s">
        <v>26303</v>
      </c>
      <c r="C6738" s="25" t="s">
        <v>2378</v>
      </c>
      <c r="D6738" s="25" t="s">
        <v>26232</v>
      </c>
      <c r="E6738" s="25"/>
      <c r="F6738" s="9" t="str">
        <f t="shared" si="98"/>
        <v>structure with developmental contribution from neural crest</v>
      </c>
      <c r="G6738" s="9" t="s">
        <v>5090</v>
      </c>
      <c r="H6738" s="9" t="s">
        <v>23841</v>
      </c>
      <c r="I6738" s="9" t="s">
        <v>12422</v>
      </c>
      <c r="J6738" s="9" t="s">
        <v>12423</v>
      </c>
      <c r="K6738" s="7" t="s">
        <v>15171</v>
      </c>
      <c r="L6738" s="13">
        <v>4206</v>
      </c>
      <c r="M6738" t="str">
        <f>VLOOKUP(L6738,[1]HBA!$B$2:$C$4000,2,FALSE)</f>
        <v>IOG</v>
      </c>
    </row>
    <row r="6739" spans="2:13" x14ac:dyDescent="0.25">
      <c r="B6739" s="31" t="s">
        <v>26303</v>
      </c>
      <c r="C6739" s="25" t="s">
        <v>2378</v>
      </c>
      <c r="D6739" s="25" t="s">
        <v>26232</v>
      </c>
      <c r="E6739" s="25"/>
      <c r="F6739" s="9" t="str">
        <f t="shared" si="98"/>
        <v>structure with developmental contribution from neural crest</v>
      </c>
      <c r="G6739" s="9" t="s">
        <v>5090</v>
      </c>
      <c r="H6739" s="9" t="s">
        <v>24796</v>
      </c>
      <c r="I6739" s="9" t="s">
        <v>12424</v>
      </c>
      <c r="J6739" s="9" t="s">
        <v>12425</v>
      </c>
      <c r="K6739" s="7" t="s">
        <v>15171</v>
      </c>
      <c r="L6739" s="13">
        <v>4207</v>
      </c>
      <c r="M6739" t="str">
        <f>VLOOKUP(L6739,[1]HBA!$B$2:$C$4000,2,FALSE)</f>
        <v>IOG-s</v>
      </c>
    </row>
    <row r="6740" spans="2:13" x14ac:dyDescent="0.25">
      <c r="B6740" s="31" t="s">
        <v>26303</v>
      </c>
      <c r="C6740" s="25" t="s">
        <v>2378</v>
      </c>
      <c r="D6740" s="25" t="s">
        <v>26232</v>
      </c>
      <c r="E6740" s="25"/>
      <c r="F6740" s="9" t="str">
        <f t="shared" si="98"/>
        <v>structure with developmental contribution from neural crest</v>
      </c>
      <c r="G6740" s="9" t="s">
        <v>5090</v>
      </c>
      <c r="H6740" s="9" t="s">
        <v>24797</v>
      </c>
      <c r="I6740" s="9" t="s">
        <v>12426</v>
      </c>
      <c r="J6740" s="9" t="s">
        <v>12427</v>
      </c>
      <c r="K6740" s="7" t="s">
        <v>15171</v>
      </c>
      <c r="L6740" s="13">
        <v>4208</v>
      </c>
      <c r="M6740" t="str">
        <f>VLOOKUP(L6740,[1]HBA!$B$2:$C$4000,2,FALSE)</f>
        <v>IOG-i</v>
      </c>
    </row>
    <row r="6741" spans="2:13" x14ac:dyDescent="0.25">
      <c r="B6741" s="31" t="s">
        <v>26303</v>
      </c>
      <c r="C6741" s="25" t="s">
        <v>2378</v>
      </c>
      <c r="D6741" s="25" t="s">
        <v>26232</v>
      </c>
      <c r="E6741" s="25"/>
      <c r="F6741" s="9" t="str">
        <f t="shared" si="98"/>
        <v>structure with developmental contribution from neural crest</v>
      </c>
      <c r="G6741" s="9" t="s">
        <v>5090</v>
      </c>
      <c r="H6741" s="9" t="s">
        <v>23841</v>
      </c>
      <c r="I6741" s="9" t="s">
        <v>12428</v>
      </c>
      <c r="J6741" s="9" t="s">
        <v>12429</v>
      </c>
      <c r="K6741" s="7" t="s">
        <v>15171</v>
      </c>
      <c r="L6741" s="13">
        <v>4209</v>
      </c>
      <c r="M6741" t="str">
        <f>VLOOKUP(L6741,[1]HBA!$B$2:$C$4000,2,FALSE)</f>
        <v>IOG</v>
      </c>
    </row>
    <row r="6742" spans="2:13" x14ac:dyDescent="0.25">
      <c r="B6742" s="31" t="s">
        <v>26303</v>
      </c>
      <c r="C6742" s="25" t="s">
        <v>2378</v>
      </c>
      <c r="D6742" s="25" t="s">
        <v>26232</v>
      </c>
      <c r="E6742" s="25"/>
      <c r="F6742" s="9" t="str">
        <f t="shared" si="98"/>
        <v>structure with developmental contribution from neural crest</v>
      </c>
      <c r="G6742" s="9" t="s">
        <v>5090</v>
      </c>
      <c r="H6742" s="9" t="s">
        <v>24796</v>
      </c>
      <c r="I6742" s="9" t="s">
        <v>12430</v>
      </c>
      <c r="J6742" s="9" t="s">
        <v>12431</v>
      </c>
      <c r="K6742" s="7" t="s">
        <v>15171</v>
      </c>
      <c r="L6742" s="13">
        <v>4210</v>
      </c>
      <c r="M6742" t="str">
        <f>VLOOKUP(L6742,[1]HBA!$B$2:$C$4000,2,FALSE)</f>
        <v>IOG-s</v>
      </c>
    </row>
    <row r="6743" spans="2:13" x14ac:dyDescent="0.25">
      <c r="B6743" s="31" t="s">
        <v>26303</v>
      </c>
      <c r="C6743" s="25" t="s">
        <v>2378</v>
      </c>
      <c r="D6743" s="25" t="s">
        <v>26232</v>
      </c>
      <c r="E6743" s="25"/>
      <c r="F6743" s="9" t="str">
        <f t="shared" si="98"/>
        <v>structure with developmental contribution from neural crest</v>
      </c>
      <c r="G6743" s="9" t="s">
        <v>5090</v>
      </c>
      <c r="H6743" s="9" t="s">
        <v>24797</v>
      </c>
      <c r="I6743" s="9" t="s">
        <v>12432</v>
      </c>
      <c r="J6743" s="9" t="s">
        <v>12433</v>
      </c>
      <c r="K6743" s="7" t="s">
        <v>15171</v>
      </c>
      <c r="L6743" s="13">
        <v>4211</v>
      </c>
      <c r="M6743" t="str">
        <f>VLOOKUP(L6743,[1]HBA!$B$2:$C$4000,2,FALSE)</f>
        <v>IOG-i</v>
      </c>
    </row>
    <row r="6744" spans="2:13" x14ac:dyDescent="0.25">
      <c r="B6744" s="31" t="s">
        <v>26303</v>
      </c>
      <c r="C6744" s="25" t="s">
        <v>14823</v>
      </c>
      <c r="D6744" s="25" t="s">
        <v>26232</v>
      </c>
      <c r="E6744" s="25"/>
      <c r="F6744" s="9" t="str">
        <f t="shared" si="98"/>
        <v>structure with developmental contribution from neural crest</v>
      </c>
      <c r="G6744" s="9" t="s">
        <v>5090</v>
      </c>
      <c r="H6744" s="9" t="s">
        <v>23842</v>
      </c>
      <c r="I6744" s="9" t="s">
        <v>12434</v>
      </c>
      <c r="J6744" s="9" t="s">
        <v>12435</v>
      </c>
      <c r="K6744" s="7" t="s">
        <v>15171</v>
      </c>
      <c r="L6744" s="13">
        <v>4213</v>
      </c>
      <c r="M6744" t="str">
        <f>VLOOKUP(L6744,[1]HBA!$B$2:$C$4000,2,FALSE)</f>
        <v>SOG</v>
      </c>
    </row>
    <row r="6745" spans="2:13" x14ac:dyDescent="0.25">
      <c r="B6745" s="31" t="s">
        <v>26303</v>
      </c>
      <c r="C6745" s="25" t="s">
        <v>14823</v>
      </c>
      <c r="D6745" s="25" t="s">
        <v>26232</v>
      </c>
      <c r="E6745" s="25"/>
      <c r="F6745" s="9" t="str">
        <f t="shared" si="98"/>
        <v>structure with developmental contribution from neural crest</v>
      </c>
      <c r="G6745" s="9" t="s">
        <v>5090</v>
      </c>
      <c r="H6745" s="9" t="s">
        <v>24806</v>
      </c>
      <c r="I6745" s="9" t="s">
        <v>12436</v>
      </c>
      <c r="J6745" s="9" t="s">
        <v>12437</v>
      </c>
      <c r="K6745" s="7" t="s">
        <v>15171</v>
      </c>
      <c r="L6745" s="13">
        <v>4214</v>
      </c>
      <c r="M6745" t="str">
        <f>VLOOKUP(L6745,[1]HBA!$B$2:$C$4000,2,FALSE)</f>
        <v>SOG-s</v>
      </c>
    </row>
    <row r="6746" spans="2:13" x14ac:dyDescent="0.25">
      <c r="B6746" s="31" t="s">
        <v>26303</v>
      </c>
      <c r="C6746" s="25" t="s">
        <v>14823</v>
      </c>
      <c r="D6746" s="25" t="s">
        <v>26232</v>
      </c>
      <c r="E6746" s="25"/>
      <c r="F6746" s="9" t="str">
        <f t="shared" si="98"/>
        <v>structure with developmental contribution from neural crest</v>
      </c>
      <c r="G6746" s="9" t="s">
        <v>5090</v>
      </c>
      <c r="H6746" s="9" t="s">
        <v>24807</v>
      </c>
      <c r="I6746" s="9" t="s">
        <v>12438</v>
      </c>
      <c r="J6746" s="9" t="s">
        <v>12439</v>
      </c>
      <c r="K6746" s="7" t="s">
        <v>15171</v>
      </c>
      <c r="L6746" s="13">
        <v>4215</v>
      </c>
      <c r="M6746" t="str">
        <f>VLOOKUP(L6746,[1]HBA!$B$2:$C$4000,2,FALSE)</f>
        <v>SOG-i</v>
      </c>
    </row>
    <row r="6747" spans="2:13" x14ac:dyDescent="0.25">
      <c r="B6747" s="31" t="s">
        <v>26303</v>
      </c>
      <c r="C6747" s="25" t="s">
        <v>14823</v>
      </c>
      <c r="D6747" s="25" t="s">
        <v>26232</v>
      </c>
      <c r="E6747" s="25"/>
      <c r="F6747" s="9" t="str">
        <f t="shared" si="98"/>
        <v>structure with developmental contribution from neural crest</v>
      </c>
      <c r="G6747" s="9" t="s">
        <v>5090</v>
      </c>
      <c r="H6747" s="9" t="s">
        <v>23842</v>
      </c>
      <c r="I6747" s="9" t="s">
        <v>12440</v>
      </c>
      <c r="J6747" s="9" t="s">
        <v>12441</v>
      </c>
      <c r="K6747" s="7" t="s">
        <v>15171</v>
      </c>
      <c r="L6747" s="13">
        <v>4216</v>
      </c>
      <c r="M6747" t="str">
        <f>VLOOKUP(L6747,[1]HBA!$B$2:$C$4000,2,FALSE)</f>
        <v>SOG</v>
      </c>
    </row>
    <row r="6748" spans="2:13" x14ac:dyDescent="0.25">
      <c r="B6748" s="31" t="s">
        <v>26303</v>
      </c>
      <c r="C6748" s="25" t="s">
        <v>14823</v>
      </c>
      <c r="D6748" s="25" t="s">
        <v>26232</v>
      </c>
      <c r="E6748" s="25"/>
      <c r="F6748" s="9" t="str">
        <f t="shared" si="98"/>
        <v>structure with developmental contribution from neural crest</v>
      </c>
      <c r="G6748" s="9" t="s">
        <v>5090</v>
      </c>
      <c r="H6748" s="9" t="s">
        <v>24806</v>
      </c>
      <c r="I6748" s="9" t="s">
        <v>12442</v>
      </c>
      <c r="J6748" s="9" t="s">
        <v>12443</v>
      </c>
      <c r="K6748" s="7" t="s">
        <v>15171</v>
      </c>
      <c r="L6748" s="13">
        <v>4217</v>
      </c>
      <c r="M6748" t="str">
        <f>VLOOKUP(L6748,[1]HBA!$B$2:$C$4000,2,FALSE)</f>
        <v>SOG-s</v>
      </c>
    </row>
    <row r="6749" spans="2:13" x14ac:dyDescent="0.25">
      <c r="B6749" s="31" t="s">
        <v>26303</v>
      </c>
      <c r="C6749" s="25" t="s">
        <v>14823</v>
      </c>
      <c r="D6749" s="25" t="s">
        <v>26232</v>
      </c>
      <c r="E6749" s="25"/>
      <c r="F6749" s="9" t="str">
        <f t="shared" si="98"/>
        <v>structure with developmental contribution from neural crest</v>
      </c>
      <c r="G6749" s="9" t="s">
        <v>5090</v>
      </c>
      <c r="H6749" s="9" t="s">
        <v>24807</v>
      </c>
      <c r="I6749" s="9" t="s">
        <v>12444</v>
      </c>
      <c r="J6749" s="9" t="s">
        <v>12445</v>
      </c>
      <c r="K6749" s="7" t="s">
        <v>15171</v>
      </c>
      <c r="L6749" s="13">
        <v>4218</v>
      </c>
      <c r="M6749" t="str">
        <f>VLOOKUP(L6749,[1]HBA!$B$2:$C$4000,2,FALSE)</f>
        <v>SOG-i</v>
      </c>
    </row>
    <row r="6750" spans="2:13" x14ac:dyDescent="0.25">
      <c r="B6750" s="31" t="s">
        <v>26303</v>
      </c>
      <c r="C6750" s="20"/>
      <c r="D6750" s="25" t="s">
        <v>26232</v>
      </c>
      <c r="E6750" s="25" t="s">
        <v>26309</v>
      </c>
      <c r="F6750" s="9" t="str">
        <f t="shared" si="98"/>
        <v>structure with developmental contribution from neural crest</v>
      </c>
      <c r="G6750" s="9" t="s">
        <v>5090</v>
      </c>
      <c r="H6750" s="9" t="s">
        <v>24783</v>
      </c>
      <c r="I6750" s="9" t="s">
        <v>12446</v>
      </c>
      <c r="J6750" s="9" t="s">
        <v>12447</v>
      </c>
      <c r="K6750" s="7" t="s">
        <v>15171</v>
      </c>
      <c r="L6750" s="13">
        <v>4221</v>
      </c>
      <c r="M6750" t="str">
        <f>VLOOKUP(L6750,[1]HBA!$B$2:$C$4000,2,FALSE)</f>
        <v>CgGf</v>
      </c>
    </row>
    <row r="6751" spans="2:13" x14ac:dyDescent="0.25">
      <c r="B6751" s="31" t="s">
        <v>26303</v>
      </c>
      <c r="C6751" s="20"/>
      <c r="D6751" s="25" t="s">
        <v>26232</v>
      </c>
      <c r="E6751" s="25" t="s">
        <v>26300</v>
      </c>
      <c r="F6751" s="9" t="str">
        <f t="shared" si="98"/>
        <v>structure with developmental contribution from neural crest</v>
      </c>
      <c r="G6751" s="9" t="s">
        <v>5090</v>
      </c>
      <c r="H6751" s="9" t="s">
        <v>24783</v>
      </c>
      <c r="I6751" s="9" t="s">
        <v>12448</v>
      </c>
      <c r="J6751" s="9" t="s">
        <v>12449</v>
      </c>
      <c r="K6751" s="7" t="s">
        <v>15171</v>
      </c>
      <c r="L6751" s="13">
        <v>4222</v>
      </c>
      <c r="M6751" t="str">
        <f>VLOOKUP(L6751,[1]HBA!$B$2:$C$4000,2,FALSE)</f>
        <v>CgGf</v>
      </c>
    </row>
    <row r="6752" spans="2:13" x14ac:dyDescent="0.25">
      <c r="B6752" s="31" t="s">
        <v>26303</v>
      </c>
      <c r="C6752" s="20"/>
      <c r="D6752" s="25" t="s">
        <v>26232</v>
      </c>
      <c r="E6752" s="25" t="s">
        <v>26300</v>
      </c>
      <c r="F6752" s="9" t="str">
        <f t="shared" si="98"/>
        <v>structure with developmental contribution from neural crest</v>
      </c>
      <c r="G6752" s="9" t="s">
        <v>5090</v>
      </c>
      <c r="H6752" s="9" t="s">
        <v>24784</v>
      </c>
      <c r="I6752" s="9" t="s">
        <v>12450</v>
      </c>
      <c r="J6752" s="9" t="s">
        <v>12451</v>
      </c>
      <c r="K6752" s="7" t="s">
        <v>15171</v>
      </c>
      <c r="L6752" s="13">
        <v>4223</v>
      </c>
      <c r="M6752" t="str">
        <f>VLOOKUP(L6752,[1]HBA!$B$2:$C$4000,2,FALSE)</f>
        <v>CgGf-s</v>
      </c>
    </row>
    <row r="6753" spans="2:13" x14ac:dyDescent="0.25">
      <c r="B6753" s="31" t="s">
        <v>26303</v>
      </c>
      <c r="C6753" s="20"/>
      <c r="D6753" s="25" t="s">
        <v>26232</v>
      </c>
      <c r="E6753" s="25" t="s">
        <v>26300</v>
      </c>
      <c r="F6753" s="9" t="str">
        <f t="shared" si="98"/>
        <v>structure with developmental contribution from neural crest</v>
      </c>
      <c r="G6753" s="9" t="s">
        <v>5090</v>
      </c>
      <c r="H6753" s="9" t="s">
        <v>24785</v>
      </c>
      <c r="I6753" s="9" t="s">
        <v>12452</v>
      </c>
      <c r="J6753" s="9" t="s">
        <v>12453</v>
      </c>
      <c r="K6753" s="7" t="s">
        <v>15171</v>
      </c>
      <c r="L6753" s="13">
        <v>4224</v>
      </c>
      <c r="M6753" t="str">
        <f>VLOOKUP(L6753,[1]HBA!$B$2:$C$4000,2,FALSE)</f>
        <v>CgGf-i</v>
      </c>
    </row>
    <row r="6754" spans="2:13" x14ac:dyDescent="0.25">
      <c r="B6754" s="31" t="s">
        <v>26303</v>
      </c>
      <c r="C6754" s="20"/>
      <c r="D6754" s="25" t="s">
        <v>26232</v>
      </c>
      <c r="E6754" s="25" t="s">
        <v>26300</v>
      </c>
      <c r="F6754" s="9" t="str">
        <f t="shared" si="98"/>
        <v>structure with developmental contribution from neural crest</v>
      </c>
      <c r="G6754" s="9" t="s">
        <v>5090</v>
      </c>
      <c r="H6754" s="9" t="s">
        <v>24783</v>
      </c>
      <c r="I6754" s="9" t="s">
        <v>12454</v>
      </c>
      <c r="J6754" s="9" t="s">
        <v>12455</v>
      </c>
      <c r="K6754" s="7" t="s">
        <v>15171</v>
      </c>
      <c r="L6754" s="13">
        <v>4225</v>
      </c>
      <c r="M6754" t="str">
        <f>VLOOKUP(L6754,[1]HBA!$B$2:$C$4000,2,FALSE)</f>
        <v>CgGf</v>
      </c>
    </row>
    <row r="6755" spans="2:13" x14ac:dyDescent="0.25">
      <c r="B6755" s="31" t="s">
        <v>26303</v>
      </c>
      <c r="C6755" s="20"/>
      <c r="D6755" s="25" t="s">
        <v>26232</v>
      </c>
      <c r="E6755" s="25" t="s">
        <v>26300</v>
      </c>
      <c r="F6755" s="9" t="str">
        <f t="shared" si="98"/>
        <v>structure with developmental contribution from neural crest</v>
      </c>
      <c r="G6755" s="9" t="s">
        <v>5090</v>
      </c>
      <c r="H6755" s="9" t="s">
        <v>24784</v>
      </c>
      <c r="I6755" s="9" t="s">
        <v>12456</v>
      </c>
      <c r="J6755" s="9" t="s">
        <v>12457</v>
      </c>
      <c r="K6755" s="7" t="s">
        <v>15171</v>
      </c>
      <c r="L6755" s="13">
        <v>4226</v>
      </c>
      <c r="M6755" t="str">
        <f>VLOOKUP(L6755,[1]HBA!$B$2:$C$4000,2,FALSE)</f>
        <v>CgGf-s</v>
      </c>
    </row>
    <row r="6756" spans="2:13" x14ac:dyDescent="0.25">
      <c r="B6756" s="31" t="s">
        <v>26303</v>
      </c>
      <c r="C6756" s="20"/>
      <c r="D6756" s="25" t="s">
        <v>26232</v>
      </c>
      <c r="E6756" s="25" t="s">
        <v>26300</v>
      </c>
      <c r="F6756" s="9" t="str">
        <f t="shared" si="98"/>
        <v>structure with developmental contribution from neural crest</v>
      </c>
      <c r="G6756" s="9" t="s">
        <v>5090</v>
      </c>
      <c r="H6756" s="9" t="s">
        <v>24785</v>
      </c>
      <c r="I6756" s="9" t="s">
        <v>12458</v>
      </c>
      <c r="J6756" s="9" t="s">
        <v>12459</v>
      </c>
      <c r="K6756" s="7" t="s">
        <v>15171</v>
      </c>
      <c r="L6756" s="13">
        <v>4227</v>
      </c>
      <c r="M6756" t="str">
        <f>VLOOKUP(L6756,[1]HBA!$B$2:$C$4000,2,FALSE)</f>
        <v>CgGf-i</v>
      </c>
    </row>
    <row r="6757" spans="2:13" x14ac:dyDescent="0.25">
      <c r="B6757" s="31" t="s">
        <v>26303</v>
      </c>
      <c r="C6757" s="20"/>
      <c r="D6757" s="25" t="s">
        <v>26232</v>
      </c>
      <c r="E6757" s="25" t="s">
        <v>26309</v>
      </c>
      <c r="F6757" s="9" t="str">
        <f t="shared" si="98"/>
        <v>structure with developmental contribution from neural crest</v>
      </c>
      <c r="G6757" s="9" t="s">
        <v>5090</v>
      </c>
      <c r="H6757" s="9" t="s">
        <v>24786</v>
      </c>
      <c r="I6757" s="9" t="s">
        <v>12460</v>
      </c>
      <c r="J6757" s="9" t="s">
        <v>12461</v>
      </c>
      <c r="K6757" s="7" t="s">
        <v>15171</v>
      </c>
      <c r="L6757" s="13">
        <v>4228</v>
      </c>
      <c r="M6757" t="str">
        <f>VLOOKUP(L6757,[1]HBA!$B$2:$C$4000,2,FALSE)</f>
        <v>CgGp</v>
      </c>
    </row>
    <row r="6758" spans="2:13" x14ac:dyDescent="0.25">
      <c r="B6758" s="31" t="s">
        <v>26303</v>
      </c>
      <c r="C6758" s="20"/>
      <c r="D6758" s="25" t="s">
        <v>26232</v>
      </c>
      <c r="E6758" s="25" t="s">
        <v>26300</v>
      </c>
      <c r="F6758" s="9" t="str">
        <f t="shared" si="98"/>
        <v>structure with developmental contribution from neural crest</v>
      </c>
      <c r="G6758" s="9" t="s">
        <v>5090</v>
      </c>
      <c r="H6758" s="9" t="s">
        <v>24786</v>
      </c>
      <c r="I6758" s="9" t="s">
        <v>12462</v>
      </c>
      <c r="J6758" s="9" t="s">
        <v>12463</v>
      </c>
      <c r="K6758" s="7" t="s">
        <v>15171</v>
      </c>
      <c r="L6758" s="13">
        <v>4229</v>
      </c>
      <c r="M6758" t="str">
        <f>VLOOKUP(L6758,[1]HBA!$B$2:$C$4000,2,FALSE)</f>
        <v>CgGp</v>
      </c>
    </row>
    <row r="6759" spans="2:13" x14ac:dyDescent="0.25">
      <c r="B6759" s="31" t="s">
        <v>26303</v>
      </c>
      <c r="C6759" s="20"/>
      <c r="D6759" s="25" t="s">
        <v>26232</v>
      </c>
      <c r="E6759" s="25" t="s">
        <v>26300</v>
      </c>
      <c r="F6759" s="9" t="str">
        <f t="shared" si="98"/>
        <v>structure with developmental contribution from neural crest</v>
      </c>
      <c r="G6759" s="9" t="s">
        <v>5090</v>
      </c>
      <c r="H6759" s="9" t="s">
        <v>24787</v>
      </c>
      <c r="I6759" s="9" t="s">
        <v>12464</v>
      </c>
      <c r="J6759" s="9" t="s">
        <v>12465</v>
      </c>
      <c r="K6759" s="7" t="s">
        <v>15171</v>
      </c>
      <c r="L6759" s="13">
        <v>4230</v>
      </c>
      <c r="M6759" t="str">
        <f>VLOOKUP(L6759,[1]HBA!$B$2:$C$4000,2,FALSE)</f>
        <v>CgGp-s</v>
      </c>
    </row>
    <row r="6760" spans="2:13" x14ac:dyDescent="0.25">
      <c r="B6760" s="31" t="s">
        <v>26303</v>
      </c>
      <c r="C6760" s="20"/>
      <c r="D6760" s="25" t="s">
        <v>26232</v>
      </c>
      <c r="E6760" s="25" t="s">
        <v>26300</v>
      </c>
      <c r="F6760" s="9" t="str">
        <f t="shared" si="98"/>
        <v>structure with developmental contribution from neural crest</v>
      </c>
      <c r="G6760" s="9" t="s">
        <v>5090</v>
      </c>
      <c r="H6760" s="9" t="s">
        <v>24788</v>
      </c>
      <c r="I6760" s="9" t="s">
        <v>12466</v>
      </c>
      <c r="J6760" s="9" t="s">
        <v>12467</v>
      </c>
      <c r="K6760" s="7" t="s">
        <v>15171</v>
      </c>
      <c r="L6760" s="13">
        <v>4231</v>
      </c>
      <c r="M6760" t="str">
        <f>VLOOKUP(L6760,[1]HBA!$B$2:$C$4000,2,FALSE)</f>
        <v>CgGp-i</v>
      </c>
    </row>
    <row r="6761" spans="2:13" x14ac:dyDescent="0.25">
      <c r="B6761" s="31" t="s">
        <v>26303</v>
      </c>
      <c r="C6761" s="20"/>
      <c r="D6761" s="25" t="s">
        <v>26232</v>
      </c>
      <c r="E6761" s="25" t="s">
        <v>26300</v>
      </c>
      <c r="F6761" s="9" t="str">
        <f t="shared" si="98"/>
        <v>structure with developmental contribution from neural crest</v>
      </c>
      <c r="G6761" s="9" t="s">
        <v>5090</v>
      </c>
      <c r="H6761" s="9" t="s">
        <v>24786</v>
      </c>
      <c r="I6761" s="9" t="s">
        <v>12468</v>
      </c>
      <c r="J6761" s="9" t="s">
        <v>12469</v>
      </c>
      <c r="K6761" s="7" t="s">
        <v>15171</v>
      </c>
      <c r="L6761" s="13">
        <v>4232</v>
      </c>
      <c r="M6761" t="str">
        <f>VLOOKUP(L6761,[1]HBA!$B$2:$C$4000,2,FALSE)</f>
        <v>CgGp</v>
      </c>
    </row>
    <row r="6762" spans="2:13" x14ac:dyDescent="0.25">
      <c r="B6762" s="31" t="s">
        <v>26303</v>
      </c>
      <c r="C6762" s="20"/>
      <c r="D6762" s="25" t="s">
        <v>26232</v>
      </c>
      <c r="E6762" s="25" t="s">
        <v>26300</v>
      </c>
      <c r="F6762" s="9" t="str">
        <f t="shared" si="98"/>
        <v>structure with developmental contribution from neural crest</v>
      </c>
      <c r="G6762" s="9" t="s">
        <v>5090</v>
      </c>
      <c r="H6762" s="9" t="s">
        <v>24787</v>
      </c>
      <c r="I6762" s="9" t="s">
        <v>12470</v>
      </c>
      <c r="J6762" s="9" t="s">
        <v>12471</v>
      </c>
      <c r="K6762" s="7" t="s">
        <v>15171</v>
      </c>
      <c r="L6762" s="13">
        <v>4233</v>
      </c>
      <c r="M6762" t="str">
        <f>VLOOKUP(L6762,[1]HBA!$B$2:$C$4000,2,FALSE)</f>
        <v>CgGp-s</v>
      </c>
    </row>
    <row r="6763" spans="2:13" x14ac:dyDescent="0.25">
      <c r="B6763" s="31" t="s">
        <v>26303</v>
      </c>
      <c r="C6763" s="20"/>
      <c r="D6763" s="25" t="s">
        <v>26232</v>
      </c>
      <c r="E6763" s="25" t="s">
        <v>26300</v>
      </c>
      <c r="F6763" s="9" t="str">
        <f t="shared" si="98"/>
        <v>structure with developmental contribution from neural crest</v>
      </c>
      <c r="G6763" s="9" t="s">
        <v>5090</v>
      </c>
      <c r="H6763" s="9" t="s">
        <v>24788</v>
      </c>
      <c r="I6763" s="9" t="s">
        <v>12472</v>
      </c>
      <c r="J6763" s="9" t="s">
        <v>12473</v>
      </c>
      <c r="K6763" s="7" t="s">
        <v>15171</v>
      </c>
      <c r="L6763" s="13">
        <v>4234</v>
      </c>
      <c r="M6763" t="str">
        <f>VLOOKUP(L6763,[1]HBA!$B$2:$C$4000,2,FALSE)</f>
        <v>CgGp-i</v>
      </c>
    </row>
    <row r="6764" spans="2:13" x14ac:dyDescent="0.25">
      <c r="B6764" s="31" t="s">
        <v>26299</v>
      </c>
      <c r="C6764" s="25" t="s">
        <v>26190</v>
      </c>
      <c r="D6764" s="25" t="s">
        <v>26232</v>
      </c>
      <c r="E6764" s="25"/>
      <c r="F6764" s="9" t="str">
        <f t="shared" si="98"/>
        <v>structure with developmental contribution from neural crest</v>
      </c>
      <c r="G6764" s="9" t="s">
        <v>5090</v>
      </c>
      <c r="H6764" s="9" t="s">
        <v>23848</v>
      </c>
      <c r="I6764" s="9" t="s">
        <v>12474</v>
      </c>
      <c r="J6764" s="9" t="s">
        <v>12475</v>
      </c>
      <c r="K6764" s="7" t="s">
        <v>15171</v>
      </c>
      <c r="L6764" s="13">
        <v>4235</v>
      </c>
      <c r="M6764" t="str">
        <f>VLOOKUP(L6764,[1]HBA!$B$2:$C$4000,2,FALSE)</f>
        <v>CgGr</v>
      </c>
    </row>
    <row r="6765" spans="2:13" x14ac:dyDescent="0.25">
      <c r="B6765" s="31" t="s">
        <v>26299</v>
      </c>
      <c r="C6765" s="25" t="s">
        <v>26190</v>
      </c>
      <c r="D6765" s="25" t="s">
        <v>26232</v>
      </c>
      <c r="E6765" s="25"/>
      <c r="F6765" s="9" t="str">
        <f t="shared" si="98"/>
        <v>structure with developmental contribution from neural crest</v>
      </c>
      <c r="G6765" s="9" t="s">
        <v>5090</v>
      </c>
      <c r="H6765" s="9" t="s">
        <v>23848</v>
      </c>
      <c r="I6765" s="9" t="s">
        <v>12476</v>
      </c>
      <c r="J6765" s="9" t="s">
        <v>12477</v>
      </c>
      <c r="K6765" s="7" t="s">
        <v>15171</v>
      </c>
      <c r="L6765" s="13">
        <v>4236</v>
      </c>
      <c r="M6765" t="str">
        <f>VLOOKUP(L6765,[1]HBA!$B$2:$C$4000,2,FALSE)</f>
        <v>CgGr</v>
      </c>
    </row>
    <row r="6766" spans="2:13" x14ac:dyDescent="0.25">
      <c r="B6766" s="31" t="s">
        <v>26299</v>
      </c>
      <c r="C6766" s="25" t="s">
        <v>26190</v>
      </c>
      <c r="D6766" s="25" t="s">
        <v>26232</v>
      </c>
      <c r="E6766" s="25"/>
      <c r="F6766" s="9" t="str">
        <f t="shared" si="98"/>
        <v>structure with developmental contribution from neural crest</v>
      </c>
      <c r="G6766" s="9" t="s">
        <v>5090</v>
      </c>
      <c r="H6766" s="9" t="s">
        <v>24789</v>
      </c>
      <c r="I6766" s="9" t="s">
        <v>12478</v>
      </c>
      <c r="J6766" s="9" t="s">
        <v>12479</v>
      </c>
      <c r="K6766" s="7" t="s">
        <v>15171</v>
      </c>
      <c r="L6766" s="13">
        <v>4237</v>
      </c>
      <c r="M6766" t="str">
        <f>VLOOKUP(L6766,[1]HBA!$B$2:$C$4000,2,FALSE)</f>
        <v>CgGr-s</v>
      </c>
    </row>
    <row r="6767" spans="2:13" x14ac:dyDescent="0.25">
      <c r="B6767" s="31" t="s">
        <v>26299</v>
      </c>
      <c r="C6767" s="25" t="s">
        <v>26190</v>
      </c>
      <c r="D6767" s="25" t="s">
        <v>26232</v>
      </c>
      <c r="E6767" s="25"/>
      <c r="F6767" s="9" t="str">
        <f t="shared" si="98"/>
        <v>structure with developmental contribution from neural crest</v>
      </c>
      <c r="G6767" s="9" t="s">
        <v>5090</v>
      </c>
      <c r="H6767" s="9" t="s">
        <v>24790</v>
      </c>
      <c r="I6767" s="9" t="s">
        <v>12480</v>
      </c>
      <c r="J6767" s="9" t="s">
        <v>12481</v>
      </c>
      <c r="K6767" s="7" t="s">
        <v>15171</v>
      </c>
      <c r="L6767" s="13">
        <v>4238</v>
      </c>
      <c r="M6767" t="str">
        <f>VLOOKUP(L6767,[1]HBA!$B$2:$C$4000,2,FALSE)</f>
        <v>CgGr-i</v>
      </c>
    </row>
    <row r="6768" spans="2:13" x14ac:dyDescent="0.25">
      <c r="B6768" s="31" t="s">
        <v>26299</v>
      </c>
      <c r="C6768" s="25" t="s">
        <v>26190</v>
      </c>
      <c r="D6768" s="25" t="s">
        <v>26232</v>
      </c>
      <c r="E6768" s="25"/>
      <c r="F6768" s="9" t="str">
        <f t="shared" si="98"/>
        <v>structure with developmental contribution from neural crest</v>
      </c>
      <c r="G6768" s="9" t="s">
        <v>5090</v>
      </c>
      <c r="H6768" s="9" t="s">
        <v>23848</v>
      </c>
      <c r="I6768" s="9" t="s">
        <v>12482</v>
      </c>
      <c r="J6768" s="9" t="s">
        <v>12483</v>
      </c>
      <c r="K6768" s="7" t="s">
        <v>15171</v>
      </c>
      <c r="L6768" s="13">
        <v>4239</v>
      </c>
      <c r="M6768" t="str">
        <f>VLOOKUP(L6768,[1]HBA!$B$2:$C$4000,2,FALSE)</f>
        <v>CgGr</v>
      </c>
    </row>
    <row r="6769" spans="2:13" x14ac:dyDescent="0.25">
      <c r="B6769" s="31" t="s">
        <v>26299</v>
      </c>
      <c r="C6769" s="25" t="s">
        <v>26190</v>
      </c>
      <c r="D6769" s="25" t="s">
        <v>26232</v>
      </c>
      <c r="E6769" s="25"/>
      <c r="F6769" s="9" t="str">
        <f t="shared" si="98"/>
        <v>structure with developmental contribution from neural crest</v>
      </c>
      <c r="G6769" s="9" t="s">
        <v>5090</v>
      </c>
      <c r="H6769" s="9" t="s">
        <v>24789</v>
      </c>
      <c r="I6769" s="9" t="s">
        <v>12484</v>
      </c>
      <c r="J6769" s="9" t="s">
        <v>12485</v>
      </c>
      <c r="K6769" s="7" t="s">
        <v>15171</v>
      </c>
      <c r="L6769" s="13">
        <v>4240</v>
      </c>
      <c r="M6769" t="str">
        <f>VLOOKUP(L6769,[1]HBA!$B$2:$C$4000,2,FALSE)</f>
        <v>CgGr-s</v>
      </c>
    </row>
    <row r="6770" spans="2:13" x14ac:dyDescent="0.25">
      <c r="B6770" s="31" t="s">
        <v>26299</v>
      </c>
      <c r="C6770" s="25" t="s">
        <v>26190</v>
      </c>
      <c r="D6770" s="25" t="s">
        <v>26232</v>
      </c>
      <c r="E6770" s="25"/>
      <c r="F6770" s="9" t="str">
        <f t="shared" si="98"/>
        <v>structure with developmental contribution from neural crest</v>
      </c>
      <c r="G6770" s="9" t="s">
        <v>5090</v>
      </c>
      <c r="H6770" s="9" t="s">
        <v>24790</v>
      </c>
      <c r="I6770" s="9" t="s">
        <v>12486</v>
      </c>
      <c r="J6770" s="9" t="s">
        <v>12487</v>
      </c>
      <c r="K6770" s="7" t="s">
        <v>15171</v>
      </c>
      <c r="L6770" s="13">
        <v>4241</v>
      </c>
      <c r="M6770" t="str">
        <f>VLOOKUP(L6770,[1]HBA!$B$2:$C$4000,2,FALSE)</f>
        <v>CgGr-i</v>
      </c>
    </row>
    <row r="6771" spans="2:13" x14ac:dyDescent="0.25">
      <c r="B6771" s="31" t="s">
        <v>26303</v>
      </c>
      <c r="C6771" s="25" t="s">
        <v>3596</v>
      </c>
      <c r="D6771" s="25" t="s">
        <v>26232</v>
      </c>
      <c r="E6771" s="25"/>
      <c r="F6771" s="9" t="str">
        <f t="shared" si="98"/>
        <v>structure with developmental contribution from neural crest</v>
      </c>
      <c r="G6771" s="9" t="s">
        <v>5090</v>
      </c>
      <c r="H6771" s="9" t="s">
        <v>23854</v>
      </c>
      <c r="I6771" s="9" t="s">
        <v>12488</v>
      </c>
      <c r="J6771" s="9" t="s">
        <v>12489</v>
      </c>
      <c r="K6771" s="7" t="s">
        <v>15171</v>
      </c>
      <c r="L6771" s="13">
        <v>4243</v>
      </c>
      <c r="M6771" t="str">
        <f>VLOOKUP(L6771,[1]HBA!$B$2:$C$4000,2,FALSE)</f>
        <v>PHG</v>
      </c>
    </row>
    <row r="6772" spans="2:13" x14ac:dyDescent="0.25">
      <c r="B6772" s="31" t="s">
        <v>26303</v>
      </c>
      <c r="C6772" s="25" t="s">
        <v>3596</v>
      </c>
      <c r="D6772" s="25" t="s">
        <v>26232</v>
      </c>
      <c r="E6772" s="25"/>
      <c r="F6772" s="9" t="str">
        <f t="shared" si="98"/>
        <v>structure with developmental contribution from neural crest</v>
      </c>
      <c r="G6772" s="9" t="s">
        <v>5090</v>
      </c>
      <c r="H6772" s="9" t="s">
        <v>24791</v>
      </c>
      <c r="I6772" s="9" t="s">
        <v>12490</v>
      </c>
      <c r="J6772" s="9" t="s">
        <v>12491</v>
      </c>
      <c r="K6772" s="7" t="s">
        <v>15171</v>
      </c>
      <c r="L6772" s="13">
        <v>4244</v>
      </c>
      <c r="M6772" t="str">
        <f>VLOOKUP(L6772,[1]HBA!$B$2:$C$4000,2,FALSE)</f>
        <v>PHG-l</v>
      </c>
    </row>
    <row r="6773" spans="2:13" x14ac:dyDescent="0.25">
      <c r="B6773" s="31" t="s">
        <v>26303</v>
      </c>
      <c r="C6773" s="25" t="s">
        <v>3596</v>
      </c>
      <c r="D6773" s="25" t="s">
        <v>26232</v>
      </c>
      <c r="E6773" s="25"/>
      <c r="F6773" s="9" t="str">
        <f t="shared" si="98"/>
        <v>structure with developmental contribution from neural crest</v>
      </c>
      <c r="G6773" s="9" t="s">
        <v>5090</v>
      </c>
      <c r="H6773" s="9" t="s">
        <v>24792</v>
      </c>
      <c r="I6773" s="9" t="s">
        <v>12492</v>
      </c>
      <c r="J6773" s="9" t="s">
        <v>12493</v>
      </c>
      <c r="K6773" s="7" t="s">
        <v>15171</v>
      </c>
      <c r="L6773" s="13">
        <v>4245</v>
      </c>
      <c r="M6773" t="str">
        <f>VLOOKUP(L6773,[1]HBA!$B$2:$C$4000,2,FALSE)</f>
        <v>PHG-cos</v>
      </c>
    </row>
    <row r="6774" spans="2:13" x14ac:dyDescent="0.25">
      <c r="B6774" s="31" t="s">
        <v>26303</v>
      </c>
      <c r="C6774" s="25" t="s">
        <v>3596</v>
      </c>
      <c r="D6774" s="25" t="s">
        <v>26232</v>
      </c>
      <c r="E6774" s="25"/>
      <c r="F6774" s="9" t="str">
        <f t="shared" si="98"/>
        <v>structure with developmental contribution from neural crest</v>
      </c>
      <c r="G6774" s="9" t="s">
        <v>5090</v>
      </c>
      <c r="H6774" s="9" t="s">
        <v>23854</v>
      </c>
      <c r="I6774" s="9" t="s">
        <v>12494</v>
      </c>
      <c r="J6774" s="9" t="s">
        <v>12495</v>
      </c>
      <c r="K6774" s="7" t="s">
        <v>15171</v>
      </c>
      <c r="L6774" s="13">
        <v>4246</v>
      </c>
      <c r="M6774" t="str">
        <f>VLOOKUP(L6774,[1]HBA!$B$2:$C$4000,2,FALSE)</f>
        <v>PHG</v>
      </c>
    </row>
    <row r="6775" spans="2:13" x14ac:dyDescent="0.25">
      <c r="B6775" s="31" t="s">
        <v>26303</v>
      </c>
      <c r="C6775" s="25" t="s">
        <v>3596</v>
      </c>
      <c r="D6775" s="25" t="s">
        <v>26232</v>
      </c>
      <c r="E6775" s="25"/>
      <c r="F6775" s="9" t="str">
        <f t="shared" ref="F6775:F6838" si="99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6775" s="9" t="s">
        <v>5090</v>
      </c>
      <c r="H6775" s="9" t="s">
        <v>24791</v>
      </c>
      <c r="I6775" s="9" t="s">
        <v>12496</v>
      </c>
      <c r="J6775" s="9" t="s">
        <v>12497</v>
      </c>
      <c r="K6775" s="7" t="s">
        <v>15171</v>
      </c>
      <c r="L6775" s="13">
        <v>4247</v>
      </c>
      <c r="M6775" t="str">
        <f>VLOOKUP(L6775,[1]HBA!$B$2:$C$4000,2,FALSE)</f>
        <v>PHG-l</v>
      </c>
    </row>
    <row r="6776" spans="2:13" x14ac:dyDescent="0.25">
      <c r="B6776" s="31" t="s">
        <v>26303</v>
      </c>
      <c r="C6776" s="25" t="s">
        <v>3596</v>
      </c>
      <c r="D6776" s="25" t="s">
        <v>26232</v>
      </c>
      <c r="E6776" s="25"/>
      <c r="F6776" s="9" t="str">
        <f t="shared" si="99"/>
        <v>structure with developmental contribution from neural crest</v>
      </c>
      <c r="G6776" s="9" t="s">
        <v>5090</v>
      </c>
      <c r="H6776" s="9" t="s">
        <v>24792</v>
      </c>
      <c r="I6776" s="9" t="s">
        <v>12498</v>
      </c>
      <c r="J6776" s="9" t="s">
        <v>12499</v>
      </c>
      <c r="K6776" s="7" t="s">
        <v>15171</v>
      </c>
      <c r="L6776" s="13">
        <v>4248</v>
      </c>
      <c r="M6776" t="str">
        <f>VLOOKUP(L6776,[1]HBA!$B$2:$C$4000,2,FALSE)</f>
        <v>PHG-cos</v>
      </c>
    </row>
    <row r="6777" spans="2:13" x14ac:dyDescent="0.25">
      <c r="B6777" s="31" t="s">
        <v>26303</v>
      </c>
      <c r="C6777" s="25" t="s">
        <v>14722</v>
      </c>
      <c r="D6777" s="25" t="s">
        <v>26232</v>
      </c>
      <c r="E6777" s="25"/>
      <c r="F6777" s="9" t="str">
        <f t="shared" si="99"/>
        <v>structure with developmental contribution from neural crest</v>
      </c>
      <c r="G6777" s="9" t="s">
        <v>5090</v>
      </c>
      <c r="H6777" s="9" t="s">
        <v>15962</v>
      </c>
      <c r="I6777" s="9" t="s">
        <v>12500</v>
      </c>
      <c r="J6777" s="9" t="s">
        <v>12501</v>
      </c>
      <c r="K6777" s="7" t="s">
        <v>15171</v>
      </c>
      <c r="L6777" s="13">
        <v>4251</v>
      </c>
      <c r="M6777" t="str">
        <f>VLOOKUP(L6777,[1]HBA!$B$2:$C$4000,2,FALSE)</f>
        <v>S</v>
      </c>
    </row>
    <row r="6778" spans="2:13" x14ac:dyDescent="0.25">
      <c r="B6778" s="31" t="s">
        <v>26303</v>
      </c>
      <c r="C6778" s="25" t="s">
        <v>25749</v>
      </c>
      <c r="D6778" s="25" t="s">
        <v>26232</v>
      </c>
      <c r="E6778" s="25"/>
      <c r="F6778" s="9" t="str">
        <f t="shared" si="99"/>
        <v>structure with developmental contribution from neural crest</v>
      </c>
      <c r="G6778" s="9" t="s">
        <v>5090</v>
      </c>
      <c r="H6778" s="9" t="s">
        <v>15930</v>
      </c>
      <c r="I6778" s="9" t="s">
        <v>12502</v>
      </c>
      <c r="J6778" s="9" t="s">
        <v>12503</v>
      </c>
      <c r="K6778" s="7" t="s">
        <v>15171</v>
      </c>
      <c r="L6778" s="13">
        <v>4254</v>
      </c>
      <c r="M6778" t="str">
        <f>VLOOKUP(L6778,[1]HBA!$B$2:$C$4000,2,FALSE)</f>
        <v>CA1</v>
      </c>
    </row>
    <row r="6779" spans="2:13" x14ac:dyDescent="0.25">
      <c r="B6779" s="31" t="s">
        <v>26303</v>
      </c>
      <c r="C6779" s="25" t="s">
        <v>25753</v>
      </c>
      <c r="D6779" s="25" t="s">
        <v>26232</v>
      </c>
      <c r="E6779" s="25"/>
      <c r="F6779" s="9" t="str">
        <f t="shared" si="99"/>
        <v>structure with developmental contribution from neural crest</v>
      </c>
      <c r="G6779" s="9" t="s">
        <v>5090</v>
      </c>
      <c r="H6779" s="9" t="s">
        <v>15935</v>
      </c>
      <c r="I6779" s="9" t="s">
        <v>12504</v>
      </c>
      <c r="J6779" s="9" t="s">
        <v>12505</v>
      </c>
      <c r="K6779" s="7" t="s">
        <v>15171</v>
      </c>
      <c r="L6779" s="13">
        <v>4255</v>
      </c>
      <c r="M6779" t="str">
        <f>VLOOKUP(L6779,[1]HBA!$B$2:$C$4000,2,FALSE)</f>
        <v>CA2</v>
      </c>
    </row>
    <row r="6780" spans="2:13" x14ac:dyDescent="0.25">
      <c r="B6780" s="31" t="s">
        <v>26303</v>
      </c>
      <c r="C6780" s="25" t="s">
        <v>25757</v>
      </c>
      <c r="D6780" s="25" t="s">
        <v>26232</v>
      </c>
      <c r="E6780" s="25"/>
      <c r="F6780" s="9" t="str">
        <f t="shared" si="99"/>
        <v>structure with developmental contribution from neural crest</v>
      </c>
      <c r="G6780" s="9" t="s">
        <v>5090</v>
      </c>
      <c r="H6780" s="9" t="s">
        <v>15940</v>
      </c>
      <c r="I6780" s="9" t="s">
        <v>12506</v>
      </c>
      <c r="J6780" s="9" t="s">
        <v>12507</v>
      </c>
      <c r="K6780" s="7" t="s">
        <v>15171</v>
      </c>
      <c r="L6780" s="13">
        <v>4256</v>
      </c>
      <c r="M6780" t="str">
        <f>VLOOKUP(L6780,[1]HBA!$B$2:$C$4000,2,FALSE)</f>
        <v>CA3</v>
      </c>
    </row>
    <row r="6781" spans="2:13" x14ac:dyDescent="0.25">
      <c r="B6781" s="31" t="s">
        <v>26303</v>
      </c>
      <c r="C6781" s="25" t="s">
        <v>25762</v>
      </c>
      <c r="D6781" s="25" t="s">
        <v>26232</v>
      </c>
      <c r="E6781" s="25"/>
      <c r="F6781" s="9" t="str">
        <f t="shared" si="99"/>
        <v>structure with developmental contribution from neural crest</v>
      </c>
      <c r="G6781" s="9" t="s">
        <v>5090</v>
      </c>
      <c r="H6781" s="9" t="s">
        <v>23091</v>
      </c>
      <c r="I6781" s="9" t="s">
        <v>12508</v>
      </c>
      <c r="J6781" s="9" t="s">
        <v>12509</v>
      </c>
      <c r="K6781" s="7" t="s">
        <v>15171</v>
      </c>
      <c r="L6781" s="13">
        <v>4257</v>
      </c>
      <c r="M6781" t="str">
        <f>VLOOKUP(L6781,[1]HBA!$B$2:$C$4000,2,FALSE)</f>
        <v>CA4</v>
      </c>
    </row>
    <row r="6782" spans="2:13" x14ac:dyDescent="0.25">
      <c r="B6782" s="31" t="s">
        <v>26303</v>
      </c>
      <c r="C6782" s="20" t="s">
        <v>25901</v>
      </c>
      <c r="D6782" s="25" t="s">
        <v>26232</v>
      </c>
      <c r="E6782" s="25"/>
      <c r="F6782" s="9" t="str">
        <f t="shared" si="99"/>
        <v>structure with developmental contribution from neural crest</v>
      </c>
      <c r="G6782" s="9" t="s">
        <v>5090</v>
      </c>
      <c r="H6782" s="9" t="s">
        <v>15915</v>
      </c>
      <c r="I6782" s="9" t="s">
        <v>12510</v>
      </c>
      <c r="J6782" s="9" t="s">
        <v>12511</v>
      </c>
      <c r="K6782" s="7" t="s">
        <v>15171</v>
      </c>
      <c r="L6782" s="13">
        <v>4258</v>
      </c>
      <c r="M6782" t="str">
        <f>VLOOKUP(L6782,[1]HBA!$B$2:$C$4000,2,FALSE)</f>
        <v>DG</v>
      </c>
    </row>
    <row r="6783" spans="2:13" x14ac:dyDescent="0.25">
      <c r="B6783" s="31" t="s">
        <v>26303</v>
      </c>
      <c r="C6783" s="25" t="s">
        <v>14722</v>
      </c>
      <c r="D6783" s="25" t="s">
        <v>26232</v>
      </c>
      <c r="E6783" s="25"/>
      <c r="F6783" s="9" t="str">
        <f t="shared" si="99"/>
        <v>structure with developmental contribution from neural crest</v>
      </c>
      <c r="G6783" s="9" t="s">
        <v>5090</v>
      </c>
      <c r="H6783" s="9" t="s">
        <v>15962</v>
      </c>
      <c r="I6783" s="9" t="s">
        <v>12512</v>
      </c>
      <c r="J6783" s="9" t="s">
        <v>12513</v>
      </c>
      <c r="K6783" s="7" t="s">
        <v>15171</v>
      </c>
      <c r="L6783" s="13">
        <v>4260</v>
      </c>
      <c r="M6783" t="str">
        <f>VLOOKUP(L6783,[1]HBA!$B$2:$C$4000,2,FALSE)</f>
        <v>S</v>
      </c>
    </row>
    <row r="6784" spans="2:13" x14ac:dyDescent="0.25">
      <c r="B6784" s="31" t="s">
        <v>26303</v>
      </c>
      <c r="C6784" s="25" t="s">
        <v>4116</v>
      </c>
      <c r="D6784" s="25" t="s">
        <v>26232</v>
      </c>
      <c r="E6784" s="25"/>
      <c r="F6784" s="9" t="str">
        <f t="shared" si="99"/>
        <v>structure with developmental contribution from neural crest</v>
      </c>
      <c r="G6784" s="9" t="s">
        <v>5090</v>
      </c>
      <c r="H6784" s="9" t="s">
        <v>15970</v>
      </c>
      <c r="I6784" s="9" t="s">
        <v>12514</v>
      </c>
      <c r="J6784" s="9" t="s">
        <v>12515</v>
      </c>
      <c r="K6784" s="7" t="s">
        <v>15171</v>
      </c>
      <c r="L6784" s="13">
        <v>4261</v>
      </c>
      <c r="M6784" t="str">
        <f>VLOOKUP(L6784,[1]HBA!$B$2:$C$4000,2,FALSE)</f>
        <v>PrS</v>
      </c>
    </row>
    <row r="6785" spans="2:13" x14ac:dyDescent="0.25">
      <c r="B6785" s="31" t="s">
        <v>26303</v>
      </c>
      <c r="C6785" s="25" t="s">
        <v>3614</v>
      </c>
      <c r="D6785" s="25" t="s">
        <v>26232</v>
      </c>
      <c r="E6785" s="25" t="s">
        <v>26306</v>
      </c>
      <c r="F6785" s="9" t="str">
        <f t="shared" si="99"/>
        <v>structure with developmental contribution from neural crest</v>
      </c>
      <c r="G6785" s="9" t="s">
        <v>5090</v>
      </c>
      <c r="H6785" s="9" t="s">
        <v>15984</v>
      </c>
      <c r="I6785" s="9" t="s">
        <v>12516</v>
      </c>
      <c r="J6785" s="9" t="s">
        <v>12517</v>
      </c>
      <c r="K6785" s="7" t="s">
        <v>15171</v>
      </c>
      <c r="L6785" s="13">
        <v>4262</v>
      </c>
      <c r="M6785" t="str">
        <f>VLOOKUP(L6785,[1]HBA!$B$2:$C$4000,2,FALSE)</f>
        <v>PaS</v>
      </c>
    </row>
    <row r="6786" spans="2:13" x14ac:dyDescent="0.25">
      <c r="B6786" s="31" t="s">
        <v>26303</v>
      </c>
      <c r="C6786" s="25" t="s">
        <v>25749</v>
      </c>
      <c r="D6786" s="25" t="s">
        <v>26232</v>
      </c>
      <c r="E6786" s="25"/>
      <c r="F6786" s="9" t="str">
        <f t="shared" si="99"/>
        <v>structure with developmental contribution from neural crest</v>
      </c>
      <c r="G6786" s="9" t="s">
        <v>5090</v>
      </c>
      <c r="H6786" s="9" t="s">
        <v>15930</v>
      </c>
      <c r="I6786" s="9" t="s">
        <v>12518</v>
      </c>
      <c r="J6786" s="9" t="s">
        <v>12519</v>
      </c>
      <c r="K6786" s="7" t="s">
        <v>15171</v>
      </c>
      <c r="L6786" s="13">
        <v>4263</v>
      </c>
      <c r="M6786" t="str">
        <f>VLOOKUP(L6786,[1]HBA!$B$2:$C$4000,2,FALSE)</f>
        <v>CA1</v>
      </c>
    </row>
    <row r="6787" spans="2:13" x14ac:dyDescent="0.25">
      <c r="B6787" s="31" t="s">
        <v>26303</v>
      </c>
      <c r="C6787" s="25" t="s">
        <v>25753</v>
      </c>
      <c r="D6787" s="25" t="s">
        <v>26232</v>
      </c>
      <c r="E6787" s="25"/>
      <c r="F6787" s="9" t="str">
        <f t="shared" si="99"/>
        <v>structure with developmental contribution from neural crest</v>
      </c>
      <c r="G6787" s="9" t="s">
        <v>5090</v>
      </c>
      <c r="H6787" s="9" t="s">
        <v>15935</v>
      </c>
      <c r="I6787" s="9" t="s">
        <v>12520</v>
      </c>
      <c r="J6787" s="9" t="s">
        <v>12521</v>
      </c>
      <c r="K6787" s="7" t="s">
        <v>15171</v>
      </c>
      <c r="L6787" s="13">
        <v>4264</v>
      </c>
      <c r="M6787" t="str">
        <f>VLOOKUP(L6787,[1]HBA!$B$2:$C$4000,2,FALSE)</f>
        <v>CA2</v>
      </c>
    </row>
    <row r="6788" spans="2:13" x14ac:dyDescent="0.25">
      <c r="B6788" s="31" t="s">
        <v>26303</v>
      </c>
      <c r="C6788" s="25" t="s">
        <v>25757</v>
      </c>
      <c r="D6788" s="25" t="s">
        <v>26232</v>
      </c>
      <c r="E6788" s="25"/>
      <c r="F6788" s="9" t="str">
        <f t="shared" si="99"/>
        <v>structure with developmental contribution from neural crest</v>
      </c>
      <c r="G6788" s="9" t="s">
        <v>5090</v>
      </c>
      <c r="H6788" s="9" t="s">
        <v>15940</v>
      </c>
      <c r="I6788" s="9" t="s">
        <v>12522</v>
      </c>
      <c r="J6788" s="9" t="s">
        <v>12523</v>
      </c>
      <c r="K6788" s="7" t="s">
        <v>15171</v>
      </c>
      <c r="L6788" s="13">
        <v>4265</v>
      </c>
      <c r="M6788" t="str">
        <f>VLOOKUP(L6788,[1]HBA!$B$2:$C$4000,2,FALSE)</f>
        <v>CA3</v>
      </c>
    </row>
    <row r="6789" spans="2:13" x14ac:dyDescent="0.25">
      <c r="B6789" s="31" t="s">
        <v>26303</v>
      </c>
      <c r="C6789" s="25" t="s">
        <v>25762</v>
      </c>
      <c r="D6789" s="25" t="s">
        <v>26232</v>
      </c>
      <c r="E6789" s="25"/>
      <c r="F6789" s="9" t="str">
        <f t="shared" si="99"/>
        <v>structure with developmental contribution from neural crest</v>
      </c>
      <c r="G6789" s="9" t="s">
        <v>5090</v>
      </c>
      <c r="H6789" s="9" t="s">
        <v>23091</v>
      </c>
      <c r="I6789" s="9" t="s">
        <v>12524</v>
      </c>
      <c r="J6789" s="9" t="s">
        <v>12525</v>
      </c>
      <c r="K6789" s="7" t="s">
        <v>15171</v>
      </c>
      <c r="L6789" s="13">
        <v>4266</v>
      </c>
      <c r="M6789" t="str">
        <f>VLOOKUP(L6789,[1]HBA!$B$2:$C$4000,2,FALSE)</f>
        <v>CA4</v>
      </c>
    </row>
    <row r="6790" spans="2:13" x14ac:dyDescent="0.25">
      <c r="B6790" s="31" t="s">
        <v>26303</v>
      </c>
      <c r="C6790" s="20" t="s">
        <v>25901</v>
      </c>
      <c r="D6790" s="25" t="s">
        <v>26232</v>
      </c>
      <c r="E6790" s="25"/>
      <c r="F6790" s="9" t="str">
        <f t="shared" si="99"/>
        <v>structure with developmental contribution from neural crest</v>
      </c>
      <c r="G6790" s="9" t="s">
        <v>5090</v>
      </c>
      <c r="H6790" s="9" t="s">
        <v>15915</v>
      </c>
      <c r="I6790" s="9" t="s">
        <v>12526</v>
      </c>
      <c r="J6790" s="9" t="s">
        <v>12527</v>
      </c>
      <c r="K6790" s="7" t="s">
        <v>15171</v>
      </c>
      <c r="L6790" s="13">
        <v>4267</v>
      </c>
      <c r="M6790" t="str">
        <f>VLOOKUP(L6790,[1]HBA!$B$2:$C$4000,2,FALSE)</f>
        <v>DG</v>
      </c>
    </row>
    <row r="6791" spans="2:13" x14ac:dyDescent="0.25">
      <c r="B6791" s="31" t="s">
        <v>26303</v>
      </c>
      <c r="C6791" s="25" t="s">
        <v>2435</v>
      </c>
      <c r="D6791" s="25" t="s">
        <v>26232</v>
      </c>
      <c r="E6791" s="25"/>
      <c r="F6791" s="9" t="str">
        <f t="shared" si="99"/>
        <v>structure with developmental contribution from neural crest</v>
      </c>
      <c r="G6791" s="9" t="s">
        <v>5090</v>
      </c>
      <c r="H6791" s="9" t="s">
        <v>24781</v>
      </c>
      <c r="I6791" s="9" t="s">
        <v>2435</v>
      </c>
      <c r="J6791" s="9" t="s">
        <v>2436</v>
      </c>
      <c r="K6791" s="7" t="s">
        <v>15171</v>
      </c>
      <c r="L6791" s="13">
        <v>4268</v>
      </c>
      <c r="M6791" t="str">
        <f>VLOOKUP(L6791,[1]HBA!$B$2:$C$4000,2,FALSE)</f>
        <v>Ins</v>
      </c>
    </row>
    <row r="6792" spans="2:13" x14ac:dyDescent="0.25">
      <c r="B6792" s="31" t="s">
        <v>26303</v>
      </c>
      <c r="C6792" s="25" t="s">
        <v>2435</v>
      </c>
      <c r="D6792" s="25" t="s">
        <v>26185</v>
      </c>
      <c r="E6792" s="25" t="s">
        <v>26300</v>
      </c>
      <c r="F6792" s="9" t="str">
        <f t="shared" si="99"/>
        <v>structure with developmental contribution from neural crest</v>
      </c>
      <c r="G6792" s="9" t="s">
        <v>5090</v>
      </c>
      <c r="H6792" s="9" t="s">
        <v>23844</v>
      </c>
      <c r="I6792" s="9" t="s">
        <v>7294</v>
      </c>
      <c r="J6792" s="9" t="s">
        <v>12528</v>
      </c>
      <c r="K6792" s="7" t="s">
        <v>15171</v>
      </c>
      <c r="L6792" s="13">
        <v>4269</v>
      </c>
      <c r="M6792" t="str">
        <f>VLOOKUP(L6792,[1]HBA!$B$2:$C$4000,2,FALSE)</f>
        <v>LIG</v>
      </c>
    </row>
    <row r="6793" spans="2:13" x14ac:dyDescent="0.25">
      <c r="B6793" s="31" t="s">
        <v>26303</v>
      </c>
      <c r="C6793" s="25" t="s">
        <v>2435</v>
      </c>
      <c r="D6793" s="25" t="s">
        <v>26185</v>
      </c>
      <c r="E6793" s="25" t="s">
        <v>26300</v>
      </c>
      <c r="F6793" s="9" t="str">
        <f t="shared" si="99"/>
        <v>structure with developmental contribution from neural crest</v>
      </c>
      <c r="G6793" s="9" t="s">
        <v>5090</v>
      </c>
      <c r="H6793" s="9" t="s">
        <v>23844</v>
      </c>
      <c r="I6793" s="9" t="s">
        <v>12529</v>
      </c>
      <c r="J6793" s="9" t="s">
        <v>12530</v>
      </c>
      <c r="K6793" s="7" t="s">
        <v>15171</v>
      </c>
      <c r="L6793" s="13">
        <v>4270</v>
      </c>
      <c r="M6793" t="str">
        <f>VLOOKUP(L6793,[1]HBA!$B$2:$C$4000,2,FALSE)</f>
        <v>LIG</v>
      </c>
    </row>
    <row r="6794" spans="2:13" x14ac:dyDescent="0.25">
      <c r="B6794" s="31" t="s">
        <v>26303</v>
      </c>
      <c r="C6794" s="25" t="s">
        <v>2435</v>
      </c>
      <c r="D6794" s="25" t="s">
        <v>26185</v>
      </c>
      <c r="E6794" s="25" t="s">
        <v>26300</v>
      </c>
      <c r="F6794" s="9" t="str">
        <f t="shared" si="99"/>
        <v>structure with developmental contribution from neural crest</v>
      </c>
      <c r="G6794" s="9" t="s">
        <v>5090</v>
      </c>
      <c r="H6794" s="9" t="s">
        <v>23844</v>
      </c>
      <c r="I6794" s="9" t="s">
        <v>12531</v>
      </c>
      <c r="J6794" s="9" t="s">
        <v>12532</v>
      </c>
      <c r="K6794" s="7" t="s">
        <v>15171</v>
      </c>
      <c r="L6794" s="13">
        <v>4271</v>
      </c>
      <c r="M6794" t="str">
        <f>VLOOKUP(L6794,[1]HBA!$B$2:$C$4000,2,FALSE)</f>
        <v>LIG</v>
      </c>
    </row>
    <row r="6795" spans="2:13" x14ac:dyDescent="0.25">
      <c r="B6795" s="31" t="s">
        <v>26303</v>
      </c>
      <c r="C6795" s="25" t="s">
        <v>2435</v>
      </c>
      <c r="D6795" s="25" t="s">
        <v>26185</v>
      </c>
      <c r="E6795" s="25" t="s">
        <v>26300</v>
      </c>
      <c r="F6795" s="9" t="str">
        <f t="shared" si="99"/>
        <v>structure with developmental contribution from neural crest</v>
      </c>
      <c r="G6795" s="9" t="s">
        <v>5090</v>
      </c>
      <c r="H6795" s="9" t="s">
        <v>23845</v>
      </c>
      <c r="I6795" s="9" t="s">
        <v>7296</v>
      </c>
      <c r="J6795" s="9" t="s">
        <v>12533</v>
      </c>
      <c r="K6795" s="7" t="s">
        <v>15171</v>
      </c>
      <c r="L6795" s="13">
        <v>4272</v>
      </c>
      <c r="M6795" t="str">
        <f>VLOOKUP(L6795,[1]HBA!$B$2:$C$4000,2,FALSE)</f>
        <v>SIG</v>
      </c>
    </row>
    <row r="6796" spans="2:13" x14ac:dyDescent="0.25">
      <c r="B6796" s="31" t="s">
        <v>26303</v>
      </c>
      <c r="C6796" s="25" t="s">
        <v>2435</v>
      </c>
      <c r="D6796" s="25" t="s">
        <v>26185</v>
      </c>
      <c r="E6796" s="25" t="s">
        <v>26300</v>
      </c>
      <c r="F6796" s="9" t="str">
        <f t="shared" si="99"/>
        <v>structure with developmental contribution from neural crest</v>
      </c>
      <c r="G6796" s="9" t="s">
        <v>5090</v>
      </c>
      <c r="H6796" s="9" t="s">
        <v>23845</v>
      </c>
      <c r="I6796" s="9" t="s">
        <v>12534</v>
      </c>
      <c r="J6796" s="9" t="s">
        <v>12535</v>
      </c>
      <c r="K6796" s="7" t="s">
        <v>15171</v>
      </c>
      <c r="L6796" s="13">
        <v>4273</v>
      </c>
      <c r="M6796" t="str">
        <f>VLOOKUP(L6796,[1]HBA!$B$2:$C$4000,2,FALSE)</f>
        <v>SIG</v>
      </c>
    </row>
    <row r="6797" spans="2:13" x14ac:dyDescent="0.25">
      <c r="B6797" s="31" t="s">
        <v>26303</v>
      </c>
      <c r="C6797" s="25" t="s">
        <v>2435</v>
      </c>
      <c r="D6797" s="25" t="s">
        <v>26185</v>
      </c>
      <c r="E6797" s="25" t="s">
        <v>26300</v>
      </c>
      <c r="F6797" s="9" t="str">
        <f t="shared" si="99"/>
        <v>structure with developmental contribution from neural crest</v>
      </c>
      <c r="G6797" s="9" t="s">
        <v>5090</v>
      </c>
      <c r="H6797" s="9" t="s">
        <v>23845</v>
      </c>
      <c r="I6797" s="9" t="s">
        <v>12536</v>
      </c>
      <c r="J6797" s="9" t="s">
        <v>12537</v>
      </c>
      <c r="K6797" s="7" t="s">
        <v>15171</v>
      </c>
      <c r="L6797" s="13">
        <v>4274</v>
      </c>
      <c r="M6797" t="str">
        <f>VLOOKUP(L6797,[1]HBA!$B$2:$C$4000,2,FALSE)</f>
        <v>SIG</v>
      </c>
    </row>
    <row r="6798" spans="2:13" x14ac:dyDescent="0.25">
      <c r="B6798" s="31" t="s">
        <v>26303</v>
      </c>
      <c r="C6798" s="20"/>
      <c r="D6798" s="25" t="s">
        <v>26185</v>
      </c>
      <c r="E6798" s="25" t="s">
        <v>26300</v>
      </c>
      <c r="F6798" s="9" t="str">
        <f t="shared" si="99"/>
        <v>structure with developmental contribution from neural crest</v>
      </c>
      <c r="G6798" s="9" t="s">
        <v>5090</v>
      </c>
      <c r="H6798" s="9" t="s">
        <v>24840</v>
      </c>
      <c r="I6798" s="9" t="s">
        <v>1285</v>
      </c>
      <c r="J6798" s="9" t="s">
        <v>1287</v>
      </c>
      <c r="K6798" s="7" t="s">
        <v>15171</v>
      </c>
      <c r="L6798" s="13">
        <v>4275</v>
      </c>
      <c r="M6798" t="str">
        <f>VLOOKUP(L6798,[1]HBA!$B$2:$C$4000,2,FALSE)</f>
        <v>CxN</v>
      </c>
    </row>
    <row r="6799" spans="2:13" x14ac:dyDescent="0.25">
      <c r="B6799" s="31" t="s">
        <v>26303</v>
      </c>
      <c r="C6799" s="25" t="s">
        <v>25805</v>
      </c>
      <c r="D6799" s="25" t="s">
        <v>26232</v>
      </c>
      <c r="E6799" s="25"/>
      <c r="F6799" s="9" t="str">
        <f t="shared" si="99"/>
        <v>structure with developmental contribution from neural crest</v>
      </c>
      <c r="G6799" s="9" t="s">
        <v>5090</v>
      </c>
      <c r="H6799" s="9" t="s">
        <v>23858</v>
      </c>
      <c r="I6799" s="9" t="s">
        <v>1288</v>
      </c>
      <c r="J6799" s="9" t="s">
        <v>1289</v>
      </c>
      <c r="K6799" s="7" t="s">
        <v>15171</v>
      </c>
      <c r="L6799" s="13">
        <v>4276</v>
      </c>
      <c r="M6799" t="str">
        <f>VLOOKUP(L6799,[1]HBA!$B$2:$C$4000,2,FALSE)</f>
        <v>BG</v>
      </c>
    </row>
    <row r="6800" spans="2:13" x14ac:dyDescent="0.25">
      <c r="B6800" s="31" t="s">
        <v>26303</v>
      </c>
      <c r="C6800" s="9" t="s">
        <v>1200</v>
      </c>
      <c r="D6800" s="25" t="s">
        <v>26232</v>
      </c>
      <c r="E6800" s="25"/>
      <c r="F6800" s="9" t="str">
        <f t="shared" si="99"/>
        <v>structure with developmental contribution from neural crest</v>
      </c>
      <c r="G6800" s="9" t="s">
        <v>5090</v>
      </c>
      <c r="H6800" s="9" t="s">
        <v>15639</v>
      </c>
      <c r="I6800" s="9" t="s">
        <v>1200</v>
      </c>
      <c r="J6800" s="9" t="s">
        <v>5088</v>
      </c>
      <c r="K6800" s="7" t="s">
        <v>15171</v>
      </c>
      <c r="L6800" s="13">
        <v>4277</v>
      </c>
      <c r="M6800" t="str">
        <f>VLOOKUP(L6800,[1]HBA!$B$2:$C$4000,2,FALSE)</f>
        <v>Str</v>
      </c>
    </row>
    <row r="6801" spans="2:13" x14ac:dyDescent="0.25">
      <c r="B6801" s="31" t="s">
        <v>26303</v>
      </c>
      <c r="C6801" s="25" t="s">
        <v>902</v>
      </c>
      <c r="D6801" s="25" t="s">
        <v>26232</v>
      </c>
      <c r="E6801" s="25"/>
      <c r="F6801" s="9" t="str">
        <f t="shared" si="99"/>
        <v>structure with developmental contribution from neural crest</v>
      </c>
      <c r="G6801" s="9" t="s">
        <v>5090</v>
      </c>
      <c r="H6801" s="9" t="s">
        <v>24901</v>
      </c>
      <c r="I6801" s="9" t="s">
        <v>902</v>
      </c>
      <c r="J6801" s="9" t="s">
        <v>905</v>
      </c>
      <c r="K6801" s="7" t="s">
        <v>15171</v>
      </c>
      <c r="L6801" s="13">
        <v>4278</v>
      </c>
      <c r="M6801" t="str">
        <f>VLOOKUP(L6801,[1]HBA!$B$2:$C$4000,2,FALSE)</f>
        <v>Cd</v>
      </c>
    </row>
    <row r="6802" spans="2:13" x14ac:dyDescent="0.25">
      <c r="B6802" s="31" t="s">
        <v>26303</v>
      </c>
      <c r="C6802" s="25" t="s">
        <v>25957</v>
      </c>
      <c r="D6802" s="25" t="s">
        <v>26232</v>
      </c>
      <c r="E6802" s="25"/>
      <c r="F6802" s="9" t="str">
        <f t="shared" si="99"/>
        <v>structure with developmental contribution from neural crest</v>
      </c>
      <c r="G6802" s="9" t="s">
        <v>5090</v>
      </c>
      <c r="H6802" s="9" t="s">
        <v>24903</v>
      </c>
      <c r="I6802" s="9" t="s">
        <v>12538</v>
      </c>
      <c r="J6802" s="9" t="s">
        <v>12539</v>
      </c>
      <c r="K6802" s="7" t="s">
        <v>15171</v>
      </c>
      <c r="L6802" s="13">
        <v>4280</v>
      </c>
      <c r="M6802" t="str">
        <f>VLOOKUP(L6802,[1]HBA!$B$2:$C$4000,2,FALSE)</f>
        <v>HCd</v>
      </c>
    </row>
    <row r="6803" spans="2:13" x14ac:dyDescent="0.25">
      <c r="B6803" s="31" t="s">
        <v>26303</v>
      </c>
      <c r="C6803" s="25" t="s">
        <v>26253</v>
      </c>
      <c r="D6803" s="25" t="s">
        <v>26232</v>
      </c>
      <c r="E6803" s="25"/>
      <c r="F6803" s="9" t="str">
        <f t="shared" si="99"/>
        <v>structure with developmental contribution from neural crest</v>
      </c>
      <c r="G6803" s="9" t="s">
        <v>5090</v>
      </c>
      <c r="H6803" s="9" t="s">
        <v>24904</v>
      </c>
      <c r="I6803" s="9" t="s">
        <v>12540</v>
      </c>
      <c r="J6803" s="9" t="s">
        <v>12541</v>
      </c>
      <c r="K6803" s="7" t="s">
        <v>15171</v>
      </c>
      <c r="L6803" s="13">
        <v>4281</v>
      </c>
      <c r="M6803" t="str">
        <f>VLOOKUP(L6803,[1]HBA!$B$2:$C$4000,2,FALSE)</f>
        <v>TCd</v>
      </c>
    </row>
    <row r="6804" spans="2:13" x14ac:dyDescent="0.25">
      <c r="B6804" s="31" t="s">
        <v>26303</v>
      </c>
      <c r="C6804" s="25" t="s">
        <v>25809</v>
      </c>
      <c r="D6804" s="25" t="s">
        <v>26232</v>
      </c>
      <c r="E6804" s="25"/>
      <c r="F6804" s="9" t="str">
        <f t="shared" si="99"/>
        <v>structure with developmental contribution from neural crest</v>
      </c>
      <c r="G6804" s="9" t="s">
        <v>5090</v>
      </c>
      <c r="H6804" s="9" t="s">
        <v>24902</v>
      </c>
      <c r="I6804" s="9" t="s">
        <v>12542</v>
      </c>
      <c r="J6804" s="9" t="s">
        <v>12543</v>
      </c>
      <c r="K6804" s="7" t="s">
        <v>15171</v>
      </c>
      <c r="L6804" s="13">
        <v>4282</v>
      </c>
      <c r="M6804" t="str">
        <f>VLOOKUP(L6804,[1]HBA!$B$2:$C$4000,2,FALSE)</f>
        <v>BCd</v>
      </c>
    </row>
    <row r="6805" spans="2:13" x14ac:dyDescent="0.25">
      <c r="B6805" s="31" t="s">
        <v>26303</v>
      </c>
      <c r="C6805" s="25" t="s">
        <v>25957</v>
      </c>
      <c r="D6805" s="25" t="s">
        <v>26232</v>
      </c>
      <c r="E6805" s="25"/>
      <c r="F6805" s="9" t="str">
        <f t="shared" si="99"/>
        <v>structure with developmental contribution from neural crest</v>
      </c>
      <c r="G6805" s="9" t="s">
        <v>5090</v>
      </c>
      <c r="H6805" s="9" t="s">
        <v>24903</v>
      </c>
      <c r="I6805" s="9" t="s">
        <v>12544</v>
      </c>
      <c r="J6805" s="9" t="s">
        <v>12545</v>
      </c>
      <c r="K6805" s="7" t="s">
        <v>15171</v>
      </c>
      <c r="L6805" s="13">
        <v>4284</v>
      </c>
      <c r="M6805" t="str">
        <f>VLOOKUP(L6805,[1]HBA!$B$2:$C$4000,2,FALSE)</f>
        <v>HCd</v>
      </c>
    </row>
    <row r="6806" spans="2:13" x14ac:dyDescent="0.25">
      <c r="B6806" s="31" t="s">
        <v>26303</v>
      </c>
      <c r="C6806" s="25" t="s">
        <v>26253</v>
      </c>
      <c r="D6806" s="25" t="s">
        <v>26232</v>
      </c>
      <c r="E6806" s="25"/>
      <c r="F6806" s="9" t="str">
        <f t="shared" si="99"/>
        <v>structure with developmental contribution from neural crest</v>
      </c>
      <c r="G6806" s="9" t="s">
        <v>5090</v>
      </c>
      <c r="H6806" s="9" t="s">
        <v>24904</v>
      </c>
      <c r="I6806" s="9" t="s">
        <v>12546</v>
      </c>
      <c r="J6806" s="9" t="s">
        <v>12547</v>
      </c>
      <c r="K6806" s="7" t="s">
        <v>15171</v>
      </c>
      <c r="L6806" s="13">
        <v>4285</v>
      </c>
      <c r="M6806" t="str">
        <f>VLOOKUP(L6806,[1]HBA!$B$2:$C$4000,2,FALSE)</f>
        <v>TCd</v>
      </c>
    </row>
    <row r="6807" spans="2:13" x14ac:dyDescent="0.25">
      <c r="B6807" s="31" t="s">
        <v>26303</v>
      </c>
      <c r="C6807" s="25" t="s">
        <v>25809</v>
      </c>
      <c r="D6807" s="25" t="s">
        <v>26232</v>
      </c>
      <c r="E6807" s="25"/>
      <c r="F6807" s="9" t="str">
        <f t="shared" si="99"/>
        <v>structure with developmental contribution from neural crest</v>
      </c>
      <c r="G6807" s="9" t="s">
        <v>5090</v>
      </c>
      <c r="H6807" s="9" t="s">
        <v>24902</v>
      </c>
      <c r="I6807" s="9" t="s">
        <v>12548</v>
      </c>
      <c r="J6807" s="9" t="s">
        <v>12549</v>
      </c>
      <c r="K6807" s="7" t="s">
        <v>15171</v>
      </c>
      <c r="L6807" s="13">
        <v>4286</v>
      </c>
      <c r="M6807" t="str">
        <f>VLOOKUP(L6807,[1]HBA!$B$2:$C$4000,2,FALSE)</f>
        <v>BCd</v>
      </c>
    </row>
    <row r="6808" spans="2:13" x14ac:dyDescent="0.25">
      <c r="B6808" s="31" t="s">
        <v>26303</v>
      </c>
      <c r="C6808" s="25" t="s">
        <v>4204</v>
      </c>
      <c r="D6808" s="25" t="s">
        <v>26232</v>
      </c>
      <c r="E6808" s="25"/>
      <c r="F6808" s="9" t="str">
        <f t="shared" si="99"/>
        <v>structure with developmental contribution from neural crest</v>
      </c>
      <c r="G6808" s="9" t="s">
        <v>5090</v>
      </c>
      <c r="H6808" s="9" t="s">
        <v>23250</v>
      </c>
      <c r="I6808" s="9" t="s">
        <v>4204</v>
      </c>
      <c r="J6808" s="9" t="s">
        <v>4207</v>
      </c>
      <c r="K6808" s="7" t="s">
        <v>15171</v>
      </c>
      <c r="L6808" s="13">
        <v>4287</v>
      </c>
      <c r="M6808" t="str">
        <f>VLOOKUP(L6808,[1]HBA!$B$2:$C$4000,2,FALSE)</f>
        <v>Pu</v>
      </c>
    </row>
    <row r="6809" spans="2:13" x14ac:dyDescent="0.25">
      <c r="B6809" s="31" t="s">
        <v>26303</v>
      </c>
      <c r="C6809" s="25" t="s">
        <v>3239</v>
      </c>
      <c r="D6809" s="25" t="s">
        <v>26232</v>
      </c>
      <c r="E6809" s="25"/>
      <c r="F6809" s="9" t="str">
        <f t="shared" si="99"/>
        <v>structure with developmental contribution from neural crest</v>
      </c>
      <c r="G6809" s="9" t="s">
        <v>5090</v>
      </c>
      <c r="H6809" s="9" t="s">
        <v>24905</v>
      </c>
      <c r="I6809" s="9" t="s">
        <v>3239</v>
      </c>
      <c r="J6809" s="9" t="s">
        <v>3241</v>
      </c>
      <c r="K6809" s="7" t="s">
        <v>15171</v>
      </c>
      <c r="L6809" s="13">
        <v>4290</v>
      </c>
      <c r="M6809" t="str">
        <f>VLOOKUP(L6809,[1]HBA!$B$2:$C$4000,2,FALSE)</f>
        <v>Acb</v>
      </c>
    </row>
    <row r="6810" spans="2:13" x14ac:dyDescent="0.25">
      <c r="B6810" s="31" t="s">
        <v>26303</v>
      </c>
      <c r="C6810" s="25" t="s">
        <v>3239</v>
      </c>
      <c r="D6810" s="25" t="s">
        <v>26232</v>
      </c>
      <c r="E6810" s="25"/>
      <c r="F6810" s="9" t="str">
        <f t="shared" si="99"/>
        <v>structure with developmental contribution from neural crest</v>
      </c>
      <c r="G6810" s="9" t="s">
        <v>5090</v>
      </c>
      <c r="H6810" s="9" t="s">
        <v>24905</v>
      </c>
      <c r="I6810" s="9" t="s">
        <v>12550</v>
      </c>
      <c r="J6810" s="9" t="s">
        <v>12551</v>
      </c>
      <c r="K6810" s="7" t="s">
        <v>15171</v>
      </c>
      <c r="L6810" s="13">
        <v>4291</v>
      </c>
      <c r="M6810" t="str">
        <f>VLOOKUP(L6810,[1]HBA!$B$2:$C$4000,2,FALSE)</f>
        <v>Acb</v>
      </c>
    </row>
    <row r="6811" spans="2:13" x14ac:dyDescent="0.25">
      <c r="B6811" s="31" t="s">
        <v>26303</v>
      </c>
      <c r="C6811" s="25" t="s">
        <v>3239</v>
      </c>
      <c r="D6811" s="25" t="s">
        <v>26232</v>
      </c>
      <c r="E6811" s="25"/>
      <c r="F6811" s="9" t="str">
        <f t="shared" si="99"/>
        <v>structure with developmental contribution from neural crest</v>
      </c>
      <c r="G6811" s="9" t="s">
        <v>5090</v>
      </c>
      <c r="H6811" s="9" t="s">
        <v>24905</v>
      </c>
      <c r="I6811" s="9" t="s">
        <v>12552</v>
      </c>
      <c r="J6811" s="9" t="s">
        <v>12553</v>
      </c>
      <c r="K6811" s="7" t="s">
        <v>15171</v>
      </c>
      <c r="L6811" s="13">
        <v>4292</v>
      </c>
      <c r="M6811" t="str">
        <f>VLOOKUP(L6811,[1]HBA!$B$2:$C$4000,2,FALSE)</f>
        <v>Acb</v>
      </c>
    </row>
    <row r="6812" spans="2:13" x14ac:dyDescent="0.25">
      <c r="B6812" s="31" t="s">
        <v>26303</v>
      </c>
      <c r="C6812" s="25" t="s">
        <v>2082</v>
      </c>
      <c r="D6812" s="25" t="s">
        <v>26232</v>
      </c>
      <c r="E6812" s="25"/>
      <c r="F6812" s="9" t="str">
        <f t="shared" si="99"/>
        <v>structure with developmental contribution from neural crest</v>
      </c>
      <c r="G6812" s="9" t="s">
        <v>5090</v>
      </c>
      <c r="H6812" s="9" t="s">
        <v>23267</v>
      </c>
      <c r="I6812" s="9" t="s">
        <v>2082</v>
      </c>
      <c r="J6812" s="9" t="s">
        <v>2084</v>
      </c>
      <c r="K6812" s="7" t="s">
        <v>15171</v>
      </c>
      <c r="L6812" s="13">
        <v>4293</v>
      </c>
      <c r="M6812" t="str">
        <f>VLOOKUP(L6812,[1]HBA!$B$2:$C$4000,2,FALSE)</f>
        <v>GP</v>
      </c>
    </row>
    <row r="6813" spans="2:13" x14ac:dyDescent="0.25">
      <c r="B6813" s="31" t="s">
        <v>26303</v>
      </c>
      <c r="C6813" s="25" t="s">
        <v>25989</v>
      </c>
      <c r="D6813" s="25" t="s">
        <v>26232</v>
      </c>
      <c r="E6813" s="25"/>
      <c r="F6813" s="9" t="str">
        <f t="shared" si="99"/>
        <v>structure with developmental contribution from neural crest</v>
      </c>
      <c r="G6813" s="9" t="s">
        <v>5090</v>
      </c>
      <c r="H6813" s="9" t="s">
        <v>19816</v>
      </c>
      <c r="I6813" s="9" t="s">
        <v>12554</v>
      </c>
      <c r="J6813" s="9" t="s">
        <v>12555</v>
      </c>
      <c r="K6813" s="7" t="s">
        <v>15171</v>
      </c>
      <c r="L6813" s="13">
        <v>4295</v>
      </c>
      <c r="M6813" t="str">
        <f>VLOOKUP(L6813,[1]HBA!$B$2:$C$4000,2,FALSE)</f>
        <v>GPe</v>
      </c>
    </row>
    <row r="6814" spans="2:13" x14ac:dyDescent="0.25">
      <c r="B6814" s="31" t="s">
        <v>26303</v>
      </c>
      <c r="C6814" s="25" t="s">
        <v>26022</v>
      </c>
      <c r="D6814" s="25" t="s">
        <v>26232</v>
      </c>
      <c r="E6814" s="25"/>
      <c r="F6814" s="9" t="str">
        <f t="shared" si="99"/>
        <v>structure with developmental contribution from neural crest</v>
      </c>
      <c r="G6814" s="9" t="s">
        <v>5090</v>
      </c>
      <c r="H6814" s="9" t="s">
        <v>19818</v>
      </c>
      <c r="I6814" s="9" t="s">
        <v>12556</v>
      </c>
      <c r="J6814" s="9" t="s">
        <v>12557</v>
      </c>
      <c r="K6814" s="7" t="s">
        <v>15171</v>
      </c>
      <c r="L6814" s="13">
        <v>4296</v>
      </c>
      <c r="M6814" t="str">
        <f>VLOOKUP(L6814,[1]HBA!$B$2:$C$4000,2,FALSE)</f>
        <v>GPi</v>
      </c>
    </row>
    <row r="6815" spans="2:13" x14ac:dyDescent="0.25">
      <c r="B6815" s="31" t="s">
        <v>26303</v>
      </c>
      <c r="C6815" s="25" t="s">
        <v>25989</v>
      </c>
      <c r="D6815" s="25" t="s">
        <v>26232</v>
      </c>
      <c r="E6815" s="25"/>
      <c r="F6815" s="9" t="str">
        <f t="shared" si="99"/>
        <v>structure with developmental contribution from neural crest</v>
      </c>
      <c r="G6815" s="9" t="s">
        <v>5090</v>
      </c>
      <c r="H6815" s="9" t="s">
        <v>19816</v>
      </c>
      <c r="I6815" s="9" t="s">
        <v>12558</v>
      </c>
      <c r="J6815" s="9" t="s">
        <v>12559</v>
      </c>
      <c r="K6815" s="7" t="s">
        <v>15171</v>
      </c>
      <c r="L6815" s="13">
        <v>4298</v>
      </c>
      <c r="M6815" t="str">
        <f>VLOOKUP(L6815,[1]HBA!$B$2:$C$4000,2,FALSE)</f>
        <v>GPe</v>
      </c>
    </row>
    <row r="6816" spans="2:13" x14ac:dyDescent="0.25">
      <c r="B6816" s="31" t="s">
        <v>26303</v>
      </c>
      <c r="C6816" s="25" t="s">
        <v>26022</v>
      </c>
      <c r="D6816" s="25" t="s">
        <v>26232</v>
      </c>
      <c r="E6816" s="25"/>
      <c r="F6816" s="9" t="str">
        <f t="shared" si="99"/>
        <v>structure with developmental contribution from neural crest</v>
      </c>
      <c r="G6816" s="9" t="s">
        <v>5090</v>
      </c>
      <c r="H6816" s="9" t="s">
        <v>19818</v>
      </c>
      <c r="I6816" s="9" t="s">
        <v>12560</v>
      </c>
      <c r="J6816" s="9" t="s">
        <v>12561</v>
      </c>
      <c r="K6816" s="7" t="s">
        <v>15171</v>
      </c>
      <c r="L6816" s="13">
        <v>4299</v>
      </c>
      <c r="M6816" t="str">
        <f>VLOOKUP(L6816,[1]HBA!$B$2:$C$4000,2,FALSE)</f>
        <v>GPi</v>
      </c>
    </row>
    <row r="6817" spans="2:13" x14ac:dyDescent="0.25">
      <c r="B6817" s="31" t="s">
        <v>26303</v>
      </c>
      <c r="C6817" s="25" t="s">
        <v>534</v>
      </c>
      <c r="D6817" s="25" t="s">
        <v>26232</v>
      </c>
      <c r="E6817" s="25"/>
      <c r="F6817" s="9" t="str">
        <f t="shared" si="99"/>
        <v>structure with developmental contribution from neural crest</v>
      </c>
      <c r="G6817" s="9" t="s">
        <v>5090</v>
      </c>
      <c r="H6817" s="9" t="s">
        <v>23276</v>
      </c>
      <c r="I6817" s="9" t="s">
        <v>534</v>
      </c>
      <c r="J6817" s="9" t="s">
        <v>536</v>
      </c>
      <c r="K6817" s="7" t="s">
        <v>15171</v>
      </c>
      <c r="L6817" s="13">
        <v>4300</v>
      </c>
      <c r="M6817" t="str">
        <f>VLOOKUP(L6817,[1]HBA!$B$2:$C$4000,2,FALSE)</f>
        <v>BF</v>
      </c>
    </row>
    <row r="6818" spans="2:13" x14ac:dyDescent="0.25">
      <c r="B6818" s="31" t="s">
        <v>26303</v>
      </c>
      <c r="C6818" s="25" t="s">
        <v>26219</v>
      </c>
      <c r="D6818" s="25" t="s">
        <v>26232</v>
      </c>
      <c r="E6818" s="25"/>
      <c r="F6818" s="9" t="str">
        <f t="shared" si="99"/>
        <v>structure with developmental contribution from neural crest</v>
      </c>
      <c r="G6818" s="9" t="s">
        <v>5090</v>
      </c>
      <c r="H6818" s="9" t="s">
        <v>24892</v>
      </c>
      <c r="I6818" s="9" t="s">
        <v>12562</v>
      </c>
      <c r="J6818" s="9" t="s">
        <v>12563</v>
      </c>
      <c r="K6818" s="7" t="s">
        <v>15171</v>
      </c>
      <c r="L6818" s="13">
        <v>4301</v>
      </c>
      <c r="M6818" t="str">
        <f>VLOOKUP(L6818,[1]HBA!$B$2:$C$4000,2,FALSE)</f>
        <v>SptN</v>
      </c>
    </row>
    <row r="6819" spans="2:13" x14ac:dyDescent="0.25">
      <c r="B6819" s="31" t="s">
        <v>26303</v>
      </c>
      <c r="C6819" s="25" t="s">
        <v>3024</v>
      </c>
      <c r="D6819" s="25" t="s">
        <v>26232</v>
      </c>
      <c r="E6819" s="25"/>
      <c r="F6819" s="9" t="str">
        <f t="shared" si="99"/>
        <v>structure with developmental contribution from neural crest</v>
      </c>
      <c r="G6819" s="9" t="s">
        <v>5090</v>
      </c>
      <c r="H6819" s="9" t="s">
        <v>15547</v>
      </c>
      <c r="I6819" s="9" t="s">
        <v>3027</v>
      </c>
      <c r="J6819" s="9" t="s">
        <v>3028</v>
      </c>
      <c r="K6819" s="7" t="s">
        <v>15171</v>
      </c>
      <c r="L6819" s="13">
        <v>4302</v>
      </c>
      <c r="M6819" t="str">
        <f>VLOOKUP(L6819,[1]HBA!$B$2:$C$4000,2,FALSE)</f>
        <v>MS</v>
      </c>
    </row>
    <row r="6820" spans="2:13" x14ac:dyDescent="0.25">
      <c r="B6820" s="31" t="s">
        <v>26303</v>
      </c>
      <c r="C6820" s="25" t="s">
        <v>2715</v>
      </c>
      <c r="D6820" s="25" t="s">
        <v>26232</v>
      </c>
      <c r="E6820" s="25"/>
      <c r="F6820" s="9" t="str">
        <f t="shared" si="99"/>
        <v>structure with developmental contribution from neural crest</v>
      </c>
      <c r="G6820" s="9" t="s">
        <v>5090</v>
      </c>
      <c r="H6820" s="9" t="s">
        <v>19769</v>
      </c>
      <c r="I6820" s="9" t="s">
        <v>2717</v>
      </c>
      <c r="J6820" s="9" t="s">
        <v>2718</v>
      </c>
      <c r="K6820" s="7" t="s">
        <v>15171</v>
      </c>
      <c r="L6820" s="13">
        <v>4303</v>
      </c>
      <c r="M6820" t="str">
        <f>VLOOKUP(L6820,[1]HBA!$B$2:$C$4000,2,FALSE)</f>
        <v>LS</v>
      </c>
    </row>
    <row r="6821" spans="2:13" x14ac:dyDescent="0.25">
      <c r="B6821" s="31" t="s">
        <v>26303</v>
      </c>
      <c r="C6821" s="25" t="s">
        <v>26219</v>
      </c>
      <c r="D6821" s="25" t="s">
        <v>26232</v>
      </c>
      <c r="E6821" s="25"/>
      <c r="F6821" s="9" t="str">
        <f t="shared" si="99"/>
        <v>structure with developmental contribution from neural crest</v>
      </c>
      <c r="G6821" s="9" t="s">
        <v>5090</v>
      </c>
      <c r="H6821" s="9" t="s">
        <v>24892</v>
      </c>
      <c r="I6821" s="9" t="s">
        <v>12564</v>
      </c>
      <c r="J6821" s="9" t="s">
        <v>12565</v>
      </c>
      <c r="K6821" s="7" t="s">
        <v>15171</v>
      </c>
      <c r="L6821" s="13">
        <v>4304</v>
      </c>
      <c r="M6821" t="str">
        <f>VLOOKUP(L6821,[1]HBA!$B$2:$C$4000,2,FALSE)</f>
        <v>SptN</v>
      </c>
    </row>
    <row r="6822" spans="2:13" x14ac:dyDescent="0.25">
      <c r="B6822" s="31" t="s">
        <v>26303</v>
      </c>
      <c r="C6822" s="25" t="s">
        <v>3024</v>
      </c>
      <c r="D6822" s="25" t="s">
        <v>26232</v>
      </c>
      <c r="E6822" s="25"/>
      <c r="F6822" s="9" t="str">
        <f t="shared" si="99"/>
        <v>structure with developmental contribution from neural crest</v>
      </c>
      <c r="G6822" s="9" t="s">
        <v>5090</v>
      </c>
      <c r="H6822" s="9" t="s">
        <v>15547</v>
      </c>
      <c r="I6822" s="9" t="s">
        <v>12566</v>
      </c>
      <c r="J6822" s="9" t="s">
        <v>12567</v>
      </c>
      <c r="K6822" s="7" t="s">
        <v>15171</v>
      </c>
      <c r="L6822" s="13">
        <v>4305</v>
      </c>
      <c r="M6822" t="str">
        <f>VLOOKUP(L6822,[1]HBA!$B$2:$C$4000,2,FALSE)</f>
        <v>MS</v>
      </c>
    </row>
    <row r="6823" spans="2:13" x14ac:dyDescent="0.25">
      <c r="B6823" s="31" t="s">
        <v>26303</v>
      </c>
      <c r="C6823" s="25" t="s">
        <v>2715</v>
      </c>
      <c r="D6823" s="25" t="s">
        <v>26232</v>
      </c>
      <c r="E6823" s="25"/>
      <c r="F6823" s="9" t="str">
        <f t="shared" si="99"/>
        <v>structure with developmental contribution from neural crest</v>
      </c>
      <c r="G6823" s="9" t="s">
        <v>5090</v>
      </c>
      <c r="H6823" s="9" t="s">
        <v>19769</v>
      </c>
      <c r="I6823" s="9" t="s">
        <v>12568</v>
      </c>
      <c r="J6823" s="9" t="s">
        <v>12569</v>
      </c>
      <c r="K6823" s="7" t="s">
        <v>15171</v>
      </c>
      <c r="L6823" s="13">
        <v>4306</v>
      </c>
      <c r="M6823" t="str">
        <f>VLOOKUP(L6823,[1]HBA!$B$2:$C$4000,2,FALSE)</f>
        <v>LS</v>
      </c>
    </row>
    <row r="6824" spans="2:13" x14ac:dyDescent="0.25">
      <c r="B6824" s="31" t="s">
        <v>26303</v>
      </c>
      <c r="C6824" s="25" t="s">
        <v>7966</v>
      </c>
      <c r="D6824" s="25" t="s">
        <v>26232</v>
      </c>
      <c r="E6824" s="25"/>
      <c r="F6824" s="9" t="str">
        <f t="shared" si="99"/>
        <v>structure with developmental contribution from neural crest</v>
      </c>
      <c r="G6824" s="9" t="s">
        <v>5090</v>
      </c>
      <c r="H6824" s="9" t="s">
        <v>19822</v>
      </c>
      <c r="I6824" s="9" t="s">
        <v>12570</v>
      </c>
      <c r="J6824" s="9" t="s">
        <v>12571</v>
      </c>
      <c r="K6824" s="7" t="s">
        <v>15171</v>
      </c>
      <c r="L6824" s="13">
        <v>4307</v>
      </c>
      <c r="M6824" t="str">
        <f>VLOOKUP(L6824,[1]HBA!$B$2:$C$4000,2,FALSE)</f>
        <v>SI</v>
      </c>
    </row>
    <row r="6825" spans="2:13" x14ac:dyDescent="0.25">
      <c r="B6825" s="31" t="s">
        <v>26303</v>
      </c>
      <c r="C6825" s="20"/>
      <c r="D6825" s="25" t="s">
        <v>26185</v>
      </c>
      <c r="E6825" s="25" t="s">
        <v>26300</v>
      </c>
      <c r="F6825" s="9" t="str">
        <f t="shared" si="99"/>
        <v>structure with developmental contribution from neural crest</v>
      </c>
      <c r="G6825" s="9" t="s">
        <v>5090</v>
      </c>
      <c r="H6825" s="9" t="s">
        <v>24893</v>
      </c>
      <c r="I6825" s="9" t="s">
        <v>544</v>
      </c>
      <c r="J6825" s="9" t="s">
        <v>545</v>
      </c>
      <c r="K6825" s="7" t="s">
        <v>15171</v>
      </c>
      <c r="L6825" s="13">
        <v>4308</v>
      </c>
      <c r="M6825" t="str">
        <f>VLOOKUP(L6825,[1]HBA!$B$2:$C$4000,2,FALSE)</f>
        <v>nbM</v>
      </c>
    </row>
    <row r="6826" spans="2:13" x14ac:dyDescent="0.25">
      <c r="B6826" s="31" t="s">
        <v>26303</v>
      </c>
      <c r="C6826" s="25" t="s">
        <v>3272</v>
      </c>
      <c r="D6826" s="25" t="s">
        <v>26232</v>
      </c>
      <c r="E6826" s="25"/>
      <c r="F6826" s="9" t="str">
        <f t="shared" si="99"/>
        <v>structure with developmental contribution from neural crest</v>
      </c>
      <c r="G6826" s="9" t="s">
        <v>5090</v>
      </c>
      <c r="H6826" s="9" t="s">
        <v>24894</v>
      </c>
      <c r="I6826" s="9" t="s">
        <v>3274</v>
      </c>
      <c r="J6826" s="9" t="s">
        <v>3275</v>
      </c>
      <c r="K6826" s="7" t="s">
        <v>15171</v>
      </c>
      <c r="L6826" s="13">
        <v>4309</v>
      </c>
      <c r="M6826" t="str">
        <f>VLOOKUP(L6826,[1]HBA!$B$2:$C$4000,2,FALSE)</f>
        <v>DB</v>
      </c>
    </row>
    <row r="6827" spans="2:13" x14ac:dyDescent="0.25">
      <c r="B6827" s="31" t="s">
        <v>26303</v>
      </c>
      <c r="C6827" s="25" t="s">
        <v>3272</v>
      </c>
      <c r="D6827" s="25" t="s">
        <v>26232</v>
      </c>
      <c r="E6827" s="25"/>
      <c r="F6827" s="9" t="str">
        <f t="shared" si="99"/>
        <v>structure with developmental contribution from neural crest</v>
      </c>
      <c r="G6827" s="9" t="s">
        <v>5090</v>
      </c>
      <c r="H6827" s="9" t="s">
        <v>24895</v>
      </c>
      <c r="I6827" s="9" t="s">
        <v>12572</v>
      </c>
      <c r="J6827" s="9" t="s">
        <v>12573</v>
      </c>
      <c r="K6827" s="7" t="s">
        <v>15171</v>
      </c>
      <c r="L6827" s="13">
        <v>4310</v>
      </c>
      <c r="M6827" t="str">
        <f>VLOOKUP(L6827,[1]HBA!$B$2:$C$4000,2,FALSE)</f>
        <v>DBv</v>
      </c>
    </row>
    <row r="6828" spans="2:13" x14ac:dyDescent="0.25">
      <c r="B6828" s="31" t="s">
        <v>26303</v>
      </c>
      <c r="C6828" s="25" t="s">
        <v>3272</v>
      </c>
      <c r="D6828" s="25" t="s">
        <v>26232</v>
      </c>
      <c r="E6828" s="25"/>
      <c r="F6828" s="9" t="str">
        <f t="shared" si="99"/>
        <v>structure with developmental contribution from neural crest</v>
      </c>
      <c r="G6828" s="9" t="s">
        <v>5090</v>
      </c>
      <c r="H6828" s="9" t="s">
        <v>24896</v>
      </c>
      <c r="I6828" s="9" t="s">
        <v>12574</v>
      </c>
      <c r="J6828" s="9" t="s">
        <v>12575</v>
      </c>
      <c r="K6828" s="7" t="s">
        <v>15171</v>
      </c>
      <c r="L6828" s="13">
        <v>4311</v>
      </c>
      <c r="M6828" t="str">
        <f>VLOOKUP(L6828,[1]HBA!$B$2:$C$4000,2,FALSE)</f>
        <v>DBh</v>
      </c>
    </row>
    <row r="6829" spans="2:13" x14ac:dyDescent="0.25">
      <c r="B6829" s="31" t="s">
        <v>26303</v>
      </c>
      <c r="C6829" s="25" t="s">
        <v>26052</v>
      </c>
      <c r="D6829" s="25" t="s">
        <v>26232</v>
      </c>
      <c r="E6829" s="25"/>
      <c r="F6829" s="9" t="str">
        <f t="shared" si="99"/>
        <v>structure with developmental contribution from neural crest</v>
      </c>
      <c r="G6829" s="9" t="s">
        <v>5090</v>
      </c>
      <c r="H6829" s="9" t="s">
        <v>24897</v>
      </c>
      <c r="I6829" s="9" t="s">
        <v>3267</v>
      </c>
      <c r="J6829" s="9" t="s">
        <v>3268</v>
      </c>
      <c r="K6829" s="7" t="s">
        <v>15171</v>
      </c>
      <c r="L6829" s="13">
        <v>4312</v>
      </c>
      <c r="M6829" t="str">
        <f>VLOOKUP(L6829,[1]HBA!$B$2:$C$4000,2,FALSE)</f>
        <v>Nac</v>
      </c>
    </row>
    <row r="6830" spans="2:13" x14ac:dyDescent="0.25">
      <c r="B6830" s="31" t="s">
        <v>26303</v>
      </c>
      <c r="C6830" s="25" t="s">
        <v>561</v>
      </c>
      <c r="D6830" s="25" t="s">
        <v>26232</v>
      </c>
      <c r="E6830" s="25"/>
      <c r="F6830" s="9" t="str">
        <f t="shared" si="99"/>
        <v>structure with developmental contribution from neural crest</v>
      </c>
      <c r="G6830" s="9" t="s">
        <v>5090</v>
      </c>
      <c r="H6830" s="9" t="s">
        <v>19837</v>
      </c>
      <c r="I6830" s="9" t="s">
        <v>563</v>
      </c>
      <c r="J6830" s="9" t="s">
        <v>564</v>
      </c>
      <c r="K6830" s="7" t="s">
        <v>15171</v>
      </c>
      <c r="L6830" s="13">
        <v>4313</v>
      </c>
      <c r="M6830" t="str">
        <f>VLOOKUP(L6830,[1]HBA!$B$2:$C$4000,2,FALSE)</f>
        <v>BST</v>
      </c>
    </row>
    <row r="6831" spans="2:13" x14ac:dyDescent="0.25">
      <c r="B6831" s="31" t="s">
        <v>26303</v>
      </c>
      <c r="C6831" s="25" t="s">
        <v>7966</v>
      </c>
      <c r="D6831" s="25" t="s">
        <v>26232</v>
      </c>
      <c r="E6831" s="25"/>
      <c r="F6831" s="9" t="str">
        <f t="shared" si="99"/>
        <v>structure with developmental contribution from neural crest</v>
      </c>
      <c r="G6831" s="9" t="s">
        <v>5090</v>
      </c>
      <c r="H6831" s="9" t="s">
        <v>19822</v>
      </c>
      <c r="I6831" s="9" t="s">
        <v>12576</v>
      </c>
      <c r="J6831" s="9" t="s">
        <v>12577</v>
      </c>
      <c r="K6831" s="7" t="s">
        <v>15171</v>
      </c>
      <c r="L6831" s="13">
        <v>4314</v>
      </c>
      <c r="M6831" t="str">
        <f>VLOOKUP(L6831,[1]HBA!$B$2:$C$4000,2,FALSE)</f>
        <v>SI</v>
      </c>
    </row>
    <row r="6832" spans="2:13" x14ac:dyDescent="0.25">
      <c r="B6832" s="31" t="s">
        <v>26303</v>
      </c>
      <c r="C6832" s="20"/>
      <c r="D6832" s="25" t="s">
        <v>26185</v>
      </c>
      <c r="E6832" s="25" t="s">
        <v>26300</v>
      </c>
      <c r="F6832" s="9" t="str">
        <f t="shared" si="99"/>
        <v>structure with developmental contribution from neural crest</v>
      </c>
      <c r="G6832" s="9" t="s">
        <v>5090</v>
      </c>
      <c r="H6832" s="9" t="s">
        <v>24893</v>
      </c>
      <c r="I6832" s="9" t="s">
        <v>12578</v>
      </c>
      <c r="J6832" s="9" t="s">
        <v>12579</v>
      </c>
      <c r="K6832" s="7" t="s">
        <v>15171</v>
      </c>
      <c r="L6832" s="13">
        <v>4315</v>
      </c>
      <c r="M6832" t="str">
        <f>VLOOKUP(L6832,[1]HBA!$B$2:$C$4000,2,FALSE)</f>
        <v>nbM</v>
      </c>
    </row>
    <row r="6833" spans="2:13" x14ac:dyDescent="0.25">
      <c r="B6833" s="31" t="s">
        <v>26303</v>
      </c>
      <c r="C6833" s="25" t="s">
        <v>3272</v>
      </c>
      <c r="D6833" s="25" t="s">
        <v>26232</v>
      </c>
      <c r="E6833" s="25"/>
      <c r="F6833" s="9" t="str">
        <f t="shared" si="99"/>
        <v>structure with developmental contribution from neural crest</v>
      </c>
      <c r="G6833" s="9" t="s">
        <v>5090</v>
      </c>
      <c r="H6833" s="9" t="s">
        <v>24894</v>
      </c>
      <c r="I6833" s="9" t="s">
        <v>12580</v>
      </c>
      <c r="J6833" s="9" t="s">
        <v>12581</v>
      </c>
      <c r="K6833" s="7" t="s">
        <v>15171</v>
      </c>
      <c r="L6833" s="13">
        <v>4316</v>
      </c>
      <c r="M6833" t="str">
        <f>VLOOKUP(L6833,[1]HBA!$B$2:$C$4000,2,FALSE)</f>
        <v>DB</v>
      </c>
    </row>
    <row r="6834" spans="2:13" x14ac:dyDescent="0.25">
      <c r="B6834" s="31" t="s">
        <v>26303</v>
      </c>
      <c r="C6834" s="25" t="s">
        <v>3272</v>
      </c>
      <c r="D6834" s="25" t="s">
        <v>26232</v>
      </c>
      <c r="E6834" s="25"/>
      <c r="F6834" s="9" t="str">
        <f t="shared" si="99"/>
        <v>structure with developmental contribution from neural crest</v>
      </c>
      <c r="G6834" s="9" t="s">
        <v>5090</v>
      </c>
      <c r="H6834" s="9" t="s">
        <v>24895</v>
      </c>
      <c r="I6834" s="9" t="s">
        <v>12582</v>
      </c>
      <c r="J6834" s="9" t="s">
        <v>12583</v>
      </c>
      <c r="K6834" s="7" t="s">
        <v>15171</v>
      </c>
      <c r="L6834" s="13">
        <v>4317</v>
      </c>
      <c r="M6834" t="str">
        <f>VLOOKUP(L6834,[1]HBA!$B$2:$C$4000,2,FALSE)</f>
        <v>DBv</v>
      </c>
    </row>
    <row r="6835" spans="2:13" x14ac:dyDescent="0.25">
      <c r="B6835" s="31" t="s">
        <v>26303</v>
      </c>
      <c r="C6835" s="25" t="s">
        <v>3272</v>
      </c>
      <c r="D6835" s="25" t="s">
        <v>26232</v>
      </c>
      <c r="E6835" s="25"/>
      <c r="F6835" s="9" t="str">
        <f t="shared" si="99"/>
        <v>structure with developmental contribution from neural crest</v>
      </c>
      <c r="G6835" s="9" t="s">
        <v>5090</v>
      </c>
      <c r="H6835" s="9" t="s">
        <v>24896</v>
      </c>
      <c r="I6835" s="9" t="s">
        <v>12584</v>
      </c>
      <c r="J6835" s="9" t="s">
        <v>12585</v>
      </c>
      <c r="K6835" s="7" t="s">
        <v>15171</v>
      </c>
      <c r="L6835" s="13">
        <v>4318</v>
      </c>
      <c r="M6835" t="str">
        <f>VLOOKUP(L6835,[1]HBA!$B$2:$C$4000,2,FALSE)</f>
        <v>DBh</v>
      </c>
    </row>
    <row r="6836" spans="2:13" x14ac:dyDescent="0.25">
      <c r="B6836" s="31" t="s">
        <v>26303</v>
      </c>
      <c r="C6836" s="25" t="s">
        <v>26052</v>
      </c>
      <c r="D6836" s="25" t="s">
        <v>26232</v>
      </c>
      <c r="E6836" s="25"/>
      <c r="F6836" s="9" t="str">
        <f t="shared" si="99"/>
        <v>structure with developmental contribution from neural crest</v>
      </c>
      <c r="G6836" s="9" t="s">
        <v>5090</v>
      </c>
      <c r="H6836" s="9" t="s">
        <v>24897</v>
      </c>
      <c r="I6836" s="9" t="s">
        <v>12586</v>
      </c>
      <c r="J6836" s="9" t="s">
        <v>12587</v>
      </c>
      <c r="K6836" s="7" t="s">
        <v>15171</v>
      </c>
      <c r="L6836" s="13">
        <v>4319</v>
      </c>
      <c r="M6836" t="str">
        <f>VLOOKUP(L6836,[1]HBA!$B$2:$C$4000,2,FALSE)</f>
        <v>Nac</v>
      </c>
    </row>
    <row r="6837" spans="2:13" x14ac:dyDescent="0.25">
      <c r="B6837" s="31" t="s">
        <v>26303</v>
      </c>
      <c r="C6837" s="25" t="s">
        <v>561</v>
      </c>
      <c r="D6837" s="25" t="s">
        <v>26232</v>
      </c>
      <c r="E6837" s="25"/>
      <c r="F6837" s="9" t="str">
        <f t="shared" si="99"/>
        <v>structure with developmental contribution from neural crest</v>
      </c>
      <c r="G6837" s="9" t="s">
        <v>5090</v>
      </c>
      <c r="H6837" s="9" t="s">
        <v>19837</v>
      </c>
      <c r="I6837" s="9" t="s">
        <v>12588</v>
      </c>
      <c r="J6837" s="9" t="s">
        <v>12589</v>
      </c>
      <c r="K6837" s="7" t="s">
        <v>15171</v>
      </c>
      <c r="L6837" s="13">
        <v>4320</v>
      </c>
      <c r="M6837" t="str">
        <f>VLOOKUP(L6837,[1]HBA!$B$2:$C$4000,2,FALSE)</f>
        <v>BST</v>
      </c>
    </row>
    <row r="6838" spans="2:13" x14ac:dyDescent="0.25">
      <c r="B6838" s="31" t="s">
        <v>26303</v>
      </c>
      <c r="C6838" s="25" t="s">
        <v>25876</v>
      </c>
      <c r="D6838" s="25" t="s">
        <v>26232</v>
      </c>
      <c r="E6838" s="25"/>
      <c r="F6838" s="9" t="str">
        <f t="shared" si="99"/>
        <v>structure with developmental contribution from neural crest</v>
      </c>
      <c r="G6838" s="9" t="s">
        <v>5090</v>
      </c>
      <c r="H6838" s="9" t="s">
        <v>15774</v>
      </c>
      <c r="I6838" s="9" t="s">
        <v>12590</v>
      </c>
      <c r="J6838" s="9" t="s">
        <v>12591</v>
      </c>
      <c r="K6838" s="7" t="s">
        <v>15171</v>
      </c>
      <c r="L6838" s="13">
        <v>4322</v>
      </c>
      <c r="M6838" t="str">
        <f>VLOOKUP(L6838,[1]HBA!$B$2:$C$4000,2,FALSE)</f>
        <v>Cl</v>
      </c>
    </row>
    <row r="6839" spans="2:13" x14ac:dyDescent="0.25">
      <c r="B6839" s="31" t="s">
        <v>26303</v>
      </c>
      <c r="C6839" s="25" t="s">
        <v>25876</v>
      </c>
      <c r="D6839" s="25" t="s">
        <v>26232</v>
      </c>
      <c r="E6839" s="25"/>
      <c r="F6839" s="9" t="str">
        <f t="shared" ref="F6839:F6902" si="100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6839" s="9" t="s">
        <v>5090</v>
      </c>
      <c r="H6839" s="9" t="s">
        <v>15774</v>
      </c>
      <c r="I6839" s="9" t="s">
        <v>12592</v>
      </c>
      <c r="J6839" s="9" t="s">
        <v>12593</v>
      </c>
      <c r="K6839" s="7" t="s">
        <v>15171</v>
      </c>
      <c r="L6839" s="13">
        <v>4323</v>
      </c>
      <c r="M6839" t="str">
        <f>VLOOKUP(L6839,[1]HBA!$B$2:$C$4000,2,FALSE)</f>
        <v>Cl</v>
      </c>
    </row>
    <row r="6840" spans="2:13" x14ac:dyDescent="0.25">
      <c r="B6840" s="31" t="s">
        <v>26303</v>
      </c>
      <c r="C6840" s="25" t="s">
        <v>387</v>
      </c>
      <c r="D6840" s="25" t="s">
        <v>26232</v>
      </c>
      <c r="E6840" s="25"/>
      <c r="F6840" s="9" t="str">
        <f t="shared" si="100"/>
        <v>structure with developmental contribution from neural crest</v>
      </c>
      <c r="G6840" s="9" t="s">
        <v>5090</v>
      </c>
      <c r="H6840" s="9" t="s">
        <v>24891</v>
      </c>
      <c r="I6840" s="9" t="s">
        <v>387</v>
      </c>
      <c r="J6840" s="9" t="s">
        <v>389</v>
      </c>
      <c r="K6840" s="7" t="s">
        <v>15171</v>
      </c>
      <c r="L6840" s="13">
        <v>4324</v>
      </c>
      <c r="M6840" t="str">
        <f>VLOOKUP(L6840,[1]HBA!$B$2:$C$4000,2,FALSE)</f>
        <v>AO</v>
      </c>
    </row>
    <row r="6841" spans="2:13" x14ac:dyDescent="0.25">
      <c r="B6841" s="31" t="s">
        <v>26303</v>
      </c>
      <c r="C6841" s="25" t="s">
        <v>387</v>
      </c>
      <c r="D6841" s="25" t="s">
        <v>26232</v>
      </c>
      <c r="E6841" s="25"/>
      <c r="F6841" s="9" t="str">
        <f t="shared" si="100"/>
        <v>structure with developmental contribution from neural crest</v>
      </c>
      <c r="G6841" s="9" t="s">
        <v>5090</v>
      </c>
      <c r="H6841" s="9" t="s">
        <v>24891</v>
      </c>
      <c r="I6841" s="9" t="s">
        <v>12594</v>
      </c>
      <c r="J6841" s="9" t="s">
        <v>12595</v>
      </c>
      <c r="K6841" s="7" t="s">
        <v>15171</v>
      </c>
      <c r="L6841" s="13">
        <v>4325</v>
      </c>
      <c r="M6841" t="str">
        <f>VLOOKUP(L6841,[1]HBA!$B$2:$C$4000,2,FALSE)</f>
        <v>AO</v>
      </c>
    </row>
    <row r="6842" spans="2:13" x14ac:dyDescent="0.25">
      <c r="B6842" s="31" t="s">
        <v>26303</v>
      </c>
      <c r="C6842" s="25" t="s">
        <v>387</v>
      </c>
      <c r="D6842" s="25" t="s">
        <v>26232</v>
      </c>
      <c r="E6842" s="25"/>
      <c r="F6842" s="9" t="str">
        <f t="shared" si="100"/>
        <v>structure with developmental contribution from neural crest</v>
      </c>
      <c r="G6842" s="9" t="s">
        <v>5090</v>
      </c>
      <c r="H6842" s="9" t="s">
        <v>24891</v>
      </c>
      <c r="I6842" s="9" t="s">
        <v>12596</v>
      </c>
      <c r="J6842" s="9" t="s">
        <v>12597</v>
      </c>
      <c r="K6842" s="7" t="s">
        <v>15171</v>
      </c>
      <c r="L6842" s="13">
        <v>4326</v>
      </c>
      <c r="M6842" t="str">
        <f>VLOOKUP(L6842,[1]HBA!$B$2:$C$4000,2,FALSE)</f>
        <v>AO</v>
      </c>
    </row>
    <row r="6843" spans="2:13" x14ac:dyDescent="0.25">
      <c r="B6843" s="31" t="s">
        <v>26303</v>
      </c>
      <c r="C6843" s="25" t="s">
        <v>254</v>
      </c>
      <c r="D6843" s="25" t="s">
        <v>26232</v>
      </c>
      <c r="E6843" s="25"/>
      <c r="F6843" s="9" t="str">
        <f t="shared" si="100"/>
        <v>structure with developmental contribution from neural crest</v>
      </c>
      <c r="G6843" s="9" t="s">
        <v>5090</v>
      </c>
      <c r="H6843" s="9" t="s">
        <v>24842</v>
      </c>
      <c r="I6843" s="9" t="s">
        <v>12598</v>
      </c>
      <c r="J6843" s="9" t="s">
        <v>12599</v>
      </c>
      <c r="K6843" s="7" t="s">
        <v>15171</v>
      </c>
      <c r="L6843" s="13">
        <v>4328</v>
      </c>
      <c r="M6843" t="str">
        <f>VLOOKUP(L6843,[1]HBA!$B$2:$C$4000,2,FALSE)</f>
        <v>ATZ</v>
      </c>
    </row>
    <row r="6844" spans="2:13" x14ac:dyDescent="0.25">
      <c r="B6844" s="31" t="s">
        <v>26303</v>
      </c>
      <c r="C6844" s="25" t="s">
        <v>254</v>
      </c>
      <c r="D6844" s="25" t="s">
        <v>26232</v>
      </c>
      <c r="E6844" s="25"/>
      <c r="F6844" s="9" t="str">
        <f t="shared" si="100"/>
        <v>structure with developmental contribution from neural crest</v>
      </c>
      <c r="G6844" s="9" t="s">
        <v>5090</v>
      </c>
      <c r="H6844" s="9" t="s">
        <v>24842</v>
      </c>
      <c r="I6844" s="9" t="s">
        <v>12600</v>
      </c>
      <c r="J6844" s="9" t="s">
        <v>12601</v>
      </c>
      <c r="K6844" s="7" t="s">
        <v>15171</v>
      </c>
      <c r="L6844" s="13">
        <v>4329</v>
      </c>
      <c r="M6844" t="str">
        <f>VLOOKUP(L6844,[1]HBA!$B$2:$C$4000,2,FALSE)</f>
        <v>ATZ</v>
      </c>
    </row>
    <row r="6845" spans="2:13" x14ac:dyDescent="0.25">
      <c r="B6845" s="31" t="s">
        <v>26303</v>
      </c>
      <c r="C6845" s="25" t="s">
        <v>237</v>
      </c>
      <c r="D6845" s="25" t="s">
        <v>26232</v>
      </c>
      <c r="E6845" s="25"/>
      <c r="F6845" s="9" t="str">
        <f t="shared" si="100"/>
        <v>structure with developmental contribution from neural crest</v>
      </c>
      <c r="G6845" s="9" t="s">
        <v>5090</v>
      </c>
      <c r="H6845" s="9" t="s">
        <v>24843</v>
      </c>
      <c r="I6845" s="9" t="s">
        <v>240</v>
      </c>
      <c r="J6845" s="9" t="s">
        <v>241</v>
      </c>
      <c r="K6845" s="7" t="s">
        <v>15171</v>
      </c>
      <c r="L6845" s="13">
        <v>4330</v>
      </c>
      <c r="M6845" t="str">
        <f>VLOOKUP(L6845,[1]HBA!$B$2:$C$4000,2,FALSE)</f>
        <v>AHiA</v>
      </c>
    </row>
    <row r="6846" spans="2:13" x14ac:dyDescent="0.25">
      <c r="B6846" s="31" t="s">
        <v>26303</v>
      </c>
      <c r="C6846" s="25" t="s">
        <v>254</v>
      </c>
      <c r="D6846" s="25" t="s">
        <v>26232</v>
      </c>
      <c r="E6846" s="25"/>
      <c r="F6846" s="9" t="str">
        <f t="shared" si="100"/>
        <v>structure with developmental contribution from neural crest</v>
      </c>
      <c r="G6846" s="9" t="s">
        <v>5090</v>
      </c>
      <c r="H6846" s="9" t="s">
        <v>24842</v>
      </c>
      <c r="I6846" s="9" t="s">
        <v>12602</v>
      </c>
      <c r="J6846" s="9" t="s">
        <v>12603</v>
      </c>
      <c r="K6846" s="7" t="s">
        <v>15171</v>
      </c>
      <c r="L6846" s="13">
        <v>4335</v>
      </c>
      <c r="M6846" t="str">
        <f>VLOOKUP(L6846,[1]HBA!$B$2:$C$4000,2,FALSE)</f>
        <v>ATZ</v>
      </c>
    </row>
    <row r="6847" spans="2:13" x14ac:dyDescent="0.25">
      <c r="B6847" s="31" t="s">
        <v>26303</v>
      </c>
      <c r="C6847" s="25" t="s">
        <v>237</v>
      </c>
      <c r="D6847" s="25" t="s">
        <v>26232</v>
      </c>
      <c r="E6847" s="25"/>
      <c r="F6847" s="9" t="str">
        <f t="shared" si="100"/>
        <v>structure with developmental contribution from neural crest</v>
      </c>
      <c r="G6847" s="9" t="s">
        <v>5090</v>
      </c>
      <c r="H6847" s="9" t="s">
        <v>24843</v>
      </c>
      <c r="I6847" s="9" t="s">
        <v>12604</v>
      </c>
      <c r="J6847" s="9" t="s">
        <v>12605</v>
      </c>
      <c r="K6847" s="7" t="s">
        <v>15171</v>
      </c>
      <c r="L6847" s="13">
        <v>4336</v>
      </c>
      <c r="M6847" t="str">
        <f>VLOOKUP(L6847,[1]HBA!$B$2:$C$4000,2,FALSE)</f>
        <v>AHiA</v>
      </c>
    </row>
    <row r="6848" spans="2:13" x14ac:dyDescent="0.25">
      <c r="B6848" s="31" t="s">
        <v>26303</v>
      </c>
      <c r="C6848" s="25" t="s">
        <v>25804</v>
      </c>
      <c r="D6848" s="25" t="s">
        <v>26232</v>
      </c>
      <c r="E6848" s="25"/>
      <c r="F6848" s="9" t="str">
        <f t="shared" si="100"/>
        <v>structure with developmental contribution from neural crest</v>
      </c>
      <c r="G6848" s="9" t="s">
        <v>5090</v>
      </c>
      <c r="H6848" s="9" t="s">
        <v>15784</v>
      </c>
      <c r="I6848" s="9" t="s">
        <v>529</v>
      </c>
      <c r="J6848" s="9" t="s">
        <v>530</v>
      </c>
      <c r="K6848" s="7" t="s">
        <v>15171</v>
      </c>
      <c r="L6848" s="13">
        <v>4341</v>
      </c>
      <c r="M6848" t="str">
        <f>VLOOKUP(L6848,[1]HBA!$B$2:$C$4000,2,FALSE)</f>
        <v>BLA</v>
      </c>
    </row>
    <row r="6849" spans="2:13" x14ac:dyDescent="0.25">
      <c r="B6849" s="31" t="s">
        <v>26303</v>
      </c>
      <c r="C6849" s="25" t="s">
        <v>25804</v>
      </c>
      <c r="D6849" s="25" t="s">
        <v>26232</v>
      </c>
      <c r="E6849" s="25"/>
      <c r="F6849" s="9" t="str">
        <f t="shared" si="100"/>
        <v>structure with developmental contribution from neural crest</v>
      </c>
      <c r="G6849" s="9" t="s">
        <v>5090</v>
      </c>
      <c r="H6849" s="9" t="s">
        <v>15784</v>
      </c>
      <c r="I6849" s="9" t="s">
        <v>12606</v>
      </c>
      <c r="J6849" s="9" t="s">
        <v>12607</v>
      </c>
      <c r="K6849" s="7" t="s">
        <v>15171</v>
      </c>
      <c r="L6849" s="13">
        <v>4342</v>
      </c>
      <c r="M6849" t="str">
        <f>VLOOKUP(L6849,[1]HBA!$B$2:$C$4000,2,FALSE)</f>
        <v>BLA</v>
      </c>
    </row>
    <row r="6850" spans="2:13" x14ac:dyDescent="0.25">
      <c r="B6850" s="31" t="s">
        <v>26303</v>
      </c>
      <c r="C6850" s="25" t="s">
        <v>25804</v>
      </c>
      <c r="D6850" s="25" t="s">
        <v>26185</v>
      </c>
      <c r="E6850" s="20" t="s">
        <v>26300</v>
      </c>
      <c r="F6850" s="9" t="str">
        <f t="shared" si="100"/>
        <v>structure with developmental contribution from neural crest</v>
      </c>
      <c r="G6850" s="9" t="s">
        <v>5090</v>
      </c>
      <c r="H6850" s="9" t="s">
        <v>24847</v>
      </c>
      <c r="I6850" s="9" t="s">
        <v>12608</v>
      </c>
      <c r="J6850" s="9" t="s">
        <v>12609</v>
      </c>
      <c r="K6850" s="7" t="s">
        <v>15171</v>
      </c>
      <c r="L6850" s="13">
        <v>4343</v>
      </c>
      <c r="M6850" t="str">
        <f>VLOOKUP(L6850,[1]HBA!$B$2:$C$4000,2,FALSE)</f>
        <v>BLAm</v>
      </c>
    </row>
    <row r="6851" spans="2:13" x14ac:dyDescent="0.25">
      <c r="B6851" s="31" t="s">
        <v>26303</v>
      </c>
      <c r="C6851" s="25" t="s">
        <v>25804</v>
      </c>
      <c r="D6851" s="25" t="s">
        <v>26185</v>
      </c>
      <c r="E6851" s="20" t="s">
        <v>26300</v>
      </c>
      <c r="F6851" s="9" t="str">
        <f t="shared" si="100"/>
        <v>structure with developmental contribution from neural crest</v>
      </c>
      <c r="G6851" s="9" t="s">
        <v>5090</v>
      </c>
      <c r="H6851" s="9" t="s">
        <v>24849</v>
      </c>
      <c r="I6851" s="9" t="s">
        <v>12610</v>
      </c>
      <c r="J6851" s="9" t="s">
        <v>12611</v>
      </c>
      <c r="K6851" s="7" t="s">
        <v>15171</v>
      </c>
      <c r="L6851" s="13">
        <v>4344</v>
      </c>
      <c r="M6851" t="str">
        <f>VLOOKUP(L6851,[1]HBA!$B$2:$C$4000,2,FALSE)</f>
        <v>BLAi</v>
      </c>
    </row>
    <row r="6852" spans="2:13" x14ac:dyDescent="0.25">
      <c r="B6852" s="31" t="s">
        <v>26303</v>
      </c>
      <c r="C6852" s="25" t="s">
        <v>25804</v>
      </c>
      <c r="D6852" s="25" t="s">
        <v>26185</v>
      </c>
      <c r="E6852" s="20" t="s">
        <v>26300</v>
      </c>
      <c r="F6852" s="9" t="str">
        <f t="shared" si="100"/>
        <v>structure with developmental contribution from neural crest</v>
      </c>
      <c r="G6852" s="9" t="s">
        <v>5090</v>
      </c>
      <c r="H6852" s="9" t="s">
        <v>19727</v>
      </c>
      <c r="I6852" s="9" t="s">
        <v>12612</v>
      </c>
      <c r="J6852" s="9" t="s">
        <v>12613</v>
      </c>
      <c r="K6852" s="7" t="s">
        <v>15171</v>
      </c>
      <c r="L6852" s="13">
        <v>4345</v>
      </c>
      <c r="M6852" t="str">
        <f>VLOOKUP(L6852,[1]HBA!$B$2:$C$4000,2,FALSE)</f>
        <v>BLAp</v>
      </c>
    </row>
    <row r="6853" spans="2:13" x14ac:dyDescent="0.25">
      <c r="B6853" s="31" t="s">
        <v>26303</v>
      </c>
      <c r="C6853" s="25" t="s">
        <v>25804</v>
      </c>
      <c r="D6853" s="25" t="s">
        <v>26232</v>
      </c>
      <c r="E6853" s="25"/>
      <c r="F6853" s="9" t="str">
        <f t="shared" si="100"/>
        <v>structure with developmental contribution from neural crest</v>
      </c>
      <c r="G6853" s="9" t="s">
        <v>5090</v>
      </c>
      <c r="H6853" s="9" t="s">
        <v>15784</v>
      </c>
      <c r="I6853" s="9" t="s">
        <v>12614</v>
      </c>
      <c r="J6853" s="9" t="s">
        <v>12615</v>
      </c>
      <c r="K6853" s="7" t="s">
        <v>15171</v>
      </c>
      <c r="L6853" s="13">
        <v>4346</v>
      </c>
      <c r="M6853" t="str">
        <f>VLOOKUP(L6853,[1]HBA!$B$2:$C$4000,2,FALSE)</f>
        <v>BLA</v>
      </c>
    </row>
    <row r="6854" spans="2:13" x14ac:dyDescent="0.25">
      <c r="B6854" s="31" t="s">
        <v>26303</v>
      </c>
      <c r="C6854" s="25" t="s">
        <v>25804</v>
      </c>
      <c r="D6854" s="25" t="s">
        <v>26185</v>
      </c>
      <c r="E6854" s="20" t="s">
        <v>26300</v>
      </c>
      <c r="F6854" s="9" t="str">
        <f t="shared" si="100"/>
        <v>structure with developmental contribution from neural crest</v>
      </c>
      <c r="G6854" s="9" t="s">
        <v>5090</v>
      </c>
      <c r="H6854" s="9" t="s">
        <v>24847</v>
      </c>
      <c r="I6854" s="9" t="s">
        <v>12616</v>
      </c>
      <c r="J6854" s="9" t="s">
        <v>12617</v>
      </c>
      <c r="K6854" s="7" t="s">
        <v>15171</v>
      </c>
      <c r="L6854" s="13">
        <v>4347</v>
      </c>
      <c r="M6854" t="str">
        <f>VLOOKUP(L6854,[1]HBA!$B$2:$C$4000,2,FALSE)</f>
        <v>BLAm</v>
      </c>
    </row>
    <row r="6855" spans="2:13" x14ac:dyDescent="0.25">
      <c r="B6855" s="31" t="s">
        <v>26303</v>
      </c>
      <c r="C6855" s="25" t="s">
        <v>25804</v>
      </c>
      <c r="D6855" s="25" t="s">
        <v>26185</v>
      </c>
      <c r="E6855" s="20" t="s">
        <v>26300</v>
      </c>
      <c r="F6855" s="9" t="str">
        <f t="shared" si="100"/>
        <v>structure with developmental contribution from neural crest</v>
      </c>
      <c r="G6855" s="9" t="s">
        <v>5090</v>
      </c>
      <c r="H6855" s="9" t="s">
        <v>24849</v>
      </c>
      <c r="I6855" s="9" t="s">
        <v>12618</v>
      </c>
      <c r="J6855" s="9" t="s">
        <v>12619</v>
      </c>
      <c r="K6855" s="7" t="s">
        <v>15171</v>
      </c>
      <c r="L6855" s="13">
        <v>4348</v>
      </c>
      <c r="M6855" t="str">
        <f>VLOOKUP(L6855,[1]HBA!$B$2:$C$4000,2,FALSE)</f>
        <v>BLAi</v>
      </c>
    </row>
    <row r="6856" spans="2:13" x14ac:dyDescent="0.25">
      <c r="B6856" s="31" t="s">
        <v>26303</v>
      </c>
      <c r="C6856" s="25" t="s">
        <v>25804</v>
      </c>
      <c r="D6856" s="25" t="s">
        <v>26185</v>
      </c>
      <c r="E6856" s="20" t="s">
        <v>26300</v>
      </c>
      <c r="F6856" s="9" t="str">
        <f t="shared" si="100"/>
        <v>structure with developmental contribution from neural crest</v>
      </c>
      <c r="G6856" s="9" t="s">
        <v>5090</v>
      </c>
      <c r="H6856" s="9" t="s">
        <v>19727</v>
      </c>
      <c r="I6856" s="9" t="s">
        <v>12620</v>
      </c>
      <c r="J6856" s="9" t="s">
        <v>12621</v>
      </c>
      <c r="K6856" s="7" t="s">
        <v>15171</v>
      </c>
      <c r="L6856" s="13">
        <v>4349</v>
      </c>
      <c r="M6856" t="str">
        <f>VLOOKUP(L6856,[1]HBA!$B$2:$C$4000,2,FALSE)</f>
        <v>BLAp</v>
      </c>
    </row>
    <row r="6857" spans="2:13" x14ac:dyDescent="0.25">
      <c r="B6857" s="31" t="s">
        <v>26303</v>
      </c>
      <c r="C6857" s="25" t="s">
        <v>25765</v>
      </c>
      <c r="D6857" s="25" t="s">
        <v>26232</v>
      </c>
      <c r="E6857" s="25"/>
      <c r="F6857" s="9" t="str">
        <f t="shared" si="100"/>
        <v>structure with developmental contribution from neural crest</v>
      </c>
      <c r="G6857" s="9" t="s">
        <v>5090</v>
      </c>
      <c r="H6857" s="9" t="s">
        <v>15737</v>
      </c>
      <c r="I6857" s="9" t="s">
        <v>177</v>
      </c>
      <c r="J6857" s="9" t="s">
        <v>178</v>
      </c>
      <c r="K6857" s="7" t="s">
        <v>15171</v>
      </c>
      <c r="L6857" s="13">
        <v>4350</v>
      </c>
      <c r="M6857" t="str">
        <f>VLOOKUP(L6857,[1]HBA!$B$2:$C$4000,2,FALSE)</f>
        <v>BMA</v>
      </c>
    </row>
    <row r="6858" spans="2:13" x14ac:dyDescent="0.25">
      <c r="B6858" s="31" t="s">
        <v>26303</v>
      </c>
      <c r="C6858" s="25" t="s">
        <v>25765</v>
      </c>
      <c r="D6858" s="25" t="s">
        <v>26232</v>
      </c>
      <c r="E6858" s="25"/>
      <c r="F6858" s="9" t="str">
        <f t="shared" si="100"/>
        <v>structure with developmental contribution from neural crest</v>
      </c>
      <c r="G6858" s="9" t="s">
        <v>5090</v>
      </c>
      <c r="H6858" s="9" t="s">
        <v>15737</v>
      </c>
      <c r="I6858" s="9" t="s">
        <v>12622</v>
      </c>
      <c r="J6858" s="9" t="s">
        <v>12623</v>
      </c>
      <c r="K6858" s="7" t="s">
        <v>15171</v>
      </c>
      <c r="L6858" s="13">
        <v>4351</v>
      </c>
      <c r="M6858" t="str">
        <f>VLOOKUP(L6858,[1]HBA!$B$2:$C$4000,2,FALSE)</f>
        <v>BMA</v>
      </c>
    </row>
    <row r="6859" spans="2:13" x14ac:dyDescent="0.25">
      <c r="B6859" s="31" t="s">
        <v>26303</v>
      </c>
      <c r="C6859" s="25" t="s">
        <v>25765</v>
      </c>
      <c r="D6859" s="25" t="s">
        <v>26232</v>
      </c>
      <c r="E6859" s="25"/>
      <c r="F6859" s="9" t="str">
        <f t="shared" si="100"/>
        <v>structure with developmental contribution from neural crest</v>
      </c>
      <c r="G6859" s="9" t="s">
        <v>5090</v>
      </c>
      <c r="H6859" s="9" t="s">
        <v>24853</v>
      </c>
      <c r="I6859" s="9" t="s">
        <v>12624</v>
      </c>
      <c r="J6859" s="9" t="s">
        <v>12625</v>
      </c>
      <c r="K6859" s="7" t="s">
        <v>15171</v>
      </c>
      <c r="L6859" s="13">
        <v>4352</v>
      </c>
      <c r="M6859" t="str">
        <f>VLOOKUP(L6859,[1]HBA!$B$2:$C$4000,2,FALSE)</f>
        <v>BMAmc</v>
      </c>
    </row>
    <row r="6860" spans="2:13" x14ac:dyDescent="0.25">
      <c r="B6860" s="31" t="s">
        <v>26303</v>
      </c>
      <c r="C6860" s="25" t="s">
        <v>25765</v>
      </c>
      <c r="D6860" s="25" t="s">
        <v>26232</v>
      </c>
      <c r="E6860" s="25"/>
      <c r="F6860" s="9" t="str">
        <f t="shared" si="100"/>
        <v>structure with developmental contribution from neural crest</v>
      </c>
      <c r="G6860" s="9" t="s">
        <v>5090</v>
      </c>
      <c r="H6860" s="9" t="s">
        <v>24857</v>
      </c>
      <c r="I6860" s="9" t="s">
        <v>12626</v>
      </c>
      <c r="J6860" s="9" t="s">
        <v>12627</v>
      </c>
      <c r="K6860" s="7" t="s">
        <v>15171</v>
      </c>
      <c r="L6860" s="13">
        <v>4353</v>
      </c>
      <c r="M6860" t="str">
        <f>VLOOKUP(L6860,[1]HBA!$B$2:$C$4000,2,FALSE)</f>
        <v>BMApc</v>
      </c>
    </row>
    <row r="6861" spans="2:13" x14ac:dyDescent="0.25">
      <c r="B6861" s="31" t="s">
        <v>26303</v>
      </c>
      <c r="C6861" s="25" t="s">
        <v>25765</v>
      </c>
      <c r="D6861" s="25" t="s">
        <v>26232</v>
      </c>
      <c r="E6861" s="25"/>
      <c r="F6861" s="9" t="str">
        <f t="shared" si="100"/>
        <v>structure with developmental contribution from neural crest</v>
      </c>
      <c r="G6861" s="9" t="s">
        <v>5090</v>
      </c>
      <c r="H6861" s="9" t="s">
        <v>24858</v>
      </c>
      <c r="I6861" s="9" t="s">
        <v>12628</v>
      </c>
      <c r="J6861" s="9" t="s">
        <v>12629</v>
      </c>
      <c r="K6861" s="7" t="s">
        <v>15171</v>
      </c>
      <c r="L6861" s="13">
        <v>4354</v>
      </c>
      <c r="M6861" t="str">
        <f>VLOOKUP(L6861,[1]HBA!$B$2:$C$4000,2,FALSE)</f>
        <v>BMAvm</v>
      </c>
    </row>
    <row r="6862" spans="2:13" x14ac:dyDescent="0.25">
      <c r="B6862" s="31" t="s">
        <v>26303</v>
      </c>
      <c r="C6862" s="25" t="s">
        <v>25765</v>
      </c>
      <c r="D6862" s="25" t="s">
        <v>26232</v>
      </c>
      <c r="E6862" s="25"/>
      <c r="F6862" s="9" t="str">
        <f t="shared" si="100"/>
        <v>structure with developmental contribution from neural crest</v>
      </c>
      <c r="G6862" s="9" t="s">
        <v>5090</v>
      </c>
      <c r="H6862" s="9" t="s">
        <v>15737</v>
      </c>
      <c r="I6862" s="9" t="s">
        <v>12630</v>
      </c>
      <c r="J6862" s="9" t="s">
        <v>12631</v>
      </c>
      <c r="K6862" s="7" t="s">
        <v>15171</v>
      </c>
      <c r="L6862" s="13">
        <v>4355</v>
      </c>
      <c r="M6862" t="str">
        <f>VLOOKUP(L6862,[1]HBA!$B$2:$C$4000,2,FALSE)</f>
        <v>BMA</v>
      </c>
    </row>
    <row r="6863" spans="2:13" x14ac:dyDescent="0.25">
      <c r="B6863" s="31" t="s">
        <v>26303</v>
      </c>
      <c r="C6863" s="25" t="s">
        <v>25765</v>
      </c>
      <c r="D6863" s="25" t="s">
        <v>26232</v>
      </c>
      <c r="E6863" s="25"/>
      <c r="F6863" s="9" t="str">
        <f t="shared" si="100"/>
        <v>structure with developmental contribution from neural crest</v>
      </c>
      <c r="G6863" s="9" t="s">
        <v>5090</v>
      </c>
      <c r="H6863" s="9" t="s">
        <v>24853</v>
      </c>
      <c r="I6863" s="9" t="s">
        <v>12632</v>
      </c>
      <c r="J6863" s="9" t="s">
        <v>12633</v>
      </c>
      <c r="K6863" s="7" t="s">
        <v>15171</v>
      </c>
      <c r="L6863" s="13">
        <v>4356</v>
      </c>
      <c r="M6863" t="str">
        <f>VLOOKUP(L6863,[1]HBA!$B$2:$C$4000,2,FALSE)</f>
        <v>BMAmc</v>
      </c>
    </row>
    <row r="6864" spans="2:13" x14ac:dyDescent="0.25">
      <c r="B6864" s="31" t="s">
        <v>26303</v>
      </c>
      <c r="C6864" s="25" t="s">
        <v>25765</v>
      </c>
      <c r="D6864" s="25" t="s">
        <v>26232</v>
      </c>
      <c r="E6864" s="25"/>
      <c r="F6864" s="9" t="str">
        <f t="shared" si="100"/>
        <v>structure with developmental contribution from neural crest</v>
      </c>
      <c r="G6864" s="9" t="s">
        <v>5090</v>
      </c>
      <c r="H6864" s="9" t="s">
        <v>24857</v>
      </c>
      <c r="I6864" s="9" t="s">
        <v>12634</v>
      </c>
      <c r="J6864" s="9" t="s">
        <v>12635</v>
      </c>
      <c r="K6864" s="7" t="s">
        <v>15171</v>
      </c>
      <c r="L6864" s="13">
        <v>4357</v>
      </c>
      <c r="M6864" t="str">
        <f>VLOOKUP(L6864,[1]HBA!$B$2:$C$4000,2,FALSE)</f>
        <v>BMApc</v>
      </c>
    </row>
    <row r="6865" spans="2:13" x14ac:dyDescent="0.25">
      <c r="B6865" s="31" t="s">
        <v>26303</v>
      </c>
      <c r="C6865" s="25" t="s">
        <v>25765</v>
      </c>
      <c r="D6865" s="25" t="s">
        <v>26232</v>
      </c>
      <c r="E6865" s="25"/>
      <c r="F6865" s="9" t="str">
        <f t="shared" si="100"/>
        <v>structure with developmental contribution from neural crest</v>
      </c>
      <c r="G6865" s="9" t="s">
        <v>5090</v>
      </c>
      <c r="H6865" s="9" t="s">
        <v>24858</v>
      </c>
      <c r="I6865" s="9" t="s">
        <v>12636</v>
      </c>
      <c r="J6865" s="9" t="s">
        <v>12637</v>
      </c>
      <c r="K6865" s="7" t="s">
        <v>15171</v>
      </c>
      <c r="L6865" s="13">
        <v>4358</v>
      </c>
      <c r="M6865" t="str">
        <f>VLOOKUP(L6865,[1]HBA!$B$2:$C$4000,2,FALSE)</f>
        <v>BMAvm</v>
      </c>
    </row>
    <row r="6866" spans="2:13" x14ac:dyDescent="0.25">
      <c r="B6866" s="31" t="s">
        <v>26303</v>
      </c>
      <c r="C6866" s="25" t="s">
        <v>920</v>
      </c>
      <c r="D6866" s="25" t="s">
        <v>26232</v>
      </c>
      <c r="E6866" s="25"/>
      <c r="F6866" s="9" t="str">
        <f t="shared" si="100"/>
        <v>structure with developmental contribution from neural crest</v>
      </c>
      <c r="G6866" s="9" t="s">
        <v>5090</v>
      </c>
      <c r="H6866" s="9" t="s">
        <v>24859</v>
      </c>
      <c r="I6866" s="9" t="s">
        <v>916</v>
      </c>
      <c r="J6866" s="9" t="s">
        <v>917</v>
      </c>
      <c r="K6866" s="7" t="s">
        <v>15171</v>
      </c>
      <c r="L6866" s="13">
        <v>4359</v>
      </c>
      <c r="M6866" t="str">
        <f>VLOOKUP(L6866,[1]HBA!$B$2:$C$4000,2,FALSE)</f>
        <v>CeA</v>
      </c>
    </row>
    <row r="6867" spans="2:13" x14ac:dyDescent="0.25">
      <c r="B6867" s="31" t="s">
        <v>26303</v>
      </c>
      <c r="C6867" s="25" t="s">
        <v>920</v>
      </c>
      <c r="D6867" s="25" t="s">
        <v>26232</v>
      </c>
      <c r="E6867" s="25"/>
      <c r="F6867" s="9" t="str">
        <f t="shared" si="100"/>
        <v>structure with developmental contribution from neural crest</v>
      </c>
      <c r="G6867" s="9" t="s">
        <v>5090</v>
      </c>
      <c r="H6867" s="9" t="s">
        <v>24859</v>
      </c>
      <c r="I6867" s="9" t="s">
        <v>12638</v>
      </c>
      <c r="J6867" s="9" t="s">
        <v>12639</v>
      </c>
      <c r="K6867" s="7" t="s">
        <v>15171</v>
      </c>
      <c r="L6867" s="13">
        <v>4360</v>
      </c>
      <c r="M6867" t="str">
        <f>VLOOKUP(L6867,[1]HBA!$B$2:$C$4000,2,FALSE)</f>
        <v>CeA</v>
      </c>
    </row>
    <row r="6868" spans="2:13" x14ac:dyDescent="0.25">
      <c r="B6868" s="31" t="s">
        <v>26303</v>
      </c>
      <c r="C6868" s="25" t="s">
        <v>920</v>
      </c>
      <c r="D6868" s="25" t="s">
        <v>26232</v>
      </c>
      <c r="E6868" s="25"/>
      <c r="F6868" s="9" t="str">
        <f t="shared" si="100"/>
        <v>structure with developmental contribution from neural crest</v>
      </c>
      <c r="G6868" s="9" t="s">
        <v>5090</v>
      </c>
      <c r="H6868" s="9" t="s">
        <v>24860</v>
      </c>
      <c r="I6868" s="9" t="s">
        <v>12640</v>
      </c>
      <c r="J6868" s="9" t="s">
        <v>12641</v>
      </c>
      <c r="K6868" s="7" t="s">
        <v>15171</v>
      </c>
      <c r="L6868" s="13">
        <v>4361</v>
      </c>
      <c r="M6868" t="str">
        <f>VLOOKUP(L6868,[1]HBA!$B$2:$C$4000,2,FALSE)</f>
        <v>CeAm</v>
      </c>
    </row>
    <row r="6869" spans="2:13" x14ac:dyDescent="0.25">
      <c r="B6869" s="31" t="s">
        <v>26303</v>
      </c>
      <c r="C6869" s="25" t="s">
        <v>920</v>
      </c>
      <c r="D6869" s="25" t="s">
        <v>26232</v>
      </c>
      <c r="E6869" s="25"/>
      <c r="F6869" s="9" t="str">
        <f t="shared" si="100"/>
        <v>structure with developmental contribution from neural crest</v>
      </c>
      <c r="G6869" s="9" t="s">
        <v>5090</v>
      </c>
      <c r="H6869" s="9" t="s">
        <v>24863</v>
      </c>
      <c r="I6869" s="9" t="s">
        <v>12642</v>
      </c>
      <c r="J6869" s="9" t="s">
        <v>12643</v>
      </c>
      <c r="K6869" s="7" t="s">
        <v>15171</v>
      </c>
      <c r="L6869" s="13">
        <v>4362</v>
      </c>
      <c r="M6869" t="str">
        <f>VLOOKUP(L6869,[1]HBA!$B$2:$C$4000,2,FALSE)</f>
        <v>CeAl</v>
      </c>
    </row>
    <row r="6870" spans="2:13" x14ac:dyDescent="0.25">
      <c r="B6870" s="31" t="s">
        <v>26303</v>
      </c>
      <c r="C6870" s="25" t="s">
        <v>920</v>
      </c>
      <c r="D6870" s="25" t="s">
        <v>26232</v>
      </c>
      <c r="E6870" s="25"/>
      <c r="F6870" s="9" t="str">
        <f t="shared" si="100"/>
        <v>structure with developmental contribution from neural crest</v>
      </c>
      <c r="G6870" s="9" t="s">
        <v>5090</v>
      </c>
      <c r="H6870" s="9" t="s">
        <v>24859</v>
      </c>
      <c r="I6870" s="9" t="s">
        <v>12644</v>
      </c>
      <c r="J6870" s="9" t="s">
        <v>12645</v>
      </c>
      <c r="K6870" s="7" t="s">
        <v>15171</v>
      </c>
      <c r="L6870" s="13">
        <v>4363</v>
      </c>
      <c r="M6870" t="str">
        <f>VLOOKUP(L6870,[1]HBA!$B$2:$C$4000,2,FALSE)</f>
        <v>CeA</v>
      </c>
    </row>
    <row r="6871" spans="2:13" x14ac:dyDescent="0.25">
      <c r="B6871" s="31" t="s">
        <v>26303</v>
      </c>
      <c r="C6871" s="25" t="s">
        <v>920</v>
      </c>
      <c r="D6871" s="25" t="s">
        <v>26232</v>
      </c>
      <c r="E6871" s="25"/>
      <c r="F6871" s="9" t="str">
        <f t="shared" si="100"/>
        <v>structure with developmental contribution from neural crest</v>
      </c>
      <c r="G6871" s="9" t="s">
        <v>5090</v>
      </c>
      <c r="H6871" s="9" t="s">
        <v>24860</v>
      </c>
      <c r="I6871" s="9" t="s">
        <v>12646</v>
      </c>
      <c r="J6871" s="9" t="s">
        <v>12647</v>
      </c>
      <c r="K6871" s="7" t="s">
        <v>15171</v>
      </c>
      <c r="L6871" s="13">
        <v>4364</v>
      </c>
      <c r="M6871" t="str">
        <f>VLOOKUP(L6871,[1]HBA!$B$2:$C$4000,2,FALSE)</f>
        <v>CeAm</v>
      </c>
    </row>
    <row r="6872" spans="2:13" x14ac:dyDescent="0.25">
      <c r="B6872" s="31" t="s">
        <v>26303</v>
      </c>
      <c r="C6872" s="25" t="s">
        <v>920</v>
      </c>
      <c r="D6872" s="25" t="s">
        <v>26232</v>
      </c>
      <c r="E6872" s="25"/>
      <c r="F6872" s="9" t="str">
        <f t="shared" si="100"/>
        <v>structure with developmental contribution from neural crest</v>
      </c>
      <c r="G6872" s="9" t="s">
        <v>5090</v>
      </c>
      <c r="H6872" s="9" t="s">
        <v>24863</v>
      </c>
      <c r="I6872" s="9" t="s">
        <v>12648</v>
      </c>
      <c r="J6872" s="9" t="s">
        <v>12649</v>
      </c>
      <c r="K6872" s="7" t="s">
        <v>15171</v>
      </c>
      <c r="L6872" s="13">
        <v>4365</v>
      </c>
      <c r="M6872" t="str">
        <f>VLOOKUP(L6872,[1]HBA!$B$2:$C$4000,2,FALSE)</f>
        <v>CeAl</v>
      </c>
    </row>
    <row r="6873" spans="2:13" x14ac:dyDescent="0.25">
      <c r="B6873" s="31" t="s">
        <v>26303</v>
      </c>
      <c r="C6873" s="25" t="s">
        <v>25890</v>
      </c>
      <c r="D6873" s="25" t="s">
        <v>26232</v>
      </c>
      <c r="E6873" s="25"/>
      <c r="F6873" s="9" t="str">
        <f t="shared" si="100"/>
        <v>structure with developmental contribution from neural crest</v>
      </c>
      <c r="G6873" s="9" t="s">
        <v>5090</v>
      </c>
      <c r="H6873" s="9" t="s">
        <v>24868</v>
      </c>
      <c r="I6873" s="9" t="s">
        <v>12650</v>
      </c>
      <c r="J6873" s="9" t="s">
        <v>12651</v>
      </c>
      <c r="K6873" s="7" t="s">
        <v>15171</v>
      </c>
      <c r="L6873" s="13">
        <v>4366</v>
      </c>
      <c r="M6873" t="str">
        <f>VLOOKUP(L6873,[1]HBA!$B$2:$C$4000,2,FALSE)</f>
        <v>COMA</v>
      </c>
    </row>
    <row r="6874" spans="2:13" x14ac:dyDescent="0.25">
      <c r="B6874" s="31" t="s">
        <v>26303</v>
      </c>
      <c r="C6874" s="25" t="s">
        <v>25890</v>
      </c>
      <c r="D6874" s="25" t="s">
        <v>26232</v>
      </c>
      <c r="E6874" s="25"/>
      <c r="F6874" s="9" t="str">
        <f t="shared" si="100"/>
        <v>structure with developmental contribution from neural crest</v>
      </c>
      <c r="G6874" s="9" t="s">
        <v>5090</v>
      </c>
      <c r="H6874" s="9" t="s">
        <v>24868</v>
      </c>
      <c r="I6874" s="9" t="s">
        <v>12652</v>
      </c>
      <c r="J6874" s="9" t="s">
        <v>12653</v>
      </c>
      <c r="K6874" s="7" t="s">
        <v>15171</v>
      </c>
      <c r="L6874" s="13">
        <v>4367</v>
      </c>
      <c r="M6874" t="str">
        <f>VLOOKUP(L6874,[1]HBA!$B$2:$C$4000,2,FALSE)</f>
        <v>COMA</v>
      </c>
    </row>
    <row r="6875" spans="2:13" x14ac:dyDescent="0.25">
      <c r="B6875" s="31" t="s">
        <v>26303</v>
      </c>
      <c r="C6875" s="25" t="s">
        <v>25783</v>
      </c>
      <c r="D6875" s="25" t="s">
        <v>26232</v>
      </c>
      <c r="E6875" s="25"/>
      <c r="F6875" s="9" t="str">
        <f t="shared" si="100"/>
        <v>structure with developmental contribution from neural crest</v>
      </c>
      <c r="G6875" s="9" t="s">
        <v>5090</v>
      </c>
      <c r="H6875" s="9" t="s">
        <v>19487</v>
      </c>
      <c r="I6875" s="9" t="s">
        <v>12654</v>
      </c>
      <c r="J6875" s="9" t="s">
        <v>12655</v>
      </c>
      <c r="K6875" s="7" t="s">
        <v>15171</v>
      </c>
      <c r="L6875" s="13">
        <v>4368</v>
      </c>
      <c r="M6875" t="str">
        <f>VLOOKUP(L6875,[1]HBA!$B$2:$C$4000,2,FALSE)</f>
        <v>COAa</v>
      </c>
    </row>
    <row r="6876" spans="2:13" x14ac:dyDescent="0.25">
      <c r="B6876" s="31" t="s">
        <v>26303</v>
      </c>
      <c r="C6876" s="20"/>
      <c r="D6876" s="25" t="s">
        <v>26232</v>
      </c>
      <c r="E6876" s="25" t="s">
        <v>26309</v>
      </c>
      <c r="F6876" s="9" t="str">
        <f t="shared" si="100"/>
        <v>structure with developmental contribution from neural crest</v>
      </c>
      <c r="G6876" s="9" t="s">
        <v>5090</v>
      </c>
      <c r="H6876" s="9" t="s">
        <v>19495</v>
      </c>
      <c r="I6876" s="9" t="s">
        <v>12656</v>
      </c>
      <c r="J6876" s="9" t="s">
        <v>12657</v>
      </c>
      <c r="K6876" s="7" t="s">
        <v>15171</v>
      </c>
      <c r="L6876" s="13">
        <v>4369</v>
      </c>
      <c r="M6876" t="str">
        <f>VLOOKUP(L6876,[1]HBA!$B$2:$C$4000,2,FALSE)</f>
        <v>COAp</v>
      </c>
    </row>
    <row r="6877" spans="2:13" x14ac:dyDescent="0.25">
      <c r="B6877" s="31" t="s">
        <v>26303</v>
      </c>
      <c r="C6877" s="25" t="s">
        <v>26018</v>
      </c>
      <c r="D6877" s="25" t="s">
        <v>26232</v>
      </c>
      <c r="E6877" s="25"/>
      <c r="F6877" s="9" t="str">
        <f t="shared" si="100"/>
        <v>structure with developmental contribution from neural crest</v>
      </c>
      <c r="G6877" s="9" t="s">
        <v>5090</v>
      </c>
      <c r="H6877" s="9" t="s">
        <v>19824</v>
      </c>
      <c r="I6877" s="9" t="s">
        <v>12658</v>
      </c>
      <c r="J6877" s="9" t="s">
        <v>12659</v>
      </c>
      <c r="K6877" s="7" t="s">
        <v>15171</v>
      </c>
      <c r="L6877" s="13">
        <v>4370</v>
      </c>
      <c r="M6877" t="str">
        <f>VLOOKUP(L6877,[1]HBA!$B$2:$C$4000,2,FALSE)</f>
        <v>MA</v>
      </c>
    </row>
    <row r="6878" spans="2:13" x14ac:dyDescent="0.25">
      <c r="B6878" s="31" t="s">
        <v>26303</v>
      </c>
      <c r="C6878" s="25" t="s">
        <v>25890</v>
      </c>
      <c r="D6878" s="25" t="s">
        <v>26232</v>
      </c>
      <c r="E6878" s="25"/>
      <c r="F6878" s="9" t="str">
        <f t="shared" si="100"/>
        <v>structure with developmental contribution from neural crest</v>
      </c>
      <c r="G6878" s="9" t="s">
        <v>5090</v>
      </c>
      <c r="H6878" s="9" t="s">
        <v>24868</v>
      </c>
      <c r="I6878" s="9" t="s">
        <v>12660</v>
      </c>
      <c r="J6878" s="9" t="s">
        <v>12661</v>
      </c>
      <c r="K6878" s="7" t="s">
        <v>15171</v>
      </c>
      <c r="L6878" s="13">
        <v>4371</v>
      </c>
      <c r="M6878" t="str">
        <f>VLOOKUP(L6878,[1]HBA!$B$2:$C$4000,2,FALSE)</f>
        <v>COMA</v>
      </c>
    </row>
    <row r="6879" spans="2:13" x14ac:dyDescent="0.25">
      <c r="B6879" s="31" t="s">
        <v>26303</v>
      </c>
      <c r="C6879" s="25" t="s">
        <v>25783</v>
      </c>
      <c r="D6879" s="25" t="s">
        <v>26232</v>
      </c>
      <c r="E6879" s="25"/>
      <c r="F6879" s="9" t="str">
        <f t="shared" si="100"/>
        <v>structure with developmental contribution from neural crest</v>
      </c>
      <c r="G6879" s="9" t="s">
        <v>5090</v>
      </c>
      <c r="H6879" s="9" t="s">
        <v>19487</v>
      </c>
      <c r="I6879" s="9" t="s">
        <v>12662</v>
      </c>
      <c r="J6879" s="9" t="s">
        <v>12663</v>
      </c>
      <c r="K6879" s="7" t="s">
        <v>15171</v>
      </c>
      <c r="L6879" s="13">
        <v>4372</v>
      </c>
      <c r="M6879" t="str">
        <f>VLOOKUP(L6879,[1]HBA!$B$2:$C$4000,2,FALSE)</f>
        <v>COAa</v>
      </c>
    </row>
    <row r="6880" spans="2:13" x14ac:dyDescent="0.25">
      <c r="B6880" s="31" t="s">
        <v>26303</v>
      </c>
      <c r="C6880" s="20"/>
      <c r="D6880" s="25" t="s">
        <v>26232</v>
      </c>
      <c r="E6880" s="25" t="s">
        <v>26309</v>
      </c>
      <c r="F6880" s="9" t="str">
        <f t="shared" si="100"/>
        <v>structure with developmental contribution from neural crest</v>
      </c>
      <c r="G6880" s="9" t="s">
        <v>5090</v>
      </c>
      <c r="H6880" s="9" t="s">
        <v>19495</v>
      </c>
      <c r="I6880" s="9" t="s">
        <v>12664</v>
      </c>
      <c r="J6880" s="9" t="s">
        <v>12665</v>
      </c>
      <c r="K6880" s="7" t="s">
        <v>15171</v>
      </c>
      <c r="L6880" s="13">
        <v>4373</v>
      </c>
      <c r="M6880" t="str">
        <f>VLOOKUP(L6880,[1]HBA!$B$2:$C$4000,2,FALSE)</f>
        <v>COAp</v>
      </c>
    </row>
    <row r="6881" spans="2:14" x14ac:dyDescent="0.25">
      <c r="B6881" s="31" t="s">
        <v>26303</v>
      </c>
      <c r="C6881" s="25" t="s">
        <v>26018</v>
      </c>
      <c r="D6881" s="25" t="s">
        <v>26232</v>
      </c>
      <c r="E6881" s="25"/>
      <c r="F6881" s="9" t="str">
        <f t="shared" si="100"/>
        <v>structure with developmental contribution from neural crest</v>
      </c>
      <c r="G6881" s="9" t="s">
        <v>5090</v>
      </c>
      <c r="H6881" s="9" t="s">
        <v>19824</v>
      </c>
      <c r="I6881" s="9" t="s">
        <v>12666</v>
      </c>
      <c r="J6881" s="9" t="s">
        <v>12667</v>
      </c>
      <c r="K6881" s="7" t="s">
        <v>15171</v>
      </c>
      <c r="L6881" s="13">
        <v>4374</v>
      </c>
      <c r="M6881" t="str">
        <f>VLOOKUP(L6881,[1]HBA!$B$2:$C$4000,2,FALSE)</f>
        <v>MA</v>
      </c>
    </row>
    <row r="6882" spans="2:14" x14ac:dyDescent="0.25">
      <c r="B6882" s="31" t="s">
        <v>26303</v>
      </c>
      <c r="C6882" s="25" t="s">
        <v>2448</v>
      </c>
      <c r="D6882" s="25" t="s">
        <v>26232</v>
      </c>
      <c r="E6882" s="25"/>
      <c r="F6882" s="9" t="str">
        <f t="shared" si="100"/>
        <v>structure with developmental contribution from neural crest</v>
      </c>
      <c r="G6882" s="9" t="s">
        <v>5090</v>
      </c>
      <c r="H6882" s="9" t="s">
        <v>15664</v>
      </c>
      <c r="I6882" s="9" t="s">
        <v>2450</v>
      </c>
      <c r="J6882" s="9" t="s">
        <v>2451</v>
      </c>
      <c r="K6882" s="7" t="s">
        <v>15171</v>
      </c>
      <c r="L6882" s="13">
        <v>4375</v>
      </c>
      <c r="M6882" t="str">
        <f>VLOOKUP(L6882,[1]HBA!$B$2:$C$4000,2,FALSE)</f>
        <v>IA</v>
      </c>
    </row>
    <row r="6883" spans="2:14" x14ac:dyDescent="0.25">
      <c r="B6883" s="31" t="s">
        <v>26303</v>
      </c>
      <c r="C6883" s="25" t="s">
        <v>2448</v>
      </c>
      <c r="D6883" s="25" t="s">
        <v>26232</v>
      </c>
      <c r="E6883" s="25"/>
      <c r="F6883" s="9" t="str">
        <f t="shared" si="100"/>
        <v>structure with developmental contribution from neural crest</v>
      </c>
      <c r="G6883" s="9" t="s">
        <v>5090</v>
      </c>
      <c r="H6883" s="9" t="s">
        <v>15664</v>
      </c>
      <c r="I6883" s="9" t="s">
        <v>12668</v>
      </c>
      <c r="J6883" s="9" t="s">
        <v>12669</v>
      </c>
      <c r="K6883" s="7" t="s">
        <v>15171</v>
      </c>
      <c r="L6883" s="13">
        <v>4376</v>
      </c>
      <c r="M6883" t="str">
        <f>VLOOKUP(L6883,[1]HBA!$B$2:$C$4000,2,FALSE)</f>
        <v>IA</v>
      </c>
    </row>
    <row r="6884" spans="2:14" x14ac:dyDescent="0.25">
      <c r="B6884" s="31" t="s">
        <v>26303</v>
      </c>
      <c r="C6884" s="25" t="s">
        <v>2448</v>
      </c>
      <c r="D6884" s="25" t="s">
        <v>26232</v>
      </c>
      <c r="E6884" s="25"/>
      <c r="F6884" s="9" t="str">
        <f t="shared" si="100"/>
        <v>structure with developmental contribution from neural crest</v>
      </c>
      <c r="G6884" s="9" t="s">
        <v>5090</v>
      </c>
      <c r="H6884" s="9" t="s">
        <v>15664</v>
      </c>
      <c r="I6884" s="9" t="s">
        <v>12670</v>
      </c>
      <c r="J6884" s="9" t="s">
        <v>12671</v>
      </c>
      <c r="K6884" s="7" t="s">
        <v>15171</v>
      </c>
      <c r="L6884" s="13">
        <v>4377</v>
      </c>
      <c r="M6884" t="str">
        <f>VLOOKUP(L6884,[1]HBA!$B$2:$C$4000,2,FALSE)</f>
        <v>IA</v>
      </c>
    </row>
    <row r="6885" spans="2:14" x14ac:dyDescent="0.25">
      <c r="B6885" s="31" t="s">
        <v>26303</v>
      </c>
      <c r="C6885" s="25" t="s">
        <v>2559</v>
      </c>
      <c r="D6885" s="25" t="s">
        <v>26232</v>
      </c>
      <c r="E6885" s="25"/>
      <c r="F6885" s="9" t="str">
        <f t="shared" si="100"/>
        <v>structure with developmental contribution from neural crest</v>
      </c>
      <c r="G6885" s="9" t="s">
        <v>5090</v>
      </c>
      <c r="H6885" s="9" t="s">
        <v>15318</v>
      </c>
      <c r="I6885" s="9" t="s">
        <v>2557</v>
      </c>
      <c r="J6885" s="9" t="s">
        <v>2561</v>
      </c>
      <c r="K6885" s="7" t="s">
        <v>15171</v>
      </c>
      <c r="L6885" s="13">
        <v>4378</v>
      </c>
      <c r="M6885" t="str">
        <f>VLOOKUP(L6885,[1]HBA!$B$2:$C$4000,2,FALSE)</f>
        <v>LA</v>
      </c>
    </row>
    <row r="6886" spans="2:14" x14ac:dyDescent="0.25">
      <c r="B6886" s="31" t="s">
        <v>26303</v>
      </c>
      <c r="C6886" s="25" t="s">
        <v>2559</v>
      </c>
      <c r="D6886" s="25" t="s">
        <v>26232</v>
      </c>
      <c r="E6886" s="25"/>
      <c r="F6886" s="9" t="str">
        <f t="shared" si="100"/>
        <v>structure with developmental contribution from neural crest</v>
      </c>
      <c r="G6886" s="9" t="s">
        <v>5090</v>
      </c>
      <c r="H6886" s="9" t="s">
        <v>15318</v>
      </c>
      <c r="I6886" s="9" t="s">
        <v>12672</v>
      </c>
      <c r="J6886" s="9" t="s">
        <v>12673</v>
      </c>
      <c r="K6886" s="7" t="s">
        <v>15171</v>
      </c>
      <c r="L6886" s="13">
        <v>4379</v>
      </c>
      <c r="M6886" t="str">
        <f>VLOOKUP(L6886,[1]HBA!$B$2:$C$4000,2,FALSE)</f>
        <v>LA</v>
      </c>
    </row>
    <row r="6887" spans="2:14" x14ac:dyDescent="0.25">
      <c r="B6887" s="31" t="s">
        <v>26303</v>
      </c>
      <c r="C6887" s="25" t="s">
        <v>2559</v>
      </c>
      <c r="D6887" s="25" t="s">
        <v>26232</v>
      </c>
      <c r="E6887" s="25"/>
      <c r="F6887" s="9" t="str">
        <f t="shared" si="100"/>
        <v>structure with developmental contribution from neural crest</v>
      </c>
      <c r="G6887" s="9" t="s">
        <v>5090</v>
      </c>
      <c r="H6887" s="9" t="s">
        <v>24881</v>
      </c>
      <c r="I6887" s="9" t="s">
        <v>12674</v>
      </c>
      <c r="J6887" s="9" t="s">
        <v>12675</v>
      </c>
      <c r="K6887" s="7" t="s">
        <v>15171</v>
      </c>
      <c r="L6887" s="13">
        <v>4380</v>
      </c>
      <c r="M6887" t="str">
        <f>VLOOKUP(L6887,[1]HBA!$B$2:$C$4000,2,FALSE)</f>
        <v>LAdm</v>
      </c>
    </row>
    <row r="6888" spans="2:14" x14ac:dyDescent="0.25">
      <c r="B6888" s="31" t="s">
        <v>26303</v>
      </c>
      <c r="C6888" s="25" t="s">
        <v>2559</v>
      </c>
      <c r="D6888" s="25" t="s">
        <v>26185</v>
      </c>
      <c r="E6888" s="25" t="s">
        <v>26300</v>
      </c>
      <c r="F6888" s="9" t="str">
        <f t="shared" si="100"/>
        <v>structure with developmental contribution from neural crest</v>
      </c>
      <c r="G6888" s="9" t="s">
        <v>5090</v>
      </c>
      <c r="H6888" s="9" t="s">
        <v>24886</v>
      </c>
      <c r="I6888" s="9" t="s">
        <v>12676</v>
      </c>
      <c r="J6888" s="9" t="s">
        <v>12677</v>
      </c>
      <c r="K6888" s="7" t="s">
        <v>15171</v>
      </c>
      <c r="L6888" s="13">
        <v>4381</v>
      </c>
      <c r="M6888" t="str">
        <f>VLOOKUP(L6888,[1]HBA!$B$2:$C$4000,2,FALSE)</f>
        <v>LAvl</v>
      </c>
    </row>
    <row r="6889" spans="2:14" x14ac:dyDescent="0.25">
      <c r="B6889" s="31" t="s">
        <v>26303</v>
      </c>
      <c r="C6889" s="25" t="s">
        <v>2559</v>
      </c>
      <c r="D6889" s="25" t="s">
        <v>26232</v>
      </c>
      <c r="E6889" s="25"/>
      <c r="F6889" s="9" t="str">
        <f t="shared" si="100"/>
        <v>structure with developmental contribution from neural crest</v>
      </c>
      <c r="G6889" s="9" t="s">
        <v>5090</v>
      </c>
      <c r="H6889" s="9" t="s">
        <v>15318</v>
      </c>
      <c r="I6889" s="9" t="s">
        <v>12678</v>
      </c>
      <c r="J6889" s="9" t="s">
        <v>12679</v>
      </c>
      <c r="K6889" s="7" t="s">
        <v>15171</v>
      </c>
      <c r="L6889" s="13">
        <v>4382</v>
      </c>
      <c r="M6889" t="str">
        <f>VLOOKUP(L6889,[1]HBA!$B$2:$C$4000,2,FALSE)</f>
        <v>LA</v>
      </c>
    </row>
    <row r="6890" spans="2:14" x14ac:dyDescent="0.25">
      <c r="B6890" s="31" t="s">
        <v>26303</v>
      </c>
      <c r="C6890" s="25" t="s">
        <v>2559</v>
      </c>
      <c r="D6890" s="25" t="s">
        <v>26232</v>
      </c>
      <c r="E6890" s="25"/>
      <c r="F6890" s="9" t="str">
        <f t="shared" si="100"/>
        <v>structure with developmental contribution from neural crest</v>
      </c>
      <c r="G6890" s="9" t="s">
        <v>5090</v>
      </c>
      <c r="H6890" s="9" t="s">
        <v>24881</v>
      </c>
      <c r="I6890" s="9" t="s">
        <v>12680</v>
      </c>
      <c r="J6890" s="9" t="s">
        <v>12681</v>
      </c>
      <c r="K6890" s="7" t="s">
        <v>15171</v>
      </c>
      <c r="L6890" s="13">
        <v>4383</v>
      </c>
      <c r="M6890" t="str">
        <f>VLOOKUP(L6890,[1]HBA!$B$2:$C$4000,2,FALSE)</f>
        <v>LAdm</v>
      </c>
    </row>
    <row r="6891" spans="2:14" x14ac:dyDescent="0.25">
      <c r="B6891" s="31" t="s">
        <v>26303</v>
      </c>
      <c r="C6891" s="25" t="s">
        <v>2559</v>
      </c>
      <c r="D6891" s="25" t="s">
        <v>26185</v>
      </c>
      <c r="E6891" s="25" t="s">
        <v>26300</v>
      </c>
      <c r="F6891" s="9" t="str">
        <f t="shared" si="100"/>
        <v>structure with developmental contribution from neural crest</v>
      </c>
      <c r="G6891" s="9" t="s">
        <v>5090</v>
      </c>
      <c r="H6891" s="9" t="s">
        <v>24886</v>
      </c>
      <c r="I6891" s="9" t="s">
        <v>12682</v>
      </c>
      <c r="J6891" s="9" t="s">
        <v>12683</v>
      </c>
      <c r="K6891" s="7" t="s">
        <v>15171</v>
      </c>
      <c r="L6891" s="13">
        <v>4384</v>
      </c>
      <c r="M6891" t="str">
        <f>VLOOKUP(L6891,[1]HBA!$B$2:$C$4000,2,FALSE)</f>
        <v>LAvl</v>
      </c>
    </row>
    <row r="6892" spans="2:14" x14ac:dyDescent="0.25">
      <c r="B6892" s="31" t="s">
        <v>26303</v>
      </c>
      <c r="C6892" s="25" t="s">
        <v>3283</v>
      </c>
      <c r="D6892" s="25" t="s">
        <v>26232</v>
      </c>
      <c r="E6892" s="25"/>
      <c r="F6892" s="9" t="str">
        <f t="shared" si="100"/>
        <v>structure with developmental contribution from neural crest</v>
      </c>
      <c r="G6892" s="9" t="s">
        <v>5090</v>
      </c>
      <c r="H6892" s="9" t="s">
        <v>19475</v>
      </c>
      <c r="I6892" s="9" t="s">
        <v>3285</v>
      </c>
      <c r="J6892" s="9" t="s">
        <v>3287</v>
      </c>
      <c r="K6892" s="7" t="s">
        <v>15171</v>
      </c>
      <c r="L6892" s="13">
        <v>4385</v>
      </c>
      <c r="M6892" t="str">
        <f>VLOOKUP(L6892,[1]HBA!$B$2:$C$4000,2,FALSE)</f>
        <v>NLOT</v>
      </c>
    </row>
    <row r="6893" spans="2:14" x14ac:dyDescent="0.25">
      <c r="B6893" s="31" t="s">
        <v>26303</v>
      </c>
      <c r="C6893" s="25" t="s">
        <v>3283</v>
      </c>
      <c r="D6893" s="25" t="s">
        <v>26232</v>
      </c>
      <c r="E6893" s="25"/>
      <c r="F6893" s="9" t="str">
        <f t="shared" si="100"/>
        <v>structure with developmental contribution from neural crest</v>
      </c>
      <c r="G6893" s="9" t="s">
        <v>5090</v>
      </c>
      <c r="H6893" s="9" t="s">
        <v>19475</v>
      </c>
      <c r="I6893" s="9" t="s">
        <v>12684</v>
      </c>
      <c r="J6893" s="9" t="s">
        <v>12685</v>
      </c>
      <c r="K6893" s="7" t="s">
        <v>15171</v>
      </c>
      <c r="L6893" s="13">
        <v>4386</v>
      </c>
      <c r="M6893" t="str">
        <f>VLOOKUP(L6893,[1]HBA!$B$2:$C$4000,2,FALSE)</f>
        <v>NLOT</v>
      </c>
    </row>
    <row r="6894" spans="2:14" x14ac:dyDescent="0.25">
      <c r="B6894" s="31" t="s">
        <v>26303</v>
      </c>
      <c r="C6894" s="25" t="s">
        <v>3283</v>
      </c>
      <c r="D6894" s="25" t="s">
        <v>26232</v>
      </c>
      <c r="E6894" s="25"/>
      <c r="F6894" s="9" t="str">
        <f t="shared" si="100"/>
        <v>structure with developmental contribution from neural crest</v>
      </c>
      <c r="G6894" s="9" t="s">
        <v>5090</v>
      </c>
      <c r="H6894" s="9" t="s">
        <v>19475</v>
      </c>
      <c r="I6894" s="9" t="s">
        <v>12686</v>
      </c>
      <c r="J6894" s="9" t="s">
        <v>12687</v>
      </c>
      <c r="K6894" s="7" t="s">
        <v>15171</v>
      </c>
      <c r="L6894" s="13">
        <v>4387</v>
      </c>
      <c r="M6894" t="str">
        <f>VLOOKUP(L6894,[1]HBA!$B$2:$C$4000,2,FALSE)</f>
        <v>NLOT</v>
      </c>
    </row>
    <row r="6895" spans="2:14" x14ac:dyDescent="0.25">
      <c r="B6895" s="31" t="s">
        <v>26303</v>
      </c>
      <c r="C6895" s="20"/>
      <c r="D6895" s="25" t="s">
        <v>26232</v>
      </c>
      <c r="E6895" s="25" t="s">
        <v>26309</v>
      </c>
      <c r="F6895" s="9" t="str">
        <f t="shared" si="100"/>
        <v>structure with developmental contribution from neural crest</v>
      </c>
      <c r="G6895" s="9" t="s">
        <v>5090</v>
      </c>
      <c r="H6895" s="9" t="s">
        <v>24889</v>
      </c>
      <c r="I6895" s="9" t="s">
        <v>5352</v>
      </c>
      <c r="J6895" s="9" t="s">
        <v>12688</v>
      </c>
      <c r="K6895" s="7" t="s">
        <v>15171</v>
      </c>
      <c r="L6895" s="13">
        <v>4388</v>
      </c>
      <c r="M6895" t="str">
        <f>VLOOKUP(L6895,[1]HBA!$B$2:$C$4000,2,FALSE)</f>
        <v>PLA</v>
      </c>
    </row>
    <row r="6896" spans="2:14" x14ac:dyDescent="0.25">
      <c r="B6896" s="31" t="s">
        <v>26303</v>
      </c>
      <c r="C6896" s="20"/>
      <c r="D6896" s="25" t="s">
        <v>26232</v>
      </c>
      <c r="E6896" s="25" t="s">
        <v>26300</v>
      </c>
      <c r="F6896" s="9" t="str">
        <f t="shared" si="100"/>
        <v>structure with developmental contribution from neural crest</v>
      </c>
      <c r="G6896" s="9" t="s">
        <v>5090</v>
      </c>
      <c r="H6896" s="9" t="s">
        <v>24889</v>
      </c>
      <c r="I6896" s="38" t="s">
        <v>12689</v>
      </c>
      <c r="J6896" s="9" t="s">
        <v>12690</v>
      </c>
      <c r="K6896" s="7" t="s">
        <v>15171</v>
      </c>
      <c r="L6896" s="13">
        <v>4389</v>
      </c>
      <c r="M6896" t="str">
        <f>VLOOKUP(L6896,[1]HBA!$B$2:$C$4000,2,FALSE)</f>
        <v>PLA</v>
      </c>
      <c r="N6896" t="s">
        <v>26316</v>
      </c>
    </row>
    <row r="6897" spans="2:14" x14ac:dyDescent="0.25">
      <c r="B6897" s="31" t="s">
        <v>26303</v>
      </c>
      <c r="C6897" s="20"/>
      <c r="D6897" s="25" t="s">
        <v>26232</v>
      </c>
      <c r="E6897" s="25" t="s">
        <v>26300</v>
      </c>
      <c r="F6897" s="9" t="str">
        <f t="shared" si="100"/>
        <v>structure with developmental contribution from neural crest</v>
      </c>
      <c r="G6897" s="9" t="s">
        <v>5090</v>
      </c>
      <c r="H6897" s="9" t="s">
        <v>24889</v>
      </c>
      <c r="I6897" s="38" t="s">
        <v>12691</v>
      </c>
      <c r="J6897" s="9" t="s">
        <v>12692</v>
      </c>
      <c r="K6897" s="7" t="s">
        <v>15171</v>
      </c>
      <c r="L6897" s="13">
        <v>4390</v>
      </c>
      <c r="M6897" t="str">
        <f>VLOOKUP(L6897,[1]HBA!$B$2:$C$4000,2,FALSE)</f>
        <v>PLA</v>
      </c>
      <c r="N6897" t="s">
        <v>26316</v>
      </c>
    </row>
    <row r="6898" spans="2:14" x14ac:dyDescent="0.25">
      <c r="B6898" s="31" t="s">
        <v>26303</v>
      </c>
      <c r="C6898" s="25" t="s">
        <v>26278</v>
      </c>
      <c r="D6898" s="25" t="s">
        <v>26232</v>
      </c>
      <c r="E6898" s="25"/>
      <c r="F6898" s="9" t="str">
        <f t="shared" si="100"/>
        <v>structure with developmental contribution from neural crest</v>
      </c>
      <c r="G6898" s="9" t="s">
        <v>5090</v>
      </c>
      <c r="H6898" s="9" t="s">
        <v>23659</v>
      </c>
      <c r="I6898" s="9" t="s">
        <v>12693</v>
      </c>
      <c r="J6898" s="9" t="s">
        <v>12694</v>
      </c>
      <c r="K6898" s="7" t="s">
        <v>15171</v>
      </c>
      <c r="L6898" s="13">
        <v>4509</v>
      </c>
      <c r="M6898" t="str">
        <f>VLOOKUP(L6898,[1]HBA!$B$2:$C$4000,2,FALSE)</f>
        <v>thf</v>
      </c>
    </row>
    <row r="6899" spans="2:14" x14ac:dyDescent="0.25">
      <c r="B6899" s="31" t="s">
        <v>26303</v>
      </c>
      <c r="C6899" s="25" t="s">
        <v>2771</v>
      </c>
      <c r="D6899" s="25" t="s">
        <v>26232</v>
      </c>
      <c r="E6899" s="25"/>
      <c r="F6899" s="9" t="str">
        <f t="shared" si="100"/>
        <v>structure with developmental contribution from neural crest</v>
      </c>
      <c r="G6899" s="9" t="s">
        <v>5090</v>
      </c>
      <c r="H6899" s="9" t="s">
        <v>25489</v>
      </c>
      <c r="I6899" s="9" t="s">
        <v>12695</v>
      </c>
      <c r="J6899" s="9" t="s">
        <v>12696</v>
      </c>
      <c r="K6899" s="7" t="s">
        <v>15171</v>
      </c>
      <c r="L6899" s="13">
        <v>4510</v>
      </c>
      <c r="M6899" t="str">
        <f>VLOOKUP(L6899,[1]HBA!$B$2:$C$4000,2,FALSE)</f>
        <v>lef</v>
      </c>
    </row>
    <row r="6900" spans="2:14" x14ac:dyDescent="0.25">
      <c r="B6900" s="31" t="s">
        <v>26303</v>
      </c>
      <c r="C6900" s="25" t="s">
        <v>26278</v>
      </c>
      <c r="D6900" s="25" t="s">
        <v>26232</v>
      </c>
      <c r="E6900" s="25"/>
      <c r="F6900" s="9" t="str">
        <f t="shared" si="100"/>
        <v>structure with developmental contribution from neural crest</v>
      </c>
      <c r="G6900" s="9" t="s">
        <v>5090</v>
      </c>
      <c r="H6900" s="9" t="s">
        <v>23659</v>
      </c>
      <c r="I6900" s="9" t="s">
        <v>12697</v>
      </c>
      <c r="J6900" s="9" t="s">
        <v>12698</v>
      </c>
      <c r="K6900" s="7" t="s">
        <v>15171</v>
      </c>
      <c r="L6900" s="13">
        <v>4515</v>
      </c>
      <c r="M6900" t="str">
        <f>VLOOKUP(L6900,[1]HBA!$B$2:$C$4000,2,FALSE)</f>
        <v>thf</v>
      </c>
    </row>
    <row r="6901" spans="2:14" x14ac:dyDescent="0.25">
      <c r="B6901" s="31" t="s">
        <v>26303</v>
      </c>
      <c r="C6901" s="25" t="s">
        <v>2771</v>
      </c>
      <c r="D6901" s="25" t="s">
        <v>26232</v>
      </c>
      <c r="E6901" s="25"/>
      <c r="F6901" s="9" t="str">
        <f t="shared" si="100"/>
        <v>structure with developmental contribution from neural crest</v>
      </c>
      <c r="G6901" s="9" t="s">
        <v>5090</v>
      </c>
      <c r="H6901" s="9" t="s">
        <v>25489</v>
      </c>
      <c r="I6901" s="9" t="s">
        <v>12699</v>
      </c>
      <c r="J6901" s="9" t="s">
        <v>12700</v>
      </c>
      <c r="K6901" s="7" t="s">
        <v>15171</v>
      </c>
      <c r="L6901" s="13">
        <v>4516</v>
      </c>
      <c r="M6901" t="str">
        <f>VLOOKUP(L6901,[1]HBA!$B$2:$C$4000,2,FALSE)</f>
        <v>lef</v>
      </c>
    </row>
    <row r="6902" spans="2:14" x14ac:dyDescent="0.25">
      <c r="B6902" s="31" t="s">
        <v>26303</v>
      </c>
      <c r="C6902" s="25" t="s">
        <v>1472</v>
      </c>
      <c r="D6902" s="25" t="s">
        <v>26232</v>
      </c>
      <c r="E6902" s="25"/>
      <c r="F6902" s="9" t="str">
        <f t="shared" si="100"/>
        <v>structure with developmental contribution from neural crest</v>
      </c>
      <c r="G6902" s="9" t="s">
        <v>5090</v>
      </c>
      <c r="H6902" s="9" t="s">
        <v>25428</v>
      </c>
      <c r="I6902" s="9" t="s">
        <v>12701</v>
      </c>
      <c r="J6902" s="9" t="s">
        <v>12702</v>
      </c>
      <c r="K6902" s="7" t="s">
        <v>15171</v>
      </c>
      <c r="L6902" s="13">
        <v>4782</v>
      </c>
      <c r="M6902" t="str">
        <f>VLOOKUP(L6902,[1]HBA!$B$2:$C$4000,2,FALSE)</f>
        <v>Dt</v>
      </c>
    </row>
    <row r="6903" spans="2:14" x14ac:dyDescent="0.25">
      <c r="B6903" s="31" t="s">
        <v>26303</v>
      </c>
      <c r="C6903" s="25" t="s">
        <v>1665</v>
      </c>
      <c r="D6903" s="25" t="s">
        <v>26232</v>
      </c>
      <c r="E6903" s="25"/>
      <c r="F6903" s="9" t="str">
        <f t="shared" ref="F6903:F6966" si="101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6903" s="9" t="s">
        <v>5090</v>
      </c>
      <c r="H6903" s="9" t="s">
        <v>25429</v>
      </c>
      <c r="I6903" s="9" t="s">
        <v>12703</v>
      </c>
      <c r="J6903" s="9" t="s">
        <v>12704</v>
      </c>
      <c r="K6903" s="7" t="s">
        <v>15171</v>
      </c>
      <c r="L6903" s="13">
        <v>4783</v>
      </c>
      <c r="M6903" t="str">
        <f>VLOOKUP(L6903,[1]HBA!$B$2:$C$4000,2,FALSE)</f>
        <v>Emb</v>
      </c>
    </row>
    <row r="6904" spans="2:14" x14ac:dyDescent="0.25">
      <c r="B6904" s="31" t="s">
        <v>26303</v>
      </c>
      <c r="C6904" s="25" t="s">
        <v>843</v>
      </c>
      <c r="D6904" s="25" t="s">
        <v>26232</v>
      </c>
      <c r="E6904" s="25"/>
      <c r="F6904" s="9" t="str">
        <f t="shared" si="101"/>
        <v>structure with developmental contribution from neural crest</v>
      </c>
      <c r="G6904" s="9" t="s">
        <v>5090</v>
      </c>
      <c r="H6904" s="9" t="s">
        <v>24250</v>
      </c>
      <c r="I6904" s="9" t="s">
        <v>12705</v>
      </c>
      <c r="J6904" s="9" t="s">
        <v>12706</v>
      </c>
      <c r="K6904" s="7" t="s">
        <v>15171</v>
      </c>
      <c r="L6904" s="13">
        <v>4784</v>
      </c>
      <c r="M6904" t="str">
        <f>VLOOKUP(L6904,[1]HBA!$B$2:$C$4000,2,FALSE)</f>
        <v>Fas</v>
      </c>
    </row>
    <row r="6905" spans="2:14" x14ac:dyDescent="0.25">
      <c r="B6905" s="31" t="s">
        <v>26303</v>
      </c>
      <c r="C6905" s="25" t="s">
        <v>25840</v>
      </c>
      <c r="D6905" s="25" t="s">
        <v>26232</v>
      </c>
      <c r="E6905" s="25"/>
      <c r="F6905" s="9" t="str">
        <f t="shared" si="101"/>
        <v>structure with developmental contribution from neural crest</v>
      </c>
      <c r="G6905" s="9" t="s">
        <v>5090</v>
      </c>
      <c r="H6905" s="9" t="s">
        <v>25430</v>
      </c>
      <c r="I6905" s="9" t="s">
        <v>12707</v>
      </c>
      <c r="J6905" s="9" t="s">
        <v>12708</v>
      </c>
      <c r="K6905" s="7" t="s">
        <v>15171</v>
      </c>
      <c r="L6905" s="13">
        <v>4785</v>
      </c>
      <c r="M6905" t="str">
        <f>VLOOKUP(L6905,[1]HBA!$B$2:$C$4000,2,FALSE)</f>
        <v>Glo</v>
      </c>
    </row>
    <row r="6906" spans="2:14" x14ac:dyDescent="0.25">
      <c r="B6906" s="31" t="s">
        <v>26303</v>
      </c>
      <c r="C6906" s="25" t="s">
        <v>1472</v>
      </c>
      <c r="D6906" s="25" t="s">
        <v>26232</v>
      </c>
      <c r="E6906" s="25"/>
      <c r="F6906" s="9" t="str">
        <f t="shared" si="101"/>
        <v>structure with developmental contribution from neural crest</v>
      </c>
      <c r="G6906" s="9" t="s">
        <v>5090</v>
      </c>
      <c r="H6906" s="9" t="s">
        <v>25428</v>
      </c>
      <c r="I6906" s="9" t="s">
        <v>12709</v>
      </c>
      <c r="J6906" s="9" t="s">
        <v>12710</v>
      </c>
      <c r="K6906" s="7" t="s">
        <v>15171</v>
      </c>
      <c r="L6906" s="13">
        <v>4787</v>
      </c>
      <c r="M6906" t="str">
        <f>VLOOKUP(L6906,[1]HBA!$B$2:$C$4000,2,FALSE)</f>
        <v>Dt</v>
      </c>
    </row>
    <row r="6907" spans="2:14" x14ac:dyDescent="0.25">
      <c r="B6907" s="31" t="s">
        <v>26303</v>
      </c>
      <c r="C6907" s="25" t="s">
        <v>1665</v>
      </c>
      <c r="D6907" s="25" t="s">
        <v>26232</v>
      </c>
      <c r="E6907" s="25"/>
      <c r="F6907" s="9" t="str">
        <f t="shared" si="101"/>
        <v>structure with developmental contribution from neural crest</v>
      </c>
      <c r="G6907" s="9" t="s">
        <v>5090</v>
      </c>
      <c r="H6907" s="9" t="s">
        <v>25429</v>
      </c>
      <c r="I6907" s="9" t="s">
        <v>12711</v>
      </c>
      <c r="J6907" s="9" t="s">
        <v>12712</v>
      </c>
      <c r="K6907" s="7" t="s">
        <v>15171</v>
      </c>
      <c r="L6907" s="13">
        <v>4788</v>
      </c>
      <c r="M6907" t="str">
        <f>VLOOKUP(L6907,[1]HBA!$B$2:$C$4000,2,FALSE)</f>
        <v>Emb</v>
      </c>
    </row>
    <row r="6908" spans="2:14" x14ac:dyDescent="0.25">
      <c r="B6908" s="31" t="s">
        <v>26303</v>
      </c>
      <c r="C6908" s="25" t="s">
        <v>843</v>
      </c>
      <c r="D6908" s="25" t="s">
        <v>26232</v>
      </c>
      <c r="E6908" s="25"/>
      <c r="F6908" s="9" t="str">
        <f t="shared" si="101"/>
        <v>structure with developmental contribution from neural crest</v>
      </c>
      <c r="G6908" s="9" t="s">
        <v>5090</v>
      </c>
      <c r="H6908" s="9" t="s">
        <v>24250</v>
      </c>
      <c r="I6908" s="9" t="s">
        <v>12713</v>
      </c>
      <c r="J6908" s="9" t="s">
        <v>12714</v>
      </c>
      <c r="K6908" s="7" t="s">
        <v>15171</v>
      </c>
      <c r="L6908" s="13">
        <v>4789</v>
      </c>
      <c r="M6908" t="str">
        <f>VLOOKUP(L6908,[1]HBA!$B$2:$C$4000,2,FALSE)</f>
        <v>Fas</v>
      </c>
    </row>
    <row r="6909" spans="2:14" x14ac:dyDescent="0.25">
      <c r="B6909" s="31" t="s">
        <v>26303</v>
      </c>
      <c r="C6909" s="25" t="s">
        <v>25840</v>
      </c>
      <c r="D6909" s="25" t="s">
        <v>26232</v>
      </c>
      <c r="E6909" s="25"/>
      <c r="F6909" s="9" t="str">
        <f t="shared" si="101"/>
        <v>structure with developmental contribution from neural crest</v>
      </c>
      <c r="G6909" s="9" t="s">
        <v>5090</v>
      </c>
      <c r="H6909" s="9" t="s">
        <v>25430</v>
      </c>
      <c r="I6909" s="9" t="s">
        <v>12715</v>
      </c>
      <c r="J6909" s="9" t="s">
        <v>12716</v>
      </c>
      <c r="K6909" s="7" t="s">
        <v>15171</v>
      </c>
      <c r="L6909" s="13">
        <v>4790</v>
      </c>
      <c r="M6909" t="str">
        <f>VLOOKUP(L6909,[1]HBA!$B$2:$C$4000,2,FALSE)</f>
        <v>Glo</v>
      </c>
    </row>
    <row r="6910" spans="2:14" x14ac:dyDescent="0.25">
      <c r="B6910" s="31" t="s">
        <v>26303</v>
      </c>
      <c r="C6910" s="25" t="s">
        <v>2027</v>
      </c>
      <c r="D6910" s="25" t="s">
        <v>26232</v>
      </c>
      <c r="E6910" s="25"/>
      <c r="F6910" s="9" t="str">
        <f t="shared" si="101"/>
        <v>structure with developmental contribution from neural crest</v>
      </c>
      <c r="G6910" s="9" t="s">
        <v>5090</v>
      </c>
      <c r="H6910" s="9" t="s">
        <v>23813</v>
      </c>
      <c r="I6910" s="9" t="s">
        <v>12717</v>
      </c>
      <c r="J6910" s="9" t="s">
        <v>12718</v>
      </c>
      <c r="K6910" s="7" t="s">
        <v>15171</v>
      </c>
      <c r="L6910" s="13">
        <v>4889</v>
      </c>
      <c r="M6910" t="str">
        <f>VLOOKUP(L6910,[1]HBA!$B$2:$C$4000,2,FALSE)</f>
        <v>FP</v>
      </c>
    </row>
    <row r="6911" spans="2:14" x14ac:dyDescent="0.25">
      <c r="B6911" s="31" t="s">
        <v>26303</v>
      </c>
      <c r="C6911" s="25" t="s">
        <v>2027</v>
      </c>
      <c r="D6911" s="25" t="s">
        <v>26232</v>
      </c>
      <c r="E6911" s="25"/>
      <c r="F6911" s="9" t="str">
        <f t="shared" si="101"/>
        <v>structure with developmental contribution from neural crest</v>
      </c>
      <c r="G6911" s="9" t="s">
        <v>5090</v>
      </c>
      <c r="H6911" s="9" t="s">
        <v>24760</v>
      </c>
      <c r="I6911" s="9" t="s">
        <v>12719</v>
      </c>
      <c r="J6911" s="9" t="s">
        <v>12720</v>
      </c>
      <c r="K6911" s="7" t="s">
        <v>15171</v>
      </c>
      <c r="L6911" s="13">
        <v>4890</v>
      </c>
      <c r="M6911" t="str">
        <f>VLOOKUP(L6911,[1]HBA!$B$2:$C$4000,2,FALSE)</f>
        <v>FP-s</v>
      </c>
    </row>
    <row r="6912" spans="2:14" x14ac:dyDescent="0.25">
      <c r="B6912" s="31" t="s">
        <v>26303</v>
      </c>
      <c r="C6912" s="25" t="s">
        <v>2027</v>
      </c>
      <c r="D6912" s="25" t="s">
        <v>26232</v>
      </c>
      <c r="E6912" s="25"/>
      <c r="F6912" s="9" t="str">
        <f t="shared" si="101"/>
        <v>structure with developmental contribution from neural crest</v>
      </c>
      <c r="G6912" s="9" t="s">
        <v>5090</v>
      </c>
      <c r="H6912" s="9" t="s">
        <v>24761</v>
      </c>
      <c r="I6912" s="9" t="s">
        <v>12721</v>
      </c>
      <c r="J6912" s="9" t="s">
        <v>12722</v>
      </c>
      <c r="K6912" s="7" t="s">
        <v>15171</v>
      </c>
      <c r="L6912" s="13">
        <v>4891</v>
      </c>
      <c r="M6912" t="str">
        <f>VLOOKUP(L6912,[1]HBA!$B$2:$C$4000,2,FALSE)</f>
        <v>FPi</v>
      </c>
    </row>
    <row r="6913" spans="2:13" x14ac:dyDescent="0.25">
      <c r="B6913" s="31" t="s">
        <v>26303</v>
      </c>
      <c r="C6913" s="25" t="s">
        <v>2027</v>
      </c>
      <c r="D6913" s="25" t="s">
        <v>26232</v>
      </c>
      <c r="E6913" s="25"/>
      <c r="F6913" s="9" t="str">
        <f t="shared" si="101"/>
        <v>structure with developmental contribution from neural crest</v>
      </c>
      <c r="G6913" s="9" t="s">
        <v>5090</v>
      </c>
      <c r="H6913" s="9" t="s">
        <v>24762</v>
      </c>
      <c r="I6913" s="9" t="s">
        <v>12723</v>
      </c>
      <c r="J6913" s="9" t="s">
        <v>12724</v>
      </c>
      <c r="K6913" s="7" t="s">
        <v>15171</v>
      </c>
      <c r="L6913" s="13">
        <v>4892</v>
      </c>
      <c r="M6913" t="str">
        <f>VLOOKUP(L6913,[1]HBA!$B$2:$C$4000,2,FALSE)</f>
        <v>FPm</v>
      </c>
    </row>
    <row r="6914" spans="2:13" x14ac:dyDescent="0.25">
      <c r="B6914" s="31" t="s">
        <v>26303</v>
      </c>
      <c r="C6914" s="25" t="s">
        <v>2027</v>
      </c>
      <c r="D6914" s="25" t="s">
        <v>26232</v>
      </c>
      <c r="E6914" s="25"/>
      <c r="F6914" s="9" t="str">
        <f t="shared" si="101"/>
        <v>structure with developmental contribution from neural crest</v>
      </c>
      <c r="G6914" s="9" t="s">
        <v>5090</v>
      </c>
      <c r="H6914" s="9" t="s">
        <v>23813</v>
      </c>
      <c r="I6914" s="9" t="s">
        <v>12725</v>
      </c>
      <c r="J6914" s="9" t="s">
        <v>12726</v>
      </c>
      <c r="K6914" s="7" t="s">
        <v>15171</v>
      </c>
      <c r="L6914" s="13">
        <v>4893</v>
      </c>
      <c r="M6914" t="str">
        <f>VLOOKUP(L6914,[1]HBA!$B$2:$C$4000,2,FALSE)</f>
        <v>FP</v>
      </c>
    </row>
    <row r="6915" spans="2:13" x14ac:dyDescent="0.25">
      <c r="B6915" s="31" t="s">
        <v>26303</v>
      </c>
      <c r="C6915" s="25" t="s">
        <v>2027</v>
      </c>
      <c r="D6915" s="25" t="s">
        <v>26232</v>
      </c>
      <c r="E6915" s="25"/>
      <c r="F6915" s="9" t="str">
        <f t="shared" si="101"/>
        <v>structure with developmental contribution from neural crest</v>
      </c>
      <c r="G6915" s="9" t="s">
        <v>5090</v>
      </c>
      <c r="H6915" s="9" t="s">
        <v>24760</v>
      </c>
      <c r="I6915" s="9" t="s">
        <v>12727</v>
      </c>
      <c r="J6915" s="9" t="s">
        <v>12728</v>
      </c>
      <c r="K6915" s="7" t="s">
        <v>15171</v>
      </c>
      <c r="L6915" s="13">
        <v>4894</v>
      </c>
      <c r="M6915" t="str">
        <f>VLOOKUP(L6915,[1]HBA!$B$2:$C$4000,2,FALSE)</f>
        <v>FP-s</v>
      </c>
    </row>
    <row r="6916" spans="2:13" x14ac:dyDescent="0.25">
      <c r="B6916" s="31" t="s">
        <v>26303</v>
      </c>
      <c r="C6916" s="25" t="s">
        <v>2027</v>
      </c>
      <c r="D6916" s="25" t="s">
        <v>26232</v>
      </c>
      <c r="E6916" s="25"/>
      <c r="F6916" s="9" t="str">
        <f t="shared" si="101"/>
        <v>structure with developmental contribution from neural crest</v>
      </c>
      <c r="G6916" s="9" t="s">
        <v>5090</v>
      </c>
      <c r="H6916" s="9" t="s">
        <v>24761</v>
      </c>
      <c r="I6916" s="9" t="s">
        <v>12729</v>
      </c>
      <c r="J6916" s="9" t="s">
        <v>12730</v>
      </c>
      <c r="K6916" s="7" t="s">
        <v>15171</v>
      </c>
      <c r="L6916" s="13">
        <v>4895</v>
      </c>
      <c r="M6916" t="str">
        <f>VLOOKUP(L6916,[1]HBA!$B$2:$C$4000,2,FALSE)</f>
        <v>FPi</v>
      </c>
    </row>
    <row r="6917" spans="2:13" x14ac:dyDescent="0.25">
      <c r="B6917" s="31" t="s">
        <v>26303</v>
      </c>
      <c r="C6917" s="25" t="s">
        <v>2027</v>
      </c>
      <c r="D6917" s="25" t="s">
        <v>26232</v>
      </c>
      <c r="E6917" s="25"/>
      <c r="F6917" s="9" t="str">
        <f t="shared" si="101"/>
        <v>structure with developmental contribution from neural crest</v>
      </c>
      <c r="G6917" s="9" t="s">
        <v>5090</v>
      </c>
      <c r="H6917" s="9" t="s">
        <v>24762</v>
      </c>
      <c r="I6917" s="9" t="s">
        <v>12731</v>
      </c>
      <c r="J6917" s="9" t="s">
        <v>12732</v>
      </c>
      <c r="K6917" s="7" t="s">
        <v>15171</v>
      </c>
      <c r="L6917" s="13">
        <v>4896</v>
      </c>
      <c r="M6917" t="str">
        <f>VLOOKUP(L6917,[1]HBA!$B$2:$C$4000,2,FALSE)</f>
        <v>FPm</v>
      </c>
    </row>
    <row r="6918" spans="2:13" x14ac:dyDescent="0.25">
      <c r="B6918" s="31" t="s">
        <v>26303</v>
      </c>
      <c r="C6918" s="25" t="s">
        <v>14837</v>
      </c>
      <c r="D6918" s="25" t="s">
        <v>26232</v>
      </c>
      <c r="E6918" s="25"/>
      <c r="F6918" s="9" t="str">
        <f t="shared" si="101"/>
        <v>structure with developmental contribution from neural crest</v>
      </c>
      <c r="G6918" s="9" t="s">
        <v>5090</v>
      </c>
      <c r="H6918" s="9" t="s">
        <v>23809</v>
      </c>
      <c r="I6918" s="9" t="s">
        <v>12733</v>
      </c>
      <c r="J6918" s="9" t="s">
        <v>12734</v>
      </c>
      <c r="K6918" s="7" t="s">
        <v>15171</v>
      </c>
      <c r="L6918" s="13">
        <v>4898</v>
      </c>
      <c r="M6918" t="str">
        <f>VLOOKUP(L6918,[1]HBA!$B$2:$C$4000,2,FALSE)</f>
        <v>SRoG</v>
      </c>
    </row>
    <row r="6919" spans="2:13" x14ac:dyDescent="0.25">
      <c r="B6919" s="31" t="s">
        <v>26303</v>
      </c>
      <c r="C6919" s="25" t="s">
        <v>14837</v>
      </c>
      <c r="D6919" s="25" t="s">
        <v>26232</v>
      </c>
      <c r="E6919" s="25"/>
      <c r="F6919" s="9" t="str">
        <f t="shared" si="101"/>
        <v>structure with developmental contribution from neural crest</v>
      </c>
      <c r="G6919" s="9" t="s">
        <v>5090</v>
      </c>
      <c r="H6919" s="9" t="s">
        <v>23809</v>
      </c>
      <c r="I6919" s="9" t="s">
        <v>12735</v>
      </c>
      <c r="J6919" s="9" t="s">
        <v>12736</v>
      </c>
      <c r="K6919" s="7" t="s">
        <v>15171</v>
      </c>
      <c r="L6919" s="13">
        <v>4899</v>
      </c>
      <c r="M6919" t="str">
        <f>VLOOKUP(L6919,[1]HBA!$B$2:$C$4000,2,FALSE)</f>
        <v>SRoG</v>
      </c>
    </row>
    <row r="6920" spans="2:13" x14ac:dyDescent="0.25">
      <c r="B6920" s="31" t="s">
        <v>26303</v>
      </c>
      <c r="C6920" s="25" t="s">
        <v>2403</v>
      </c>
      <c r="D6920" s="25" t="s">
        <v>26232</v>
      </c>
      <c r="E6920" s="25"/>
      <c r="F6920" s="9" t="str">
        <f t="shared" si="101"/>
        <v>structure with developmental contribution from neural crest</v>
      </c>
      <c r="G6920" s="9" t="s">
        <v>5090</v>
      </c>
      <c r="H6920" s="9" t="s">
        <v>23810</v>
      </c>
      <c r="I6920" s="9" t="s">
        <v>12737</v>
      </c>
      <c r="J6920" s="9" t="s">
        <v>12738</v>
      </c>
      <c r="K6920" s="7" t="s">
        <v>15171</v>
      </c>
      <c r="L6920" s="13">
        <v>4901</v>
      </c>
      <c r="M6920" t="str">
        <f>VLOOKUP(L6920,[1]HBA!$B$2:$C$4000,2,FALSE)</f>
        <v>IRoG</v>
      </c>
    </row>
    <row r="6921" spans="2:13" x14ac:dyDescent="0.25">
      <c r="B6921" s="31" t="s">
        <v>26303</v>
      </c>
      <c r="C6921" s="25" t="s">
        <v>2403</v>
      </c>
      <c r="D6921" s="25" t="s">
        <v>26232</v>
      </c>
      <c r="E6921" s="25"/>
      <c r="F6921" s="9" t="str">
        <f t="shared" si="101"/>
        <v>structure with developmental contribution from neural crest</v>
      </c>
      <c r="G6921" s="9" t="s">
        <v>5090</v>
      </c>
      <c r="H6921" s="9" t="s">
        <v>23810</v>
      </c>
      <c r="I6921" s="9" t="s">
        <v>12739</v>
      </c>
      <c r="J6921" s="9" t="s">
        <v>12740</v>
      </c>
      <c r="K6921" s="7" t="s">
        <v>15171</v>
      </c>
      <c r="L6921" s="13">
        <v>4902</v>
      </c>
      <c r="M6921" t="str">
        <f>VLOOKUP(L6921,[1]HBA!$B$2:$C$4000,2,FALSE)</f>
        <v>IRoG</v>
      </c>
    </row>
    <row r="6922" spans="2:13" x14ac:dyDescent="0.25">
      <c r="B6922" s="31" t="s">
        <v>26303</v>
      </c>
      <c r="C6922" s="25" t="s">
        <v>14932</v>
      </c>
      <c r="D6922" s="25" t="s">
        <v>26232</v>
      </c>
      <c r="E6922" s="25"/>
      <c r="F6922" s="9" t="str">
        <f t="shared" si="101"/>
        <v>structure with developmental contribution from neural crest</v>
      </c>
      <c r="G6922" s="9" t="s">
        <v>5090</v>
      </c>
      <c r="H6922" s="9" t="s">
        <v>24837</v>
      </c>
      <c r="I6922" s="9" t="s">
        <v>12741</v>
      </c>
      <c r="J6922" s="9" t="s">
        <v>12742</v>
      </c>
      <c r="K6922" s="7" t="s">
        <v>15171</v>
      </c>
      <c r="L6922" s="13">
        <v>4903</v>
      </c>
      <c r="M6922" t="str">
        <f>VLOOKUP(L6922,[1]HBA!$B$2:$C$4000,2,FALSE)</f>
        <v>TP-s</v>
      </c>
    </row>
    <row r="6923" spans="2:13" x14ac:dyDescent="0.25">
      <c r="B6923" s="31" t="s">
        <v>26303</v>
      </c>
      <c r="C6923" s="25" t="s">
        <v>14932</v>
      </c>
      <c r="D6923" s="25" t="s">
        <v>26232</v>
      </c>
      <c r="E6923" s="25"/>
      <c r="F6923" s="9" t="str">
        <f t="shared" si="101"/>
        <v>structure with developmental contribution from neural crest</v>
      </c>
      <c r="G6923" s="9" t="s">
        <v>5090</v>
      </c>
      <c r="H6923" s="9" t="s">
        <v>24838</v>
      </c>
      <c r="I6923" s="9" t="s">
        <v>12743</v>
      </c>
      <c r="J6923" s="9" t="s">
        <v>12744</v>
      </c>
      <c r="K6923" s="7" t="s">
        <v>15171</v>
      </c>
      <c r="L6923" s="13">
        <v>4904</v>
      </c>
      <c r="M6923" t="str">
        <f>VLOOKUP(L6923,[1]HBA!$B$2:$C$4000,2,FALSE)</f>
        <v>TP-i</v>
      </c>
    </row>
    <row r="6924" spans="2:13" x14ac:dyDescent="0.25">
      <c r="B6924" s="31" t="s">
        <v>26303</v>
      </c>
      <c r="C6924" s="25" t="s">
        <v>14932</v>
      </c>
      <c r="D6924" s="25" t="s">
        <v>26232</v>
      </c>
      <c r="E6924" s="25"/>
      <c r="F6924" s="9" t="str">
        <f t="shared" si="101"/>
        <v>structure with developmental contribution from neural crest</v>
      </c>
      <c r="G6924" s="9" t="s">
        <v>5090</v>
      </c>
      <c r="H6924" s="9" t="s">
        <v>24839</v>
      </c>
      <c r="I6924" s="9" t="s">
        <v>12745</v>
      </c>
      <c r="J6924" s="9" t="s">
        <v>12746</v>
      </c>
      <c r="K6924" s="7" t="s">
        <v>15171</v>
      </c>
      <c r="L6924" s="13">
        <v>4905</v>
      </c>
      <c r="M6924" t="str">
        <f>VLOOKUP(L6924,[1]HBA!$B$2:$C$4000,2,FALSE)</f>
        <v>TP-m</v>
      </c>
    </row>
    <row r="6925" spans="2:13" x14ac:dyDescent="0.25">
      <c r="B6925" s="31" t="s">
        <v>26303</v>
      </c>
      <c r="C6925" s="25" t="s">
        <v>14932</v>
      </c>
      <c r="D6925" s="25" t="s">
        <v>26232</v>
      </c>
      <c r="E6925" s="25"/>
      <c r="F6925" s="9" t="str">
        <f t="shared" si="101"/>
        <v>structure with developmental contribution from neural crest</v>
      </c>
      <c r="G6925" s="9" t="s">
        <v>5090</v>
      </c>
      <c r="H6925" s="9" t="s">
        <v>24837</v>
      </c>
      <c r="I6925" s="9" t="s">
        <v>12747</v>
      </c>
      <c r="J6925" s="9" t="s">
        <v>12748</v>
      </c>
      <c r="K6925" s="7" t="s">
        <v>15171</v>
      </c>
      <c r="L6925" s="13">
        <v>4906</v>
      </c>
      <c r="M6925" t="str">
        <f>VLOOKUP(L6925,[1]HBA!$B$2:$C$4000,2,FALSE)</f>
        <v>TP-s</v>
      </c>
    </row>
    <row r="6926" spans="2:13" x14ac:dyDescent="0.25">
      <c r="B6926" s="31" t="s">
        <v>26303</v>
      </c>
      <c r="C6926" s="25" t="s">
        <v>14932</v>
      </c>
      <c r="D6926" s="25" t="s">
        <v>26232</v>
      </c>
      <c r="E6926" s="25"/>
      <c r="F6926" s="9" t="str">
        <f t="shared" si="101"/>
        <v>structure with developmental contribution from neural crest</v>
      </c>
      <c r="G6926" s="9" t="s">
        <v>5090</v>
      </c>
      <c r="H6926" s="9" t="s">
        <v>24838</v>
      </c>
      <c r="I6926" s="9" t="s">
        <v>12749</v>
      </c>
      <c r="J6926" s="9" t="s">
        <v>12750</v>
      </c>
      <c r="K6926" s="7" t="s">
        <v>15171</v>
      </c>
      <c r="L6926" s="13">
        <v>4907</v>
      </c>
      <c r="M6926" t="str">
        <f>VLOOKUP(L6926,[1]HBA!$B$2:$C$4000,2,FALSE)</f>
        <v>TP-i</v>
      </c>
    </row>
    <row r="6927" spans="2:13" x14ac:dyDescent="0.25">
      <c r="B6927" s="31" t="s">
        <v>26303</v>
      </c>
      <c r="C6927" s="25" t="s">
        <v>14932</v>
      </c>
      <c r="D6927" s="25" t="s">
        <v>26232</v>
      </c>
      <c r="E6927" s="25"/>
      <c r="F6927" s="9" t="str">
        <f t="shared" si="101"/>
        <v>structure with developmental contribution from neural crest</v>
      </c>
      <c r="G6927" s="9" t="s">
        <v>5090</v>
      </c>
      <c r="H6927" s="9" t="s">
        <v>24839</v>
      </c>
      <c r="I6927" s="9" t="s">
        <v>12751</v>
      </c>
      <c r="J6927" s="9" t="s">
        <v>12752</v>
      </c>
      <c r="K6927" s="7" t="s">
        <v>15171</v>
      </c>
      <c r="L6927" s="13">
        <v>4908</v>
      </c>
      <c r="M6927" t="str">
        <f>VLOOKUP(L6927,[1]HBA!$B$2:$C$4000,2,FALSE)</f>
        <v>TP-m</v>
      </c>
    </row>
    <row r="6928" spans="2:13" x14ac:dyDescent="0.25">
      <c r="B6928" s="31" t="s">
        <v>26303</v>
      </c>
      <c r="C6928" s="25" t="s">
        <v>3387</v>
      </c>
      <c r="D6928" s="25" t="s">
        <v>26232</v>
      </c>
      <c r="E6928" s="25"/>
      <c r="F6928" s="9" t="str">
        <f t="shared" si="101"/>
        <v>structure with developmental contribution from neural crest</v>
      </c>
      <c r="G6928" s="9" t="s">
        <v>5090</v>
      </c>
      <c r="H6928" s="9" t="s">
        <v>24800</v>
      </c>
      <c r="I6928" s="9" t="s">
        <v>12753</v>
      </c>
      <c r="J6928" s="9" t="s">
        <v>12754</v>
      </c>
      <c r="K6928" s="7" t="s">
        <v>15171</v>
      </c>
      <c r="L6928" s="13">
        <v>4909</v>
      </c>
      <c r="M6928" t="str">
        <f>VLOOKUP(L6928,[1]HBA!$B$2:$C$4000,2,FALSE)</f>
        <v>OPs</v>
      </c>
    </row>
    <row r="6929" spans="2:13" x14ac:dyDescent="0.25">
      <c r="B6929" s="31" t="s">
        <v>26303</v>
      </c>
      <c r="C6929" s="25" t="s">
        <v>3387</v>
      </c>
      <c r="D6929" s="25" t="s">
        <v>26232</v>
      </c>
      <c r="E6929" s="25"/>
      <c r="F6929" s="9" t="str">
        <f t="shared" si="101"/>
        <v>structure with developmental contribution from neural crest</v>
      </c>
      <c r="G6929" s="9" t="s">
        <v>5090</v>
      </c>
      <c r="H6929" s="9" t="s">
        <v>24801</v>
      </c>
      <c r="I6929" s="9" t="s">
        <v>12755</v>
      </c>
      <c r="J6929" s="9" t="s">
        <v>12756</v>
      </c>
      <c r="K6929" s="7" t="s">
        <v>15171</v>
      </c>
      <c r="L6929" s="13">
        <v>4910</v>
      </c>
      <c r="M6929" t="str">
        <f>VLOOKUP(L6929,[1]HBA!$B$2:$C$4000,2,FALSE)</f>
        <v>OPi</v>
      </c>
    </row>
    <row r="6930" spans="2:13" x14ac:dyDescent="0.25">
      <c r="B6930" s="31" t="s">
        <v>26303</v>
      </c>
      <c r="C6930" s="25" t="s">
        <v>3387</v>
      </c>
      <c r="D6930" s="25" t="s">
        <v>26232</v>
      </c>
      <c r="E6930" s="25"/>
      <c r="F6930" s="9" t="str">
        <f t="shared" si="101"/>
        <v>structure with developmental contribution from neural crest</v>
      </c>
      <c r="G6930" s="9" t="s">
        <v>5090</v>
      </c>
      <c r="H6930" s="9" t="s">
        <v>24802</v>
      </c>
      <c r="I6930" s="9" t="s">
        <v>12757</v>
      </c>
      <c r="J6930" s="9" t="s">
        <v>12758</v>
      </c>
      <c r="K6930" s="7" t="s">
        <v>15171</v>
      </c>
      <c r="L6930" s="13">
        <v>4911</v>
      </c>
      <c r="M6930" t="str">
        <f>VLOOKUP(L6930,[1]HBA!$B$2:$C$4000,2,FALSE)</f>
        <v>OPl</v>
      </c>
    </row>
    <row r="6931" spans="2:13" x14ac:dyDescent="0.25">
      <c r="B6931" s="31" t="s">
        <v>26303</v>
      </c>
      <c r="C6931" s="25" t="s">
        <v>3387</v>
      </c>
      <c r="D6931" s="25" t="s">
        <v>26232</v>
      </c>
      <c r="E6931" s="25"/>
      <c r="F6931" s="9" t="str">
        <f t="shared" si="101"/>
        <v>structure with developmental contribution from neural crest</v>
      </c>
      <c r="G6931" s="9" t="s">
        <v>5090</v>
      </c>
      <c r="H6931" s="9" t="s">
        <v>24800</v>
      </c>
      <c r="I6931" s="9" t="s">
        <v>12759</v>
      </c>
      <c r="J6931" s="9" t="s">
        <v>12760</v>
      </c>
      <c r="K6931" s="7" t="s">
        <v>15171</v>
      </c>
      <c r="L6931" s="13">
        <v>4912</v>
      </c>
      <c r="M6931" t="str">
        <f>VLOOKUP(L6931,[1]HBA!$B$2:$C$4000,2,FALSE)</f>
        <v>OPs</v>
      </c>
    </row>
    <row r="6932" spans="2:13" x14ac:dyDescent="0.25">
      <c r="B6932" s="31" t="s">
        <v>26303</v>
      </c>
      <c r="C6932" s="25" t="s">
        <v>3387</v>
      </c>
      <c r="D6932" s="25" t="s">
        <v>26232</v>
      </c>
      <c r="E6932" s="25"/>
      <c r="F6932" s="9" t="str">
        <f t="shared" si="101"/>
        <v>structure with developmental contribution from neural crest</v>
      </c>
      <c r="G6932" s="9" t="s">
        <v>5090</v>
      </c>
      <c r="H6932" s="9" t="s">
        <v>24801</v>
      </c>
      <c r="I6932" s="9" t="s">
        <v>12761</v>
      </c>
      <c r="J6932" s="9" t="s">
        <v>12762</v>
      </c>
      <c r="K6932" s="7" t="s">
        <v>15171</v>
      </c>
      <c r="L6932" s="13">
        <v>4913</v>
      </c>
      <c r="M6932" t="str">
        <f>VLOOKUP(L6932,[1]HBA!$B$2:$C$4000,2,FALSE)</f>
        <v>OPi</v>
      </c>
    </row>
    <row r="6933" spans="2:13" x14ac:dyDescent="0.25">
      <c r="B6933" s="31" t="s">
        <v>26303</v>
      </c>
      <c r="C6933" s="25" t="s">
        <v>3387</v>
      </c>
      <c r="D6933" s="25" t="s">
        <v>26232</v>
      </c>
      <c r="E6933" s="25"/>
      <c r="F6933" s="9" t="str">
        <f t="shared" si="101"/>
        <v>structure with developmental contribution from neural crest</v>
      </c>
      <c r="G6933" s="9" t="s">
        <v>5090</v>
      </c>
      <c r="H6933" s="9" t="s">
        <v>24802</v>
      </c>
      <c r="I6933" s="9" t="s">
        <v>12763</v>
      </c>
      <c r="J6933" s="9" t="s">
        <v>12764</v>
      </c>
      <c r="K6933" s="7" t="s">
        <v>15171</v>
      </c>
      <c r="L6933" s="13">
        <v>4914</v>
      </c>
      <c r="M6933" t="str">
        <f>VLOOKUP(L6933,[1]HBA!$B$2:$C$4000,2,FALSE)</f>
        <v>OPl</v>
      </c>
    </row>
    <row r="6934" spans="2:13" x14ac:dyDescent="0.25">
      <c r="B6934" s="31" t="s">
        <v>26303</v>
      </c>
      <c r="C6934" s="25" t="s">
        <v>2266</v>
      </c>
      <c r="D6934" s="25" t="s">
        <v>26232</v>
      </c>
      <c r="E6934" s="25"/>
      <c r="F6934" s="9" t="str">
        <f t="shared" si="101"/>
        <v>structure with developmental contribution from neural crest</v>
      </c>
      <c r="G6934" s="9" t="s">
        <v>5090</v>
      </c>
      <c r="H6934" s="9" t="s">
        <v>17416</v>
      </c>
      <c r="I6934" s="9" t="s">
        <v>2269</v>
      </c>
      <c r="J6934" s="9" t="s">
        <v>2270</v>
      </c>
      <c r="K6934" s="7" t="s">
        <v>15171</v>
      </c>
      <c r="L6934" s="13">
        <v>9021</v>
      </c>
      <c r="M6934" t="str">
        <f>VLOOKUP(L6934,[1]HBA!$B$2:$C$4000,2,FALSE)</f>
        <v>PPTg</v>
      </c>
    </row>
    <row r="6935" spans="2:13" x14ac:dyDescent="0.25">
      <c r="B6935" s="31" t="s">
        <v>26303</v>
      </c>
      <c r="C6935" s="25" t="s">
        <v>2257</v>
      </c>
      <c r="D6935" s="25" t="s">
        <v>26232</v>
      </c>
      <c r="E6935" s="25"/>
      <c r="F6935" s="9" t="str">
        <f t="shared" si="101"/>
        <v>structure with developmental contribution from neural crest</v>
      </c>
      <c r="G6935" s="9" t="s">
        <v>5090</v>
      </c>
      <c r="H6935" s="9" t="s">
        <v>17462</v>
      </c>
      <c r="I6935" s="9" t="s">
        <v>2257</v>
      </c>
      <c r="J6935" s="9" t="s">
        <v>2271</v>
      </c>
      <c r="K6935" s="7" t="s">
        <v>15171</v>
      </c>
      <c r="L6935" s="13">
        <v>9069</v>
      </c>
      <c r="M6935" t="str">
        <f>VLOOKUP(L6935,[1]HBA!$B$2:$C$4000,2,FALSE)</f>
        <v>VTg</v>
      </c>
    </row>
    <row r="6936" spans="2:13" x14ac:dyDescent="0.25">
      <c r="B6936" s="31" t="s">
        <v>26303</v>
      </c>
      <c r="C6936" s="25" t="s">
        <v>2257</v>
      </c>
      <c r="D6936" s="25" t="s">
        <v>26232</v>
      </c>
      <c r="E6936" s="25"/>
      <c r="F6936" s="9" t="str">
        <f t="shared" si="101"/>
        <v>structure with developmental contribution from neural crest</v>
      </c>
      <c r="G6936" s="9" t="s">
        <v>5090</v>
      </c>
      <c r="H6936" s="9" t="s">
        <v>17462</v>
      </c>
      <c r="I6936" s="9" t="s">
        <v>12765</v>
      </c>
      <c r="J6936" s="9" t="s">
        <v>12766</v>
      </c>
      <c r="K6936" s="7" t="s">
        <v>15171</v>
      </c>
      <c r="L6936" s="13">
        <v>9070</v>
      </c>
      <c r="M6936" t="str">
        <f>VLOOKUP(L6936,[1]HBA!$B$2:$C$4000,2,FALSE)</f>
        <v>VTg</v>
      </c>
    </row>
    <row r="6937" spans="2:13" x14ac:dyDescent="0.25">
      <c r="B6937" s="31" t="s">
        <v>26303</v>
      </c>
      <c r="C6937" s="25" t="s">
        <v>2257</v>
      </c>
      <c r="D6937" s="25" t="s">
        <v>26232</v>
      </c>
      <c r="E6937" s="25"/>
      <c r="F6937" s="9" t="str">
        <f t="shared" si="101"/>
        <v>structure with developmental contribution from neural crest</v>
      </c>
      <c r="G6937" s="9" t="s">
        <v>5090</v>
      </c>
      <c r="H6937" s="9" t="s">
        <v>17462</v>
      </c>
      <c r="I6937" s="9" t="s">
        <v>12767</v>
      </c>
      <c r="J6937" s="9" t="s">
        <v>12768</v>
      </c>
      <c r="K6937" s="7" t="s">
        <v>15171</v>
      </c>
      <c r="L6937" s="13">
        <v>9071</v>
      </c>
      <c r="M6937" t="str">
        <f>VLOOKUP(L6937,[1]HBA!$B$2:$C$4000,2,FALSE)</f>
        <v>VTg</v>
      </c>
    </row>
    <row r="6938" spans="2:13" x14ac:dyDescent="0.25">
      <c r="B6938" s="31" t="s">
        <v>26303</v>
      </c>
      <c r="C6938" s="25" t="s">
        <v>26125</v>
      </c>
      <c r="D6938" s="25" t="s">
        <v>26232</v>
      </c>
      <c r="E6938" s="25"/>
      <c r="F6938" s="9" t="str">
        <f t="shared" si="101"/>
        <v>structure with developmental contribution from neural crest</v>
      </c>
      <c r="G6938" s="9" t="s">
        <v>5090</v>
      </c>
      <c r="H6938" s="9" t="s">
        <v>24254</v>
      </c>
      <c r="I6938" s="9" t="s">
        <v>3869</v>
      </c>
      <c r="J6938" s="9" t="s">
        <v>3870</v>
      </c>
      <c r="K6938" s="7" t="s">
        <v>15171</v>
      </c>
      <c r="L6938" s="13">
        <v>9133</v>
      </c>
      <c r="M6938" t="str">
        <f>VLOOKUP(L6938,[1]HBA!$B$2:$C$4000,2,FALSE)</f>
        <v>Pn</v>
      </c>
    </row>
    <row r="6939" spans="2:13" x14ac:dyDescent="0.25">
      <c r="B6939" s="31" t="s">
        <v>26303</v>
      </c>
      <c r="C6939" s="25" t="s">
        <v>160</v>
      </c>
      <c r="D6939" s="25" t="s">
        <v>26232</v>
      </c>
      <c r="E6939" s="25"/>
      <c r="F6939" s="9" t="str">
        <f t="shared" si="101"/>
        <v>structure with developmental contribution from neural crest</v>
      </c>
      <c r="G6939" s="9" t="s">
        <v>5090</v>
      </c>
      <c r="H6939" s="9">
        <v>6</v>
      </c>
      <c r="I6939" s="9" t="s">
        <v>160</v>
      </c>
      <c r="J6939" s="9" t="s">
        <v>164</v>
      </c>
      <c r="K6939" s="7" t="s">
        <v>15171</v>
      </c>
      <c r="L6939" s="13">
        <v>9136</v>
      </c>
      <c r="M6939">
        <f>VLOOKUP(L6939,[1]HBA!$B$2:$C$4000,2,FALSE)</f>
        <v>6</v>
      </c>
    </row>
    <row r="6940" spans="2:13" x14ac:dyDescent="0.25">
      <c r="B6940" s="31" t="s">
        <v>26303</v>
      </c>
      <c r="C6940" s="25" t="s">
        <v>160</v>
      </c>
      <c r="D6940" s="25" t="s">
        <v>26232</v>
      </c>
      <c r="E6940" s="25"/>
      <c r="F6940" s="9" t="str">
        <f t="shared" si="101"/>
        <v>structure with developmental contribution from neural crest</v>
      </c>
      <c r="G6940" s="9" t="s">
        <v>5090</v>
      </c>
      <c r="H6940" s="9">
        <v>6</v>
      </c>
      <c r="I6940" s="9" t="s">
        <v>12769</v>
      </c>
      <c r="J6940" s="9" t="s">
        <v>12770</v>
      </c>
      <c r="K6940" s="7" t="s">
        <v>15171</v>
      </c>
      <c r="L6940" s="13">
        <v>9137</v>
      </c>
      <c r="M6940">
        <f>VLOOKUP(L6940,[1]HBA!$B$2:$C$4000,2,FALSE)</f>
        <v>6</v>
      </c>
    </row>
    <row r="6941" spans="2:13" x14ac:dyDescent="0.25">
      <c r="B6941" s="31" t="s">
        <v>26303</v>
      </c>
      <c r="C6941" s="25" t="s">
        <v>160</v>
      </c>
      <c r="D6941" s="25" t="s">
        <v>26232</v>
      </c>
      <c r="E6941" s="25"/>
      <c r="F6941" s="9" t="str">
        <f t="shared" si="101"/>
        <v>structure with developmental contribution from neural crest</v>
      </c>
      <c r="G6941" s="9" t="s">
        <v>5090</v>
      </c>
      <c r="H6941" s="9">
        <v>6</v>
      </c>
      <c r="I6941" s="9" t="s">
        <v>12771</v>
      </c>
      <c r="J6941" s="9" t="s">
        <v>12772</v>
      </c>
      <c r="K6941" s="7" t="s">
        <v>15171</v>
      </c>
      <c r="L6941" s="13">
        <v>9138</v>
      </c>
      <c r="M6941">
        <f>VLOOKUP(L6941,[1]HBA!$B$2:$C$4000,2,FALSE)</f>
        <v>6</v>
      </c>
    </row>
    <row r="6942" spans="2:13" x14ac:dyDescent="0.25">
      <c r="B6942" s="31" t="s">
        <v>26303</v>
      </c>
      <c r="C6942" s="25" t="s">
        <v>1553</v>
      </c>
      <c r="D6942" s="25" t="s">
        <v>26232</v>
      </c>
      <c r="E6942" s="25"/>
      <c r="F6942" s="9" t="str">
        <f t="shared" si="101"/>
        <v>structure with developmental contribution from neural crest</v>
      </c>
      <c r="G6942" s="9" t="s">
        <v>5090</v>
      </c>
      <c r="H6942" s="9" t="s">
        <v>17291</v>
      </c>
      <c r="I6942" s="9" t="s">
        <v>12773</v>
      </c>
      <c r="J6942" s="9" t="s">
        <v>12774</v>
      </c>
      <c r="K6942" s="7" t="s">
        <v>15171</v>
      </c>
      <c r="L6942" s="13">
        <v>9140</v>
      </c>
      <c r="M6942" t="str">
        <f>VLOOKUP(L6942,[1]HBA!$B$2:$C$4000,2,FALSE)</f>
        <v>DLL</v>
      </c>
    </row>
    <row r="6943" spans="2:13" x14ac:dyDescent="0.25">
      <c r="B6943" s="31" t="s">
        <v>26303</v>
      </c>
      <c r="C6943" s="25" t="s">
        <v>1553</v>
      </c>
      <c r="D6943" s="25" t="s">
        <v>26232</v>
      </c>
      <c r="E6943" s="25"/>
      <c r="F6943" s="9" t="str">
        <f t="shared" si="101"/>
        <v>structure with developmental contribution from neural crest</v>
      </c>
      <c r="G6943" s="9" t="s">
        <v>5090</v>
      </c>
      <c r="H6943" s="9" t="s">
        <v>17291</v>
      </c>
      <c r="I6943" s="9" t="s">
        <v>12775</v>
      </c>
      <c r="J6943" s="9" t="s">
        <v>12776</v>
      </c>
      <c r="K6943" s="7" t="s">
        <v>15171</v>
      </c>
      <c r="L6943" s="13">
        <v>9141</v>
      </c>
      <c r="M6943" t="str">
        <f>VLOOKUP(L6943,[1]HBA!$B$2:$C$4000,2,FALSE)</f>
        <v>DLL</v>
      </c>
    </row>
    <row r="6944" spans="2:13" x14ac:dyDescent="0.25">
      <c r="B6944" s="31" t="s">
        <v>26303</v>
      </c>
      <c r="C6944" s="25" t="s">
        <v>1809</v>
      </c>
      <c r="D6944" s="25" t="s">
        <v>26232</v>
      </c>
      <c r="E6944" s="25"/>
      <c r="F6944" s="9" t="str">
        <f t="shared" si="101"/>
        <v>structure with developmental contribution from neural crest</v>
      </c>
      <c r="G6944" s="9" t="s">
        <v>5090</v>
      </c>
      <c r="H6944" s="9">
        <v>7</v>
      </c>
      <c r="I6944" s="9" t="s">
        <v>12777</v>
      </c>
      <c r="J6944" s="9" t="s">
        <v>12778</v>
      </c>
      <c r="K6944" s="7" t="s">
        <v>15171</v>
      </c>
      <c r="L6944" s="13">
        <v>9143</v>
      </c>
      <c r="M6944">
        <f>VLOOKUP(L6944,[1]HBA!$B$2:$C$4000,2,FALSE)</f>
        <v>7</v>
      </c>
    </row>
    <row r="6945" spans="2:13" x14ac:dyDescent="0.25">
      <c r="B6945" s="31" t="s">
        <v>26303</v>
      </c>
      <c r="C6945" s="25" t="s">
        <v>1809</v>
      </c>
      <c r="D6945" s="25" t="s">
        <v>26232</v>
      </c>
      <c r="E6945" s="25"/>
      <c r="F6945" s="9" t="str">
        <f t="shared" si="101"/>
        <v>structure with developmental contribution from neural crest</v>
      </c>
      <c r="G6945" s="9" t="s">
        <v>5090</v>
      </c>
      <c r="H6945" s="9">
        <v>7</v>
      </c>
      <c r="I6945" s="9" t="s">
        <v>12779</v>
      </c>
      <c r="J6945" s="9" t="s">
        <v>12780</v>
      </c>
      <c r="K6945" s="7" t="s">
        <v>15171</v>
      </c>
      <c r="L6945" s="13">
        <v>9144</v>
      </c>
      <c r="M6945">
        <f>VLOOKUP(L6945,[1]HBA!$B$2:$C$4000,2,FALSE)</f>
        <v>7</v>
      </c>
    </row>
    <row r="6946" spans="2:13" x14ac:dyDescent="0.25">
      <c r="B6946" s="31" t="s">
        <v>26303</v>
      </c>
      <c r="C6946" s="25" t="s">
        <v>2659</v>
      </c>
      <c r="D6946" s="25" t="s">
        <v>26232</v>
      </c>
      <c r="E6946" s="25"/>
      <c r="F6946" s="9" t="str">
        <f t="shared" si="101"/>
        <v>structure with developmental contribution from neural crest</v>
      </c>
      <c r="G6946" s="9" t="s">
        <v>5090</v>
      </c>
      <c r="H6946" s="9" t="s">
        <v>17283</v>
      </c>
      <c r="I6946" s="9" t="s">
        <v>12781</v>
      </c>
      <c r="J6946" s="9" t="s">
        <v>12782</v>
      </c>
      <c r="K6946" s="7" t="s">
        <v>15171</v>
      </c>
      <c r="L6946" s="13">
        <v>9146</v>
      </c>
      <c r="M6946" t="str">
        <f>VLOOKUP(L6946,[1]HBA!$B$2:$C$4000,2,FALSE)</f>
        <v>LPB</v>
      </c>
    </row>
    <row r="6947" spans="2:13" x14ac:dyDescent="0.25">
      <c r="B6947" s="31" t="s">
        <v>26303</v>
      </c>
      <c r="C6947" s="25" t="s">
        <v>2659</v>
      </c>
      <c r="D6947" s="25" t="s">
        <v>26232</v>
      </c>
      <c r="E6947" s="25"/>
      <c r="F6947" s="9" t="str">
        <f t="shared" si="101"/>
        <v>structure with developmental contribution from neural crest</v>
      </c>
      <c r="G6947" s="9" t="s">
        <v>5090</v>
      </c>
      <c r="H6947" s="9" t="s">
        <v>17283</v>
      </c>
      <c r="I6947" s="9" t="s">
        <v>12783</v>
      </c>
      <c r="J6947" s="9" t="s">
        <v>12784</v>
      </c>
      <c r="K6947" s="7" t="s">
        <v>15171</v>
      </c>
      <c r="L6947" s="13">
        <v>9147</v>
      </c>
      <c r="M6947" t="str">
        <f>VLOOKUP(L6947,[1]HBA!$B$2:$C$4000,2,FALSE)</f>
        <v>LPB</v>
      </c>
    </row>
    <row r="6948" spans="2:13" x14ac:dyDescent="0.25">
      <c r="B6948" s="31" t="s">
        <v>26303</v>
      </c>
      <c r="C6948" s="25" t="s">
        <v>2801</v>
      </c>
      <c r="D6948" s="25" t="s">
        <v>26232</v>
      </c>
      <c r="E6948" s="25"/>
      <c r="F6948" s="9" t="str">
        <f t="shared" si="101"/>
        <v>structure with developmental contribution from neural crest</v>
      </c>
      <c r="G6948" s="9" t="s">
        <v>5090</v>
      </c>
      <c r="H6948" s="9" t="s">
        <v>17425</v>
      </c>
      <c r="I6948" s="9" t="s">
        <v>2801</v>
      </c>
      <c r="J6948" s="9" t="s">
        <v>2802</v>
      </c>
      <c r="K6948" s="7" t="s">
        <v>15171</v>
      </c>
      <c r="L6948" s="13">
        <v>9148</v>
      </c>
      <c r="M6948" t="str">
        <f>VLOOKUP(L6948,[1]HBA!$B$2:$C$4000,2,FALSE)</f>
        <v>LC</v>
      </c>
    </row>
    <row r="6949" spans="2:13" x14ac:dyDescent="0.25">
      <c r="B6949" s="31" t="s">
        <v>26303</v>
      </c>
      <c r="C6949" s="25" t="s">
        <v>2801</v>
      </c>
      <c r="D6949" s="25" t="s">
        <v>26232</v>
      </c>
      <c r="E6949" s="25"/>
      <c r="F6949" s="9" t="str">
        <f t="shared" si="101"/>
        <v>structure with developmental contribution from neural crest</v>
      </c>
      <c r="G6949" s="9" t="s">
        <v>5090</v>
      </c>
      <c r="H6949" s="9" t="s">
        <v>17425</v>
      </c>
      <c r="I6949" s="9" t="s">
        <v>12785</v>
      </c>
      <c r="J6949" s="9" t="s">
        <v>12786</v>
      </c>
      <c r="K6949" s="7" t="s">
        <v>15171</v>
      </c>
      <c r="L6949" s="13">
        <v>9149</v>
      </c>
      <c r="M6949" t="str">
        <f>VLOOKUP(L6949,[1]HBA!$B$2:$C$4000,2,FALSE)</f>
        <v>LC</v>
      </c>
    </row>
    <row r="6950" spans="2:13" x14ac:dyDescent="0.25">
      <c r="B6950" s="31" t="s">
        <v>26303</v>
      </c>
      <c r="C6950" s="25" t="s">
        <v>2801</v>
      </c>
      <c r="D6950" s="25" t="s">
        <v>26232</v>
      </c>
      <c r="E6950" s="25"/>
      <c r="F6950" s="9" t="str">
        <f t="shared" si="101"/>
        <v>structure with developmental contribution from neural crest</v>
      </c>
      <c r="G6950" s="9" t="s">
        <v>5090</v>
      </c>
      <c r="H6950" s="9" t="s">
        <v>17425</v>
      </c>
      <c r="I6950" s="9" t="s">
        <v>12787</v>
      </c>
      <c r="J6950" s="9" t="s">
        <v>12788</v>
      </c>
      <c r="K6950" s="7" t="s">
        <v>15171</v>
      </c>
      <c r="L6950" s="13">
        <v>9150</v>
      </c>
      <c r="M6950" t="str">
        <f>VLOOKUP(L6950,[1]HBA!$B$2:$C$4000,2,FALSE)</f>
        <v>LC</v>
      </c>
    </row>
    <row r="6951" spans="2:13" x14ac:dyDescent="0.25">
      <c r="B6951" s="31" t="s">
        <v>26303</v>
      </c>
      <c r="C6951" s="25" t="s">
        <v>2973</v>
      </c>
      <c r="D6951" s="25" t="s">
        <v>26232</v>
      </c>
      <c r="E6951" s="25"/>
      <c r="F6951" s="9" t="str">
        <f t="shared" si="101"/>
        <v>structure with developmental contribution from neural crest</v>
      </c>
      <c r="G6951" s="9" t="s">
        <v>5090</v>
      </c>
      <c r="H6951" s="9" t="s">
        <v>17281</v>
      </c>
      <c r="I6951" s="9" t="s">
        <v>2973</v>
      </c>
      <c r="J6951" s="9" t="s">
        <v>12789</v>
      </c>
      <c r="K6951" s="7" t="s">
        <v>15171</v>
      </c>
      <c r="L6951" s="13">
        <v>9151</v>
      </c>
      <c r="M6951" t="str">
        <f>VLOOKUP(L6951,[1]HBA!$B$2:$C$4000,2,FALSE)</f>
        <v>MPB</v>
      </c>
    </row>
    <row r="6952" spans="2:13" x14ac:dyDescent="0.25">
      <c r="B6952" s="31" t="s">
        <v>26303</v>
      </c>
      <c r="C6952" s="25" t="s">
        <v>2973</v>
      </c>
      <c r="D6952" s="25" t="s">
        <v>26232</v>
      </c>
      <c r="E6952" s="25"/>
      <c r="F6952" s="9" t="str">
        <f t="shared" si="101"/>
        <v>structure with developmental contribution from neural crest</v>
      </c>
      <c r="G6952" s="9" t="s">
        <v>5090</v>
      </c>
      <c r="H6952" s="9" t="s">
        <v>17281</v>
      </c>
      <c r="I6952" s="9" t="s">
        <v>12790</v>
      </c>
      <c r="J6952" s="9" t="s">
        <v>12791</v>
      </c>
      <c r="K6952" s="7" t="s">
        <v>15171</v>
      </c>
      <c r="L6952" s="13">
        <v>9152</v>
      </c>
      <c r="M6952" t="str">
        <f>VLOOKUP(L6952,[1]HBA!$B$2:$C$4000,2,FALSE)</f>
        <v>MPB</v>
      </c>
    </row>
    <row r="6953" spans="2:13" x14ac:dyDescent="0.25">
      <c r="B6953" s="31" t="s">
        <v>26303</v>
      </c>
      <c r="C6953" s="25" t="s">
        <v>721</v>
      </c>
      <c r="D6953" s="25" t="s">
        <v>26232</v>
      </c>
      <c r="E6953" s="25"/>
      <c r="F6953" s="9" t="str">
        <f t="shared" si="101"/>
        <v>structure with developmental contribution from neural crest</v>
      </c>
      <c r="G6953" s="9" t="s">
        <v>5090</v>
      </c>
      <c r="H6953" s="9" t="s">
        <v>24339</v>
      </c>
      <c r="I6953" s="9" t="s">
        <v>721</v>
      </c>
      <c r="J6953" s="9" t="s">
        <v>722</v>
      </c>
      <c r="K6953" s="7" t="s">
        <v>15171</v>
      </c>
      <c r="L6953" s="13">
        <v>9154</v>
      </c>
      <c r="M6953" t="str">
        <f>VLOOKUP(L6953,[1]HBA!$B$2:$C$4000,2,FALSE)</f>
        <v>SubC</v>
      </c>
    </row>
    <row r="6954" spans="2:13" x14ac:dyDescent="0.25">
      <c r="B6954" s="31" t="s">
        <v>26303</v>
      </c>
      <c r="C6954" s="25" t="s">
        <v>721</v>
      </c>
      <c r="D6954" s="25" t="s">
        <v>26232</v>
      </c>
      <c r="E6954" s="25"/>
      <c r="F6954" s="9" t="str">
        <f t="shared" si="101"/>
        <v>structure with developmental contribution from neural crest</v>
      </c>
      <c r="G6954" s="9" t="s">
        <v>5090</v>
      </c>
      <c r="H6954" s="9" t="s">
        <v>24339</v>
      </c>
      <c r="I6954" s="9" t="s">
        <v>12792</v>
      </c>
      <c r="J6954" s="9" t="s">
        <v>12793</v>
      </c>
      <c r="K6954" s="7" t="s">
        <v>15171</v>
      </c>
      <c r="L6954" s="13">
        <v>9155</v>
      </c>
      <c r="M6954" t="str">
        <f>VLOOKUP(L6954,[1]HBA!$B$2:$C$4000,2,FALSE)</f>
        <v>SubC</v>
      </c>
    </row>
    <row r="6955" spans="2:13" x14ac:dyDescent="0.25">
      <c r="B6955" s="31" t="s">
        <v>26303</v>
      </c>
      <c r="C6955" s="25" t="s">
        <v>721</v>
      </c>
      <c r="D6955" s="25" t="s">
        <v>26232</v>
      </c>
      <c r="E6955" s="25"/>
      <c r="F6955" s="9" t="str">
        <f t="shared" si="101"/>
        <v>structure with developmental contribution from neural crest</v>
      </c>
      <c r="G6955" s="9" t="s">
        <v>5090</v>
      </c>
      <c r="H6955" s="9" t="s">
        <v>24339</v>
      </c>
      <c r="I6955" s="9" t="s">
        <v>12794</v>
      </c>
      <c r="J6955" s="9" t="s">
        <v>12795</v>
      </c>
      <c r="K6955" s="7" t="s">
        <v>15171</v>
      </c>
      <c r="L6955" s="13">
        <v>9156</v>
      </c>
      <c r="M6955" t="str">
        <f>VLOOKUP(L6955,[1]HBA!$B$2:$C$4000,2,FALSE)</f>
        <v>SubC</v>
      </c>
    </row>
    <row r="6956" spans="2:13" x14ac:dyDescent="0.25">
      <c r="B6956" s="31" t="s">
        <v>26303</v>
      </c>
      <c r="C6956" s="25" t="s">
        <v>12796</v>
      </c>
      <c r="D6956" s="25" t="s">
        <v>26232</v>
      </c>
      <c r="E6956" s="25"/>
      <c r="F6956" s="9" t="str">
        <f t="shared" si="101"/>
        <v>structure with developmental contribution from neural crest</v>
      </c>
      <c r="G6956" s="9" t="s">
        <v>5090</v>
      </c>
      <c r="H6956" s="9" t="s">
        <v>25437</v>
      </c>
      <c r="I6956" s="9" t="s">
        <v>12796</v>
      </c>
      <c r="J6956" s="9" t="s">
        <v>12797</v>
      </c>
      <c r="K6956" s="7" t="s">
        <v>15171</v>
      </c>
      <c r="L6956" s="13">
        <v>9157</v>
      </c>
      <c r="M6956" t="str">
        <f>VLOOKUP(L6956,[1]HBA!$B$2:$C$4000,2,FALSE)</f>
        <v>RPn</v>
      </c>
    </row>
    <row r="6957" spans="2:13" x14ac:dyDescent="0.25">
      <c r="B6957" s="31" t="s">
        <v>26303</v>
      </c>
      <c r="C6957" s="25" t="s">
        <v>12796</v>
      </c>
      <c r="D6957" s="25" t="s">
        <v>26232</v>
      </c>
      <c r="E6957" s="25"/>
      <c r="F6957" s="9" t="str">
        <f t="shared" si="101"/>
        <v>structure with developmental contribution from neural crest</v>
      </c>
      <c r="G6957" s="9" t="s">
        <v>5090</v>
      </c>
      <c r="H6957" s="9" t="s">
        <v>25437</v>
      </c>
      <c r="I6957" s="9" t="s">
        <v>12798</v>
      </c>
      <c r="J6957" s="9" t="s">
        <v>12799</v>
      </c>
      <c r="K6957" s="7" t="s">
        <v>15171</v>
      </c>
      <c r="L6957" s="13">
        <v>9158</v>
      </c>
      <c r="M6957" t="str">
        <f>VLOOKUP(L6957,[1]HBA!$B$2:$C$4000,2,FALSE)</f>
        <v>RPn</v>
      </c>
    </row>
    <row r="6958" spans="2:13" x14ac:dyDescent="0.25">
      <c r="B6958" s="31" t="s">
        <v>26303</v>
      </c>
      <c r="C6958" s="25" t="s">
        <v>12796</v>
      </c>
      <c r="D6958" s="25" t="s">
        <v>26232</v>
      </c>
      <c r="E6958" s="25"/>
      <c r="F6958" s="9" t="str">
        <f t="shared" si="101"/>
        <v>structure with developmental contribution from neural crest</v>
      </c>
      <c r="G6958" s="9" t="s">
        <v>5090</v>
      </c>
      <c r="H6958" s="9" t="s">
        <v>25437</v>
      </c>
      <c r="I6958" s="9" t="s">
        <v>3877</v>
      </c>
      <c r="J6958" s="9" t="s">
        <v>3878</v>
      </c>
      <c r="K6958" s="7" t="s">
        <v>15171</v>
      </c>
      <c r="L6958" s="13">
        <v>9159</v>
      </c>
      <c r="M6958" t="str">
        <f>VLOOKUP(L6958,[1]HBA!$B$2:$C$4000,2,FALSE)</f>
        <v>RPn</v>
      </c>
    </row>
    <row r="6959" spans="2:13" x14ac:dyDescent="0.25">
      <c r="B6959" s="31" t="s">
        <v>26303</v>
      </c>
      <c r="C6959" s="25" t="s">
        <v>3302</v>
      </c>
      <c r="D6959" s="25" t="s">
        <v>26232</v>
      </c>
      <c r="E6959" s="25"/>
      <c r="F6959" s="9" t="str">
        <f t="shared" si="101"/>
        <v>structure with developmental contribution from neural crest</v>
      </c>
      <c r="G6959" s="9" t="s">
        <v>5090</v>
      </c>
      <c r="H6959" s="9" t="s">
        <v>25438</v>
      </c>
      <c r="I6959" s="9" t="s">
        <v>12800</v>
      </c>
      <c r="J6959" s="9" t="s">
        <v>12801</v>
      </c>
      <c r="K6959" s="7" t="s">
        <v>15171</v>
      </c>
      <c r="L6959" s="13">
        <v>9160</v>
      </c>
      <c r="M6959" t="str">
        <f>VLOOKUP(L6959,[1]HBA!$B$2:$C$4000,2,FALSE)</f>
        <v>PPRF</v>
      </c>
    </row>
    <row r="6960" spans="2:13" x14ac:dyDescent="0.25">
      <c r="B6960" s="31" t="s">
        <v>26303</v>
      </c>
      <c r="C6960" s="25" t="s">
        <v>25825</v>
      </c>
      <c r="D6960" s="25" t="s">
        <v>26232</v>
      </c>
      <c r="E6960" s="25"/>
      <c r="F6960" s="9" t="str">
        <f t="shared" si="101"/>
        <v>structure with developmental contribution from neural crest</v>
      </c>
      <c r="G6960" s="9" t="s">
        <v>5090</v>
      </c>
      <c r="H6960" s="9" t="s">
        <v>24332</v>
      </c>
      <c r="I6960" s="9" t="s">
        <v>898</v>
      </c>
      <c r="J6960" s="9" t="s">
        <v>899</v>
      </c>
      <c r="K6960" s="7" t="s">
        <v>15171</v>
      </c>
      <c r="L6960" s="13">
        <v>9162</v>
      </c>
      <c r="M6960" t="str">
        <f>VLOOKUP(L6960,[1]HBA!$B$2:$C$4000,2,FALSE)</f>
        <v>PnC</v>
      </c>
    </row>
    <row r="6961" spans="2:13" x14ac:dyDescent="0.25">
      <c r="B6961" s="31" t="s">
        <v>26303</v>
      </c>
      <c r="C6961" s="25" t="s">
        <v>26077</v>
      </c>
      <c r="D6961" s="25" t="s">
        <v>26232</v>
      </c>
      <c r="E6961" s="25"/>
      <c r="F6961" s="9" t="str">
        <f t="shared" si="101"/>
        <v>structure with developmental contribution from neural crest</v>
      </c>
      <c r="G6961" s="9" t="s">
        <v>5090</v>
      </c>
      <c r="H6961" s="9" t="s">
        <v>24333</v>
      </c>
      <c r="I6961" s="9" t="s">
        <v>3518</v>
      </c>
      <c r="J6961" s="9" t="s">
        <v>3519</v>
      </c>
      <c r="K6961" s="7" t="s">
        <v>15171</v>
      </c>
      <c r="L6961" s="13">
        <v>9166</v>
      </c>
      <c r="M6961" t="str">
        <f>VLOOKUP(L6961,[1]HBA!$B$2:$C$4000,2,FALSE)</f>
        <v>PnO</v>
      </c>
    </row>
    <row r="6962" spans="2:13" x14ac:dyDescent="0.25">
      <c r="B6962" s="31" t="s">
        <v>26303</v>
      </c>
      <c r="C6962" s="25" t="s">
        <v>3298</v>
      </c>
      <c r="D6962" s="25" t="s">
        <v>26232</v>
      </c>
      <c r="E6962" s="25"/>
      <c r="F6962" s="9" t="str">
        <f t="shared" si="101"/>
        <v>structure with developmental contribution from neural crest</v>
      </c>
      <c r="G6962" s="9" t="s">
        <v>5090</v>
      </c>
      <c r="H6962" s="9" t="s">
        <v>24336</v>
      </c>
      <c r="I6962" s="9" t="s">
        <v>3305</v>
      </c>
      <c r="J6962" s="9" t="s">
        <v>3306</v>
      </c>
      <c r="K6962" s="7" t="s">
        <v>15171</v>
      </c>
      <c r="L6962" s="13">
        <v>9167</v>
      </c>
      <c r="M6962" t="str">
        <f>VLOOKUP(L6962,[1]HBA!$B$2:$C$4000,2,FALSE)</f>
        <v>RtTg</v>
      </c>
    </row>
    <row r="6963" spans="2:13" x14ac:dyDescent="0.25">
      <c r="B6963" s="31" t="s">
        <v>26303</v>
      </c>
      <c r="C6963" s="25" t="s">
        <v>26126</v>
      </c>
      <c r="D6963" s="25" t="s">
        <v>26232</v>
      </c>
      <c r="E6963" s="25"/>
      <c r="F6963" s="9" t="str">
        <f t="shared" si="101"/>
        <v>structure with developmental contribution from neural crest</v>
      </c>
      <c r="G6963" s="9" t="s">
        <v>5090</v>
      </c>
      <c r="H6963" s="9" t="s">
        <v>25439</v>
      </c>
      <c r="I6963" s="9" t="s">
        <v>12802</v>
      </c>
      <c r="J6963" s="9" t="s">
        <v>12803</v>
      </c>
      <c r="K6963" s="7" t="s">
        <v>15171</v>
      </c>
      <c r="L6963" s="13">
        <v>9169</v>
      </c>
      <c r="M6963" t="str">
        <f>VLOOKUP(L6963,[1]HBA!$B$2:$C$4000,2,FALSE)</f>
        <v>PRF</v>
      </c>
    </row>
    <row r="6964" spans="2:13" x14ac:dyDescent="0.25">
      <c r="B6964" s="31" t="s">
        <v>26303</v>
      </c>
      <c r="C6964" s="25" t="s">
        <v>25825</v>
      </c>
      <c r="D6964" s="25" t="s">
        <v>26232</v>
      </c>
      <c r="E6964" s="25"/>
      <c r="F6964" s="9" t="str">
        <f t="shared" si="101"/>
        <v>structure with developmental contribution from neural crest</v>
      </c>
      <c r="G6964" s="9" t="s">
        <v>5090</v>
      </c>
      <c r="H6964" s="9" t="s">
        <v>24332</v>
      </c>
      <c r="I6964" s="9" t="s">
        <v>12804</v>
      </c>
      <c r="J6964" s="9" t="s">
        <v>12805</v>
      </c>
      <c r="K6964" s="7" t="s">
        <v>15171</v>
      </c>
      <c r="L6964" s="13">
        <v>9170</v>
      </c>
      <c r="M6964" t="str">
        <f>VLOOKUP(L6964,[1]HBA!$B$2:$C$4000,2,FALSE)</f>
        <v>PnC</v>
      </c>
    </row>
    <row r="6965" spans="2:13" x14ac:dyDescent="0.25">
      <c r="B6965" s="31" t="s">
        <v>26303</v>
      </c>
      <c r="C6965" s="25" t="s">
        <v>26077</v>
      </c>
      <c r="D6965" s="25" t="s">
        <v>26232</v>
      </c>
      <c r="E6965" s="25"/>
      <c r="F6965" s="9" t="str">
        <f t="shared" si="101"/>
        <v>structure with developmental contribution from neural crest</v>
      </c>
      <c r="G6965" s="9" t="s">
        <v>5090</v>
      </c>
      <c r="H6965" s="9" t="s">
        <v>24333</v>
      </c>
      <c r="I6965" s="9" t="s">
        <v>12806</v>
      </c>
      <c r="J6965" s="9" t="s">
        <v>12807</v>
      </c>
      <c r="K6965" s="7" t="s">
        <v>15171</v>
      </c>
      <c r="L6965" s="13">
        <v>9174</v>
      </c>
      <c r="M6965" t="str">
        <f>VLOOKUP(L6965,[1]HBA!$B$2:$C$4000,2,FALSE)</f>
        <v>PnO</v>
      </c>
    </row>
    <row r="6966" spans="2:13" x14ac:dyDescent="0.25">
      <c r="B6966" s="31" t="s">
        <v>26303</v>
      </c>
      <c r="C6966" s="25" t="s">
        <v>3298</v>
      </c>
      <c r="D6966" s="25" t="s">
        <v>26232</v>
      </c>
      <c r="E6966" s="25"/>
      <c r="F6966" s="9" t="str">
        <f t="shared" si="101"/>
        <v>structure with developmental contribution from neural crest</v>
      </c>
      <c r="G6966" s="9" t="s">
        <v>5090</v>
      </c>
      <c r="H6966" s="9" t="s">
        <v>24336</v>
      </c>
      <c r="I6966" s="9" t="s">
        <v>12808</v>
      </c>
      <c r="J6966" s="9" t="s">
        <v>12809</v>
      </c>
      <c r="K6966" s="7" t="s">
        <v>15171</v>
      </c>
      <c r="L6966" s="13">
        <v>9175</v>
      </c>
      <c r="M6966" t="str">
        <f>VLOOKUP(L6966,[1]HBA!$B$2:$C$4000,2,FALSE)</f>
        <v>RtTg</v>
      </c>
    </row>
    <row r="6967" spans="2:13" x14ac:dyDescent="0.25">
      <c r="B6967" s="31" t="s">
        <v>26303</v>
      </c>
      <c r="C6967" s="25" t="s">
        <v>13809</v>
      </c>
      <c r="D6967" s="25" t="s">
        <v>26232</v>
      </c>
      <c r="E6967" s="25"/>
      <c r="F6967" s="9" t="str">
        <f t="shared" ref="F6967:F7030" si="102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6967" s="9" t="s">
        <v>5090</v>
      </c>
      <c r="H6967" s="9" t="s">
        <v>20331</v>
      </c>
      <c r="I6967" s="9" t="s">
        <v>12810</v>
      </c>
      <c r="J6967" s="9" t="s">
        <v>12811</v>
      </c>
      <c r="K6967" s="7" t="s">
        <v>15171</v>
      </c>
      <c r="L6967" s="13">
        <v>9178</v>
      </c>
      <c r="M6967" t="str">
        <f>VLOOKUP(L6967,[1]HBA!$B$2:$C$4000,2,FALSE)</f>
        <v>SOC</v>
      </c>
    </row>
    <row r="6968" spans="2:13" x14ac:dyDescent="0.25">
      <c r="B6968" s="31" t="s">
        <v>26303</v>
      </c>
      <c r="C6968" s="25" t="s">
        <v>26118</v>
      </c>
      <c r="D6968" s="25" t="s">
        <v>26232</v>
      </c>
      <c r="E6968" s="25"/>
      <c r="F6968" s="9" t="str">
        <f t="shared" si="102"/>
        <v>structure with developmental contribution from neural crest</v>
      </c>
      <c r="G6968" s="9" t="s">
        <v>5090</v>
      </c>
      <c r="H6968" s="9" t="s">
        <v>25440</v>
      </c>
      <c r="I6968" s="9" t="s">
        <v>3805</v>
      </c>
      <c r="J6968" s="9" t="s">
        <v>3806</v>
      </c>
      <c r="K6968" s="7" t="s">
        <v>15171</v>
      </c>
      <c r="L6968" s="13">
        <v>9179</v>
      </c>
      <c r="M6968" t="str">
        <f>VLOOKUP(L6968,[1]HBA!$B$2:$C$4000,2,FALSE)</f>
        <v>PeO</v>
      </c>
    </row>
    <row r="6969" spans="2:13" x14ac:dyDescent="0.25">
      <c r="B6969" s="31" t="s">
        <v>26303</v>
      </c>
      <c r="C6969" s="25" t="s">
        <v>4092</v>
      </c>
      <c r="D6969" s="25" t="s">
        <v>26232</v>
      </c>
      <c r="E6969" s="25"/>
      <c r="F6969" s="9" t="str">
        <f t="shared" si="102"/>
        <v>structure with developmental contribution from neural crest</v>
      </c>
      <c r="G6969" s="9" t="s">
        <v>5090</v>
      </c>
      <c r="H6969" s="9" t="s">
        <v>24316</v>
      </c>
      <c r="I6969" s="9" t="s">
        <v>4094</v>
      </c>
      <c r="J6969" s="9" t="s">
        <v>4095</v>
      </c>
      <c r="K6969" s="7" t="s">
        <v>15171</v>
      </c>
      <c r="L6969" s="13">
        <v>9180</v>
      </c>
      <c r="M6969" t="str">
        <f>VLOOKUP(L6969,[1]HBA!$B$2:$C$4000,2,FALSE)</f>
        <v>PrO</v>
      </c>
    </row>
    <row r="6970" spans="2:13" x14ac:dyDescent="0.25">
      <c r="B6970" s="31" t="s">
        <v>26303</v>
      </c>
      <c r="C6970" s="25" t="s">
        <v>26186</v>
      </c>
      <c r="D6970" s="25" t="s">
        <v>26232</v>
      </c>
      <c r="E6970" s="25"/>
      <c r="F6970" s="9" t="str">
        <f t="shared" si="102"/>
        <v>structure with developmental contribution from neural crest</v>
      </c>
      <c r="G6970" s="9" t="s">
        <v>5090</v>
      </c>
      <c r="H6970" s="9" t="s">
        <v>20546</v>
      </c>
      <c r="I6970" s="9" t="s">
        <v>4711</v>
      </c>
      <c r="J6970" s="9" t="s">
        <v>4712</v>
      </c>
      <c r="K6970" s="7" t="s">
        <v>15171</v>
      </c>
      <c r="L6970" s="13">
        <v>9181</v>
      </c>
      <c r="M6970" t="str">
        <f>VLOOKUP(L6970,[1]HBA!$B$2:$C$4000,2,FALSE)</f>
        <v>RO</v>
      </c>
    </row>
    <row r="6971" spans="2:13" x14ac:dyDescent="0.25">
      <c r="B6971" s="31" t="s">
        <v>26303</v>
      </c>
      <c r="C6971" s="25" t="s">
        <v>2732</v>
      </c>
      <c r="D6971" s="25" t="s">
        <v>26232</v>
      </c>
      <c r="E6971" s="25"/>
      <c r="F6971" s="9" t="str">
        <f t="shared" si="102"/>
        <v>structure with developmental contribution from neural crest</v>
      </c>
      <c r="G6971" s="9" t="s">
        <v>5090</v>
      </c>
      <c r="H6971" s="9" t="s">
        <v>17805</v>
      </c>
      <c r="I6971" s="9" t="s">
        <v>2736</v>
      </c>
      <c r="J6971" s="9" t="s">
        <v>2737</v>
      </c>
      <c r="K6971" s="7" t="s">
        <v>15171</v>
      </c>
      <c r="L6971" s="13">
        <v>9183</v>
      </c>
      <c r="M6971" t="str">
        <f>VLOOKUP(L6971,[1]HBA!$B$2:$C$4000,2,FALSE)</f>
        <v>LSO</v>
      </c>
    </row>
    <row r="6972" spans="2:13" x14ac:dyDescent="0.25">
      <c r="B6972" s="31" t="s">
        <v>26303</v>
      </c>
      <c r="C6972" s="25" t="s">
        <v>26031</v>
      </c>
      <c r="D6972" s="25" t="s">
        <v>26232</v>
      </c>
      <c r="E6972" s="25"/>
      <c r="F6972" s="9" t="str">
        <f t="shared" si="102"/>
        <v>structure with developmental contribution from neural crest</v>
      </c>
      <c r="G6972" s="9" t="s">
        <v>5090</v>
      </c>
      <c r="H6972" s="9" t="s">
        <v>17806</v>
      </c>
      <c r="I6972" s="9" t="s">
        <v>3037</v>
      </c>
      <c r="J6972" s="9" t="s">
        <v>3038</v>
      </c>
      <c r="K6972" s="7" t="s">
        <v>15171</v>
      </c>
      <c r="L6972" s="13">
        <v>9184</v>
      </c>
      <c r="M6972" t="str">
        <f>VLOOKUP(L6972,[1]HBA!$B$2:$C$4000,2,FALSE)</f>
        <v>MSO</v>
      </c>
    </row>
    <row r="6973" spans="2:13" x14ac:dyDescent="0.25">
      <c r="B6973" s="31" t="s">
        <v>26303</v>
      </c>
      <c r="C6973" s="25" t="s">
        <v>3323</v>
      </c>
      <c r="D6973" s="25" t="s">
        <v>26232</v>
      </c>
      <c r="E6973" s="25"/>
      <c r="F6973" s="9" t="str">
        <f t="shared" si="102"/>
        <v>structure with developmental contribution from neural crest</v>
      </c>
      <c r="G6973" s="9" t="s">
        <v>5090</v>
      </c>
      <c r="H6973" s="9" t="s">
        <v>25441</v>
      </c>
      <c r="I6973" s="9" t="s">
        <v>3325</v>
      </c>
      <c r="J6973" s="9" t="s">
        <v>3326</v>
      </c>
      <c r="K6973" s="7" t="s">
        <v>15171</v>
      </c>
      <c r="L6973" s="13">
        <v>9185</v>
      </c>
      <c r="M6973" t="str">
        <f>VLOOKUP(L6973,[1]HBA!$B$2:$C$4000,2,FALSE)</f>
        <v>Tz</v>
      </c>
    </row>
    <row r="6974" spans="2:13" x14ac:dyDescent="0.25">
      <c r="B6974" s="31" t="s">
        <v>26303</v>
      </c>
      <c r="C6974" s="25" t="s">
        <v>13809</v>
      </c>
      <c r="D6974" s="25" t="s">
        <v>26232</v>
      </c>
      <c r="E6974" s="25"/>
      <c r="F6974" s="9" t="str">
        <f t="shared" si="102"/>
        <v>structure with developmental contribution from neural crest</v>
      </c>
      <c r="G6974" s="9" t="s">
        <v>5090</v>
      </c>
      <c r="H6974" s="9" t="s">
        <v>20331</v>
      </c>
      <c r="I6974" s="9" t="s">
        <v>12812</v>
      </c>
      <c r="J6974" s="9" t="s">
        <v>12813</v>
      </c>
      <c r="K6974" s="7" t="s">
        <v>15171</v>
      </c>
      <c r="L6974" s="13">
        <v>9186</v>
      </c>
      <c r="M6974" t="str">
        <f>VLOOKUP(L6974,[1]HBA!$B$2:$C$4000,2,FALSE)</f>
        <v>SOC</v>
      </c>
    </row>
    <row r="6975" spans="2:13" x14ac:dyDescent="0.25">
      <c r="B6975" s="31" t="s">
        <v>26303</v>
      </c>
      <c r="C6975" s="25" t="s">
        <v>26118</v>
      </c>
      <c r="D6975" s="25" t="s">
        <v>26232</v>
      </c>
      <c r="E6975" s="25"/>
      <c r="F6975" s="9" t="str">
        <f t="shared" si="102"/>
        <v>structure with developmental contribution from neural crest</v>
      </c>
      <c r="G6975" s="9" t="s">
        <v>5090</v>
      </c>
      <c r="H6975" s="9" t="s">
        <v>25440</v>
      </c>
      <c r="I6975" s="9" t="s">
        <v>12814</v>
      </c>
      <c r="J6975" s="9" t="s">
        <v>12815</v>
      </c>
      <c r="K6975" s="7" t="s">
        <v>15171</v>
      </c>
      <c r="L6975" s="13">
        <v>9187</v>
      </c>
      <c r="M6975" t="str">
        <f>VLOOKUP(L6975,[1]HBA!$B$2:$C$4000,2,FALSE)</f>
        <v>PeO</v>
      </c>
    </row>
    <row r="6976" spans="2:13" x14ac:dyDescent="0.25">
      <c r="B6976" s="31" t="s">
        <v>26303</v>
      </c>
      <c r="C6976" s="25" t="s">
        <v>4092</v>
      </c>
      <c r="D6976" s="25" t="s">
        <v>26232</v>
      </c>
      <c r="E6976" s="25"/>
      <c r="F6976" s="9" t="str">
        <f t="shared" si="102"/>
        <v>structure with developmental contribution from neural crest</v>
      </c>
      <c r="G6976" s="9" t="s">
        <v>5090</v>
      </c>
      <c r="H6976" s="9" t="s">
        <v>24316</v>
      </c>
      <c r="I6976" s="9" t="s">
        <v>12816</v>
      </c>
      <c r="J6976" s="9" t="s">
        <v>12817</v>
      </c>
      <c r="K6976" s="7" t="s">
        <v>15171</v>
      </c>
      <c r="L6976" s="13">
        <v>9188</v>
      </c>
      <c r="M6976" t="str">
        <f>VLOOKUP(L6976,[1]HBA!$B$2:$C$4000,2,FALSE)</f>
        <v>PrO</v>
      </c>
    </row>
    <row r="6977" spans="2:13" x14ac:dyDescent="0.25">
      <c r="B6977" s="31" t="s">
        <v>26303</v>
      </c>
      <c r="C6977" s="25" t="s">
        <v>26186</v>
      </c>
      <c r="D6977" s="25" t="s">
        <v>26232</v>
      </c>
      <c r="E6977" s="25"/>
      <c r="F6977" s="9" t="str">
        <f t="shared" si="102"/>
        <v>structure with developmental contribution from neural crest</v>
      </c>
      <c r="G6977" s="9" t="s">
        <v>5090</v>
      </c>
      <c r="H6977" s="9" t="s">
        <v>20546</v>
      </c>
      <c r="I6977" s="9" t="s">
        <v>12818</v>
      </c>
      <c r="J6977" s="9" t="s">
        <v>12819</v>
      </c>
      <c r="K6977" s="7" t="s">
        <v>15171</v>
      </c>
      <c r="L6977" s="13">
        <v>9189</v>
      </c>
      <c r="M6977" t="str">
        <f>VLOOKUP(L6977,[1]HBA!$B$2:$C$4000,2,FALSE)</f>
        <v>RO</v>
      </c>
    </row>
    <row r="6978" spans="2:13" x14ac:dyDescent="0.25">
      <c r="B6978" s="31" t="s">
        <v>26303</v>
      </c>
      <c r="C6978" s="25" t="s">
        <v>26174</v>
      </c>
      <c r="D6978" s="25" t="s">
        <v>26232</v>
      </c>
      <c r="E6978" s="25"/>
      <c r="F6978" s="9" t="str">
        <f t="shared" si="102"/>
        <v>structure with developmental contribution from neural crest</v>
      </c>
      <c r="G6978" s="9" t="s">
        <v>5090</v>
      </c>
      <c r="H6978" s="9" t="s">
        <v>23479</v>
      </c>
      <c r="I6978" s="9" t="s">
        <v>12820</v>
      </c>
      <c r="J6978" s="9" t="s">
        <v>12821</v>
      </c>
      <c r="K6978" s="7" t="s">
        <v>15171</v>
      </c>
      <c r="L6978" s="13">
        <v>9190</v>
      </c>
      <c r="M6978" t="str">
        <f>VLOOKUP(L6978,[1]HBA!$B$2:$C$4000,2,FALSE)</f>
        <v>SOl</v>
      </c>
    </row>
    <row r="6979" spans="2:13" x14ac:dyDescent="0.25">
      <c r="B6979" s="31" t="s">
        <v>26303</v>
      </c>
      <c r="C6979" s="25" t="s">
        <v>2732</v>
      </c>
      <c r="D6979" s="25" t="s">
        <v>26232</v>
      </c>
      <c r="E6979" s="25"/>
      <c r="F6979" s="9" t="str">
        <f t="shared" si="102"/>
        <v>structure with developmental contribution from neural crest</v>
      </c>
      <c r="G6979" s="9" t="s">
        <v>5090</v>
      </c>
      <c r="H6979" s="9" t="s">
        <v>17805</v>
      </c>
      <c r="I6979" s="9" t="s">
        <v>12822</v>
      </c>
      <c r="J6979" s="9" t="s">
        <v>12823</v>
      </c>
      <c r="K6979" s="7" t="s">
        <v>15171</v>
      </c>
      <c r="L6979" s="13">
        <v>9191</v>
      </c>
      <c r="M6979" t="str">
        <f>VLOOKUP(L6979,[1]HBA!$B$2:$C$4000,2,FALSE)</f>
        <v>LSO</v>
      </c>
    </row>
    <row r="6980" spans="2:13" x14ac:dyDescent="0.25">
      <c r="B6980" s="31" t="s">
        <v>26303</v>
      </c>
      <c r="C6980" s="25" t="s">
        <v>26031</v>
      </c>
      <c r="D6980" s="25" t="s">
        <v>26232</v>
      </c>
      <c r="E6980" s="25"/>
      <c r="F6980" s="9" t="str">
        <f t="shared" si="102"/>
        <v>structure with developmental contribution from neural crest</v>
      </c>
      <c r="G6980" s="9" t="s">
        <v>5090</v>
      </c>
      <c r="H6980" s="9" t="s">
        <v>17806</v>
      </c>
      <c r="I6980" s="9" t="s">
        <v>12824</v>
      </c>
      <c r="J6980" s="9" t="s">
        <v>12825</v>
      </c>
      <c r="K6980" s="7" t="s">
        <v>15171</v>
      </c>
      <c r="L6980" s="13">
        <v>9192</v>
      </c>
      <c r="M6980" t="str">
        <f>VLOOKUP(L6980,[1]HBA!$B$2:$C$4000,2,FALSE)</f>
        <v>MSO</v>
      </c>
    </row>
    <row r="6981" spans="2:13" x14ac:dyDescent="0.25">
      <c r="B6981" s="31" t="s">
        <v>26303</v>
      </c>
      <c r="C6981" s="25" t="s">
        <v>3323</v>
      </c>
      <c r="D6981" s="25" t="s">
        <v>26232</v>
      </c>
      <c r="E6981" s="25"/>
      <c r="F6981" s="9" t="str">
        <f t="shared" si="102"/>
        <v>structure with developmental contribution from neural crest</v>
      </c>
      <c r="G6981" s="9" t="s">
        <v>5090</v>
      </c>
      <c r="H6981" s="9" t="s">
        <v>25441</v>
      </c>
      <c r="I6981" s="9" t="s">
        <v>12826</v>
      </c>
      <c r="J6981" s="9" t="s">
        <v>12827</v>
      </c>
      <c r="K6981" s="7" t="s">
        <v>15171</v>
      </c>
      <c r="L6981" s="13">
        <v>9193</v>
      </c>
      <c r="M6981" t="str">
        <f>VLOOKUP(L6981,[1]HBA!$B$2:$C$4000,2,FALSE)</f>
        <v>Tz</v>
      </c>
    </row>
    <row r="6982" spans="2:13" x14ac:dyDescent="0.25">
      <c r="B6982" s="31" t="s">
        <v>26303</v>
      </c>
      <c r="C6982" s="25" t="s">
        <v>7365</v>
      </c>
      <c r="D6982" s="25" t="s">
        <v>26232</v>
      </c>
      <c r="E6982" s="25"/>
      <c r="F6982" s="9" t="str">
        <f t="shared" si="102"/>
        <v>structure with developmental contribution from neural crest</v>
      </c>
      <c r="G6982" s="9" t="s">
        <v>5090</v>
      </c>
      <c r="H6982" s="9" t="s">
        <v>23120</v>
      </c>
      <c r="I6982" s="9" t="s">
        <v>7365</v>
      </c>
      <c r="J6982" s="9" t="s">
        <v>12828</v>
      </c>
      <c r="K6982" s="7" t="s">
        <v>15171</v>
      </c>
      <c r="L6982" s="13">
        <v>9194</v>
      </c>
      <c r="M6982" t="str">
        <f>VLOOKUP(L6982,[1]HBA!$B$2:$C$4000,2,FALSE)</f>
        <v>SuS</v>
      </c>
    </row>
    <row r="6983" spans="2:13" x14ac:dyDescent="0.25">
      <c r="B6983" s="31" t="s">
        <v>26303</v>
      </c>
      <c r="C6983" s="25" t="s">
        <v>7365</v>
      </c>
      <c r="D6983" s="25" t="s">
        <v>26232</v>
      </c>
      <c r="E6983" s="25"/>
      <c r="F6983" s="9" t="str">
        <f t="shared" si="102"/>
        <v>structure with developmental contribution from neural crest</v>
      </c>
      <c r="G6983" s="9" t="s">
        <v>5090</v>
      </c>
      <c r="H6983" s="9" t="s">
        <v>23120</v>
      </c>
      <c r="I6983" s="9" t="s">
        <v>12829</v>
      </c>
      <c r="J6983" s="9" t="s">
        <v>12830</v>
      </c>
      <c r="K6983" s="7" t="s">
        <v>15171</v>
      </c>
      <c r="L6983" s="13">
        <v>9195</v>
      </c>
      <c r="M6983" t="str">
        <f>VLOOKUP(L6983,[1]HBA!$B$2:$C$4000,2,FALSE)</f>
        <v>SuS</v>
      </c>
    </row>
    <row r="6984" spans="2:13" x14ac:dyDescent="0.25">
      <c r="B6984" s="31" t="s">
        <v>26303</v>
      </c>
      <c r="C6984" s="25" t="s">
        <v>7365</v>
      </c>
      <c r="D6984" s="25" t="s">
        <v>26232</v>
      </c>
      <c r="E6984" s="25"/>
      <c r="F6984" s="9" t="str">
        <f t="shared" si="102"/>
        <v>structure with developmental contribution from neural crest</v>
      </c>
      <c r="G6984" s="9" t="s">
        <v>5090</v>
      </c>
      <c r="H6984" s="9" t="s">
        <v>23120</v>
      </c>
      <c r="I6984" s="9" t="s">
        <v>12831</v>
      </c>
      <c r="J6984" s="9" t="s">
        <v>12832</v>
      </c>
      <c r="K6984" s="7" t="s">
        <v>15171</v>
      </c>
      <c r="L6984" s="13">
        <v>9196</v>
      </c>
      <c r="M6984" t="str">
        <f>VLOOKUP(L6984,[1]HBA!$B$2:$C$4000,2,FALSE)</f>
        <v>SuS</v>
      </c>
    </row>
    <row r="6985" spans="2:13" x14ac:dyDescent="0.25">
      <c r="B6985" s="31" t="s">
        <v>26303</v>
      </c>
      <c r="C6985" s="25" t="s">
        <v>14233</v>
      </c>
      <c r="D6985" s="25" t="s">
        <v>26232</v>
      </c>
      <c r="E6985" s="25"/>
      <c r="F6985" s="9" t="str">
        <f t="shared" si="102"/>
        <v>structure with developmental contribution from neural crest</v>
      </c>
      <c r="G6985" s="9" t="s">
        <v>5090</v>
      </c>
      <c r="H6985" s="9" t="s">
        <v>18510</v>
      </c>
      <c r="I6985" s="9" t="s">
        <v>12833</v>
      </c>
      <c r="J6985" s="9" t="s">
        <v>12834</v>
      </c>
      <c r="K6985" s="7" t="s">
        <v>15171</v>
      </c>
      <c r="L6985" s="13">
        <v>9198</v>
      </c>
      <c r="M6985" t="str">
        <f>VLOOKUP(L6985,[1]HBA!$B$2:$C$4000,2,FALSE)</f>
        <v>tz</v>
      </c>
    </row>
    <row r="6986" spans="2:13" x14ac:dyDescent="0.25">
      <c r="B6986" s="31" t="s">
        <v>26303</v>
      </c>
      <c r="C6986" s="25" t="s">
        <v>14233</v>
      </c>
      <c r="D6986" s="25" t="s">
        <v>26232</v>
      </c>
      <c r="E6986" s="25"/>
      <c r="F6986" s="9" t="str">
        <f t="shared" si="102"/>
        <v>structure with developmental contribution from neural crest</v>
      </c>
      <c r="G6986" s="9" t="s">
        <v>5090</v>
      </c>
      <c r="H6986" s="9" t="s">
        <v>18510</v>
      </c>
      <c r="I6986" s="9" t="s">
        <v>12835</v>
      </c>
      <c r="J6986" s="9" t="s">
        <v>12836</v>
      </c>
      <c r="K6986" s="7" t="s">
        <v>15171</v>
      </c>
      <c r="L6986" s="13">
        <v>9199</v>
      </c>
      <c r="M6986" t="str">
        <f>VLOOKUP(L6986,[1]HBA!$B$2:$C$4000,2,FALSE)</f>
        <v>tz</v>
      </c>
    </row>
    <row r="6987" spans="2:13" x14ac:dyDescent="0.25">
      <c r="B6987" s="31" t="s">
        <v>26303</v>
      </c>
      <c r="C6987" s="25" t="s">
        <v>15038</v>
      </c>
      <c r="D6987" s="25" t="s">
        <v>26232</v>
      </c>
      <c r="E6987" s="25"/>
      <c r="F6987" s="9" t="str">
        <f t="shared" si="102"/>
        <v>structure with developmental contribution from neural crest</v>
      </c>
      <c r="G6987" s="9" t="s">
        <v>5090</v>
      </c>
      <c r="H6987" s="9" t="s">
        <v>24306</v>
      </c>
      <c r="I6987" s="9" t="s">
        <v>12837</v>
      </c>
      <c r="J6987" s="9" t="s">
        <v>12838</v>
      </c>
      <c r="K6987" s="7" t="s">
        <v>15171</v>
      </c>
      <c r="L6987" s="13">
        <v>9201</v>
      </c>
      <c r="M6987" t="str">
        <f>VLOOKUP(L6987,[1]HBA!$B$2:$C$4000,2,FALSE)</f>
        <v>VLL</v>
      </c>
    </row>
    <row r="6988" spans="2:13" x14ac:dyDescent="0.25">
      <c r="B6988" s="31" t="s">
        <v>26303</v>
      </c>
      <c r="C6988" s="25" t="s">
        <v>15038</v>
      </c>
      <c r="D6988" s="25" t="s">
        <v>26232</v>
      </c>
      <c r="E6988" s="25"/>
      <c r="F6988" s="9" t="str">
        <f t="shared" si="102"/>
        <v>structure with developmental contribution from neural crest</v>
      </c>
      <c r="G6988" s="9" t="s">
        <v>5090</v>
      </c>
      <c r="H6988" s="9" t="s">
        <v>24306</v>
      </c>
      <c r="I6988" s="9" t="s">
        <v>12839</v>
      </c>
      <c r="J6988" s="9" t="s">
        <v>12840</v>
      </c>
      <c r="K6988" s="7" t="s">
        <v>15171</v>
      </c>
      <c r="L6988" s="13">
        <v>9202</v>
      </c>
      <c r="M6988" t="str">
        <f>VLOOKUP(L6988,[1]HBA!$B$2:$C$4000,2,FALSE)</f>
        <v>VLL</v>
      </c>
    </row>
    <row r="6989" spans="2:13" x14ac:dyDescent="0.25">
      <c r="B6989" s="31" t="s">
        <v>26303</v>
      </c>
      <c r="C6989" s="25" t="s">
        <v>26266</v>
      </c>
      <c r="D6989" s="25" t="s">
        <v>26232</v>
      </c>
      <c r="E6989" s="25"/>
      <c r="F6989" s="9" t="str">
        <f t="shared" si="102"/>
        <v>structure with developmental contribution from neural crest</v>
      </c>
      <c r="G6989" s="9" t="s">
        <v>5090</v>
      </c>
      <c r="H6989" s="9">
        <v>5</v>
      </c>
      <c r="I6989" s="9" t="s">
        <v>12841</v>
      </c>
      <c r="J6989" s="9" t="s">
        <v>12842</v>
      </c>
      <c r="K6989" s="7" t="s">
        <v>15171</v>
      </c>
      <c r="L6989" s="13">
        <v>9204</v>
      </c>
      <c r="M6989">
        <f>VLOOKUP(L6989,[1]HBA!$B$2:$C$4000,2,FALSE)</f>
        <v>5</v>
      </c>
    </row>
    <row r="6990" spans="2:13" x14ac:dyDescent="0.25">
      <c r="B6990" s="31" t="s">
        <v>26303</v>
      </c>
      <c r="C6990" s="25" t="s">
        <v>26036</v>
      </c>
      <c r="D6990" s="25" t="s">
        <v>26232</v>
      </c>
      <c r="E6990" s="25"/>
      <c r="F6990" s="9" t="str">
        <f t="shared" si="102"/>
        <v>structure with developmental contribution from neural crest</v>
      </c>
      <c r="G6990" s="9" t="s">
        <v>5090</v>
      </c>
      <c r="H6990" s="9" t="s">
        <v>23935</v>
      </c>
      <c r="I6990" s="9" t="s">
        <v>2272</v>
      </c>
      <c r="J6990" s="9" t="s">
        <v>2273</v>
      </c>
      <c r="K6990" s="7" t="s">
        <v>15171</v>
      </c>
      <c r="L6990" s="13">
        <v>9205</v>
      </c>
      <c r="M6990" t="str">
        <f>VLOOKUP(L6990,[1]HBA!$B$2:$C$4000,2,FALSE)</f>
        <v>Me5</v>
      </c>
    </row>
    <row r="6991" spans="2:13" x14ac:dyDescent="0.25">
      <c r="B6991" s="31" t="s">
        <v>26303</v>
      </c>
      <c r="C6991" s="25" t="s">
        <v>3181</v>
      </c>
      <c r="D6991" s="25" t="s">
        <v>26232</v>
      </c>
      <c r="E6991" s="25"/>
      <c r="F6991" s="9" t="str">
        <f t="shared" si="102"/>
        <v>structure with developmental contribution from neural crest</v>
      </c>
      <c r="G6991" s="9" t="s">
        <v>5090</v>
      </c>
      <c r="H6991" s="9" t="s">
        <v>24275</v>
      </c>
      <c r="I6991" s="9" t="s">
        <v>3183</v>
      </c>
      <c r="J6991" s="9" t="s">
        <v>3184</v>
      </c>
      <c r="K6991" s="7" t="s">
        <v>15171</v>
      </c>
      <c r="L6991" s="13">
        <v>9206</v>
      </c>
      <c r="M6991" t="str">
        <f>VLOOKUP(L6991,[1]HBA!$B$2:$C$4000,2,FALSE)</f>
        <v>Mo5</v>
      </c>
    </row>
    <row r="6992" spans="2:13" x14ac:dyDescent="0.25">
      <c r="B6992" s="31" t="s">
        <v>26303</v>
      </c>
      <c r="C6992" s="25" t="s">
        <v>4194</v>
      </c>
      <c r="D6992" s="25" t="s">
        <v>26232</v>
      </c>
      <c r="E6992" s="25"/>
      <c r="F6992" s="9" t="str">
        <f t="shared" si="102"/>
        <v>structure with developmental contribution from neural crest</v>
      </c>
      <c r="G6992" s="9" t="s">
        <v>5090</v>
      </c>
      <c r="H6992" s="9" t="s">
        <v>24290</v>
      </c>
      <c r="I6992" s="9" t="s">
        <v>4196</v>
      </c>
      <c r="J6992" s="9" t="s">
        <v>4197</v>
      </c>
      <c r="K6992" s="7" t="s">
        <v>15171</v>
      </c>
      <c r="L6992" s="13">
        <v>9207</v>
      </c>
      <c r="M6992" t="str">
        <f>VLOOKUP(L6992,[1]HBA!$B$2:$C$4000,2,FALSE)</f>
        <v>Pr5</v>
      </c>
    </row>
    <row r="6993" spans="2:13" x14ac:dyDescent="0.25">
      <c r="B6993" s="31" t="s">
        <v>26303</v>
      </c>
      <c r="C6993" s="25" t="s">
        <v>26266</v>
      </c>
      <c r="D6993" s="25" t="s">
        <v>26232</v>
      </c>
      <c r="E6993" s="25"/>
      <c r="F6993" s="9" t="str">
        <f t="shared" si="102"/>
        <v>structure with developmental contribution from neural crest</v>
      </c>
      <c r="G6993" s="9" t="s">
        <v>5090</v>
      </c>
      <c r="H6993" s="9">
        <v>5</v>
      </c>
      <c r="I6993" s="9" t="s">
        <v>12843</v>
      </c>
      <c r="J6993" s="9" t="s">
        <v>12844</v>
      </c>
      <c r="K6993" s="7" t="s">
        <v>15171</v>
      </c>
      <c r="L6993" s="13">
        <v>9211</v>
      </c>
      <c r="M6993">
        <f>VLOOKUP(L6993,[1]HBA!$B$2:$C$4000,2,FALSE)</f>
        <v>5</v>
      </c>
    </row>
    <row r="6994" spans="2:13" x14ac:dyDescent="0.25">
      <c r="B6994" s="31" t="s">
        <v>26303</v>
      </c>
      <c r="C6994" s="25" t="s">
        <v>26036</v>
      </c>
      <c r="D6994" s="25" t="s">
        <v>26232</v>
      </c>
      <c r="E6994" s="25"/>
      <c r="F6994" s="9" t="str">
        <f t="shared" si="102"/>
        <v>structure with developmental contribution from neural crest</v>
      </c>
      <c r="G6994" s="9" t="s">
        <v>5090</v>
      </c>
      <c r="H6994" s="9" t="s">
        <v>23935</v>
      </c>
      <c r="I6994" s="9" t="s">
        <v>12845</v>
      </c>
      <c r="J6994" s="9" t="s">
        <v>12846</v>
      </c>
      <c r="K6994" s="7" t="s">
        <v>15171</v>
      </c>
      <c r="L6994" s="13">
        <v>9212</v>
      </c>
      <c r="M6994" t="str">
        <f>VLOOKUP(L6994,[1]HBA!$B$2:$C$4000,2,FALSE)</f>
        <v>Me5</v>
      </c>
    </row>
    <row r="6995" spans="2:13" x14ac:dyDescent="0.25">
      <c r="B6995" s="31" t="s">
        <v>26303</v>
      </c>
      <c r="C6995" s="25" t="s">
        <v>3181</v>
      </c>
      <c r="D6995" s="25" t="s">
        <v>26232</v>
      </c>
      <c r="E6995" s="25"/>
      <c r="F6995" s="9" t="str">
        <f t="shared" si="102"/>
        <v>structure with developmental contribution from neural crest</v>
      </c>
      <c r="G6995" s="9" t="s">
        <v>5090</v>
      </c>
      <c r="H6995" s="9" t="s">
        <v>24275</v>
      </c>
      <c r="I6995" s="9" t="s">
        <v>12847</v>
      </c>
      <c r="J6995" s="9" t="s">
        <v>12848</v>
      </c>
      <c r="K6995" s="7" t="s">
        <v>15171</v>
      </c>
      <c r="L6995" s="13">
        <v>9213</v>
      </c>
      <c r="M6995" t="str">
        <f>VLOOKUP(L6995,[1]HBA!$B$2:$C$4000,2,FALSE)</f>
        <v>Mo5</v>
      </c>
    </row>
    <row r="6996" spans="2:13" x14ac:dyDescent="0.25">
      <c r="B6996" s="31" t="s">
        <v>26303</v>
      </c>
      <c r="C6996" s="25" t="s">
        <v>4194</v>
      </c>
      <c r="D6996" s="25" t="s">
        <v>26232</v>
      </c>
      <c r="E6996" s="25"/>
      <c r="F6996" s="9" t="str">
        <f t="shared" si="102"/>
        <v>structure with developmental contribution from neural crest</v>
      </c>
      <c r="G6996" s="9" t="s">
        <v>5090</v>
      </c>
      <c r="H6996" s="9" t="s">
        <v>24290</v>
      </c>
      <c r="I6996" s="9" t="s">
        <v>12849</v>
      </c>
      <c r="J6996" s="9" t="s">
        <v>12850</v>
      </c>
      <c r="K6996" s="7" t="s">
        <v>15171</v>
      </c>
      <c r="L6996" s="13">
        <v>9214</v>
      </c>
      <c r="M6996" t="str">
        <f>VLOOKUP(L6996,[1]HBA!$B$2:$C$4000,2,FALSE)</f>
        <v>Pr5</v>
      </c>
    </row>
    <row r="6997" spans="2:13" x14ac:dyDescent="0.25">
      <c r="B6997" s="31" t="s">
        <v>26303</v>
      </c>
      <c r="C6997" s="25" t="s">
        <v>25865</v>
      </c>
      <c r="D6997" s="25" t="s">
        <v>26232</v>
      </c>
      <c r="E6997" s="25"/>
      <c r="F6997" s="9" t="str">
        <f t="shared" si="102"/>
        <v>structure with developmental contribution from neural crest</v>
      </c>
      <c r="G6997" s="9" t="s">
        <v>5090</v>
      </c>
      <c r="H6997" s="9" t="s">
        <v>25474</v>
      </c>
      <c r="I6997" s="9" t="s">
        <v>12851</v>
      </c>
      <c r="J6997" s="9" t="s">
        <v>12852</v>
      </c>
      <c r="K6997" s="7" t="s">
        <v>15171</v>
      </c>
      <c r="L6997" s="13">
        <v>9219</v>
      </c>
      <c r="M6997" t="str">
        <f>VLOOKUP(L6997,[1]HBA!$B$2:$C$4000,2,FALSE)</f>
        <v>TELWM</v>
      </c>
    </row>
    <row r="6998" spans="2:13" x14ac:dyDescent="0.25">
      <c r="B6998" s="31" t="s">
        <v>26303</v>
      </c>
      <c r="C6998" s="25" t="s">
        <v>25880</v>
      </c>
      <c r="D6998" s="25" t="s">
        <v>26232</v>
      </c>
      <c r="E6998" s="25"/>
      <c r="F6998" s="9" t="str">
        <f t="shared" si="102"/>
        <v>structure with developmental contribution from neural crest</v>
      </c>
      <c r="G6998" s="9" t="s">
        <v>5090</v>
      </c>
      <c r="H6998" s="9" t="s">
        <v>25475</v>
      </c>
      <c r="I6998" s="9" t="s">
        <v>1304</v>
      </c>
      <c r="J6998" s="9" t="s">
        <v>1305</v>
      </c>
      <c r="K6998" s="7" t="s">
        <v>15171</v>
      </c>
      <c r="L6998" s="13">
        <v>9220</v>
      </c>
      <c r="M6998" t="str">
        <f>VLOOKUP(L6998,[1]HBA!$B$2:$C$4000,2,FALSE)</f>
        <v>TELCom</v>
      </c>
    </row>
    <row r="6999" spans="2:13" x14ac:dyDescent="0.25">
      <c r="B6999" s="31" t="s">
        <v>26303</v>
      </c>
      <c r="C6999" s="25" t="s">
        <v>25865</v>
      </c>
      <c r="D6999" s="25" t="s">
        <v>26232</v>
      </c>
      <c r="E6999" s="25"/>
      <c r="F6999" s="9" t="str">
        <f t="shared" si="102"/>
        <v>structure with developmental contribution from neural crest</v>
      </c>
      <c r="G6999" s="9" t="s">
        <v>5090</v>
      </c>
      <c r="H6999" s="9" t="s">
        <v>25481</v>
      </c>
      <c r="I6999" s="9" t="s">
        <v>12853</v>
      </c>
      <c r="J6999" s="9" t="s">
        <v>12854</v>
      </c>
      <c r="K6999" s="7" t="s">
        <v>15171</v>
      </c>
      <c r="L6999" s="13">
        <v>9230</v>
      </c>
      <c r="M6999" t="str">
        <f>VLOOKUP(L6999,[1]HBA!$B$2:$C$4000,2,FALSE)</f>
        <v>TelTr</v>
      </c>
    </row>
    <row r="7000" spans="2:13" x14ac:dyDescent="0.25">
      <c r="B7000" s="31" t="s">
        <v>26303</v>
      </c>
      <c r="C7000" s="25" t="s">
        <v>495</v>
      </c>
      <c r="D7000" s="25" t="s">
        <v>26232</v>
      </c>
      <c r="E7000" s="25"/>
      <c r="F7000" s="9" t="str">
        <f t="shared" si="102"/>
        <v>structure with developmental contribution from neural crest</v>
      </c>
      <c r="G7000" s="9" t="s">
        <v>5090</v>
      </c>
      <c r="H7000" s="9" t="s">
        <v>25482</v>
      </c>
      <c r="I7000" s="9" t="s">
        <v>495</v>
      </c>
      <c r="J7000" s="9" t="s">
        <v>497</v>
      </c>
      <c r="K7000" s="7" t="s">
        <v>15171</v>
      </c>
      <c r="L7000" s="13">
        <v>9231</v>
      </c>
      <c r="M7000" t="str">
        <f>VLOOKUP(L7000,[1]HBA!$B$2:$C$4000,2,FALSE)</f>
        <v>arf</v>
      </c>
    </row>
    <row r="7001" spans="2:13" x14ac:dyDescent="0.25">
      <c r="B7001" s="31" t="s">
        <v>26303</v>
      </c>
      <c r="C7001" s="25" t="s">
        <v>495</v>
      </c>
      <c r="D7001" s="25" t="s">
        <v>26232</v>
      </c>
      <c r="E7001" s="25"/>
      <c r="F7001" s="9" t="str">
        <f t="shared" si="102"/>
        <v>structure with developmental contribution from neural crest</v>
      </c>
      <c r="G7001" s="9" t="s">
        <v>5090</v>
      </c>
      <c r="H7001" s="9" t="s">
        <v>25482</v>
      </c>
      <c r="I7001" s="9" t="s">
        <v>12855</v>
      </c>
      <c r="J7001" s="9" t="s">
        <v>12856</v>
      </c>
      <c r="K7001" s="7" t="s">
        <v>15171</v>
      </c>
      <c r="L7001" s="13">
        <v>9232</v>
      </c>
      <c r="M7001" t="str">
        <f>VLOOKUP(L7001,[1]HBA!$B$2:$C$4000,2,FALSE)</f>
        <v>arf</v>
      </c>
    </row>
    <row r="7002" spans="2:13" x14ac:dyDescent="0.25">
      <c r="B7002" s="31" t="s">
        <v>26303</v>
      </c>
      <c r="C7002" s="25" t="s">
        <v>495</v>
      </c>
      <c r="D7002" s="25" t="s">
        <v>26232</v>
      </c>
      <c r="E7002" s="25"/>
      <c r="F7002" s="9" t="str">
        <f t="shared" si="102"/>
        <v>structure with developmental contribution from neural crest</v>
      </c>
      <c r="G7002" s="9" t="s">
        <v>5090</v>
      </c>
      <c r="H7002" s="9" t="s">
        <v>25482</v>
      </c>
      <c r="I7002" s="9" t="s">
        <v>12857</v>
      </c>
      <c r="J7002" s="9" t="s">
        <v>12858</v>
      </c>
      <c r="K7002" s="7" t="s">
        <v>15171</v>
      </c>
      <c r="L7002" s="13">
        <v>9233</v>
      </c>
      <c r="M7002" t="str">
        <f>VLOOKUP(L7002,[1]HBA!$B$2:$C$4000,2,FALSE)</f>
        <v>arf</v>
      </c>
    </row>
    <row r="7003" spans="2:13" x14ac:dyDescent="0.25">
      <c r="B7003" s="31" t="s">
        <v>26303</v>
      </c>
      <c r="C7003" s="25" t="s">
        <v>25963</v>
      </c>
      <c r="D7003" s="25" t="s">
        <v>26232</v>
      </c>
      <c r="E7003" s="25"/>
      <c r="F7003" s="9" t="str">
        <f t="shared" si="102"/>
        <v>structure with developmental contribution from neural crest</v>
      </c>
      <c r="G7003" s="9" t="s">
        <v>5090</v>
      </c>
      <c r="H7003" s="9" t="s">
        <v>20889</v>
      </c>
      <c r="I7003" s="9" t="s">
        <v>2303</v>
      </c>
      <c r="J7003" s="9" t="s">
        <v>2305</v>
      </c>
      <c r="K7003" s="7" t="s">
        <v>15171</v>
      </c>
      <c r="L7003" s="13">
        <v>9234</v>
      </c>
      <c r="M7003" t="str">
        <f>VLOOKUP(L7003,[1]HBA!$B$2:$C$4000,2,FALSE)</f>
        <v>alv</v>
      </c>
    </row>
    <row r="7004" spans="2:13" x14ac:dyDescent="0.25">
      <c r="B7004" s="31" t="s">
        <v>26303</v>
      </c>
      <c r="C7004" s="25" t="s">
        <v>25963</v>
      </c>
      <c r="D7004" s="25" t="s">
        <v>26232</v>
      </c>
      <c r="E7004" s="25"/>
      <c r="F7004" s="9" t="str">
        <f t="shared" si="102"/>
        <v>structure with developmental contribution from neural crest</v>
      </c>
      <c r="G7004" s="9" t="s">
        <v>5090</v>
      </c>
      <c r="H7004" s="9" t="s">
        <v>20889</v>
      </c>
      <c r="I7004" s="9" t="s">
        <v>12859</v>
      </c>
      <c r="J7004" s="9" t="s">
        <v>12860</v>
      </c>
      <c r="K7004" s="7" t="s">
        <v>15171</v>
      </c>
      <c r="L7004" s="13">
        <v>9235</v>
      </c>
      <c r="M7004" t="str">
        <f>VLOOKUP(L7004,[1]HBA!$B$2:$C$4000,2,FALSE)</f>
        <v>alv</v>
      </c>
    </row>
    <row r="7005" spans="2:13" x14ac:dyDescent="0.25">
      <c r="B7005" s="31" t="s">
        <v>26303</v>
      </c>
      <c r="C7005" s="25" t="s">
        <v>25963</v>
      </c>
      <c r="D7005" s="25" t="s">
        <v>26232</v>
      </c>
      <c r="E7005" s="25"/>
      <c r="F7005" s="9" t="str">
        <f t="shared" si="102"/>
        <v>structure with developmental contribution from neural crest</v>
      </c>
      <c r="G7005" s="9" t="s">
        <v>5090</v>
      </c>
      <c r="H7005" s="9" t="s">
        <v>20889</v>
      </c>
      <c r="I7005" s="9" t="s">
        <v>12861</v>
      </c>
      <c r="J7005" s="9" t="s">
        <v>12862</v>
      </c>
      <c r="K7005" s="7" t="s">
        <v>15171</v>
      </c>
      <c r="L7005" s="13">
        <v>9236</v>
      </c>
      <c r="M7005" t="str">
        <f>VLOOKUP(L7005,[1]HBA!$B$2:$C$4000,2,FALSE)</f>
        <v>alv</v>
      </c>
    </row>
    <row r="7006" spans="2:13" x14ac:dyDescent="0.25">
      <c r="B7006" s="31" t="s">
        <v>26303</v>
      </c>
      <c r="C7006" s="25" t="s">
        <v>280</v>
      </c>
      <c r="D7006" s="25" t="s">
        <v>26232</v>
      </c>
      <c r="E7006" s="25"/>
      <c r="F7006" s="9" t="str">
        <f t="shared" si="102"/>
        <v>structure with developmental contribution from neural crest</v>
      </c>
      <c r="G7006" s="9" t="s">
        <v>5090</v>
      </c>
      <c r="H7006" s="9" t="s">
        <v>23552</v>
      </c>
      <c r="I7006" s="9" t="s">
        <v>12863</v>
      </c>
      <c r="J7006" s="9" t="s">
        <v>12864</v>
      </c>
      <c r="K7006" s="7" t="s">
        <v>15171</v>
      </c>
      <c r="L7006" s="13">
        <v>9238</v>
      </c>
      <c r="M7006" t="str">
        <f>VLOOKUP(L7006,[1]HBA!$B$2:$C$4000,2,FALSE)</f>
        <v>al</v>
      </c>
    </row>
    <row r="7007" spans="2:13" x14ac:dyDescent="0.25">
      <c r="B7007" s="31" t="s">
        <v>26303</v>
      </c>
      <c r="C7007" s="25" t="s">
        <v>280</v>
      </c>
      <c r="D7007" s="25" t="s">
        <v>26232</v>
      </c>
      <c r="E7007" s="25"/>
      <c r="F7007" s="9" t="str">
        <f t="shared" si="102"/>
        <v>structure with developmental contribution from neural crest</v>
      </c>
      <c r="G7007" s="9" t="s">
        <v>5090</v>
      </c>
      <c r="H7007" s="9" t="s">
        <v>23552</v>
      </c>
      <c r="I7007" s="9" t="s">
        <v>12865</v>
      </c>
      <c r="J7007" s="9" t="s">
        <v>12866</v>
      </c>
      <c r="K7007" s="7" t="s">
        <v>15171</v>
      </c>
      <c r="L7007" s="13">
        <v>9239</v>
      </c>
      <c r="M7007" t="str">
        <f>VLOOKUP(L7007,[1]HBA!$B$2:$C$4000,2,FALSE)</f>
        <v>al</v>
      </c>
    </row>
    <row r="7008" spans="2:13" x14ac:dyDescent="0.25">
      <c r="B7008" s="31" t="s">
        <v>26303</v>
      </c>
      <c r="C7008" s="25" t="s">
        <v>25872</v>
      </c>
      <c r="D7008" s="25" t="s">
        <v>26232</v>
      </c>
      <c r="E7008" s="25"/>
      <c r="F7008" s="9" t="str">
        <f t="shared" si="102"/>
        <v>structure with developmental contribution from neural crest</v>
      </c>
      <c r="G7008" s="9" t="s">
        <v>5090</v>
      </c>
      <c r="H7008" s="9" t="s">
        <v>25483</v>
      </c>
      <c r="I7008" s="9" t="s">
        <v>1256</v>
      </c>
      <c r="J7008" s="9" t="s">
        <v>1258</v>
      </c>
      <c r="K7008" s="7" t="s">
        <v>15171</v>
      </c>
      <c r="L7008" s="13">
        <v>9240</v>
      </c>
      <c r="M7008" t="str">
        <f>VLOOKUP(L7008,[1]HBA!$B$2:$C$4000,2,FALSE)</f>
        <v>cgb</v>
      </c>
    </row>
    <row r="7009" spans="2:13" x14ac:dyDescent="0.25">
      <c r="B7009" s="31" t="s">
        <v>26303</v>
      </c>
      <c r="C7009" s="25" t="s">
        <v>25872</v>
      </c>
      <c r="D7009" s="25" t="s">
        <v>26232</v>
      </c>
      <c r="E7009" s="25"/>
      <c r="F7009" s="9" t="str">
        <f t="shared" si="102"/>
        <v>structure with developmental contribution from neural crest</v>
      </c>
      <c r="G7009" s="9" t="s">
        <v>5090</v>
      </c>
      <c r="H7009" s="9" t="s">
        <v>25483</v>
      </c>
      <c r="I7009" s="9" t="s">
        <v>12867</v>
      </c>
      <c r="J7009" s="9" t="s">
        <v>12868</v>
      </c>
      <c r="K7009" s="7" t="s">
        <v>15171</v>
      </c>
      <c r="L7009" s="13">
        <v>9241</v>
      </c>
      <c r="M7009" t="str">
        <f>VLOOKUP(L7009,[1]HBA!$B$2:$C$4000,2,FALSE)</f>
        <v>cgb</v>
      </c>
    </row>
    <row r="7010" spans="2:13" x14ac:dyDescent="0.25">
      <c r="B7010" s="31" t="s">
        <v>26303</v>
      </c>
      <c r="C7010" s="25" t="s">
        <v>25872</v>
      </c>
      <c r="D7010" s="25" t="s">
        <v>26232</v>
      </c>
      <c r="E7010" s="25"/>
      <c r="F7010" s="9" t="str">
        <f t="shared" si="102"/>
        <v>structure with developmental contribution from neural crest</v>
      </c>
      <c r="G7010" s="9" t="s">
        <v>5090</v>
      </c>
      <c r="H7010" s="9" t="s">
        <v>25483</v>
      </c>
      <c r="I7010" s="9" t="s">
        <v>12869</v>
      </c>
      <c r="J7010" s="9" t="s">
        <v>12870</v>
      </c>
      <c r="K7010" s="7" t="s">
        <v>15171</v>
      </c>
      <c r="L7010" s="13">
        <v>9242</v>
      </c>
      <c r="M7010" t="str">
        <f>VLOOKUP(L7010,[1]HBA!$B$2:$C$4000,2,FALSE)</f>
        <v>cgb</v>
      </c>
    </row>
    <row r="7011" spans="2:13" x14ac:dyDescent="0.25">
      <c r="B7011" s="31" t="s">
        <v>26303</v>
      </c>
      <c r="C7011" s="25" t="s">
        <v>25930</v>
      </c>
      <c r="D7011" s="25" t="s">
        <v>26232</v>
      </c>
      <c r="E7011" s="25"/>
      <c r="F7011" s="9" t="str">
        <f t="shared" si="102"/>
        <v>structure with developmental contribution from neural crest</v>
      </c>
      <c r="G7011" s="9" t="s">
        <v>5090</v>
      </c>
      <c r="H7011" s="9" t="s">
        <v>18459</v>
      </c>
      <c r="I7011" s="9" t="s">
        <v>12871</v>
      </c>
      <c r="J7011" s="9" t="s">
        <v>12872</v>
      </c>
      <c r="K7011" s="7" t="s">
        <v>15171</v>
      </c>
      <c r="L7011" s="13">
        <v>9244</v>
      </c>
      <c r="M7011" t="str">
        <f>VLOOKUP(L7011,[1]HBA!$B$2:$C$4000,2,FALSE)</f>
        <v>ec</v>
      </c>
    </row>
    <row r="7012" spans="2:13" x14ac:dyDescent="0.25">
      <c r="B7012" s="31" t="s">
        <v>26303</v>
      </c>
      <c r="C7012" s="25" t="s">
        <v>25930</v>
      </c>
      <c r="D7012" s="25" t="s">
        <v>26232</v>
      </c>
      <c r="E7012" s="25"/>
      <c r="F7012" s="9" t="str">
        <f t="shared" si="102"/>
        <v>structure with developmental contribution from neural crest</v>
      </c>
      <c r="G7012" s="9" t="s">
        <v>5090</v>
      </c>
      <c r="H7012" s="9" t="s">
        <v>18459</v>
      </c>
      <c r="I7012" s="9" t="s">
        <v>12873</v>
      </c>
      <c r="J7012" s="9" t="s">
        <v>12874</v>
      </c>
      <c r="K7012" s="7" t="s">
        <v>15171</v>
      </c>
      <c r="L7012" s="13">
        <v>9245</v>
      </c>
      <c r="M7012" t="str">
        <f>VLOOKUP(L7012,[1]HBA!$B$2:$C$4000,2,FALSE)</f>
        <v>ec</v>
      </c>
    </row>
    <row r="7013" spans="2:13" x14ac:dyDescent="0.25">
      <c r="B7013" s="31" t="s">
        <v>26303</v>
      </c>
      <c r="C7013" s="25" t="s">
        <v>1805</v>
      </c>
      <c r="D7013" s="25" t="s">
        <v>26232</v>
      </c>
      <c r="E7013" s="25"/>
      <c r="F7013" s="9" t="str">
        <f t="shared" si="102"/>
        <v>structure with developmental contribution from neural crest</v>
      </c>
      <c r="G7013" s="9" t="s">
        <v>5090</v>
      </c>
      <c r="H7013" s="9" t="s">
        <v>25485</v>
      </c>
      <c r="I7013" s="9" t="s">
        <v>12875</v>
      </c>
      <c r="J7013" s="9" t="s">
        <v>12876</v>
      </c>
      <c r="K7013" s="7" t="s">
        <v>15171</v>
      </c>
      <c r="L7013" s="13">
        <v>9247</v>
      </c>
      <c r="M7013" t="str">
        <f>VLOOKUP(L7013,[1]HBA!$B$2:$C$4000,2,FALSE)</f>
        <v>exc</v>
      </c>
    </row>
    <row r="7014" spans="2:13" x14ac:dyDescent="0.25">
      <c r="B7014" s="31" t="s">
        <v>26303</v>
      </c>
      <c r="C7014" s="25" t="s">
        <v>1805</v>
      </c>
      <c r="D7014" s="25" t="s">
        <v>26232</v>
      </c>
      <c r="E7014" s="25"/>
      <c r="F7014" s="9" t="str">
        <f t="shared" si="102"/>
        <v>structure with developmental contribution from neural crest</v>
      </c>
      <c r="G7014" s="9" t="s">
        <v>5090</v>
      </c>
      <c r="H7014" s="9" t="s">
        <v>25485</v>
      </c>
      <c r="I7014" s="9" t="s">
        <v>12877</v>
      </c>
      <c r="J7014" s="9" t="s">
        <v>12878</v>
      </c>
      <c r="K7014" s="7" t="s">
        <v>15171</v>
      </c>
      <c r="L7014" s="13">
        <v>9248</v>
      </c>
      <c r="M7014" t="str">
        <f>VLOOKUP(L7014,[1]HBA!$B$2:$C$4000,2,FALSE)</f>
        <v>exc</v>
      </c>
    </row>
    <row r="7015" spans="2:13" x14ac:dyDescent="0.25">
      <c r="B7015" s="31" t="s">
        <v>26303</v>
      </c>
      <c r="C7015" s="25" t="s">
        <v>25940</v>
      </c>
      <c r="D7015" s="25" t="s">
        <v>26232</v>
      </c>
      <c r="E7015" s="25"/>
      <c r="F7015" s="9" t="str">
        <f t="shared" si="102"/>
        <v>structure with developmental contribution from neural crest</v>
      </c>
      <c r="G7015" s="9" t="s">
        <v>5090</v>
      </c>
      <c r="H7015" s="9" t="s">
        <v>18461</v>
      </c>
      <c r="I7015" s="9" t="s">
        <v>1999</v>
      </c>
      <c r="J7015" s="9" t="s">
        <v>2003</v>
      </c>
      <c r="K7015" s="7" t="s">
        <v>15171</v>
      </c>
      <c r="L7015" s="13">
        <v>9249</v>
      </c>
      <c r="M7015" t="str">
        <f>VLOOKUP(L7015,[1]HBA!$B$2:$C$4000,2,FALSE)</f>
        <v>fx</v>
      </c>
    </row>
    <row r="7016" spans="2:13" x14ac:dyDescent="0.25">
      <c r="B7016" s="31" t="s">
        <v>26303</v>
      </c>
      <c r="C7016" s="25" t="s">
        <v>25940</v>
      </c>
      <c r="D7016" s="25" t="s">
        <v>26232</v>
      </c>
      <c r="E7016" s="25"/>
      <c r="F7016" s="9" t="str">
        <f t="shared" si="102"/>
        <v>structure with developmental contribution from neural crest</v>
      </c>
      <c r="G7016" s="9" t="s">
        <v>5090</v>
      </c>
      <c r="H7016" s="9" t="s">
        <v>18461</v>
      </c>
      <c r="I7016" s="9" t="s">
        <v>12879</v>
      </c>
      <c r="J7016" s="9" t="s">
        <v>12880</v>
      </c>
      <c r="K7016" s="7" t="s">
        <v>15171</v>
      </c>
      <c r="L7016" s="13">
        <v>9250</v>
      </c>
      <c r="M7016" t="str">
        <f>VLOOKUP(L7016,[1]HBA!$B$2:$C$4000,2,FALSE)</f>
        <v>fx</v>
      </c>
    </row>
    <row r="7017" spans="2:13" x14ac:dyDescent="0.25">
      <c r="B7017" s="31" t="s">
        <v>26303</v>
      </c>
      <c r="C7017" s="25" t="s">
        <v>25810</v>
      </c>
      <c r="D7017" s="25" t="s">
        <v>26232</v>
      </c>
      <c r="E7017" s="25"/>
      <c r="F7017" s="9" t="str">
        <f t="shared" si="102"/>
        <v>structure with developmental contribution from neural crest</v>
      </c>
      <c r="G7017" s="9" t="s">
        <v>5090</v>
      </c>
      <c r="H7017" s="9" t="s">
        <v>25487</v>
      </c>
      <c r="I7017" s="9" t="s">
        <v>585</v>
      </c>
      <c r="J7017" s="9" t="s">
        <v>586</v>
      </c>
      <c r="K7017" s="7" t="s">
        <v>15171</v>
      </c>
      <c r="L7017" s="13">
        <v>9252</v>
      </c>
      <c r="M7017" t="str">
        <f>VLOOKUP(L7017,[1]HBA!$B$2:$C$4000,2,FALSE)</f>
        <v>bfx</v>
      </c>
    </row>
    <row r="7018" spans="2:13" x14ac:dyDescent="0.25">
      <c r="B7018" s="31" t="s">
        <v>26303</v>
      </c>
      <c r="C7018" s="25" t="s">
        <v>25964</v>
      </c>
      <c r="D7018" s="25" t="s">
        <v>26232</v>
      </c>
      <c r="E7018" s="25"/>
      <c r="F7018" s="9" t="str">
        <f t="shared" si="102"/>
        <v>structure with developmental contribution from neural crest</v>
      </c>
      <c r="G7018" s="9" t="s">
        <v>5090</v>
      </c>
      <c r="H7018" s="9" t="s">
        <v>18460</v>
      </c>
      <c r="I7018" s="9" t="s">
        <v>2311</v>
      </c>
      <c r="J7018" s="9" t="s">
        <v>2312</v>
      </c>
      <c r="K7018" s="7" t="s">
        <v>15171</v>
      </c>
      <c r="L7018" s="13">
        <v>9253</v>
      </c>
      <c r="M7018" t="str">
        <f>VLOOKUP(L7018,[1]HBA!$B$2:$C$4000,2,FALSE)</f>
        <v>fi</v>
      </c>
    </row>
    <row r="7019" spans="2:13" x14ac:dyDescent="0.25">
      <c r="B7019" s="31" t="s">
        <v>26303</v>
      </c>
      <c r="C7019" s="25" t="s">
        <v>26131</v>
      </c>
      <c r="D7019" s="25" t="s">
        <v>26232</v>
      </c>
      <c r="E7019" s="25"/>
      <c r="F7019" s="9" t="str">
        <f t="shared" si="102"/>
        <v>structure with developmental contribution from neural crest</v>
      </c>
      <c r="G7019" s="9" t="s">
        <v>5090</v>
      </c>
      <c r="H7019" s="9" t="s">
        <v>25488</v>
      </c>
      <c r="I7019" s="9" t="s">
        <v>3919</v>
      </c>
      <c r="J7019" s="9" t="s">
        <v>3920</v>
      </c>
      <c r="K7019" s="7" t="s">
        <v>15171</v>
      </c>
      <c r="L7019" s="13">
        <v>9254</v>
      </c>
      <c r="M7019" t="str">
        <f>VLOOKUP(L7019,[1]HBA!$B$2:$C$4000,2,FALSE)</f>
        <v>pfx</v>
      </c>
    </row>
    <row r="7020" spans="2:13" x14ac:dyDescent="0.25">
      <c r="B7020" s="31" t="s">
        <v>26303</v>
      </c>
      <c r="C7020" s="25" t="s">
        <v>25940</v>
      </c>
      <c r="D7020" s="25" t="s">
        <v>26232</v>
      </c>
      <c r="E7020" s="25"/>
      <c r="F7020" s="9" t="str">
        <f t="shared" si="102"/>
        <v>structure with developmental contribution from neural crest</v>
      </c>
      <c r="G7020" s="9" t="s">
        <v>5090</v>
      </c>
      <c r="H7020" s="9" t="s">
        <v>18461</v>
      </c>
      <c r="I7020" s="9" t="s">
        <v>12881</v>
      </c>
      <c r="J7020" s="9" t="s">
        <v>12882</v>
      </c>
      <c r="K7020" s="7" t="s">
        <v>15171</v>
      </c>
      <c r="L7020" s="13">
        <v>9255</v>
      </c>
      <c r="M7020" t="str">
        <f>VLOOKUP(L7020,[1]HBA!$B$2:$C$4000,2,FALSE)</f>
        <v>fx</v>
      </c>
    </row>
    <row r="7021" spans="2:13" x14ac:dyDescent="0.25">
      <c r="B7021" s="31" t="s">
        <v>26303</v>
      </c>
      <c r="C7021" s="25" t="s">
        <v>25780</v>
      </c>
      <c r="D7021" s="25" t="s">
        <v>26232</v>
      </c>
      <c r="E7021" s="25"/>
      <c r="F7021" s="9" t="str">
        <f t="shared" si="102"/>
        <v>structure with developmental contribution from neural crest</v>
      </c>
      <c r="G7021" s="9" t="s">
        <v>5090</v>
      </c>
      <c r="H7021" s="9" t="s">
        <v>25486</v>
      </c>
      <c r="I7021" s="9" t="s">
        <v>12883</v>
      </c>
      <c r="J7021" s="9" t="s">
        <v>12884</v>
      </c>
      <c r="K7021" s="7" t="s">
        <v>15171</v>
      </c>
      <c r="L7021" s="13">
        <v>9256</v>
      </c>
      <c r="M7021" t="str">
        <f>VLOOKUP(L7021,[1]HBA!$B$2:$C$4000,2,FALSE)</f>
        <v>afx</v>
      </c>
    </row>
    <row r="7022" spans="2:13" x14ac:dyDescent="0.25">
      <c r="B7022" s="31" t="s">
        <v>26303</v>
      </c>
      <c r="C7022" s="25" t="s">
        <v>25810</v>
      </c>
      <c r="D7022" s="25" t="s">
        <v>26232</v>
      </c>
      <c r="E7022" s="25"/>
      <c r="F7022" s="9" t="str">
        <f t="shared" si="102"/>
        <v>structure with developmental contribution from neural crest</v>
      </c>
      <c r="G7022" s="9" t="s">
        <v>5090</v>
      </c>
      <c r="H7022" s="9" t="s">
        <v>25487</v>
      </c>
      <c r="I7022" s="9" t="s">
        <v>12885</v>
      </c>
      <c r="J7022" s="9" t="s">
        <v>12886</v>
      </c>
      <c r="K7022" s="7" t="s">
        <v>15171</v>
      </c>
      <c r="L7022" s="13">
        <v>9257</v>
      </c>
      <c r="M7022" t="str">
        <f>VLOOKUP(L7022,[1]HBA!$B$2:$C$4000,2,FALSE)</f>
        <v>bfx</v>
      </c>
    </row>
    <row r="7023" spans="2:13" x14ac:dyDescent="0.25">
      <c r="B7023" s="31" t="s">
        <v>26303</v>
      </c>
      <c r="C7023" s="25" t="s">
        <v>25964</v>
      </c>
      <c r="D7023" s="25" t="s">
        <v>26232</v>
      </c>
      <c r="E7023" s="25"/>
      <c r="F7023" s="9" t="str">
        <f t="shared" si="102"/>
        <v>structure with developmental contribution from neural crest</v>
      </c>
      <c r="G7023" s="9" t="s">
        <v>5090</v>
      </c>
      <c r="H7023" s="9" t="s">
        <v>18460</v>
      </c>
      <c r="I7023" s="9" t="s">
        <v>12887</v>
      </c>
      <c r="J7023" s="9" t="s">
        <v>12888</v>
      </c>
      <c r="K7023" s="7" t="s">
        <v>15171</v>
      </c>
      <c r="L7023" s="13">
        <v>9258</v>
      </c>
      <c r="M7023" t="str">
        <f>VLOOKUP(L7023,[1]HBA!$B$2:$C$4000,2,FALSE)</f>
        <v>fi</v>
      </c>
    </row>
    <row r="7024" spans="2:13" x14ac:dyDescent="0.25">
      <c r="B7024" s="31" t="s">
        <v>26303</v>
      </c>
      <c r="C7024" s="25" t="s">
        <v>26131</v>
      </c>
      <c r="D7024" s="25" t="s">
        <v>26232</v>
      </c>
      <c r="E7024" s="25"/>
      <c r="F7024" s="9" t="str">
        <f t="shared" si="102"/>
        <v>structure with developmental contribution from neural crest</v>
      </c>
      <c r="G7024" s="9" t="s">
        <v>5090</v>
      </c>
      <c r="H7024" s="9" t="s">
        <v>25488</v>
      </c>
      <c r="I7024" s="9" t="s">
        <v>12889</v>
      </c>
      <c r="J7024" s="9" t="s">
        <v>12890</v>
      </c>
      <c r="K7024" s="7" t="s">
        <v>15171</v>
      </c>
      <c r="L7024" s="13">
        <v>9259</v>
      </c>
      <c r="M7024" t="str">
        <f>VLOOKUP(L7024,[1]HBA!$B$2:$C$4000,2,FALSE)</f>
        <v>pfx</v>
      </c>
    </row>
    <row r="7025" spans="2:13" x14ac:dyDescent="0.25">
      <c r="B7025" s="31" t="s">
        <v>26303</v>
      </c>
      <c r="C7025" s="25" t="s">
        <v>2374</v>
      </c>
      <c r="D7025" s="25" t="s">
        <v>26232</v>
      </c>
      <c r="E7025" s="25"/>
      <c r="F7025" s="9" t="str">
        <f t="shared" si="102"/>
        <v>structure with developmental contribution from neural crest</v>
      </c>
      <c r="G7025" s="9" t="s">
        <v>5090</v>
      </c>
      <c r="H7025" s="9" t="s">
        <v>23585</v>
      </c>
      <c r="I7025" s="9" t="s">
        <v>2374</v>
      </c>
      <c r="J7025" s="9" t="s">
        <v>2376</v>
      </c>
      <c r="K7025" s="7" t="s">
        <v>15171</v>
      </c>
      <c r="L7025" s="13">
        <v>9260</v>
      </c>
      <c r="M7025" t="str">
        <f>VLOOKUP(L7025,[1]HBA!$B$2:$C$4000,2,FALSE)</f>
        <v>ilf</v>
      </c>
    </row>
    <row r="7026" spans="2:13" x14ac:dyDescent="0.25">
      <c r="B7026" s="31" t="s">
        <v>26303</v>
      </c>
      <c r="C7026" s="25" t="s">
        <v>2374</v>
      </c>
      <c r="D7026" s="25" t="s">
        <v>26232</v>
      </c>
      <c r="E7026" s="25"/>
      <c r="F7026" s="9" t="str">
        <f t="shared" si="102"/>
        <v>structure with developmental contribution from neural crest</v>
      </c>
      <c r="G7026" s="9" t="s">
        <v>5090</v>
      </c>
      <c r="H7026" s="9" t="s">
        <v>23585</v>
      </c>
      <c r="I7026" s="9" t="s">
        <v>12891</v>
      </c>
      <c r="J7026" s="9" t="s">
        <v>12892</v>
      </c>
      <c r="K7026" s="7" t="s">
        <v>15171</v>
      </c>
      <c r="L7026" s="13">
        <v>9261</v>
      </c>
      <c r="M7026" t="str">
        <f>VLOOKUP(L7026,[1]HBA!$B$2:$C$4000,2,FALSE)</f>
        <v>ilf</v>
      </c>
    </row>
    <row r="7027" spans="2:13" x14ac:dyDescent="0.25">
      <c r="B7027" s="31" t="s">
        <v>26303</v>
      </c>
      <c r="C7027" s="25" t="s">
        <v>2374</v>
      </c>
      <c r="D7027" s="25" t="s">
        <v>26232</v>
      </c>
      <c r="E7027" s="25"/>
      <c r="F7027" s="9" t="str">
        <f t="shared" si="102"/>
        <v>structure with developmental contribution from neural crest</v>
      </c>
      <c r="G7027" s="9" t="s">
        <v>5090</v>
      </c>
      <c r="H7027" s="9" t="s">
        <v>23585</v>
      </c>
      <c r="I7027" s="9" t="s">
        <v>12893</v>
      </c>
      <c r="J7027" s="9" t="s">
        <v>12894</v>
      </c>
      <c r="K7027" s="7" t="s">
        <v>15171</v>
      </c>
      <c r="L7027" s="13">
        <v>9262</v>
      </c>
      <c r="M7027" t="str">
        <f>VLOOKUP(L7027,[1]HBA!$B$2:$C$4000,2,FALSE)</f>
        <v>ilf</v>
      </c>
    </row>
    <row r="7028" spans="2:13" x14ac:dyDescent="0.25">
      <c r="B7028" s="31" t="s">
        <v>26303</v>
      </c>
      <c r="C7028" s="25" t="s">
        <v>25976</v>
      </c>
      <c r="D7028" s="25" t="s">
        <v>26232</v>
      </c>
      <c r="E7028" s="25"/>
      <c r="F7028" s="9" t="str">
        <f t="shared" si="102"/>
        <v>structure with developmental contribution from neural crest</v>
      </c>
      <c r="G7028" s="9" t="s">
        <v>5090</v>
      </c>
      <c r="H7028" s="9" t="s">
        <v>18464</v>
      </c>
      <c r="I7028" s="9" t="s">
        <v>12895</v>
      </c>
      <c r="J7028" s="9" t="s">
        <v>12896</v>
      </c>
      <c r="K7028" s="7" t="s">
        <v>15171</v>
      </c>
      <c r="L7028" s="13">
        <v>9264</v>
      </c>
      <c r="M7028" t="str">
        <f>VLOOKUP(L7028,[1]HBA!$B$2:$C$4000,2,FALSE)</f>
        <v>ic</v>
      </c>
    </row>
    <row r="7029" spans="2:13" x14ac:dyDescent="0.25">
      <c r="B7029" s="31" t="s">
        <v>26303</v>
      </c>
      <c r="C7029" s="25" t="s">
        <v>25976</v>
      </c>
      <c r="D7029" s="25" t="s">
        <v>26232</v>
      </c>
      <c r="E7029" s="25"/>
      <c r="F7029" s="9" t="str">
        <f t="shared" si="102"/>
        <v>structure with developmental contribution from neural crest</v>
      </c>
      <c r="G7029" s="9" t="s">
        <v>5090</v>
      </c>
      <c r="H7029" s="9" t="s">
        <v>18464</v>
      </c>
      <c r="I7029" s="9" t="s">
        <v>12897</v>
      </c>
      <c r="J7029" s="9" t="s">
        <v>12898</v>
      </c>
      <c r="K7029" s="7" t="s">
        <v>15171</v>
      </c>
      <c r="L7029" s="13">
        <v>9265</v>
      </c>
      <c r="M7029" t="str">
        <f>VLOOKUP(L7029,[1]HBA!$B$2:$C$4000,2,FALSE)</f>
        <v>ic</v>
      </c>
    </row>
    <row r="7030" spans="2:13" x14ac:dyDescent="0.25">
      <c r="B7030" s="31" t="s">
        <v>26303</v>
      </c>
      <c r="C7030" s="25" t="s">
        <v>26015</v>
      </c>
      <c r="D7030" s="25" t="s">
        <v>26232</v>
      </c>
      <c r="E7030" s="25"/>
      <c r="F7030" s="9" t="str">
        <f t="shared" si="102"/>
        <v>structure with developmental contribution from neural crest</v>
      </c>
      <c r="G7030" s="9" t="s">
        <v>5090</v>
      </c>
      <c r="H7030" s="9" t="s">
        <v>20937</v>
      </c>
      <c r="I7030" s="9" t="s">
        <v>2876</v>
      </c>
      <c r="J7030" s="9" t="s">
        <v>2879</v>
      </c>
      <c r="K7030" s="7" t="s">
        <v>15171</v>
      </c>
      <c r="L7030" s="13">
        <v>9266</v>
      </c>
      <c r="M7030" t="str">
        <f>VLOOKUP(L7030,[1]HBA!$B$2:$C$4000,2,FALSE)</f>
        <v>mtt</v>
      </c>
    </row>
    <row r="7031" spans="2:13" x14ac:dyDescent="0.25">
      <c r="B7031" s="31" t="s">
        <v>26303</v>
      </c>
      <c r="C7031" s="25" t="s">
        <v>26015</v>
      </c>
      <c r="D7031" s="25" t="s">
        <v>26232</v>
      </c>
      <c r="E7031" s="25"/>
      <c r="F7031" s="9" t="str">
        <f t="shared" ref="F7031:F7094" si="103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7031" s="9" t="s">
        <v>5090</v>
      </c>
      <c r="H7031" s="9" t="s">
        <v>20937</v>
      </c>
      <c r="I7031" s="9" t="s">
        <v>12899</v>
      </c>
      <c r="J7031" s="9" t="s">
        <v>12900</v>
      </c>
      <c r="K7031" s="7" t="s">
        <v>15171</v>
      </c>
      <c r="L7031" s="13">
        <v>9267</v>
      </c>
      <c r="M7031" t="str">
        <f>VLOOKUP(L7031,[1]HBA!$B$2:$C$4000,2,FALSE)</f>
        <v>mtt</v>
      </c>
    </row>
    <row r="7032" spans="2:13" x14ac:dyDescent="0.25">
      <c r="B7032" s="31" t="s">
        <v>26303</v>
      </c>
      <c r="C7032" s="25" t="s">
        <v>26015</v>
      </c>
      <c r="D7032" s="25" t="s">
        <v>26232</v>
      </c>
      <c r="E7032" s="25"/>
      <c r="F7032" s="9" t="str">
        <f t="shared" si="103"/>
        <v>structure with developmental contribution from neural crest</v>
      </c>
      <c r="G7032" s="9" t="s">
        <v>5090</v>
      </c>
      <c r="H7032" s="9" t="s">
        <v>20937</v>
      </c>
      <c r="I7032" s="9" t="s">
        <v>12901</v>
      </c>
      <c r="J7032" s="9" t="s">
        <v>12902</v>
      </c>
      <c r="K7032" s="7" t="s">
        <v>15171</v>
      </c>
      <c r="L7032" s="13">
        <v>9268</v>
      </c>
      <c r="M7032" t="str">
        <f>VLOOKUP(L7032,[1]HBA!$B$2:$C$4000,2,FALSE)</f>
        <v>mtt</v>
      </c>
    </row>
    <row r="7033" spans="2:13" x14ac:dyDescent="0.25">
      <c r="B7033" s="31" t="s">
        <v>26303</v>
      </c>
      <c r="C7033" s="25" t="s">
        <v>3394</v>
      </c>
      <c r="D7033" s="25" t="s">
        <v>26232</v>
      </c>
      <c r="E7033" s="25"/>
      <c r="F7033" s="9" t="str">
        <f t="shared" si="103"/>
        <v>structure with developmental contribution from neural crest</v>
      </c>
      <c r="G7033" s="9" t="s">
        <v>5090</v>
      </c>
      <c r="H7033" s="9" t="s">
        <v>23619</v>
      </c>
      <c r="I7033" s="9" t="s">
        <v>3394</v>
      </c>
      <c r="J7033" s="9" t="s">
        <v>3396</v>
      </c>
      <c r="K7033" s="7" t="s">
        <v>15171</v>
      </c>
      <c r="L7033" s="13">
        <v>9269</v>
      </c>
      <c r="M7033" t="str">
        <f>VLOOKUP(L7033,[1]HBA!$B$2:$C$4000,2,FALSE)</f>
        <v>off</v>
      </c>
    </row>
    <row r="7034" spans="2:13" x14ac:dyDescent="0.25">
      <c r="B7034" s="31" t="s">
        <v>26303</v>
      </c>
      <c r="C7034" s="25" t="s">
        <v>3394</v>
      </c>
      <c r="D7034" s="25" t="s">
        <v>26232</v>
      </c>
      <c r="E7034" s="25"/>
      <c r="F7034" s="9" t="str">
        <f t="shared" si="103"/>
        <v>structure with developmental contribution from neural crest</v>
      </c>
      <c r="G7034" s="9" t="s">
        <v>5090</v>
      </c>
      <c r="H7034" s="9" t="s">
        <v>23619</v>
      </c>
      <c r="I7034" s="9" t="s">
        <v>12903</v>
      </c>
      <c r="J7034" s="9" t="s">
        <v>12904</v>
      </c>
      <c r="K7034" s="7" t="s">
        <v>15171</v>
      </c>
      <c r="L7034" s="13">
        <v>9270</v>
      </c>
      <c r="M7034" t="str">
        <f>VLOOKUP(L7034,[1]HBA!$B$2:$C$4000,2,FALSE)</f>
        <v>off</v>
      </c>
    </row>
    <row r="7035" spans="2:13" x14ac:dyDescent="0.25">
      <c r="B7035" s="31" t="s">
        <v>26303</v>
      </c>
      <c r="C7035" s="25" t="s">
        <v>3394</v>
      </c>
      <c r="D7035" s="25" t="s">
        <v>26232</v>
      </c>
      <c r="E7035" s="25"/>
      <c r="F7035" s="9" t="str">
        <f t="shared" si="103"/>
        <v>structure with developmental contribution from neural crest</v>
      </c>
      <c r="G7035" s="9" t="s">
        <v>5090</v>
      </c>
      <c r="H7035" s="9" t="s">
        <v>23619</v>
      </c>
      <c r="I7035" s="9" t="s">
        <v>12905</v>
      </c>
      <c r="J7035" s="9" t="s">
        <v>12906</v>
      </c>
      <c r="K7035" s="7" t="s">
        <v>15171</v>
      </c>
      <c r="L7035" s="13">
        <v>9271</v>
      </c>
      <c r="M7035" t="str">
        <f>VLOOKUP(L7035,[1]HBA!$B$2:$C$4000,2,FALSE)</f>
        <v>off</v>
      </c>
    </row>
    <row r="7036" spans="2:13" x14ac:dyDescent="0.25">
      <c r="B7036" s="31" t="s">
        <v>26303</v>
      </c>
      <c r="C7036" s="20"/>
      <c r="D7036" s="25" t="s">
        <v>26232</v>
      </c>
      <c r="E7036" s="25" t="s">
        <v>26300</v>
      </c>
      <c r="F7036" s="9" t="str">
        <f t="shared" si="103"/>
        <v>structure with developmental contribution from neural crest</v>
      </c>
      <c r="G7036" s="9" t="s">
        <v>5090</v>
      </c>
      <c r="H7036" s="9" t="s">
        <v>20977</v>
      </c>
      <c r="I7036" s="9" t="s">
        <v>12907</v>
      </c>
      <c r="J7036" s="9" t="s">
        <v>12908</v>
      </c>
      <c r="K7036" s="7" t="s">
        <v>15171</v>
      </c>
      <c r="L7036" s="13">
        <v>9272</v>
      </c>
      <c r="M7036" t="str">
        <f>VLOOKUP(L7036,[1]HBA!$B$2:$C$4000,2,FALSE)</f>
        <v>ppf</v>
      </c>
    </row>
    <row r="7037" spans="2:13" x14ac:dyDescent="0.25">
      <c r="B7037" s="31" t="s">
        <v>26303</v>
      </c>
      <c r="C7037" s="20"/>
      <c r="D7037" s="25" t="s">
        <v>26232</v>
      </c>
      <c r="E7037" s="25" t="s">
        <v>26300</v>
      </c>
      <c r="F7037" s="9" t="str">
        <f t="shared" si="103"/>
        <v>structure with developmental contribution from neural crest</v>
      </c>
      <c r="G7037" s="9" t="s">
        <v>5090</v>
      </c>
      <c r="H7037" s="9" t="s">
        <v>20977</v>
      </c>
      <c r="I7037" s="9" t="s">
        <v>12909</v>
      </c>
      <c r="J7037" s="9" t="s">
        <v>12910</v>
      </c>
      <c r="K7037" s="7" t="s">
        <v>15171</v>
      </c>
      <c r="L7037" s="13">
        <v>9273</v>
      </c>
      <c r="M7037" t="str">
        <f>VLOOKUP(L7037,[1]HBA!$B$2:$C$4000,2,FALSE)</f>
        <v>ppf</v>
      </c>
    </row>
    <row r="7038" spans="2:13" x14ac:dyDescent="0.25">
      <c r="B7038" s="31" t="s">
        <v>26303</v>
      </c>
      <c r="C7038" s="20"/>
      <c r="D7038" s="25" t="s">
        <v>26232</v>
      </c>
      <c r="E7038" s="25" t="s">
        <v>26300</v>
      </c>
      <c r="F7038" s="9" t="str">
        <f t="shared" si="103"/>
        <v>structure with developmental contribution from neural crest</v>
      </c>
      <c r="G7038" s="9" t="s">
        <v>5090</v>
      </c>
      <c r="H7038" s="9" t="s">
        <v>20977</v>
      </c>
      <c r="I7038" s="9" t="s">
        <v>12911</v>
      </c>
      <c r="J7038" s="9" t="s">
        <v>12912</v>
      </c>
      <c r="K7038" s="7" t="s">
        <v>15171</v>
      </c>
      <c r="L7038" s="13">
        <v>9274</v>
      </c>
      <c r="M7038" t="str">
        <f>VLOOKUP(L7038,[1]HBA!$B$2:$C$4000,2,FALSE)</f>
        <v>ppf</v>
      </c>
    </row>
    <row r="7039" spans="2:13" x14ac:dyDescent="0.25">
      <c r="B7039" s="31" t="s">
        <v>26303</v>
      </c>
      <c r="C7039" s="25" t="s">
        <v>5076</v>
      </c>
      <c r="D7039" s="25" t="s">
        <v>26232</v>
      </c>
      <c r="E7039" s="25"/>
      <c r="F7039" s="9" t="str">
        <f t="shared" si="103"/>
        <v>structure with developmental contribution from neural crest</v>
      </c>
      <c r="G7039" s="9" t="s">
        <v>5090</v>
      </c>
      <c r="H7039" s="9" t="s">
        <v>18496</v>
      </c>
      <c r="I7039" s="9" t="s">
        <v>12913</v>
      </c>
      <c r="J7039" s="9" t="s">
        <v>12914</v>
      </c>
      <c r="K7039" s="7" t="s">
        <v>15171</v>
      </c>
      <c r="L7039" s="13">
        <v>9276</v>
      </c>
      <c r="M7039" t="str">
        <f>VLOOKUP(L7039,[1]HBA!$B$2:$C$4000,2,FALSE)</f>
        <v>sm</v>
      </c>
    </row>
    <row r="7040" spans="2:13" x14ac:dyDescent="0.25">
      <c r="B7040" s="31" t="s">
        <v>26303</v>
      </c>
      <c r="C7040" s="25" t="s">
        <v>5076</v>
      </c>
      <c r="D7040" s="25" t="s">
        <v>26232</v>
      </c>
      <c r="E7040" s="25"/>
      <c r="F7040" s="9" t="str">
        <f t="shared" si="103"/>
        <v>structure with developmental contribution from neural crest</v>
      </c>
      <c r="G7040" s="9" t="s">
        <v>5090</v>
      </c>
      <c r="H7040" s="9" t="s">
        <v>18496</v>
      </c>
      <c r="I7040" s="9" t="s">
        <v>12915</v>
      </c>
      <c r="J7040" s="9" t="s">
        <v>12916</v>
      </c>
      <c r="K7040" s="7" t="s">
        <v>15171</v>
      </c>
      <c r="L7040" s="13">
        <v>9277</v>
      </c>
      <c r="M7040" t="str">
        <f>VLOOKUP(L7040,[1]HBA!$B$2:$C$4000,2,FALSE)</f>
        <v>sm</v>
      </c>
    </row>
    <row r="7041" spans="2:13" x14ac:dyDescent="0.25">
      <c r="B7041" s="31" t="s">
        <v>26303</v>
      </c>
      <c r="C7041" s="25" t="s">
        <v>5082</v>
      </c>
      <c r="D7041" s="25" t="s">
        <v>26232</v>
      </c>
      <c r="E7041" s="25"/>
      <c r="F7041" s="9" t="str">
        <f t="shared" si="103"/>
        <v>structure with developmental contribution from neural crest</v>
      </c>
      <c r="G7041" s="9" t="s">
        <v>5090</v>
      </c>
      <c r="H7041" s="9" t="s">
        <v>18501</v>
      </c>
      <c r="I7041" s="9" t="s">
        <v>12917</v>
      </c>
      <c r="J7041" s="9" t="s">
        <v>12918</v>
      </c>
      <c r="K7041" s="7" t="s">
        <v>15171</v>
      </c>
      <c r="L7041" s="13">
        <v>9279</v>
      </c>
      <c r="M7041" t="str">
        <f>VLOOKUP(L7041,[1]HBA!$B$2:$C$4000,2,FALSE)</f>
        <v>st</v>
      </c>
    </row>
    <row r="7042" spans="2:13" x14ac:dyDescent="0.25">
      <c r="B7042" s="31" t="s">
        <v>26303</v>
      </c>
      <c r="C7042" s="25" t="s">
        <v>5082</v>
      </c>
      <c r="D7042" s="25" t="s">
        <v>26232</v>
      </c>
      <c r="E7042" s="25"/>
      <c r="F7042" s="9" t="str">
        <f t="shared" si="103"/>
        <v>structure with developmental contribution from neural crest</v>
      </c>
      <c r="G7042" s="9" t="s">
        <v>5090</v>
      </c>
      <c r="H7042" s="9" t="s">
        <v>18501</v>
      </c>
      <c r="I7042" s="9" t="s">
        <v>12919</v>
      </c>
      <c r="J7042" s="9" t="s">
        <v>12920</v>
      </c>
      <c r="K7042" s="7" t="s">
        <v>15171</v>
      </c>
      <c r="L7042" s="13">
        <v>9280</v>
      </c>
      <c r="M7042" t="str">
        <f>VLOOKUP(L7042,[1]HBA!$B$2:$C$4000,2,FALSE)</f>
        <v>st</v>
      </c>
    </row>
    <row r="7043" spans="2:13" x14ac:dyDescent="0.25">
      <c r="B7043" s="31" t="s">
        <v>26303</v>
      </c>
      <c r="C7043" s="25" t="s">
        <v>5397</v>
      </c>
      <c r="D7043" s="25" t="s">
        <v>26232</v>
      </c>
      <c r="E7043" s="25"/>
      <c r="F7043" s="9" t="str">
        <f t="shared" si="103"/>
        <v>structure with developmental contribution from neural crest</v>
      </c>
      <c r="G7043" s="9" t="s">
        <v>5090</v>
      </c>
      <c r="H7043" s="9" t="s">
        <v>23651</v>
      </c>
      <c r="I7043" s="9" t="s">
        <v>5397</v>
      </c>
      <c r="J7043" s="9" t="s">
        <v>12921</v>
      </c>
      <c r="K7043" s="7" t="s">
        <v>15171</v>
      </c>
      <c r="L7043" s="13">
        <v>9281</v>
      </c>
      <c r="M7043" t="str">
        <f>VLOOKUP(L7043,[1]HBA!$B$2:$C$4000,2,FALSE)</f>
        <v>slf</v>
      </c>
    </row>
    <row r="7044" spans="2:13" x14ac:dyDescent="0.25">
      <c r="B7044" s="31" t="s">
        <v>26303</v>
      </c>
      <c r="C7044" s="25" t="s">
        <v>5397</v>
      </c>
      <c r="D7044" s="25" t="s">
        <v>26232</v>
      </c>
      <c r="E7044" s="25"/>
      <c r="F7044" s="9" t="str">
        <f t="shared" si="103"/>
        <v>structure with developmental contribution from neural crest</v>
      </c>
      <c r="G7044" s="9" t="s">
        <v>5090</v>
      </c>
      <c r="H7044" s="9" t="s">
        <v>23651</v>
      </c>
      <c r="I7044" s="9" t="s">
        <v>12922</v>
      </c>
      <c r="J7044" s="9" t="s">
        <v>12923</v>
      </c>
      <c r="K7044" s="7" t="s">
        <v>15171</v>
      </c>
      <c r="L7044" s="13">
        <v>9282</v>
      </c>
      <c r="M7044" t="str">
        <f>VLOOKUP(L7044,[1]HBA!$B$2:$C$4000,2,FALSE)</f>
        <v>slf</v>
      </c>
    </row>
    <row r="7045" spans="2:13" x14ac:dyDescent="0.25">
      <c r="B7045" s="31" t="s">
        <v>26303</v>
      </c>
      <c r="C7045" s="25" t="s">
        <v>5397</v>
      </c>
      <c r="D7045" s="25" t="s">
        <v>26232</v>
      </c>
      <c r="E7045" s="25"/>
      <c r="F7045" s="9" t="str">
        <f t="shared" si="103"/>
        <v>structure with developmental contribution from neural crest</v>
      </c>
      <c r="G7045" s="9" t="s">
        <v>5090</v>
      </c>
      <c r="H7045" s="9" t="s">
        <v>23651</v>
      </c>
      <c r="I7045" s="9" t="s">
        <v>12924</v>
      </c>
      <c r="J7045" s="9" t="s">
        <v>12925</v>
      </c>
      <c r="K7045" s="7" t="s">
        <v>15171</v>
      </c>
      <c r="L7045" s="13">
        <v>9283</v>
      </c>
      <c r="M7045" t="str">
        <f>VLOOKUP(L7045,[1]HBA!$B$2:$C$4000,2,FALSE)</f>
        <v>slf</v>
      </c>
    </row>
    <row r="7046" spans="2:13" x14ac:dyDescent="0.25">
      <c r="B7046" s="31" t="s">
        <v>26303</v>
      </c>
      <c r="C7046" s="25" t="s">
        <v>15014</v>
      </c>
      <c r="D7046" s="25" t="s">
        <v>26232</v>
      </c>
      <c r="E7046" s="25"/>
      <c r="F7046" s="9" t="str">
        <f t="shared" si="103"/>
        <v>structure with developmental contribution from neural crest</v>
      </c>
      <c r="G7046" s="9" t="s">
        <v>5090</v>
      </c>
      <c r="H7046" s="9" t="s">
        <v>20804</v>
      </c>
      <c r="I7046" s="9" t="s">
        <v>12926</v>
      </c>
      <c r="J7046" s="9" t="s">
        <v>12927</v>
      </c>
      <c r="K7046" s="7" t="s">
        <v>15171</v>
      </c>
      <c r="L7046" s="13">
        <v>9285</v>
      </c>
      <c r="M7046" t="str">
        <f>VLOOKUP(L7046,[1]HBA!$B$2:$C$4000,2,FALSE)</f>
        <v>uf</v>
      </c>
    </row>
    <row r="7047" spans="2:13" x14ac:dyDescent="0.25">
      <c r="B7047" s="31" t="s">
        <v>26303</v>
      </c>
      <c r="C7047" s="25" t="s">
        <v>15014</v>
      </c>
      <c r="D7047" s="25" t="s">
        <v>26232</v>
      </c>
      <c r="E7047" s="25"/>
      <c r="F7047" s="9" t="str">
        <f t="shared" si="103"/>
        <v>structure with developmental contribution from neural crest</v>
      </c>
      <c r="G7047" s="9" t="s">
        <v>5090</v>
      </c>
      <c r="H7047" s="9" t="s">
        <v>20804</v>
      </c>
      <c r="I7047" s="9" t="s">
        <v>12928</v>
      </c>
      <c r="J7047" s="9" t="s">
        <v>12929</v>
      </c>
      <c r="K7047" s="7" t="s">
        <v>15171</v>
      </c>
      <c r="L7047" s="13">
        <v>9286</v>
      </c>
      <c r="M7047" t="str">
        <f>VLOOKUP(L7047,[1]HBA!$B$2:$C$4000,2,FALSE)</f>
        <v>uf</v>
      </c>
    </row>
    <row r="7048" spans="2:13" x14ac:dyDescent="0.25">
      <c r="B7048" s="37" t="s">
        <v>26303</v>
      </c>
      <c r="C7048" s="25" t="s">
        <v>2350</v>
      </c>
      <c r="D7048" s="25" t="s">
        <v>26232</v>
      </c>
      <c r="E7048" s="25"/>
      <c r="F7048" s="9" t="str">
        <f t="shared" si="103"/>
        <v>structure with developmental contribution from neural crest</v>
      </c>
      <c r="G7048" s="9" t="s">
        <v>5090</v>
      </c>
      <c r="H7048" s="9" t="s">
        <v>18467</v>
      </c>
      <c r="I7048" s="9" t="s">
        <v>2350</v>
      </c>
      <c r="J7048" s="9" t="s">
        <v>12930</v>
      </c>
      <c r="K7048" s="7" t="s">
        <v>15171</v>
      </c>
      <c r="L7048" s="13">
        <v>9289</v>
      </c>
      <c r="M7048" t="str">
        <f>VLOOKUP(L7048,[1]HBA!$B$2:$C$4000,2,FALSE)</f>
        <v>icp</v>
      </c>
    </row>
    <row r="7049" spans="2:13" x14ac:dyDescent="0.25">
      <c r="B7049" s="37" t="s">
        <v>26303</v>
      </c>
      <c r="C7049" s="25" t="s">
        <v>2350</v>
      </c>
      <c r="D7049" s="25" t="s">
        <v>26232</v>
      </c>
      <c r="E7049" s="25"/>
      <c r="F7049" s="9" t="str">
        <f t="shared" si="103"/>
        <v>structure with developmental contribution from neural crest</v>
      </c>
      <c r="G7049" s="9" t="s">
        <v>5090</v>
      </c>
      <c r="H7049" s="9" t="s">
        <v>18467</v>
      </c>
      <c r="I7049" s="9" t="s">
        <v>12931</v>
      </c>
      <c r="J7049" s="9" t="s">
        <v>12932</v>
      </c>
      <c r="K7049" s="7" t="s">
        <v>15171</v>
      </c>
      <c r="L7049" s="13">
        <v>9290</v>
      </c>
      <c r="M7049" t="str">
        <f>VLOOKUP(L7049,[1]HBA!$B$2:$C$4000,2,FALSE)</f>
        <v>icp</v>
      </c>
    </row>
    <row r="7050" spans="2:13" x14ac:dyDescent="0.25">
      <c r="B7050" s="37" t="s">
        <v>26303</v>
      </c>
      <c r="C7050" s="25" t="s">
        <v>3146</v>
      </c>
      <c r="D7050" s="25" t="s">
        <v>26232</v>
      </c>
      <c r="E7050" s="25"/>
      <c r="F7050" s="9" t="str">
        <f t="shared" si="103"/>
        <v>structure with developmental contribution from neural crest</v>
      </c>
      <c r="G7050" s="9" t="s">
        <v>5090</v>
      </c>
      <c r="H7050" s="9" t="s">
        <v>18470</v>
      </c>
      <c r="I7050" s="9" t="s">
        <v>3146</v>
      </c>
      <c r="J7050" s="9" t="s">
        <v>12933</v>
      </c>
      <c r="K7050" s="7" t="s">
        <v>15171</v>
      </c>
      <c r="L7050" s="13">
        <v>9292</v>
      </c>
      <c r="M7050" t="str">
        <f>VLOOKUP(L7050,[1]HBA!$B$2:$C$4000,2,FALSE)</f>
        <v>mcp</v>
      </c>
    </row>
    <row r="7051" spans="2:13" x14ac:dyDescent="0.25">
      <c r="B7051" s="37" t="s">
        <v>26303</v>
      </c>
      <c r="C7051" s="25" t="s">
        <v>3146</v>
      </c>
      <c r="D7051" s="25" t="s">
        <v>26232</v>
      </c>
      <c r="E7051" s="25"/>
      <c r="F7051" s="9" t="str">
        <f t="shared" si="103"/>
        <v>structure with developmental contribution from neural crest</v>
      </c>
      <c r="G7051" s="9" t="s">
        <v>5090</v>
      </c>
      <c r="H7051" s="9" t="s">
        <v>18470</v>
      </c>
      <c r="I7051" s="9" t="s">
        <v>12934</v>
      </c>
      <c r="J7051" s="9" t="s">
        <v>12935</v>
      </c>
      <c r="K7051" s="7" t="s">
        <v>15171</v>
      </c>
      <c r="L7051" s="13">
        <v>9293</v>
      </c>
      <c r="M7051" t="str">
        <f>VLOOKUP(L7051,[1]HBA!$B$2:$C$4000,2,FALSE)</f>
        <v>mcp</v>
      </c>
    </row>
    <row r="7052" spans="2:13" x14ac:dyDescent="0.25">
      <c r="B7052" s="37" t="s">
        <v>26303</v>
      </c>
      <c r="C7052" s="25" t="s">
        <v>12936</v>
      </c>
      <c r="D7052" s="25" t="s">
        <v>26232</v>
      </c>
      <c r="E7052" s="25"/>
      <c r="F7052" s="9" t="str">
        <f t="shared" si="103"/>
        <v>structure with developmental contribution from neural crest</v>
      </c>
      <c r="G7052" s="9" t="s">
        <v>5090</v>
      </c>
      <c r="H7052" s="9" t="s">
        <v>18495</v>
      </c>
      <c r="I7052" s="9" t="s">
        <v>12936</v>
      </c>
      <c r="J7052" s="9" t="s">
        <v>12937</v>
      </c>
      <c r="K7052" s="7" t="s">
        <v>15171</v>
      </c>
      <c r="L7052" s="13">
        <v>9295</v>
      </c>
      <c r="M7052" t="str">
        <f>VLOOKUP(L7052,[1]HBA!$B$2:$C$4000,2,FALSE)</f>
        <v>scp</v>
      </c>
    </row>
    <row r="7053" spans="2:13" x14ac:dyDescent="0.25">
      <c r="B7053" s="37" t="s">
        <v>26303</v>
      </c>
      <c r="C7053" s="25" t="s">
        <v>12936</v>
      </c>
      <c r="D7053" s="25" t="s">
        <v>26232</v>
      </c>
      <c r="E7053" s="25"/>
      <c r="F7053" s="9" t="str">
        <f t="shared" si="103"/>
        <v>structure with developmental contribution from neural crest</v>
      </c>
      <c r="G7053" s="9" t="s">
        <v>5090</v>
      </c>
      <c r="H7053" s="9" t="s">
        <v>18495</v>
      </c>
      <c r="I7053" s="9" t="s">
        <v>12938</v>
      </c>
      <c r="J7053" s="9" t="s">
        <v>12939</v>
      </c>
      <c r="K7053" s="7" t="s">
        <v>15171</v>
      </c>
      <c r="L7053" s="13">
        <v>9296</v>
      </c>
      <c r="M7053" t="str">
        <f>VLOOKUP(L7053,[1]HBA!$B$2:$C$4000,2,FALSE)</f>
        <v>scp</v>
      </c>
    </row>
    <row r="7054" spans="2:13" x14ac:dyDescent="0.25">
      <c r="B7054" s="31" t="s">
        <v>26303</v>
      </c>
      <c r="C7054" s="25" t="s">
        <v>25892</v>
      </c>
      <c r="D7054" s="25" t="s">
        <v>26232</v>
      </c>
      <c r="E7054" s="25"/>
      <c r="F7054" s="9" t="str">
        <f t="shared" si="103"/>
        <v>structure with developmental contribution from neural crest</v>
      </c>
      <c r="G7054" s="9" t="s">
        <v>5090</v>
      </c>
      <c r="H7054" s="9" t="s">
        <v>20397</v>
      </c>
      <c r="I7054" s="9" t="s">
        <v>979</v>
      </c>
      <c r="J7054" s="9" t="s">
        <v>980</v>
      </c>
      <c r="K7054" s="7" t="s">
        <v>15171</v>
      </c>
      <c r="L7054" s="13">
        <v>9299</v>
      </c>
      <c r="M7054" t="str">
        <f>VLOOKUP(L7054,[1]HBA!$B$2:$C$4000,2,FALSE)</f>
        <v>CN</v>
      </c>
    </row>
    <row r="7055" spans="2:13" x14ac:dyDescent="0.25">
      <c r="B7055" s="31" t="s">
        <v>26303</v>
      </c>
      <c r="C7055" s="25" t="s">
        <v>3456</v>
      </c>
      <c r="D7055" s="25" t="s">
        <v>26232</v>
      </c>
      <c r="E7055" s="25"/>
      <c r="F7055" s="9" t="str">
        <f t="shared" si="103"/>
        <v>structure with developmental contribution from neural crest</v>
      </c>
      <c r="G7055" s="9" t="s">
        <v>5090</v>
      </c>
      <c r="H7055" s="9" t="s">
        <v>25508</v>
      </c>
      <c r="I7055" s="9" t="s">
        <v>12940</v>
      </c>
      <c r="J7055" s="9" t="s">
        <v>12941</v>
      </c>
      <c r="K7055" s="7" t="s">
        <v>15171</v>
      </c>
      <c r="L7055" s="13">
        <v>9301</v>
      </c>
      <c r="M7055" t="str">
        <f>VLOOKUP(L7055,[1]HBA!$B$2:$C$4000,2,FALSE)</f>
        <v>1n</v>
      </c>
    </row>
    <row r="7056" spans="2:13" x14ac:dyDescent="0.25">
      <c r="B7056" s="31" t="s">
        <v>26303</v>
      </c>
      <c r="C7056" s="25" t="s">
        <v>3464</v>
      </c>
      <c r="D7056" s="25" t="s">
        <v>26232</v>
      </c>
      <c r="E7056" s="25"/>
      <c r="F7056" s="9" t="str">
        <f t="shared" si="103"/>
        <v>structure with developmental contribution from neural crest</v>
      </c>
      <c r="G7056" s="9" t="s">
        <v>5090</v>
      </c>
      <c r="H7056" s="9" t="s">
        <v>25509</v>
      </c>
      <c r="I7056" s="9" t="s">
        <v>3468</v>
      </c>
      <c r="J7056" s="9" t="s">
        <v>3469</v>
      </c>
      <c r="K7056" s="7" t="s">
        <v>15171</v>
      </c>
      <c r="L7056" s="13">
        <v>9302</v>
      </c>
      <c r="M7056" t="str">
        <f>VLOOKUP(L7056,[1]HBA!$B$2:$C$4000,2,FALSE)</f>
        <v>olf</v>
      </c>
    </row>
    <row r="7057" spans="2:14" x14ac:dyDescent="0.25">
      <c r="B7057" s="31" t="s">
        <v>26303</v>
      </c>
      <c r="C7057" s="25" t="s">
        <v>3456</v>
      </c>
      <c r="D7057" s="25" t="s">
        <v>26232</v>
      </c>
      <c r="E7057" s="25"/>
      <c r="F7057" s="9" t="str">
        <f t="shared" si="103"/>
        <v>structure with developmental contribution from neural crest</v>
      </c>
      <c r="G7057" s="9" t="s">
        <v>5090</v>
      </c>
      <c r="H7057" s="9" t="s">
        <v>25508</v>
      </c>
      <c r="I7057" s="9" t="s">
        <v>12942</v>
      </c>
      <c r="J7057" s="9" t="s">
        <v>12943</v>
      </c>
      <c r="K7057" s="7" t="s">
        <v>15171</v>
      </c>
      <c r="L7057" s="13">
        <v>9304</v>
      </c>
      <c r="M7057" t="str">
        <f>VLOOKUP(L7057,[1]HBA!$B$2:$C$4000,2,FALSE)</f>
        <v>1n</v>
      </c>
    </row>
    <row r="7058" spans="2:14" x14ac:dyDescent="0.25">
      <c r="B7058" s="31" t="s">
        <v>26303</v>
      </c>
      <c r="C7058" s="25" t="s">
        <v>3464</v>
      </c>
      <c r="D7058" s="25" t="s">
        <v>26232</v>
      </c>
      <c r="E7058" s="25"/>
      <c r="F7058" s="9" t="str">
        <f t="shared" si="103"/>
        <v>structure with developmental contribution from neural crest</v>
      </c>
      <c r="G7058" s="9" t="s">
        <v>5090</v>
      </c>
      <c r="H7058" s="9" t="s">
        <v>25509</v>
      </c>
      <c r="I7058" s="9" t="s">
        <v>12944</v>
      </c>
      <c r="J7058" s="9" t="s">
        <v>12945</v>
      </c>
      <c r="K7058" s="7" t="s">
        <v>15171</v>
      </c>
      <c r="L7058" s="13">
        <v>9305</v>
      </c>
      <c r="M7058" t="str">
        <f>VLOOKUP(L7058,[1]HBA!$B$2:$C$4000,2,FALSE)</f>
        <v>olf</v>
      </c>
    </row>
    <row r="7059" spans="2:14" x14ac:dyDescent="0.25">
      <c r="B7059" s="31" t="s">
        <v>26303</v>
      </c>
      <c r="C7059" s="25" t="s">
        <v>3417</v>
      </c>
      <c r="D7059" s="25" t="s">
        <v>26232</v>
      </c>
      <c r="E7059" s="25"/>
      <c r="F7059" s="9" t="str">
        <f t="shared" si="103"/>
        <v>structure with developmental contribution from neural crest</v>
      </c>
      <c r="G7059" s="9" t="s">
        <v>5090</v>
      </c>
      <c r="H7059" s="9" t="s">
        <v>25510</v>
      </c>
      <c r="I7059" s="9" t="s">
        <v>12946</v>
      </c>
      <c r="J7059" s="9" t="s">
        <v>12947</v>
      </c>
      <c r="K7059" s="7" t="s">
        <v>15171</v>
      </c>
      <c r="L7059" s="13">
        <v>9306</v>
      </c>
      <c r="M7059" t="str">
        <f>VLOOKUP(L7059,[1]HBA!$B$2:$C$4000,2,FALSE)</f>
        <v>Olf</v>
      </c>
    </row>
    <row r="7060" spans="2:14" x14ac:dyDescent="0.25">
      <c r="B7060" s="31" t="s">
        <v>26303</v>
      </c>
      <c r="C7060" s="25" t="s">
        <v>25893</v>
      </c>
      <c r="D7060" s="25" t="s">
        <v>26232</v>
      </c>
      <c r="E7060" s="25"/>
      <c r="F7060" s="9" t="str">
        <f t="shared" si="103"/>
        <v>structure with developmental contribution from neural crest</v>
      </c>
      <c r="G7060" s="9" t="s">
        <v>5090</v>
      </c>
      <c r="H7060" s="9" t="s">
        <v>25511</v>
      </c>
      <c r="I7060" s="9" t="s">
        <v>1384</v>
      </c>
      <c r="J7060" s="9" t="s">
        <v>1386</v>
      </c>
      <c r="K7060" s="7" t="s">
        <v>15171</v>
      </c>
      <c r="L7060" s="13">
        <v>9307</v>
      </c>
      <c r="M7060" t="str">
        <f>VLOOKUP(L7060,[1]HBA!$B$2:$C$4000,2,FALSE)</f>
        <v>2n</v>
      </c>
    </row>
    <row r="7061" spans="2:14" x14ac:dyDescent="0.25">
      <c r="B7061" s="31" t="s">
        <v>26303</v>
      </c>
      <c r="C7061" s="25" t="s">
        <v>25893</v>
      </c>
      <c r="D7061" s="25" t="s">
        <v>26232</v>
      </c>
      <c r="E7061" s="25"/>
      <c r="F7061" s="9" t="str">
        <f t="shared" si="103"/>
        <v>structure with developmental contribution from neural crest</v>
      </c>
      <c r="G7061" s="9" t="s">
        <v>5090</v>
      </c>
      <c r="H7061" s="9" t="s">
        <v>25511</v>
      </c>
      <c r="I7061" s="9" t="s">
        <v>12948</v>
      </c>
      <c r="J7061" s="9" t="s">
        <v>12949</v>
      </c>
      <c r="K7061" s="7" t="s">
        <v>15171</v>
      </c>
      <c r="L7061" s="13">
        <v>9308</v>
      </c>
      <c r="M7061" t="str">
        <f>VLOOKUP(L7061,[1]HBA!$B$2:$C$4000,2,FALSE)</f>
        <v>2n</v>
      </c>
    </row>
    <row r="7062" spans="2:14" x14ac:dyDescent="0.25">
      <c r="B7062" s="31" t="s">
        <v>26303</v>
      </c>
      <c r="C7062" s="25" t="s">
        <v>3504</v>
      </c>
      <c r="D7062" s="25" t="s">
        <v>26232</v>
      </c>
      <c r="E7062" s="25"/>
      <c r="F7062" s="9" t="str">
        <f t="shared" si="103"/>
        <v>structure with developmental contribution from neural crest</v>
      </c>
      <c r="G7062" s="9" t="s">
        <v>5090</v>
      </c>
      <c r="H7062" s="9" t="s">
        <v>18483</v>
      </c>
      <c r="I7062" s="9" t="s">
        <v>3507</v>
      </c>
      <c r="J7062" s="9" t="s">
        <v>3508</v>
      </c>
      <c r="K7062" s="7" t="s">
        <v>15171</v>
      </c>
      <c r="L7062" s="13">
        <v>9309</v>
      </c>
      <c r="M7062" t="str">
        <f>VLOOKUP(L7062,[1]HBA!$B$2:$C$4000,2,FALSE)</f>
        <v>opt</v>
      </c>
    </row>
    <row r="7063" spans="2:14" x14ac:dyDescent="0.25">
      <c r="B7063" s="31" t="s">
        <v>26303</v>
      </c>
      <c r="C7063" s="25" t="s">
        <v>26075</v>
      </c>
      <c r="D7063" s="25" t="s">
        <v>26232</v>
      </c>
      <c r="E7063" s="25"/>
      <c r="F7063" s="9" t="str">
        <f t="shared" si="103"/>
        <v>structure with developmental contribution from neural crest</v>
      </c>
      <c r="G7063" s="9" t="s">
        <v>5090</v>
      </c>
      <c r="H7063" s="9" t="s">
        <v>23626</v>
      </c>
      <c r="I7063" s="9" t="s">
        <v>3495</v>
      </c>
      <c r="J7063" s="9" t="s">
        <v>3496</v>
      </c>
      <c r="K7063" s="7" t="s">
        <v>15171</v>
      </c>
      <c r="L7063" s="13">
        <v>9310</v>
      </c>
      <c r="M7063" t="str">
        <f>VLOOKUP(L7063,[1]HBA!$B$2:$C$4000,2,FALSE)</f>
        <v>ox</v>
      </c>
    </row>
    <row r="7064" spans="2:14" x14ac:dyDescent="0.25">
      <c r="B7064" s="31" t="s">
        <v>26303</v>
      </c>
      <c r="C7064" s="25" t="s">
        <v>25893</v>
      </c>
      <c r="D7064" s="25" t="s">
        <v>26232</v>
      </c>
      <c r="E7064" s="25"/>
      <c r="F7064" s="9" t="str">
        <f t="shared" si="103"/>
        <v>structure with developmental contribution from neural crest</v>
      </c>
      <c r="G7064" s="9" t="s">
        <v>5090</v>
      </c>
      <c r="H7064" s="9" t="s">
        <v>25511</v>
      </c>
      <c r="I7064" s="9" t="s">
        <v>12950</v>
      </c>
      <c r="J7064" s="9" t="s">
        <v>12951</v>
      </c>
      <c r="K7064" s="7" t="s">
        <v>15171</v>
      </c>
      <c r="L7064" s="13">
        <v>9312</v>
      </c>
      <c r="M7064" t="str">
        <f>VLOOKUP(L7064,[1]HBA!$B$2:$C$4000,2,FALSE)</f>
        <v>2n</v>
      </c>
    </row>
    <row r="7065" spans="2:14" x14ac:dyDescent="0.25">
      <c r="B7065" s="31" t="s">
        <v>26303</v>
      </c>
      <c r="C7065" s="25" t="s">
        <v>3504</v>
      </c>
      <c r="D7065" s="25" t="s">
        <v>26232</v>
      </c>
      <c r="E7065" s="25"/>
      <c r="F7065" s="9" t="str">
        <f t="shared" si="103"/>
        <v>structure with developmental contribution from neural crest</v>
      </c>
      <c r="G7065" s="9" t="s">
        <v>5090</v>
      </c>
      <c r="H7065" s="9" t="s">
        <v>18483</v>
      </c>
      <c r="I7065" s="9" t="s">
        <v>12952</v>
      </c>
      <c r="J7065" s="9" t="s">
        <v>12953</v>
      </c>
      <c r="K7065" s="7" t="s">
        <v>15171</v>
      </c>
      <c r="L7065" s="13">
        <v>9313</v>
      </c>
      <c r="M7065" t="str">
        <f>VLOOKUP(L7065,[1]HBA!$B$2:$C$4000,2,FALSE)</f>
        <v>opt</v>
      </c>
    </row>
    <row r="7066" spans="2:14" x14ac:dyDescent="0.25">
      <c r="B7066" s="31" t="s">
        <v>26303</v>
      </c>
      <c r="C7066" s="25" t="s">
        <v>26075</v>
      </c>
      <c r="D7066" s="25" t="s">
        <v>26232</v>
      </c>
      <c r="E7066" s="25"/>
      <c r="F7066" s="9" t="str">
        <f t="shared" si="103"/>
        <v>structure with developmental contribution from neural crest</v>
      </c>
      <c r="G7066" s="9" t="s">
        <v>5090</v>
      </c>
      <c r="H7066" s="9" t="s">
        <v>23626</v>
      </c>
      <c r="I7066" s="9" t="s">
        <v>12954</v>
      </c>
      <c r="J7066" s="9" t="s">
        <v>12955</v>
      </c>
      <c r="K7066" s="7" t="s">
        <v>15171</v>
      </c>
      <c r="L7066" s="13">
        <v>9314</v>
      </c>
      <c r="M7066" t="str">
        <f>VLOOKUP(L7066,[1]HBA!$B$2:$C$4000,2,FALSE)</f>
        <v>ox</v>
      </c>
    </row>
    <row r="7067" spans="2:14" x14ac:dyDescent="0.25">
      <c r="B7067" s="31" t="s">
        <v>26303</v>
      </c>
      <c r="C7067" s="25" t="s">
        <v>3499</v>
      </c>
      <c r="D7067" s="25" t="s">
        <v>26232</v>
      </c>
      <c r="E7067" s="25"/>
      <c r="F7067" s="9" t="str">
        <f t="shared" si="103"/>
        <v>structure with developmental contribution from neural crest</v>
      </c>
      <c r="G7067" s="9" t="s">
        <v>5090</v>
      </c>
      <c r="H7067" s="9" t="s">
        <v>20846</v>
      </c>
      <c r="I7067" s="9" t="s">
        <v>12956</v>
      </c>
      <c r="J7067" s="9" t="s">
        <v>12957</v>
      </c>
      <c r="K7067" s="7" t="s">
        <v>15171</v>
      </c>
      <c r="L7067" s="13">
        <v>9315</v>
      </c>
      <c r="M7067" t="str">
        <f>VLOOKUP(L7067,[1]HBA!$B$2:$C$4000,2,FALSE)</f>
        <v>or</v>
      </c>
    </row>
    <row r="7068" spans="2:14" x14ac:dyDescent="0.25">
      <c r="B7068" s="31" t="s">
        <v>26303</v>
      </c>
      <c r="C7068" s="25" t="s">
        <v>3403</v>
      </c>
      <c r="D7068" s="25" t="s">
        <v>26232</v>
      </c>
      <c r="E7068" s="25"/>
      <c r="F7068" s="9" t="str">
        <f t="shared" si="103"/>
        <v>structure with developmental contribution from neural crest</v>
      </c>
      <c r="G7068" s="9" t="s">
        <v>5090</v>
      </c>
      <c r="H7068" s="9" t="s">
        <v>18414</v>
      </c>
      <c r="I7068" s="38" t="s">
        <v>26312</v>
      </c>
      <c r="J7068" s="9" t="s">
        <v>12959</v>
      </c>
      <c r="K7068" s="7" t="s">
        <v>15171</v>
      </c>
      <c r="L7068" s="13">
        <v>9317</v>
      </c>
      <c r="M7068" t="str">
        <f>VLOOKUP(L7068,[1]HBA!$B$2:$C$4000,2,FALSE)</f>
        <v>3n</v>
      </c>
    </row>
    <row r="7069" spans="2:14" x14ac:dyDescent="0.25">
      <c r="B7069" s="31" t="s">
        <v>26303</v>
      </c>
      <c r="C7069" s="25" t="s">
        <v>3403</v>
      </c>
      <c r="D7069" s="25" t="s">
        <v>26232</v>
      </c>
      <c r="E7069" s="25"/>
      <c r="F7069" s="9" t="str">
        <f t="shared" si="103"/>
        <v>structure with developmental contribution from neural crest</v>
      </c>
      <c r="G7069" s="9" t="s">
        <v>5090</v>
      </c>
      <c r="H7069" s="9" t="s">
        <v>18414</v>
      </c>
      <c r="I7069" s="38" t="s">
        <v>26313</v>
      </c>
      <c r="J7069" s="9" t="s">
        <v>12961</v>
      </c>
      <c r="K7069" s="7" t="s">
        <v>15171</v>
      </c>
      <c r="L7069" s="13">
        <v>9318</v>
      </c>
      <c r="M7069" t="str">
        <f>VLOOKUP(L7069,[1]HBA!$B$2:$C$4000,2,FALSE)</f>
        <v>3n</v>
      </c>
      <c r="N7069" t="s">
        <v>26316</v>
      </c>
    </row>
    <row r="7070" spans="2:14" x14ac:dyDescent="0.25">
      <c r="B7070" s="31" t="s">
        <v>26303</v>
      </c>
      <c r="C7070" s="25" t="s">
        <v>4874</v>
      </c>
      <c r="D7070" s="25" t="s">
        <v>26232</v>
      </c>
      <c r="E7070" s="25"/>
      <c r="F7070" s="9" t="str">
        <f t="shared" si="103"/>
        <v>structure with developmental contribution from neural crest</v>
      </c>
      <c r="G7070" s="9" t="s">
        <v>5090</v>
      </c>
      <c r="H7070" s="9" t="s">
        <v>18415</v>
      </c>
      <c r="I7070" s="9" t="s">
        <v>12962</v>
      </c>
      <c r="J7070" s="9" t="s">
        <v>12963</v>
      </c>
      <c r="K7070" s="7" t="s">
        <v>15171</v>
      </c>
      <c r="L7070" s="13">
        <v>9320</v>
      </c>
      <c r="M7070" t="str">
        <f>VLOOKUP(L7070,[1]HBA!$B$2:$C$4000,2,FALSE)</f>
        <v>4n</v>
      </c>
    </row>
    <row r="7071" spans="2:14" x14ac:dyDescent="0.25">
      <c r="B7071" s="31" t="s">
        <v>26303</v>
      </c>
      <c r="C7071" s="25" t="s">
        <v>4874</v>
      </c>
      <c r="D7071" s="25" t="s">
        <v>26232</v>
      </c>
      <c r="E7071" s="25"/>
      <c r="F7071" s="9" t="str">
        <f t="shared" si="103"/>
        <v>structure with developmental contribution from neural crest</v>
      </c>
      <c r="G7071" s="9" t="s">
        <v>5090</v>
      </c>
      <c r="H7071" s="9" t="s">
        <v>18415</v>
      </c>
      <c r="I7071" s="9" t="s">
        <v>12964</v>
      </c>
      <c r="J7071" s="9" t="s">
        <v>12965</v>
      </c>
      <c r="K7071" s="7" t="s">
        <v>15171</v>
      </c>
      <c r="L7071" s="13">
        <v>9321</v>
      </c>
      <c r="M7071" t="str">
        <f>VLOOKUP(L7071,[1]HBA!$B$2:$C$4000,2,FALSE)</f>
        <v>4n</v>
      </c>
    </row>
    <row r="7072" spans="2:14" x14ac:dyDescent="0.25">
      <c r="B7072" s="31" t="s">
        <v>26303</v>
      </c>
      <c r="C7072" s="25" t="s">
        <v>14971</v>
      </c>
      <c r="D7072" s="25" t="s">
        <v>26232</v>
      </c>
      <c r="E7072" s="25"/>
      <c r="F7072" s="9" t="str">
        <f t="shared" si="103"/>
        <v>structure with developmental contribution from neural crest</v>
      </c>
      <c r="G7072" s="9" t="s">
        <v>5090</v>
      </c>
      <c r="H7072" s="9" t="s">
        <v>18418</v>
      </c>
      <c r="I7072" s="9" t="s">
        <v>12966</v>
      </c>
      <c r="J7072" s="9" t="s">
        <v>12967</v>
      </c>
      <c r="K7072" s="7" t="s">
        <v>15171</v>
      </c>
      <c r="L7072" s="13">
        <v>9323</v>
      </c>
      <c r="M7072" t="str">
        <f>VLOOKUP(L7072,[1]HBA!$B$2:$C$4000,2,FALSE)</f>
        <v>5n</v>
      </c>
    </row>
    <row r="7073" spans="2:13" x14ac:dyDescent="0.25">
      <c r="B7073" s="31" t="s">
        <v>26303</v>
      </c>
      <c r="C7073" s="25" t="s">
        <v>14971</v>
      </c>
      <c r="D7073" s="25" t="s">
        <v>26232</v>
      </c>
      <c r="E7073" s="25"/>
      <c r="F7073" s="9" t="str">
        <f t="shared" si="103"/>
        <v>structure with developmental contribution from neural crest</v>
      </c>
      <c r="G7073" s="9" t="s">
        <v>5090</v>
      </c>
      <c r="H7073" s="9" t="s">
        <v>18418</v>
      </c>
      <c r="I7073" s="9" t="s">
        <v>12968</v>
      </c>
      <c r="J7073" s="9" t="s">
        <v>12969</v>
      </c>
      <c r="K7073" s="7" t="s">
        <v>15171</v>
      </c>
      <c r="L7073" s="13">
        <v>9324</v>
      </c>
      <c r="M7073" t="str">
        <f>VLOOKUP(L7073,[1]HBA!$B$2:$C$4000,2,FALSE)</f>
        <v>5n</v>
      </c>
    </row>
    <row r="7074" spans="2:13" x14ac:dyDescent="0.25">
      <c r="B7074" s="31" t="s">
        <v>26303</v>
      </c>
      <c r="C7074" s="25" t="s">
        <v>156</v>
      </c>
      <c r="D7074" s="25" t="s">
        <v>26232</v>
      </c>
      <c r="E7074" s="25"/>
      <c r="F7074" s="9" t="str">
        <f t="shared" si="103"/>
        <v>structure with developmental contribution from neural crest</v>
      </c>
      <c r="G7074" s="9" t="s">
        <v>5090</v>
      </c>
      <c r="H7074" s="9" t="s">
        <v>18421</v>
      </c>
      <c r="I7074" s="9" t="s">
        <v>12970</v>
      </c>
      <c r="J7074" s="9" t="s">
        <v>12971</v>
      </c>
      <c r="K7074" s="7" t="s">
        <v>15171</v>
      </c>
      <c r="L7074" s="13">
        <v>9326</v>
      </c>
      <c r="M7074" t="str">
        <f>VLOOKUP(L7074,[1]HBA!$B$2:$C$4000,2,FALSE)</f>
        <v>6n</v>
      </c>
    </row>
    <row r="7075" spans="2:13" x14ac:dyDescent="0.25">
      <c r="B7075" s="31" t="s">
        <v>26303</v>
      </c>
      <c r="C7075" s="25" t="s">
        <v>156</v>
      </c>
      <c r="D7075" s="25" t="s">
        <v>26232</v>
      </c>
      <c r="E7075" s="25"/>
      <c r="F7075" s="9" t="str">
        <f t="shared" si="103"/>
        <v>structure with developmental contribution from neural crest</v>
      </c>
      <c r="G7075" s="9" t="s">
        <v>5090</v>
      </c>
      <c r="H7075" s="9" t="s">
        <v>18421</v>
      </c>
      <c r="I7075" s="9" t="s">
        <v>12972</v>
      </c>
      <c r="J7075" s="9" t="s">
        <v>12973</v>
      </c>
      <c r="K7075" s="7" t="s">
        <v>15171</v>
      </c>
      <c r="L7075" s="13">
        <v>9327</v>
      </c>
      <c r="M7075" t="str">
        <f>VLOOKUP(L7075,[1]HBA!$B$2:$C$4000,2,FALSE)</f>
        <v>6n</v>
      </c>
    </row>
    <row r="7076" spans="2:13" x14ac:dyDescent="0.25">
      <c r="B7076" s="31" t="s">
        <v>26303</v>
      </c>
      <c r="C7076" s="9" t="s">
        <v>1814</v>
      </c>
      <c r="D7076" s="25" t="s">
        <v>26232</v>
      </c>
      <c r="E7076" s="25"/>
      <c r="F7076" s="9" t="str">
        <f t="shared" si="103"/>
        <v>structure with developmental contribution from neural crest</v>
      </c>
      <c r="G7076" s="9" t="s">
        <v>5090</v>
      </c>
      <c r="H7076" s="9" t="s">
        <v>18422</v>
      </c>
      <c r="I7076" s="9" t="s">
        <v>12974</v>
      </c>
      <c r="J7076" s="9" t="s">
        <v>12975</v>
      </c>
      <c r="K7076" s="7" t="s">
        <v>15171</v>
      </c>
      <c r="L7076" s="13">
        <v>9329</v>
      </c>
      <c r="M7076" t="str">
        <f>VLOOKUP(L7076,[1]HBA!$B$2:$C$4000,2,FALSE)</f>
        <v>7n</v>
      </c>
    </row>
    <row r="7077" spans="2:13" x14ac:dyDescent="0.25">
      <c r="B7077" s="31" t="s">
        <v>26303</v>
      </c>
      <c r="C7077" s="9" t="s">
        <v>1814</v>
      </c>
      <c r="D7077" s="25" t="s">
        <v>26232</v>
      </c>
      <c r="E7077" s="25"/>
      <c r="F7077" s="9" t="str">
        <f t="shared" si="103"/>
        <v>structure with developmental contribution from neural crest</v>
      </c>
      <c r="G7077" s="9" t="s">
        <v>5090</v>
      </c>
      <c r="H7077" s="9" t="s">
        <v>18422</v>
      </c>
      <c r="I7077" s="9" t="s">
        <v>12976</v>
      </c>
      <c r="J7077" s="9" t="s">
        <v>12977</v>
      </c>
      <c r="K7077" s="7" t="s">
        <v>15171</v>
      </c>
      <c r="L7077" s="13">
        <v>9330</v>
      </c>
      <c r="M7077" t="str">
        <f>VLOOKUP(L7077,[1]HBA!$B$2:$C$4000,2,FALSE)</f>
        <v>7n</v>
      </c>
    </row>
    <row r="7078" spans="2:13" x14ac:dyDescent="0.25">
      <c r="B7078" s="31" t="s">
        <v>26303</v>
      </c>
      <c r="C7078" s="25" t="s">
        <v>15125</v>
      </c>
      <c r="D7078" s="25" t="s">
        <v>26232</v>
      </c>
      <c r="E7078" s="25"/>
      <c r="F7078" s="9" t="str">
        <f t="shared" si="103"/>
        <v>structure with developmental contribution from neural crest</v>
      </c>
      <c r="G7078" s="9" t="s">
        <v>5090</v>
      </c>
      <c r="H7078" s="9" t="s">
        <v>18429</v>
      </c>
      <c r="I7078" s="9" t="s">
        <v>12978</v>
      </c>
      <c r="J7078" s="9" t="s">
        <v>12979</v>
      </c>
      <c r="K7078" s="7" t="s">
        <v>15171</v>
      </c>
      <c r="L7078" s="13">
        <v>9332</v>
      </c>
      <c r="M7078" t="str">
        <f>VLOOKUP(L7078,[1]HBA!$B$2:$C$4000,2,FALSE)</f>
        <v>8n</v>
      </c>
    </row>
    <row r="7079" spans="2:13" x14ac:dyDescent="0.25">
      <c r="B7079" s="31" t="s">
        <v>26303</v>
      </c>
      <c r="C7079" s="25" t="s">
        <v>15125</v>
      </c>
      <c r="D7079" s="25" t="s">
        <v>26232</v>
      </c>
      <c r="E7079" s="25"/>
      <c r="F7079" s="9" t="str">
        <f t="shared" si="103"/>
        <v>structure with developmental contribution from neural crest</v>
      </c>
      <c r="G7079" s="9" t="s">
        <v>5090</v>
      </c>
      <c r="H7079" s="9" t="s">
        <v>18429</v>
      </c>
      <c r="I7079" s="9" t="s">
        <v>12980</v>
      </c>
      <c r="J7079" s="9" t="s">
        <v>12981</v>
      </c>
      <c r="K7079" s="7" t="s">
        <v>15171</v>
      </c>
      <c r="L7079" s="13">
        <v>9333</v>
      </c>
      <c r="M7079" t="str">
        <f>VLOOKUP(L7079,[1]HBA!$B$2:$C$4000,2,FALSE)</f>
        <v>8n</v>
      </c>
    </row>
    <row r="7080" spans="2:13" x14ac:dyDescent="0.25">
      <c r="B7080" s="31" t="s">
        <v>26303</v>
      </c>
      <c r="C7080" s="25" t="s">
        <v>2087</v>
      </c>
      <c r="D7080" s="25" t="s">
        <v>26232</v>
      </c>
      <c r="E7080" s="25"/>
      <c r="F7080" s="9" t="str">
        <f t="shared" si="103"/>
        <v>structure with developmental contribution from neural crest</v>
      </c>
      <c r="G7080" s="9" t="s">
        <v>5090</v>
      </c>
      <c r="H7080" s="9" t="s">
        <v>18430</v>
      </c>
      <c r="I7080" s="9" t="s">
        <v>12982</v>
      </c>
      <c r="J7080" s="9" t="s">
        <v>12983</v>
      </c>
      <c r="K7080" s="7" t="s">
        <v>15171</v>
      </c>
      <c r="L7080" s="13">
        <v>9335</v>
      </c>
      <c r="M7080" t="str">
        <f>VLOOKUP(L7080,[1]HBA!$B$2:$C$4000,2,FALSE)</f>
        <v>9n</v>
      </c>
    </row>
    <row r="7081" spans="2:13" x14ac:dyDescent="0.25">
      <c r="B7081" s="31" t="s">
        <v>26303</v>
      </c>
      <c r="C7081" s="25" t="s">
        <v>2087</v>
      </c>
      <c r="D7081" s="25" t="s">
        <v>26232</v>
      </c>
      <c r="E7081" s="25"/>
      <c r="F7081" s="9" t="str">
        <f t="shared" si="103"/>
        <v>structure with developmental contribution from neural crest</v>
      </c>
      <c r="G7081" s="9" t="s">
        <v>5090</v>
      </c>
      <c r="H7081" s="9" t="s">
        <v>18430</v>
      </c>
      <c r="I7081" s="9" t="s">
        <v>12984</v>
      </c>
      <c r="J7081" s="9" t="s">
        <v>12985</v>
      </c>
      <c r="K7081" s="7" t="s">
        <v>15171</v>
      </c>
      <c r="L7081" s="13">
        <v>9336</v>
      </c>
      <c r="M7081" t="str">
        <f>VLOOKUP(L7081,[1]HBA!$B$2:$C$4000,2,FALSE)</f>
        <v>9n</v>
      </c>
    </row>
    <row r="7082" spans="2:13" x14ac:dyDescent="0.25">
      <c r="B7082" s="31" t="s">
        <v>26303</v>
      </c>
      <c r="C7082" s="25" t="s">
        <v>15023</v>
      </c>
      <c r="D7082" s="25" t="s">
        <v>26232</v>
      </c>
      <c r="E7082" s="25"/>
      <c r="F7082" s="9" t="str">
        <f t="shared" si="103"/>
        <v>structure with developmental contribution from neural crest</v>
      </c>
      <c r="G7082" s="9" t="s">
        <v>5090</v>
      </c>
      <c r="H7082" s="9" t="s">
        <v>18431</v>
      </c>
      <c r="I7082" s="9" t="s">
        <v>12986</v>
      </c>
      <c r="J7082" s="9" t="s">
        <v>12987</v>
      </c>
      <c r="K7082" s="7" t="s">
        <v>15171</v>
      </c>
      <c r="L7082" s="13">
        <v>9338</v>
      </c>
      <c r="M7082" t="str">
        <f>VLOOKUP(L7082,[1]HBA!$B$2:$C$4000,2,FALSE)</f>
        <v>10n</v>
      </c>
    </row>
    <row r="7083" spans="2:13" x14ac:dyDescent="0.25">
      <c r="B7083" s="31" t="s">
        <v>26303</v>
      </c>
      <c r="C7083" s="25" t="s">
        <v>15023</v>
      </c>
      <c r="D7083" s="25" t="s">
        <v>26232</v>
      </c>
      <c r="E7083" s="25"/>
      <c r="F7083" s="9" t="str">
        <f t="shared" si="103"/>
        <v>structure with developmental contribution from neural crest</v>
      </c>
      <c r="G7083" s="9" t="s">
        <v>5090</v>
      </c>
      <c r="H7083" s="9" t="s">
        <v>18431</v>
      </c>
      <c r="I7083" s="9" t="s">
        <v>12988</v>
      </c>
      <c r="J7083" s="9" t="s">
        <v>12989</v>
      </c>
      <c r="K7083" s="7" t="s">
        <v>15171</v>
      </c>
      <c r="L7083" s="13">
        <v>9339</v>
      </c>
      <c r="M7083" t="str">
        <f>VLOOKUP(L7083,[1]HBA!$B$2:$C$4000,2,FALSE)</f>
        <v>10n</v>
      </c>
    </row>
    <row r="7084" spans="2:13" x14ac:dyDescent="0.25">
      <c r="B7084" s="31" t="s">
        <v>26303</v>
      </c>
      <c r="C7084" s="25" t="s">
        <v>25764</v>
      </c>
      <c r="D7084" s="25" t="s">
        <v>26232</v>
      </c>
      <c r="E7084" s="25"/>
      <c r="F7084" s="9" t="str">
        <f t="shared" si="103"/>
        <v>structure with developmental contribution from neural crest</v>
      </c>
      <c r="G7084" s="9" t="s">
        <v>5090</v>
      </c>
      <c r="H7084" s="9" t="s">
        <v>25512</v>
      </c>
      <c r="I7084" s="9" t="s">
        <v>167</v>
      </c>
      <c r="J7084" s="9" t="s">
        <v>168</v>
      </c>
      <c r="K7084" s="7" t="s">
        <v>15171</v>
      </c>
      <c r="L7084" s="13">
        <v>9340</v>
      </c>
      <c r="M7084" t="str">
        <f>VLOOKUP(L7084,[1]HBA!$B$2:$C$4000,2,FALSE)</f>
        <v>11nf</v>
      </c>
    </row>
    <row r="7085" spans="2:13" x14ac:dyDescent="0.25">
      <c r="B7085" s="31" t="s">
        <v>26303</v>
      </c>
      <c r="C7085" s="25" t="s">
        <v>25764</v>
      </c>
      <c r="D7085" s="25" t="s">
        <v>26232</v>
      </c>
      <c r="E7085" s="25"/>
      <c r="F7085" s="9" t="str">
        <f t="shared" si="103"/>
        <v>structure with developmental contribution from neural crest</v>
      </c>
      <c r="G7085" s="9" t="s">
        <v>5090</v>
      </c>
      <c r="H7085" s="9" t="s">
        <v>25512</v>
      </c>
      <c r="I7085" s="9" t="s">
        <v>12990</v>
      </c>
      <c r="J7085" s="9" t="s">
        <v>12991</v>
      </c>
      <c r="K7085" s="7" t="s">
        <v>15171</v>
      </c>
      <c r="L7085" s="13">
        <v>9341</v>
      </c>
      <c r="M7085" t="str">
        <f>VLOOKUP(L7085,[1]HBA!$B$2:$C$4000,2,FALSE)</f>
        <v>11nf</v>
      </c>
    </row>
    <row r="7086" spans="2:13" x14ac:dyDescent="0.25">
      <c r="B7086" s="31" t="s">
        <v>26303</v>
      </c>
      <c r="C7086" s="25" t="s">
        <v>25764</v>
      </c>
      <c r="D7086" s="25" t="s">
        <v>26232</v>
      </c>
      <c r="E7086" s="25"/>
      <c r="F7086" s="9" t="str">
        <f t="shared" si="103"/>
        <v>structure with developmental contribution from neural crest</v>
      </c>
      <c r="G7086" s="9" t="s">
        <v>5090</v>
      </c>
      <c r="H7086" s="9" t="s">
        <v>25512</v>
      </c>
      <c r="I7086" s="9" t="s">
        <v>12992</v>
      </c>
      <c r="J7086" s="9" t="s">
        <v>12993</v>
      </c>
      <c r="K7086" s="7" t="s">
        <v>15171</v>
      </c>
      <c r="L7086" s="13">
        <v>9342</v>
      </c>
      <c r="M7086" t="str">
        <f>VLOOKUP(L7086,[1]HBA!$B$2:$C$4000,2,FALSE)</f>
        <v>11nf</v>
      </c>
    </row>
    <row r="7087" spans="2:13" x14ac:dyDescent="0.25">
      <c r="B7087" s="31" t="s">
        <v>26303</v>
      </c>
      <c r="C7087" s="25" t="s">
        <v>2318</v>
      </c>
      <c r="D7087" s="25" t="s">
        <v>26232</v>
      </c>
      <c r="E7087" s="25"/>
      <c r="F7087" s="9" t="str">
        <f t="shared" si="103"/>
        <v>structure with developmental contribution from neural crest</v>
      </c>
      <c r="G7087" s="9" t="s">
        <v>5090</v>
      </c>
      <c r="H7087" s="9" t="s">
        <v>18433</v>
      </c>
      <c r="I7087" s="9" t="s">
        <v>12994</v>
      </c>
      <c r="J7087" s="9" t="s">
        <v>12995</v>
      </c>
      <c r="K7087" s="7" t="s">
        <v>15171</v>
      </c>
      <c r="L7087" s="13">
        <v>9344</v>
      </c>
      <c r="M7087" t="str">
        <f>VLOOKUP(L7087,[1]HBA!$B$2:$C$4000,2,FALSE)</f>
        <v>12n</v>
      </c>
    </row>
    <row r="7088" spans="2:13" x14ac:dyDescent="0.25">
      <c r="B7088" s="31" t="s">
        <v>26303</v>
      </c>
      <c r="C7088" s="25" t="s">
        <v>2318</v>
      </c>
      <c r="D7088" s="25" t="s">
        <v>26232</v>
      </c>
      <c r="E7088" s="25"/>
      <c r="F7088" s="9" t="str">
        <f t="shared" si="103"/>
        <v>structure with developmental contribution from neural crest</v>
      </c>
      <c r="G7088" s="9" t="s">
        <v>5090</v>
      </c>
      <c r="H7088" s="9" t="s">
        <v>18433</v>
      </c>
      <c r="I7088" s="9" t="s">
        <v>12996</v>
      </c>
      <c r="J7088" s="9" t="s">
        <v>12997</v>
      </c>
      <c r="K7088" s="7" t="s">
        <v>15171</v>
      </c>
      <c r="L7088" s="13">
        <v>9345</v>
      </c>
      <c r="M7088" t="str">
        <f>VLOOKUP(L7088,[1]HBA!$B$2:$C$4000,2,FALSE)</f>
        <v>12n</v>
      </c>
    </row>
    <row r="7089" spans="2:13" x14ac:dyDescent="0.25">
      <c r="B7089" s="31" t="s">
        <v>26303</v>
      </c>
      <c r="C7089" s="25" t="s">
        <v>1539</v>
      </c>
      <c r="D7089" s="25" t="s">
        <v>26232</v>
      </c>
      <c r="E7089" s="25"/>
      <c r="F7089" s="9" t="str">
        <f t="shared" si="103"/>
        <v>structure with developmental contribution from neural crest</v>
      </c>
      <c r="G7089" s="9" t="s">
        <v>5090</v>
      </c>
      <c r="H7089" s="9" t="s">
        <v>20949</v>
      </c>
      <c r="I7089" s="9" t="s">
        <v>1539</v>
      </c>
      <c r="J7089" s="9" t="s">
        <v>12998</v>
      </c>
      <c r="K7089" s="7" t="s">
        <v>15171</v>
      </c>
      <c r="L7089" s="13">
        <v>9346</v>
      </c>
      <c r="M7089" t="str">
        <f>VLOOKUP(L7089,[1]HBA!$B$2:$C$4000,2,FALSE)</f>
        <v>dlf</v>
      </c>
    </row>
    <row r="7090" spans="2:13" x14ac:dyDescent="0.25">
      <c r="B7090" s="31" t="s">
        <v>26303</v>
      </c>
      <c r="C7090" s="25" t="s">
        <v>1539</v>
      </c>
      <c r="D7090" s="25" t="s">
        <v>26232</v>
      </c>
      <c r="E7090" s="25"/>
      <c r="F7090" s="9" t="str">
        <f t="shared" si="103"/>
        <v>structure with developmental contribution from neural crest</v>
      </c>
      <c r="G7090" s="9" t="s">
        <v>5090</v>
      </c>
      <c r="H7090" s="9" t="s">
        <v>20949</v>
      </c>
      <c r="I7090" s="9" t="s">
        <v>12999</v>
      </c>
      <c r="J7090" s="9" t="s">
        <v>13000</v>
      </c>
      <c r="K7090" s="7" t="s">
        <v>15171</v>
      </c>
      <c r="L7090" s="13">
        <v>9347</v>
      </c>
      <c r="M7090" t="str">
        <f>VLOOKUP(L7090,[1]HBA!$B$2:$C$4000,2,FALSE)</f>
        <v>dlf</v>
      </c>
    </row>
    <row r="7091" spans="2:13" x14ac:dyDescent="0.25">
      <c r="B7091" s="31" t="s">
        <v>26303</v>
      </c>
      <c r="C7091" s="25" t="s">
        <v>1539</v>
      </c>
      <c r="D7091" s="25" t="s">
        <v>26232</v>
      </c>
      <c r="E7091" s="25"/>
      <c r="F7091" s="9" t="str">
        <f t="shared" si="103"/>
        <v>structure with developmental contribution from neural crest</v>
      </c>
      <c r="G7091" s="9" t="s">
        <v>5090</v>
      </c>
      <c r="H7091" s="9" t="s">
        <v>20949</v>
      </c>
      <c r="I7091" s="9" t="s">
        <v>1541</v>
      </c>
      <c r="J7091" s="9" t="s">
        <v>1542</v>
      </c>
      <c r="K7091" s="7" t="s">
        <v>15171</v>
      </c>
      <c r="L7091" s="13">
        <v>9348</v>
      </c>
      <c r="M7091" t="str">
        <f>VLOOKUP(L7091,[1]HBA!$B$2:$C$4000,2,FALSE)</f>
        <v>dlf</v>
      </c>
    </row>
    <row r="7092" spans="2:13" x14ac:dyDescent="0.25">
      <c r="B7092" s="31" t="s">
        <v>26303</v>
      </c>
      <c r="C7092" s="25" t="s">
        <v>2931</v>
      </c>
      <c r="D7092" s="25" t="s">
        <v>26232</v>
      </c>
      <c r="E7092" s="25"/>
      <c r="F7092" s="9" t="str">
        <f t="shared" si="103"/>
        <v>structure with developmental contribution from neural crest</v>
      </c>
      <c r="G7092" s="9" t="s">
        <v>5090</v>
      </c>
      <c r="H7092" s="9" t="s">
        <v>18474</v>
      </c>
      <c r="I7092" s="9" t="s">
        <v>2931</v>
      </c>
      <c r="J7092" s="9" t="s">
        <v>13001</v>
      </c>
      <c r="K7092" s="7" t="s">
        <v>15171</v>
      </c>
      <c r="L7092" s="13">
        <v>9349</v>
      </c>
      <c r="M7092" t="str">
        <f>VLOOKUP(L7092,[1]HBA!$B$2:$C$4000,2,FALSE)</f>
        <v>mlf</v>
      </c>
    </row>
    <row r="7093" spans="2:13" x14ac:dyDescent="0.25">
      <c r="B7093" s="31" t="s">
        <v>26303</v>
      </c>
      <c r="C7093" s="25" t="s">
        <v>2931</v>
      </c>
      <c r="D7093" s="25" t="s">
        <v>26232</v>
      </c>
      <c r="E7093" s="25"/>
      <c r="F7093" s="9" t="str">
        <f t="shared" si="103"/>
        <v>structure with developmental contribution from neural crest</v>
      </c>
      <c r="G7093" s="9" t="s">
        <v>5090</v>
      </c>
      <c r="H7093" s="9" t="s">
        <v>18474</v>
      </c>
      <c r="I7093" s="9" t="s">
        <v>13002</v>
      </c>
      <c r="J7093" s="9" t="s">
        <v>13003</v>
      </c>
      <c r="K7093" s="7" t="s">
        <v>15171</v>
      </c>
      <c r="L7093" s="13">
        <v>9350</v>
      </c>
      <c r="M7093" t="str">
        <f>VLOOKUP(L7093,[1]HBA!$B$2:$C$4000,2,FALSE)</f>
        <v>mlf</v>
      </c>
    </row>
    <row r="7094" spans="2:13" x14ac:dyDescent="0.25">
      <c r="B7094" s="31" t="s">
        <v>26303</v>
      </c>
      <c r="C7094" s="25" t="s">
        <v>2931</v>
      </c>
      <c r="D7094" s="25" t="s">
        <v>26232</v>
      </c>
      <c r="E7094" s="25"/>
      <c r="F7094" s="9" t="str">
        <f t="shared" si="103"/>
        <v>structure with developmental contribution from neural crest</v>
      </c>
      <c r="G7094" s="9" t="s">
        <v>5090</v>
      </c>
      <c r="H7094" s="9" t="s">
        <v>18474</v>
      </c>
      <c r="I7094" s="9" t="s">
        <v>2933</v>
      </c>
      <c r="J7094" s="9" t="s">
        <v>2934</v>
      </c>
      <c r="K7094" s="7" t="s">
        <v>15171</v>
      </c>
      <c r="L7094" s="13">
        <v>9351</v>
      </c>
      <c r="M7094" t="str">
        <f>VLOOKUP(L7094,[1]HBA!$B$2:$C$4000,2,FALSE)</f>
        <v>mlf</v>
      </c>
    </row>
    <row r="7095" spans="2:13" x14ac:dyDescent="0.25">
      <c r="B7095" s="31" t="s">
        <v>26303</v>
      </c>
      <c r="C7095" s="25" t="s">
        <v>25941</v>
      </c>
      <c r="D7095" s="25" t="s">
        <v>26232</v>
      </c>
      <c r="E7095" s="25"/>
      <c r="F7095" s="9" t="str">
        <f t="shared" ref="F7095:F7158" si="104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7095" s="9" t="s">
        <v>5090</v>
      </c>
      <c r="H7095" s="9" t="s">
        <v>25519</v>
      </c>
      <c r="I7095" s="9" t="s">
        <v>2033</v>
      </c>
      <c r="J7095" s="9" t="s">
        <v>2034</v>
      </c>
      <c r="K7095" s="7" t="s">
        <v>15171</v>
      </c>
      <c r="L7095" s="13">
        <v>9354</v>
      </c>
      <c r="M7095" t="str">
        <f>VLOOKUP(L7095,[1]HBA!$B$2:$C$4000,2,FALSE)</f>
        <v>FLs</v>
      </c>
    </row>
    <row r="7096" spans="2:13" x14ac:dyDescent="0.25">
      <c r="B7096" s="31" t="s">
        <v>26303</v>
      </c>
      <c r="C7096" s="20"/>
      <c r="D7096" s="25" t="s">
        <v>26232</v>
      </c>
      <c r="E7096" s="25" t="s">
        <v>26300</v>
      </c>
      <c r="F7096" s="9" t="str">
        <f t="shared" si="104"/>
        <v>structure with developmental contribution from neural crest</v>
      </c>
      <c r="G7096" s="9" t="s">
        <v>5090</v>
      </c>
      <c r="H7096" s="9" t="s">
        <v>25524</v>
      </c>
      <c r="I7096" s="9" t="s">
        <v>3852</v>
      </c>
      <c r="J7096" s="9" t="s">
        <v>3853</v>
      </c>
      <c r="K7096" s="7" t="s">
        <v>15171</v>
      </c>
      <c r="L7096" s="13">
        <v>9358</v>
      </c>
      <c r="M7096" t="str">
        <f>VLOOKUP(L7096,[1]HBA!$B$2:$C$4000,2,FALSE)</f>
        <v>infs</v>
      </c>
    </row>
    <row r="7097" spans="2:13" x14ac:dyDescent="0.25">
      <c r="B7097" s="31" t="s">
        <v>26302</v>
      </c>
      <c r="C7097" s="25" t="s">
        <v>25793</v>
      </c>
      <c r="D7097" s="25" t="s">
        <v>26232</v>
      </c>
      <c r="E7097" s="25"/>
      <c r="F7097" s="9" t="str">
        <f t="shared" si="104"/>
        <v>structure with developmental contribution from neural crest</v>
      </c>
      <c r="G7097" s="9" t="s">
        <v>5090</v>
      </c>
      <c r="H7097" s="9" t="s">
        <v>25520</v>
      </c>
      <c r="I7097" s="9" t="s">
        <v>13004</v>
      </c>
      <c r="J7097" s="9" t="s">
        <v>13005</v>
      </c>
      <c r="K7097" s="7" t="s">
        <v>15171</v>
      </c>
      <c r="L7097" s="13">
        <v>9368</v>
      </c>
      <c r="M7097" t="str">
        <f>VLOOKUP(L7097,[1]HBA!$B$2:$C$4000,2,FALSE)</f>
        <v>apos</v>
      </c>
    </row>
    <row r="7098" spans="2:13" x14ac:dyDescent="0.25">
      <c r="B7098" s="31" t="s">
        <v>26303</v>
      </c>
      <c r="C7098" s="25" t="s">
        <v>26241</v>
      </c>
      <c r="D7098" s="25" t="s">
        <v>26232</v>
      </c>
      <c r="E7098" s="25"/>
      <c r="F7098" s="9" t="str">
        <f t="shared" si="104"/>
        <v>structure with developmental contribution from neural crest</v>
      </c>
      <c r="G7098" s="9" t="s">
        <v>5090</v>
      </c>
      <c r="H7098" s="9" t="s">
        <v>25540</v>
      </c>
      <c r="I7098" s="9" t="s">
        <v>13006</v>
      </c>
      <c r="J7098" s="9" t="s">
        <v>13007</v>
      </c>
      <c r="K7098" s="7" t="s">
        <v>15171</v>
      </c>
      <c r="L7098" s="13">
        <v>9370</v>
      </c>
      <c r="M7098" t="str">
        <f>VLOOKUP(L7098,[1]HBA!$B$2:$C$4000,2,FALSE)</f>
        <v>PLs</v>
      </c>
    </row>
    <row r="7099" spans="2:13" x14ac:dyDescent="0.25">
      <c r="B7099" s="31" t="s">
        <v>26303</v>
      </c>
      <c r="C7099" s="20"/>
      <c r="D7099" s="25" t="s">
        <v>26232</v>
      </c>
      <c r="E7099" s="25" t="s">
        <v>26300</v>
      </c>
      <c r="F7099" s="9" t="str">
        <f t="shared" si="104"/>
        <v>structure with developmental contribution from neural crest</v>
      </c>
      <c r="G7099" s="9" t="s">
        <v>5090</v>
      </c>
      <c r="H7099" s="9" t="s">
        <v>25542</v>
      </c>
      <c r="I7099" s="9" t="s">
        <v>13008</v>
      </c>
      <c r="J7099" s="9" t="s">
        <v>13009</v>
      </c>
      <c r="K7099" s="7" t="s">
        <v>15171</v>
      </c>
      <c r="L7099" s="13">
        <v>9373</v>
      </c>
      <c r="M7099" t="str">
        <f>VLOOKUP(L7099,[1]HBA!$B$2:$C$4000,2,FALSE)</f>
        <v>pis</v>
      </c>
    </row>
    <row r="7100" spans="2:13" x14ac:dyDescent="0.25">
      <c r="B7100" s="31" t="s">
        <v>26303</v>
      </c>
      <c r="C7100" s="20"/>
      <c r="D7100" s="25" t="s">
        <v>26232</v>
      </c>
      <c r="E7100" s="25" t="s">
        <v>26300</v>
      </c>
      <c r="F7100" s="9" t="str">
        <f t="shared" si="104"/>
        <v>structure with developmental contribution from neural crest</v>
      </c>
      <c r="G7100" s="9" t="s">
        <v>5090</v>
      </c>
      <c r="H7100" s="9" t="s">
        <v>25543</v>
      </c>
      <c r="I7100" s="9" t="s">
        <v>13010</v>
      </c>
      <c r="J7100" s="9" t="s">
        <v>13011</v>
      </c>
      <c r="K7100" s="7" t="s">
        <v>15171</v>
      </c>
      <c r="L7100" s="13">
        <v>9374</v>
      </c>
      <c r="M7100" t="str">
        <f>VLOOKUP(L7100,[1]HBA!$B$2:$C$4000,2,FALSE)</f>
        <v>sis</v>
      </c>
    </row>
    <row r="7101" spans="2:13" x14ac:dyDescent="0.25">
      <c r="B7101" s="31" t="s">
        <v>26303</v>
      </c>
      <c r="C7101" s="20"/>
      <c r="D7101" s="25" t="s">
        <v>26232</v>
      </c>
      <c r="E7101" s="25" t="s">
        <v>26300</v>
      </c>
      <c r="F7101" s="9" t="str">
        <f t="shared" si="104"/>
        <v>structure with developmental contribution from neural crest</v>
      </c>
      <c r="G7101" s="9" t="s">
        <v>5090</v>
      </c>
      <c r="H7101" s="9" t="s">
        <v>23772</v>
      </c>
      <c r="I7101" s="9" t="s">
        <v>13012</v>
      </c>
      <c r="J7101" s="9" t="s">
        <v>13013</v>
      </c>
      <c r="K7101" s="7" t="s">
        <v>15171</v>
      </c>
      <c r="L7101" s="13">
        <v>9375</v>
      </c>
      <c r="M7101" t="str">
        <f>VLOOKUP(L7101,[1]HBA!$B$2:$C$4000,2,FALSE)</f>
        <v>sps</v>
      </c>
    </row>
    <row r="7102" spans="2:13" x14ac:dyDescent="0.25">
      <c r="B7102" s="31" t="s">
        <v>26303</v>
      </c>
      <c r="C7102" s="25" t="s">
        <v>26260</v>
      </c>
      <c r="D7102" s="25" t="s">
        <v>26232</v>
      </c>
      <c r="E7102" s="25"/>
      <c r="F7102" s="9" t="str">
        <f t="shared" si="104"/>
        <v>structure with developmental contribution from neural crest</v>
      </c>
      <c r="G7102" s="9" t="s">
        <v>5090</v>
      </c>
      <c r="H7102" s="9" t="s">
        <v>25545</v>
      </c>
      <c r="I7102" s="9" t="s">
        <v>13014</v>
      </c>
      <c r="J7102" s="9" t="s">
        <v>13015</v>
      </c>
      <c r="K7102" s="7" t="s">
        <v>15171</v>
      </c>
      <c r="L7102" s="13">
        <v>9377</v>
      </c>
      <c r="M7102" t="str">
        <f>VLOOKUP(L7102,[1]HBA!$B$2:$C$4000,2,FALSE)</f>
        <v>TLs</v>
      </c>
    </row>
    <row r="7103" spans="2:13" x14ac:dyDescent="0.25">
      <c r="B7103" s="31" t="s">
        <v>26303</v>
      </c>
      <c r="C7103" s="20"/>
      <c r="D7103" s="25" t="s">
        <v>26185</v>
      </c>
      <c r="E7103" s="25" t="s">
        <v>26300</v>
      </c>
      <c r="F7103" s="9" t="str">
        <f t="shared" si="104"/>
        <v>structure with developmental contribution from neural crest</v>
      </c>
      <c r="G7103" s="9" t="s">
        <v>5090</v>
      </c>
      <c r="H7103" s="9" t="s">
        <v>25551</v>
      </c>
      <c r="I7103" s="9" t="s">
        <v>13016</v>
      </c>
      <c r="J7103" s="9" t="s">
        <v>13017</v>
      </c>
      <c r="K7103" s="7" t="s">
        <v>15171</v>
      </c>
      <c r="L7103" s="13">
        <v>9381</v>
      </c>
      <c r="M7103" t="str">
        <f>VLOOKUP(L7103,[1]HBA!$B$2:$C$4000,2,FALSE)</f>
        <v>phs</v>
      </c>
    </row>
    <row r="7104" spans="2:13" x14ac:dyDescent="0.25">
      <c r="B7104" s="31" t="s">
        <v>26303</v>
      </c>
      <c r="C7104" s="20"/>
      <c r="D7104" s="25" t="s">
        <v>26232</v>
      </c>
      <c r="E7104" s="25" t="s">
        <v>26300</v>
      </c>
      <c r="F7104" s="9" t="str">
        <f t="shared" si="104"/>
        <v>structure with developmental contribution from neural crest</v>
      </c>
      <c r="G7104" s="9" t="s">
        <v>5090</v>
      </c>
      <c r="H7104" s="9" t="s">
        <v>25550</v>
      </c>
      <c r="I7104" s="9" t="s">
        <v>13018</v>
      </c>
      <c r="J7104" s="9" t="s">
        <v>13019</v>
      </c>
      <c r="K7104" s="7" t="s">
        <v>15171</v>
      </c>
      <c r="L7104" s="13">
        <v>9382</v>
      </c>
      <c r="M7104" t="str">
        <f>VLOOKUP(L7104,[1]HBA!$B$2:$C$4000,2,FALSE)</f>
        <v>phr</v>
      </c>
    </row>
    <row r="7105" spans="2:13" x14ac:dyDescent="0.25">
      <c r="B7105" s="31" t="s">
        <v>26303</v>
      </c>
      <c r="C7105" s="25" t="s">
        <v>26065</v>
      </c>
      <c r="D7105" s="25" t="s">
        <v>26232</v>
      </c>
      <c r="E7105" s="25"/>
      <c r="F7105" s="9" t="str">
        <f t="shared" si="104"/>
        <v>structure with developmental contribution from neural crest</v>
      </c>
      <c r="G7105" s="9" t="s">
        <v>5090</v>
      </c>
      <c r="H7105" s="9" t="s">
        <v>25536</v>
      </c>
      <c r="I7105" s="9" t="s">
        <v>3391</v>
      </c>
      <c r="J7105" s="9" t="s">
        <v>3392</v>
      </c>
      <c r="K7105" s="7" t="s">
        <v>15171</v>
      </c>
      <c r="L7105" s="13">
        <v>9386</v>
      </c>
      <c r="M7105" t="str">
        <f>VLOOKUP(L7105,[1]HBA!$B$2:$C$4000,2,FALSE)</f>
        <v>OLs</v>
      </c>
    </row>
    <row r="7106" spans="2:13" x14ac:dyDescent="0.25">
      <c r="B7106" s="31" t="s">
        <v>26303</v>
      </c>
      <c r="C7106" s="25" t="s">
        <v>4088</v>
      </c>
      <c r="D7106" s="25" t="s">
        <v>26232</v>
      </c>
      <c r="E7106" s="25"/>
      <c r="F7106" s="9" t="str">
        <f t="shared" si="104"/>
        <v>structure with developmental contribution from neural crest</v>
      </c>
      <c r="G7106" s="9" t="s">
        <v>5090</v>
      </c>
      <c r="H7106" s="9" t="s">
        <v>25538</v>
      </c>
      <c r="I7106" s="9" t="s">
        <v>4088</v>
      </c>
      <c r="J7106" s="9" t="s">
        <v>4090</v>
      </c>
      <c r="K7106" s="7" t="s">
        <v>15171</v>
      </c>
      <c r="L7106" s="13">
        <v>9387</v>
      </c>
      <c r="M7106" t="str">
        <f>VLOOKUP(L7106,[1]HBA!$B$2:$C$4000,2,FALSE)</f>
        <v>pon</v>
      </c>
    </row>
    <row r="7107" spans="2:13" x14ac:dyDescent="0.25">
      <c r="B7107" s="31" t="s">
        <v>26303</v>
      </c>
      <c r="C7107" s="25" t="s">
        <v>26240</v>
      </c>
      <c r="D7107" s="25" t="s">
        <v>26232</v>
      </c>
      <c r="E7107" s="25"/>
      <c r="F7107" s="9" t="str">
        <f t="shared" si="104"/>
        <v>structure with developmental contribution from neural crest</v>
      </c>
      <c r="G7107" s="9" t="s">
        <v>5090</v>
      </c>
      <c r="H7107" s="9" t="s">
        <v>25533</v>
      </c>
      <c r="I7107" s="9" t="s">
        <v>13020</v>
      </c>
      <c r="J7107" s="9" t="s">
        <v>13021</v>
      </c>
      <c r="K7107" s="7" t="s">
        <v>15171</v>
      </c>
      <c r="L7107" s="13">
        <v>9393</v>
      </c>
      <c r="M7107" t="str">
        <f>VLOOKUP(L7107,[1]HBA!$B$2:$C$4000,2,FALSE)</f>
        <v>LLs</v>
      </c>
    </row>
    <row r="7108" spans="2:13" x14ac:dyDescent="0.25">
      <c r="B7108" s="31" t="s">
        <v>26303</v>
      </c>
      <c r="C7108" s="25" t="s">
        <v>2299</v>
      </c>
      <c r="D7108" s="25" t="s">
        <v>26232</v>
      </c>
      <c r="E7108" s="25"/>
      <c r="F7108" s="9" t="str">
        <f t="shared" si="104"/>
        <v>structure with developmental contribution from neural crest</v>
      </c>
      <c r="G7108" s="9" t="s">
        <v>5090</v>
      </c>
      <c r="H7108" s="9" t="s">
        <v>25534</v>
      </c>
      <c r="I7108" s="9" t="s">
        <v>2299</v>
      </c>
      <c r="J7108" s="9" t="s">
        <v>2300</v>
      </c>
      <c r="K7108" s="7" t="s">
        <v>15171</v>
      </c>
      <c r="L7108" s="13">
        <v>9394</v>
      </c>
      <c r="M7108" t="str">
        <f>VLOOKUP(L7108,[1]HBA!$B$2:$C$4000,2,FALSE)</f>
        <v>his</v>
      </c>
    </row>
    <row r="7109" spans="2:13" x14ac:dyDescent="0.25">
      <c r="B7109" s="31" t="s">
        <v>26303</v>
      </c>
      <c r="C7109" s="20"/>
      <c r="D7109" s="25" t="s">
        <v>26232</v>
      </c>
      <c r="E7109" s="25" t="s">
        <v>26300</v>
      </c>
      <c r="F7109" s="9" t="str">
        <f t="shared" si="104"/>
        <v>structure with developmental contribution from neural crest</v>
      </c>
      <c r="G7109" s="9" t="s">
        <v>5090</v>
      </c>
      <c r="H7109" s="9" t="s">
        <v>25535</v>
      </c>
      <c r="I7109" s="9" t="s">
        <v>13022</v>
      </c>
      <c r="J7109" s="9" t="s">
        <v>13023</v>
      </c>
      <c r="K7109" s="7" t="s">
        <v>15171</v>
      </c>
      <c r="L7109" s="13">
        <v>9395</v>
      </c>
      <c r="M7109" t="str">
        <f>VLOOKUP(L7109,[1]HBA!$B$2:$C$4000,2,FALSE)</f>
        <v>ssa</v>
      </c>
    </row>
    <row r="7110" spans="2:13" x14ac:dyDescent="0.25">
      <c r="B7110" s="31" t="s">
        <v>26303</v>
      </c>
      <c r="C7110" s="20"/>
      <c r="D7110" s="25" t="s">
        <v>26232</v>
      </c>
      <c r="E7110" s="25" t="s">
        <v>26300</v>
      </c>
      <c r="F7110" s="9" t="str">
        <f t="shared" si="104"/>
        <v>structure with developmental contribution from neural crest</v>
      </c>
      <c r="G7110" s="9" t="s">
        <v>5090</v>
      </c>
      <c r="H7110" s="9" t="s">
        <v>23788</v>
      </c>
      <c r="I7110" s="9" t="s">
        <v>13024</v>
      </c>
      <c r="J7110" s="9" t="s">
        <v>13025</v>
      </c>
      <c r="K7110" s="7" t="s">
        <v>15171</v>
      </c>
      <c r="L7110" s="13">
        <v>9396</v>
      </c>
      <c r="M7110" t="str">
        <f>VLOOKUP(L7110,[1]HBA!$B$2:$C$4000,2,FALSE)</f>
        <v>us</v>
      </c>
    </row>
    <row r="7111" spans="2:13" x14ac:dyDescent="0.25">
      <c r="B7111" s="31" t="s">
        <v>26303</v>
      </c>
      <c r="C7111" s="25" t="s">
        <v>25998</v>
      </c>
      <c r="D7111" s="25" t="s">
        <v>26232</v>
      </c>
      <c r="E7111" s="25"/>
      <c r="F7111" s="9" t="str">
        <f t="shared" si="104"/>
        <v>structure with developmental contribution from neural crest</v>
      </c>
      <c r="G7111" s="9" t="s">
        <v>5090</v>
      </c>
      <c r="H7111" s="9" t="s">
        <v>25518</v>
      </c>
      <c r="I7111" s="9" t="s">
        <v>2729</v>
      </c>
      <c r="J7111" s="9" t="s">
        <v>2730</v>
      </c>
      <c r="K7111" s="7" t="s">
        <v>15171</v>
      </c>
      <c r="L7111" s="13">
        <v>9402</v>
      </c>
      <c r="M7111" t="str">
        <f>VLOOKUP(L7111,[1]HBA!$B$2:$C$4000,2,FALSE)</f>
        <v>sf</v>
      </c>
    </row>
    <row r="7112" spans="2:13" x14ac:dyDescent="0.25">
      <c r="B7112" s="31" t="s">
        <v>26303</v>
      </c>
      <c r="C7112" s="25" t="s">
        <v>1000</v>
      </c>
      <c r="D7112" s="25" t="s">
        <v>26232</v>
      </c>
      <c r="E7112" s="25"/>
      <c r="F7112" s="9" t="str">
        <f t="shared" si="104"/>
        <v>structure with developmental contribution from neural crest</v>
      </c>
      <c r="G7112" s="9" t="s">
        <v>5090</v>
      </c>
      <c r="H7112" s="9" t="s">
        <v>23699</v>
      </c>
      <c r="I7112" s="9" t="s">
        <v>1000</v>
      </c>
      <c r="J7112" s="9" t="s">
        <v>1002</v>
      </c>
      <c r="K7112" s="7" t="s">
        <v>15171</v>
      </c>
      <c r="L7112" s="13">
        <v>9403</v>
      </c>
      <c r="M7112" t="str">
        <f>VLOOKUP(L7112,[1]HBA!$B$2:$C$4000,2,FALSE)</f>
        <v>cs</v>
      </c>
    </row>
    <row r="7113" spans="2:13" x14ac:dyDescent="0.25">
      <c r="B7113" s="37" t="s">
        <v>26303</v>
      </c>
      <c r="C7113" s="25" t="s">
        <v>25839</v>
      </c>
      <c r="D7113" s="25" t="s">
        <v>26232</v>
      </c>
      <c r="E7113" s="25"/>
      <c r="F7113" s="9" t="str">
        <f t="shared" si="104"/>
        <v>structure with developmental contribution from neural crest</v>
      </c>
      <c r="G7113" s="9" t="s">
        <v>5090</v>
      </c>
      <c r="H7113" s="9" t="s">
        <v>25555</v>
      </c>
      <c r="I7113" s="9" t="s">
        <v>1063</v>
      </c>
      <c r="J7113" s="9" t="s">
        <v>1064</v>
      </c>
      <c r="K7113" s="7" t="s">
        <v>15171</v>
      </c>
      <c r="L7113" s="13">
        <v>9406</v>
      </c>
      <c r="M7113" t="str">
        <f>VLOOKUP(L7113,[1]HBA!$B$2:$C$4000,2,FALSE)</f>
        <v>Cbs</v>
      </c>
    </row>
    <row r="7114" spans="2:13" x14ac:dyDescent="0.25">
      <c r="B7114" s="31" t="s">
        <v>26303</v>
      </c>
      <c r="C7114" s="25" t="s">
        <v>26160</v>
      </c>
      <c r="D7114" s="25" t="s">
        <v>26232</v>
      </c>
      <c r="E7114" s="25"/>
      <c r="F7114" s="9" t="str">
        <f t="shared" si="104"/>
        <v>structure with developmental contribution from neural crest</v>
      </c>
      <c r="G7114" s="9" t="s">
        <v>5090</v>
      </c>
      <c r="H7114" s="9" t="s">
        <v>25558</v>
      </c>
      <c r="I7114" s="9" t="s">
        <v>13026</v>
      </c>
      <c r="J7114" s="9" t="s">
        <v>13027</v>
      </c>
      <c r="K7114" s="7" t="s">
        <v>15171</v>
      </c>
      <c r="L7114" s="13">
        <v>9414</v>
      </c>
      <c r="M7114" t="str">
        <f>VLOOKUP(L7114,[1]HBA!$B$2:$C$4000,2,FALSE)</f>
        <v>pbf</v>
      </c>
    </row>
    <row r="7115" spans="2:13" x14ac:dyDescent="0.25">
      <c r="B7115" s="31" t="s">
        <v>26303</v>
      </c>
      <c r="C7115" s="25"/>
      <c r="D7115" s="25" t="s">
        <v>26232</v>
      </c>
      <c r="E7115" s="25" t="s">
        <v>26300</v>
      </c>
      <c r="F7115" s="9" t="str">
        <f t="shared" si="104"/>
        <v>structure with developmental contribution from neural crest</v>
      </c>
      <c r="G7115" s="9" t="s">
        <v>5090</v>
      </c>
      <c r="H7115" s="9" t="s">
        <v>25559</v>
      </c>
      <c r="I7115" s="9" t="s">
        <v>13028</v>
      </c>
      <c r="J7115" s="9" t="s">
        <v>13029</v>
      </c>
      <c r="K7115" s="7" t="s">
        <v>15171</v>
      </c>
      <c r="L7115" s="13">
        <v>9415</v>
      </c>
      <c r="M7115" t="str">
        <f>VLOOKUP(L7115,[1]HBA!$B$2:$C$4000,2,FALSE)</f>
        <v>ibf</v>
      </c>
    </row>
    <row r="7116" spans="2:13" x14ac:dyDescent="0.25">
      <c r="B7116" s="31" t="s">
        <v>26303</v>
      </c>
      <c r="C7116" s="25" t="s">
        <v>2261</v>
      </c>
      <c r="D7116" s="25" t="s">
        <v>26232</v>
      </c>
      <c r="E7116" s="25"/>
      <c r="F7116" s="9" t="str">
        <f t="shared" si="104"/>
        <v>structure with developmental contribution from neural crest</v>
      </c>
      <c r="G7116" s="9" t="s">
        <v>5090</v>
      </c>
      <c r="H7116" s="9" t="s">
        <v>17411</v>
      </c>
      <c r="I7116" s="9" t="s">
        <v>13030</v>
      </c>
      <c r="J7116" s="9" t="s">
        <v>13031</v>
      </c>
      <c r="K7116" s="7" t="s">
        <v>15171</v>
      </c>
      <c r="L7116" s="13">
        <v>9452</v>
      </c>
      <c r="M7116" t="str">
        <f>VLOOKUP(L7116,[1]HBA!$B$2:$C$4000,2,FALSE)</f>
        <v>LDTg</v>
      </c>
    </row>
    <row r="7117" spans="2:13" x14ac:dyDescent="0.25">
      <c r="B7117" s="31" t="s">
        <v>26303</v>
      </c>
      <c r="C7117" s="25" t="s">
        <v>2261</v>
      </c>
      <c r="D7117" s="25" t="s">
        <v>26232</v>
      </c>
      <c r="E7117" s="25"/>
      <c r="F7117" s="9" t="str">
        <f t="shared" si="104"/>
        <v>structure with developmental contribution from neural crest</v>
      </c>
      <c r="G7117" s="9" t="s">
        <v>5090</v>
      </c>
      <c r="H7117" s="9" t="s">
        <v>17411</v>
      </c>
      <c r="I7117" s="9" t="s">
        <v>13032</v>
      </c>
      <c r="J7117" s="9" t="s">
        <v>13033</v>
      </c>
      <c r="K7117" s="7" t="s">
        <v>15171</v>
      </c>
      <c r="L7117" s="13">
        <v>9453</v>
      </c>
      <c r="M7117" t="str">
        <f>VLOOKUP(L7117,[1]HBA!$B$2:$C$4000,2,FALSE)</f>
        <v>LDTg</v>
      </c>
    </row>
    <row r="7118" spans="2:13" x14ac:dyDescent="0.25">
      <c r="B7118" s="31" t="s">
        <v>26303</v>
      </c>
      <c r="C7118" s="25" t="s">
        <v>2261</v>
      </c>
      <c r="D7118" s="25" t="s">
        <v>26232</v>
      </c>
      <c r="E7118" s="25"/>
      <c r="F7118" s="9" t="str">
        <f t="shared" si="104"/>
        <v>structure with developmental contribution from neural crest</v>
      </c>
      <c r="G7118" s="9" t="s">
        <v>5090</v>
      </c>
      <c r="H7118" s="9" t="s">
        <v>17411</v>
      </c>
      <c r="I7118" s="9" t="s">
        <v>13034</v>
      </c>
      <c r="J7118" s="9" t="s">
        <v>13035</v>
      </c>
      <c r="K7118" s="7" t="s">
        <v>15171</v>
      </c>
      <c r="L7118" s="13">
        <v>9454</v>
      </c>
      <c r="M7118" t="str">
        <f>VLOOKUP(L7118,[1]HBA!$B$2:$C$4000,2,FALSE)</f>
        <v>LDTg</v>
      </c>
    </row>
    <row r="7119" spans="2:13" x14ac:dyDescent="0.25">
      <c r="B7119" s="31" t="s">
        <v>26303</v>
      </c>
      <c r="C7119" s="25" t="s">
        <v>26125</v>
      </c>
      <c r="D7119" s="25" t="s">
        <v>26232</v>
      </c>
      <c r="E7119" s="25"/>
      <c r="F7119" s="9" t="str">
        <f t="shared" si="104"/>
        <v>structure with developmental contribution from neural crest</v>
      </c>
      <c r="G7119" s="9" t="s">
        <v>5090</v>
      </c>
      <c r="H7119" s="9" t="s">
        <v>24254</v>
      </c>
      <c r="I7119" s="9" t="s">
        <v>13036</v>
      </c>
      <c r="J7119" s="9" t="s">
        <v>13037</v>
      </c>
      <c r="K7119" s="7" t="s">
        <v>15171</v>
      </c>
      <c r="L7119" s="13">
        <v>9492</v>
      </c>
      <c r="M7119" t="str">
        <f>VLOOKUP(L7119,[1]HBA!$B$2:$C$4000,2,FALSE)</f>
        <v>Pn</v>
      </c>
    </row>
    <row r="7120" spans="2:13" x14ac:dyDescent="0.25">
      <c r="B7120" s="31" t="s">
        <v>26303</v>
      </c>
      <c r="C7120" s="25" t="s">
        <v>26125</v>
      </c>
      <c r="D7120" s="25" t="s">
        <v>26232</v>
      </c>
      <c r="E7120" s="25"/>
      <c r="F7120" s="9" t="str">
        <f t="shared" si="104"/>
        <v>structure with developmental contribution from neural crest</v>
      </c>
      <c r="G7120" s="9" t="s">
        <v>5090</v>
      </c>
      <c r="H7120" s="9" t="s">
        <v>24254</v>
      </c>
      <c r="I7120" s="9" t="s">
        <v>13038</v>
      </c>
      <c r="J7120" s="9" t="s">
        <v>13039</v>
      </c>
      <c r="K7120" s="7" t="s">
        <v>15171</v>
      </c>
      <c r="L7120" s="13">
        <v>9493</v>
      </c>
      <c r="M7120" t="str">
        <f>VLOOKUP(L7120,[1]HBA!$B$2:$C$4000,2,FALSE)</f>
        <v>Pn</v>
      </c>
    </row>
    <row r="7121" spans="2:13" x14ac:dyDescent="0.25">
      <c r="B7121" s="31" t="s">
        <v>26303</v>
      </c>
      <c r="C7121" s="20"/>
      <c r="D7121" s="25" t="s">
        <v>26185</v>
      </c>
      <c r="E7121" s="25" t="s">
        <v>26300</v>
      </c>
      <c r="F7121" s="9" t="str">
        <f t="shared" si="104"/>
        <v>structure with developmental contribution from neural crest</v>
      </c>
      <c r="G7121" s="9" t="s">
        <v>5090</v>
      </c>
      <c r="H7121" s="9" t="s">
        <v>24267</v>
      </c>
      <c r="I7121" s="9" t="s">
        <v>7341</v>
      </c>
      <c r="J7121" s="9" t="s">
        <v>13040</v>
      </c>
      <c r="K7121" s="7" t="s">
        <v>15171</v>
      </c>
      <c r="L7121" s="13">
        <v>9494</v>
      </c>
      <c r="M7121" t="str">
        <f>VLOOKUP(L7121,[1]HBA!$B$2:$C$4000,2,FALSE)</f>
        <v>Acs7</v>
      </c>
    </row>
    <row r="7122" spans="2:13" x14ac:dyDescent="0.25">
      <c r="B7122" s="31" t="s">
        <v>26303</v>
      </c>
      <c r="C7122" s="20"/>
      <c r="D7122" s="25" t="s">
        <v>26185</v>
      </c>
      <c r="E7122" s="25" t="s">
        <v>26300</v>
      </c>
      <c r="F7122" s="9" t="str">
        <f t="shared" si="104"/>
        <v>structure with developmental contribution from neural crest</v>
      </c>
      <c r="G7122" s="9" t="s">
        <v>5090</v>
      </c>
      <c r="H7122" s="9" t="s">
        <v>24267</v>
      </c>
      <c r="I7122" s="9" t="s">
        <v>13041</v>
      </c>
      <c r="J7122" s="9" t="s">
        <v>13042</v>
      </c>
      <c r="K7122" s="7" t="s">
        <v>15171</v>
      </c>
      <c r="L7122" s="13">
        <v>9495</v>
      </c>
      <c r="M7122" t="str">
        <f>VLOOKUP(L7122,[1]HBA!$B$2:$C$4000,2,FALSE)</f>
        <v>Acs7</v>
      </c>
    </row>
    <row r="7123" spans="2:13" x14ac:dyDescent="0.25">
      <c r="B7123" s="31" t="s">
        <v>26303</v>
      </c>
      <c r="C7123" s="20"/>
      <c r="D7123" s="25" t="s">
        <v>26185</v>
      </c>
      <c r="E7123" s="25" t="s">
        <v>26300</v>
      </c>
      <c r="F7123" s="9" t="str">
        <f t="shared" si="104"/>
        <v>structure with developmental contribution from neural crest</v>
      </c>
      <c r="G7123" s="9" t="s">
        <v>5090</v>
      </c>
      <c r="H7123" s="9" t="s">
        <v>24267</v>
      </c>
      <c r="I7123" s="9" t="s">
        <v>13043</v>
      </c>
      <c r="J7123" s="9" t="s">
        <v>13044</v>
      </c>
      <c r="K7123" s="7" t="s">
        <v>15171</v>
      </c>
      <c r="L7123" s="13">
        <v>9496</v>
      </c>
      <c r="M7123" t="str">
        <f>VLOOKUP(L7123,[1]HBA!$B$2:$C$4000,2,FALSE)</f>
        <v>Acs7</v>
      </c>
    </row>
    <row r="7124" spans="2:13" x14ac:dyDescent="0.25">
      <c r="B7124" s="31" t="s">
        <v>26303</v>
      </c>
      <c r="C7124" s="25" t="s">
        <v>26266</v>
      </c>
      <c r="D7124" s="25" t="s">
        <v>26185</v>
      </c>
      <c r="E7124" s="25" t="s">
        <v>26300</v>
      </c>
      <c r="F7124" s="9" t="str">
        <f t="shared" si="104"/>
        <v>structure with developmental contribution from neural crest</v>
      </c>
      <c r="G7124" s="9" t="s">
        <v>5090</v>
      </c>
      <c r="H7124" s="9" t="s">
        <v>20364</v>
      </c>
      <c r="I7124" s="9" t="s">
        <v>7429</v>
      </c>
      <c r="J7124" s="9" t="s">
        <v>13045</v>
      </c>
      <c r="K7124" s="7" t="s">
        <v>15171</v>
      </c>
      <c r="L7124" s="13">
        <v>9497</v>
      </c>
      <c r="M7124" t="str">
        <f>VLOOKUP(L7124,[1]HBA!$B$2:$C$4000,2,FALSE)</f>
        <v>Acs5</v>
      </c>
    </row>
    <row r="7125" spans="2:13" x14ac:dyDescent="0.25">
      <c r="B7125" s="31" t="s">
        <v>26303</v>
      </c>
      <c r="C7125" s="25" t="s">
        <v>26266</v>
      </c>
      <c r="D7125" s="25" t="s">
        <v>26185</v>
      </c>
      <c r="E7125" s="25" t="s">
        <v>26300</v>
      </c>
      <c r="F7125" s="9" t="str">
        <f t="shared" si="104"/>
        <v>structure with developmental contribution from neural crest</v>
      </c>
      <c r="G7125" s="9" t="s">
        <v>5090</v>
      </c>
      <c r="H7125" s="9" t="s">
        <v>20364</v>
      </c>
      <c r="I7125" s="9" t="s">
        <v>13046</v>
      </c>
      <c r="J7125" s="9" t="s">
        <v>13047</v>
      </c>
      <c r="K7125" s="7" t="s">
        <v>15171</v>
      </c>
      <c r="L7125" s="13">
        <v>9498</v>
      </c>
      <c r="M7125" t="str">
        <f>VLOOKUP(L7125,[1]HBA!$B$2:$C$4000,2,FALSE)</f>
        <v>Acs5</v>
      </c>
    </row>
    <row r="7126" spans="2:13" x14ac:dyDescent="0.25">
      <c r="B7126" s="31" t="s">
        <v>26303</v>
      </c>
      <c r="C7126" s="25" t="s">
        <v>26266</v>
      </c>
      <c r="D7126" s="25" t="s">
        <v>26185</v>
      </c>
      <c r="E7126" s="25" t="s">
        <v>26300</v>
      </c>
      <c r="F7126" s="9" t="str">
        <f t="shared" si="104"/>
        <v>structure with developmental contribution from neural crest</v>
      </c>
      <c r="G7126" s="9" t="s">
        <v>5090</v>
      </c>
      <c r="H7126" s="9" t="s">
        <v>20364</v>
      </c>
      <c r="I7126" s="9" t="s">
        <v>13048</v>
      </c>
      <c r="J7126" s="9" t="s">
        <v>13049</v>
      </c>
      <c r="K7126" s="7" t="s">
        <v>15171</v>
      </c>
      <c r="L7126" s="13">
        <v>9499</v>
      </c>
      <c r="M7126" t="str">
        <f>VLOOKUP(L7126,[1]HBA!$B$2:$C$4000,2,FALSE)</f>
        <v>Acs5</v>
      </c>
    </row>
    <row r="7127" spans="2:13" x14ac:dyDescent="0.25">
      <c r="B7127" s="31" t="s">
        <v>26303</v>
      </c>
      <c r="C7127" s="25" t="s">
        <v>1809</v>
      </c>
      <c r="D7127" s="25" t="s">
        <v>26232</v>
      </c>
      <c r="E7127" s="25"/>
      <c r="F7127" s="9" t="str">
        <f t="shared" si="104"/>
        <v>structure with developmental contribution from neural crest</v>
      </c>
      <c r="G7127" s="9" t="s">
        <v>5090</v>
      </c>
      <c r="H7127" s="9" t="s">
        <v>17880</v>
      </c>
      <c r="I7127" s="9" t="s">
        <v>13050</v>
      </c>
      <c r="J7127" s="9" t="s">
        <v>13051</v>
      </c>
      <c r="K7127" s="7" t="s">
        <v>15171</v>
      </c>
      <c r="L7127" s="13">
        <v>9500</v>
      </c>
      <c r="M7127" t="str">
        <f>VLOOKUP(L7127,[1]HBA!$B$2:$C$4000,2,FALSE)</f>
        <v>7M</v>
      </c>
    </row>
    <row r="7128" spans="2:13" x14ac:dyDescent="0.25">
      <c r="B7128" s="31" t="s">
        <v>26303</v>
      </c>
      <c r="C7128" s="25" t="s">
        <v>1809</v>
      </c>
      <c r="D7128" s="25" t="s">
        <v>26232</v>
      </c>
      <c r="E7128" s="25"/>
      <c r="F7128" s="9" t="str">
        <f t="shared" si="104"/>
        <v>structure with developmental contribution from neural crest</v>
      </c>
      <c r="G7128" s="9" t="s">
        <v>5090</v>
      </c>
      <c r="H7128" s="9" t="s">
        <v>25433</v>
      </c>
      <c r="I7128" s="9" t="s">
        <v>13052</v>
      </c>
      <c r="J7128" s="9" t="s">
        <v>13053</v>
      </c>
      <c r="K7128" s="7" t="s">
        <v>15171</v>
      </c>
      <c r="L7128" s="13">
        <v>9501</v>
      </c>
      <c r="M7128" t="str">
        <f>VLOOKUP(L7128,[1]HBA!$B$2:$C$4000,2,FALSE)</f>
        <v>7L</v>
      </c>
    </row>
    <row r="7129" spans="2:13" x14ac:dyDescent="0.25">
      <c r="B7129" s="31" t="s">
        <v>26303</v>
      </c>
      <c r="C7129" s="25" t="s">
        <v>1809</v>
      </c>
      <c r="D7129" s="25" t="s">
        <v>26232</v>
      </c>
      <c r="E7129" s="25"/>
      <c r="F7129" s="9" t="str">
        <f t="shared" si="104"/>
        <v>structure with developmental contribution from neural crest</v>
      </c>
      <c r="G7129" s="9" t="s">
        <v>5090</v>
      </c>
      <c r="H7129" s="9" t="s">
        <v>25434</v>
      </c>
      <c r="I7129" s="9" t="s">
        <v>13054</v>
      </c>
      <c r="J7129" s="9" t="s">
        <v>13055</v>
      </c>
      <c r="K7129" s="7" t="s">
        <v>15171</v>
      </c>
      <c r="L7129" s="13">
        <v>9502</v>
      </c>
      <c r="M7129" t="str">
        <f>VLOOKUP(L7129,[1]HBA!$B$2:$C$4000,2,FALSE)</f>
        <v>7I</v>
      </c>
    </row>
    <row r="7130" spans="2:13" x14ac:dyDescent="0.25">
      <c r="B7130" s="31" t="s">
        <v>26303</v>
      </c>
      <c r="C7130" s="25" t="s">
        <v>1809</v>
      </c>
      <c r="D7130" s="25" t="s">
        <v>26232</v>
      </c>
      <c r="E7130" s="25"/>
      <c r="F7130" s="9" t="str">
        <f t="shared" si="104"/>
        <v>structure with developmental contribution from neural crest</v>
      </c>
      <c r="G7130" s="9" t="s">
        <v>5090</v>
      </c>
      <c r="H7130" s="9" t="s">
        <v>25436</v>
      </c>
      <c r="I7130" s="9" t="s">
        <v>13056</v>
      </c>
      <c r="J7130" s="9" t="s">
        <v>13057</v>
      </c>
      <c r="K7130" s="7" t="s">
        <v>15171</v>
      </c>
      <c r="L7130" s="13">
        <v>9503</v>
      </c>
      <c r="M7130" t="str">
        <f>VLOOKUP(L7130,[1]HBA!$B$2:$C$4000,2,FALSE)</f>
        <v>7vl</v>
      </c>
    </row>
    <row r="7131" spans="2:13" x14ac:dyDescent="0.25">
      <c r="B7131" s="31" t="s">
        <v>26303</v>
      </c>
      <c r="C7131" s="25" t="s">
        <v>1809</v>
      </c>
      <c r="D7131" s="25" t="s">
        <v>26232</v>
      </c>
      <c r="E7131" s="25"/>
      <c r="F7131" s="9" t="str">
        <f t="shared" si="104"/>
        <v>structure with developmental contribution from neural crest</v>
      </c>
      <c r="G7131" s="9" t="s">
        <v>5090</v>
      </c>
      <c r="H7131" s="9" t="s">
        <v>24273</v>
      </c>
      <c r="I7131" s="9" t="s">
        <v>13058</v>
      </c>
      <c r="J7131" s="9" t="s">
        <v>13059</v>
      </c>
      <c r="K7131" s="7" t="s">
        <v>15171</v>
      </c>
      <c r="L7131" s="13">
        <v>9504</v>
      </c>
      <c r="M7131" t="str">
        <f>VLOOKUP(L7131,[1]HBA!$B$2:$C$4000,2,FALSE)</f>
        <v>7VL</v>
      </c>
    </row>
    <row r="7132" spans="2:13" x14ac:dyDescent="0.25">
      <c r="B7132" s="31" t="s">
        <v>26303</v>
      </c>
      <c r="C7132" s="25" t="s">
        <v>1809</v>
      </c>
      <c r="D7132" s="25" t="s">
        <v>26232</v>
      </c>
      <c r="E7132" s="25"/>
      <c r="F7132" s="9" t="str">
        <f t="shared" si="104"/>
        <v>structure with developmental contribution from neural crest</v>
      </c>
      <c r="G7132" s="9" t="s">
        <v>5090</v>
      </c>
      <c r="H7132" s="9" t="s">
        <v>25435</v>
      </c>
      <c r="I7132" s="9" t="s">
        <v>13060</v>
      </c>
      <c r="J7132" s="9" t="s">
        <v>13061</v>
      </c>
      <c r="K7132" s="7" t="s">
        <v>15171</v>
      </c>
      <c r="L7132" s="13">
        <v>9505</v>
      </c>
      <c r="M7132" t="str">
        <f>VLOOKUP(L7132,[1]HBA!$B$2:$C$4000,2,FALSE)</f>
        <v>P7</v>
      </c>
    </row>
    <row r="7133" spans="2:13" x14ac:dyDescent="0.25">
      <c r="B7133" s="31" t="s">
        <v>26303</v>
      </c>
      <c r="C7133" s="25" t="s">
        <v>1809</v>
      </c>
      <c r="D7133" s="25" t="s">
        <v>26232</v>
      </c>
      <c r="E7133" s="25"/>
      <c r="F7133" s="9" t="str">
        <f t="shared" si="104"/>
        <v>structure with developmental contribution from neural crest</v>
      </c>
      <c r="G7133" s="9" t="s">
        <v>5090</v>
      </c>
      <c r="H7133" s="9" t="s">
        <v>17880</v>
      </c>
      <c r="I7133" s="9" t="s">
        <v>13062</v>
      </c>
      <c r="J7133" s="9" t="s">
        <v>13063</v>
      </c>
      <c r="K7133" s="7" t="s">
        <v>15171</v>
      </c>
      <c r="L7133" s="13">
        <v>9506</v>
      </c>
      <c r="M7133" t="str">
        <f>VLOOKUP(L7133,[1]HBA!$B$2:$C$4000,2,FALSE)</f>
        <v>7M</v>
      </c>
    </row>
    <row r="7134" spans="2:13" x14ac:dyDescent="0.25">
      <c r="B7134" s="31" t="s">
        <v>26303</v>
      </c>
      <c r="C7134" s="25" t="s">
        <v>1809</v>
      </c>
      <c r="D7134" s="25" t="s">
        <v>26232</v>
      </c>
      <c r="E7134" s="25"/>
      <c r="F7134" s="9" t="str">
        <f t="shared" si="104"/>
        <v>structure with developmental contribution from neural crest</v>
      </c>
      <c r="G7134" s="9" t="s">
        <v>5090</v>
      </c>
      <c r="H7134" s="9" t="s">
        <v>25433</v>
      </c>
      <c r="I7134" s="9" t="s">
        <v>13064</v>
      </c>
      <c r="J7134" s="9" t="s">
        <v>13065</v>
      </c>
      <c r="K7134" s="7" t="s">
        <v>15171</v>
      </c>
      <c r="L7134" s="13">
        <v>9507</v>
      </c>
      <c r="M7134" t="str">
        <f>VLOOKUP(L7134,[1]HBA!$B$2:$C$4000,2,FALSE)</f>
        <v>7L</v>
      </c>
    </row>
    <row r="7135" spans="2:13" x14ac:dyDescent="0.25">
      <c r="B7135" s="31" t="s">
        <v>26303</v>
      </c>
      <c r="C7135" s="25" t="s">
        <v>1809</v>
      </c>
      <c r="D7135" s="25" t="s">
        <v>26232</v>
      </c>
      <c r="E7135" s="25"/>
      <c r="F7135" s="9" t="str">
        <f t="shared" si="104"/>
        <v>structure with developmental contribution from neural crest</v>
      </c>
      <c r="G7135" s="9" t="s">
        <v>5090</v>
      </c>
      <c r="H7135" s="9" t="s">
        <v>25434</v>
      </c>
      <c r="I7135" s="9" t="s">
        <v>13066</v>
      </c>
      <c r="J7135" s="9" t="s">
        <v>13067</v>
      </c>
      <c r="K7135" s="7" t="s">
        <v>15171</v>
      </c>
      <c r="L7135" s="13">
        <v>9508</v>
      </c>
      <c r="M7135" t="str">
        <f>VLOOKUP(L7135,[1]HBA!$B$2:$C$4000,2,FALSE)</f>
        <v>7I</v>
      </c>
    </row>
    <row r="7136" spans="2:13" x14ac:dyDescent="0.25">
      <c r="B7136" s="31" t="s">
        <v>26303</v>
      </c>
      <c r="C7136" s="25" t="s">
        <v>1809</v>
      </c>
      <c r="D7136" s="25" t="s">
        <v>26232</v>
      </c>
      <c r="E7136" s="25"/>
      <c r="F7136" s="9" t="str">
        <f t="shared" si="104"/>
        <v>structure with developmental contribution from neural crest</v>
      </c>
      <c r="G7136" s="9" t="s">
        <v>5090</v>
      </c>
      <c r="H7136" s="9" t="s">
        <v>25436</v>
      </c>
      <c r="I7136" s="9" t="s">
        <v>13068</v>
      </c>
      <c r="J7136" s="9" t="s">
        <v>13069</v>
      </c>
      <c r="K7136" s="7" t="s">
        <v>15171</v>
      </c>
      <c r="L7136" s="13">
        <v>9509</v>
      </c>
      <c r="M7136" t="str">
        <f>VLOOKUP(L7136,[1]HBA!$B$2:$C$4000,2,FALSE)</f>
        <v>7vl</v>
      </c>
    </row>
    <row r="7137" spans="2:13" x14ac:dyDescent="0.25">
      <c r="B7137" s="31" t="s">
        <v>26303</v>
      </c>
      <c r="C7137" s="25" t="s">
        <v>1809</v>
      </c>
      <c r="D7137" s="25" t="s">
        <v>26232</v>
      </c>
      <c r="E7137" s="25"/>
      <c r="F7137" s="9" t="str">
        <f t="shared" si="104"/>
        <v>structure with developmental contribution from neural crest</v>
      </c>
      <c r="G7137" s="9" t="s">
        <v>5090</v>
      </c>
      <c r="H7137" s="9" t="s">
        <v>24273</v>
      </c>
      <c r="I7137" s="9" t="s">
        <v>13070</v>
      </c>
      <c r="J7137" s="9" t="s">
        <v>13071</v>
      </c>
      <c r="K7137" s="7" t="s">
        <v>15171</v>
      </c>
      <c r="L7137" s="13">
        <v>9510</v>
      </c>
      <c r="M7137" t="str">
        <f>VLOOKUP(L7137,[1]HBA!$B$2:$C$4000,2,FALSE)</f>
        <v>7VL</v>
      </c>
    </row>
    <row r="7138" spans="2:13" x14ac:dyDescent="0.25">
      <c r="B7138" s="31" t="s">
        <v>26303</v>
      </c>
      <c r="C7138" s="25" t="s">
        <v>1809</v>
      </c>
      <c r="D7138" s="25" t="s">
        <v>26232</v>
      </c>
      <c r="E7138" s="25"/>
      <c r="F7138" s="9" t="str">
        <f t="shared" si="104"/>
        <v>structure with developmental contribution from neural crest</v>
      </c>
      <c r="G7138" s="9" t="s">
        <v>5090</v>
      </c>
      <c r="H7138" s="9" t="s">
        <v>25435</v>
      </c>
      <c r="I7138" s="9" t="s">
        <v>13072</v>
      </c>
      <c r="J7138" s="9" t="s">
        <v>13073</v>
      </c>
      <c r="K7138" s="7" t="s">
        <v>15171</v>
      </c>
      <c r="L7138" s="13">
        <v>9511</v>
      </c>
      <c r="M7138" t="str">
        <f>VLOOKUP(L7138,[1]HBA!$B$2:$C$4000,2,FALSE)</f>
        <v>P7</v>
      </c>
    </row>
    <row r="7139" spans="2:13" x14ac:dyDescent="0.25">
      <c r="B7139" s="31" t="s">
        <v>26303</v>
      </c>
      <c r="C7139" s="25" t="s">
        <v>180</v>
      </c>
      <c r="D7139" s="25" t="s">
        <v>26232</v>
      </c>
      <c r="E7139" s="25"/>
      <c r="F7139" s="9" t="str">
        <f t="shared" si="104"/>
        <v>structure with developmental contribution from neural crest</v>
      </c>
      <c r="G7139" s="9" t="s">
        <v>5090</v>
      </c>
      <c r="H7139" s="9" t="s">
        <v>25442</v>
      </c>
      <c r="I7139" s="9" t="s">
        <v>180</v>
      </c>
      <c r="J7139" s="9" t="s">
        <v>181</v>
      </c>
      <c r="K7139" s="7" t="s">
        <v>15171</v>
      </c>
      <c r="L7139" s="13">
        <v>9513</v>
      </c>
      <c r="M7139" t="str">
        <f>VLOOKUP(L7139,[1]HBA!$B$2:$C$4000,2,FALSE)</f>
        <v>ACu</v>
      </c>
    </row>
    <row r="7140" spans="2:13" x14ac:dyDescent="0.25">
      <c r="B7140" s="31" t="s">
        <v>26303</v>
      </c>
      <c r="C7140" s="25" t="s">
        <v>180</v>
      </c>
      <c r="D7140" s="25" t="s">
        <v>26232</v>
      </c>
      <c r="E7140" s="25"/>
      <c r="F7140" s="9" t="str">
        <f t="shared" si="104"/>
        <v>structure with developmental contribution from neural crest</v>
      </c>
      <c r="G7140" s="9" t="s">
        <v>5090</v>
      </c>
      <c r="H7140" s="9" t="s">
        <v>25442</v>
      </c>
      <c r="I7140" s="9" t="s">
        <v>13074</v>
      </c>
      <c r="J7140" s="9" t="s">
        <v>13075</v>
      </c>
      <c r="K7140" s="7" t="s">
        <v>15171</v>
      </c>
      <c r="L7140" s="13">
        <v>9514</v>
      </c>
      <c r="M7140" t="str">
        <f>VLOOKUP(L7140,[1]HBA!$B$2:$C$4000,2,FALSE)</f>
        <v>ACu</v>
      </c>
    </row>
    <row r="7141" spans="2:13" x14ac:dyDescent="0.25">
      <c r="B7141" s="31" t="s">
        <v>26303</v>
      </c>
      <c r="C7141" s="25" t="s">
        <v>180</v>
      </c>
      <c r="D7141" s="25" t="s">
        <v>26232</v>
      </c>
      <c r="E7141" s="25"/>
      <c r="F7141" s="9" t="str">
        <f t="shared" si="104"/>
        <v>structure with developmental contribution from neural crest</v>
      </c>
      <c r="G7141" s="9" t="s">
        <v>5090</v>
      </c>
      <c r="H7141" s="9" t="s">
        <v>25442</v>
      </c>
      <c r="I7141" s="9" t="s">
        <v>13076</v>
      </c>
      <c r="J7141" s="9" t="s">
        <v>13077</v>
      </c>
      <c r="K7141" s="7" t="s">
        <v>15171</v>
      </c>
      <c r="L7141" s="13">
        <v>9515</v>
      </c>
      <c r="M7141" t="str">
        <f>VLOOKUP(L7141,[1]HBA!$B$2:$C$4000,2,FALSE)</f>
        <v>ACu</v>
      </c>
    </row>
    <row r="7142" spans="2:13" x14ac:dyDescent="0.25">
      <c r="B7142" s="31" t="s">
        <v>26303</v>
      </c>
      <c r="C7142" s="25" t="s">
        <v>3248</v>
      </c>
      <c r="D7142" s="25" t="s">
        <v>26232</v>
      </c>
      <c r="E7142" s="25"/>
      <c r="F7142" s="9" t="str">
        <f t="shared" si="104"/>
        <v>structure with developmental contribution from neural crest</v>
      </c>
      <c r="G7142" s="9" t="s">
        <v>5090</v>
      </c>
      <c r="H7142" s="9" t="s">
        <v>24371</v>
      </c>
      <c r="I7142" s="9" t="s">
        <v>3245</v>
      </c>
      <c r="J7142" s="9" t="s">
        <v>3247</v>
      </c>
      <c r="K7142" s="7" t="s">
        <v>15171</v>
      </c>
      <c r="L7142" s="13">
        <v>9516</v>
      </c>
      <c r="M7142" t="str">
        <f>VLOOKUP(L7142,[1]HBA!$B$2:$C$4000,2,FALSE)</f>
        <v>Amb</v>
      </c>
    </row>
    <row r="7143" spans="2:13" x14ac:dyDescent="0.25">
      <c r="B7143" s="31" t="s">
        <v>26303</v>
      </c>
      <c r="C7143" s="25" t="s">
        <v>3248</v>
      </c>
      <c r="D7143" s="25" t="s">
        <v>26232</v>
      </c>
      <c r="E7143" s="25"/>
      <c r="F7143" s="9" t="str">
        <f t="shared" si="104"/>
        <v>structure with developmental contribution from neural crest</v>
      </c>
      <c r="G7143" s="9" t="s">
        <v>5090</v>
      </c>
      <c r="H7143" s="9" t="s">
        <v>24371</v>
      </c>
      <c r="I7143" s="9" t="s">
        <v>13078</v>
      </c>
      <c r="J7143" s="9" t="s">
        <v>13079</v>
      </c>
      <c r="K7143" s="7" t="s">
        <v>15171</v>
      </c>
      <c r="L7143" s="13">
        <v>9517</v>
      </c>
      <c r="M7143" t="str">
        <f>VLOOKUP(L7143,[1]HBA!$B$2:$C$4000,2,FALSE)</f>
        <v>Amb</v>
      </c>
    </row>
    <row r="7144" spans="2:13" x14ac:dyDescent="0.25">
      <c r="B7144" s="31" t="s">
        <v>26303</v>
      </c>
      <c r="C7144" s="25" t="s">
        <v>3248</v>
      </c>
      <c r="D7144" s="25" t="s">
        <v>26232</v>
      </c>
      <c r="E7144" s="25"/>
      <c r="F7144" s="9" t="str">
        <f t="shared" si="104"/>
        <v>structure with developmental contribution from neural crest</v>
      </c>
      <c r="G7144" s="9" t="s">
        <v>5090</v>
      </c>
      <c r="H7144" s="9" t="s">
        <v>24371</v>
      </c>
      <c r="I7144" s="9" t="s">
        <v>13080</v>
      </c>
      <c r="J7144" s="9" t="s">
        <v>13081</v>
      </c>
      <c r="K7144" s="7" t="s">
        <v>15171</v>
      </c>
      <c r="L7144" s="13">
        <v>9518</v>
      </c>
      <c r="M7144" t="str">
        <f>VLOOKUP(L7144,[1]HBA!$B$2:$C$4000,2,FALSE)</f>
        <v>Amb</v>
      </c>
    </row>
    <row r="7145" spans="2:13" x14ac:dyDescent="0.25">
      <c r="B7145" s="31" t="s">
        <v>26303</v>
      </c>
      <c r="C7145" s="25" t="s">
        <v>508</v>
      </c>
      <c r="D7145" s="25" t="s">
        <v>26232</v>
      </c>
      <c r="E7145" s="25"/>
      <c r="F7145" s="9" t="str">
        <f t="shared" si="104"/>
        <v>structure with developmental contribution from neural crest</v>
      </c>
      <c r="G7145" s="9" t="s">
        <v>5090</v>
      </c>
      <c r="H7145" s="9" t="s">
        <v>23503</v>
      </c>
      <c r="I7145" s="9" t="s">
        <v>508</v>
      </c>
      <c r="J7145" s="9" t="s">
        <v>509</v>
      </c>
      <c r="K7145" s="7" t="s">
        <v>15171</v>
      </c>
      <c r="L7145" s="13">
        <v>9519</v>
      </c>
      <c r="M7145" t="str">
        <f>VLOOKUP(L7145,[1]HBA!$B$2:$C$4000,2,FALSE)</f>
        <v>Arc</v>
      </c>
    </row>
    <row r="7146" spans="2:13" x14ac:dyDescent="0.25">
      <c r="B7146" s="31" t="s">
        <v>26303</v>
      </c>
      <c r="C7146" s="25" t="s">
        <v>508</v>
      </c>
      <c r="D7146" s="25" t="s">
        <v>26232</v>
      </c>
      <c r="E7146" s="25"/>
      <c r="F7146" s="9" t="str">
        <f t="shared" si="104"/>
        <v>structure with developmental contribution from neural crest</v>
      </c>
      <c r="G7146" s="9" t="s">
        <v>5090</v>
      </c>
      <c r="H7146" s="9" t="s">
        <v>23503</v>
      </c>
      <c r="I7146" s="9" t="s">
        <v>13082</v>
      </c>
      <c r="J7146" s="9" t="s">
        <v>13083</v>
      </c>
      <c r="K7146" s="7" t="s">
        <v>15171</v>
      </c>
      <c r="L7146" s="13">
        <v>9520</v>
      </c>
      <c r="M7146" t="str">
        <f>VLOOKUP(L7146,[1]HBA!$B$2:$C$4000,2,FALSE)</f>
        <v>Arc</v>
      </c>
    </row>
    <row r="7147" spans="2:13" x14ac:dyDescent="0.25">
      <c r="B7147" s="31" t="s">
        <v>26303</v>
      </c>
      <c r="C7147" s="25" t="s">
        <v>508</v>
      </c>
      <c r="D7147" s="25" t="s">
        <v>26232</v>
      </c>
      <c r="E7147" s="25"/>
      <c r="F7147" s="9" t="str">
        <f t="shared" si="104"/>
        <v>structure with developmental contribution from neural crest</v>
      </c>
      <c r="G7147" s="9" t="s">
        <v>5090</v>
      </c>
      <c r="H7147" s="9" t="s">
        <v>23503</v>
      </c>
      <c r="I7147" s="9" t="s">
        <v>13084</v>
      </c>
      <c r="J7147" s="9" t="s">
        <v>13085</v>
      </c>
      <c r="K7147" s="7" t="s">
        <v>15171</v>
      </c>
      <c r="L7147" s="13">
        <v>9521</v>
      </c>
      <c r="M7147" t="str">
        <f>VLOOKUP(L7147,[1]HBA!$B$2:$C$4000,2,FALSE)</f>
        <v>Arc</v>
      </c>
    </row>
    <row r="7148" spans="2:13" x14ac:dyDescent="0.25">
      <c r="B7148" s="31" t="s">
        <v>26303</v>
      </c>
      <c r="C7148" s="25" t="s">
        <v>514</v>
      </c>
      <c r="D7148" s="25" t="s">
        <v>26232</v>
      </c>
      <c r="E7148" s="25"/>
      <c r="F7148" s="9" t="str">
        <f t="shared" si="104"/>
        <v>structure with developmental contribution from neural crest</v>
      </c>
      <c r="G7148" s="9" t="s">
        <v>5090</v>
      </c>
      <c r="H7148" s="9" t="s">
        <v>20395</v>
      </c>
      <c r="I7148" s="9" t="s">
        <v>13086</v>
      </c>
      <c r="J7148" s="9" t="s">
        <v>13087</v>
      </c>
      <c r="K7148" s="7" t="s">
        <v>15171</v>
      </c>
      <c r="L7148" s="13">
        <v>9523</v>
      </c>
      <c r="M7148" t="str">
        <f>VLOOKUP(L7148,[1]HBA!$B$2:$C$4000,2,FALSE)</f>
        <v>AP</v>
      </c>
    </row>
    <row r="7149" spans="2:13" x14ac:dyDescent="0.25">
      <c r="B7149" s="31" t="s">
        <v>26303</v>
      </c>
      <c r="C7149" s="25" t="s">
        <v>514</v>
      </c>
      <c r="D7149" s="25" t="s">
        <v>26232</v>
      </c>
      <c r="E7149" s="25"/>
      <c r="F7149" s="9" t="str">
        <f t="shared" si="104"/>
        <v>structure with developmental contribution from neural crest</v>
      </c>
      <c r="G7149" s="9" t="s">
        <v>5090</v>
      </c>
      <c r="H7149" s="9" t="s">
        <v>20395</v>
      </c>
      <c r="I7149" s="9" t="s">
        <v>13088</v>
      </c>
      <c r="J7149" s="9" t="s">
        <v>13089</v>
      </c>
      <c r="K7149" s="7" t="s">
        <v>15171</v>
      </c>
      <c r="L7149" s="13">
        <v>9524</v>
      </c>
      <c r="M7149" t="str">
        <f>VLOOKUP(L7149,[1]HBA!$B$2:$C$4000,2,FALSE)</f>
        <v>AP</v>
      </c>
    </row>
    <row r="7150" spans="2:13" x14ac:dyDescent="0.25">
      <c r="B7150" s="31" t="s">
        <v>26303</v>
      </c>
      <c r="C7150" s="20"/>
      <c r="D7150" s="25" t="s">
        <v>26232</v>
      </c>
      <c r="E7150" s="25" t="s">
        <v>26309</v>
      </c>
      <c r="F7150" s="9" t="str">
        <f t="shared" si="104"/>
        <v>structure with developmental contribution from neural crest</v>
      </c>
      <c r="G7150" s="9" t="s">
        <v>5090</v>
      </c>
      <c r="H7150" s="9" t="s">
        <v>25443</v>
      </c>
      <c r="I7150" s="9" t="s">
        <v>4469</v>
      </c>
      <c r="J7150" s="9" t="s">
        <v>4695</v>
      </c>
      <c r="K7150" s="7" t="s">
        <v>15171</v>
      </c>
      <c r="L7150" s="13">
        <v>9525</v>
      </c>
      <c r="M7150" t="str">
        <f>VLOOKUP(L7150,[1]HBA!$B$2:$C$4000,2,FALSE)</f>
        <v>CGS</v>
      </c>
    </row>
    <row r="7151" spans="2:13" x14ac:dyDescent="0.25">
      <c r="B7151" s="31" t="s">
        <v>26303</v>
      </c>
      <c r="C7151" s="20"/>
      <c r="D7151" s="25" t="s">
        <v>26232</v>
      </c>
      <c r="E7151" s="25" t="s">
        <v>26309</v>
      </c>
      <c r="F7151" s="9" t="str">
        <f t="shared" si="104"/>
        <v>structure with developmental contribution from neural crest</v>
      </c>
      <c r="G7151" s="9" t="s">
        <v>5090</v>
      </c>
      <c r="H7151" s="9" t="s">
        <v>25443</v>
      </c>
      <c r="I7151" s="9" t="s">
        <v>4696</v>
      </c>
      <c r="J7151" s="9" t="s">
        <v>4697</v>
      </c>
      <c r="K7151" s="7" t="s">
        <v>15171</v>
      </c>
      <c r="L7151" s="13">
        <v>9526</v>
      </c>
      <c r="M7151" t="str">
        <f>VLOOKUP(L7151,[1]HBA!$B$2:$C$4000,2,FALSE)</f>
        <v>CGS</v>
      </c>
    </row>
    <row r="7152" spans="2:13" x14ac:dyDescent="0.25">
      <c r="B7152" s="31" t="s">
        <v>26303</v>
      </c>
      <c r="C7152" s="20"/>
      <c r="D7152" s="25" t="s">
        <v>26232</v>
      </c>
      <c r="E7152" s="25" t="s">
        <v>26309</v>
      </c>
      <c r="F7152" s="9" t="str">
        <f t="shared" si="104"/>
        <v>structure with developmental contribution from neural crest</v>
      </c>
      <c r="G7152" s="9" t="s">
        <v>5090</v>
      </c>
      <c r="H7152" s="9" t="s">
        <v>25443</v>
      </c>
      <c r="I7152" s="9" t="s">
        <v>4698</v>
      </c>
      <c r="J7152" s="9" t="s">
        <v>4699</v>
      </c>
      <c r="K7152" s="7" t="s">
        <v>15171</v>
      </c>
      <c r="L7152" s="13">
        <v>9527</v>
      </c>
      <c r="M7152" t="str">
        <f>VLOOKUP(L7152,[1]HBA!$B$2:$C$4000,2,FALSE)</f>
        <v>CGS</v>
      </c>
    </row>
    <row r="7153" spans="2:13" x14ac:dyDescent="0.25">
      <c r="B7153" s="31" t="s">
        <v>26303</v>
      </c>
      <c r="C7153" s="25" t="s">
        <v>25877</v>
      </c>
      <c r="D7153" s="25" t="s">
        <v>26232</v>
      </c>
      <c r="E7153" s="25"/>
      <c r="F7153" s="9" t="str">
        <f t="shared" si="104"/>
        <v>structure with developmental contribution from neural crest</v>
      </c>
      <c r="G7153" s="9" t="s">
        <v>5090</v>
      </c>
      <c r="H7153" s="9" t="s">
        <v>24283</v>
      </c>
      <c r="I7153" s="9" t="s">
        <v>13090</v>
      </c>
      <c r="J7153" s="9" t="s">
        <v>13091</v>
      </c>
      <c r="K7153" s="7" t="s">
        <v>15171</v>
      </c>
      <c r="L7153" s="13">
        <v>9529</v>
      </c>
      <c r="M7153" t="str">
        <f>VLOOKUP(L7153,[1]HBA!$B$2:$C$4000,2,FALSE)</f>
        <v>8Co</v>
      </c>
    </row>
    <row r="7154" spans="2:13" x14ac:dyDescent="0.25">
      <c r="B7154" s="31" t="s">
        <v>26303</v>
      </c>
      <c r="C7154" s="25" t="s">
        <v>1518</v>
      </c>
      <c r="D7154" s="25" t="s">
        <v>26232</v>
      </c>
      <c r="E7154" s="25"/>
      <c r="F7154" s="9" t="str">
        <f t="shared" si="104"/>
        <v>structure with developmental contribution from neural crest</v>
      </c>
      <c r="G7154" s="9" t="s">
        <v>5090</v>
      </c>
      <c r="H7154" s="9" t="s">
        <v>24284</v>
      </c>
      <c r="I7154" s="9" t="s">
        <v>1520</v>
      </c>
      <c r="J7154" s="9" t="s">
        <v>1521</v>
      </c>
      <c r="K7154" s="7" t="s">
        <v>15171</v>
      </c>
      <c r="L7154" s="13">
        <v>9530</v>
      </c>
      <c r="M7154" t="str">
        <f>VLOOKUP(L7154,[1]HBA!$B$2:$C$4000,2,FALSE)</f>
        <v>DCo</v>
      </c>
    </row>
    <row r="7155" spans="2:13" x14ac:dyDescent="0.25">
      <c r="B7155" s="31" t="s">
        <v>26303</v>
      </c>
      <c r="C7155" s="25" t="s">
        <v>7369</v>
      </c>
      <c r="D7155" s="25" t="s">
        <v>26232</v>
      </c>
      <c r="E7155" s="25"/>
      <c r="F7155" s="9" t="str">
        <f t="shared" si="104"/>
        <v>structure with developmental contribution from neural crest</v>
      </c>
      <c r="G7155" s="9" t="s">
        <v>5090</v>
      </c>
      <c r="H7155" s="9" t="s">
        <v>24286</v>
      </c>
      <c r="I7155" s="9" t="s">
        <v>13092</v>
      </c>
      <c r="J7155" s="9" t="s">
        <v>13093</v>
      </c>
      <c r="K7155" s="7" t="s">
        <v>15171</v>
      </c>
      <c r="L7155" s="13">
        <v>9531</v>
      </c>
      <c r="M7155" t="str">
        <f>VLOOKUP(L7155,[1]HBA!$B$2:$C$4000,2,FALSE)</f>
        <v>VCo</v>
      </c>
    </row>
    <row r="7156" spans="2:13" x14ac:dyDescent="0.25">
      <c r="B7156" s="31" t="s">
        <v>26303</v>
      </c>
      <c r="C7156" s="25" t="s">
        <v>25800</v>
      </c>
      <c r="D7156" s="25" t="s">
        <v>26232</v>
      </c>
      <c r="E7156" s="25"/>
      <c r="F7156" s="9" t="str">
        <f t="shared" si="104"/>
        <v>structure with developmental contribution from neural crest</v>
      </c>
      <c r="G7156" s="9" t="s">
        <v>5090</v>
      </c>
      <c r="H7156" s="9" t="s">
        <v>25445</v>
      </c>
      <c r="I7156" s="9" t="s">
        <v>472</v>
      </c>
      <c r="J7156" s="9" t="s">
        <v>473</v>
      </c>
      <c r="K7156" s="7" t="s">
        <v>15171</v>
      </c>
      <c r="L7156" s="13">
        <v>9532</v>
      </c>
      <c r="M7156" t="str">
        <f>VLOOKUP(L7156,[1]HBA!$B$2:$C$4000,2,FALSE)</f>
        <v>AVCo</v>
      </c>
    </row>
    <row r="7157" spans="2:13" x14ac:dyDescent="0.25">
      <c r="B7157" s="31" t="s">
        <v>26303</v>
      </c>
      <c r="C7157" s="25" t="s">
        <v>26150</v>
      </c>
      <c r="D7157" s="25" t="s">
        <v>26232</v>
      </c>
      <c r="E7157" s="25"/>
      <c r="F7157" s="9" t="str">
        <f t="shared" si="104"/>
        <v>structure with developmental contribution from neural crest</v>
      </c>
      <c r="G7157" s="9" t="s">
        <v>5090</v>
      </c>
      <c r="H7157" s="9" t="s">
        <v>25446</v>
      </c>
      <c r="I7157" s="9" t="s">
        <v>4035</v>
      </c>
      <c r="J7157" s="9" t="s">
        <v>4036</v>
      </c>
      <c r="K7157" s="7" t="s">
        <v>15171</v>
      </c>
      <c r="L7157" s="13">
        <v>9533</v>
      </c>
      <c r="M7157" t="str">
        <f>VLOOKUP(L7157,[1]HBA!$B$2:$C$4000,2,FALSE)</f>
        <v>PVCo</v>
      </c>
    </row>
    <row r="7158" spans="2:13" x14ac:dyDescent="0.25">
      <c r="B7158" s="31" t="s">
        <v>26303</v>
      </c>
      <c r="C7158" s="25" t="s">
        <v>25877</v>
      </c>
      <c r="D7158" s="25" t="s">
        <v>26232</v>
      </c>
      <c r="E7158" s="25"/>
      <c r="F7158" s="9" t="str">
        <f t="shared" si="104"/>
        <v>structure with developmental contribution from neural crest</v>
      </c>
      <c r="G7158" s="9" t="s">
        <v>5090</v>
      </c>
      <c r="H7158" s="9" t="s">
        <v>24283</v>
      </c>
      <c r="I7158" s="9" t="s">
        <v>13094</v>
      </c>
      <c r="J7158" s="9" t="s">
        <v>13095</v>
      </c>
      <c r="K7158" s="7" t="s">
        <v>15171</v>
      </c>
      <c r="L7158" s="13">
        <v>9534</v>
      </c>
      <c r="M7158" t="str">
        <f>VLOOKUP(L7158,[1]HBA!$B$2:$C$4000,2,FALSE)</f>
        <v>8Co</v>
      </c>
    </row>
    <row r="7159" spans="2:13" x14ac:dyDescent="0.25">
      <c r="B7159" s="31" t="s">
        <v>26303</v>
      </c>
      <c r="C7159" s="25" t="s">
        <v>1518</v>
      </c>
      <c r="D7159" s="25" t="s">
        <v>26232</v>
      </c>
      <c r="E7159" s="25"/>
      <c r="F7159" s="9" t="str">
        <f t="shared" ref="F7159:F7222" si="105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7159" s="9" t="s">
        <v>5090</v>
      </c>
      <c r="H7159" s="9" t="s">
        <v>24284</v>
      </c>
      <c r="I7159" s="9" t="s">
        <v>13096</v>
      </c>
      <c r="J7159" s="9" t="s">
        <v>13097</v>
      </c>
      <c r="K7159" s="7" t="s">
        <v>15171</v>
      </c>
      <c r="L7159" s="13">
        <v>9535</v>
      </c>
      <c r="M7159" t="str">
        <f>VLOOKUP(L7159,[1]HBA!$B$2:$C$4000,2,FALSE)</f>
        <v>DCo</v>
      </c>
    </row>
    <row r="7160" spans="2:13" x14ac:dyDescent="0.25">
      <c r="B7160" s="31" t="s">
        <v>26303</v>
      </c>
      <c r="C7160" s="25" t="s">
        <v>7369</v>
      </c>
      <c r="D7160" s="25" t="s">
        <v>26232</v>
      </c>
      <c r="E7160" s="25"/>
      <c r="F7160" s="9" t="str">
        <f t="shared" si="105"/>
        <v>structure with developmental contribution from neural crest</v>
      </c>
      <c r="G7160" s="9" t="s">
        <v>5090</v>
      </c>
      <c r="H7160" s="9" t="s">
        <v>24286</v>
      </c>
      <c r="I7160" s="9" t="s">
        <v>13098</v>
      </c>
      <c r="J7160" s="9" t="s">
        <v>13099</v>
      </c>
      <c r="K7160" s="7" t="s">
        <v>15171</v>
      </c>
      <c r="L7160" s="13">
        <v>9536</v>
      </c>
      <c r="M7160" t="str">
        <f>VLOOKUP(L7160,[1]HBA!$B$2:$C$4000,2,FALSE)</f>
        <v>VCo</v>
      </c>
    </row>
    <row r="7161" spans="2:13" x14ac:dyDescent="0.25">
      <c r="B7161" s="31" t="s">
        <v>26303</v>
      </c>
      <c r="C7161" s="25" t="s">
        <v>25800</v>
      </c>
      <c r="D7161" s="25" t="s">
        <v>26232</v>
      </c>
      <c r="E7161" s="25"/>
      <c r="F7161" s="9" t="str">
        <f t="shared" si="105"/>
        <v>structure with developmental contribution from neural crest</v>
      </c>
      <c r="G7161" s="9" t="s">
        <v>5090</v>
      </c>
      <c r="H7161" s="9" t="s">
        <v>25445</v>
      </c>
      <c r="I7161" s="9" t="s">
        <v>13100</v>
      </c>
      <c r="J7161" s="9" t="s">
        <v>13101</v>
      </c>
      <c r="K7161" s="7" t="s">
        <v>15171</v>
      </c>
      <c r="L7161" s="13">
        <v>9537</v>
      </c>
      <c r="M7161" t="str">
        <f>VLOOKUP(L7161,[1]HBA!$B$2:$C$4000,2,FALSE)</f>
        <v>AVCo</v>
      </c>
    </row>
    <row r="7162" spans="2:13" x14ac:dyDescent="0.25">
      <c r="B7162" s="31" t="s">
        <v>26303</v>
      </c>
      <c r="C7162" s="25" t="s">
        <v>26150</v>
      </c>
      <c r="D7162" s="25" t="s">
        <v>26232</v>
      </c>
      <c r="E7162" s="25"/>
      <c r="F7162" s="9" t="str">
        <f t="shared" si="105"/>
        <v>structure with developmental contribution from neural crest</v>
      </c>
      <c r="G7162" s="9" t="s">
        <v>5090</v>
      </c>
      <c r="H7162" s="9" t="s">
        <v>25446</v>
      </c>
      <c r="I7162" s="9" t="s">
        <v>13102</v>
      </c>
      <c r="J7162" s="9" t="s">
        <v>13103</v>
      </c>
      <c r="K7162" s="7" t="s">
        <v>15171</v>
      </c>
      <c r="L7162" s="13">
        <v>9538</v>
      </c>
      <c r="M7162" t="str">
        <f>VLOOKUP(L7162,[1]HBA!$B$2:$C$4000,2,FALSE)</f>
        <v>PVCo</v>
      </c>
    </row>
    <row r="7163" spans="2:13" x14ac:dyDescent="0.25">
      <c r="B7163" s="31" t="s">
        <v>26303</v>
      </c>
      <c r="C7163" s="20"/>
      <c r="D7163" s="25" t="s">
        <v>26232</v>
      </c>
      <c r="E7163" s="25" t="s">
        <v>26309</v>
      </c>
      <c r="F7163" s="9" t="str">
        <f t="shared" si="105"/>
        <v>structure with developmental contribution from neural crest</v>
      </c>
      <c r="G7163" s="9" t="s">
        <v>5090</v>
      </c>
      <c r="H7163" s="9" t="s">
        <v>25447</v>
      </c>
      <c r="I7163" s="9" t="s">
        <v>13104</v>
      </c>
      <c r="J7163" s="9" t="s">
        <v>13105</v>
      </c>
      <c r="K7163" s="7" t="s">
        <v>15171</v>
      </c>
      <c r="L7163" s="13">
        <v>9539</v>
      </c>
      <c r="M7163" t="str">
        <f>VLOOKUP(L7163,[1]HBA!$B$2:$C$4000,2,FALSE)</f>
        <v>CT</v>
      </c>
    </row>
    <row r="7164" spans="2:13" x14ac:dyDescent="0.25">
      <c r="B7164" s="31" t="s">
        <v>26303</v>
      </c>
      <c r="C7164" s="20"/>
      <c r="D7164" s="25" t="s">
        <v>26232</v>
      </c>
      <c r="E7164" s="25" t="s">
        <v>26300</v>
      </c>
      <c r="F7164" s="9" t="str">
        <f t="shared" si="105"/>
        <v>structure with developmental contribution from neural crest</v>
      </c>
      <c r="G7164" s="9" t="s">
        <v>5090</v>
      </c>
      <c r="H7164" s="9" t="s">
        <v>25447</v>
      </c>
      <c r="I7164" s="9" t="s">
        <v>13106</v>
      </c>
      <c r="J7164" s="9" t="s">
        <v>13107</v>
      </c>
      <c r="K7164" s="7" t="s">
        <v>15171</v>
      </c>
      <c r="L7164" s="13">
        <v>9540</v>
      </c>
      <c r="M7164" t="str">
        <f>VLOOKUP(L7164,[1]HBA!$B$2:$C$4000,2,FALSE)</f>
        <v>CT</v>
      </c>
    </row>
    <row r="7165" spans="2:13" x14ac:dyDescent="0.25">
      <c r="B7165" s="31" t="s">
        <v>26303</v>
      </c>
      <c r="C7165" s="20"/>
      <c r="D7165" s="25" t="s">
        <v>26232</v>
      </c>
      <c r="E7165" s="25" t="s">
        <v>26300</v>
      </c>
      <c r="F7165" s="9" t="str">
        <f t="shared" si="105"/>
        <v>structure with developmental contribution from neural crest</v>
      </c>
      <c r="G7165" s="9" t="s">
        <v>5090</v>
      </c>
      <c r="H7165" s="9" t="s">
        <v>25447</v>
      </c>
      <c r="I7165" s="9" t="s">
        <v>13108</v>
      </c>
      <c r="J7165" s="9" t="s">
        <v>13109</v>
      </c>
      <c r="K7165" s="7" t="s">
        <v>15171</v>
      </c>
      <c r="L7165" s="13">
        <v>9541</v>
      </c>
      <c r="M7165" t="str">
        <f>VLOOKUP(L7165,[1]HBA!$B$2:$C$4000,2,FALSE)</f>
        <v>CT</v>
      </c>
    </row>
    <row r="7166" spans="2:13" x14ac:dyDescent="0.25">
      <c r="B7166" s="31" t="s">
        <v>26303</v>
      </c>
      <c r="C7166" s="25" t="s">
        <v>1396</v>
      </c>
      <c r="D7166" s="25" t="s">
        <v>26232</v>
      </c>
      <c r="E7166" s="25"/>
      <c r="F7166" s="9" t="str">
        <f t="shared" si="105"/>
        <v>structure with developmental contribution from neural crest</v>
      </c>
      <c r="G7166" s="9" t="s">
        <v>5090</v>
      </c>
      <c r="H7166" s="9" t="s">
        <v>24421</v>
      </c>
      <c r="I7166" s="9" t="s">
        <v>1396</v>
      </c>
      <c r="J7166" s="9" t="s">
        <v>1398</v>
      </c>
      <c r="K7166" s="7" t="s">
        <v>15171</v>
      </c>
      <c r="L7166" s="13">
        <v>9542</v>
      </c>
      <c r="M7166" t="str">
        <f>VLOOKUP(L7166,[1]HBA!$B$2:$C$4000,2,FALSE)</f>
        <v>Cu</v>
      </c>
    </row>
    <row r="7167" spans="2:13" x14ac:dyDescent="0.25">
      <c r="B7167" s="31" t="s">
        <v>26303</v>
      </c>
      <c r="C7167" s="25" t="s">
        <v>1396</v>
      </c>
      <c r="D7167" s="25" t="s">
        <v>26232</v>
      </c>
      <c r="E7167" s="25"/>
      <c r="F7167" s="9" t="str">
        <f t="shared" si="105"/>
        <v>structure with developmental contribution from neural crest</v>
      </c>
      <c r="G7167" s="9" t="s">
        <v>5090</v>
      </c>
      <c r="H7167" s="9" t="s">
        <v>24421</v>
      </c>
      <c r="I7167" s="9" t="s">
        <v>13110</v>
      </c>
      <c r="J7167" s="9" t="s">
        <v>13111</v>
      </c>
      <c r="K7167" s="7" t="s">
        <v>15171</v>
      </c>
      <c r="L7167" s="13">
        <v>9543</v>
      </c>
      <c r="M7167" t="str">
        <f>VLOOKUP(L7167,[1]HBA!$B$2:$C$4000,2,FALSE)</f>
        <v>Cu</v>
      </c>
    </row>
    <row r="7168" spans="2:13" x14ac:dyDescent="0.25">
      <c r="B7168" s="31" t="s">
        <v>26303</v>
      </c>
      <c r="C7168" s="25" t="s">
        <v>1396</v>
      </c>
      <c r="D7168" s="25" t="s">
        <v>26232</v>
      </c>
      <c r="E7168" s="25"/>
      <c r="F7168" s="9" t="str">
        <f t="shared" si="105"/>
        <v>structure with developmental contribution from neural crest</v>
      </c>
      <c r="G7168" s="9" t="s">
        <v>5090</v>
      </c>
      <c r="H7168" s="9" t="s">
        <v>24421</v>
      </c>
      <c r="I7168" s="9" t="s">
        <v>13112</v>
      </c>
      <c r="J7168" s="9" t="s">
        <v>13113</v>
      </c>
      <c r="K7168" s="7" t="s">
        <v>15171</v>
      </c>
      <c r="L7168" s="13">
        <v>9544</v>
      </c>
      <c r="M7168" t="str">
        <f>VLOOKUP(L7168,[1]HBA!$B$2:$C$4000,2,FALSE)</f>
        <v>Cu</v>
      </c>
    </row>
    <row r="7169" spans="2:13" x14ac:dyDescent="0.25">
      <c r="B7169" s="31" t="s">
        <v>26303</v>
      </c>
      <c r="C7169" s="25" t="s">
        <v>25912</v>
      </c>
      <c r="D7169" s="25" t="s">
        <v>26232</v>
      </c>
      <c r="E7169" s="25"/>
      <c r="F7169" s="9" t="str">
        <f t="shared" si="105"/>
        <v>structure with developmental contribution from neural crest</v>
      </c>
      <c r="G7169" s="9" t="s">
        <v>5090</v>
      </c>
      <c r="H7169" s="9">
        <v>10</v>
      </c>
      <c r="I7169" s="9" t="s">
        <v>1548</v>
      </c>
      <c r="J7169" s="9" t="s">
        <v>1549</v>
      </c>
      <c r="K7169" s="7" t="s">
        <v>15171</v>
      </c>
      <c r="L7169" s="13">
        <v>9545</v>
      </c>
      <c r="M7169">
        <f>VLOOKUP(L7169,[1]HBA!$B$2:$C$4000,2,FALSE)</f>
        <v>10</v>
      </c>
    </row>
    <row r="7170" spans="2:13" x14ac:dyDescent="0.25">
      <c r="B7170" s="31" t="s">
        <v>26303</v>
      </c>
      <c r="C7170" s="25" t="s">
        <v>25912</v>
      </c>
      <c r="D7170" s="25" t="s">
        <v>26232</v>
      </c>
      <c r="E7170" s="25"/>
      <c r="F7170" s="9" t="str">
        <f t="shared" si="105"/>
        <v>structure with developmental contribution from neural crest</v>
      </c>
      <c r="G7170" s="9" t="s">
        <v>5090</v>
      </c>
      <c r="H7170" s="9">
        <v>10</v>
      </c>
      <c r="I7170" s="9" t="s">
        <v>13114</v>
      </c>
      <c r="J7170" s="9" t="s">
        <v>13115</v>
      </c>
      <c r="K7170" s="7" t="s">
        <v>15171</v>
      </c>
      <c r="L7170" s="13">
        <v>9546</v>
      </c>
      <c r="M7170">
        <f>VLOOKUP(L7170,[1]HBA!$B$2:$C$4000,2,FALSE)</f>
        <v>10</v>
      </c>
    </row>
    <row r="7171" spans="2:13" x14ac:dyDescent="0.25">
      <c r="B7171" s="31" t="s">
        <v>26303</v>
      </c>
      <c r="C7171" s="25" t="s">
        <v>25912</v>
      </c>
      <c r="D7171" s="25" t="s">
        <v>26232</v>
      </c>
      <c r="E7171" s="25"/>
      <c r="F7171" s="9" t="str">
        <f t="shared" si="105"/>
        <v>structure with developmental contribution from neural crest</v>
      </c>
      <c r="G7171" s="9" t="s">
        <v>5090</v>
      </c>
      <c r="H7171" s="9">
        <v>10</v>
      </c>
      <c r="I7171" s="9" t="s">
        <v>13116</v>
      </c>
      <c r="J7171" s="9" t="s">
        <v>13117</v>
      </c>
      <c r="K7171" s="7" t="s">
        <v>15171</v>
      </c>
      <c r="L7171" s="13">
        <v>9547</v>
      </c>
      <c r="M7171">
        <f>VLOOKUP(L7171,[1]HBA!$B$2:$C$4000,2,FALSE)</f>
        <v>10</v>
      </c>
    </row>
    <row r="7172" spans="2:13" x14ac:dyDescent="0.25">
      <c r="B7172" s="31" t="s">
        <v>26303</v>
      </c>
      <c r="C7172" s="25" t="s">
        <v>1754</v>
      </c>
      <c r="D7172" s="25" t="s">
        <v>26232</v>
      </c>
      <c r="E7172" s="25"/>
      <c r="F7172" s="9" t="str">
        <f t="shared" si="105"/>
        <v>structure with developmental contribution from neural crest</v>
      </c>
      <c r="G7172" s="9" t="s">
        <v>5090</v>
      </c>
      <c r="H7172" s="9" t="s">
        <v>24481</v>
      </c>
      <c r="I7172" s="9" t="s">
        <v>1754</v>
      </c>
      <c r="J7172" s="9" t="s">
        <v>1756</v>
      </c>
      <c r="K7172" s="7" t="s">
        <v>15171</v>
      </c>
      <c r="L7172" s="13">
        <v>9548</v>
      </c>
      <c r="M7172" t="str">
        <f>VLOOKUP(L7172,[1]HBA!$B$2:$C$4000,2,FALSE)</f>
        <v>EL</v>
      </c>
    </row>
    <row r="7173" spans="2:13" x14ac:dyDescent="0.25">
      <c r="B7173" s="31" t="s">
        <v>26303</v>
      </c>
      <c r="C7173" s="25" t="s">
        <v>1754</v>
      </c>
      <c r="D7173" s="25" t="s">
        <v>26232</v>
      </c>
      <c r="E7173" s="25"/>
      <c r="F7173" s="9" t="str">
        <f t="shared" si="105"/>
        <v>structure with developmental contribution from neural crest</v>
      </c>
      <c r="G7173" s="9" t="s">
        <v>5090</v>
      </c>
      <c r="H7173" s="9" t="s">
        <v>24481</v>
      </c>
      <c r="I7173" s="9" t="s">
        <v>13118</v>
      </c>
      <c r="J7173" s="9" t="s">
        <v>13119</v>
      </c>
      <c r="K7173" s="7" t="s">
        <v>15171</v>
      </c>
      <c r="L7173" s="13">
        <v>9549</v>
      </c>
      <c r="M7173" t="str">
        <f>VLOOKUP(L7173,[1]HBA!$B$2:$C$4000,2,FALSE)</f>
        <v>EL</v>
      </c>
    </row>
    <row r="7174" spans="2:13" x14ac:dyDescent="0.25">
      <c r="B7174" s="31" t="s">
        <v>26303</v>
      </c>
      <c r="C7174" s="25" t="s">
        <v>1754</v>
      </c>
      <c r="D7174" s="25" t="s">
        <v>26232</v>
      </c>
      <c r="E7174" s="25"/>
      <c r="F7174" s="9" t="str">
        <f t="shared" si="105"/>
        <v>structure with developmental contribution from neural crest</v>
      </c>
      <c r="G7174" s="9" t="s">
        <v>5090</v>
      </c>
      <c r="H7174" s="9" t="s">
        <v>24481</v>
      </c>
      <c r="I7174" s="9" t="s">
        <v>13120</v>
      </c>
      <c r="J7174" s="9" t="s">
        <v>13121</v>
      </c>
      <c r="K7174" s="7" t="s">
        <v>15171</v>
      </c>
      <c r="L7174" s="13">
        <v>9550</v>
      </c>
      <c r="M7174" t="str">
        <f>VLOOKUP(L7174,[1]HBA!$B$2:$C$4000,2,FALSE)</f>
        <v>EL</v>
      </c>
    </row>
    <row r="7175" spans="2:13" x14ac:dyDescent="0.25">
      <c r="B7175" s="31" t="s">
        <v>26303</v>
      </c>
      <c r="C7175" s="25" t="s">
        <v>1772</v>
      </c>
      <c r="D7175" s="25" t="s">
        <v>26232</v>
      </c>
      <c r="E7175" s="25"/>
      <c r="F7175" s="9" t="str">
        <f t="shared" si="105"/>
        <v>structure with developmental contribution from neural crest</v>
      </c>
      <c r="G7175" s="9" t="s">
        <v>5090</v>
      </c>
      <c r="H7175" s="9" t="s">
        <v>24482</v>
      </c>
      <c r="I7175" s="9" t="s">
        <v>1772</v>
      </c>
      <c r="J7175" s="9" t="s">
        <v>1774</v>
      </c>
      <c r="K7175" s="7" t="s">
        <v>15171</v>
      </c>
      <c r="L7175" s="13">
        <v>9551</v>
      </c>
      <c r="M7175" t="str">
        <f>VLOOKUP(L7175,[1]HBA!$B$2:$C$4000,2,FALSE)</f>
        <v>EF</v>
      </c>
    </row>
    <row r="7176" spans="2:13" x14ac:dyDescent="0.25">
      <c r="B7176" s="31" t="s">
        <v>26303</v>
      </c>
      <c r="C7176" s="25" t="s">
        <v>1772</v>
      </c>
      <c r="D7176" s="25" t="s">
        <v>26232</v>
      </c>
      <c r="E7176" s="25"/>
      <c r="F7176" s="9" t="str">
        <f t="shared" si="105"/>
        <v>structure with developmental contribution from neural crest</v>
      </c>
      <c r="G7176" s="9" t="s">
        <v>5090</v>
      </c>
      <c r="H7176" s="9" t="s">
        <v>24482</v>
      </c>
      <c r="I7176" s="9" t="s">
        <v>13122</v>
      </c>
      <c r="J7176" s="9" t="s">
        <v>13123</v>
      </c>
      <c r="K7176" s="7" t="s">
        <v>15171</v>
      </c>
      <c r="L7176" s="13">
        <v>9552</v>
      </c>
      <c r="M7176" t="str">
        <f>VLOOKUP(L7176,[1]HBA!$B$2:$C$4000,2,FALSE)</f>
        <v>EF</v>
      </c>
    </row>
    <row r="7177" spans="2:13" x14ac:dyDescent="0.25">
      <c r="B7177" s="31" t="s">
        <v>26303</v>
      </c>
      <c r="C7177" s="25" t="s">
        <v>1772</v>
      </c>
      <c r="D7177" s="25" t="s">
        <v>26232</v>
      </c>
      <c r="E7177" s="25"/>
      <c r="F7177" s="9" t="str">
        <f t="shared" si="105"/>
        <v>structure with developmental contribution from neural crest</v>
      </c>
      <c r="G7177" s="9" t="s">
        <v>5090</v>
      </c>
      <c r="H7177" s="9" t="s">
        <v>24482</v>
      </c>
      <c r="I7177" s="9" t="s">
        <v>13124</v>
      </c>
      <c r="J7177" s="9" t="s">
        <v>13125</v>
      </c>
      <c r="K7177" s="7" t="s">
        <v>15171</v>
      </c>
      <c r="L7177" s="13">
        <v>9553</v>
      </c>
      <c r="M7177" t="str">
        <f>VLOOKUP(L7177,[1]HBA!$B$2:$C$4000,2,FALSE)</f>
        <v>EF</v>
      </c>
    </row>
    <row r="7178" spans="2:13" x14ac:dyDescent="0.25">
      <c r="B7178" s="31" t="s">
        <v>26303</v>
      </c>
      <c r="C7178" s="25" t="s">
        <v>2098</v>
      </c>
      <c r="D7178" s="25" t="s">
        <v>26232</v>
      </c>
      <c r="E7178" s="25"/>
      <c r="F7178" s="9" t="str">
        <f t="shared" si="105"/>
        <v>structure with developmental contribution from neural crest</v>
      </c>
      <c r="G7178" s="9" t="s">
        <v>5090</v>
      </c>
      <c r="H7178" s="9" t="s">
        <v>24424</v>
      </c>
      <c r="I7178" s="9" t="s">
        <v>2098</v>
      </c>
      <c r="J7178" s="9" t="s">
        <v>2100</v>
      </c>
      <c r="K7178" s="7" t="s">
        <v>15171</v>
      </c>
      <c r="L7178" s="13">
        <v>9554</v>
      </c>
      <c r="M7178" t="str">
        <f>VLOOKUP(L7178,[1]HBA!$B$2:$C$4000,2,FALSE)</f>
        <v>Gr</v>
      </c>
    </row>
    <row r="7179" spans="2:13" x14ac:dyDescent="0.25">
      <c r="B7179" s="31" t="s">
        <v>26303</v>
      </c>
      <c r="C7179" s="25" t="s">
        <v>2098</v>
      </c>
      <c r="D7179" s="25" t="s">
        <v>26232</v>
      </c>
      <c r="E7179" s="25"/>
      <c r="F7179" s="9" t="str">
        <f t="shared" si="105"/>
        <v>structure with developmental contribution from neural crest</v>
      </c>
      <c r="G7179" s="9" t="s">
        <v>5090</v>
      </c>
      <c r="H7179" s="9" t="s">
        <v>24424</v>
      </c>
      <c r="I7179" s="9" t="s">
        <v>13126</v>
      </c>
      <c r="J7179" s="9" t="s">
        <v>13127</v>
      </c>
      <c r="K7179" s="7" t="s">
        <v>15171</v>
      </c>
      <c r="L7179" s="13">
        <v>9555</v>
      </c>
      <c r="M7179" t="str">
        <f>VLOOKUP(L7179,[1]HBA!$B$2:$C$4000,2,FALSE)</f>
        <v>Gr</v>
      </c>
    </row>
    <row r="7180" spans="2:13" x14ac:dyDescent="0.25">
      <c r="B7180" s="31" t="s">
        <v>26303</v>
      </c>
      <c r="C7180" s="25" t="s">
        <v>2098</v>
      </c>
      <c r="D7180" s="25" t="s">
        <v>26232</v>
      </c>
      <c r="E7180" s="25"/>
      <c r="F7180" s="9" t="str">
        <f t="shared" si="105"/>
        <v>structure with developmental contribution from neural crest</v>
      </c>
      <c r="G7180" s="9" t="s">
        <v>5090</v>
      </c>
      <c r="H7180" s="9" t="s">
        <v>24424</v>
      </c>
      <c r="I7180" s="9" t="s">
        <v>13128</v>
      </c>
      <c r="J7180" s="9" t="s">
        <v>13129</v>
      </c>
      <c r="K7180" s="7" t="s">
        <v>15171</v>
      </c>
      <c r="L7180" s="13">
        <v>9556</v>
      </c>
      <c r="M7180" t="str">
        <f>VLOOKUP(L7180,[1]HBA!$B$2:$C$4000,2,FALSE)</f>
        <v>Gr</v>
      </c>
    </row>
    <row r="7181" spans="2:13" x14ac:dyDescent="0.25">
      <c r="B7181" s="31" t="s">
        <v>26303</v>
      </c>
      <c r="C7181" s="25" t="s">
        <v>2327</v>
      </c>
      <c r="D7181" s="25" t="s">
        <v>26232</v>
      </c>
      <c r="E7181" s="25"/>
      <c r="F7181" s="9" t="str">
        <f t="shared" si="105"/>
        <v>structure with developmental contribution from neural crest</v>
      </c>
      <c r="G7181" s="9" t="s">
        <v>5090</v>
      </c>
      <c r="H7181" s="9">
        <v>12</v>
      </c>
      <c r="I7181" s="9" t="s">
        <v>2327</v>
      </c>
      <c r="J7181" s="9" t="s">
        <v>2329</v>
      </c>
      <c r="K7181" s="7" t="s">
        <v>15171</v>
      </c>
      <c r="L7181" s="13">
        <v>9557</v>
      </c>
      <c r="M7181">
        <f>VLOOKUP(L7181,[1]HBA!$B$2:$C$4000,2,FALSE)</f>
        <v>12</v>
      </c>
    </row>
    <row r="7182" spans="2:13" x14ac:dyDescent="0.25">
      <c r="B7182" s="31" t="s">
        <v>26303</v>
      </c>
      <c r="C7182" s="25" t="s">
        <v>2327</v>
      </c>
      <c r="D7182" s="25" t="s">
        <v>26232</v>
      </c>
      <c r="E7182" s="25"/>
      <c r="F7182" s="9" t="str">
        <f t="shared" si="105"/>
        <v>structure with developmental contribution from neural crest</v>
      </c>
      <c r="G7182" s="9" t="s">
        <v>5090</v>
      </c>
      <c r="H7182" s="9">
        <v>12</v>
      </c>
      <c r="I7182" s="9" t="s">
        <v>13130</v>
      </c>
      <c r="J7182" s="9" t="s">
        <v>13131</v>
      </c>
      <c r="K7182" s="7" t="s">
        <v>15171</v>
      </c>
      <c r="L7182" s="13">
        <v>9558</v>
      </c>
      <c r="M7182">
        <f>VLOOKUP(L7182,[1]HBA!$B$2:$C$4000,2,FALSE)</f>
        <v>12</v>
      </c>
    </row>
    <row r="7183" spans="2:13" x14ac:dyDescent="0.25">
      <c r="B7183" s="31" t="s">
        <v>26303</v>
      </c>
      <c r="C7183" s="25" t="s">
        <v>2327</v>
      </c>
      <c r="D7183" s="25" t="s">
        <v>26232</v>
      </c>
      <c r="E7183" s="25"/>
      <c r="F7183" s="9" t="str">
        <f t="shared" si="105"/>
        <v>structure with developmental contribution from neural crest</v>
      </c>
      <c r="G7183" s="9" t="s">
        <v>5090</v>
      </c>
      <c r="H7183" s="9">
        <v>12</v>
      </c>
      <c r="I7183" s="9" t="s">
        <v>13132</v>
      </c>
      <c r="J7183" s="9" t="s">
        <v>13133</v>
      </c>
      <c r="K7183" s="7" t="s">
        <v>15171</v>
      </c>
      <c r="L7183" s="13">
        <v>9559</v>
      </c>
      <c r="M7183">
        <f>VLOOKUP(L7183,[1]HBA!$B$2:$C$4000,2,FALSE)</f>
        <v>12</v>
      </c>
    </row>
    <row r="7184" spans="2:13" x14ac:dyDescent="0.25">
      <c r="B7184" s="31" t="s">
        <v>26303</v>
      </c>
      <c r="C7184" s="25" t="s">
        <v>2387</v>
      </c>
      <c r="D7184" s="25" t="s">
        <v>26232</v>
      </c>
      <c r="E7184" s="25"/>
      <c r="F7184" s="9" t="str">
        <f t="shared" si="105"/>
        <v>structure with developmental contribution from neural crest</v>
      </c>
      <c r="G7184" s="9" t="s">
        <v>5090</v>
      </c>
      <c r="H7184" s="9" t="s">
        <v>20474</v>
      </c>
      <c r="I7184" s="9" t="s">
        <v>13134</v>
      </c>
      <c r="J7184" s="9" t="s">
        <v>13135</v>
      </c>
      <c r="K7184" s="7" t="s">
        <v>15171</v>
      </c>
      <c r="L7184" s="13">
        <v>9561</v>
      </c>
      <c r="M7184" t="str">
        <f>VLOOKUP(L7184,[1]HBA!$B$2:$C$4000,2,FALSE)</f>
        <v>IO</v>
      </c>
    </row>
    <row r="7185" spans="2:13" x14ac:dyDescent="0.25">
      <c r="B7185" s="31" t="s">
        <v>26303</v>
      </c>
      <c r="C7185" s="25" t="s">
        <v>25907</v>
      </c>
      <c r="D7185" s="25" t="s">
        <v>26232</v>
      </c>
      <c r="E7185" s="25"/>
      <c r="F7185" s="9" t="str">
        <f t="shared" si="105"/>
        <v>structure with developmental contribution from neural crest</v>
      </c>
      <c r="G7185" s="9" t="s">
        <v>5090</v>
      </c>
      <c r="H7185" s="9" t="s">
        <v>25448</v>
      </c>
      <c r="I7185" s="9" t="s">
        <v>1504</v>
      </c>
      <c r="J7185" s="9" t="s">
        <v>1505</v>
      </c>
      <c r="K7185" s="7" t="s">
        <v>15171</v>
      </c>
      <c r="L7185" s="13">
        <v>9562</v>
      </c>
      <c r="M7185" t="str">
        <f>VLOOKUP(L7185,[1]HBA!$B$2:$C$4000,2,FALSE)</f>
        <v>DIO</v>
      </c>
    </row>
    <row r="7186" spans="2:13" x14ac:dyDescent="0.25">
      <c r="B7186" s="31" t="s">
        <v>26303</v>
      </c>
      <c r="C7186" s="25" t="s">
        <v>26016</v>
      </c>
      <c r="D7186" s="25" t="s">
        <v>26232</v>
      </c>
      <c r="E7186" s="25"/>
      <c r="F7186" s="9" t="str">
        <f t="shared" si="105"/>
        <v>structure with developmental contribution from neural crest</v>
      </c>
      <c r="G7186" s="9" t="s">
        <v>5090</v>
      </c>
      <c r="H7186" s="9" t="s">
        <v>25449</v>
      </c>
      <c r="I7186" s="9" t="s">
        <v>2883</v>
      </c>
      <c r="J7186" s="9" t="s">
        <v>2884</v>
      </c>
      <c r="K7186" s="7" t="s">
        <v>15171</v>
      </c>
      <c r="L7186" s="13">
        <v>9563</v>
      </c>
      <c r="M7186" t="str">
        <f>VLOOKUP(L7186,[1]HBA!$B$2:$C$4000,2,FALSE)</f>
        <v>MIO</v>
      </c>
    </row>
    <row r="7187" spans="2:13" x14ac:dyDescent="0.25">
      <c r="B7187" s="31" t="s">
        <v>26303</v>
      </c>
      <c r="C7187" s="25" t="s">
        <v>26176</v>
      </c>
      <c r="D7187" s="25" t="s">
        <v>26232</v>
      </c>
      <c r="E7187" s="25"/>
      <c r="F7187" s="9" t="str">
        <f t="shared" si="105"/>
        <v>structure with developmental contribution from neural crest</v>
      </c>
      <c r="G7187" s="9" t="s">
        <v>5090</v>
      </c>
      <c r="H7187" s="9" t="s">
        <v>25450</v>
      </c>
      <c r="I7187" s="9" t="s">
        <v>4186</v>
      </c>
      <c r="J7187" s="9" t="s">
        <v>4187</v>
      </c>
      <c r="K7187" s="7" t="s">
        <v>15171</v>
      </c>
      <c r="L7187" s="13">
        <v>9564</v>
      </c>
      <c r="M7187" t="str">
        <f>VLOOKUP(L7187,[1]HBA!$B$2:$C$4000,2,FALSE)</f>
        <v>PrIO</v>
      </c>
    </row>
    <row r="7188" spans="2:13" x14ac:dyDescent="0.25">
      <c r="B7188" s="31" t="s">
        <v>26303</v>
      </c>
      <c r="C7188" s="25" t="s">
        <v>2387</v>
      </c>
      <c r="D7188" s="25" t="s">
        <v>26232</v>
      </c>
      <c r="E7188" s="25"/>
      <c r="F7188" s="9" t="str">
        <f t="shared" si="105"/>
        <v>structure with developmental contribution from neural crest</v>
      </c>
      <c r="G7188" s="9" t="s">
        <v>5090</v>
      </c>
      <c r="H7188" s="9" t="s">
        <v>20474</v>
      </c>
      <c r="I7188" s="9" t="s">
        <v>13136</v>
      </c>
      <c r="J7188" s="9" t="s">
        <v>13137</v>
      </c>
      <c r="K7188" s="7" t="s">
        <v>15171</v>
      </c>
      <c r="L7188" s="13">
        <v>9565</v>
      </c>
      <c r="M7188" t="str">
        <f>VLOOKUP(L7188,[1]HBA!$B$2:$C$4000,2,FALSE)</f>
        <v>IO</v>
      </c>
    </row>
    <row r="7189" spans="2:13" x14ac:dyDescent="0.25">
      <c r="B7189" s="31" t="s">
        <v>26303</v>
      </c>
      <c r="C7189" s="25" t="s">
        <v>25907</v>
      </c>
      <c r="D7189" s="25" t="s">
        <v>26232</v>
      </c>
      <c r="E7189" s="25"/>
      <c r="F7189" s="9" t="str">
        <f t="shared" si="105"/>
        <v>structure with developmental contribution from neural crest</v>
      </c>
      <c r="G7189" s="9" t="s">
        <v>5090</v>
      </c>
      <c r="H7189" s="9" t="s">
        <v>25448</v>
      </c>
      <c r="I7189" s="9" t="s">
        <v>13138</v>
      </c>
      <c r="J7189" s="9" t="s">
        <v>13139</v>
      </c>
      <c r="K7189" s="7" t="s">
        <v>15171</v>
      </c>
      <c r="L7189" s="13">
        <v>9566</v>
      </c>
      <c r="M7189" t="str">
        <f>VLOOKUP(L7189,[1]HBA!$B$2:$C$4000,2,FALSE)</f>
        <v>DIO</v>
      </c>
    </row>
    <row r="7190" spans="2:13" x14ac:dyDescent="0.25">
      <c r="B7190" s="31" t="s">
        <v>26303</v>
      </c>
      <c r="C7190" s="25" t="s">
        <v>26016</v>
      </c>
      <c r="D7190" s="25" t="s">
        <v>26232</v>
      </c>
      <c r="E7190" s="25"/>
      <c r="F7190" s="9" t="str">
        <f t="shared" si="105"/>
        <v>structure with developmental contribution from neural crest</v>
      </c>
      <c r="G7190" s="9" t="s">
        <v>5090</v>
      </c>
      <c r="H7190" s="9" t="s">
        <v>25449</v>
      </c>
      <c r="I7190" s="9" t="s">
        <v>13140</v>
      </c>
      <c r="J7190" s="9" t="s">
        <v>13141</v>
      </c>
      <c r="K7190" s="7" t="s">
        <v>15171</v>
      </c>
      <c r="L7190" s="13">
        <v>9567</v>
      </c>
      <c r="M7190" t="str">
        <f>VLOOKUP(L7190,[1]HBA!$B$2:$C$4000,2,FALSE)</f>
        <v>MIO</v>
      </c>
    </row>
    <row r="7191" spans="2:13" x14ac:dyDescent="0.25">
      <c r="B7191" s="31" t="s">
        <v>26303</v>
      </c>
      <c r="C7191" s="25" t="s">
        <v>26176</v>
      </c>
      <c r="D7191" s="25" t="s">
        <v>26232</v>
      </c>
      <c r="E7191" s="25"/>
      <c r="F7191" s="9" t="str">
        <f t="shared" si="105"/>
        <v>structure with developmental contribution from neural crest</v>
      </c>
      <c r="G7191" s="9" t="s">
        <v>5090</v>
      </c>
      <c r="H7191" s="9" t="s">
        <v>25450</v>
      </c>
      <c r="I7191" s="9" t="s">
        <v>13142</v>
      </c>
      <c r="J7191" s="9" t="s">
        <v>13143</v>
      </c>
      <c r="K7191" s="7" t="s">
        <v>15171</v>
      </c>
      <c r="L7191" s="13">
        <v>9568</v>
      </c>
      <c r="M7191" t="str">
        <f>VLOOKUP(L7191,[1]HBA!$B$2:$C$4000,2,FALSE)</f>
        <v>PrIO</v>
      </c>
    </row>
    <row r="7192" spans="2:13" x14ac:dyDescent="0.25">
      <c r="B7192" s="31" t="s">
        <v>26303</v>
      </c>
      <c r="C7192" s="25" t="s">
        <v>2411</v>
      </c>
      <c r="D7192" s="25" t="s">
        <v>26232</v>
      </c>
      <c r="E7192" s="25"/>
      <c r="F7192" s="9" t="str">
        <f t="shared" si="105"/>
        <v>structure with developmental contribution from neural crest</v>
      </c>
      <c r="G7192" s="9" t="s">
        <v>5090</v>
      </c>
      <c r="H7192" s="9" t="s">
        <v>17878</v>
      </c>
      <c r="I7192" s="9" t="s">
        <v>2411</v>
      </c>
      <c r="J7192" s="9" t="s">
        <v>2413</v>
      </c>
      <c r="K7192" s="7" t="s">
        <v>15171</v>
      </c>
      <c r="L7192" s="13">
        <v>9569</v>
      </c>
      <c r="M7192" t="str">
        <f>VLOOKUP(L7192,[1]HBA!$B$2:$C$4000,2,FALSE)</f>
        <v>IS</v>
      </c>
    </row>
    <row r="7193" spans="2:13" x14ac:dyDescent="0.25">
      <c r="B7193" s="31" t="s">
        <v>26303</v>
      </c>
      <c r="C7193" s="25" t="s">
        <v>2411</v>
      </c>
      <c r="D7193" s="25" t="s">
        <v>26232</v>
      </c>
      <c r="E7193" s="25"/>
      <c r="F7193" s="9" t="str">
        <f t="shared" si="105"/>
        <v>structure with developmental contribution from neural crest</v>
      </c>
      <c r="G7193" s="9" t="s">
        <v>5090</v>
      </c>
      <c r="H7193" s="9" t="s">
        <v>17878</v>
      </c>
      <c r="I7193" s="9" t="s">
        <v>13144</v>
      </c>
      <c r="J7193" s="9" t="s">
        <v>13145</v>
      </c>
      <c r="K7193" s="7" t="s">
        <v>15171</v>
      </c>
      <c r="L7193" s="13">
        <v>9570</v>
      </c>
      <c r="M7193" t="str">
        <f>VLOOKUP(L7193,[1]HBA!$B$2:$C$4000,2,FALSE)</f>
        <v>IS</v>
      </c>
    </row>
    <row r="7194" spans="2:13" x14ac:dyDescent="0.25">
      <c r="B7194" s="31" t="s">
        <v>26303</v>
      </c>
      <c r="C7194" s="25" t="s">
        <v>2411</v>
      </c>
      <c r="D7194" s="25" t="s">
        <v>26232</v>
      </c>
      <c r="E7194" s="25"/>
      <c r="F7194" s="9" t="str">
        <f t="shared" si="105"/>
        <v>structure with developmental contribution from neural crest</v>
      </c>
      <c r="G7194" s="9" t="s">
        <v>5090</v>
      </c>
      <c r="H7194" s="9" t="s">
        <v>17878</v>
      </c>
      <c r="I7194" s="9" t="s">
        <v>13146</v>
      </c>
      <c r="J7194" s="9" t="s">
        <v>13147</v>
      </c>
      <c r="K7194" s="7" t="s">
        <v>15171</v>
      </c>
      <c r="L7194" s="13">
        <v>9571</v>
      </c>
      <c r="M7194" t="str">
        <f>VLOOKUP(L7194,[1]HBA!$B$2:$C$4000,2,FALSE)</f>
        <v>IS</v>
      </c>
    </row>
    <row r="7195" spans="2:13" x14ac:dyDescent="0.25">
      <c r="B7195" s="31" t="s">
        <v>26303</v>
      </c>
      <c r="C7195" s="25" t="s">
        <v>3262</v>
      </c>
      <c r="D7195" s="25" t="s">
        <v>26232</v>
      </c>
      <c r="E7195" s="25"/>
      <c r="F7195" s="9" t="str">
        <f t="shared" si="105"/>
        <v>structure with developmental contribution from neural crest</v>
      </c>
      <c r="G7195" s="9" t="s">
        <v>5090</v>
      </c>
      <c r="H7195" s="9" t="s">
        <v>20726</v>
      </c>
      <c r="I7195" s="9" t="s">
        <v>3260</v>
      </c>
      <c r="J7195" s="9" t="s">
        <v>3261</v>
      </c>
      <c r="K7195" s="7" t="s">
        <v>15171</v>
      </c>
      <c r="L7195" s="13">
        <v>9572</v>
      </c>
      <c r="M7195" t="str">
        <f>VLOOKUP(L7195,[1]HBA!$B$2:$C$4000,2,FALSE)</f>
        <v>In</v>
      </c>
    </row>
    <row r="7196" spans="2:13" x14ac:dyDescent="0.25">
      <c r="B7196" s="31" t="s">
        <v>26303</v>
      </c>
      <c r="C7196" s="25" t="s">
        <v>3262</v>
      </c>
      <c r="D7196" s="25" t="s">
        <v>26232</v>
      </c>
      <c r="E7196" s="25"/>
      <c r="F7196" s="9" t="str">
        <f t="shared" si="105"/>
        <v>structure with developmental contribution from neural crest</v>
      </c>
      <c r="G7196" s="9" t="s">
        <v>5090</v>
      </c>
      <c r="H7196" s="9" t="s">
        <v>20726</v>
      </c>
      <c r="I7196" s="9" t="s">
        <v>13148</v>
      </c>
      <c r="J7196" s="9" t="s">
        <v>13149</v>
      </c>
      <c r="K7196" s="7" t="s">
        <v>15171</v>
      </c>
      <c r="L7196" s="13">
        <v>9573</v>
      </c>
      <c r="M7196" t="str">
        <f>VLOOKUP(L7196,[1]HBA!$B$2:$C$4000,2,FALSE)</f>
        <v>In</v>
      </c>
    </row>
    <row r="7197" spans="2:13" x14ac:dyDescent="0.25">
      <c r="B7197" s="31" t="s">
        <v>26303</v>
      </c>
      <c r="C7197" s="25" t="s">
        <v>3262</v>
      </c>
      <c r="D7197" s="25" t="s">
        <v>26232</v>
      </c>
      <c r="E7197" s="25"/>
      <c r="F7197" s="9" t="str">
        <f t="shared" si="105"/>
        <v>structure with developmental contribution from neural crest</v>
      </c>
      <c r="G7197" s="9" t="s">
        <v>5090</v>
      </c>
      <c r="H7197" s="9" t="s">
        <v>20726</v>
      </c>
      <c r="I7197" s="9" t="s">
        <v>13150</v>
      </c>
      <c r="J7197" s="9" t="s">
        <v>13151</v>
      </c>
      <c r="K7197" s="7" t="s">
        <v>15171</v>
      </c>
      <c r="L7197" s="13">
        <v>9574</v>
      </c>
      <c r="M7197" t="str">
        <f>VLOOKUP(L7197,[1]HBA!$B$2:$C$4000,2,FALSE)</f>
        <v>In</v>
      </c>
    </row>
    <row r="7198" spans="2:13" x14ac:dyDescent="0.25">
      <c r="B7198" s="31" t="s">
        <v>26303</v>
      </c>
      <c r="C7198" s="20"/>
      <c r="D7198" s="25" t="s">
        <v>26185</v>
      </c>
      <c r="E7198" s="25" t="s">
        <v>26300</v>
      </c>
      <c r="F7198" s="9" t="str">
        <f t="shared" si="105"/>
        <v>structure with developmental contribution from neural crest</v>
      </c>
      <c r="G7198" s="9" t="s">
        <v>5090</v>
      </c>
      <c r="H7198" s="9" t="s">
        <v>25452</v>
      </c>
      <c r="I7198" s="9" t="s">
        <v>7621</v>
      </c>
      <c r="J7198" s="9" t="s">
        <v>13152</v>
      </c>
      <c r="K7198" s="7" t="s">
        <v>15171</v>
      </c>
      <c r="L7198" s="13">
        <v>9575</v>
      </c>
      <c r="M7198" t="str">
        <f>VLOOKUP(L7198,[1]HBA!$B$2:$C$4000,2,FALSE)</f>
        <v>IFH</v>
      </c>
    </row>
    <row r="7199" spans="2:13" x14ac:dyDescent="0.25">
      <c r="B7199" s="31" t="s">
        <v>26303</v>
      </c>
      <c r="C7199" s="20"/>
      <c r="D7199" s="25" t="s">
        <v>26185</v>
      </c>
      <c r="E7199" s="25" t="s">
        <v>26300</v>
      </c>
      <c r="F7199" s="9" t="str">
        <f t="shared" si="105"/>
        <v>structure with developmental contribution from neural crest</v>
      </c>
      <c r="G7199" s="9" t="s">
        <v>5090</v>
      </c>
      <c r="H7199" s="9" t="s">
        <v>25452</v>
      </c>
      <c r="I7199" s="9" t="s">
        <v>13153</v>
      </c>
      <c r="J7199" s="9" t="s">
        <v>13154</v>
      </c>
      <c r="K7199" s="7" t="s">
        <v>15171</v>
      </c>
      <c r="L7199" s="13">
        <v>9576</v>
      </c>
      <c r="M7199" t="str">
        <f>VLOOKUP(L7199,[1]HBA!$B$2:$C$4000,2,FALSE)</f>
        <v>IFH</v>
      </c>
    </row>
    <row r="7200" spans="2:13" x14ac:dyDescent="0.25">
      <c r="B7200" s="31" t="s">
        <v>26303</v>
      </c>
      <c r="C7200" s="20"/>
      <c r="D7200" s="25" t="s">
        <v>26185</v>
      </c>
      <c r="E7200" s="25" t="s">
        <v>26300</v>
      </c>
      <c r="F7200" s="9" t="str">
        <f t="shared" si="105"/>
        <v>structure with developmental contribution from neural crest</v>
      </c>
      <c r="G7200" s="9" t="s">
        <v>5090</v>
      </c>
      <c r="H7200" s="9" t="s">
        <v>25452</v>
      </c>
      <c r="I7200" s="9" t="s">
        <v>13155</v>
      </c>
      <c r="J7200" s="9" t="s">
        <v>13156</v>
      </c>
      <c r="K7200" s="7" t="s">
        <v>15171</v>
      </c>
      <c r="L7200" s="13">
        <v>9577</v>
      </c>
      <c r="M7200" t="str">
        <f>VLOOKUP(L7200,[1]HBA!$B$2:$C$4000,2,FALSE)</f>
        <v>IFH</v>
      </c>
    </row>
    <row r="7201" spans="2:13" x14ac:dyDescent="0.25">
      <c r="B7201" s="31" t="s">
        <v>26303</v>
      </c>
      <c r="C7201" s="25" t="s">
        <v>25843</v>
      </c>
      <c r="D7201" s="25" t="s">
        <v>26232</v>
      </c>
      <c r="E7201" s="25"/>
      <c r="F7201" s="9" t="str">
        <f t="shared" si="105"/>
        <v>structure with developmental contribution from neural crest</v>
      </c>
      <c r="G7201" s="9" t="s">
        <v>5090</v>
      </c>
      <c r="H7201" s="9" t="s">
        <v>16484</v>
      </c>
      <c r="I7201" s="9" t="s">
        <v>1135</v>
      </c>
      <c r="J7201" s="9" t="s">
        <v>1137</v>
      </c>
      <c r="K7201" s="7" t="s">
        <v>15171</v>
      </c>
      <c r="L7201" s="13">
        <v>9578</v>
      </c>
      <c r="M7201" t="str">
        <f>VLOOKUP(L7201,[1]HBA!$B$2:$C$4000,2,FALSE)</f>
        <v>IPo</v>
      </c>
    </row>
    <row r="7202" spans="2:13" x14ac:dyDescent="0.25">
      <c r="B7202" s="31" t="s">
        <v>26303</v>
      </c>
      <c r="C7202" s="25" t="s">
        <v>25843</v>
      </c>
      <c r="D7202" s="25" t="s">
        <v>26232</v>
      </c>
      <c r="E7202" s="25"/>
      <c r="F7202" s="9" t="str">
        <f t="shared" si="105"/>
        <v>structure with developmental contribution from neural crest</v>
      </c>
      <c r="G7202" s="9" t="s">
        <v>5090</v>
      </c>
      <c r="H7202" s="9" t="s">
        <v>16484</v>
      </c>
      <c r="I7202" s="9" t="s">
        <v>13157</v>
      </c>
      <c r="J7202" s="9" t="s">
        <v>13158</v>
      </c>
      <c r="K7202" s="7" t="s">
        <v>15171</v>
      </c>
      <c r="L7202" s="13">
        <v>9579</v>
      </c>
      <c r="M7202" t="str">
        <f>VLOOKUP(L7202,[1]HBA!$B$2:$C$4000,2,FALSE)</f>
        <v>IPo</v>
      </c>
    </row>
    <row r="7203" spans="2:13" x14ac:dyDescent="0.25">
      <c r="B7203" s="31" t="s">
        <v>26303</v>
      </c>
      <c r="C7203" s="25" t="s">
        <v>25843</v>
      </c>
      <c r="D7203" s="25" t="s">
        <v>26232</v>
      </c>
      <c r="E7203" s="25"/>
      <c r="F7203" s="9" t="str">
        <f t="shared" si="105"/>
        <v>structure with developmental contribution from neural crest</v>
      </c>
      <c r="G7203" s="9" t="s">
        <v>5090</v>
      </c>
      <c r="H7203" s="9" t="s">
        <v>16484</v>
      </c>
      <c r="I7203" s="9" t="s">
        <v>13159</v>
      </c>
      <c r="J7203" s="9" t="s">
        <v>13160</v>
      </c>
      <c r="K7203" s="7" t="s">
        <v>15171</v>
      </c>
      <c r="L7203" s="13">
        <v>9580</v>
      </c>
      <c r="M7203" t="str">
        <f>VLOOKUP(L7203,[1]HBA!$B$2:$C$4000,2,FALSE)</f>
        <v>IPo</v>
      </c>
    </row>
    <row r="7204" spans="2:13" x14ac:dyDescent="0.25">
      <c r="B7204" s="31" t="s">
        <v>26303</v>
      </c>
      <c r="C7204" s="25" t="s">
        <v>2683</v>
      </c>
      <c r="D7204" s="25" t="s">
        <v>26232</v>
      </c>
      <c r="E7204" s="25"/>
      <c r="F7204" s="9" t="str">
        <f t="shared" si="105"/>
        <v>structure with developmental contribution from neural crest</v>
      </c>
      <c r="G7204" s="9" t="s">
        <v>5090</v>
      </c>
      <c r="H7204" s="9" t="s">
        <v>24357</v>
      </c>
      <c r="I7204" s="9" t="s">
        <v>2683</v>
      </c>
      <c r="J7204" s="9" t="s">
        <v>2685</v>
      </c>
      <c r="K7204" s="7" t="s">
        <v>15171</v>
      </c>
      <c r="L7204" s="13">
        <v>9581</v>
      </c>
      <c r="M7204" t="str">
        <f>VLOOKUP(L7204,[1]HBA!$B$2:$C$4000,2,FALSE)</f>
        <v>LPCu</v>
      </c>
    </row>
    <row r="7205" spans="2:13" x14ac:dyDescent="0.25">
      <c r="B7205" s="31" t="s">
        <v>26303</v>
      </c>
      <c r="C7205" s="25" t="s">
        <v>2683</v>
      </c>
      <c r="D7205" s="25" t="s">
        <v>26232</v>
      </c>
      <c r="E7205" s="25"/>
      <c r="F7205" s="9" t="str">
        <f t="shared" si="105"/>
        <v>structure with developmental contribution from neural crest</v>
      </c>
      <c r="G7205" s="9" t="s">
        <v>5090</v>
      </c>
      <c r="H7205" s="9" t="s">
        <v>24357</v>
      </c>
      <c r="I7205" s="9" t="s">
        <v>13161</v>
      </c>
      <c r="J7205" s="9" t="s">
        <v>13162</v>
      </c>
      <c r="K7205" s="7" t="s">
        <v>15171</v>
      </c>
      <c r="L7205" s="13">
        <v>9582</v>
      </c>
      <c r="M7205" t="str">
        <f>VLOOKUP(L7205,[1]HBA!$B$2:$C$4000,2,FALSE)</f>
        <v>LPCu</v>
      </c>
    </row>
    <row r="7206" spans="2:13" x14ac:dyDescent="0.25">
      <c r="B7206" s="31" t="s">
        <v>26303</v>
      </c>
      <c r="C7206" s="25" t="s">
        <v>2683</v>
      </c>
      <c r="D7206" s="25" t="s">
        <v>26232</v>
      </c>
      <c r="E7206" s="25"/>
      <c r="F7206" s="9" t="str">
        <f t="shared" si="105"/>
        <v>structure with developmental contribution from neural crest</v>
      </c>
      <c r="G7206" s="9" t="s">
        <v>5090</v>
      </c>
      <c r="H7206" s="9" t="s">
        <v>24357</v>
      </c>
      <c r="I7206" s="9" t="s">
        <v>13163</v>
      </c>
      <c r="J7206" s="9" t="s">
        <v>13164</v>
      </c>
      <c r="K7206" s="7" t="s">
        <v>15171</v>
      </c>
      <c r="L7206" s="13">
        <v>9583</v>
      </c>
      <c r="M7206" t="str">
        <f>VLOOKUP(L7206,[1]HBA!$B$2:$C$4000,2,FALSE)</f>
        <v>LPCu</v>
      </c>
    </row>
    <row r="7207" spans="2:13" x14ac:dyDescent="0.25">
      <c r="B7207" s="31" t="s">
        <v>26303</v>
      </c>
      <c r="C7207" s="25" t="s">
        <v>3000</v>
      </c>
      <c r="D7207" s="25" t="s">
        <v>26232</v>
      </c>
      <c r="E7207" s="25"/>
      <c r="F7207" s="9" t="str">
        <f t="shared" si="105"/>
        <v>structure with developmental contribution from neural crest</v>
      </c>
      <c r="G7207" s="9" t="s">
        <v>5090</v>
      </c>
      <c r="H7207" s="9" t="s">
        <v>24358</v>
      </c>
      <c r="I7207" s="9" t="s">
        <v>3000</v>
      </c>
      <c r="J7207" s="9" t="s">
        <v>3002</v>
      </c>
      <c r="K7207" s="7" t="s">
        <v>15171</v>
      </c>
      <c r="L7207" s="13">
        <v>9584</v>
      </c>
      <c r="M7207" t="str">
        <f>VLOOKUP(L7207,[1]HBA!$B$2:$C$4000,2,FALSE)</f>
        <v>MPCu</v>
      </c>
    </row>
    <row r="7208" spans="2:13" x14ac:dyDescent="0.25">
      <c r="B7208" s="31" t="s">
        <v>26303</v>
      </c>
      <c r="C7208" s="25" t="s">
        <v>3000</v>
      </c>
      <c r="D7208" s="25" t="s">
        <v>26232</v>
      </c>
      <c r="E7208" s="25"/>
      <c r="F7208" s="9" t="str">
        <f t="shared" si="105"/>
        <v>structure with developmental contribution from neural crest</v>
      </c>
      <c r="G7208" s="9" t="s">
        <v>5090</v>
      </c>
      <c r="H7208" s="9" t="s">
        <v>24358</v>
      </c>
      <c r="I7208" s="9" t="s">
        <v>13165</v>
      </c>
      <c r="J7208" s="9" t="s">
        <v>13166</v>
      </c>
      <c r="K7208" s="7" t="s">
        <v>15171</v>
      </c>
      <c r="L7208" s="13">
        <v>9585</v>
      </c>
      <c r="M7208" t="str">
        <f>VLOOKUP(L7208,[1]HBA!$B$2:$C$4000,2,FALSE)</f>
        <v>MPCu</v>
      </c>
    </row>
    <row r="7209" spans="2:13" x14ac:dyDescent="0.25">
      <c r="B7209" s="31" t="s">
        <v>26303</v>
      </c>
      <c r="C7209" s="25" t="s">
        <v>3000</v>
      </c>
      <c r="D7209" s="25" t="s">
        <v>26232</v>
      </c>
      <c r="E7209" s="25"/>
      <c r="F7209" s="9" t="str">
        <f t="shared" si="105"/>
        <v>structure with developmental contribution from neural crest</v>
      </c>
      <c r="G7209" s="9" t="s">
        <v>5090</v>
      </c>
      <c r="H7209" s="9" t="s">
        <v>24358</v>
      </c>
      <c r="I7209" s="9" t="s">
        <v>13167</v>
      </c>
      <c r="J7209" s="9" t="s">
        <v>13168</v>
      </c>
      <c r="K7209" s="7" t="s">
        <v>15171</v>
      </c>
      <c r="L7209" s="13">
        <v>9586</v>
      </c>
      <c r="M7209" t="str">
        <f>VLOOKUP(L7209,[1]HBA!$B$2:$C$4000,2,FALSE)</f>
        <v>MPCu</v>
      </c>
    </row>
    <row r="7210" spans="2:13" x14ac:dyDescent="0.25">
      <c r="B7210" s="31" t="s">
        <v>26303</v>
      </c>
      <c r="C7210" s="25"/>
      <c r="D7210" s="25" t="s">
        <v>26185</v>
      </c>
      <c r="E7210" s="25" t="s">
        <v>26300</v>
      </c>
      <c r="F7210" s="9" t="str">
        <f t="shared" si="105"/>
        <v>structure with developmental contribution from neural crest</v>
      </c>
      <c r="G7210" s="9" t="s">
        <v>5090</v>
      </c>
      <c r="H7210" s="9" t="s">
        <v>25454</v>
      </c>
      <c r="I7210" s="9" t="s">
        <v>13169</v>
      </c>
      <c r="J7210" s="9" t="s">
        <v>13170</v>
      </c>
      <c r="K7210" s="7" t="s">
        <v>15171</v>
      </c>
      <c r="L7210" s="13">
        <v>9589</v>
      </c>
      <c r="M7210" t="str">
        <f>VLOOKUP(L7210,[1]HBA!$B$2:$C$4000,2,FALSE)</f>
        <v>CMRt</v>
      </c>
    </row>
    <row r="7211" spans="2:13" x14ac:dyDescent="0.25">
      <c r="B7211" s="31" t="s">
        <v>26303</v>
      </c>
      <c r="C7211" s="25"/>
      <c r="D7211" s="25" t="s">
        <v>26185</v>
      </c>
      <c r="E7211" s="25" t="s">
        <v>26300</v>
      </c>
      <c r="F7211" s="9" t="str">
        <f t="shared" si="105"/>
        <v>structure with developmental contribution from neural crest</v>
      </c>
      <c r="G7211" s="9" t="s">
        <v>5090</v>
      </c>
      <c r="H7211" s="9" t="s">
        <v>25455</v>
      </c>
      <c r="I7211" s="9" t="s">
        <v>13171</v>
      </c>
      <c r="J7211" s="9" t="s">
        <v>13172</v>
      </c>
      <c r="K7211" s="7" t="s">
        <v>15171</v>
      </c>
      <c r="L7211" s="13">
        <v>9590</v>
      </c>
      <c r="M7211" t="str">
        <f>VLOOKUP(L7211,[1]HBA!$B$2:$C$4000,2,FALSE)</f>
        <v>CRt</v>
      </c>
    </row>
    <row r="7212" spans="2:13" x14ac:dyDescent="0.25">
      <c r="B7212" s="31" t="s">
        <v>26303</v>
      </c>
      <c r="C7212" s="25"/>
      <c r="D7212" s="25" t="s">
        <v>26185</v>
      </c>
      <c r="E7212" s="25" t="s">
        <v>26300</v>
      </c>
      <c r="F7212" s="9" t="str">
        <f t="shared" si="105"/>
        <v>structure with developmental contribution from neural crest</v>
      </c>
      <c r="G7212" s="9" t="s">
        <v>5090</v>
      </c>
      <c r="H7212" s="9" t="s">
        <v>25456</v>
      </c>
      <c r="I7212" s="9" t="s">
        <v>13173</v>
      </c>
      <c r="J7212" s="9" t="s">
        <v>13174</v>
      </c>
      <c r="K7212" s="7" t="s">
        <v>15171</v>
      </c>
      <c r="L7212" s="13">
        <v>9591</v>
      </c>
      <c r="M7212" t="str">
        <f>VLOOKUP(L7212,[1]HBA!$B$2:$C$4000,2,FALSE)</f>
        <v>MRt</v>
      </c>
    </row>
    <row r="7213" spans="2:13" x14ac:dyDescent="0.25">
      <c r="B7213" s="31" t="s">
        <v>26303</v>
      </c>
      <c r="C7213" s="25"/>
      <c r="D7213" s="25" t="s">
        <v>26185</v>
      </c>
      <c r="E7213" s="25" t="s">
        <v>26300</v>
      </c>
      <c r="F7213" s="9" t="str">
        <f t="shared" si="105"/>
        <v>structure with developmental contribution from neural crest</v>
      </c>
      <c r="G7213" s="9" t="s">
        <v>5090</v>
      </c>
      <c r="H7213" s="9" t="s">
        <v>25457</v>
      </c>
      <c r="I7213" s="9" t="s">
        <v>13175</v>
      </c>
      <c r="J7213" s="9" t="s">
        <v>13176</v>
      </c>
      <c r="K7213" s="7" t="s">
        <v>15171</v>
      </c>
      <c r="L7213" s="13">
        <v>9592</v>
      </c>
      <c r="M7213" t="str">
        <f>VLOOKUP(L7213,[1]HBA!$B$2:$C$4000,2,FALSE)</f>
        <v>VRt</v>
      </c>
    </row>
    <row r="7214" spans="2:13" x14ac:dyDescent="0.25">
      <c r="B7214" s="31" t="s">
        <v>26303</v>
      </c>
      <c r="C7214" s="25"/>
      <c r="D7214" s="25" t="s">
        <v>26185</v>
      </c>
      <c r="E7214" s="25" t="s">
        <v>26300</v>
      </c>
      <c r="F7214" s="9" t="str">
        <f t="shared" si="105"/>
        <v>structure with developmental contribution from neural crest</v>
      </c>
      <c r="G7214" s="9" t="s">
        <v>5090</v>
      </c>
      <c r="H7214" s="9" t="s">
        <v>25454</v>
      </c>
      <c r="I7214" s="9" t="s">
        <v>13177</v>
      </c>
      <c r="J7214" s="9" t="s">
        <v>13178</v>
      </c>
      <c r="K7214" s="7" t="s">
        <v>15171</v>
      </c>
      <c r="L7214" s="13">
        <v>9593</v>
      </c>
      <c r="M7214" t="str">
        <f>VLOOKUP(L7214,[1]HBA!$B$2:$C$4000,2,FALSE)</f>
        <v>CMRt</v>
      </c>
    </row>
    <row r="7215" spans="2:13" x14ac:dyDescent="0.25">
      <c r="B7215" s="31" t="s">
        <v>26303</v>
      </c>
      <c r="C7215" s="25"/>
      <c r="D7215" s="25" t="s">
        <v>26185</v>
      </c>
      <c r="E7215" s="25" t="s">
        <v>26300</v>
      </c>
      <c r="F7215" s="9" t="str">
        <f t="shared" si="105"/>
        <v>structure with developmental contribution from neural crest</v>
      </c>
      <c r="G7215" s="9" t="s">
        <v>5090</v>
      </c>
      <c r="H7215" s="9" t="s">
        <v>25455</v>
      </c>
      <c r="I7215" s="9" t="s">
        <v>13179</v>
      </c>
      <c r="J7215" s="9" t="s">
        <v>13180</v>
      </c>
      <c r="K7215" s="7" t="s">
        <v>15171</v>
      </c>
      <c r="L7215" s="13">
        <v>9594</v>
      </c>
      <c r="M7215" t="str">
        <f>VLOOKUP(L7215,[1]HBA!$B$2:$C$4000,2,FALSE)</f>
        <v>CRt</v>
      </c>
    </row>
    <row r="7216" spans="2:13" x14ac:dyDescent="0.25">
      <c r="B7216" s="31" t="s">
        <v>26303</v>
      </c>
      <c r="C7216" s="25"/>
      <c r="D7216" s="25" t="s">
        <v>26185</v>
      </c>
      <c r="E7216" s="25" t="s">
        <v>26300</v>
      </c>
      <c r="F7216" s="9" t="str">
        <f t="shared" si="105"/>
        <v>structure with developmental contribution from neural crest</v>
      </c>
      <c r="G7216" s="9" t="s">
        <v>5090</v>
      </c>
      <c r="H7216" s="9" t="s">
        <v>25456</v>
      </c>
      <c r="I7216" s="9" t="s">
        <v>13181</v>
      </c>
      <c r="J7216" s="9" t="s">
        <v>13182</v>
      </c>
      <c r="K7216" s="7" t="s">
        <v>15171</v>
      </c>
      <c r="L7216" s="13">
        <v>9595</v>
      </c>
      <c r="M7216" t="str">
        <f>VLOOKUP(L7216,[1]HBA!$B$2:$C$4000,2,FALSE)</f>
        <v>MRt</v>
      </c>
    </row>
    <row r="7217" spans="2:13" x14ac:dyDescent="0.25">
      <c r="B7217" s="31" t="s">
        <v>26303</v>
      </c>
      <c r="C7217" s="25"/>
      <c r="D7217" s="25" t="s">
        <v>26185</v>
      </c>
      <c r="E7217" s="25" t="s">
        <v>26300</v>
      </c>
      <c r="F7217" s="9" t="str">
        <f t="shared" si="105"/>
        <v>structure with developmental contribution from neural crest</v>
      </c>
      <c r="G7217" s="9" t="s">
        <v>5090</v>
      </c>
      <c r="H7217" s="9" t="s">
        <v>25457</v>
      </c>
      <c r="I7217" s="9" t="s">
        <v>13183</v>
      </c>
      <c r="J7217" s="9" t="s">
        <v>13184</v>
      </c>
      <c r="K7217" s="7" t="s">
        <v>15171</v>
      </c>
      <c r="L7217" s="13">
        <v>9596</v>
      </c>
      <c r="M7217" t="str">
        <f>VLOOKUP(L7217,[1]HBA!$B$2:$C$4000,2,FALSE)</f>
        <v>VRt</v>
      </c>
    </row>
    <row r="7218" spans="2:13" x14ac:dyDescent="0.25">
      <c r="B7218" s="31" t="s">
        <v>26303</v>
      </c>
      <c r="C7218" s="25" t="s">
        <v>25947</v>
      </c>
      <c r="D7218" s="25" t="s">
        <v>26232</v>
      </c>
      <c r="E7218" s="25"/>
      <c r="F7218" s="9" t="str">
        <f t="shared" si="105"/>
        <v>structure with developmental contribution from neural crest</v>
      </c>
      <c r="G7218" s="9" t="s">
        <v>5090</v>
      </c>
      <c r="H7218" s="9" t="s">
        <v>24452</v>
      </c>
      <c r="I7218" s="9" t="s">
        <v>2072</v>
      </c>
      <c r="J7218" s="9" t="s">
        <v>2073</v>
      </c>
      <c r="K7218" s="7" t="s">
        <v>15171</v>
      </c>
      <c r="L7218" s="13">
        <v>9597</v>
      </c>
      <c r="M7218" t="str">
        <f>VLOOKUP(L7218,[1]HBA!$B$2:$C$4000,2,FALSE)</f>
        <v>GiRt</v>
      </c>
    </row>
    <row r="7219" spans="2:13" x14ac:dyDescent="0.25">
      <c r="B7219" s="31" t="s">
        <v>26303</v>
      </c>
      <c r="C7219" s="25" t="s">
        <v>25947</v>
      </c>
      <c r="D7219" s="25" t="s">
        <v>26232</v>
      </c>
      <c r="E7219" s="25"/>
      <c r="F7219" s="9" t="str">
        <f t="shared" si="105"/>
        <v>structure with developmental contribution from neural crest</v>
      </c>
      <c r="G7219" s="9" t="s">
        <v>5090</v>
      </c>
      <c r="H7219" s="9" t="s">
        <v>24452</v>
      </c>
      <c r="I7219" s="9" t="s">
        <v>13185</v>
      </c>
      <c r="J7219" s="9" t="s">
        <v>13186</v>
      </c>
      <c r="K7219" s="7" t="s">
        <v>15171</v>
      </c>
      <c r="L7219" s="13">
        <v>9598</v>
      </c>
      <c r="M7219" t="str">
        <f>VLOOKUP(L7219,[1]HBA!$B$2:$C$4000,2,FALSE)</f>
        <v>GiRt</v>
      </c>
    </row>
    <row r="7220" spans="2:13" x14ac:dyDescent="0.25">
      <c r="B7220" s="31" t="s">
        <v>26303</v>
      </c>
      <c r="C7220" s="25" t="s">
        <v>3591</v>
      </c>
      <c r="D7220" s="25" t="s">
        <v>26232</v>
      </c>
      <c r="E7220" s="25"/>
      <c r="F7220" s="9" t="str">
        <f t="shared" si="105"/>
        <v>structure with developmental contribution from neural crest</v>
      </c>
      <c r="G7220" s="9" t="s">
        <v>5090</v>
      </c>
      <c r="H7220" s="9" t="s">
        <v>25461</v>
      </c>
      <c r="I7220" s="9" t="s">
        <v>13187</v>
      </c>
      <c r="J7220" s="9" t="s">
        <v>13188</v>
      </c>
      <c r="K7220" s="7" t="s">
        <v>15171</v>
      </c>
      <c r="L7220" s="13">
        <v>9599</v>
      </c>
      <c r="M7220" t="str">
        <f>VLOOKUP(L7220,[1]HBA!$B$2:$C$4000,2,FALSE)</f>
        <v>Gia</v>
      </c>
    </row>
    <row r="7221" spans="2:13" x14ac:dyDescent="0.25">
      <c r="B7221" s="31" t="s">
        <v>26303</v>
      </c>
      <c r="C7221" s="25" t="s">
        <v>25947</v>
      </c>
      <c r="D7221" s="25" t="s">
        <v>26232</v>
      </c>
      <c r="E7221" s="25"/>
      <c r="F7221" s="9" t="str">
        <f t="shared" si="105"/>
        <v>structure with developmental contribution from neural crest</v>
      </c>
      <c r="G7221" s="9" t="s">
        <v>5090</v>
      </c>
      <c r="H7221" s="9" t="s">
        <v>25459</v>
      </c>
      <c r="I7221" s="9" t="s">
        <v>2074</v>
      </c>
      <c r="J7221" s="9" t="s">
        <v>2075</v>
      </c>
      <c r="K7221" s="7" t="s">
        <v>15171</v>
      </c>
      <c r="L7221" s="13">
        <v>9602</v>
      </c>
      <c r="M7221" t="str">
        <f>VLOOKUP(L7221,[1]HBA!$B$2:$C$4000,2,FALSE)</f>
        <v>Gi</v>
      </c>
    </row>
    <row r="7222" spans="2:13" x14ac:dyDescent="0.25">
      <c r="B7222" s="31" t="s">
        <v>26303</v>
      </c>
      <c r="C7222" s="25" t="s">
        <v>25947</v>
      </c>
      <c r="D7222" s="25" t="s">
        <v>26232</v>
      </c>
      <c r="E7222" s="25"/>
      <c r="F7222" s="9" t="str">
        <f t="shared" si="105"/>
        <v>structure with developmental contribution from neural crest</v>
      </c>
      <c r="G7222" s="9" t="s">
        <v>5090</v>
      </c>
      <c r="H7222" s="9" t="s">
        <v>25460</v>
      </c>
      <c r="I7222" s="9" t="s">
        <v>13189</v>
      </c>
      <c r="J7222" s="9" t="s">
        <v>13190</v>
      </c>
      <c r="K7222" s="7" t="s">
        <v>15171</v>
      </c>
      <c r="L7222" s="13">
        <v>9603</v>
      </c>
      <c r="M7222" t="str">
        <f>VLOOKUP(L7222,[1]HBA!$B$2:$C$4000,2,FALSE)</f>
        <v>GiV</v>
      </c>
    </row>
    <row r="7223" spans="2:13" x14ac:dyDescent="0.25">
      <c r="B7223" s="31" t="s">
        <v>26303</v>
      </c>
      <c r="C7223" s="25" t="s">
        <v>25947</v>
      </c>
      <c r="D7223" s="25" t="s">
        <v>26232</v>
      </c>
      <c r="E7223" s="25"/>
      <c r="F7223" s="9" t="str">
        <f t="shared" ref="F7223:F7286" si="106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7223" s="9" t="s">
        <v>5090</v>
      </c>
      <c r="H7223" s="9" t="s">
        <v>24452</v>
      </c>
      <c r="I7223" s="9" t="s">
        <v>13191</v>
      </c>
      <c r="J7223" s="9" t="s">
        <v>13192</v>
      </c>
      <c r="K7223" s="7" t="s">
        <v>15171</v>
      </c>
      <c r="L7223" s="13">
        <v>9604</v>
      </c>
      <c r="M7223" t="str">
        <f>VLOOKUP(L7223,[1]HBA!$B$2:$C$4000,2,FALSE)</f>
        <v>GiRt</v>
      </c>
    </row>
    <row r="7224" spans="2:13" x14ac:dyDescent="0.25">
      <c r="B7224" s="31" t="s">
        <v>26303</v>
      </c>
      <c r="C7224" s="25" t="s">
        <v>3591</v>
      </c>
      <c r="D7224" s="25" t="s">
        <v>26232</v>
      </c>
      <c r="E7224" s="25"/>
      <c r="F7224" s="9" t="str">
        <f t="shared" si="106"/>
        <v>structure with developmental contribution from neural crest</v>
      </c>
      <c r="G7224" s="9" t="s">
        <v>5090</v>
      </c>
      <c r="H7224" s="9" t="s">
        <v>25461</v>
      </c>
      <c r="I7224" s="9" t="s">
        <v>13193</v>
      </c>
      <c r="J7224" s="9" t="s">
        <v>13194</v>
      </c>
      <c r="K7224" s="7" t="s">
        <v>15171</v>
      </c>
      <c r="L7224" s="13">
        <v>9605</v>
      </c>
      <c r="M7224" t="str">
        <f>VLOOKUP(L7224,[1]HBA!$B$2:$C$4000,2,FALSE)</f>
        <v>Gia</v>
      </c>
    </row>
    <row r="7225" spans="2:13" x14ac:dyDescent="0.25">
      <c r="B7225" s="31" t="s">
        <v>26303</v>
      </c>
      <c r="C7225" s="25" t="s">
        <v>1574</v>
      </c>
      <c r="D7225" s="25" t="s">
        <v>26232</v>
      </c>
      <c r="E7225" s="25"/>
      <c r="F7225" s="9" t="str">
        <f t="shared" si="106"/>
        <v>structure with developmental contribution from neural crest</v>
      </c>
      <c r="G7225" s="9" t="s">
        <v>5090</v>
      </c>
      <c r="H7225" s="9" t="s">
        <v>24457</v>
      </c>
      <c r="I7225" s="9" t="s">
        <v>13195</v>
      </c>
      <c r="J7225" s="9" t="s">
        <v>13196</v>
      </c>
      <c r="K7225" s="7" t="s">
        <v>15171</v>
      </c>
      <c r="L7225" s="13">
        <v>9606</v>
      </c>
      <c r="M7225" t="str">
        <f>VLOOKUP(L7225,[1]HBA!$B$2:$C$4000,2,FALSE)</f>
        <v>DPGi</v>
      </c>
    </row>
    <row r="7226" spans="2:13" x14ac:dyDescent="0.25">
      <c r="B7226" s="31" t="s">
        <v>26303</v>
      </c>
      <c r="C7226" s="25" t="s">
        <v>2666</v>
      </c>
      <c r="D7226" s="25" t="s">
        <v>26232</v>
      </c>
      <c r="E7226" s="25"/>
      <c r="F7226" s="9" t="str">
        <f t="shared" si="106"/>
        <v>structure with developmental contribution from neural crest</v>
      </c>
      <c r="G7226" s="9" t="s">
        <v>5090</v>
      </c>
      <c r="H7226" s="9" t="s">
        <v>24454</v>
      </c>
      <c r="I7226" s="9" t="s">
        <v>13197</v>
      </c>
      <c r="J7226" s="9" t="s">
        <v>13198</v>
      </c>
      <c r="K7226" s="7" t="s">
        <v>15171</v>
      </c>
      <c r="L7226" s="13">
        <v>9607</v>
      </c>
      <c r="M7226" t="str">
        <f>VLOOKUP(L7226,[1]HBA!$B$2:$C$4000,2,FALSE)</f>
        <v>LPGi</v>
      </c>
    </row>
    <row r="7227" spans="2:13" x14ac:dyDescent="0.25">
      <c r="B7227" s="31" t="s">
        <v>26303</v>
      </c>
      <c r="C7227" s="25" t="s">
        <v>25947</v>
      </c>
      <c r="D7227" s="25" t="s">
        <v>26232</v>
      </c>
      <c r="E7227" s="25"/>
      <c r="F7227" s="9" t="str">
        <f t="shared" si="106"/>
        <v>structure with developmental contribution from neural crest</v>
      </c>
      <c r="G7227" s="9" t="s">
        <v>5090</v>
      </c>
      <c r="H7227" s="9" t="s">
        <v>25459</v>
      </c>
      <c r="I7227" s="9" t="s">
        <v>13199</v>
      </c>
      <c r="J7227" s="9" t="s">
        <v>13200</v>
      </c>
      <c r="K7227" s="7" t="s">
        <v>15171</v>
      </c>
      <c r="L7227" s="13">
        <v>9608</v>
      </c>
      <c r="M7227" t="str">
        <f>VLOOKUP(L7227,[1]HBA!$B$2:$C$4000,2,FALSE)</f>
        <v>Gi</v>
      </c>
    </row>
    <row r="7228" spans="2:13" x14ac:dyDescent="0.25">
      <c r="B7228" s="31" t="s">
        <v>26303</v>
      </c>
      <c r="C7228" s="25" t="s">
        <v>25947</v>
      </c>
      <c r="D7228" s="25" t="s">
        <v>26232</v>
      </c>
      <c r="E7228" s="25"/>
      <c r="F7228" s="9" t="str">
        <f t="shared" si="106"/>
        <v>structure with developmental contribution from neural crest</v>
      </c>
      <c r="G7228" s="9" t="s">
        <v>5090</v>
      </c>
      <c r="H7228" s="9" t="s">
        <v>25460</v>
      </c>
      <c r="I7228" s="9" t="s">
        <v>13201</v>
      </c>
      <c r="J7228" s="9" t="s">
        <v>13202</v>
      </c>
      <c r="K7228" s="7" t="s">
        <v>15171</v>
      </c>
      <c r="L7228" s="13">
        <v>9609</v>
      </c>
      <c r="M7228" t="str">
        <f>VLOOKUP(L7228,[1]HBA!$B$2:$C$4000,2,FALSE)</f>
        <v>GiV</v>
      </c>
    </row>
    <row r="7229" spans="2:13" x14ac:dyDescent="0.25">
      <c r="B7229" s="31" t="s">
        <v>26303</v>
      </c>
      <c r="C7229" s="20"/>
      <c r="D7229" s="25" t="s">
        <v>26232</v>
      </c>
      <c r="E7229" s="25" t="s">
        <v>26300</v>
      </c>
      <c r="F7229" s="9" t="str">
        <f t="shared" si="106"/>
        <v>structure with developmental contribution from neural crest</v>
      </c>
      <c r="G7229" s="9" t="s">
        <v>5090</v>
      </c>
      <c r="H7229" s="9" t="s">
        <v>25458</v>
      </c>
      <c r="I7229" s="9" t="s">
        <v>13203</v>
      </c>
      <c r="J7229" s="9" t="s">
        <v>13204</v>
      </c>
      <c r="K7229" s="7" t="s">
        <v>15171</v>
      </c>
      <c r="L7229" s="13">
        <v>9612</v>
      </c>
      <c r="M7229" t="str">
        <f>VLOOKUP(L7229,[1]HBA!$B$2:$C$4000,2,FALSE)</f>
        <v>Irt</v>
      </c>
    </row>
    <row r="7230" spans="2:13" x14ac:dyDescent="0.25">
      <c r="B7230" s="31" t="s">
        <v>26303</v>
      </c>
      <c r="C7230" s="25" t="s">
        <v>25991</v>
      </c>
      <c r="D7230" s="25" t="s">
        <v>26232</v>
      </c>
      <c r="E7230" s="25"/>
      <c r="F7230" s="9" t="str">
        <f t="shared" si="106"/>
        <v>structure with developmental contribution from neural crest</v>
      </c>
      <c r="G7230" s="9" t="s">
        <v>5090</v>
      </c>
      <c r="H7230" s="9" t="s">
        <v>24459</v>
      </c>
      <c r="I7230" s="9" t="s">
        <v>13205</v>
      </c>
      <c r="J7230" s="9" t="s">
        <v>13206</v>
      </c>
      <c r="K7230" s="7" t="s">
        <v>15171</v>
      </c>
      <c r="L7230" s="13">
        <v>9614</v>
      </c>
      <c r="M7230" t="str">
        <f>VLOOKUP(L7230,[1]HBA!$B$2:$C$4000,2,FALSE)</f>
        <v>LMRt</v>
      </c>
    </row>
    <row r="7231" spans="2:13" x14ac:dyDescent="0.25">
      <c r="B7231" s="31" t="s">
        <v>26303</v>
      </c>
      <c r="C7231" s="20"/>
      <c r="D7231" s="25" t="s">
        <v>26232</v>
      </c>
      <c r="E7231" s="25" t="s">
        <v>26300</v>
      </c>
      <c r="F7231" s="9" t="str">
        <f t="shared" si="106"/>
        <v>structure with developmental contribution from neural crest</v>
      </c>
      <c r="G7231" s="9" t="s">
        <v>5090</v>
      </c>
      <c r="H7231" s="9" t="s">
        <v>22860</v>
      </c>
      <c r="I7231" s="9" t="s">
        <v>13207</v>
      </c>
      <c r="J7231" s="9" t="s">
        <v>13208</v>
      </c>
      <c r="K7231" s="7" t="s">
        <v>15171</v>
      </c>
      <c r="L7231" s="13">
        <v>9615</v>
      </c>
      <c r="M7231" t="str">
        <f>VLOOKUP(L7231,[1]HBA!$B$2:$C$4000,2,FALSE)</f>
        <v>EO</v>
      </c>
    </row>
    <row r="7232" spans="2:13" x14ac:dyDescent="0.25">
      <c r="B7232" s="31" t="s">
        <v>26303</v>
      </c>
      <c r="C7232" s="25" t="s">
        <v>2709</v>
      </c>
      <c r="D7232" s="25" t="s">
        <v>26232</v>
      </c>
      <c r="E7232" s="25"/>
      <c r="F7232" s="9" t="str">
        <f t="shared" si="106"/>
        <v>structure with developmental contribution from neural crest</v>
      </c>
      <c r="G7232" s="9" t="s">
        <v>5090</v>
      </c>
      <c r="H7232" s="9" t="s">
        <v>24460</v>
      </c>
      <c r="I7232" s="9" t="s">
        <v>2707</v>
      </c>
      <c r="J7232" s="9" t="s">
        <v>2708</v>
      </c>
      <c r="K7232" s="7" t="s">
        <v>15171</v>
      </c>
      <c r="L7232" s="13">
        <v>9616</v>
      </c>
      <c r="M7232" t="str">
        <f>VLOOKUP(L7232,[1]HBA!$B$2:$C$4000,2,FALSE)</f>
        <v>LRt</v>
      </c>
    </row>
    <row r="7233" spans="2:13" x14ac:dyDescent="0.25">
      <c r="B7233" s="31" t="s">
        <v>26303</v>
      </c>
      <c r="C7233" s="25" t="s">
        <v>2709</v>
      </c>
      <c r="D7233" s="25" t="s">
        <v>26232</v>
      </c>
      <c r="E7233" s="25"/>
      <c r="F7233" s="9" t="str">
        <f t="shared" si="106"/>
        <v>structure with developmental contribution from neural crest</v>
      </c>
      <c r="G7233" s="9" t="s">
        <v>5090</v>
      </c>
      <c r="H7233" s="9" t="s">
        <v>24463</v>
      </c>
      <c r="I7233" s="9" t="s">
        <v>13209</v>
      </c>
      <c r="J7233" s="9" t="s">
        <v>13210</v>
      </c>
      <c r="K7233" s="7" t="s">
        <v>15171</v>
      </c>
      <c r="L7233" s="13">
        <v>9617</v>
      </c>
      <c r="M7233" t="str">
        <f>VLOOKUP(L7233,[1]HBA!$B$2:$C$4000,2,FALSE)</f>
        <v>LRtS5</v>
      </c>
    </row>
    <row r="7234" spans="2:13" x14ac:dyDescent="0.25">
      <c r="B7234" s="31" t="s">
        <v>26303</v>
      </c>
      <c r="C7234" s="25" t="s">
        <v>2709</v>
      </c>
      <c r="D7234" s="25" t="s">
        <v>26232</v>
      </c>
      <c r="E7234" s="25"/>
      <c r="F7234" s="9" t="str">
        <f t="shared" si="106"/>
        <v>structure with developmental contribution from neural crest</v>
      </c>
      <c r="G7234" s="9" t="s">
        <v>5090</v>
      </c>
      <c r="H7234" s="9" t="s">
        <v>24462</v>
      </c>
      <c r="I7234" s="9" t="s">
        <v>13211</v>
      </c>
      <c r="J7234" s="9" t="s">
        <v>13212</v>
      </c>
      <c r="K7234" s="7" t="s">
        <v>15171</v>
      </c>
      <c r="L7234" s="13">
        <v>9618</v>
      </c>
      <c r="M7234" t="str">
        <f>VLOOKUP(L7234,[1]HBA!$B$2:$C$4000,2,FALSE)</f>
        <v>LRtPC</v>
      </c>
    </row>
    <row r="7235" spans="2:13" x14ac:dyDescent="0.25">
      <c r="B7235" s="31" t="s">
        <v>26303</v>
      </c>
      <c r="C7235" s="25" t="s">
        <v>25991</v>
      </c>
      <c r="D7235" s="25" t="s">
        <v>26232</v>
      </c>
      <c r="E7235" s="25"/>
      <c r="F7235" s="9" t="str">
        <f t="shared" si="106"/>
        <v>structure with developmental contribution from neural crest</v>
      </c>
      <c r="G7235" s="9" t="s">
        <v>5090</v>
      </c>
      <c r="H7235" s="9" t="s">
        <v>24459</v>
      </c>
      <c r="I7235" s="9" t="s">
        <v>13213</v>
      </c>
      <c r="J7235" s="9" t="s">
        <v>13214</v>
      </c>
      <c r="K7235" s="7" t="s">
        <v>15171</v>
      </c>
      <c r="L7235" s="13">
        <v>9619</v>
      </c>
      <c r="M7235" t="str">
        <f>VLOOKUP(L7235,[1]HBA!$B$2:$C$4000,2,FALSE)</f>
        <v>LMRt</v>
      </c>
    </row>
    <row r="7236" spans="2:13" x14ac:dyDescent="0.25">
      <c r="B7236" s="31" t="s">
        <v>26303</v>
      </c>
      <c r="C7236" s="20"/>
      <c r="D7236" s="25" t="s">
        <v>26232</v>
      </c>
      <c r="E7236" s="25" t="s">
        <v>26300</v>
      </c>
      <c r="F7236" s="9" t="str">
        <f t="shared" si="106"/>
        <v>structure with developmental contribution from neural crest</v>
      </c>
      <c r="G7236" s="9" t="s">
        <v>5090</v>
      </c>
      <c r="H7236" s="9" t="s">
        <v>22860</v>
      </c>
      <c r="I7236" s="9" t="s">
        <v>13215</v>
      </c>
      <c r="J7236" s="9" t="s">
        <v>13216</v>
      </c>
      <c r="K7236" s="7" t="s">
        <v>15171</v>
      </c>
      <c r="L7236" s="13">
        <v>9620</v>
      </c>
      <c r="M7236" t="str">
        <f>VLOOKUP(L7236,[1]HBA!$B$2:$C$4000,2,FALSE)</f>
        <v>EO</v>
      </c>
    </row>
    <row r="7237" spans="2:13" x14ac:dyDescent="0.25">
      <c r="B7237" s="31" t="s">
        <v>26303</v>
      </c>
      <c r="C7237" s="25" t="s">
        <v>2709</v>
      </c>
      <c r="D7237" s="25" t="s">
        <v>26232</v>
      </c>
      <c r="E7237" s="25"/>
      <c r="F7237" s="9" t="str">
        <f t="shared" si="106"/>
        <v>structure with developmental contribution from neural crest</v>
      </c>
      <c r="G7237" s="9" t="s">
        <v>5090</v>
      </c>
      <c r="H7237" s="9" t="s">
        <v>24460</v>
      </c>
      <c r="I7237" s="9" t="s">
        <v>13217</v>
      </c>
      <c r="J7237" s="9" t="s">
        <v>13218</v>
      </c>
      <c r="K7237" s="7" t="s">
        <v>15171</v>
      </c>
      <c r="L7237" s="13">
        <v>9621</v>
      </c>
      <c r="M7237" t="str">
        <f>VLOOKUP(L7237,[1]HBA!$B$2:$C$4000,2,FALSE)</f>
        <v>LRt</v>
      </c>
    </row>
    <row r="7238" spans="2:13" x14ac:dyDescent="0.25">
      <c r="B7238" s="31" t="s">
        <v>26303</v>
      </c>
      <c r="C7238" s="25" t="s">
        <v>2709</v>
      </c>
      <c r="D7238" s="25" t="s">
        <v>26232</v>
      </c>
      <c r="E7238" s="25"/>
      <c r="F7238" s="9" t="str">
        <f t="shared" si="106"/>
        <v>structure with developmental contribution from neural crest</v>
      </c>
      <c r="G7238" s="9" t="s">
        <v>5090</v>
      </c>
      <c r="H7238" s="9" t="s">
        <v>24463</v>
      </c>
      <c r="I7238" s="9" t="s">
        <v>13219</v>
      </c>
      <c r="J7238" s="9" t="s">
        <v>13220</v>
      </c>
      <c r="K7238" s="7" t="s">
        <v>15171</v>
      </c>
      <c r="L7238" s="13">
        <v>9622</v>
      </c>
      <c r="M7238" t="str">
        <f>VLOOKUP(L7238,[1]HBA!$B$2:$C$4000,2,FALSE)</f>
        <v>LRtS5</v>
      </c>
    </row>
    <row r="7239" spans="2:13" x14ac:dyDescent="0.25">
      <c r="B7239" s="31" t="s">
        <v>26303</v>
      </c>
      <c r="C7239" s="25" t="s">
        <v>2709</v>
      </c>
      <c r="D7239" s="25" t="s">
        <v>26232</v>
      </c>
      <c r="E7239" s="25"/>
      <c r="F7239" s="9" t="str">
        <f t="shared" si="106"/>
        <v>structure with developmental contribution from neural crest</v>
      </c>
      <c r="G7239" s="9" t="s">
        <v>5090</v>
      </c>
      <c r="H7239" s="9" t="s">
        <v>24462</v>
      </c>
      <c r="I7239" s="9" t="s">
        <v>13221</v>
      </c>
      <c r="J7239" s="9" t="s">
        <v>13222</v>
      </c>
      <c r="K7239" s="7" t="s">
        <v>15171</v>
      </c>
      <c r="L7239" s="13">
        <v>9623</v>
      </c>
      <c r="M7239" t="str">
        <f>VLOOKUP(L7239,[1]HBA!$B$2:$C$4000,2,FALSE)</f>
        <v>LRtPC</v>
      </c>
    </row>
    <row r="7240" spans="2:13" x14ac:dyDescent="0.25">
      <c r="B7240" s="31" t="s">
        <v>26303</v>
      </c>
      <c r="C7240" s="25" t="s">
        <v>26114</v>
      </c>
      <c r="D7240" s="25" t="s">
        <v>26232</v>
      </c>
      <c r="E7240" s="25"/>
      <c r="F7240" s="9" t="str">
        <f t="shared" si="106"/>
        <v>structure with developmental contribution from neural crest</v>
      </c>
      <c r="G7240" s="9" t="s">
        <v>5090</v>
      </c>
      <c r="H7240" s="9" t="s">
        <v>24467</v>
      </c>
      <c r="I7240" s="9" t="s">
        <v>13223</v>
      </c>
      <c r="J7240" s="9" t="s">
        <v>13224</v>
      </c>
      <c r="K7240" s="7" t="s">
        <v>15171</v>
      </c>
      <c r="L7240" s="13">
        <v>9625</v>
      </c>
      <c r="M7240" t="str">
        <f>VLOOKUP(L7240,[1]HBA!$B$2:$C$4000,2,FALSE)</f>
        <v>PCRt</v>
      </c>
    </row>
    <row r="7241" spans="2:13" x14ac:dyDescent="0.25">
      <c r="B7241" s="31" t="s">
        <v>26303</v>
      </c>
      <c r="C7241" s="25" t="s">
        <v>26114</v>
      </c>
      <c r="D7241" s="25" t="s">
        <v>26232</v>
      </c>
      <c r="E7241" s="25"/>
      <c r="F7241" s="9" t="str">
        <f t="shared" si="106"/>
        <v>structure with developmental contribution from neural crest</v>
      </c>
      <c r="G7241" s="9" t="s">
        <v>5090</v>
      </c>
      <c r="H7241" s="9" t="s">
        <v>24467</v>
      </c>
      <c r="I7241" s="9" t="s">
        <v>13225</v>
      </c>
      <c r="J7241" s="9" t="s">
        <v>13226</v>
      </c>
      <c r="K7241" s="7" t="s">
        <v>15171</v>
      </c>
      <c r="L7241" s="13">
        <v>9626</v>
      </c>
      <c r="M7241" t="str">
        <f>VLOOKUP(L7241,[1]HBA!$B$2:$C$4000,2,FALSE)</f>
        <v>PCRt</v>
      </c>
    </row>
    <row r="7242" spans="2:13" x14ac:dyDescent="0.25">
      <c r="B7242" s="31" t="s">
        <v>26303</v>
      </c>
      <c r="C7242" s="25" t="s">
        <v>26233</v>
      </c>
      <c r="D7242" s="25" t="s">
        <v>26232</v>
      </c>
      <c r="E7242" s="25"/>
      <c r="F7242" s="9" t="str">
        <f t="shared" si="106"/>
        <v>structure with developmental contribution from neural crest</v>
      </c>
      <c r="G7242" s="9" t="s">
        <v>5090</v>
      </c>
      <c r="H7242" s="9" t="s">
        <v>24487</v>
      </c>
      <c r="I7242" s="9" t="s">
        <v>7627</v>
      </c>
      <c r="J7242" s="9" t="s">
        <v>13227</v>
      </c>
      <c r="K7242" s="7" t="s">
        <v>15171</v>
      </c>
      <c r="L7242" s="13">
        <v>9627</v>
      </c>
      <c r="M7242" t="str">
        <f>VLOOKUP(L7242,[1]HBA!$B$2:$C$4000,2,FALSE)</f>
        <v>Ro</v>
      </c>
    </row>
    <row r="7243" spans="2:13" x14ac:dyDescent="0.25">
      <c r="B7243" s="31" t="s">
        <v>26303</v>
      </c>
      <c r="C7243" s="25" t="s">
        <v>26233</v>
      </c>
      <c r="D7243" s="25" t="s">
        <v>26232</v>
      </c>
      <c r="E7243" s="25"/>
      <c r="F7243" s="9" t="str">
        <f t="shared" si="106"/>
        <v>structure with developmental contribution from neural crest</v>
      </c>
      <c r="G7243" s="9" t="s">
        <v>5090</v>
      </c>
      <c r="H7243" s="9" t="s">
        <v>24487</v>
      </c>
      <c r="I7243" s="9" t="s">
        <v>13228</v>
      </c>
      <c r="J7243" s="9" t="s">
        <v>13229</v>
      </c>
      <c r="K7243" s="7" t="s">
        <v>15171</v>
      </c>
      <c r="L7243" s="13">
        <v>9628</v>
      </c>
      <c r="M7243" t="str">
        <f>VLOOKUP(L7243,[1]HBA!$B$2:$C$4000,2,FALSE)</f>
        <v>Ro</v>
      </c>
    </row>
    <row r="7244" spans="2:13" x14ac:dyDescent="0.25">
      <c r="B7244" s="31" t="s">
        <v>26303</v>
      </c>
      <c r="C7244" s="25" t="s">
        <v>26233</v>
      </c>
      <c r="D7244" s="25" t="s">
        <v>26232</v>
      </c>
      <c r="E7244" s="25"/>
      <c r="F7244" s="9" t="str">
        <f t="shared" si="106"/>
        <v>structure with developmental contribution from neural crest</v>
      </c>
      <c r="G7244" s="9" t="s">
        <v>5090</v>
      </c>
      <c r="H7244" s="9" t="s">
        <v>24487</v>
      </c>
      <c r="I7244" s="9" t="s">
        <v>13230</v>
      </c>
      <c r="J7244" s="9" t="s">
        <v>13231</v>
      </c>
      <c r="K7244" s="7" t="s">
        <v>15171</v>
      </c>
      <c r="L7244" s="13">
        <v>9629</v>
      </c>
      <c r="M7244" t="str">
        <f>VLOOKUP(L7244,[1]HBA!$B$2:$C$4000,2,FALSE)</f>
        <v>Ro</v>
      </c>
    </row>
    <row r="7245" spans="2:13" x14ac:dyDescent="0.25">
      <c r="B7245" s="31" t="s">
        <v>26303</v>
      </c>
      <c r="C7245" s="25" t="s">
        <v>3629</v>
      </c>
      <c r="D7245" s="25" t="s">
        <v>26232</v>
      </c>
      <c r="E7245" s="25"/>
      <c r="F7245" s="9" t="str">
        <f t="shared" si="106"/>
        <v>structure with developmental contribution from neural crest</v>
      </c>
      <c r="G7245" s="9" t="s">
        <v>5090</v>
      </c>
      <c r="H7245" s="9" t="s">
        <v>20445</v>
      </c>
      <c r="I7245" s="9" t="s">
        <v>3629</v>
      </c>
      <c r="J7245" s="9" t="s">
        <v>3631</v>
      </c>
      <c r="K7245" s="7" t="s">
        <v>15171</v>
      </c>
      <c r="L7245" s="13">
        <v>9630</v>
      </c>
      <c r="M7245" t="str">
        <f>VLOOKUP(L7245,[1]HBA!$B$2:$C$4000,2,FALSE)</f>
        <v>Pa5</v>
      </c>
    </row>
    <row r="7246" spans="2:13" x14ac:dyDescent="0.25">
      <c r="B7246" s="31" t="s">
        <v>26303</v>
      </c>
      <c r="C7246" s="25" t="s">
        <v>3629</v>
      </c>
      <c r="D7246" s="25" t="s">
        <v>26232</v>
      </c>
      <c r="E7246" s="25"/>
      <c r="F7246" s="9" t="str">
        <f t="shared" si="106"/>
        <v>structure with developmental contribution from neural crest</v>
      </c>
      <c r="G7246" s="9" t="s">
        <v>5090</v>
      </c>
      <c r="H7246" s="9" t="s">
        <v>20445</v>
      </c>
      <c r="I7246" s="9" t="s">
        <v>13232</v>
      </c>
      <c r="J7246" s="9" t="s">
        <v>13233</v>
      </c>
      <c r="K7246" s="7" t="s">
        <v>15171</v>
      </c>
      <c r="L7246" s="13">
        <v>9631</v>
      </c>
      <c r="M7246" t="str">
        <f>VLOOKUP(L7246,[1]HBA!$B$2:$C$4000,2,FALSE)</f>
        <v>Pa5</v>
      </c>
    </row>
    <row r="7247" spans="2:13" x14ac:dyDescent="0.25">
      <c r="B7247" s="31" t="s">
        <v>26303</v>
      </c>
      <c r="C7247" s="25" t="s">
        <v>3629</v>
      </c>
      <c r="D7247" s="25" t="s">
        <v>26232</v>
      </c>
      <c r="E7247" s="25"/>
      <c r="F7247" s="9" t="str">
        <f t="shared" si="106"/>
        <v>structure with developmental contribution from neural crest</v>
      </c>
      <c r="G7247" s="9" t="s">
        <v>5090</v>
      </c>
      <c r="H7247" s="9" t="s">
        <v>20445</v>
      </c>
      <c r="I7247" s="9" t="s">
        <v>13234</v>
      </c>
      <c r="J7247" s="9" t="s">
        <v>13235</v>
      </c>
      <c r="K7247" s="7" t="s">
        <v>15171</v>
      </c>
      <c r="L7247" s="13">
        <v>9632</v>
      </c>
      <c r="M7247" t="str">
        <f>VLOOKUP(L7247,[1]HBA!$B$2:$C$4000,2,FALSE)</f>
        <v>Pa5</v>
      </c>
    </row>
    <row r="7248" spans="2:13" x14ac:dyDescent="0.25">
      <c r="B7248" s="31" t="s">
        <v>26303</v>
      </c>
      <c r="C7248" s="25" t="s">
        <v>3629</v>
      </c>
      <c r="D7248" s="25" t="s">
        <v>26232</v>
      </c>
      <c r="E7248" s="25"/>
      <c r="F7248" s="9" t="str">
        <f t="shared" si="106"/>
        <v>structure with developmental contribution from neural crest</v>
      </c>
      <c r="G7248" s="9" t="s">
        <v>5090</v>
      </c>
      <c r="H7248" s="9" t="s">
        <v>24490</v>
      </c>
      <c r="I7248" s="9" t="s">
        <v>3818</v>
      </c>
      <c r="J7248" s="9" t="s">
        <v>3820</v>
      </c>
      <c r="K7248" s="7" t="s">
        <v>15171</v>
      </c>
      <c r="L7248" s="13">
        <v>9633</v>
      </c>
      <c r="M7248" t="str">
        <f>VLOOKUP(L7248,[1]HBA!$B$2:$C$4000,2,FALSE)</f>
        <v>Pe5</v>
      </c>
    </row>
    <row r="7249" spans="2:13" x14ac:dyDescent="0.25">
      <c r="B7249" s="31" t="s">
        <v>26303</v>
      </c>
      <c r="C7249" s="25" t="s">
        <v>3629</v>
      </c>
      <c r="D7249" s="25" t="s">
        <v>26232</v>
      </c>
      <c r="E7249" s="25"/>
      <c r="F7249" s="9" t="str">
        <f t="shared" si="106"/>
        <v>structure with developmental contribution from neural crest</v>
      </c>
      <c r="G7249" s="9" t="s">
        <v>5090</v>
      </c>
      <c r="H7249" s="9" t="s">
        <v>24490</v>
      </c>
      <c r="I7249" s="9" t="s">
        <v>13236</v>
      </c>
      <c r="J7249" s="9" t="s">
        <v>13237</v>
      </c>
      <c r="K7249" s="7" t="s">
        <v>15171</v>
      </c>
      <c r="L7249" s="13">
        <v>9634</v>
      </c>
      <c r="M7249" t="str">
        <f>VLOOKUP(L7249,[1]HBA!$B$2:$C$4000,2,FALSE)</f>
        <v>Pe5</v>
      </c>
    </row>
    <row r="7250" spans="2:13" x14ac:dyDescent="0.25">
      <c r="B7250" s="31" t="s">
        <v>26303</v>
      </c>
      <c r="C7250" s="25" t="s">
        <v>3629</v>
      </c>
      <c r="D7250" s="25" t="s">
        <v>26232</v>
      </c>
      <c r="E7250" s="25"/>
      <c r="F7250" s="9" t="str">
        <f t="shared" si="106"/>
        <v>structure with developmental contribution from neural crest</v>
      </c>
      <c r="G7250" s="9" t="s">
        <v>5090</v>
      </c>
      <c r="H7250" s="9" t="s">
        <v>24490</v>
      </c>
      <c r="I7250" s="9" t="s">
        <v>13238</v>
      </c>
      <c r="J7250" s="9" t="s">
        <v>13239</v>
      </c>
      <c r="K7250" s="7" t="s">
        <v>15171</v>
      </c>
      <c r="L7250" s="13">
        <v>9635</v>
      </c>
      <c r="M7250" t="str">
        <f>VLOOKUP(L7250,[1]HBA!$B$2:$C$4000,2,FALSE)</f>
        <v>Pe5</v>
      </c>
    </row>
    <row r="7251" spans="2:13" x14ac:dyDescent="0.25">
      <c r="B7251" s="31" t="s">
        <v>26303</v>
      </c>
      <c r="C7251" s="25" t="s">
        <v>3891</v>
      </c>
      <c r="D7251" s="25" t="s">
        <v>26232</v>
      </c>
      <c r="E7251" s="25"/>
      <c r="F7251" s="9" t="str">
        <f t="shared" si="106"/>
        <v>structure with developmental contribution from neural crest</v>
      </c>
      <c r="G7251" s="9" t="s">
        <v>5090</v>
      </c>
      <c r="H7251" s="9" t="s">
        <v>25462</v>
      </c>
      <c r="I7251" s="9" t="s">
        <v>3891</v>
      </c>
      <c r="J7251" s="9" t="s">
        <v>3893</v>
      </c>
      <c r="K7251" s="7" t="s">
        <v>15171</v>
      </c>
      <c r="L7251" s="13">
        <v>9636</v>
      </c>
      <c r="M7251" t="str">
        <f>VLOOKUP(L7251,[1]HBA!$B$2:$C$4000,2,FALSE)</f>
        <v>PnB</v>
      </c>
    </row>
    <row r="7252" spans="2:13" x14ac:dyDescent="0.25">
      <c r="B7252" s="31" t="s">
        <v>26303</v>
      </c>
      <c r="C7252" s="25" t="s">
        <v>3891</v>
      </c>
      <c r="D7252" s="25" t="s">
        <v>26232</v>
      </c>
      <c r="E7252" s="25"/>
      <c r="F7252" s="9" t="str">
        <f t="shared" si="106"/>
        <v>structure with developmental contribution from neural crest</v>
      </c>
      <c r="G7252" s="9" t="s">
        <v>5090</v>
      </c>
      <c r="H7252" s="9" t="s">
        <v>25462</v>
      </c>
      <c r="I7252" s="9" t="s">
        <v>13240</v>
      </c>
      <c r="J7252" s="9" t="s">
        <v>13241</v>
      </c>
      <c r="K7252" s="7" t="s">
        <v>15171</v>
      </c>
      <c r="L7252" s="13">
        <v>9637</v>
      </c>
      <c r="M7252" t="str">
        <f>VLOOKUP(L7252,[1]HBA!$B$2:$C$4000,2,FALSE)</f>
        <v>PnB</v>
      </c>
    </row>
    <row r="7253" spans="2:13" x14ac:dyDescent="0.25">
      <c r="B7253" s="31" t="s">
        <v>26303</v>
      </c>
      <c r="C7253" s="25" t="s">
        <v>3891</v>
      </c>
      <c r="D7253" s="25" t="s">
        <v>26232</v>
      </c>
      <c r="E7253" s="25"/>
      <c r="F7253" s="9" t="str">
        <f t="shared" si="106"/>
        <v>structure with developmental contribution from neural crest</v>
      </c>
      <c r="G7253" s="9" t="s">
        <v>5090</v>
      </c>
      <c r="H7253" s="9" t="s">
        <v>25462</v>
      </c>
      <c r="I7253" s="9" t="s">
        <v>13242</v>
      </c>
      <c r="J7253" s="9" t="s">
        <v>13243</v>
      </c>
      <c r="K7253" s="7" t="s">
        <v>15171</v>
      </c>
      <c r="L7253" s="13">
        <v>9638</v>
      </c>
      <c r="M7253" t="str">
        <f>VLOOKUP(L7253,[1]HBA!$B$2:$C$4000,2,FALSE)</f>
        <v>PnB</v>
      </c>
    </row>
    <row r="7254" spans="2:13" x14ac:dyDescent="0.25">
      <c r="B7254" s="31" t="s">
        <v>26303</v>
      </c>
      <c r="C7254" s="25" t="s">
        <v>3352</v>
      </c>
      <c r="D7254" s="25" t="s">
        <v>26232</v>
      </c>
      <c r="E7254" s="25"/>
      <c r="F7254" s="9" t="str">
        <f t="shared" si="106"/>
        <v>structure with developmental contribution from neural crest</v>
      </c>
      <c r="G7254" s="9" t="s">
        <v>5090</v>
      </c>
      <c r="H7254" s="9" t="s">
        <v>25463</v>
      </c>
      <c r="I7254" s="9" t="s">
        <v>3350</v>
      </c>
      <c r="J7254" s="9" t="s">
        <v>3351</v>
      </c>
      <c r="K7254" s="7" t="s">
        <v>15171</v>
      </c>
      <c r="L7254" s="13">
        <v>9639</v>
      </c>
      <c r="M7254" t="str">
        <f>VLOOKUP(L7254,[1]HBA!$B$2:$C$4000,2,FALSE)</f>
        <v>Pr</v>
      </c>
    </row>
    <row r="7255" spans="2:13" x14ac:dyDescent="0.25">
      <c r="B7255" s="31" t="s">
        <v>26303</v>
      </c>
      <c r="C7255" s="25" t="s">
        <v>3352</v>
      </c>
      <c r="D7255" s="25" t="s">
        <v>26232</v>
      </c>
      <c r="E7255" s="25"/>
      <c r="F7255" s="9" t="str">
        <f t="shared" si="106"/>
        <v>structure with developmental contribution from neural crest</v>
      </c>
      <c r="G7255" s="9" t="s">
        <v>5090</v>
      </c>
      <c r="H7255" s="9" t="s">
        <v>25463</v>
      </c>
      <c r="I7255" s="9" t="s">
        <v>13244</v>
      </c>
      <c r="J7255" s="9" t="s">
        <v>13245</v>
      </c>
      <c r="K7255" s="7" t="s">
        <v>15171</v>
      </c>
      <c r="L7255" s="13">
        <v>9640</v>
      </c>
      <c r="M7255" t="str">
        <f>VLOOKUP(L7255,[1]HBA!$B$2:$C$4000,2,FALSE)</f>
        <v>Pr</v>
      </c>
    </row>
    <row r="7256" spans="2:13" x14ac:dyDescent="0.25">
      <c r="B7256" s="31" t="s">
        <v>26303</v>
      </c>
      <c r="C7256" s="25" t="s">
        <v>3352</v>
      </c>
      <c r="D7256" s="25" t="s">
        <v>26232</v>
      </c>
      <c r="E7256" s="25"/>
      <c r="F7256" s="9" t="str">
        <f t="shared" si="106"/>
        <v>structure with developmental contribution from neural crest</v>
      </c>
      <c r="G7256" s="9" t="s">
        <v>5090</v>
      </c>
      <c r="H7256" s="9" t="s">
        <v>25463</v>
      </c>
      <c r="I7256" s="9" t="s">
        <v>13246</v>
      </c>
      <c r="J7256" s="9" t="s">
        <v>13247</v>
      </c>
      <c r="K7256" s="7" t="s">
        <v>15171</v>
      </c>
      <c r="L7256" s="13">
        <v>9641</v>
      </c>
      <c r="M7256" t="str">
        <f>VLOOKUP(L7256,[1]HBA!$B$2:$C$4000,2,FALSE)</f>
        <v>Pr</v>
      </c>
    </row>
    <row r="7257" spans="2:13" x14ac:dyDescent="0.25">
      <c r="B7257" s="31" t="s">
        <v>26303</v>
      </c>
      <c r="C7257" s="25" t="s">
        <v>3357</v>
      </c>
      <c r="D7257" s="25" t="s">
        <v>26232</v>
      </c>
      <c r="E7257" s="25"/>
      <c r="F7257" s="9" t="str">
        <f t="shared" si="106"/>
        <v>structure with developmental contribution from neural crest</v>
      </c>
      <c r="G7257" s="9" t="s">
        <v>5090</v>
      </c>
      <c r="H7257" s="9" t="s">
        <v>24470</v>
      </c>
      <c r="I7257" s="9" t="s">
        <v>3357</v>
      </c>
      <c r="J7257" s="9" t="s">
        <v>3358</v>
      </c>
      <c r="K7257" s="7" t="s">
        <v>15171</v>
      </c>
      <c r="L7257" s="13">
        <v>9643</v>
      </c>
      <c r="M7257" t="str">
        <f>VLOOKUP(L7257,[1]HBA!$B$2:$C$4000,2,FALSE)</f>
        <v>RMg</v>
      </c>
    </row>
    <row r="7258" spans="2:13" x14ac:dyDescent="0.25">
      <c r="B7258" s="31" t="s">
        <v>26303</v>
      </c>
      <c r="C7258" s="25" t="s">
        <v>3357</v>
      </c>
      <c r="D7258" s="25" t="s">
        <v>26232</v>
      </c>
      <c r="E7258" s="25"/>
      <c r="F7258" s="9" t="str">
        <f t="shared" si="106"/>
        <v>structure with developmental contribution from neural crest</v>
      </c>
      <c r="G7258" s="9" t="s">
        <v>5090</v>
      </c>
      <c r="H7258" s="9" t="s">
        <v>24470</v>
      </c>
      <c r="I7258" s="9" t="s">
        <v>13248</v>
      </c>
      <c r="J7258" s="9" t="s">
        <v>13249</v>
      </c>
      <c r="K7258" s="7" t="s">
        <v>15171</v>
      </c>
      <c r="L7258" s="13">
        <v>9644</v>
      </c>
      <c r="M7258" t="str">
        <f>VLOOKUP(L7258,[1]HBA!$B$2:$C$4000,2,FALSE)</f>
        <v>RMg</v>
      </c>
    </row>
    <row r="7259" spans="2:13" x14ac:dyDescent="0.25">
      <c r="B7259" s="31" t="s">
        <v>26303</v>
      </c>
      <c r="C7259" s="25" t="s">
        <v>3357</v>
      </c>
      <c r="D7259" s="25" t="s">
        <v>26232</v>
      </c>
      <c r="E7259" s="25"/>
      <c r="F7259" s="9" t="str">
        <f t="shared" si="106"/>
        <v>structure with developmental contribution from neural crest</v>
      </c>
      <c r="G7259" s="9" t="s">
        <v>5090</v>
      </c>
      <c r="H7259" s="9" t="s">
        <v>24470</v>
      </c>
      <c r="I7259" s="9" t="s">
        <v>13250</v>
      </c>
      <c r="J7259" s="9" t="s">
        <v>13251</v>
      </c>
      <c r="K7259" s="7" t="s">
        <v>15171</v>
      </c>
      <c r="L7259" s="13">
        <v>9645</v>
      </c>
      <c r="M7259" t="str">
        <f>VLOOKUP(L7259,[1]HBA!$B$2:$C$4000,2,FALSE)</f>
        <v>RMg</v>
      </c>
    </row>
    <row r="7260" spans="2:13" x14ac:dyDescent="0.25">
      <c r="B7260" s="31" t="s">
        <v>26303</v>
      </c>
      <c r="C7260" s="25" t="s">
        <v>3363</v>
      </c>
      <c r="D7260" s="25" t="s">
        <v>26232</v>
      </c>
      <c r="E7260" s="25"/>
      <c r="F7260" s="9" t="str">
        <f t="shared" si="106"/>
        <v>structure with developmental contribution from neural crest</v>
      </c>
      <c r="G7260" s="9" t="s">
        <v>5090</v>
      </c>
      <c r="H7260" s="9" t="s">
        <v>24471</v>
      </c>
      <c r="I7260" s="9" t="s">
        <v>3363</v>
      </c>
      <c r="J7260" s="9" t="s">
        <v>3364</v>
      </c>
      <c r="K7260" s="7" t="s">
        <v>15171</v>
      </c>
      <c r="L7260" s="13">
        <v>9646</v>
      </c>
      <c r="M7260" t="str">
        <f>VLOOKUP(L7260,[1]HBA!$B$2:$C$4000,2,FALSE)</f>
        <v>ROb</v>
      </c>
    </row>
    <row r="7261" spans="2:13" x14ac:dyDescent="0.25">
      <c r="B7261" s="31" t="s">
        <v>26303</v>
      </c>
      <c r="C7261" s="25" t="s">
        <v>3363</v>
      </c>
      <c r="D7261" s="25" t="s">
        <v>26232</v>
      </c>
      <c r="E7261" s="25"/>
      <c r="F7261" s="9" t="str">
        <f t="shared" si="106"/>
        <v>structure with developmental contribution from neural crest</v>
      </c>
      <c r="G7261" s="9" t="s">
        <v>5090</v>
      </c>
      <c r="H7261" s="9" t="s">
        <v>24471</v>
      </c>
      <c r="I7261" s="9" t="s">
        <v>13252</v>
      </c>
      <c r="J7261" s="9" t="s">
        <v>13253</v>
      </c>
      <c r="K7261" s="7" t="s">
        <v>15171</v>
      </c>
      <c r="L7261" s="13">
        <v>9647</v>
      </c>
      <c r="M7261" t="str">
        <f>VLOOKUP(L7261,[1]HBA!$B$2:$C$4000,2,FALSE)</f>
        <v>ROb</v>
      </c>
    </row>
    <row r="7262" spans="2:13" x14ac:dyDescent="0.25">
      <c r="B7262" s="31" t="s">
        <v>26303</v>
      </c>
      <c r="C7262" s="25" t="s">
        <v>3363</v>
      </c>
      <c r="D7262" s="25" t="s">
        <v>26232</v>
      </c>
      <c r="E7262" s="25"/>
      <c r="F7262" s="9" t="str">
        <f t="shared" si="106"/>
        <v>structure with developmental contribution from neural crest</v>
      </c>
      <c r="G7262" s="9" t="s">
        <v>5090</v>
      </c>
      <c r="H7262" s="9" t="s">
        <v>24471</v>
      </c>
      <c r="I7262" s="9" t="s">
        <v>13254</v>
      </c>
      <c r="J7262" s="9" t="s">
        <v>13255</v>
      </c>
      <c r="K7262" s="7" t="s">
        <v>15171</v>
      </c>
      <c r="L7262" s="13">
        <v>9648</v>
      </c>
      <c r="M7262" t="str">
        <f>VLOOKUP(L7262,[1]HBA!$B$2:$C$4000,2,FALSE)</f>
        <v>ROb</v>
      </c>
    </row>
    <row r="7263" spans="2:13" x14ac:dyDescent="0.25">
      <c r="B7263" s="31" t="s">
        <v>26303</v>
      </c>
      <c r="C7263" s="25" t="s">
        <v>3369</v>
      </c>
      <c r="D7263" s="25" t="s">
        <v>26232</v>
      </c>
      <c r="E7263" s="25"/>
      <c r="F7263" s="9" t="str">
        <f t="shared" si="106"/>
        <v>structure with developmental contribution from neural crest</v>
      </c>
      <c r="G7263" s="9" t="s">
        <v>5090</v>
      </c>
      <c r="H7263" s="9" t="s">
        <v>15314</v>
      </c>
      <c r="I7263" s="9" t="s">
        <v>3369</v>
      </c>
      <c r="J7263" s="9" t="s">
        <v>3370</v>
      </c>
      <c r="K7263" s="7" t="s">
        <v>15171</v>
      </c>
      <c r="L7263" s="13">
        <v>9649</v>
      </c>
      <c r="M7263" t="str">
        <f>VLOOKUP(L7263,[1]HBA!$B$2:$C$4000,2,FALSE)</f>
        <v>RPa</v>
      </c>
    </row>
    <row r="7264" spans="2:13" x14ac:dyDescent="0.25">
      <c r="B7264" s="31" t="s">
        <v>26303</v>
      </c>
      <c r="C7264" s="9" t="s">
        <v>4714</v>
      </c>
      <c r="D7264" s="25" t="s">
        <v>26232</v>
      </c>
      <c r="E7264" s="25"/>
      <c r="F7264" s="9" t="str">
        <f t="shared" si="106"/>
        <v>structure with developmental contribution from neural crest</v>
      </c>
      <c r="G7264" s="9" t="s">
        <v>5090</v>
      </c>
      <c r="H7264" s="9" t="s">
        <v>25466</v>
      </c>
      <c r="I7264" s="9" t="s">
        <v>4714</v>
      </c>
      <c r="J7264" s="9" t="s">
        <v>4715</v>
      </c>
      <c r="K7264" s="7" t="s">
        <v>15171</v>
      </c>
      <c r="L7264" s="13">
        <v>9650</v>
      </c>
      <c r="M7264" t="str">
        <f>VLOOKUP(L7264,[1]HBA!$B$2:$C$4000,2,FALSE)</f>
        <v>Ramb</v>
      </c>
    </row>
    <row r="7265" spans="2:13" x14ac:dyDescent="0.25">
      <c r="B7265" s="31" t="s">
        <v>26303</v>
      </c>
      <c r="C7265" s="9" t="s">
        <v>4714</v>
      </c>
      <c r="D7265" s="25" t="s">
        <v>26232</v>
      </c>
      <c r="E7265" s="25"/>
      <c r="F7265" s="9" t="str">
        <f t="shared" si="106"/>
        <v>structure with developmental contribution from neural crest</v>
      </c>
      <c r="G7265" s="9" t="s">
        <v>5090</v>
      </c>
      <c r="H7265" s="9" t="s">
        <v>25466</v>
      </c>
      <c r="I7265" s="9" t="s">
        <v>13256</v>
      </c>
      <c r="J7265" s="9" t="s">
        <v>13257</v>
      </c>
      <c r="K7265" s="7" t="s">
        <v>15171</v>
      </c>
      <c r="L7265" s="13">
        <v>9651</v>
      </c>
      <c r="M7265" t="str">
        <f>VLOOKUP(L7265,[1]HBA!$B$2:$C$4000,2,FALSE)</f>
        <v>Ramb</v>
      </c>
    </row>
    <row r="7266" spans="2:13" x14ac:dyDescent="0.25">
      <c r="B7266" s="31" t="s">
        <v>26303</v>
      </c>
      <c r="C7266" s="9" t="s">
        <v>4714</v>
      </c>
      <c r="D7266" s="25" t="s">
        <v>26232</v>
      </c>
      <c r="E7266" s="25"/>
      <c r="F7266" s="9" t="str">
        <f t="shared" si="106"/>
        <v>structure with developmental contribution from neural crest</v>
      </c>
      <c r="G7266" s="9" t="s">
        <v>5090</v>
      </c>
      <c r="H7266" s="9" t="s">
        <v>25466</v>
      </c>
      <c r="I7266" s="9" t="s">
        <v>13258</v>
      </c>
      <c r="J7266" s="9" t="s">
        <v>13259</v>
      </c>
      <c r="K7266" s="7" t="s">
        <v>15171</v>
      </c>
      <c r="L7266" s="13">
        <v>9652</v>
      </c>
      <c r="M7266" t="str">
        <f>VLOOKUP(L7266,[1]HBA!$B$2:$C$4000,2,FALSE)</f>
        <v>Ramb</v>
      </c>
    </row>
    <row r="7267" spans="2:13" x14ac:dyDescent="0.25">
      <c r="B7267" s="31" t="s">
        <v>26303</v>
      </c>
      <c r="C7267" s="25" t="s">
        <v>26061</v>
      </c>
      <c r="D7267" s="25" t="s">
        <v>26232</v>
      </c>
      <c r="E7267" s="25"/>
      <c r="F7267" s="9" t="str">
        <f t="shared" si="106"/>
        <v>structure with developmental contribution from neural crest</v>
      </c>
      <c r="G7267" s="9" t="s">
        <v>5090</v>
      </c>
      <c r="H7267" s="9" t="s">
        <v>24390</v>
      </c>
      <c r="I7267" s="9" t="s">
        <v>3312</v>
      </c>
      <c r="J7267" s="9" t="s">
        <v>3314</v>
      </c>
      <c r="K7267" s="7" t="s">
        <v>15171</v>
      </c>
      <c r="L7267" s="13">
        <v>9653</v>
      </c>
      <c r="M7267" t="str">
        <f>VLOOKUP(L7267,[1]HBA!$B$2:$C$4000,2,FALSE)</f>
        <v>Sol</v>
      </c>
    </row>
    <row r="7268" spans="2:13" x14ac:dyDescent="0.25">
      <c r="B7268" s="31" t="s">
        <v>26303</v>
      </c>
      <c r="C7268" s="25" t="s">
        <v>26061</v>
      </c>
      <c r="D7268" s="25" t="s">
        <v>26232</v>
      </c>
      <c r="E7268" s="25"/>
      <c r="F7268" s="9" t="str">
        <f t="shared" si="106"/>
        <v>structure with developmental contribution from neural crest</v>
      </c>
      <c r="G7268" s="9" t="s">
        <v>5090</v>
      </c>
      <c r="H7268" s="9" t="s">
        <v>24390</v>
      </c>
      <c r="I7268" s="9" t="s">
        <v>13260</v>
      </c>
      <c r="J7268" s="9" t="s">
        <v>13261</v>
      </c>
      <c r="K7268" s="7" t="s">
        <v>15171</v>
      </c>
      <c r="L7268" s="13">
        <v>9654</v>
      </c>
      <c r="M7268" t="str">
        <f>VLOOKUP(L7268,[1]HBA!$B$2:$C$4000,2,FALSE)</f>
        <v>Sol</v>
      </c>
    </row>
    <row r="7269" spans="2:13" x14ac:dyDescent="0.25">
      <c r="B7269" s="31" t="s">
        <v>26303</v>
      </c>
      <c r="C7269" s="25" t="s">
        <v>26061</v>
      </c>
      <c r="D7269" s="25" t="s">
        <v>26232</v>
      </c>
      <c r="E7269" s="25"/>
      <c r="F7269" s="9" t="str">
        <f t="shared" si="106"/>
        <v>structure with developmental contribution from neural crest</v>
      </c>
      <c r="G7269" s="9" t="s">
        <v>5090</v>
      </c>
      <c r="H7269" s="9" t="s">
        <v>24391</v>
      </c>
      <c r="I7269" s="9" t="s">
        <v>13262</v>
      </c>
      <c r="J7269" s="9" t="s">
        <v>13263</v>
      </c>
      <c r="K7269" s="7" t="s">
        <v>15171</v>
      </c>
      <c r="L7269" s="13">
        <v>9655</v>
      </c>
      <c r="M7269" t="str">
        <f>VLOOKUP(L7269,[1]HBA!$B$2:$C$4000,2,FALSE)</f>
        <v>SolC</v>
      </c>
    </row>
    <row r="7270" spans="2:13" x14ac:dyDescent="0.25">
      <c r="B7270" s="31" t="s">
        <v>26303</v>
      </c>
      <c r="C7270" s="25" t="s">
        <v>26061</v>
      </c>
      <c r="D7270" s="25" t="s">
        <v>26232</v>
      </c>
      <c r="E7270" s="25"/>
      <c r="F7270" s="9" t="str">
        <f t="shared" si="106"/>
        <v>structure with developmental contribution from neural crest</v>
      </c>
      <c r="G7270" s="9" t="s">
        <v>5090</v>
      </c>
      <c r="H7270" s="9" t="s">
        <v>24392</v>
      </c>
      <c r="I7270" s="9" t="s">
        <v>13264</v>
      </c>
      <c r="J7270" s="9" t="s">
        <v>13265</v>
      </c>
      <c r="K7270" s="7" t="s">
        <v>15171</v>
      </c>
      <c r="L7270" s="13">
        <v>9656</v>
      </c>
      <c r="M7270" t="str">
        <f>VLOOKUP(L7270,[1]HBA!$B$2:$C$4000,2,FALSE)</f>
        <v>SolD</v>
      </c>
    </row>
    <row r="7271" spans="2:13" x14ac:dyDescent="0.25">
      <c r="B7271" s="31" t="s">
        <v>26303</v>
      </c>
      <c r="C7271" s="25" t="s">
        <v>26061</v>
      </c>
      <c r="D7271" s="25" t="s">
        <v>26232</v>
      </c>
      <c r="E7271" s="25"/>
      <c r="F7271" s="9" t="str">
        <f t="shared" si="106"/>
        <v>structure with developmental contribution from neural crest</v>
      </c>
      <c r="G7271" s="9" t="s">
        <v>5090</v>
      </c>
      <c r="H7271" s="9" t="s">
        <v>24393</v>
      </c>
      <c r="I7271" s="9" t="s">
        <v>13266</v>
      </c>
      <c r="J7271" s="9" t="s">
        <v>13267</v>
      </c>
      <c r="K7271" s="7" t="s">
        <v>15171</v>
      </c>
      <c r="L7271" s="13">
        <v>9657</v>
      </c>
      <c r="M7271" t="str">
        <f>VLOOKUP(L7271,[1]HBA!$B$2:$C$4000,2,FALSE)</f>
        <v>SolDL</v>
      </c>
    </row>
    <row r="7272" spans="2:13" x14ac:dyDescent="0.25">
      <c r="B7272" s="31" t="s">
        <v>26303</v>
      </c>
      <c r="C7272" s="25" t="s">
        <v>26061</v>
      </c>
      <c r="D7272" s="25" t="s">
        <v>26232</v>
      </c>
      <c r="E7272" s="25"/>
      <c r="F7272" s="9" t="str">
        <f t="shared" si="106"/>
        <v>structure with developmental contribution from neural crest</v>
      </c>
      <c r="G7272" s="9" t="s">
        <v>5090</v>
      </c>
      <c r="H7272" s="9" t="s">
        <v>24394</v>
      </c>
      <c r="I7272" s="9" t="s">
        <v>13268</v>
      </c>
      <c r="J7272" s="9" t="s">
        <v>13269</v>
      </c>
      <c r="K7272" s="7" t="s">
        <v>15171</v>
      </c>
      <c r="L7272" s="13">
        <v>9658</v>
      </c>
      <c r="M7272" t="str">
        <f>VLOOKUP(L7272,[1]HBA!$B$2:$C$4000,2,FALSE)</f>
        <v>SolG</v>
      </c>
    </row>
    <row r="7273" spans="2:13" x14ac:dyDescent="0.25">
      <c r="B7273" s="31" t="s">
        <v>26303</v>
      </c>
      <c r="C7273" s="25" t="s">
        <v>26061</v>
      </c>
      <c r="D7273" s="25" t="s">
        <v>26232</v>
      </c>
      <c r="E7273" s="25"/>
      <c r="F7273" s="9" t="str">
        <f t="shared" si="106"/>
        <v>structure with developmental contribution from neural crest</v>
      </c>
      <c r="G7273" s="9" t="s">
        <v>5090</v>
      </c>
      <c r="H7273" s="9" t="s">
        <v>24396</v>
      </c>
      <c r="I7273" s="9" t="s">
        <v>13270</v>
      </c>
      <c r="J7273" s="9" t="s">
        <v>13271</v>
      </c>
      <c r="K7273" s="7" t="s">
        <v>15171</v>
      </c>
      <c r="L7273" s="13">
        <v>9659</v>
      </c>
      <c r="M7273" t="str">
        <f>VLOOKUP(L7273,[1]HBA!$B$2:$C$4000,2,FALSE)</f>
        <v>SolI</v>
      </c>
    </row>
    <row r="7274" spans="2:13" x14ac:dyDescent="0.25">
      <c r="B7274" s="31" t="s">
        <v>26303</v>
      </c>
      <c r="C7274" s="25" t="s">
        <v>26061</v>
      </c>
      <c r="D7274" s="25" t="s">
        <v>26232</v>
      </c>
      <c r="E7274" s="25"/>
      <c r="F7274" s="9" t="str">
        <f t="shared" si="106"/>
        <v>structure with developmental contribution from neural crest</v>
      </c>
      <c r="G7274" s="9" t="s">
        <v>5090</v>
      </c>
      <c r="H7274" s="9" t="s">
        <v>24395</v>
      </c>
      <c r="I7274" s="9" t="s">
        <v>13272</v>
      </c>
      <c r="J7274" s="9" t="s">
        <v>13273</v>
      </c>
      <c r="K7274" s="7" t="s">
        <v>15171</v>
      </c>
      <c r="L7274" s="13">
        <v>9660</v>
      </c>
      <c r="M7274" t="str">
        <f>VLOOKUP(L7274,[1]HBA!$B$2:$C$4000,2,FALSE)</f>
        <v>SolIM</v>
      </c>
    </row>
    <row r="7275" spans="2:13" x14ac:dyDescent="0.25">
      <c r="B7275" s="31" t="s">
        <v>26303</v>
      </c>
      <c r="C7275" s="25" t="s">
        <v>26061</v>
      </c>
      <c r="D7275" s="25" t="s">
        <v>26232</v>
      </c>
      <c r="E7275" s="25"/>
      <c r="F7275" s="9" t="str">
        <f t="shared" si="106"/>
        <v>structure with developmental contribution from neural crest</v>
      </c>
      <c r="G7275" s="9" t="s">
        <v>5090</v>
      </c>
      <c r="H7275" s="9" t="s">
        <v>24400</v>
      </c>
      <c r="I7275" s="9" t="s">
        <v>13274</v>
      </c>
      <c r="J7275" s="9" t="s">
        <v>13275</v>
      </c>
      <c r="K7275" s="7" t="s">
        <v>15171</v>
      </c>
      <c r="L7275" s="13">
        <v>9662</v>
      </c>
      <c r="M7275" t="str">
        <f>VLOOKUP(L7275,[1]HBA!$B$2:$C$4000,2,FALSE)</f>
        <v>SolPaC</v>
      </c>
    </row>
    <row r="7276" spans="2:13" x14ac:dyDescent="0.25">
      <c r="B7276" s="31" t="s">
        <v>26303</v>
      </c>
      <c r="C7276" s="25" t="s">
        <v>26061</v>
      </c>
      <c r="D7276" s="25" t="s">
        <v>26232</v>
      </c>
      <c r="E7276" s="25"/>
      <c r="F7276" s="9" t="str">
        <f t="shared" si="106"/>
        <v>structure with developmental contribution from neural crest</v>
      </c>
      <c r="G7276" s="9" t="s">
        <v>5090</v>
      </c>
      <c r="H7276" s="9" t="s">
        <v>24401</v>
      </c>
      <c r="I7276" s="9" t="s">
        <v>13276</v>
      </c>
      <c r="J7276" s="9" t="s">
        <v>13277</v>
      </c>
      <c r="K7276" s="7" t="s">
        <v>15171</v>
      </c>
      <c r="L7276" s="13">
        <v>9663</v>
      </c>
      <c r="M7276" t="str">
        <f>VLOOKUP(L7276,[1]HBA!$B$2:$C$4000,2,FALSE)</f>
        <v>SolV</v>
      </c>
    </row>
    <row r="7277" spans="2:13" x14ac:dyDescent="0.25">
      <c r="B7277" s="31" t="s">
        <v>26303</v>
      </c>
      <c r="C7277" s="25" t="s">
        <v>26061</v>
      </c>
      <c r="D7277" s="25" t="s">
        <v>26232</v>
      </c>
      <c r="E7277" s="25"/>
      <c r="F7277" s="9" t="str">
        <f t="shared" si="106"/>
        <v>structure with developmental contribution from neural crest</v>
      </c>
      <c r="G7277" s="9" t="s">
        <v>5090</v>
      </c>
      <c r="H7277" s="9" t="s">
        <v>24390</v>
      </c>
      <c r="I7277" s="9" t="s">
        <v>13278</v>
      </c>
      <c r="J7277" s="9" t="s">
        <v>13279</v>
      </c>
      <c r="K7277" s="7" t="s">
        <v>15171</v>
      </c>
      <c r="L7277" s="13">
        <v>9665</v>
      </c>
      <c r="M7277" t="str">
        <f>VLOOKUP(L7277,[1]HBA!$B$2:$C$4000,2,FALSE)</f>
        <v>Sol</v>
      </c>
    </row>
    <row r="7278" spans="2:13" x14ac:dyDescent="0.25">
      <c r="B7278" s="31" t="s">
        <v>26303</v>
      </c>
      <c r="C7278" s="25" t="s">
        <v>26061</v>
      </c>
      <c r="D7278" s="25" t="s">
        <v>26232</v>
      </c>
      <c r="E7278" s="25"/>
      <c r="F7278" s="9" t="str">
        <f t="shared" si="106"/>
        <v>structure with developmental contribution from neural crest</v>
      </c>
      <c r="G7278" s="9" t="s">
        <v>5090</v>
      </c>
      <c r="H7278" s="9" t="s">
        <v>24391</v>
      </c>
      <c r="I7278" s="9" t="s">
        <v>13280</v>
      </c>
      <c r="J7278" s="9" t="s">
        <v>13281</v>
      </c>
      <c r="K7278" s="7" t="s">
        <v>15171</v>
      </c>
      <c r="L7278" s="13">
        <v>9666</v>
      </c>
      <c r="M7278" t="str">
        <f>VLOOKUP(L7278,[1]HBA!$B$2:$C$4000,2,FALSE)</f>
        <v>SolC</v>
      </c>
    </row>
    <row r="7279" spans="2:13" x14ac:dyDescent="0.25">
      <c r="B7279" s="31" t="s">
        <v>26303</v>
      </c>
      <c r="C7279" s="25" t="s">
        <v>26061</v>
      </c>
      <c r="D7279" s="25" t="s">
        <v>26232</v>
      </c>
      <c r="E7279" s="25"/>
      <c r="F7279" s="9" t="str">
        <f t="shared" si="106"/>
        <v>structure with developmental contribution from neural crest</v>
      </c>
      <c r="G7279" s="9" t="s">
        <v>5090</v>
      </c>
      <c r="H7279" s="9" t="s">
        <v>24392</v>
      </c>
      <c r="I7279" s="9" t="s">
        <v>13282</v>
      </c>
      <c r="J7279" s="9" t="s">
        <v>13283</v>
      </c>
      <c r="K7279" s="7" t="s">
        <v>15171</v>
      </c>
      <c r="L7279" s="13">
        <v>9667</v>
      </c>
      <c r="M7279" t="str">
        <f>VLOOKUP(L7279,[1]HBA!$B$2:$C$4000,2,FALSE)</f>
        <v>SolD</v>
      </c>
    </row>
    <row r="7280" spans="2:13" x14ac:dyDescent="0.25">
      <c r="B7280" s="31" t="s">
        <v>26303</v>
      </c>
      <c r="C7280" s="25" t="s">
        <v>26061</v>
      </c>
      <c r="D7280" s="25" t="s">
        <v>26232</v>
      </c>
      <c r="E7280" s="25"/>
      <c r="F7280" s="9" t="str">
        <f t="shared" si="106"/>
        <v>structure with developmental contribution from neural crest</v>
      </c>
      <c r="G7280" s="9" t="s">
        <v>5090</v>
      </c>
      <c r="H7280" s="9" t="s">
        <v>24393</v>
      </c>
      <c r="I7280" s="9" t="s">
        <v>13284</v>
      </c>
      <c r="J7280" s="9" t="s">
        <v>13285</v>
      </c>
      <c r="K7280" s="7" t="s">
        <v>15171</v>
      </c>
      <c r="L7280" s="13">
        <v>9668</v>
      </c>
      <c r="M7280" t="str">
        <f>VLOOKUP(L7280,[1]HBA!$B$2:$C$4000,2,FALSE)</f>
        <v>SolDL</v>
      </c>
    </row>
    <row r="7281" spans="2:13" x14ac:dyDescent="0.25">
      <c r="B7281" s="31" t="s">
        <v>26303</v>
      </c>
      <c r="C7281" s="25" t="s">
        <v>26061</v>
      </c>
      <c r="D7281" s="25" t="s">
        <v>26232</v>
      </c>
      <c r="E7281" s="25"/>
      <c r="F7281" s="9" t="str">
        <f t="shared" si="106"/>
        <v>structure with developmental contribution from neural crest</v>
      </c>
      <c r="G7281" s="9" t="s">
        <v>5090</v>
      </c>
      <c r="H7281" s="9" t="s">
        <v>24394</v>
      </c>
      <c r="I7281" s="9" t="s">
        <v>13286</v>
      </c>
      <c r="J7281" s="9" t="s">
        <v>13287</v>
      </c>
      <c r="K7281" s="7" t="s">
        <v>15171</v>
      </c>
      <c r="L7281" s="13">
        <v>9669</v>
      </c>
      <c r="M7281" t="str">
        <f>VLOOKUP(L7281,[1]HBA!$B$2:$C$4000,2,FALSE)</f>
        <v>SolG</v>
      </c>
    </row>
    <row r="7282" spans="2:13" x14ac:dyDescent="0.25">
      <c r="B7282" s="31" t="s">
        <v>26303</v>
      </c>
      <c r="C7282" s="25" t="s">
        <v>26061</v>
      </c>
      <c r="D7282" s="25" t="s">
        <v>26232</v>
      </c>
      <c r="E7282" s="25"/>
      <c r="F7282" s="9" t="str">
        <f t="shared" si="106"/>
        <v>structure with developmental contribution from neural crest</v>
      </c>
      <c r="G7282" s="9" t="s">
        <v>5090</v>
      </c>
      <c r="H7282" s="9" t="s">
        <v>24396</v>
      </c>
      <c r="I7282" s="9" t="s">
        <v>13288</v>
      </c>
      <c r="J7282" s="9" t="s">
        <v>13289</v>
      </c>
      <c r="K7282" s="7" t="s">
        <v>15171</v>
      </c>
      <c r="L7282" s="13">
        <v>9670</v>
      </c>
      <c r="M7282" t="str">
        <f>VLOOKUP(L7282,[1]HBA!$B$2:$C$4000,2,FALSE)</f>
        <v>SolI</v>
      </c>
    </row>
    <row r="7283" spans="2:13" x14ac:dyDescent="0.25">
      <c r="B7283" s="31" t="s">
        <v>26303</v>
      </c>
      <c r="C7283" s="25" t="s">
        <v>26061</v>
      </c>
      <c r="D7283" s="25" t="s">
        <v>26232</v>
      </c>
      <c r="E7283" s="25"/>
      <c r="F7283" s="9" t="str">
        <f t="shared" si="106"/>
        <v>structure with developmental contribution from neural crest</v>
      </c>
      <c r="G7283" s="9" t="s">
        <v>5090</v>
      </c>
      <c r="H7283" s="9" t="s">
        <v>24395</v>
      </c>
      <c r="I7283" s="9" t="s">
        <v>13290</v>
      </c>
      <c r="J7283" s="9" t="s">
        <v>13291</v>
      </c>
      <c r="K7283" s="7" t="s">
        <v>15171</v>
      </c>
      <c r="L7283" s="13">
        <v>9671</v>
      </c>
      <c r="M7283" t="str">
        <f>VLOOKUP(L7283,[1]HBA!$B$2:$C$4000,2,FALSE)</f>
        <v>SolIM</v>
      </c>
    </row>
    <row r="7284" spans="2:13" x14ac:dyDescent="0.25">
      <c r="B7284" s="31" t="s">
        <v>26303</v>
      </c>
      <c r="C7284" s="25" t="s">
        <v>26061</v>
      </c>
      <c r="D7284" s="25" t="s">
        <v>26232</v>
      </c>
      <c r="E7284" s="25"/>
      <c r="F7284" s="9" t="str">
        <f t="shared" si="106"/>
        <v>structure with developmental contribution from neural crest</v>
      </c>
      <c r="G7284" s="9" t="s">
        <v>5090</v>
      </c>
      <c r="H7284" s="9" t="s">
        <v>24399</v>
      </c>
      <c r="I7284" s="9" t="s">
        <v>13292</v>
      </c>
      <c r="J7284" s="9" t="s">
        <v>13293</v>
      </c>
      <c r="K7284" s="7" t="s">
        <v>15171</v>
      </c>
      <c r="L7284" s="13">
        <v>9672</v>
      </c>
      <c r="M7284" t="str">
        <f>VLOOKUP(L7284,[1]HBA!$B$2:$C$4000,2,FALSE)</f>
        <v>SolM</v>
      </c>
    </row>
    <row r="7285" spans="2:13" x14ac:dyDescent="0.25">
      <c r="B7285" s="31" t="s">
        <v>26303</v>
      </c>
      <c r="C7285" s="25" t="s">
        <v>26061</v>
      </c>
      <c r="D7285" s="25" t="s">
        <v>26232</v>
      </c>
      <c r="E7285" s="25"/>
      <c r="F7285" s="9" t="str">
        <f t="shared" si="106"/>
        <v>structure with developmental contribution from neural crest</v>
      </c>
      <c r="G7285" s="9" t="s">
        <v>5090</v>
      </c>
      <c r="H7285" s="9" t="s">
        <v>24400</v>
      </c>
      <c r="I7285" s="9" t="s">
        <v>13294</v>
      </c>
      <c r="J7285" s="9" t="s">
        <v>13295</v>
      </c>
      <c r="K7285" s="7" t="s">
        <v>15171</v>
      </c>
      <c r="L7285" s="13">
        <v>9673</v>
      </c>
      <c r="M7285" t="str">
        <f>VLOOKUP(L7285,[1]HBA!$B$2:$C$4000,2,FALSE)</f>
        <v>SolPaC</v>
      </c>
    </row>
    <row r="7286" spans="2:13" x14ac:dyDescent="0.25">
      <c r="B7286" s="31" t="s">
        <v>26303</v>
      </c>
      <c r="C7286" s="25" t="s">
        <v>26061</v>
      </c>
      <c r="D7286" s="25" t="s">
        <v>26232</v>
      </c>
      <c r="E7286" s="25"/>
      <c r="F7286" s="9" t="str">
        <f t="shared" si="106"/>
        <v>structure with developmental contribution from neural crest</v>
      </c>
      <c r="G7286" s="9" t="s">
        <v>5090</v>
      </c>
      <c r="H7286" s="9" t="s">
        <v>24401</v>
      </c>
      <c r="I7286" s="9" t="s">
        <v>13296</v>
      </c>
      <c r="J7286" s="9" t="s">
        <v>13297</v>
      </c>
      <c r="K7286" s="7" t="s">
        <v>15171</v>
      </c>
      <c r="L7286" s="13">
        <v>9674</v>
      </c>
      <c r="M7286" t="str">
        <f>VLOOKUP(L7286,[1]HBA!$B$2:$C$4000,2,FALSE)</f>
        <v>SolV</v>
      </c>
    </row>
    <row r="7287" spans="2:13" x14ac:dyDescent="0.25">
      <c r="B7287" s="31" t="s">
        <v>26303</v>
      </c>
      <c r="C7287" s="20"/>
      <c r="D7287" s="25" t="s">
        <v>26185</v>
      </c>
      <c r="E7287" s="25" t="s">
        <v>26300</v>
      </c>
      <c r="F7287" s="9" t="str">
        <f t="shared" ref="F7287:F7350" si="107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7287" s="9" t="s">
        <v>5090</v>
      </c>
      <c r="H7287" s="9" t="s">
        <v>24402</v>
      </c>
      <c r="I7287" s="9" t="s">
        <v>13298</v>
      </c>
      <c r="J7287" s="9" t="s">
        <v>13299</v>
      </c>
      <c r="K7287" s="7" t="s">
        <v>15171</v>
      </c>
      <c r="L7287" s="13">
        <v>9675</v>
      </c>
      <c r="M7287" t="str">
        <f>VLOOKUP(L7287,[1]HBA!$B$2:$C$4000,2,FALSE)</f>
        <v>SolVL</v>
      </c>
    </row>
    <row r="7288" spans="2:13" x14ac:dyDescent="0.25">
      <c r="B7288" s="31" t="s">
        <v>26303</v>
      </c>
      <c r="C7288" s="25" t="s">
        <v>26225</v>
      </c>
      <c r="D7288" s="25" t="s">
        <v>26232</v>
      </c>
      <c r="E7288" s="25"/>
      <c r="F7288" s="9" t="str">
        <f t="shared" si="107"/>
        <v>structure with developmental contribution from neural crest</v>
      </c>
      <c r="G7288" s="9" t="s">
        <v>5090</v>
      </c>
      <c r="H7288" s="9" t="s">
        <v>24405</v>
      </c>
      <c r="I7288" s="9" t="s">
        <v>4997</v>
      </c>
      <c r="J7288" s="9" t="s">
        <v>4999</v>
      </c>
      <c r="K7288" s="7" t="s">
        <v>15171</v>
      </c>
      <c r="L7288" s="13">
        <v>9676</v>
      </c>
      <c r="M7288" t="str">
        <f>VLOOKUP(L7288,[1]HBA!$B$2:$C$4000,2,FALSE)</f>
        <v>Sp5</v>
      </c>
    </row>
    <row r="7289" spans="2:13" x14ac:dyDescent="0.25">
      <c r="B7289" s="31" t="s">
        <v>26303</v>
      </c>
      <c r="C7289" s="25" t="s">
        <v>26225</v>
      </c>
      <c r="D7289" s="25" t="s">
        <v>26232</v>
      </c>
      <c r="E7289" s="25"/>
      <c r="F7289" s="9" t="str">
        <f t="shared" si="107"/>
        <v>structure with developmental contribution from neural crest</v>
      </c>
      <c r="G7289" s="9" t="s">
        <v>5090</v>
      </c>
      <c r="H7289" s="9" t="s">
        <v>24405</v>
      </c>
      <c r="I7289" s="9" t="s">
        <v>13300</v>
      </c>
      <c r="J7289" s="9" t="s">
        <v>13301</v>
      </c>
      <c r="K7289" s="7" t="s">
        <v>15171</v>
      </c>
      <c r="L7289" s="13">
        <v>9677</v>
      </c>
      <c r="M7289" t="str">
        <f>VLOOKUP(L7289,[1]HBA!$B$2:$C$4000,2,FALSE)</f>
        <v>Sp5</v>
      </c>
    </row>
    <row r="7290" spans="2:13" x14ac:dyDescent="0.25">
      <c r="B7290" s="31" t="s">
        <v>26303</v>
      </c>
      <c r="C7290" s="25" t="s">
        <v>25822</v>
      </c>
      <c r="D7290" s="25" t="s">
        <v>26232</v>
      </c>
      <c r="E7290" s="25"/>
      <c r="F7290" s="9" t="str">
        <f t="shared" si="107"/>
        <v>structure with developmental contribution from neural crest</v>
      </c>
      <c r="G7290" s="9" t="s">
        <v>5090</v>
      </c>
      <c r="H7290" s="9" t="s">
        <v>24406</v>
      </c>
      <c r="I7290" s="9" t="s">
        <v>13302</v>
      </c>
      <c r="J7290" s="9" t="s">
        <v>13303</v>
      </c>
      <c r="K7290" s="7" t="s">
        <v>15171</v>
      </c>
      <c r="L7290" s="13">
        <v>9680</v>
      </c>
      <c r="M7290" t="str">
        <f>VLOOKUP(L7290,[1]HBA!$B$2:$C$4000,2,FALSE)</f>
        <v>Sp5C</v>
      </c>
    </row>
    <row r="7291" spans="2:13" x14ac:dyDescent="0.25">
      <c r="B7291" s="31" t="s">
        <v>26303</v>
      </c>
      <c r="C7291" s="25" t="s">
        <v>25822</v>
      </c>
      <c r="D7291" s="25" t="s">
        <v>26232</v>
      </c>
      <c r="E7291" s="25"/>
      <c r="F7291" s="9" t="str">
        <f t="shared" si="107"/>
        <v>structure with developmental contribution from neural crest</v>
      </c>
      <c r="G7291" s="9" t="s">
        <v>5090</v>
      </c>
      <c r="H7291" s="9" t="s">
        <v>25467</v>
      </c>
      <c r="I7291" s="9" t="s">
        <v>13304</v>
      </c>
      <c r="J7291" s="9" t="s">
        <v>13305</v>
      </c>
      <c r="K7291" s="7" t="s">
        <v>15171</v>
      </c>
      <c r="L7291" s="13">
        <v>9681</v>
      </c>
      <c r="M7291" t="str">
        <f>VLOOKUP(L7291,[1]HBA!$B$2:$C$4000,2,FALSE)</f>
        <v>Sp5Cg</v>
      </c>
    </row>
    <row r="7292" spans="2:13" x14ac:dyDescent="0.25">
      <c r="B7292" s="31" t="s">
        <v>26303</v>
      </c>
      <c r="C7292" s="25" t="s">
        <v>25822</v>
      </c>
      <c r="D7292" s="25" t="s">
        <v>26232</v>
      </c>
      <c r="E7292" s="25"/>
      <c r="F7292" s="9" t="str">
        <f t="shared" si="107"/>
        <v>structure with developmental contribution from neural crest</v>
      </c>
      <c r="G7292" s="9" t="s">
        <v>5090</v>
      </c>
      <c r="H7292" s="9" t="s">
        <v>25468</v>
      </c>
      <c r="I7292" s="9" t="s">
        <v>13306</v>
      </c>
      <c r="J7292" s="9" t="s">
        <v>13307</v>
      </c>
      <c r="K7292" s="7" t="s">
        <v>15171</v>
      </c>
      <c r="L7292" s="13">
        <v>9682</v>
      </c>
      <c r="M7292" t="str">
        <f>VLOOKUP(L7292,[1]HBA!$B$2:$C$4000,2,FALSE)</f>
        <v>SP5Cm</v>
      </c>
    </row>
    <row r="7293" spans="2:13" x14ac:dyDescent="0.25">
      <c r="B7293" s="31" t="s">
        <v>26303</v>
      </c>
      <c r="C7293" s="25" t="s">
        <v>25822</v>
      </c>
      <c r="D7293" s="25" t="s">
        <v>26232</v>
      </c>
      <c r="E7293" s="25"/>
      <c r="F7293" s="9" t="str">
        <f t="shared" si="107"/>
        <v>structure with developmental contribution from neural crest</v>
      </c>
      <c r="G7293" s="9" t="s">
        <v>5090</v>
      </c>
      <c r="H7293" s="9" t="s">
        <v>25469</v>
      </c>
      <c r="I7293" s="9" t="s">
        <v>13308</v>
      </c>
      <c r="J7293" s="9" t="s">
        <v>13309</v>
      </c>
      <c r="K7293" s="7" t="s">
        <v>15171</v>
      </c>
      <c r="L7293" s="13">
        <v>9683</v>
      </c>
      <c r="M7293" t="str">
        <f>VLOOKUP(L7293,[1]HBA!$B$2:$C$4000,2,FALSE)</f>
        <v>SP5Cz</v>
      </c>
    </row>
    <row r="7294" spans="2:13" x14ac:dyDescent="0.25">
      <c r="B7294" s="31" t="s">
        <v>26303</v>
      </c>
      <c r="C7294" s="25" t="s">
        <v>26225</v>
      </c>
      <c r="D7294" s="25" t="s">
        <v>26232</v>
      </c>
      <c r="E7294" s="25"/>
      <c r="F7294" s="9" t="str">
        <f t="shared" si="107"/>
        <v>structure with developmental contribution from neural crest</v>
      </c>
      <c r="G7294" s="9" t="s">
        <v>5090</v>
      </c>
      <c r="H7294" s="9" t="s">
        <v>24405</v>
      </c>
      <c r="I7294" s="9" t="s">
        <v>13310</v>
      </c>
      <c r="J7294" s="9" t="s">
        <v>13311</v>
      </c>
      <c r="K7294" s="7" t="s">
        <v>15171</v>
      </c>
      <c r="L7294" s="13">
        <v>9684</v>
      </c>
      <c r="M7294" t="str">
        <f>VLOOKUP(L7294,[1]HBA!$B$2:$C$4000,2,FALSE)</f>
        <v>Sp5</v>
      </c>
    </row>
    <row r="7295" spans="2:13" x14ac:dyDescent="0.25">
      <c r="B7295" s="31" t="s">
        <v>26303</v>
      </c>
      <c r="C7295" s="25" t="s">
        <v>25977</v>
      </c>
      <c r="D7295" s="25" t="s">
        <v>26232</v>
      </c>
      <c r="E7295" s="25"/>
      <c r="F7295" s="9" t="str">
        <f t="shared" si="107"/>
        <v>structure with developmental contribution from neural crest</v>
      </c>
      <c r="G7295" s="9" t="s">
        <v>5090</v>
      </c>
      <c r="H7295" s="9" t="s">
        <v>25470</v>
      </c>
      <c r="I7295" s="9" t="s">
        <v>13312</v>
      </c>
      <c r="J7295" s="9" t="s">
        <v>13313</v>
      </c>
      <c r="K7295" s="7" t="s">
        <v>15171</v>
      </c>
      <c r="L7295" s="13">
        <v>9685</v>
      </c>
      <c r="M7295" t="str">
        <f>VLOOKUP(L7295,[1]HBA!$B$2:$C$4000,2,FALSE)</f>
        <v>Sp5I</v>
      </c>
    </row>
    <row r="7296" spans="2:13" x14ac:dyDescent="0.25">
      <c r="B7296" s="31" t="s">
        <v>26303</v>
      </c>
      <c r="C7296" s="25" t="s">
        <v>26076</v>
      </c>
      <c r="D7296" s="25" t="s">
        <v>26232</v>
      </c>
      <c r="E7296" s="25"/>
      <c r="F7296" s="9" t="str">
        <f t="shared" si="107"/>
        <v>structure with developmental contribution from neural crest</v>
      </c>
      <c r="G7296" s="9" t="s">
        <v>5090</v>
      </c>
      <c r="H7296" s="9" t="s">
        <v>25471</v>
      </c>
      <c r="I7296" s="9" t="s">
        <v>13314</v>
      </c>
      <c r="J7296" s="9" t="s">
        <v>13315</v>
      </c>
      <c r="K7296" s="7" t="s">
        <v>15171</v>
      </c>
      <c r="L7296" s="13">
        <v>9686</v>
      </c>
      <c r="M7296" t="str">
        <f>VLOOKUP(L7296,[1]HBA!$B$2:$C$4000,2,FALSE)</f>
        <v>Sp5O</v>
      </c>
    </row>
    <row r="7297" spans="2:13" x14ac:dyDescent="0.25">
      <c r="B7297" s="31" t="s">
        <v>26303</v>
      </c>
      <c r="C7297" s="25" t="s">
        <v>25822</v>
      </c>
      <c r="D7297" s="25" t="s">
        <v>26232</v>
      </c>
      <c r="E7297" s="25"/>
      <c r="F7297" s="9" t="str">
        <f t="shared" si="107"/>
        <v>structure with developmental contribution from neural crest</v>
      </c>
      <c r="G7297" s="9" t="s">
        <v>5090</v>
      </c>
      <c r="H7297" s="9" t="s">
        <v>24406</v>
      </c>
      <c r="I7297" s="9" t="s">
        <v>13316</v>
      </c>
      <c r="J7297" s="9" t="s">
        <v>13317</v>
      </c>
      <c r="K7297" s="7" t="s">
        <v>15171</v>
      </c>
      <c r="L7297" s="13">
        <v>9687</v>
      </c>
      <c r="M7297" t="str">
        <f>VLOOKUP(L7297,[1]HBA!$B$2:$C$4000,2,FALSE)</f>
        <v>Sp5C</v>
      </c>
    </row>
    <row r="7298" spans="2:13" x14ac:dyDescent="0.25">
      <c r="B7298" s="31" t="s">
        <v>26303</v>
      </c>
      <c r="C7298" s="25" t="s">
        <v>25822</v>
      </c>
      <c r="D7298" s="25" t="s">
        <v>26232</v>
      </c>
      <c r="E7298" s="25"/>
      <c r="F7298" s="9" t="str">
        <f t="shared" si="107"/>
        <v>structure with developmental contribution from neural crest</v>
      </c>
      <c r="G7298" s="9" t="s">
        <v>5090</v>
      </c>
      <c r="H7298" s="9" t="s">
        <v>25467</v>
      </c>
      <c r="I7298" s="9" t="s">
        <v>13318</v>
      </c>
      <c r="J7298" s="9" t="s">
        <v>13319</v>
      </c>
      <c r="K7298" s="7" t="s">
        <v>15171</v>
      </c>
      <c r="L7298" s="13">
        <v>9688</v>
      </c>
      <c r="M7298" t="str">
        <f>VLOOKUP(L7298,[1]HBA!$B$2:$C$4000,2,FALSE)</f>
        <v>Sp5Cg</v>
      </c>
    </row>
    <row r="7299" spans="2:13" x14ac:dyDescent="0.25">
      <c r="B7299" s="31" t="s">
        <v>26303</v>
      </c>
      <c r="C7299" s="25" t="s">
        <v>25822</v>
      </c>
      <c r="D7299" s="25" t="s">
        <v>26232</v>
      </c>
      <c r="E7299" s="25"/>
      <c r="F7299" s="9" t="str">
        <f t="shared" si="107"/>
        <v>structure with developmental contribution from neural crest</v>
      </c>
      <c r="G7299" s="9" t="s">
        <v>5090</v>
      </c>
      <c r="H7299" s="9" t="s">
        <v>25468</v>
      </c>
      <c r="I7299" s="9" t="s">
        <v>13320</v>
      </c>
      <c r="J7299" s="9" t="s">
        <v>13321</v>
      </c>
      <c r="K7299" s="7" t="s">
        <v>15171</v>
      </c>
      <c r="L7299" s="13">
        <v>9689</v>
      </c>
      <c r="M7299" t="str">
        <f>VLOOKUP(L7299,[1]HBA!$B$2:$C$4000,2,FALSE)</f>
        <v>SP5Cm</v>
      </c>
    </row>
    <row r="7300" spans="2:13" x14ac:dyDescent="0.25">
      <c r="B7300" s="31" t="s">
        <v>26303</v>
      </c>
      <c r="C7300" s="25" t="s">
        <v>25822</v>
      </c>
      <c r="D7300" s="25" t="s">
        <v>26232</v>
      </c>
      <c r="E7300" s="25"/>
      <c r="F7300" s="9" t="str">
        <f t="shared" si="107"/>
        <v>structure with developmental contribution from neural crest</v>
      </c>
      <c r="G7300" s="9" t="s">
        <v>5090</v>
      </c>
      <c r="H7300" s="9" t="s">
        <v>25469</v>
      </c>
      <c r="I7300" s="9" t="s">
        <v>13322</v>
      </c>
      <c r="J7300" s="9" t="s">
        <v>13323</v>
      </c>
      <c r="K7300" s="7" t="s">
        <v>15171</v>
      </c>
      <c r="L7300" s="13">
        <v>9690</v>
      </c>
      <c r="M7300" t="str">
        <f>VLOOKUP(L7300,[1]HBA!$B$2:$C$4000,2,FALSE)</f>
        <v>SP5Cz</v>
      </c>
    </row>
    <row r="7301" spans="2:13" x14ac:dyDescent="0.25">
      <c r="B7301" s="31" t="s">
        <v>26303</v>
      </c>
      <c r="C7301" s="20"/>
      <c r="D7301" s="25" t="s">
        <v>26185</v>
      </c>
      <c r="E7301" s="25" t="s">
        <v>26300</v>
      </c>
      <c r="F7301" s="9" t="str">
        <f t="shared" si="107"/>
        <v>structure with developmental contribution from neural crest</v>
      </c>
      <c r="G7301" s="9" t="s">
        <v>5090</v>
      </c>
      <c r="H7301" s="9" t="s">
        <v>25472</v>
      </c>
      <c r="I7301" s="9" t="s">
        <v>13324</v>
      </c>
      <c r="J7301" s="9" t="s">
        <v>13325</v>
      </c>
      <c r="K7301" s="7" t="s">
        <v>15171</v>
      </c>
      <c r="L7301" s="13">
        <v>9691</v>
      </c>
      <c r="M7301" t="str">
        <f>VLOOKUP(L7301,[1]HBA!$B$2:$C$4000,2,FALSE)</f>
        <v>Sge</v>
      </c>
    </row>
    <row r="7302" spans="2:13" x14ac:dyDescent="0.25">
      <c r="B7302" s="31" t="s">
        <v>26303</v>
      </c>
      <c r="C7302" s="20"/>
      <c r="D7302" s="25" t="s">
        <v>26185</v>
      </c>
      <c r="E7302" s="25" t="s">
        <v>26300</v>
      </c>
      <c r="F7302" s="9" t="str">
        <f t="shared" si="107"/>
        <v>structure with developmental contribution from neural crest</v>
      </c>
      <c r="G7302" s="9" t="s">
        <v>5090</v>
      </c>
      <c r="H7302" s="9" t="s">
        <v>25472</v>
      </c>
      <c r="I7302" s="9" t="s">
        <v>13326</v>
      </c>
      <c r="J7302" s="9" t="s">
        <v>13327</v>
      </c>
      <c r="K7302" s="7" t="s">
        <v>15171</v>
      </c>
      <c r="L7302" s="13">
        <v>9692</v>
      </c>
      <c r="M7302" t="str">
        <f>VLOOKUP(L7302,[1]HBA!$B$2:$C$4000,2,FALSE)</f>
        <v>Sge</v>
      </c>
    </row>
    <row r="7303" spans="2:13" x14ac:dyDescent="0.25">
      <c r="B7303" s="31" t="s">
        <v>26303</v>
      </c>
      <c r="C7303" s="20"/>
      <c r="D7303" s="25" t="s">
        <v>26185</v>
      </c>
      <c r="E7303" s="25" t="s">
        <v>26300</v>
      </c>
      <c r="F7303" s="9" t="str">
        <f t="shared" si="107"/>
        <v>structure with developmental contribution from neural crest</v>
      </c>
      <c r="G7303" s="9" t="s">
        <v>5090</v>
      </c>
      <c r="H7303" s="9" t="s">
        <v>25472</v>
      </c>
      <c r="I7303" s="9" t="s">
        <v>13328</v>
      </c>
      <c r="J7303" s="9" t="s">
        <v>13329</v>
      </c>
      <c r="K7303" s="7" t="s">
        <v>15171</v>
      </c>
      <c r="L7303" s="13">
        <v>9693</v>
      </c>
      <c r="M7303" t="str">
        <f>VLOOKUP(L7303,[1]HBA!$B$2:$C$4000,2,FALSE)</f>
        <v>Sge</v>
      </c>
    </row>
    <row r="7304" spans="2:13" x14ac:dyDescent="0.25">
      <c r="B7304" s="31" t="s">
        <v>26303</v>
      </c>
      <c r="C7304" s="25" t="s">
        <v>13330</v>
      </c>
      <c r="D7304" s="25" t="s">
        <v>26232</v>
      </c>
      <c r="E7304" s="25"/>
      <c r="F7304" s="9" t="str">
        <f t="shared" si="107"/>
        <v>structure with developmental contribution from neural crest</v>
      </c>
      <c r="G7304" s="9" t="s">
        <v>5090</v>
      </c>
      <c r="H7304" s="9" t="s">
        <v>18716</v>
      </c>
      <c r="I7304" s="9" t="s">
        <v>13330</v>
      </c>
      <c r="J7304" s="9" t="s">
        <v>13331</v>
      </c>
      <c r="K7304" s="7" t="s">
        <v>15171</v>
      </c>
      <c r="L7304" s="13">
        <v>9694</v>
      </c>
      <c r="M7304" t="str">
        <f>VLOOKUP(L7304,[1]HBA!$B$2:$C$4000,2,FALSE)</f>
        <v>SSp</v>
      </c>
    </row>
    <row r="7305" spans="2:13" x14ac:dyDescent="0.25">
      <c r="B7305" s="31" t="s">
        <v>26303</v>
      </c>
      <c r="C7305" s="25" t="s">
        <v>13330</v>
      </c>
      <c r="D7305" s="25" t="s">
        <v>26232</v>
      </c>
      <c r="E7305" s="25"/>
      <c r="F7305" s="9" t="str">
        <f t="shared" si="107"/>
        <v>structure with developmental contribution from neural crest</v>
      </c>
      <c r="G7305" s="9" t="s">
        <v>5090</v>
      </c>
      <c r="H7305" s="9" t="s">
        <v>18716</v>
      </c>
      <c r="I7305" s="9" t="s">
        <v>13332</v>
      </c>
      <c r="J7305" s="9" t="s">
        <v>13333</v>
      </c>
      <c r="K7305" s="7" t="s">
        <v>15171</v>
      </c>
      <c r="L7305" s="13">
        <v>9695</v>
      </c>
      <c r="M7305" t="str">
        <f>VLOOKUP(L7305,[1]HBA!$B$2:$C$4000,2,FALSE)</f>
        <v>SSp</v>
      </c>
    </row>
    <row r="7306" spans="2:13" x14ac:dyDescent="0.25">
      <c r="B7306" s="31" t="s">
        <v>26303</v>
      </c>
      <c r="C7306" s="25" t="s">
        <v>13330</v>
      </c>
      <c r="D7306" s="25" t="s">
        <v>26232</v>
      </c>
      <c r="E7306" s="25"/>
      <c r="F7306" s="9" t="str">
        <f t="shared" si="107"/>
        <v>structure with developmental contribution from neural crest</v>
      </c>
      <c r="G7306" s="9" t="s">
        <v>5090</v>
      </c>
      <c r="H7306" s="9" t="s">
        <v>18716</v>
      </c>
      <c r="I7306" s="9" t="s">
        <v>13334</v>
      </c>
      <c r="J7306" s="9" t="s">
        <v>13335</v>
      </c>
      <c r="K7306" s="7" t="s">
        <v>15171</v>
      </c>
      <c r="L7306" s="13">
        <v>9696</v>
      </c>
      <c r="M7306" t="str">
        <f>VLOOKUP(L7306,[1]HBA!$B$2:$C$4000,2,FALSE)</f>
        <v>SSp</v>
      </c>
    </row>
    <row r="7307" spans="2:13" x14ac:dyDescent="0.25">
      <c r="B7307" s="31" t="s">
        <v>26303</v>
      </c>
      <c r="C7307" s="25" t="s">
        <v>26286</v>
      </c>
      <c r="D7307" s="25" t="s">
        <v>26232</v>
      </c>
      <c r="E7307" s="25"/>
      <c r="F7307" s="9" t="str">
        <f t="shared" si="107"/>
        <v>structure with developmental contribution from neural crest</v>
      </c>
      <c r="G7307" s="9" t="s">
        <v>5090</v>
      </c>
      <c r="H7307" s="9" t="s">
        <v>24412</v>
      </c>
      <c r="I7307" s="9" t="s">
        <v>13336</v>
      </c>
      <c r="J7307" s="9" t="s">
        <v>13337</v>
      </c>
      <c r="K7307" s="7" t="s">
        <v>15171</v>
      </c>
      <c r="L7307" s="13">
        <v>9698</v>
      </c>
      <c r="M7307" t="str">
        <f>VLOOKUP(L7307,[1]HBA!$B$2:$C$4000,2,FALSE)</f>
        <v>8Ve</v>
      </c>
    </row>
    <row r="7308" spans="2:13" x14ac:dyDescent="0.25">
      <c r="B7308" s="31" t="s">
        <v>26303</v>
      </c>
      <c r="C7308" s="25" t="s">
        <v>2745</v>
      </c>
      <c r="D7308" s="25" t="s">
        <v>26232</v>
      </c>
      <c r="E7308" s="25"/>
      <c r="F7308" s="9" t="str">
        <f t="shared" si="107"/>
        <v>structure with developmental contribution from neural crest</v>
      </c>
      <c r="G7308" s="9" t="s">
        <v>5090</v>
      </c>
      <c r="H7308" s="9" t="s">
        <v>24295</v>
      </c>
      <c r="I7308" s="9" t="s">
        <v>2747</v>
      </c>
      <c r="J7308" s="9" t="s">
        <v>2748</v>
      </c>
      <c r="K7308" s="7" t="s">
        <v>15171</v>
      </c>
      <c r="L7308" s="13">
        <v>9699</v>
      </c>
      <c r="M7308" t="str">
        <f>VLOOKUP(L7308,[1]HBA!$B$2:$C$4000,2,FALSE)</f>
        <v>LVe</v>
      </c>
    </row>
    <row r="7309" spans="2:13" x14ac:dyDescent="0.25">
      <c r="B7309" s="31" t="s">
        <v>26303</v>
      </c>
      <c r="C7309" s="25" t="s">
        <v>3042</v>
      </c>
      <c r="D7309" s="25" t="s">
        <v>26232</v>
      </c>
      <c r="E7309" s="25"/>
      <c r="F7309" s="9" t="str">
        <f t="shared" si="107"/>
        <v>structure with developmental contribution from neural crest</v>
      </c>
      <c r="G7309" s="9" t="s">
        <v>5090</v>
      </c>
      <c r="H7309" s="9" t="s">
        <v>24414</v>
      </c>
      <c r="I7309" s="9" t="s">
        <v>3044</v>
      </c>
      <c r="J7309" s="9" t="s">
        <v>3045</v>
      </c>
      <c r="K7309" s="7" t="s">
        <v>15171</v>
      </c>
      <c r="L7309" s="13">
        <v>9700</v>
      </c>
      <c r="M7309" t="str">
        <f>VLOOKUP(L7309,[1]HBA!$B$2:$C$4000,2,FALSE)</f>
        <v>MVe</v>
      </c>
    </row>
    <row r="7310" spans="2:13" x14ac:dyDescent="0.25">
      <c r="B7310" s="31" t="s">
        <v>26303</v>
      </c>
      <c r="C7310" s="25" t="s">
        <v>7387</v>
      </c>
      <c r="D7310" s="25" t="s">
        <v>26232</v>
      </c>
      <c r="E7310" s="25"/>
      <c r="F7310" s="9" t="str">
        <f t="shared" si="107"/>
        <v>structure with developmental contribution from neural crest</v>
      </c>
      <c r="G7310" s="9" t="s">
        <v>5090</v>
      </c>
      <c r="H7310" s="9" t="s">
        <v>24298</v>
      </c>
      <c r="I7310" s="9" t="s">
        <v>13338</v>
      </c>
      <c r="J7310" s="9" t="s">
        <v>13339</v>
      </c>
      <c r="K7310" s="7" t="s">
        <v>15171</v>
      </c>
      <c r="L7310" s="13">
        <v>9701</v>
      </c>
      <c r="M7310" t="str">
        <f>VLOOKUP(L7310,[1]HBA!$B$2:$C$4000,2,FALSE)</f>
        <v>SuVe</v>
      </c>
    </row>
    <row r="7311" spans="2:13" x14ac:dyDescent="0.25">
      <c r="B7311" s="31" t="s">
        <v>26303</v>
      </c>
      <c r="C7311" s="25" t="s">
        <v>25970</v>
      </c>
      <c r="D7311" s="25" t="s">
        <v>26232</v>
      </c>
      <c r="E7311" s="25"/>
      <c r="F7311" s="9" t="str">
        <f t="shared" si="107"/>
        <v>structure with developmental contribution from neural crest</v>
      </c>
      <c r="G7311" s="9" t="s">
        <v>5090</v>
      </c>
      <c r="H7311" s="9" t="s">
        <v>24417</v>
      </c>
      <c r="I7311" s="9" t="s">
        <v>2428</v>
      </c>
      <c r="J7311" s="9" t="s">
        <v>2429</v>
      </c>
      <c r="K7311" s="7" t="s">
        <v>15171</v>
      </c>
      <c r="L7311" s="13">
        <v>9702</v>
      </c>
      <c r="M7311" t="str">
        <f>VLOOKUP(L7311,[1]HBA!$B$2:$C$4000,2,FALSE)</f>
        <v>SpVe</v>
      </c>
    </row>
    <row r="7312" spans="2:13" x14ac:dyDescent="0.25">
      <c r="B7312" s="31" t="s">
        <v>26303</v>
      </c>
      <c r="C7312" s="25" t="s">
        <v>26286</v>
      </c>
      <c r="D7312" s="25" t="s">
        <v>26232</v>
      </c>
      <c r="E7312" s="25"/>
      <c r="F7312" s="9" t="str">
        <f t="shared" si="107"/>
        <v>structure with developmental contribution from neural crest</v>
      </c>
      <c r="G7312" s="9" t="s">
        <v>5090</v>
      </c>
      <c r="H7312" s="9" t="s">
        <v>24412</v>
      </c>
      <c r="I7312" s="9" t="s">
        <v>13340</v>
      </c>
      <c r="J7312" s="9" t="s">
        <v>13341</v>
      </c>
      <c r="K7312" s="7" t="s">
        <v>15171</v>
      </c>
      <c r="L7312" s="13">
        <v>9703</v>
      </c>
      <c r="M7312" t="str">
        <f>VLOOKUP(L7312,[1]HBA!$B$2:$C$4000,2,FALSE)</f>
        <v>8Ve</v>
      </c>
    </row>
    <row r="7313" spans="2:13" x14ac:dyDescent="0.25">
      <c r="B7313" s="31" t="s">
        <v>26303</v>
      </c>
      <c r="C7313" s="25" t="s">
        <v>2745</v>
      </c>
      <c r="D7313" s="25" t="s">
        <v>26232</v>
      </c>
      <c r="E7313" s="25"/>
      <c r="F7313" s="9" t="str">
        <f t="shared" si="107"/>
        <v>structure with developmental contribution from neural crest</v>
      </c>
      <c r="G7313" s="9" t="s">
        <v>5090</v>
      </c>
      <c r="H7313" s="9" t="s">
        <v>24295</v>
      </c>
      <c r="I7313" s="9" t="s">
        <v>13342</v>
      </c>
      <c r="J7313" s="9" t="s">
        <v>13343</v>
      </c>
      <c r="K7313" s="7" t="s">
        <v>15171</v>
      </c>
      <c r="L7313" s="13">
        <v>9704</v>
      </c>
      <c r="M7313" t="str">
        <f>VLOOKUP(L7313,[1]HBA!$B$2:$C$4000,2,FALSE)</f>
        <v>LVe</v>
      </c>
    </row>
    <row r="7314" spans="2:13" x14ac:dyDescent="0.25">
      <c r="B7314" s="31" t="s">
        <v>26303</v>
      </c>
      <c r="C7314" s="25" t="s">
        <v>3042</v>
      </c>
      <c r="D7314" s="25" t="s">
        <v>26232</v>
      </c>
      <c r="E7314" s="25"/>
      <c r="F7314" s="9" t="str">
        <f t="shared" si="107"/>
        <v>structure with developmental contribution from neural crest</v>
      </c>
      <c r="G7314" s="9" t="s">
        <v>5090</v>
      </c>
      <c r="H7314" s="9" t="s">
        <v>24414</v>
      </c>
      <c r="I7314" s="9" t="s">
        <v>13344</v>
      </c>
      <c r="J7314" s="9" t="s">
        <v>13345</v>
      </c>
      <c r="K7314" s="7" t="s">
        <v>15171</v>
      </c>
      <c r="L7314" s="13">
        <v>9705</v>
      </c>
      <c r="M7314" t="str">
        <f>VLOOKUP(L7314,[1]HBA!$B$2:$C$4000,2,FALSE)</f>
        <v>MVe</v>
      </c>
    </row>
    <row r="7315" spans="2:13" x14ac:dyDescent="0.25">
      <c r="B7315" s="31" t="s">
        <v>26303</v>
      </c>
      <c r="C7315" s="25" t="s">
        <v>7387</v>
      </c>
      <c r="D7315" s="25" t="s">
        <v>26232</v>
      </c>
      <c r="E7315" s="25"/>
      <c r="F7315" s="9" t="str">
        <f t="shared" si="107"/>
        <v>structure with developmental contribution from neural crest</v>
      </c>
      <c r="G7315" s="9" t="s">
        <v>5090</v>
      </c>
      <c r="H7315" s="9" t="s">
        <v>24298</v>
      </c>
      <c r="I7315" s="9" t="s">
        <v>13346</v>
      </c>
      <c r="J7315" s="9" t="s">
        <v>13347</v>
      </c>
      <c r="K7315" s="7" t="s">
        <v>15171</v>
      </c>
      <c r="L7315" s="13">
        <v>9706</v>
      </c>
      <c r="M7315" t="str">
        <f>VLOOKUP(L7315,[1]HBA!$B$2:$C$4000,2,FALSE)</f>
        <v>SuVe</v>
      </c>
    </row>
    <row r="7316" spans="2:13" x14ac:dyDescent="0.25">
      <c r="B7316" s="31" t="s">
        <v>26303</v>
      </c>
      <c r="C7316" s="25" t="s">
        <v>25970</v>
      </c>
      <c r="D7316" s="25" t="s">
        <v>26232</v>
      </c>
      <c r="E7316" s="25"/>
      <c r="F7316" s="9" t="str">
        <f t="shared" si="107"/>
        <v>structure with developmental contribution from neural crest</v>
      </c>
      <c r="G7316" s="9" t="s">
        <v>5090</v>
      </c>
      <c r="H7316" s="9" t="s">
        <v>24417</v>
      </c>
      <c r="I7316" s="9" t="s">
        <v>13348</v>
      </c>
      <c r="J7316" s="9" t="s">
        <v>13349</v>
      </c>
      <c r="K7316" s="7" t="s">
        <v>15171</v>
      </c>
      <c r="L7316" s="13">
        <v>9707</v>
      </c>
      <c r="M7316" t="str">
        <f>VLOOKUP(L7316,[1]HBA!$B$2:$C$4000,2,FALSE)</f>
        <v>SpVe</v>
      </c>
    </row>
    <row r="7317" spans="2:13" x14ac:dyDescent="0.25">
      <c r="B7317" s="31" t="s">
        <v>26303</v>
      </c>
      <c r="C7317" s="25" t="s">
        <v>26164</v>
      </c>
      <c r="D7317" s="25" t="s">
        <v>26185</v>
      </c>
      <c r="E7317" s="25" t="s">
        <v>26306</v>
      </c>
      <c r="F7317" s="9" t="str">
        <f t="shared" si="107"/>
        <v>structure with developmental contribution from neural crest</v>
      </c>
      <c r="G7317" s="9" t="s">
        <v>5090</v>
      </c>
      <c r="H7317" s="9" t="s">
        <v>18914</v>
      </c>
      <c r="I7317" s="9" t="s">
        <v>13350</v>
      </c>
      <c r="J7317" s="9" t="s">
        <v>13351</v>
      </c>
      <c r="K7317" s="3" t="s">
        <v>15176</v>
      </c>
      <c r="L7317" s="13">
        <v>1002</v>
      </c>
      <c r="M7317" t="str">
        <f>VLOOKUP(L7317,[1]Mouse_ARA!$B$2:$C$1328,2,FALSE)</f>
        <v>AUDp</v>
      </c>
    </row>
    <row r="7318" spans="2:13" x14ac:dyDescent="0.25">
      <c r="B7318" s="31" t="s">
        <v>26303</v>
      </c>
      <c r="C7318" s="25" t="s">
        <v>26164</v>
      </c>
      <c r="D7318" s="25" t="s">
        <v>26185</v>
      </c>
      <c r="E7318" s="25" t="s">
        <v>26306</v>
      </c>
      <c r="F7318" s="9" t="str">
        <f t="shared" si="107"/>
        <v>structure with developmental contribution from neural crest</v>
      </c>
      <c r="G7318" s="9" t="s">
        <v>5090</v>
      </c>
      <c r="H7318" s="9" t="s">
        <v>18926</v>
      </c>
      <c r="I7318" s="9" t="s">
        <v>13352</v>
      </c>
      <c r="J7318" s="9" t="s">
        <v>13353</v>
      </c>
      <c r="K7318" s="3" t="s">
        <v>15176</v>
      </c>
      <c r="L7318" s="13">
        <v>1005</v>
      </c>
      <c r="M7318" t="str">
        <f>VLOOKUP(L7318,[1]Mouse_ARA!$B$2:$C$1328,2,FALSE)</f>
        <v>AUDp6b</v>
      </c>
    </row>
    <row r="7319" spans="2:13" x14ac:dyDescent="0.25">
      <c r="B7319" s="31" t="s">
        <v>26303</v>
      </c>
      <c r="C7319" s="25" t="s">
        <v>26173</v>
      </c>
      <c r="D7319" s="25" t="s">
        <v>26232</v>
      </c>
      <c r="E7319" s="25" t="s">
        <v>26306</v>
      </c>
      <c r="F7319" s="9" t="str">
        <f t="shared" si="107"/>
        <v>structure with developmental contribution from neural crest</v>
      </c>
      <c r="G7319" s="9" t="s">
        <v>5090</v>
      </c>
      <c r="H7319" s="9" t="s">
        <v>18816</v>
      </c>
      <c r="I7319" s="9" t="s">
        <v>13354</v>
      </c>
      <c r="J7319" s="9" t="s">
        <v>13355</v>
      </c>
      <c r="K7319" s="3" t="s">
        <v>15176</v>
      </c>
      <c r="L7319" s="13">
        <v>1006</v>
      </c>
      <c r="M7319" t="str">
        <f>VLOOKUP(L7319,[1]Mouse_ARA!$B$2:$C$1328,2,FALSE)</f>
        <v>SSp-tr1</v>
      </c>
    </row>
    <row r="7320" spans="2:13" x14ac:dyDescent="0.25">
      <c r="B7320" s="31" t="s">
        <v>26303</v>
      </c>
      <c r="C7320" s="25" t="s">
        <v>7369</v>
      </c>
      <c r="D7320" s="25" t="s">
        <v>26185</v>
      </c>
      <c r="E7320" s="25"/>
      <c r="F7320" s="9" t="str">
        <f t="shared" si="107"/>
        <v>structure with developmental contribution from neural crest</v>
      </c>
      <c r="G7320" s="9" t="s">
        <v>5090</v>
      </c>
      <c r="H7320" s="9" t="s">
        <v>20405</v>
      </c>
      <c r="I7320" s="9" t="s">
        <v>7369</v>
      </c>
      <c r="J7320" s="9" t="s">
        <v>13356</v>
      </c>
      <c r="K7320" s="3" t="s">
        <v>15176</v>
      </c>
      <c r="L7320" s="13">
        <v>101</v>
      </c>
      <c r="M7320" t="str">
        <f>VLOOKUP(L7320,[1]Mouse_ARA!$B$2:$C$1328,2,FALSE)</f>
        <v>VCO</v>
      </c>
    </row>
    <row r="7321" spans="2:13" x14ac:dyDescent="0.25">
      <c r="B7321" s="31" t="s">
        <v>26303</v>
      </c>
      <c r="C7321" s="20"/>
      <c r="D7321" s="25" t="s">
        <v>26232</v>
      </c>
      <c r="E7321" s="25" t="s">
        <v>26307</v>
      </c>
      <c r="F7321" s="9" t="str">
        <f t="shared" si="107"/>
        <v>structure with developmental contribution from neural crest</v>
      </c>
      <c r="G7321" s="9" t="s">
        <v>5090</v>
      </c>
      <c r="H7321" s="9" t="s">
        <v>18876</v>
      </c>
      <c r="I7321" s="9" t="s">
        <v>13357</v>
      </c>
      <c r="J7321" s="9" t="s">
        <v>13358</v>
      </c>
      <c r="K7321" s="3" t="s">
        <v>15176</v>
      </c>
      <c r="L7321" s="13">
        <v>1010</v>
      </c>
      <c r="M7321" t="str">
        <f>VLOOKUP(L7321,[1]Mouse_ARA!$B$2:$C$1328,2,FALSE)</f>
        <v>VISC4</v>
      </c>
    </row>
    <row r="7322" spans="2:13" x14ac:dyDescent="0.25">
      <c r="B7322" s="31" t="s">
        <v>26299</v>
      </c>
      <c r="C7322" s="25" t="s">
        <v>25746</v>
      </c>
      <c r="D7322" s="25" t="s">
        <v>26232</v>
      </c>
      <c r="E7322" s="25" t="s">
        <v>26306</v>
      </c>
      <c r="F7322" s="9" t="str">
        <f t="shared" si="107"/>
        <v>structure with developmental contribution from neural crest</v>
      </c>
      <c r="G7322" s="9" t="s">
        <v>5090</v>
      </c>
      <c r="H7322" s="9" t="s">
        <v>19093</v>
      </c>
      <c r="I7322" s="9" t="s">
        <v>13359</v>
      </c>
      <c r="J7322" s="9" t="s">
        <v>13360</v>
      </c>
      <c r="K7322" s="3" t="s">
        <v>15176</v>
      </c>
      <c r="L7322" s="13">
        <v>1015</v>
      </c>
      <c r="M7322" t="str">
        <f>VLOOKUP(L7322,[1]Mouse_ARA!$B$2:$C$1328,2,FALSE)</f>
        <v>ACAd5</v>
      </c>
    </row>
    <row r="7323" spans="2:13" x14ac:dyDescent="0.25">
      <c r="B7323" s="31" t="s">
        <v>26303</v>
      </c>
      <c r="C7323" s="25" t="s">
        <v>26072</v>
      </c>
      <c r="D7323" s="25" t="s">
        <v>26232</v>
      </c>
      <c r="E7323" s="25"/>
      <c r="F7323" s="9" t="str">
        <f t="shared" si="107"/>
        <v>structure with developmental contribution from neural crest</v>
      </c>
      <c r="G7323" s="9" t="s">
        <v>5090</v>
      </c>
      <c r="H7323" s="9" t="s">
        <v>20727</v>
      </c>
      <c r="I7323" s="9" t="s">
        <v>3450</v>
      </c>
      <c r="J7323" s="9" t="s">
        <v>3451</v>
      </c>
      <c r="K7323" s="3" t="s">
        <v>15176</v>
      </c>
      <c r="L7323" s="13">
        <v>1016</v>
      </c>
      <c r="M7323" t="str">
        <f>VLOOKUP(L7323,[1]Mouse_ARA!$B$2:$C$1328,2,FALSE)</f>
        <v>onl</v>
      </c>
    </row>
    <row r="7324" spans="2:13" x14ac:dyDescent="0.25">
      <c r="B7324" s="31" t="s">
        <v>26303</v>
      </c>
      <c r="C7324" s="25" t="s">
        <v>25802</v>
      </c>
      <c r="D7324" s="25" t="s">
        <v>26185</v>
      </c>
      <c r="E7324" s="25" t="s">
        <v>26300</v>
      </c>
      <c r="F7324" s="9" t="str">
        <f t="shared" si="107"/>
        <v>structure with developmental contribution from neural crest</v>
      </c>
      <c r="G7324" s="9" t="s">
        <v>5090</v>
      </c>
      <c r="H7324" s="9" t="s">
        <v>18942</v>
      </c>
      <c r="I7324" s="9" t="s">
        <v>13361</v>
      </c>
      <c r="J7324" s="9" t="s">
        <v>13362</v>
      </c>
      <c r="K7324" s="3" t="s">
        <v>15176</v>
      </c>
      <c r="L7324" s="13">
        <v>1018</v>
      </c>
      <c r="M7324" t="str">
        <f>VLOOKUP(L7324,[1]Mouse_ARA!$B$2:$C$1328,2,FALSE)</f>
        <v>AUDv</v>
      </c>
    </row>
    <row r="7325" spans="2:13" x14ac:dyDescent="0.25">
      <c r="B7325" s="31" t="s">
        <v>26303</v>
      </c>
      <c r="C7325" s="25" t="s">
        <v>1370</v>
      </c>
      <c r="D7325" s="25" t="s">
        <v>26232</v>
      </c>
      <c r="E7325" s="25"/>
      <c r="F7325" s="9" t="str">
        <f t="shared" si="107"/>
        <v>structure with developmental contribution from neural crest</v>
      </c>
      <c r="G7325" s="9" t="s">
        <v>5090</v>
      </c>
      <c r="H7325" s="9" t="s">
        <v>20837</v>
      </c>
      <c r="I7325" s="9" t="s">
        <v>2571</v>
      </c>
      <c r="J7325" s="9" t="s">
        <v>2572</v>
      </c>
      <c r="K7325" s="3" t="s">
        <v>15176</v>
      </c>
      <c r="L7325" s="13">
        <v>1019</v>
      </c>
      <c r="M7325" t="str">
        <f>VLOOKUP(L7325,[1]Mouse_ARA!$B$2:$C$1328,2,FALSE)</f>
        <v>cstc</v>
      </c>
    </row>
    <row r="7326" spans="2:13" x14ac:dyDescent="0.25">
      <c r="B7326" s="31" t="s">
        <v>26299</v>
      </c>
      <c r="C7326" s="25" t="s">
        <v>26157</v>
      </c>
      <c r="D7326" s="25" t="s">
        <v>26232</v>
      </c>
      <c r="E7326" s="25" t="s">
        <v>26306</v>
      </c>
      <c r="F7326" s="9" t="str">
        <f t="shared" si="107"/>
        <v>structure with developmental contribution from neural crest</v>
      </c>
      <c r="G7326" s="9" t="s">
        <v>5090</v>
      </c>
      <c r="H7326" s="9" t="s">
        <v>18699</v>
      </c>
      <c r="I7326" s="9" t="s">
        <v>13363</v>
      </c>
      <c r="J7326" s="9" t="s">
        <v>13364</v>
      </c>
      <c r="K7326" s="3" t="s">
        <v>15176</v>
      </c>
      <c r="L7326" s="13">
        <v>1021</v>
      </c>
      <c r="M7326" t="str">
        <f>VLOOKUP(L7326,[1]Mouse_ARA!$B$2:$C$1328,2,FALSE)</f>
        <v>MOs6a</v>
      </c>
    </row>
    <row r="7327" spans="2:13" x14ac:dyDescent="0.25">
      <c r="B7327" s="31" t="s">
        <v>26303</v>
      </c>
      <c r="C7327" s="25" t="s">
        <v>25989</v>
      </c>
      <c r="D7327" s="25" t="s">
        <v>26232</v>
      </c>
      <c r="E7327" s="25"/>
      <c r="F7327" s="9" t="str">
        <f t="shared" si="107"/>
        <v>structure with developmental contribution from neural crest</v>
      </c>
      <c r="G7327" s="9" t="s">
        <v>5090</v>
      </c>
      <c r="H7327" s="9" t="s">
        <v>19816</v>
      </c>
      <c r="I7327" s="9" t="s">
        <v>2593</v>
      </c>
      <c r="J7327" s="9" t="s">
        <v>2595</v>
      </c>
      <c r="K7327" s="3" t="s">
        <v>15176</v>
      </c>
      <c r="L7327" s="13">
        <v>1022</v>
      </c>
      <c r="M7327" t="str">
        <f>VLOOKUP(L7327,[1]Mouse_ARA!$B$2:$C$1328,2,FALSE)</f>
        <v>GPe</v>
      </c>
    </row>
    <row r="7328" spans="2:13" x14ac:dyDescent="0.25">
      <c r="B7328" s="31" t="s">
        <v>26303</v>
      </c>
      <c r="C7328" s="25" t="s">
        <v>25802</v>
      </c>
      <c r="D7328" s="25" t="s">
        <v>26185</v>
      </c>
      <c r="E7328" s="25" t="s">
        <v>26307</v>
      </c>
      <c r="F7328" s="9" t="str">
        <f t="shared" si="107"/>
        <v>structure with developmental contribution from neural crest</v>
      </c>
      <c r="G7328" s="9" t="s">
        <v>5090</v>
      </c>
      <c r="H7328" s="9" t="s">
        <v>18950</v>
      </c>
      <c r="I7328" s="9" t="s">
        <v>13365</v>
      </c>
      <c r="J7328" s="9" t="s">
        <v>13366</v>
      </c>
      <c r="K7328" s="3" t="s">
        <v>15176</v>
      </c>
      <c r="L7328" s="13">
        <v>1023</v>
      </c>
      <c r="M7328" t="str">
        <f>VLOOKUP(L7328,[1]Mouse_ARA!$B$2:$C$1328,2,FALSE)</f>
        <v>AUDv5</v>
      </c>
    </row>
    <row r="7329" spans="2:13" x14ac:dyDescent="0.25">
      <c r="B7329" s="31" t="s">
        <v>26303</v>
      </c>
      <c r="C7329" s="25" t="s">
        <v>26173</v>
      </c>
      <c r="D7329" s="25" t="s">
        <v>26232</v>
      </c>
      <c r="E7329" s="25" t="s">
        <v>26306</v>
      </c>
      <c r="F7329" s="9" t="str">
        <f t="shared" si="107"/>
        <v>structure with developmental contribution from neural crest</v>
      </c>
      <c r="G7329" s="9" t="s">
        <v>5090</v>
      </c>
      <c r="H7329" s="9" t="s">
        <v>18812</v>
      </c>
      <c r="I7329" s="9" t="s">
        <v>13367</v>
      </c>
      <c r="J7329" s="9" t="s">
        <v>13368</v>
      </c>
      <c r="K7329" s="3" t="s">
        <v>15176</v>
      </c>
      <c r="L7329" s="13">
        <v>1026</v>
      </c>
      <c r="M7329" t="str">
        <f>VLOOKUP(L7329,[1]Mouse_ARA!$B$2:$C$1328,2,FALSE)</f>
        <v>SSp-ul6b</v>
      </c>
    </row>
    <row r="7330" spans="2:13" x14ac:dyDescent="0.25">
      <c r="B7330" s="31" t="s">
        <v>26303</v>
      </c>
      <c r="C7330" s="25" t="s">
        <v>25802</v>
      </c>
      <c r="D7330" s="25" t="s">
        <v>26185</v>
      </c>
      <c r="E7330" s="25" t="s">
        <v>26300</v>
      </c>
      <c r="F7330" s="9" t="str">
        <f t="shared" si="107"/>
        <v>structure with developmental contribution from neural crest</v>
      </c>
      <c r="G7330" s="9" t="s">
        <v>5090</v>
      </c>
      <c r="H7330" s="9" t="s">
        <v>18928</v>
      </c>
      <c r="I7330" s="9" t="s">
        <v>13369</v>
      </c>
      <c r="J7330" s="9" t="s">
        <v>13370</v>
      </c>
      <c r="K7330" s="3" t="s">
        <v>15176</v>
      </c>
      <c r="L7330" s="13">
        <v>1027</v>
      </c>
      <c r="M7330" t="str">
        <f>VLOOKUP(L7330,[1]Mouse_ARA!$B$2:$C$1328,2,FALSE)</f>
        <v>AUDpo</v>
      </c>
    </row>
    <row r="7331" spans="2:13" x14ac:dyDescent="0.25">
      <c r="B7331" s="31" t="s">
        <v>26303</v>
      </c>
      <c r="C7331" s="25" t="s">
        <v>26173</v>
      </c>
      <c r="D7331" s="25" t="s">
        <v>26232</v>
      </c>
      <c r="E7331" s="25" t="s">
        <v>26306</v>
      </c>
      <c r="F7331" s="9" t="str">
        <f t="shared" si="107"/>
        <v>structure with developmental contribution from neural crest</v>
      </c>
      <c r="G7331" s="9" t="s">
        <v>5090</v>
      </c>
      <c r="H7331" s="9" t="s">
        <v>18774</v>
      </c>
      <c r="I7331" s="9" t="s">
        <v>13371</v>
      </c>
      <c r="J7331" s="9" t="s">
        <v>13372</v>
      </c>
      <c r="K7331" s="3" t="s">
        <v>15176</v>
      </c>
      <c r="L7331" s="13">
        <v>1030</v>
      </c>
      <c r="M7331" t="str">
        <f>VLOOKUP(L7331,[1]Mouse_ARA!$B$2:$C$1328,2,FALSE)</f>
        <v>SSp-ll1</v>
      </c>
    </row>
    <row r="7332" spans="2:13" x14ac:dyDescent="0.25">
      <c r="B7332" s="31" t="s">
        <v>26303</v>
      </c>
      <c r="C7332" s="25" t="s">
        <v>26022</v>
      </c>
      <c r="D7332" s="25" t="s">
        <v>26232</v>
      </c>
      <c r="E7332" s="25"/>
      <c r="F7332" s="9" t="str">
        <f t="shared" si="107"/>
        <v>structure with developmental contribution from neural crest</v>
      </c>
      <c r="G7332" s="9" t="s">
        <v>5090</v>
      </c>
      <c r="H7332" s="9" t="s">
        <v>19818</v>
      </c>
      <c r="I7332" s="9" t="s">
        <v>2915</v>
      </c>
      <c r="J7332" s="9" t="s">
        <v>2917</v>
      </c>
      <c r="K7332" s="3" t="s">
        <v>15176</v>
      </c>
      <c r="L7332" s="13">
        <v>1031</v>
      </c>
      <c r="M7332" t="str">
        <f>VLOOKUP(L7332,[1]Mouse_ARA!$B$2:$C$1328,2,FALSE)</f>
        <v>GPi</v>
      </c>
    </row>
    <row r="7333" spans="2:13" x14ac:dyDescent="0.25">
      <c r="B7333" s="31" t="s">
        <v>26303</v>
      </c>
      <c r="C7333" s="25" t="s">
        <v>26252</v>
      </c>
      <c r="D7333" s="25" t="s">
        <v>26232</v>
      </c>
      <c r="E7333" s="25" t="s">
        <v>26306</v>
      </c>
      <c r="F7333" s="9" t="str">
        <f t="shared" si="107"/>
        <v>structure with developmental contribution from neural crest</v>
      </c>
      <c r="G7333" s="9" t="s">
        <v>5090</v>
      </c>
      <c r="H7333" s="9" t="s">
        <v>19435</v>
      </c>
      <c r="I7333" s="9" t="s">
        <v>13373</v>
      </c>
      <c r="J7333" s="9" t="s">
        <v>13374</v>
      </c>
      <c r="K7333" s="3" t="s">
        <v>15176</v>
      </c>
      <c r="L7333" s="13">
        <v>1034</v>
      </c>
      <c r="M7333" t="str">
        <f>VLOOKUP(L7333,[1]Mouse_ARA!$B$2:$C$1328,2,FALSE)</f>
        <v>TTd1</v>
      </c>
    </row>
    <row r="7334" spans="2:13" x14ac:dyDescent="0.25">
      <c r="B7334" s="31" t="s">
        <v>26303</v>
      </c>
      <c r="C7334" s="25" t="s">
        <v>26216</v>
      </c>
      <c r="D7334" s="25" t="s">
        <v>26232</v>
      </c>
      <c r="E7334" s="25" t="s">
        <v>26306</v>
      </c>
      <c r="F7334" s="9" t="str">
        <f t="shared" si="107"/>
        <v>structure with developmental contribution from neural crest</v>
      </c>
      <c r="G7334" s="9" t="s">
        <v>5090</v>
      </c>
      <c r="H7334" s="9" t="s">
        <v>18848</v>
      </c>
      <c r="I7334" s="9" t="s">
        <v>13375</v>
      </c>
      <c r="J7334" s="9" t="s">
        <v>13376</v>
      </c>
      <c r="K7334" s="3" t="s">
        <v>15176</v>
      </c>
      <c r="L7334" s="13">
        <v>1035</v>
      </c>
      <c r="M7334" t="str">
        <f>VLOOKUP(L7334,[1]Mouse_ARA!$B$2:$C$1328,2,FALSE)</f>
        <v>SSs4</v>
      </c>
    </row>
    <row r="7335" spans="2:13" x14ac:dyDescent="0.25">
      <c r="B7335" s="31" t="s">
        <v>26303</v>
      </c>
      <c r="C7335" s="25" t="s">
        <v>26171</v>
      </c>
      <c r="D7335" s="25" t="s">
        <v>26232</v>
      </c>
      <c r="E7335" s="25" t="s">
        <v>26306</v>
      </c>
      <c r="F7335" s="9" t="str">
        <f t="shared" si="107"/>
        <v>structure with developmental contribution from neural crest</v>
      </c>
      <c r="G7335" s="9" t="s">
        <v>5090</v>
      </c>
      <c r="H7335" s="9" t="s">
        <v>18754</v>
      </c>
      <c r="I7335" s="9" t="s">
        <v>4151</v>
      </c>
      <c r="J7335" s="9" t="s">
        <v>4152</v>
      </c>
      <c r="K7335" s="3" t="s">
        <v>15176</v>
      </c>
      <c r="L7335" s="13">
        <v>1038</v>
      </c>
      <c r="M7335" t="str">
        <f>VLOOKUP(L7335,[1]Mouse_ARA!$B$2:$C$1328,2,FALSE)</f>
        <v>SSp-bfd6a</v>
      </c>
    </row>
    <row r="7336" spans="2:13" x14ac:dyDescent="0.25">
      <c r="B7336" s="31" t="s">
        <v>26303</v>
      </c>
      <c r="C7336" s="25" t="s">
        <v>25771</v>
      </c>
      <c r="D7336" s="25" t="s">
        <v>26232</v>
      </c>
      <c r="E7336" s="25"/>
      <c r="F7336" s="9" t="str">
        <f t="shared" si="107"/>
        <v>structure with developmental contribution from neural crest</v>
      </c>
      <c r="G7336" s="9" t="s">
        <v>5090</v>
      </c>
      <c r="H7336" s="9" t="s">
        <v>19193</v>
      </c>
      <c r="I7336" s="9" t="s">
        <v>13377</v>
      </c>
      <c r="J7336" s="9" t="s">
        <v>13378</v>
      </c>
      <c r="K7336" s="3" t="s">
        <v>15176</v>
      </c>
      <c r="L7336" s="13">
        <v>104</v>
      </c>
      <c r="M7336" t="str">
        <f>VLOOKUP(L7336,[1]Mouse_ARA!$B$2:$C$1328,2,FALSE)</f>
        <v>AId</v>
      </c>
    </row>
    <row r="7337" spans="2:13" x14ac:dyDescent="0.25">
      <c r="B7337" s="31" t="s">
        <v>26303</v>
      </c>
      <c r="C7337" s="25" t="s">
        <v>26252</v>
      </c>
      <c r="D7337" s="25" t="s">
        <v>26232</v>
      </c>
      <c r="E7337" s="25" t="s">
        <v>26306</v>
      </c>
      <c r="F7337" s="9" t="str">
        <f t="shared" si="107"/>
        <v>structure with developmental contribution from neural crest</v>
      </c>
      <c r="G7337" s="9" t="s">
        <v>5090</v>
      </c>
      <c r="H7337" s="9" t="s">
        <v>19437</v>
      </c>
      <c r="I7337" s="9" t="s">
        <v>13379</v>
      </c>
      <c r="J7337" s="9" t="s">
        <v>13380</v>
      </c>
      <c r="K7337" s="3" t="s">
        <v>15176</v>
      </c>
      <c r="L7337" s="13">
        <v>1042</v>
      </c>
      <c r="M7337" t="str">
        <f>VLOOKUP(L7337,[1]Mouse_ARA!$B$2:$C$1328,2,FALSE)</f>
        <v>TTd2</v>
      </c>
    </row>
    <row r="7338" spans="2:13" x14ac:dyDescent="0.25">
      <c r="B7338" s="31" t="s">
        <v>26303</v>
      </c>
      <c r="C7338" s="25" t="s">
        <v>1765</v>
      </c>
      <c r="D7338" s="25" t="s">
        <v>26232</v>
      </c>
      <c r="E7338" s="25" t="s">
        <v>26306</v>
      </c>
      <c r="F7338" s="9" t="str">
        <f t="shared" si="107"/>
        <v>structure with developmental contribution from neural crest</v>
      </c>
      <c r="G7338" s="9" t="s">
        <v>5090</v>
      </c>
      <c r="H7338" s="9" t="s">
        <v>19390</v>
      </c>
      <c r="I7338" s="9" t="s">
        <v>13381</v>
      </c>
      <c r="J7338" s="9" t="s">
        <v>13382</v>
      </c>
      <c r="K7338" s="3" t="s">
        <v>15176</v>
      </c>
      <c r="L7338" s="13">
        <v>1045</v>
      </c>
      <c r="M7338" t="str">
        <f>VLOOKUP(L7338,[1]Mouse_ARA!$B$2:$C$1328,2,FALSE)</f>
        <v>ECT6b</v>
      </c>
    </row>
    <row r="7339" spans="2:13" x14ac:dyDescent="0.25">
      <c r="B7339" s="31" t="s">
        <v>26303</v>
      </c>
      <c r="C7339" s="20"/>
      <c r="D7339" s="25" t="s">
        <v>26232</v>
      </c>
      <c r="E7339" s="25" t="s">
        <v>26307</v>
      </c>
      <c r="F7339" s="9" t="str">
        <f t="shared" si="107"/>
        <v>structure with developmental contribution from neural crest</v>
      </c>
      <c r="G7339" s="9" t="s">
        <v>5090</v>
      </c>
      <c r="H7339" s="9" t="s">
        <v>18994</v>
      </c>
      <c r="I7339" s="9" t="s">
        <v>13383</v>
      </c>
      <c r="J7339" s="9" t="s">
        <v>13384</v>
      </c>
      <c r="K7339" s="3" t="s">
        <v>15176</v>
      </c>
      <c r="L7339" s="13">
        <v>1046</v>
      </c>
      <c r="M7339" t="str">
        <f>VLOOKUP(L7339,[1]Mouse_ARA!$B$2:$C$1328,2,FALSE)</f>
        <v>VISam6a</v>
      </c>
    </row>
    <row r="7340" spans="2:13" x14ac:dyDescent="0.25">
      <c r="B7340" s="31" t="s">
        <v>26303</v>
      </c>
      <c r="C7340" s="25" t="s">
        <v>26169</v>
      </c>
      <c r="D7340" s="25" t="s">
        <v>26232</v>
      </c>
      <c r="E7340" s="25" t="s">
        <v>26306</v>
      </c>
      <c r="F7340" s="9" t="str">
        <f t="shared" si="107"/>
        <v>structure with developmental contribution from neural crest</v>
      </c>
      <c r="G7340" s="9" t="s">
        <v>5090</v>
      </c>
      <c r="H7340" s="9" t="s">
        <v>18750</v>
      </c>
      <c r="I7340" s="9" t="s">
        <v>4145</v>
      </c>
      <c r="J7340" s="9" t="s">
        <v>4146</v>
      </c>
      <c r="K7340" s="3" t="s">
        <v>15176</v>
      </c>
      <c r="L7340" s="13">
        <v>1047</v>
      </c>
      <c r="M7340" t="str">
        <f>VLOOKUP(L7340,[1]Mouse_ARA!$B$2:$C$1328,2,FALSE)</f>
        <v>SSp-bfd4</v>
      </c>
    </row>
    <row r="7341" spans="2:13" x14ac:dyDescent="0.25">
      <c r="B7341" s="31" t="s">
        <v>26303</v>
      </c>
      <c r="C7341" s="25" t="s">
        <v>25947</v>
      </c>
      <c r="D7341" s="25" t="s">
        <v>26232</v>
      </c>
      <c r="E7341" s="25"/>
      <c r="F7341" s="9" t="str">
        <f t="shared" si="107"/>
        <v>structure with developmental contribution from neural crest</v>
      </c>
      <c r="G7341" s="9" t="s">
        <v>5090</v>
      </c>
      <c r="H7341" s="9" t="s">
        <v>20470</v>
      </c>
      <c r="I7341" s="9" t="s">
        <v>2076</v>
      </c>
      <c r="J7341" s="9" t="s">
        <v>2077</v>
      </c>
      <c r="K7341" s="3" t="s">
        <v>15176</v>
      </c>
      <c r="L7341" s="13">
        <v>1048</v>
      </c>
      <c r="M7341" t="str">
        <f>VLOOKUP(L7341,[1]Mouse_ARA!$B$2:$C$1328,2,FALSE)</f>
        <v>GRN</v>
      </c>
    </row>
    <row r="7342" spans="2:13" x14ac:dyDescent="0.25">
      <c r="B7342" s="31" t="s">
        <v>26303</v>
      </c>
      <c r="C7342" s="25" t="s">
        <v>13809</v>
      </c>
      <c r="D7342" s="25" t="s">
        <v>26232</v>
      </c>
      <c r="E7342" s="25"/>
      <c r="F7342" s="9" t="str">
        <f t="shared" si="107"/>
        <v>structure with developmental contribution from neural crest</v>
      </c>
      <c r="G7342" s="9" t="s">
        <v>5090</v>
      </c>
      <c r="H7342" s="9" t="s">
        <v>20334</v>
      </c>
      <c r="I7342" s="9" t="s">
        <v>3039</v>
      </c>
      <c r="J7342" s="9" t="s">
        <v>3040</v>
      </c>
      <c r="K7342" s="3" t="s">
        <v>15176</v>
      </c>
      <c r="L7342" s="13">
        <v>105</v>
      </c>
      <c r="M7342" t="str">
        <f>VLOOKUP(L7342,[1]Mouse_ARA!$B$2:$C$1328,2,FALSE)</f>
        <v>SOCm</v>
      </c>
    </row>
    <row r="7343" spans="2:13" x14ac:dyDescent="0.25">
      <c r="B7343" s="31" t="s">
        <v>26303</v>
      </c>
      <c r="C7343" s="25" t="s">
        <v>26252</v>
      </c>
      <c r="D7343" s="25" t="s">
        <v>26232</v>
      </c>
      <c r="E7343" s="25" t="s">
        <v>26306</v>
      </c>
      <c r="F7343" s="9" t="str">
        <f t="shared" si="107"/>
        <v>structure with developmental contribution from neural crest</v>
      </c>
      <c r="G7343" s="9" t="s">
        <v>5090</v>
      </c>
      <c r="H7343" s="9" t="s">
        <v>19439</v>
      </c>
      <c r="I7343" s="9" t="s">
        <v>13385</v>
      </c>
      <c r="J7343" s="9" t="s">
        <v>13386</v>
      </c>
      <c r="K7343" s="3" t="s">
        <v>15176</v>
      </c>
      <c r="L7343" s="13">
        <v>1050</v>
      </c>
      <c r="M7343" t="str">
        <f>VLOOKUP(L7343,[1]Mouse_ARA!$B$2:$C$1328,2,FALSE)</f>
        <v>TTd3</v>
      </c>
    </row>
    <row r="7344" spans="2:13" x14ac:dyDescent="0.25">
      <c r="B7344" s="31" t="s">
        <v>26303</v>
      </c>
      <c r="C7344" s="25" t="s">
        <v>2266</v>
      </c>
      <c r="D7344" s="25" t="s">
        <v>26232</v>
      </c>
      <c r="E7344" s="25"/>
      <c r="F7344" s="9" t="str">
        <f t="shared" si="107"/>
        <v>structure with developmental contribution from neural crest</v>
      </c>
      <c r="G7344" s="9" t="s">
        <v>5090</v>
      </c>
      <c r="H7344" s="9" t="s">
        <v>20271</v>
      </c>
      <c r="I7344" s="9" t="s">
        <v>2274</v>
      </c>
      <c r="J7344" s="9" t="s">
        <v>2275</v>
      </c>
      <c r="K7344" s="3" t="s">
        <v>15176</v>
      </c>
      <c r="L7344" s="13">
        <v>1052</v>
      </c>
      <c r="M7344" t="str">
        <f>VLOOKUP(L7344,[1]Mouse_ARA!$B$2:$C$1328,2,FALSE)</f>
        <v>PPN</v>
      </c>
    </row>
    <row r="7345" spans="2:13" x14ac:dyDescent="0.25">
      <c r="B7345" s="31" t="s">
        <v>26299</v>
      </c>
      <c r="C7345" s="25" t="s">
        <v>25746</v>
      </c>
      <c r="D7345" s="25" t="s">
        <v>26232</v>
      </c>
      <c r="E7345" s="25" t="s">
        <v>26306</v>
      </c>
      <c r="F7345" s="9" t="str">
        <f t="shared" si="107"/>
        <v>structure with developmental contribution from neural crest</v>
      </c>
      <c r="G7345" s="9" t="s">
        <v>5090</v>
      </c>
      <c r="H7345" s="9" t="s">
        <v>19079</v>
      </c>
      <c r="I7345" s="9" t="s">
        <v>13387</v>
      </c>
      <c r="J7345" s="9" t="s">
        <v>13388</v>
      </c>
      <c r="K7345" s="3" t="s">
        <v>15176</v>
      </c>
      <c r="L7345" s="13">
        <v>1053</v>
      </c>
      <c r="M7345" t="str">
        <f>VLOOKUP(L7345,[1]Mouse_ARA!$B$2:$C$1328,2,FALSE)</f>
        <v>ACA2/3</v>
      </c>
    </row>
    <row r="7346" spans="2:13" x14ac:dyDescent="0.25">
      <c r="B7346" s="31" t="s">
        <v>26303</v>
      </c>
      <c r="C7346" s="20"/>
      <c r="D7346" s="25" t="s">
        <v>26232</v>
      </c>
      <c r="E7346" s="25" t="s">
        <v>26307</v>
      </c>
      <c r="F7346" s="9" t="str">
        <f t="shared" si="107"/>
        <v>structure with developmental contribution from neural crest</v>
      </c>
      <c r="G7346" s="9" t="s">
        <v>5090</v>
      </c>
      <c r="H7346" s="9" t="s">
        <v>19135</v>
      </c>
      <c r="I7346" s="9" t="s">
        <v>13389</v>
      </c>
      <c r="J7346" s="9" t="s">
        <v>13390</v>
      </c>
      <c r="K7346" s="3" t="s">
        <v>15176</v>
      </c>
      <c r="L7346" s="13">
        <v>1054</v>
      </c>
      <c r="M7346" t="str">
        <f>VLOOKUP(L7346,[1]Mouse_ARA!$B$2:$C$1328,2,FALSE)</f>
        <v>ILA6a</v>
      </c>
    </row>
    <row r="7347" spans="2:13" x14ac:dyDescent="0.25">
      <c r="B7347" s="31" t="s">
        <v>26303</v>
      </c>
      <c r="C7347" s="20"/>
      <c r="D7347" s="25" t="s">
        <v>26232</v>
      </c>
      <c r="E7347" s="25" t="s">
        <v>26309</v>
      </c>
      <c r="F7347" s="9" t="str">
        <f t="shared" si="107"/>
        <v>structure with developmental contribution from neural crest</v>
      </c>
      <c r="G7347" s="9" t="s">
        <v>5090</v>
      </c>
      <c r="H7347" s="9" t="s">
        <v>18856</v>
      </c>
      <c r="I7347" s="9" t="s">
        <v>13391</v>
      </c>
      <c r="J7347" s="9" t="s">
        <v>13392</v>
      </c>
      <c r="K7347" s="3" t="s">
        <v>15176</v>
      </c>
      <c r="L7347" s="13">
        <v>1057</v>
      </c>
      <c r="M7347" t="str">
        <f>VLOOKUP(L7347,[1]Mouse_ARA!$B$2:$C$1328,2,FALSE)</f>
        <v>GU</v>
      </c>
    </row>
    <row r="7348" spans="2:13" x14ac:dyDescent="0.25">
      <c r="B7348" s="31" t="s">
        <v>26303</v>
      </c>
      <c r="C7348" s="20"/>
      <c r="D7348" s="25" t="s">
        <v>26232</v>
      </c>
      <c r="E7348" s="25" t="s">
        <v>26307</v>
      </c>
      <c r="F7348" s="9" t="str">
        <f t="shared" si="107"/>
        <v>structure with developmental contribution from neural crest</v>
      </c>
      <c r="G7348" s="9" t="s">
        <v>5090</v>
      </c>
      <c r="H7348" s="9" t="s">
        <v>18878</v>
      </c>
      <c r="I7348" s="9" t="s">
        <v>13393</v>
      </c>
      <c r="J7348" s="9" t="s">
        <v>13394</v>
      </c>
      <c r="K7348" s="3" t="s">
        <v>15176</v>
      </c>
      <c r="L7348" s="13">
        <v>1058</v>
      </c>
      <c r="M7348" t="str">
        <f>VLOOKUP(L7348,[1]Mouse_ARA!$B$2:$C$1328,2,FALSE)</f>
        <v>VISC5</v>
      </c>
    </row>
    <row r="7349" spans="2:13" x14ac:dyDescent="0.25">
      <c r="B7349" s="31" t="s">
        <v>26303</v>
      </c>
      <c r="C7349" s="25" t="s">
        <v>26252</v>
      </c>
      <c r="D7349" s="25" t="s">
        <v>26232</v>
      </c>
      <c r="E7349" s="25" t="s">
        <v>26306</v>
      </c>
      <c r="F7349" s="9" t="str">
        <f t="shared" si="107"/>
        <v>structure with developmental contribution from neural crest</v>
      </c>
      <c r="G7349" s="9" t="s">
        <v>5090</v>
      </c>
      <c r="H7349" s="9" t="s">
        <v>19441</v>
      </c>
      <c r="I7349" s="9" t="s">
        <v>13395</v>
      </c>
      <c r="J7349" s="9" t="s">
        <v>13396</v>
      </c>
      <c r="K7349" s="3" t="s">
        <v>15176</v>
      </c>
      <c r="L7349" s="13">
        <v>1059</v>
      </c>
      <c r="M7349" t="str">
        <f>VLOOKUP(L7349,[1]Mouse_ARA!$B$2:$C$1328,2,FALSE)</f>
        <v>TTd4</v>
      </c>
    </row>
    <row r="7350" spans="2:13" x14ac:dyDescent="0.25">
      <c r="B7350" s="31" t="s">
        <v>26303</v>
      </c>
      <c r="C7350" s="25" t="s">
        <v>2411</v>
      </c>
      <c r="D7350" s="25" t="s">
        <v>26232</v>
      </c>
      <c r="E7350" s="25"/>
      <c r="F7350" s="9" t="str">
        <f t="shared" si="107"/>
        <v>structure with developmental contribution from neural crest</v>
      </c>
      <c r="G7350" s="9" t="s">
        <v>5090</v>
      </c>
      <c r="H7350" s="9" t="s">
        <v>20478</v>
      </c>
      <c r="I7350" s="9" t="s">
        <v>2411</v>
      </c>
      <c r="J7350" s="9" t="s">
        <v>2414</v>
      </c>
      <c r="K7350" s="3" t="s">
        <v>15176</v>
      </c>
      <c r="L7350" s="13">
        <v>106</v>
      </c>
      <c r="M7350" t="str">
        <f>VLOOKUP(L7350,[1]Mouse_ARA!$B$2:$C$1328,2,FALSE)</f>
        <v>ISN</v>
      </c>
    </row>
    <row r="7351" spans="2:13" x14ac:dyDescent="0.25">
      <c r="B7351" s="31" t="s">
        <v>26303</v>
      </c>
      <c r="C7351" s="25" t="s">
        <v>26172</v>
      </c>
      <c r="D7351" s="25" t="s">
        <v>26232</v>
      </c>
      <c r="E7351" s="25" t="s">
        <v>26306</v>
      </c>
      <c r="F7351" s="9" t="str">
        <f t="shared" ref="F7351:F7414" si="108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7351" s="9" t="s">
        <v>5090</v>
      </c>
      <c r="H7351" s="9" t="s">
        <v>18756</v>
      </c>
      <c r="I7351" s="9" t="s">
        <v>4154</v>
      </c>
      <c r="J7351" s="9" t="s">
        <v>4155</v>
      </c>
      <c r="K7351" s="3" t="s">
        <v>15176</v>
      </c>
      <c r="L7351" s="13">
        <v>1062</v>
      </c>
      <c r="M7351" t="str">
        <f>VLOOKUP(L7351,[1]Mouse_ARA!$B$2:$C$1328,2,FALSE)</f>
        <v>SSp-bfd6b</v>
      </c>
    </row>
    <row r="7352" spans="2:13" x14ac:dyDescent="0.25">
      <c r="B7352" s="31" t="s">
        <v>26303</v>
      </c>
      <c r="C7352" s="20"/>
      <c r="D7352" s="25" t="s">
        <v>26232</v>
      </c>
      <c r="E7352" s="25" t="s">
        <v>26307</v>
      </c>
      <c r="F7352" s="9" t="str">
        <f t="shared" si="108"/>
        <v>structure with developmental contribution from neural crest</v>
      </c>
      <c r="G7352" s="9" t="s">
        <v>5090</v>
      </c>
      <c r="H7352" s="9" t="s">
        <v>18988</v>
      </c>
      <c r="I7352" s="9" t="s">
        <v>13397</v>
      </c>
      <c r="J7352" s="9" t="s">
        <v>13398</v>
      </c>
      <c r="K7352" s="3" t="s">
        <v>15176</v>
      </c>
      <c r="L7352" s="13">
        <v>1066</v>
      </c>
      <c r="M7352" t="str">
        <f>VLOOKUP(L7352,[1]Mouse_ARA!$B$2:$C$1328,2,FALSE)</f>
        <v>VISam2/3</v>
      </c>
    </row>
    <row r="7353" spans="2:13" x14ac:dyDescent="0.25">
      <c r="B7353" s="31" t="s">
        <v>26303</v>
      </c>
      <c r="C7353" s="25" t="s">
        <v>26252</v>
      </c>
      <c r="D7353" s="25" t="s">
        <v>26232</v>
      </c>
      <c r="E7353" s="25" t="s">
        <v>26306</v>
      </c>
      <c r="F7353" s="9" t="str">
        <f t="shared" si="108"/>
        <v>structure with developmental contribution from neural crest</v>
      </c>
      <c r="G7353" s="9" t="s">
        <v>5090</v>
      </c>
      <c r="H7353" s="9" t="s">
        <v>19447</v>
      </c>
      <c r="I7353" s="9" t="s">
        <v>13399</v>
      </c>
      <c r="J7353" s="9" t="s">
        <v>13400</v>
      </c>
      <c r="K7353" s="3" t="s">
        <v>15176</v>
      </c>
      <c r="L7353" s="13">
        <v>1067</v>
      </c>
      <c r="M7353" t="str">
        <f>VLOOKUP(L7353,[1]Mouse_ARA!$B$2:$C$1328,2,FALSE)</f>
        <v>TTv1</v>
      </c>
    </row>
    <row r="7354" spans="2:13" x14ac:dyDescent="0.25">
      <c r="B7354" s="31" t="s">
        <v>26303</v>
      </c>
      <c r="C7354" s="20"/>
      <c r="D7354" s="25" t="s">
        <v>26185</v>
      </c>
      <c r="E7354" s="25" t="s">
        <v>26300</v>
      </c>
      <c r="F7354" s="9" t="str">
        <f t="shared" si="108"/>
        <v>structure with developmental contribution from neural crest</v>
      </c>
      <c r="G7354" s="9" t="s">
        <v>5090</v>
      </c>
      <c r="H7354" s="9" t="s">
        <v>20516</v>
      </c>
      <c r="I7354" s="9" t="s">
        <v>13401</v>
      </c>
      <c r="J7354" s="9" t="s">
        <v>13402</v>
      </c>
      <c r="K7354" s="3" t="s">
        <v>15176</v>
      </c>
      <c r="L7354" s="13">
        <v>1069</v>
      </c>
      <c r="M7354" t="str">
        <f>VLOOKUP(L7354,[1]Mouse_ARA!$B$2:$C$1328,2,FALSE)</f>
        <v>PPY</v>
      </c>
    </row>
    <row r="7355" spans="2:13" x14ac:dyDescent="0.25">
      <c r="B7355" s="31" t="s">
        <v>26303</v>
      </c>
      <c r="C7355" s="25" t="s">
        <v>3614</v>
      </c>
      <c r="D7355" s="25" t="s">
        <v>26232</v>
      </c>
      <c r="E7355" s="25" t="s">
        <v>26306</v>
      </c>
      <c r="F7355" s="9" t="str">
        <f t="shared" si="108"/>
        <v>structure with developmental contribution from neural crest</v>
      </c>
      <c r="G7355" s="9" t="s">
        <v>5090</v>
      </c>
      <c r="H7355" s="9" t="s">
        <v>19649</v>
      </c>
      <c r="I7355" s="9" t="s">
        <v>13403</v>
      </c>
      <c r="J7355" s="9" t="s">
        <v>13404</v>
      </c>
      <c r="K7355" s="3" t="s">
        <v>15176</v>
      </c>
      <c r="L7355" s="13">
        <v>10693</v>
      </c>
      <c r="M7355" t="str">
        <f>VLOOKUP(L7355,[1]Mouse_ARA!$B$2:$C$1328,2,FALSE)</f>
        <v>PAR1</v>
      </c>
    </row>
    <row r="7356" spans="2:13" x14ac:dyDescent="0.25">
      <c r="B7356" s="31" t="s">
        <v>26303</v>
      </c>
      <c r="C7356" s="25" t="s">
        <v>3614</v>
      </c>
      <c r="D7356" s="25" t="s">
        <v>26232</v>
      </c>
      <c r="E7356" s="25" t="s">
        <v>26306</v>
      </c>
      <c r="F7356" s="9" t="str">
        <f t="shared" si="108"/>
        <v>structure with developmental contribution from neural crest</v>
      </c>
      <c r="G7356" s="9" t="s">
        <v>5090</v>
      </c>
      <c r="H7356" s="9" t="s">
        <v>19651</v>
      </c>
      <c r="I7356" s="9" t="s">
        <v>13405</v>
      </c>
      <c r="J7356" s="9" t="s">
        <v>13406</v>
      </c>
      <c r="K7356" s="3" t="s">
        <v>15176</v>
      </c>
      <c r="L7356" s="13">
        <v>10694</v>
      </c>
      <c r="M7356" t="str">
        <f>VLOOKUP(L7356,[1]Mouse_ARA!$B$2:$C$1328,2,FALSE)</f>
        <v>PAR2</v>
      </c>
    </row>
    <row r="7357" spans="2:13" x14ac:dyDescent="0.25">
      <c r="B7357" s="31" t="s">
        <v>26303</v>
      </c>
      <c r="C7357" s="25" t="s">
        <v>3614</v>
      </c>
      <c r="D7357" s="25" t="s">
        <v>26232</v>
      </c>
      <c r="E7357" s="25" t="s">
        <v>26306</v>
      </c>
      <c r="F7357" s="9" t="str">
        <f t="shared" si="108"/>
        <v>structure with developmental contribution from neural crest</v>
      </c>
      <c r="G7357" s="9" t="s">
        <v>5090</v>
      </c>
      <c r="H7357" s="9" t="s">
        <v>19653</v>
      </c>
      <c r="I7357" s="9" t="s">
        <v>13407</v>
      </c>
      <c r="J7357" s="9" t="s">
        <v>13408</v>
      </c>
      <c r="K7357" s="3" t="s">
        <v>15176</v>
      </c>
      <c r="L7357" s="13">
        <v>10695</v>
      </c>
      <c r="M7357" t="str">
        <f>VLOOKUP(L7357,[1]Mouse_ARA!$B$2:$C$1328,2,FALSE)</f>
        <v>PAR3</v>
      </c>
    </row>
    <row r="7358" spans="2:13" x14ac:dyDescent="0.25">
      <c r="B7358" s="31" t="s">
        <v>26303</v>
      </c>
      <c r="C7358" s="25" t="s">
        <v>4051</v>
      </c>
      <c r="D7358" s="25" t="s">
        <v>26232</v>
      </c>
      <c r="E7358" s="25" t="s">
        <v>26306</v>
      </c>
      <c r="F7358" s="9" t="str">
        <f t="shared" si="108"/>
        <v>structure with developmental contribution from neural crest</v>
      </c>
      <c r="G7358" s="9" t="s">
        <v>5090</v>
      </c>
      <c r="H7358" s="9" t="s">
        <v>19657</v>
      </c>
      <c r="I7358" s="9" t="s">
        <v>13409</v>
      </c>
      <c r="J7358" s="9" t="s">
        <v>13410</v>
      </c>
      <c r="K7358" s="3" t="s">
        <v>15176</v>
      </c>
      <c r="L7358" s="13">
        <v>10696</v>
      </c>
      <c r="M7358" t="str">
        <f>VLOOKUP(L7358,[1]Mouse_ARA!$B$2:$C$1328,2,FALSE)</f>
        <v>POST1</v>
      </c>
    </row>
    <row r="7359" spans="2:13" x14ac:dyDescent="0.25">
      <c r="B7359" s="31" t="s">
        <v>26303</v>
      </c>
      <c r="C7359" s="25" t="s">
        <v>4051</v>
      </c>
      <c r="D7359" s="25" t="s">
        <v>26232</v>
      </c>
      <c r="E7359" s="25" t="s">
        <v>26306</v>
      </c>
      <c r="F7359" s="9" t="str">
        <f t="shared" si="108"/>
        <v>structure with developmental contribution from neural crest</v>
      </c>
      <c r="G7359" s="9" t="s">
        <v>5090</v>
      </c>
      <c r="H7359" s="9" t="s">
        <v>19659</v>
      </c>
      <c r="I7359" s="9" t="s">
        <v>13411</v>
      </c>
      <c r="J7359" s="9" t="s">
        <v>13412</v>
      </c>
      <c r="K7359" s="3" t="s">
        <v>15176</v>
      </c>
      <c r="L7359" s="13">
        <v>10697</v>
      </c>
      <c r="M7359" t="str">
        <f>VLOOKUP(L7359,[1]Mouse_ARA!$B$2:$C$1328,2,FALSE)</f>
        <v>POST2</v>
      </c>
    </row>
    <row r="7360" spans="2:13" x14ac:dyDescent="0.25">
      <c r="B7360" s="31" t="s">
        <v>26303</v>
      </c>
      <c r="C7360" s="25" t="s">
        <v>4051</v>
      </c>
      <c r="D7360" s="25" t="s">
        <v>26232</v>
      </c>
      <c r="E7360" s="25" t="s">
        <v>26306</v>
      </c>
      <c r="F7360" s="9" t="str">
        <f t="shared" si="108"/>
        <v>structure with developmental contribution from neural crest</v>
      </c>
      <c r="G7360" s="9" t="s">
        <v>5090</v>
      </c>
      <c r="H7360" s="9" t="s">
        <v>19661</v>
      </c>
      <c r="I7360" s="9" t="s">
        <v>13413</v>
      </c>
      <c r="J7360" s="9" t="s">
        <v>13414</v>
      </c>
      <c r="K7360" s="3" t="s">
        <v>15176</v>
      </c>
      <c r="L7360" s="13">
        <v>10698</v>
      </c>
      <c r="M7360" t="str">
        <f>VLOOKUP(L7360,[1]Mouse_ARA!$B$2:$C$1328,2,FALSE)</f>
        <v>POST3</v>
      </c>
    </row>
    <row r="7361" spans="2:13" x14ac:dyDescent="0.25">
      <c r="B7361" s="31" t="s">
        <v>26303</v>
      </c>
      <c r="C7361" s="25" t="s">
        <v>4116</v>
      </c>
      <c r="D7361" s="25" t="s">
        <v>26232</v>
      </c>
      <c r="E7361" s="25" t="s">
        <v>26306</v>
      </c>
      <c r="F7361" s="9" t="str">
        <f t="shared" si="108"/>
        <v>structure with developmental contribution from neural crest</v>
      </c>
      <c r="G7361" s="9" t="s">
        <v>5090</v>
      </c>
      <c r="H7361" s="9" t="s">
        <v>19665</v>
      </c>
      <c r="I7361" s="9" t="s">
        <v>13415</v>
      </c>
      <c r="J7361" s="9" t="s">
        <v>13416</v>
      </c>
      <c r="K7361" s="3" t="s">
        <v>15176</v>
      </c>
      <c r="L7361" s="13">
        <v>10699</v>
      </c>
      <c r="M7361" t="str">
        <f>VLOOKUP(L7361,[1]Mouse_ARA!$B$2:$C$1328,2,FALSE)</f>
        <v>PRE1</v>
      </c>
    </row>
    <row r="7362" spans="2:13" x14ac:dyDescent="0.25">
      <c r="B7362" s="31" t="s">
        <v>26303</v>
      </c>
      <c r="C7362" s="20"/>
      <c r="D7362" s="25" t="s">
        <v>26232</v>
      </c>
      <c r="E7362" s="25" t="s">
        <v>26307</v>
      </c>
      <c r="F7362" s="9" t="str">
        <f t="shared" si="108"/>
        <v>structure with developmental contribution from neural crest</v>
      </c>
      <c r="G7362" s="9" t="s">
        <v>5090</v>
      </c>
      <c r="H7362" s="9" t="s">
        <v>18669</v>
      </c>
      <c r="I7362" s="9" t="s">
        <v>13417</v>
      </c>
      <c r="J7362" s="9" t="s">
        <v>13418</v>
      </c>
      <c r="K7362" s="3" t="s">
        <v>15176</v>
      </c>
      <c r="L7362" s="13">
        <v>107</v>
      </c>
      <c r="M7362" t="str">
        <f>VLOOKUP(L7362,[1]Mouse_ARA!$B$2:$C$1328,2,FALSE)</f>
        <v>MO1</v>
      </c>
    </row>
    <row r="7363" spans="2:13" x14ac:dyDescent="0.25">
      <c r="B7363" s="31" t="s">
        <v>26303</v>
      </c>
      <c r="C7363" s="25" t="s">
        <v>26170</v>
      </c>
      <c r="D7363" s="25" t="s">
        <v>26232</v>
      </c>
      <c r="E7363" s="25" t="s">
        <v>26306</v>
      </c>
      <c r="F7363" s="9" t="str">
        <f t="shared" si="108"/>
        <v>structure with developmental contribution from neural crest</v>
      </c>
      <c r="G7363" s="9" t="s">
        <v>5090</v>
      </c>
      <c r="H7363" s="9" t="s">
        <v>18752</v>
      </c>
      <c r="I7363" s="9" t="s">
        <v>4148</v>
      </c>
      <c r="J7363" s="9" t="s">
        <v>4149</v>
      </c>
      <c r="K7363" s="3" t="s">
        <v>15176</v>
      </c>
      <c r="L7363" s="13">
        <v>1070</v>
      </c>
      <c r="M7363" t="str">
        <f>VLOOKUP(L7363,[1]Mouse_ARA!$B$2:$C$1328,2,FALSE)</f>
        <v>SSp-bfd5</v>
      </c>
    </row>
    <row r="7364" spans="2:13" x14ac:dyDescent="0.25">
      <c r="B7364" s="31" t="s">
        <v>26303</v>
      </c>
      <c r="C7364" s="25" t="s">
        <v>4116</v>
      </c>
      <c r="D7364" s="25" t="s">
        <v>26232</v>
      </c>
      <c r="E7364" s="25" t="s">
        <v>26306</v>
      </c>
      <c r="F7364" s="9" t="str">
        <f t="shared" si="108"/>
        <v>structure with developmental contribution from neural crest</v>
      </c>
      <c r="G7364" s="9" t="s">
        <v>5090</v>
      </c>
      <c r="H7364" s="9" t="s">
        <v>19667</v>
      </c>
      <c r="I7364" s="9" t="s">
        <v>13419</v>
      </c>
      <c r="J7364" s="9" t="s">
        <v>13420</v>
      </c>
      <c r="K7364" s="3" t="s">
        <v>15176</v>
      </c>
      <c r="L7364" s="13">
        <v>10700</v>
      </c>
      <c r="M7364" t="str">
        <f>VLOOKUP(L7364,[1]Mouse_ARA!$B$2:$C$1328,2,FALSE)</f>
        <v>PRE2</v>
      </c>
    </row>
    <row r="7365" spans="2:13" x14ac:dyDescent="0.25">
      <c r="B7365" s="31" t="s">
        <v>26303</v>
      </c>
      <c r="C7365" s="25" t="s">
        <v>4116</v>
      </c>
      <c r="D7365" s="25" t="s">
        <v>26232</v>
      </c>
      <c r="E7365" s="25" t="s">
        <v>26306</v>
      </c>
      <c r="F7365" s="9" t="str">
        <f t="shared" si="108"/>
        <v>structure with developmental contribution from neural crest</v>
      </c>
      <c r="G7365" s="9" t="s">
        <v>5090</v>
      </c>
      <c r="H7365" s="9" t="s">
        <v>19669</v>
      </c>
      <c r="I7365" s="9" t="s">
        <v>13421</v>
      </c>
      <c r="J7365" s="9" t="s">
        <v>13422</v>
      </c>
      <c r="K7365" s="3" t="s">
        <v>15176</v>
      </c>
      <c r="L7365" s="13">
        <v>10701</v>
      </c>
      <c r="M7365" t="str">
        <f>VLOOKUP(L7365,[1]Mouse_ARA!$B$2:$C$1328,2,FALSE)</f>
        <v>PRE3</v>
      </c>
    </row>
    <row r="7366" spans="2:13" x14ac:dyDescent="0.25">
      <c r="B7366" s="31" t="s">
        <v>26303</v>
      </c>
      <c r="C7366" s="25" t="s">
        <v>25900</v>
      </c>
      <c r="D7366" s="25" t="s">
        <v>26232</v>
      </c>
      <c r="E7366" s="25" t="s">
        <v>26306</v>
      </c>
      <c r="F7366" s="9" t="str">
        <f t="shared" si="108"/>
        <v>structure with developmental contribution from neural crest</v>
      </c>
      <c r="G7366" s="9" t="s">
        <v>5090</v>
      </c>
      <c r="H7366" s="9" t="s">
        <v>19550</v>
      </c>
      <c r="I7366" s="9" t="s">
        <v>1456</v>
      </c>
      <c r="J7366" s="9" t="s">
        <v>1457</v>
      </c>
      <c r="K7366" s="3" t="s">
        <v>15176</v>
      </c>
      <c r="L7366" s="13">
        <v>10703</v>
      </c>
      <c r="M7366" t="str">
        <f>VLOOKUP(L7366,[1]Mouse_ARA!$B$2:$C$1328,2,FALSE)</f>
        <v>DG-mo</v>
      </c>
    </row>
    <row r="7367" spans="2:13" x14ac:dyDescent="0.25">
      <c r="B7367" s="31" t="s">
        <v>26303</v>
      </c>
      <c r="C7367" s="25" t="s">
        <v>25902</v>
      </c>
      <c r="D7367" s="25" t="s">
        <v>26232</v>
      </c>
      <c r="E7367" s="25"/>
      <c r="F7367" s="9" t="str">
        <f t="shared" si="108"/>
        <v>structure with developmental contribution from neural crest</v>
      </c>
      <c r="G7367" s="9" t="s">
        <v>5090</v>
      </c>
      <c r="H7367" s="9" t="s">
        <v>19552</v>
      </c>
      <c r="I7367" s="9" t="s">
        <v>1466</v>
      </c>
      <c r="J7367" s="9" t="s">
        <v>1467</v>
      </c>
      <c r="K7367" s="3" t="s">
        <v>15176</v>
      </c>
      <c r="L7367" s="13">
        <v>10704</v>
      </c>
      <c r="M7367" t="str">
        <f>VLOOKUP(L7367,[1]Mouse_ARA!$B$2:$C$1328,2,FALSE)</f>
        <v>DG-po</v>
      </c>
    </row>
    <row r="7368" spans="2:13" x14ac:dyDescent="0.25">
      <c r="B7368" s="31" t="s">
        <v>26303</v>
      </c>
      <c r="C7368" s="25" t="s">
        <v>4750</v>
      </c>
      <c r="D7368" s="25" t="s">
        <v>26232</v>
      </c>
      <c r="E7368" s="25"/>
      <c r="F7368" s="9" t="str">
        <f t="shared" si="108"/>
        <v>structure with developmental contribution from neural crest</v>
      </c>
      <c r="G7368" s="9" t="s">
        <v>5090</v>
      </c>
      <c r="H7368" s="9" t="s">
        <v>18491</v>
      </c>
      <c r="I7368" s="9" t="s">
        <v>4753</v>
      </c>
      <c r="J7368" s="9" t="s">
        <v>4754</v>
      </c>
      <c r="K7368" s="3" t="s">
        <v>15176</v>
      </c>
      <c r="L7368" s="13">
        <v>1071</v>
      </c>
      <c r="M7368" t="str">
        <f>VLOOKUP(L7368,[1]Mouse_ARA!$B$2:$C$1328,2,FALSE)</f>
        <v>rf</v>
      </c>
    </row>
    <row r="7369" spans="2:13" x14ac:dyDescent="0.25">
      <c r="B7369" s="31" t="s">
        <v>26302</v>
      </c>
      <c r="C7369" s="25" t="s">
        <v>450</v>
      </c>
      <c r="D7369" s="25" t="s">
        <v>26185</v>
      </c>
      <c r="E7369" s="25" t="s">
        <v>26306</v>
      </c>
      <c r="F7369" s="9" t="str">
        <f t="shared" si="108"/>
        <v>structure with developmental contribution from neural crest</v>
      </c>
      <c r="G7369" s="9" t="s">
        <v>5090</v>
      </c>
      <c r="H7369" s="9" t="s">
        <v>18972</v>
      </c>
      <c r="I7369" s="9" t="s">
        <v>13423</v>
      </c>
      <c r="J7369" s="9" t="s">
        <v>13424</v>
      </c>
      <c r="K7369" s="3" t="s">
        <v>15176</v>
      </c>
      <c r="L7369" s="13">
        <v>1074</v>
      </c>
      <c r="M7369" t="str">
        <f>VLOOKUP(L7369,[1]Mouse_ARA!$B$2:$C$1328,2,FALSE)</f>
        <v>VISal1</v>
      </c>
    </row>
    <row r="7370" spans="2:13" x14ac:dyDescent="0.25">
      <c r="B7370" s="31" t="s">
        <v>26303</v>
      </c>
      <c r="C7370" s="25" t="s">
        <v>26252</v>
      </c>
      <c r="D7370" s="25" t="s">
        <v>26232</v>
      </c>
      <c r="E7370" s="25" t="s">
        <v>26306</v>
      </c>
      <c r="F7370" s="9" t="str">
        <f t="shared" si="108"/>
        <v>structure with developmental contribution from neural crest</v>
      </c>
      <c r="G7370" s="9" t="s">
        <v>5090</v>
      </c>
      <c r="H7370" s="9" t="s">
        <v>19449</v>
      </c>
      <c r="I7370" s="9" t="s">
        <v>13425</v>
      </c>
      <c r="J7370" s="9" t="s">
        <v>13426</v>
      </c>
      <c r="K7370" s="3" t="s">
        <v>15176</v>
      </c>
      <c r="L7370" s="13">
        <v>1075</v>
      </c>
      <c r="M7370" t="str">
        <f>VLOOKUP(L7370,[1]Mouse_ARA!$B$2:$C$1328,2,FALSE)</f>
        <v>TTv2</v>
      </c>
    </row>
    <row r="7371" spans="2:13" x14ac:dyDescent="0.25">
      <c r="B7371" s="31" t="s">
        <v>26303</v>
      </c>
      <c r="C7371" s="25" t="s">
        <v>15125</v>
      </c>
      <c r="D7371" s="25" t="s">
        <v>26232</v>
      </c>
      <c r="E7371" s="25"/>
      <c r="F7371" s="9" t="str">
        <f t="shared" si="108"/>
        <v>structure with developmental contribution from neural crest</v>
      </c>
      <c r="G7371" s="9" t="s">
        <v>5090</v>
      </c>
      <c r="H7371" s="9" t="s">
        <v>20753</v>
      </c>
      <c r="I7371" s="9" t="s">
        <v>13427</v>
      </c>
      <c r="J7371" s="9" t="s">
        <v>13428</v>
      </c>
      <c r="K7371" s="3" t="s">
        <v>15176</v>
      </c>
      <c r="L7371" s="13">
        <v>1076</v>
      </c>
      <c r="M7371" t="str">
        <f>VLOOKUP(L7371,[1]Mouse_ARA!$B$2:$C$1328,2,FALSE)</f>
        <v>cvb</v>
      </c>
    </row>
    <row r="7372" spans="2:13" x14ac:dyDescent="0.25">
      <c r="B7372" s="31" t="s">
        <v>26303</v>
      </c>
      <c r="C7372" s="25" t="s">
        <v>2291</v>
      </c>
      <c r="D7372" s="25" t="s">
        <v>26232</v>
      </c>
      <c r="E7372" s="25"/>
      <c r="F7372" s="9" t="str">
        <f t="shared" si="108"/>
        <v>structure with developmental contribution from neural crest</v>
      </c>
      <c r="G7372" s="9" t="s">
        <v>5090</v>
      </c>
      <c r="H7372" s="9" t="s">
        <v>19543</v>
      </c>
      <c r="I7372" s="9" t="s">
        <v>13429</v>
      </c>
      <c r="J7372" s="9" t="s">
        <v>13430</v>
      </c>
      <c r="K7372" s="3" t="s">
        <v>15176</v>
      </c>
      <c r="L7372" s="13">
        <v>1080</v>
      </c>
      <c r="M7372" t="str">
        <f>VLOOKUP(L7372,[1]Mouse_ARA!$B$2:$C$1328,2,FALSE)</f>
        <v>HIP</v>
      </c>
    </row>
    <row r="7373" spans="2:13" x14ac:dyDescent="0.25">
      <c r="B7373" s="31" t="s">
        <v>26303</v>
      </c>
      <c r="C7373" s="20"/>
      <c r="D7373" s="25" t="s">
        <v>26232</v>
      </c>
      <c r="E7373" s="25" t="s">
        <v>26307</v>
      </c>
      <c r="F7373" s="9" t="str">
        <f t="shared" si="108"/>
        <v>structure with developmental contribution from neural crest</v>
      </c>
      <c r="G7373" s="9" t="s">
        <v>5090</v>
      </c>
      <c r="H7373" s="9" t="s">
        <v>19137</v>
      </c>
      <c r="I7373" s="9" t="s">
        <v>13431</v>
      </c>
      <c r="J7373" s="9" t="s">
        <v>13432</v>
      </c>
      <c r="K7373" s="3" t="s">
        <v>15176</v>
      </c>
      <c r="L7373" s="13">
        <v>1081</v>
      </c>
      <c r="M7373" t="str">
        <f>VLOOKUP(L7373,[1]Mouse_ARA!$B$2:$C$1328,2,FALSE)</f>
        <v>ILA6b</v>
      </c>
    </row>
    <row r="7374" spans="2:13" x14ac:dyDescent="0.25">
      <c r="B7374" s="31" t="s">
        <v>26303</v>
      </c>
      <c r="C7374" s="25" t="s">
        <v>26252</v>
      </c>
      <c r="D7374" s="25" t="s">
        <v>26232</v>
      </c>
      <c r="E7374" s="25" t="s">
        <v>26306</v>
      </c>
      <c r="F7374" s="9" t="str">
        <f t="shared" si="108"/>
        <v>structure with developmental contribution from neural crest</v>
      </c>
      <c r="G7374" s="9" t="s">
        <v>5090</v>
      </c>
      <c r="H7374" s="9" t="s">
        <v>19451</v>
      </c>
      <c r="I7374" s="9" t="s">
        <v>13433</v>
      </c>
      <c r="J7374" s="9" t="s">
        <v>13434</v>
      </c>
      <c r="K7374" s="3" t="s">
        <v>15176</v>
      </c>
      <c r="L7374" s="13">
        <v>1082</v>
      </c>
      <c r="M7374" t="str">
        <f>VLOOKUP(L7374,[1]Mouse_ARA!$B$2:$C$1328,2,FALSE)</f>
        <v>TTv3</v>
      </c>
    </row>
    <row r="7375" spans="2:13" x14ac:dyDescent="0.25">
      <c r="B7375" s="31" t="s">
        <v>26299</v>
      </c>
      <c r="C7375" s="25" t="s">
        <v>26157</v>
      </c>
      <c r="D7375" s="25" t="s">
        <v>26232</v>
      </c>
      <c r="E7375" s="25" t="s">
        <v>26306</v>
      </c>
      <c r="F7375" s="9" t="str">
        <f t="shared" si="108"/>
        <v>structure with developmental contribution from neural crest</v>
      </c>
      <c r="G7375" s="9" t="s">
        <v>5090</v>
      </c>
      <c r="H7375" s="9" t="s">
        <v>18701</v>
      </c>
      <c r="I7375" s="9" t="s">
        <v>13435</v>
      </c>
      <c r="J7375" s="9" t="s">
        <v>13436</v>
      </c>
      <c r="K7375" s="3" t="s">
        <v>15176</v>
      </c>
      <c r="L7375" s="13">
        <v>1085</v>
      </c>
      <c r="M7375" t="str">
        <f>VLOOKUP(L7375,[1]Mouse_ARA!$B$2:$C$1328,2,FALSE)</f>
        <v>MOs6b</v>
      </c>
    </row>
    <row r="7376" spans="2:13" x14ac:dyDescent="0.25">
      <c r="B7376" s="31" t="s">
        <v>26303</v>
      </c>
      <c r="C7376" s="25" t="s">
        <v>26173</v>
      </c>
      <c r="D7376" s="25" t="s">
        <v>26232</v>
      </c>
      <c r="E7376" s="25" t="s">
        <v>26306</v>
      </c>
      <c r="F7376" s="9" t="str">
        <f t="shared" si="108"/>
        <v>structure with developmental contribution from neural crest</v>
      </c>
      <c r="G7376" s="9" t="s">
        <v>5090</v>
      </c>
      <c r="H7376" s="9" t="s">
        <v>18820</v>
      </c>
      <c r="I7376" s="9" t="s">
        <v>13437</v>
      </c>
      <c r="J7376" s="9" t="s">
        <v>13438</v>
      </c>
      <c r="K7376" s="3" t="s">
        <v>15176</v>
      </c>
      <c r="L7376" s="13">
        <v>1086</v>
      </c>
      <c r="M7376" t="str">
        <f>VLOOKUP(L7376,[1]Mouse_ARA!$B$2:$C$1328,2,FALSE)</f>
        <v>SSp-tr4</v>
      </c>
    </row>
    <row r="7377" spans="2:13" x14ac:dyDescent="0.25">
      <c r="B7377" s="31" t="s">
        <v>26303</v>
      </c>
      <c r="C7377" s="25" t="s">
        <v>26216</v>
      </c>
      <c r="D7377" s="25" t="s">
        <v>26232</v>
      </c>
      <c r="E7377" s="25" t="s">
        <v>26306</v>
      </c>
      <c r="F7377" s="9" t="str">
        <f t="shared" si="108"/>
        <v>structure with developmental contribution from neural crest</v>
      </c>
      <c r="G7377" s="9" t="s">
        <v>5090</v>
      </c>
      <c r="H7377" s="9" t="s">
        <v>18850</v>
      </c>
      <c r="I7377" s="9" t="s">
        <v>13439</v>
      </c>
      <c r="J7377" s="9" t="s">
        <v>13440</v>
      </c>
      <c r="K7377" s="3" t="s">
        <v>15176</v>
      </c>
      <c r="L7377" s="13">
        <v>1090</v>
      </c>
      <c r="M7377" t="str">
        <f>VLOOKUP(L7377,[1]Mouse_ARA!$B$2:$C$1328,2,FALSE)</f>
        <v>SSs5</v>
      </c>
    </row>
    <row r="7378" spans="2:13" x14ac:dyDescent="0.25">
      <c r="B7378" s="31" t="s">
        <v>26303</v>
      </c>
      <c r="C7378" s="25" t="s">
        <v>26173</v>
      </c>
      <c r="D7378" s="25" t="s">
        <v>26232</v>
      </c>
      <c r="E7378" s="25" t="s">
        <v>26306</v>
      </c>
      <c r="F7378" s="9" t="str">
        <f t="shared" si="108"/>
        <v>structure with developmental contribution from neural crest</v>
      </c>
      <c r="G7378" s="9" t="s">
        <v>5090</v>
      </c>
      <c r="H7378" s="9" t="s">
        <v>18778</v>
      </c>
      <c r="I7378" s="9" t="s">
        <v>13441</v>
      </c>
      <c r="J7378" s="9" t="s">
        <v>13442</v>
      </c>
      <c r="K7378" s="3" t="s">
        <v>15176</v>
      </c>
      <c r="L7378" s="13">
        <v>1094</v>
      </c>
      <c r="M7378" t="str">
        <f>VLOOKUP(L7378,[1]Mouse_ARA!$B$2:$C$1328,2,FALSE)</f>
        <v>SSp-ll4</v>
      </c>
    </row>
    <row r="7379" spans="2:13" x14ac:dyDescent="0.25">
      <c r="B7379" s="31" t="s">
        <v>26303</v>
      </c>
      <c r="C7379" s="25" t="s">
        <v>26154</v>
      </c>
      <c r="D7379" s="25" t="s">
        <v>26232</v>
      </c>
      <c r="E7379" s="25"/>
      <c r="F7379" s="9" t="str">
        <f t="shared" si="108"/>
        <v>structure with developmental contribution from neural crest</v>
      </c>
      <c r="G7379" s="9" t="s">
        <v>5090</v>
      </c>
      <c r="H7379" s="9" t="s">
        <v>20974</v>
      </c>
      <c r="I7379" s="9" t="s">
        <v>4069</v>
      </c>
      <c r="J7379" s="9" t="s">
        <v>4071</v>
      </c>
      <c r="K7379" s="3" t="s">
        <v>15176</v>
      </c>
      <c r="L7379" s="13">
        <v>1095</v>
      </c>
      <c r="M7379" t="str">
        <f>VLOOKUP(L7379,[1]Mouse_ARA!$B$2:$C$1328,2,FALSE)</f>
        <v>pcf</v>
      </c>
    </row>
    <row r="7380" spans="2:13" x14ac:dyDescent="0.25">
      <c r="B7380" s="31" t="s">
        <v>26303</v>
      </c>
      <c r="C7380" s="25" t="s">
        <v>3071</v>
      </c>
      <c r="D7380" s="25" t="s">
        <v>26232</v>
      </c>
      <c r="E7380" s="25"/>
      <c r="F7380" s="9" t="str">
        <f t="shared" si="108"/>
        <v>structure with developmental contribution from neural crest</v>
      </c>
      <c r="G7380" s="9" t="s">
        <v>5090</v>
      </c>
      <c r="H7380" s="9" t="s">
        <v>20492</v>
      </c>
      <c r="I7380" s="9" t="s">
        <v>13443</v>
      </c>
      <c r="J7380" s="9" t="s">
        <v>13444</v>
      </c>
      <c r="K7380" s="3" t="s">
        <v>15176</v>
      </c>
      <c r="L7380" s="13">
        <v>1098</v>
      </c>
      <c r="M7380" t="str">
        <f>VLOOKUP(L7380,[1]Mouse_ARA!$B$2:$C$1328,2,FALSE)</f>
        <v>MDRNd</v>
      </c>
    </row>
    <row r="7381" spans="2:13" x14ac:dyDescent="0.25">
      <c r="B7381" s="31" t="s">
        <v>26303</v>
      </c>
      <c r="C7381" s="25" t="s">
        <v>26148</v>
      </c>
      <c r="D7381" s="25" t="s">
        <v>26232</v>
      </c>
      <c r="E7381" s="25"/>
      <c r="F7381" s="9" t="str">
        <f t="shared" si="108"/>
        <v>structure with developmental contribution from neural crest</v>
      </c>
      <c r="G7381" s="9" t="s">
        <v>5090</v>
      </c>
      <c r="H7381" s="9" t="s">
        <v>20979</v>
      </c>
      <c r="I7381" s="9" t="s">
        <v>4011</v>
      </c>
      <c r="J7381" s="9" t="s">
        <v>4013</v>
      </c>
      <c r="K7381" s="3" t="s">
        <v>15176</v>
      </c>
      <c r="L7381" s="13">
        <v>11</v>
      </c>
      <c r="M7381" t="str">
        <f>VLOOKUP(L7381,[1]Mouse_ARA!$B$2:$C$1328,2,FALSE)</f>
        <v>plf</v>
      </c>
    </row>
    <row r="7382" spans="2:13" x14ac:dyDescent="0.25">
      <c r="B7382" s="31" t="s">
        <v>26303</v>
      </c>
      <c r="C7382" s="25" t="s">
        <v>25771</v>
      </c>
      <c r="D7382" s="25" t="s">
        <v>26232</v>
      </c>
      <c r="E7382" s="25" t="s">
        <v>26306</v>
      </c>
      <c r="F7382" s="9" t="str">
        <f t="shared" si="108"/>
        <v>structure with developmental contribution from neural crest</v>
      </c>
      <c r="G7382" s="9" t="s">
        <v>5090</v>
      </c>
      <c r="H7382" s="9" t="s">
        <v>19199</v>
      </c>
      <c r="I7382" s="9" t="s">
        <v>13445</v>
      </c>
      <c r="J7382" s="9" t="s">
        <v>13446</v>
      </c>
      <c r="K7382" s="3" t="s">
        <v>15176</v>
      </c>
      <c r="L7382" s="13">
        <v>1101</v>
      </c>
      <c r="M7382" t="str">
        <f>VLOOKUP(L7382,[1]Mouse_ARA!$B$2:$C$1328,2,FALSE)</f>
        <v>AId5</v>
      </c>
    </row>
    <row r="7383" spans="2:13" x14ac:dyDescent="0.25">
      <c r="B7383" s="31" t="s">
        <v>26303</v>
      </c>
      <c r="C7383" s="25" t="s">
        <v>26173</v>
      </c>
      <c r="D7383" s="25" t="s">
        <v>26232</v>
      </c>
      <c r="E7383" s="25" t="s">
        <v>26306</v>
      </c>
      <c r="F7383" s="9" t="str">
        <f t="shared" si="108"/>
        <v>structure with developmental contribution from neural crest</v>
      </c>
      <c r="G7383" s="9" t="s">
        <v>5090</v>
      </c>
      <c r="H7383" s="9" t="s">
        <v>18796</v>
      </c>
      <c r="I7383" s="9" t="s">
        <v>13447</v>
      </c>
      <c r="J7383" s="9" t="s">
        <v>13448</v>
      </c>
      <c r="K7383" s="3" t="s">
        <v>15176</v>
      </c>
      <c r="L7383" s="13">
        <v>1102</v>
      </c>
      <c r="M7383" t="str">
        <f>VLOOKUP(L7383,[1]Mouse_ARA!$B$2:$C$1328,2,FALSE)</f>
        <v>SSp-m6a</v>
      </c>
    </row>
    <row r="7384" spans="2:13" x14ac:dyDescent="0.25">
      <c r="B7384" s="31" t="s">
        <v>26303</v>
      </c>
      <c r="C7384" s="25" t="s">
        <v>26165</v>
      </c>
      <c r="D7384" s="25" t="s">
        <v>26232</v>
      </c>
      <c r="E7384" s="25"/>
      <c r="F7384" s="9" t="str">
        <f t="shared" si="108"/>
        <v>structure with developmental contribution from neural crest</v>
      </c>
      <c r="G7384" s="9" t="s">
        <v>5090</v>
      </c>
      <c r="H7384" s="9" t="s">
        <v>20975</v>
      </c>
      <c r="I7384" s="9" t="s">
        <v>4130</v>
      </c>
      <c r="J7384" s="9" t="s">
        <v>4132</v>
      </c>
      <c r="K7384" s="3" t="s">
        <v>15176</v>
      </c>
      <c r="L7384" s="13">
        <v>1103</v>
      </c>
      <c r="M7384" t="str">
        <f>VLOOKUP(L7384,[1]Mouse_ARA!$B$2:$C$1328,2,FALSE)</f>
        <v>pri</v>
      </c>
    </row>
    <row r="7385" spans="2:13" x14ac:dyDescent="0.25">
      <c r="B7385" s="31" t="s">
        <v>26303</v>
      </c>
      <c r="C7385" s="25" t="s">
        <v>2448</v>
      </c>
      <c r="D7385" s="25" t="s">
        <v>26232</v>
      </c>
      <c r="E7385" s="25"/>
      <c r="F7385" s="9" t="str">
        <f t="shared" si="108"/>
        <v>structure with developmental contribution from neural crest</v>
      </c>
      <c r="G7385" s="9" t="s">
        <v>5090</v>
      </c>
      <c r="H7385" s="9" t="s">
        <v>15664</v>
      </c>
      <c r="I7385" s="9" t="s">
        <v>2452</v>
      </c>
      <c r="J7385" s="9" t="s">
        <v>2453</v>
      </c>
      <c r="K7385" s="3" t="s">
        <v>15176</v>
      </c>
      <c r="L7385" s="13">
        <v>1105</v>
      </c>
      <c r="M7385" t="str">
        <f>VLOOKUP(L7385,[1]Mouse_ARA!$B$2:$C$1328,2,FALSE)</f>
        <v>IA</v>
      </c>
    </row>
    <row r="7386" spans="2:13" x14ac:dyDescent="0.25">
      <c r="B7386" s="31" t="s">
        <v>26303</v>
      </c>
      <c r="C7386" s="20"/>
      <c r="D7386" s="25" t="s">
        <v>26232</v>
      </c>
      <c r="E7386" s="25" t="s">
        <v>26307</v>
      </c>
      <c r="F7386" s="9" t="str">
        <f t="shared" si="108"/>
        <v>structure with developmental contribution from neural crest</v>
      </c>
      <c r="G7386" s="9" t="s">
        <v>5090</v>
      </c>
      <c r="H7386" s="9" t="s">
        <v>18874</v>
      </c>
      <c r="I7386" s="9" t="s">
        <v>13449</v>
      </c>
      <c r="J7386" s="9" t="s">
        <v>13450</v>
      </c>
      <c r="K7386" s="3" t="s">
        <v>15176</v>
      </c>
      <c r="L7386" s="13">
        <v>1106</v>
      </c>
      <c r="M7386" t="str">
        <f>VLOOKUP(L7386,[1]Mouse_ARA!$B$2:$C$1328,2,FALSE)</f>
        <v>VISC2/3</v>
      </c>
    </row>
    <row r="7387" spans="2:13" x14ac:dyDescent="0.25">
      <c r="B7387" s="31" t="s">
        <v>26303</v>
      </c>
      <c r="C7387" s="25" t="s">
        <v>3071</v>
      </c>
      <c r="D7387" s="25" t="s">
        <v>26232</v>
      </c>
      <c r="E7387" s="25"/>
      <c r="F7387" s="9" t="str">
        <f t="shared" si="108"/>
        <v>structure with developmental contribution from neural crest</v>
      </c>
      <c r="G7387" s="9" t="s">
        <v>5090</v>
      </c>
      <c r="H7387" s="9" t="s">
        <v>20494</v>
      </c>
      <c r="I7387" s="9" t="s">
        <v>13451</v>
      </c>
      <c r="J7387" s="9" t="s">
        <v>13452</v>
      </c>
      <c r="K7387" s="3" t="s">
        <v>15176</v>
      </c>
      <c r="L7387" s="13">
        <v>1107</v>
      </c>
      <c r="M7387" t="str">
        <f>VLOOKUP(L7387,[1]Mouse_ARA!$B$2:$C$1328,2,FALSE)</f>
        <v>MDRNv</v>
      </c>
    </row>
    <row r="7388" spans="2:13" x14ac:dyDescent="0.25">
      <c r="B7388" s="31" t="s">
        <v>26303</v>
      </c>
      <c r="C7388" s="25" t="s">
        <v>25771</v>
      </c>
      <c r="D7388" s="25" t="s">
        <v>26232</v>
      </c>
      <c r="E7388" s="25"/>
      <c r="F7388" s="9" t="str">
        <f t="shared" si="108"/>
        <v>structure with developmental contribution from neural crest</v>
      </c>
      <c r="G7388" s="9" t="s">
        <v>5090</v>
      </c>
      <c r="H7388" s="9" t="s">
        <v>19205</v>
      </c>
      <c r="I7388" s="9" t="s">
        <v>13453</v>
      </c>
      <c r="J7388" s="9" t="s">
        <v>13454</v>
      </c>
      <c r="K7388" s="3" t="s">
        <v>15176</v>
      </c>
      <c r="L7388" s="13">
        <v>111</v>
      </c>
      <c r="M7388" t="str">
        <f>VLOOKUP(L7388,[1]Mouse_ARA!$B$2:$C$1328,2,FALSE)</f>
        <v>AIp</v>
      </c>
    </row>
    <row r="7389" spans="2:13" x14ac:dyDescent="0.25">
      <c r="B7389" s="31" t="s">
        <v>26303</v>
      </c>
      <c r="C7389" s="25" t="s">
        <v>26173</v>
      </c>
      <c r="D7389" s="25" t="s">
        <v>26232</v>
      </c>
      <c r="E7389" s="25" t="s">
        <v>26306</v>
      </c>
      <c r="F7389" s="9" t="str">
        <f t="shared" si="108"/>
        <v>structure with developmental contribution from neural crest</v>
      </c>
      <c r="G7389" s="9" t="s">
        <v>5090</v>
      </c>
      <c r="H7389" s="9" t="s">
        <v>18822</v>
      </c>
      <c r="I7389" s="9" t="s">
        <v>13455</v>
      </c>
      <c r="J7389" s="9" t="s">
        <v>13456</v>
      </c>
      <c r="K7389" s="3" t="s">
        <v>15176</v>
      </c>
      <c r="L7389" s="13">
        <v>1111</v>
      </c>
      <c r="M7389" t="str">
        <f>VLOOKUP(L7389,[1]Mouse_ARA!$B$2:$C$1328,2,FALSE)</f>
        <v>SSp-tr5</v>
      </c>
    </row>
    <row r="7390" spans="2:13" x14ac:dyDescent="0.25">
      <c r="B7390" s="31" t="s">
        <v>26303</v>
      </c>
      <c r="C7390" s="25" t="s">
        <v>26145</v>
      </c>
      <c r="D7390" s="25" t="s">
        <v>26232</v>
      </c>
      <c r="E7390" s="25"/>
      <c r="F7390" s="9" t="str">
        <f t="shared" si="108"/>
        <v>structure with developmental contribution from neural crest</v>
      </c>
      <c r="G7390" s="9" t="s">
        <v>5090</v>
      </c>
      <c r="H7390" s="9" t="s">
        <v>20976</v>
      </c>
      <c r="I7390" s="9" t="s">
        <v>3999</v>
      </c>
      <c r="J7390" s="9" t="s">
        <v>4000</v>
      </c>
      <c r="K7390" s="3" t="s">
        <v>15176</v>
      </c>
      <c r="L7390" s="13">
        <v>1112</v>
      </c>
      <c r="M7390" t="str">
        <f>VLOOKUP(L7390,[1]Mouse_ARA!$B$2:$C$1328,2,FALSE)</f>
        <v>psf</v>
      </c>
    </row>
    <row r="7391" spans="2:13" x14ac:dyDescent="0.25">
      <c r="B7391" s="31" t="s">
        <v>26302</v>
      </c>
      <c r="C7391" s="25" t="s">
        <v>450</v>
      </c>
      <c r="D7391" s="25" t="s">
        <v>26185</v>
      </c>
      <c r="E7391" s="25" t="s">
        <v>26306</v>
      </c>
      <c r="F7391" s="9" t="str">
        <f t="shared" si="108"/>
        <v>structure with developmental contribution from neural crest</v>
      </c>
      <c r="G7391" s="9" t="s">
        <v>5090</v>
      </c>
      <c r="H7391" s="9" t="s">
        <v>18976</v>
      </c>
      <c r="I7391" s="9" t="s">
        <v>13457</v>
      </c>
      <c r="J7391" s="9" t="s">
        <v>13458</v>
      </c>
      <c r="K7391" s="3" t="s">
        <v>15176</v>
      </c>
      <c r="L7391" s="13">
        <v>1114</v>
      </c>
      <c r="M7391" t="str">
        <f>VLOOKUP(L7391,[1]Mouse_ARA!$B$2:$C$1328,2,FALSE)</f>
        <v>VISal4</v>
      </c>
    </row>
    <row r="7392" spans="2:13" x14ac:dyDescent="0.25">
      <c r="B7392" s="31" t="s">
        <v>26303</v>
      </c>
      <c r="C7392" s="25" t="s">
        <v>25946</v>
      </c>
      <c r="D7392" s="25" t="s">
        <v>26232</v>
      </c>
      <c r="E7392" s="25"/>
      <c r="F7392" s="9" t="str">
        <f t="shared" si="108"/>
        <v>structure with developmental contribution from neural crest</v>
      </c>
      <c r="G7392" s="9" t="s">
        <v>5090</v>
      </c>
      <c r="H7392" s="9" t="s">
        <v>20751</v>
      </c>
      <c r="I7392" s="9" t="s">
        <v>2066</v>
      </c>
      <c r="J7392" s="9" t="s">
        <v>2068</v>
      </c>
      <c r="K7392" s="3" t="s">
        <v>15176</v>
      </c>
      <c r="L7392" s="13">
        <v>1116</v>
      </c>
      <c r="M7392" t="str">
        <f>VLOOKUP(L7392,[1]Mouse_ARA!$B$2:$C$1328,2,FALSE)</f>
        <v>gVIIn</v>
      </c>
    </row>
    <row r="7393" spans="2:13" x14ac:dyDescent="0.25">
      <c r="B7393" s="31" t="s">
        <v>26303</v>
      </c>
      <c r="C7393" s="25" t="s">
        <v>3862</v>
      </c>
      <c r="D7393" s="25" t="s">
        <v>26232</v>
      </c>
      <c r="E7393" s="25"/>
      <c r="F7393" s="9" t="str">
        <f t="shared" si="108"/>
        <v>structure with developmental contribution from neural crest</v>
      </c>
      <c r="G7393" s="9" t="s">
        <v>5090</v>
      </c>
      <c r="H7393" s="9" t="s">
        <v>20370</v>
      </c>
      <c r="I7393" s="9" t="s">
        <v>13459</v>
      </c>
      <c r="J7393" s="9" t="s">
        <v>13460</v>
      </c>
      <c r="K7393" s="3" t="s">
        <v>15176</v>
      </c>
      <c r="L7393" s="13">
        <v>1117</v>
      </c>
      <c r="M7393" t="str">
        <f>VLOOKUP(L7393,[1]Mouse_ARA!$B$2:$C$1328,2,FALSE)</f>
        <v>P-sat</v>
      </c>
    </row>
    <row r="7394" spans="2:13" x14ac:dyDescent="0.25">
      <c r="B7394" s="31" t="s">
        <v>26303</v>
      </c>
      <c r="C7394" s="25" t="s">
        <v>26160</v>
      </c>
      <c r="D7394" s="25" t="s">
        <v>26232</v>
      </c>
      <c r="E7394" s="25"/>
      <c r="F7394" s="9" t="str">
        <f t="shared" si="108"/>
        <v>structure with developmental contribution from neural crest</v>
      </c>
      <c r="G7394" s="9" t="s">
        <v>5090</v>
      </c>
      <c r="H7394" s="9" t="s">
        <v>20977</v>
      </c>
      <c r="I7394" s="9" t="s">
        <v>4104</v>
      </c>
      <c r="J7394" s="9" t="s">
        <v>4105</v>
      </c>
      <c r="K7394" s="3" t="s">
        <v>15176</v>
      </c>
      <c r="L7394" s="13">
        <v>1119</v>
      </c>
      <c r="M7394" t="str">
        <f>VLOOKUP(L7394,[1]Mouse_ARA!$B$2:$C$1328,2,FALSE)</f>
        <v>ppf</v>
      </c>
    </row>
    <row r="7395" spans="2:13" x14ac:dyDescent="0.25">
      <c r="B7395" s="31" t="s">
        <v>26303</v>
      </c>
      <c r="C7395" s="20"/>
      <c r="D7395" s="25" t="s">
        <v>26232</v>
      </c>
      <c r="E7395" s="25" t="s">
        <v>26306</v>
      </c>
      <c r="F7395" s="9" t="str">
        <f t="shared" si="108"/>
        <v>structure with developmental contribution from neural crest</v>
      </c>
      <c r="G7395" s="9" t="s">
        <v>5090</v>
      </c>
      <c r="H7395" s="9" t="s">
        <v>20399</v>
      </c>
      <c r="I7395" s="9" t="s">
        <v>13461</v>
      </c>
      <c r="J7395" s="9" t="s">
        <v>13462</v>
      </c>
      <c r="K7395" s="3" t="s">
        <v>15176</v>
      </c>
      <c r="L7395" s="13">
        <v>112</v>
      </c>
      <c r="M7395" t="str">
        <f>VLOOKUP(L7395,[1]Mouse_ARA!$B$2:$C$1328,2,FALSE)</f>
        <v>CNlam</v>
      </c>
    </row>
    <row r="7396" spans="2:13" x14ac:dyDescent="0.25">
      <c r="B7396" s="31" t="s">
        <v>26303</v>
      </c>
      <c r="C7396" s="25" t="s">
        <v>25987</v>
      </c>
      <c r="D7396" s="25" t="s">
        <v>26232</v>
      </c>
      <c r="E7396" s="25" t="s">
        <v>26306</v>
      </c>
      <c r="F7396" s="9" t="str">
        <f t="shared" si="108"/>
        <v>structure with developmental contribution from neural crest</v>
      </c>
      <c r="G7396" s="9" t="s">
        <v>5090</v>
      </c>
      <c r="H7396" s="9" t="s">
        <v>19591</v>
      </c>
      <c r="I7396" s="9" t="s">
        <v>13463</v>
      </c>
      <c r="J7396" s="9" t="s">
        <v>13464</v>
      </c>
      <c r="K7396" s="3" t="s">
        <v>15176</v>
      </c>
      <c r="L7396" s="13">
        <v>1121</v>
      </c>
      <c r="M7396" t="str">
        <f>VLOOKUP(L7396,[1]Mouse_ARA!$B$2:$C$1328,2,FALSE)</f>
        <v>ENTl1</v>
      </c>
    </row>
    <row r="7397" spans="2:13" x14ac:dyDescent="0.25">
      <c r="B7397" s="37" t="s">
        <v>26303</v>
      </c>
      <c r="C7397" s="25" t="s">
        <v>2350</v>
      </c>
      <c r="D7397" s="25" t="s">
        <v>26232</v>
      </c>
      <c r="E7397" s="25"/>
      <c r="F7397" s="9" t="str">
        <f t="shared" si="108"/>
        <v>structure with developmental contribution from neural crest</v>
      </c>
      <c r="G7397" s="9" t="s">
        <v>5090</v>
      </c>
      <c r="H7397" s="9" t="s">
        <v>18467</v>
      </c>
      <c r="I7397" s="9" t="s">
        <v>2350</v>
      </c>
      <c r="J7397" s="9" t="s">
        <v>2355</v>
      </c>
      <c r="K7397" s="3" t="s">
        <v>15176</v>
      </c>
      <c r="L7397" s="13">
        <v>1123</v>
      </c>
      <c r="M7397" t="str">
        <f>VLOOKUP(L7397,[1]Mouse_ARA!$B$2:$C$1328,2,FALSE)</f>
        <v>icp</v>
      </c>
    </row>
    <row r="7398" spans="2:13" x14ac:dyDescent="0.25">
      <c r="B7398" s="31" t="s">
        <v>26299</v>
      </c>
      <c r="C7398" s="25" t="s">
        <v>26080</v>
      </c>
      <c r="D7398" s="25" t="s">
        <v>26232</v>
      </c>
      <c r="E7398" s="25" t="s">
        <v>26306</v>
      </c>
      <c r="F7398" s="9" t="str">
        <f t="shared" si="108"/>
        <v>structure with developmental contribution from neural crest</v>
      </c>
      <c r="G7398" s="9" t="s">
        <v>5090</v>
      </c>
      <c r="H7398" s="9" t="s">
        <v>19185</v>
      </c>
      <c r="I7398" s="9" t="s">
        <v>13465</v>
      </c>
      <c r="J7398" s="9" t="s">
        <v>13466</v>
      </c>
      <c r="K7398" s="3" t="s">
        <v>15176</v>
      </c>
      <c r="L7398" s="13">
        <v>1125</v>
      </c>
      <c r="M7398" t="str">
        <f>VLOOKUP(L7398,[1]Mouse_ARA!$B$2:$C$1328,2,FALSE)</f>
        <v>ORBvl5</v>
      </c>
    </row>
    <row r="7399" spans="2:13" x14ac:dyDescent="0.25">
      <c r="B7399" s="31" t="s">
        <v>26303</v>
      </c>
      <c r="C7399" s="20"/>
      <c r="D7399" s="25" t="s">
        <v>26232</v>
      </c>
      <c r="E7399" s="25" t="s">
        <v>26307</v>
      </c>
      <c r="F7399" s="9" t="str">
        <f t="shared" si="108"/>
        <v>structure with developmental contribution from neural crest</v>
      </c>
      <c r="G7399" s="9" t="s">
        <v>5090</v>
      </c>
      <c r="H7399" s="9" t="s">
        <v>19358</v>
      </c>
      <c r="I7399" s="9" t="s">
        <v>13467</v>
      </c>
      <c r="J7399" s="9" t="s">
        <v>13468</v>
      </c>
      <c r="K7399" s="3" t="s">
        <v>15176</v>
      </c>
      <c r="L7399" s="13">
        <v>1127</v>
      </c>
      <c r="M7399" t="str">
        <f>VLOOKUP(L7399,[1]Mouse_ARA!$B$2:$C$1328,2,FALSE)</f>
        <v>TEa2/3</v>
      </c>
    </row>
    <row r="7400" spans="2:13" x14ac:dyDescent="0.25">
      <c r="B7400" s="31" t="s">
        <v>26303</v>
      </c>
      <c r="C7400" s="25" t="s">
        <v>26173</v>
      </c>
      <c r="D7400" s="25" t="s">
        <v>26232</v>
      </c>
      <c r="E7400" s="25" t="s">
        <v>26306</v>
      </c>
      <c r="F7400" s="9" t="str">
        <f t="shared" si="108"/>
        <v>structure with developmental contribution from neural crest</v>
      </c>
      <c r="G7400" s="9" t="s">
        <v>5090</v>
      </c>
      <c r="H7400" s="9" t="s">
        <v>18780</v>
      </c>
      <c r="I7400" s="9" t="s">
        <v>13469</v>
      </c>
      <c r="J7400" s="9" t="s">
        <v>13470</v>
      </c>
      <c r="K7400" s="3" t="s">
        <v>15176</v>
      </c>
      <c r="L7400" s="13">
        <v>1128</v>
      </c>
      <c r="M7400" t="str">
        <f>VLOOKUP(L7400,[1]Mouse_ARA!$B$2:$C$1328,2,FALSE)</f>
        <v>SSp-ll5</v>
      </c>
    </row>
    <row r="7401" spans="2:13" x14ac:dyDescent="0.25">
      <c r="B7401" s="31" t="s">
        <v>26303</v>
      </c>
      <c r="C7401" s="25" t="s">
        <v>26173</v>
      </c>
      <c r="D7401" s="25" t="s">
        <v>26232</v>
      </c>
      <c r="E7401" s="25" t="s">
        <v>26306</v>
      </c>
      <c r="F7401" s="9" t="str">
        <f t="shared" si="108"/>
        <v>structure with developmental contribution from neural crest</v>
      </c>
      <c r="G7401" s="9" t="s">
        <v>5090</v>
      </c>
      <c r="H7401" s="9" t="s">
        <v>18776</v>
      </c>
      <c r="I7401" s="9" t="s">
        <v>13471</v>
      </c>
      <c r="J7401" s="9" t="s">
        <v>13472</v>
      </c>
      <c r="K7401" s="3" t="s">
        <v>15176</v>
      </c>
      <c r="L7401" s="13">
        <v>113</v>
      </c>
      <c r="M7401" t="str">
        <f>VLOOKUP(L7401,[1]Mouse_ARA!$B$2:$C$1328,2,FALSE)</f>
        <v>SSp-ll2/3</v>
      </c>
    </row>
    <row r="7402" spans="2:13" x14ac:dyDescent="0.25">
      <c r="B7402" s="31" t="s">
        <v>26303</v>
      </c>
      <c r="C7402" s="25" t="s">
        <v>3862</v>
      </c>
      <c r="D7402" s="25" t="s">
        <v>26232</v>
      </c>
      <c r="E7402" s="25"/>
      <c r="F7402" s="9" t="str">
        <f t="shared" si="108"/>
        <v>structure with developmental contribution from neural crest</v>
      </c>
      <c r="G7402" s="9" t="s">
        <v>5090</v>
      </c>
      <c r="H7402" s="9" t="s">
        <v>20297</v>
      </c>
      <c r="I7402" s="9" t="s">
        <v>13473</v>
      </c>
      <c r="J7402" s="9" t="s">
        <v>13474</v>
      </c>
      <c r="K7402" s="3" t="s">
        <v>15176</v>
      </c>
      <c r="L7402" s="13">
        <v>1132</v>
      </c>
      <c r="M7402" t="str">
        <f>VLOOKUP(L7402,[1]Mouse_ARA!$B$2:$C$1328,2,FALSE)</f>
        <v>P-sen</v>
      </c>
    </row>
    <row r="7403" spans="2:13" x14ac:dyDescent="0.25">
      <c r="B7403" s="31" t="s">
        <v>26303</v>
      </c>
      <c r="C7403" s="25" t="s">
        <v>26020</v>
      </c>
      <c r="D7403" s="25" t="s">
        <v>26232</v>
      </c>
      <c r="E7403" s="25" t="s">
        <v>26306</v>
      </c>
      <c r="F7403" s="9" t="str">
        <f t="shared" si="108"/>
        <v>structure with developmental contribution from neural crest</v>
      </c>
      <c r="G7403" s="9" t="s">
        <v>5090</v>
      </c>
      <c r="H7403" s="9" t="s">
        <v>19645</v>
      </c>
      <c r="I7403" s="9" t="s">
        <v>13475</v>
      </c>
      <c r="J7403" s="9" t="s">
        <v>13476</v>
      </c>
      <c r="K7403" s="3" t="s">
        <v>15176</v>
      </c>
      <c r="L7403" s="13">
        <v>1133</v>
      </c>
      <c r="M7403" t="str">
        <f>VLOOKUP(L7403,[1]Mouse_ARA!$B$2:$C$1328,2,FALSE)</f>
        <v>ENTmv5/6</v>
      </c>
    </row>
    <row r="7404" spans="2:13" x14ac:dyDescent="0.25">
      <c r="B7404" s="31" t="s">
        <v>26303</v>
      </c>
      <c r="C7404" s="25" t="s">
        <v>3283</v>
      </c>
      <c r="D7404" s="25" t="s">
        <v>26232</v>
      </c>
      <c r="E7404" s="25" t="s">
        <v>26306</v>
      </c>
      <c r="F7404" s="9" t="str">
        <f t="shared" si="108"/>
        <v>structure with developmental contribution from neural crest</v>
      </c>
      <c r="G7404" s="9" t="s">
        <v>5090</v>
      </c>
      <c r="H7404" s="9" t="s">
        <v>19483</v>
      </c>
      <c r="I7404" s="9" t="s">
        <v>13477</v>
      </c>
      <c r="J7404" s="9" t="s">
        <v>13478</v>
      </c>
      <c r="K7404" s="3" t="s">
        <v>15176</v>
      </c>
      <c r="L7404" s="13">
        <v>1139</v>
      </c>
      <c r="M7404" t="str">
        <f>VLOOKUP(L7404,[1]Mouse_ARA!$B$2:$C$1328,2,FALSE)</f>
        <v>NLOT3</v>
      </c>
    </row>
    <row r="7405" spans="2:13" x14ac:dyDescent="0.25">
      <c r="B7405" s="31" t="s">
        <v>26303</v>
      </c>
      <c r="C7405" s="25" t="s">
        <v>13809</v>
      </c>
      <c r="D7405" s="25" t="s">
        <v>26232</v>
      </c>
      <c r="E7405" s="25"/>
      <c r="F7405" s="9" t="str">
        <f t="shared" si="108"/>
        <v>structure with developmental contribution from neural crest</v>
      </c>
      <c r="G7405" s="9" t="s">
        <v>5090</v>
      </c>
      <c r="H7405" s="9" t="s">
        <v>20336</v>
      </c>
      <c r="I7405" s="9" t="s">
        <v>2738</v>
      </c>
      <c r="J7405" s="9" t="s">
        <v>2739</v>
      </c>
      <c r="K7405" s="3" t="s">
        <v>15176</v>
      </c>
      <c r="L7405" s="13">
        <v>114</v>
      </c>
      <c r="M7405" t="str">
        <f>VLOOKUP(L7405,[1]Mouse_ARA!$B$2:$C$1328,2,FALSE)</f>
        <v>SOCl</v>
      </c>
    </row>
    <row r="7406" spans="2:13" x14ac:dyDescent="0.25">
      <c r="B7406" s="31" t="s">
        <v>26303</v>
      </c>
      <c r="C7406" s="20"/>
      <c r="D7406" s="25" t="s">
        <v>26232</v>
      </c>
      <c r="E7406" s="25" t="s">
        <v>26307</v>
      </c>
      <c r="F7406" s="9" t="str">
        <f t="shared" si="108"/>
        <v>structure with developmental contribution from neural crest</v>
      </c>
      <c r="G7406" s="9" t="s">
        <v>5090</v>
      </c>
      <c r="H7406" s="9" t="s">
        <v>19535</v>
      </c>
      <c r="I7406" s="9" t="s">
        <v>13479</v>
      </c>
      <c r="J7406" s="9" t="s">
        <v>13480</v>
      </c>
      <c r="K7406" s="3" t="s">
        <v>15176</v>
      </c>
      <c r="L7406" s="13">
        <v>1140</v>
      </c>
      <c r="M7406" t="str">
        <f>VLOOKUP(L7406,[1]Mouse_ARA!$B$2:$C$1328,2,FALSE)</f>
        <v>TR1</v>
      </c>
    </row>
    <row r="7407" spans="2:13" x14ac:dyDescent="0.25">
      <c r="B7407" s="31" t="s">
        <v>26303</v>
      </c>
      <c r="C7407" s="20"/>
      <c r="D7407" s="25" t="s">
        <v>26232</v>
      </c>
      <c r="E7407" s="25" t="s">
        <v>26307</v>
      </c>
      <c r="F7407" s="9" t="str">
        <f t="shared" si="108"/>
        <v>structure with developmental contribution from neural crest</v>
      </c>
      <c r="G7407" s="9" t="s">
        <v>5090</v>
      </c>
      <c r="H7407" s="9" t="s">
        <v>19537</v>
      </c>
      <c r="I7407" s="9" t="s">
        <v>13481</v>
      </c>
      <c r="J7407" s="9" t="s">
        <v>13482</v>
      </c>
      <c r="K7407" s="3" t="s">
        <v>15176</v>
      </c>
      <c r="L7407" s="13">
        <v>1141</v>
      </c>
      <c r="M7407" t="str">
        <f>VLOOKUP(L7407,[1]Mouse_ARA!$B$2:$C$1328,2,FALSE)</f>
        <v>TR2</v>
      </c>
    </row>
    <row r="7408" spans="2:13" x14ac:dyDescent="0.25">
      <c r="B7408" s="31" t="s">
        <v>26303</v>
      </c>
      <c r="C7408" s="20"/>
      <c r="D7408" s="25" t="s">
        <v>26232</v>
      </c>
      <c r="E7408" s="25" t="s">
        <v>26307</v>
      </c>
      <c r="F7408" s="9" t="str">
        <f t="shared" si="108"/>
        <v>structure with developmental contribution from neural crest</v>
      </c>
      <c r="G7408" s="9" t="s">
        <v>5090</v>
      </c>
      <c r="H7408" s="9" t="s">
        <v>19539</v>
      </c>
      <c r="I7408" s="9" t="s">
        <v>13483</v>
      </c>
      <c r="J7408" s="9" t="s">
        <v>13484</v>
      </c>
      <c r="K7408" s="3" t="s">
        <v>15176</v>
      </c>
      <c r="L7408" s="13">
        <v>1142</v>
      </c>
      <c r="M7408" t="str">
        <f>VLOOKUP(L7408,[1]Mouse_ARA!$B$2:$C$1328,2,FALSE)</f>
        <v>TR3</v>
      </c>
    </row>
    <row r="7409" spans="2:13" x14ac:dyDescent="0.25">
      <c r="B7409" s="31" t="s">
        <v>26303</v>
      </c>
      <c r="C7409" s="25" t="s">
        <v>2263</v>
      </c>
      <c r="D7409" s="25" t="s">
        <v>26232</v>
      </c>
      <c r="E7409" s="25"/>
      <c r="F7409" s="9" t="str">
        <f t="shared" si="108"/>
        <v>structure with developmental contribution from neural crest</v>
      </c>
      <c r="G7409" s="9" t="s">
        <v>5090</v>
      </c>
      <c r="H7409" s="9" t="s">
        <v>1091</v>
      </c>
      <c r="I7409" s="9" t="s">
        <v>2263</v>
      </c>
      <c r="J7409" s="9" t="s">
        <v>2276</v>
      </c>
      <c r="K7409" s="3" t="s">
        <v>15176</v>
      </c>
      <c r="L7409" s="13">
        <v>115</v>
      </c>
      <c r="M7409" t="str">
        <f>VLOOKUP(L7409,[1]Mouse_ARA!$B$2:$C$1328,2,FALSE)</f>
        <v>IV</v>
      </c>
    </row>
    <row r="7410" spans="2:13" x14ac:dyDescent="0.25">
      <c r="B7410" s="31" t="s">
        <v>26303</v>
      </c>
      <c r="C7410" s="25" t="s">
        <v>26281</v>
      </c>
      <c r="D7410" s="25" t="s">
        <v>26232</v>
      </c>
      <c r="E7410" s="25"/>
      <c r="F7410" s="9" t="str">
        <f t="shared" si="108"/>
        <v>structure with developmental contribution from neural crest</v>
      </c>
      <c r="G7410" s="9" t="s">
        <v>5090</v>
      </c>
      <c r="H7410" s="9" t="s">
        <v>20956</v>
      </c>
      <c r="I7410" s="9" t="s">
        <v>13485</v>
      </c>
      <c r="J7410" s="9" t="s">
        <v>13486</v>
      </c>
      <c r="K7410" s="3" t="s">
        <v>15176</v>
      </c>
      <c r="L7410" s="13">
        <v>116</v>
      </c>
      <c r="M7410" t="str">
        <f>VLOOKUP(L7410,[1]Mouse_ARA!$B$2:$C$1328,2,FALSE)</f>
        <v>chfl</v>
      </c>
    </row>
    <row r="7411" spans="2:13" x14ac:dyDescent="0.25">
      <c r="B7411" s="31" t="s">
        <v>26303</v>
      </c>
      <c r="C7411" s="25" t="s">
        <v>26075</v>
      </c>
      <c r="D7411" s="25" t="s">
        <v>26232</v>
      </c>
      <c r="E7411" s="25"/>
      <c r="F7411" s="9" t="str">
        <f t="shared" si="108"/>
        <v>structure with developmental contribution from neural crest</v>
      </c>
      <c r="G7411" s="9" t="s">
        <v>5090</v>
      </c>
      <c r="H7411" s="9" t="s">
        <v>18480</v>
      </c>
      <c r="I7411" s="9" t="s">
        <v>3492</v>
      </c>
      <c r="J7411" s="9" t="s">
        <v>3497</v>
      </c>
      <c r="K7411" s="3" t="s">
        <v>15176</v>
      </c>
      <c r="L7411" s="13">
        <v>117</v>
      </c>
      <c r="M7411" t="str">
        <f>VLOOKUP(L7411,[1]Mouse_ARA!$B$2:$C$1328,2,FALSE)</f>
        <v>och</v>
      </c>
    </row>
    <row r="7412" spans="2:13" x14ac:dyDescent="0.25">
      <c r="B7412" s="31" t="s">
        <v>26303</v>
      </c>
      <c r="C7412" s="25" t="s">
        <v>25771</v>
      </c>
      <c r="D7412" s="25" t="s">
        <v>26232</v>
      </c>
      <c r="E7412" s="25"/>
      <c r="F7412" s="9" t="str">
        <f t="shared" si="108"/>
        <v>structure with developmental contribution from neural crest</v>
      </c>
      <c r="G7412" s="9" t="s">
        <v>5090</v>
      </c>
      <c r="H7412" s="9" t="s">
        <v>19217</v>
      </c>
      <c r="I7412" s="9" t="s">
        <v>13487</v>
      </c>
      <c r="J7412" s="9" t="s">
        <v>13488</v>
      </c>
      <c r="K7412" s="3" t="s">
        <v>15176</v>
      </c>
      <c r="L7412" s="13">
        <v>119</v>
      </c>
      <c r="M7412" t="str">
        <f>VLOOKUP(L7412,[1]Mouse_ARA!$B$2:$C$1328,2,FALSE)</f>
        <v>AIv</v>
      </c>
    </row>
    <row r="7413" spans="2:13" x14ac:dyDescent="0.25">
      <c r="B7413" s="31" t="s">
        <v>26303</v>
      </c>
      <c r="C7413" s="25" t="s">
        <v>25771</v>
      </c>
      <c r="D7413" s="25" t="s">
        <v>26232</v>
      </c>
      <c r="E7413" s="25" t="s">
        <v>26306</v>
      </c>
      <c r="F7413" s="9" t="str">
        <f t="shared" si="108"/>
        <v>structure with developmental contribution from neural crest</v>
      </c>
      <c r="G7413" s="9" t="s">
        <v>5090</v>
      </c>
      <c r="H7413" s="9" t="s">
        <v>19207</v>
      </c>
      <c r="I7413" s="9" t="s">
        <v>13489</v>
      </c>
      <c r="J7413" s="9" t="s">
        <v>13490</v>
      </c>
      <c r="K7413" s="3" t="s">
        <v>15176</v>
      </c>
      <c r="L7413" s="13">
        <v>120</v>
      </c>
      <c r="M7413" t="str">
        <f>VLOOKUP(L7413,[1]Mouse_ARA!$B$2:$C$1328,2,FALSE)</f>
        <v>AIp1</v>
      </c>
    </row>
    <row r="7414" spans="2:13" x14ac:dyDescent="0.25">
      <c r="B7414" s="31" t="s">
        <v>26303</v>
      </c>
      <c r="C7414" s="25" t="s">
        <v>2751</v>
      </c>
      <c r="D7414" s="25" t="s">
        <v>26232</v>
      </c>
      <c r="E7414" s="25" t="s">
        <v>26306</v>
      </c>
      <c r="F7414" s="9" t="str">
        <f t="shared" si="108"/>
        <v>structure with developmental contribution from neural crest</v>
      </c>
      <c r="G7414" s="9" t="s">
        <v>5090</v>
      </c>
      <c r="H7414" s="9" t="s">
        <v>19010</v>
      </c>
      <c r="I7414" s="9" t="s">
        <v>13491</v>
      </c>
      <c r="J7414" s="9" t="s">
        <v>13492</v>
      </c>
      <c r="K7414" s="3" t="s">
        <v>15176</v>
      </c>
      <c r="L7414" s="13">
        <v>121</v>
      </c>
      <c r="M7414" t="str">
        <f>VLOOKUP(L7414,[1]Mouse_ARA!$B$2:$C$1328,2,FALSE)</f>
        <v>VISl6b</v>
      </c>
    </row>
    <row r="7415" spans="2:13" x14ac:dyDescent="0.25">
      <c r="B7415" s="31" t="s">
        <v>26303</v>
      </c>
      <c r="C7415" s="25" t="s">
        <v>26118</v>
      </c>
      <c r="D7415" s="25" t="s">
        <v>26185</v>
      </c>
      <c r="E7415" s="20" t="s">
        <v>26300</v>
      </c>
      <c r="F7415" s="9" t="str">
        <f t="shared" ref="F7415:F7478" si="109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7415" s="9" t="s">
        <v>5090</v>
      </c>
      <c r="H7415" s="9" t="s">
        <v>15198</v>
      </c>
      <c r="I7415" s="9" t="s">
        <v>3807</v>
      </c>
      <c r="J7415" s="9" t="s">
        <v>3808</v>
      </c>
      <c r="K7415" s="3" t="s">
        <v>15176</v>
      </c>
      <c r="L7415" s="13">
        <v>122</v>
      </c>
      <c r="M7415" t="str">
        <f>VLOOKUP(L7415,[1]Mouse_ARA!$B$2:$C$1328,2,FALSE)</f>
        <v>POR</v>
      </c>
    </row>
    <row r="7416" spans="2:13" x14ac:dyDescent="0.25">
      <c r="B7416" s="31" t="s">
        <v>26303</v>
      </c>
      <c r="C7416" s="25" t="s">
        <v>25906</v>
      </c>
      <c r="D7416" s="25" t="s">
        <v>26232</v>
      </c>
      <c r="E7416" s="25"/>
      <c r="F7416" s="9" t="str">
        <f t="shared" si="109"/>
        <v>structure with developmental contribution from neural crest</v>
      </c>
      <c r="G7416" s="9" t="s">
        <v>5090</v>
      </c>
      <c r="H7416" s="9" t="s">
        <v>17284</v>
      </c>
      <c r="I7416" s="9" t="s">
        <v>13493</v>
      </c>
      <c r="J7416" s="9" t="s">
        <v>13494</v>
      </c>
      <c r="K7416" s="3" t="s">
        <v>15176</v>
      </c>
      <c r="L7416" s="13">
        <v>123</v>
      </c>
      <c r="M7416" t="str">
        <f>VLOOKUP(L7416,[1]Mouse_ARA!$B$2:$C$1328,2,FALSE)</f>
        <v>KF</v>
      </c>
    </row>
    <row r="7417" spans="2:13" x14ac:dyDescent="0.25">
      <c r="B7417" s="31" t="s">
        <v>26303</v>
      </c>
      <c r="C7417" s="25" t="s">
        <v>3504</v>
      </c>
      <c r="D7417" s="25" t="s">
        <v>26232</v>
      </c>
      <c r="E7417" s="25"/>
      <c r="F7417" s="9" t="str">
        <f t="shared" si="109"/>
        <v>structure with developmental contribution from neural crest</v>
      </c>
      <c r="G7417" s="9" t="s">
        <v>5090</v>
      </c>
      <c r="H7417" s="9" t="s">
        <v>18483</v>
      </c>
      <c r="I7417" s="9" t="s">
        <v>3504</v>
      </c>
      <c r="J7417" s="9" t="s">
        <v>3509</v>
      </c>
      <c r="K7417" s="3" t="s">
        <v>15176</v>
      </c>
      <c r="L7417" s="13">
        <v>125</v>
      </c>
      <c r="M7417" t="str">
        <f>VLOOKUP(L7417,[1]Mouse_ARA!$B$2:$C$1328,2,FALSE)</f>
        <v>opt</v>
      </c>
    </row>
    <row r="7418" spans="2:13" x14ac:dyDescent="0.25">
      <c r="B7418" s="31" t="s">
        <v>26303</v>
      </c>
      <c r="C7418" s="25" t="s">
        <v>26220</v>
      </c>
      <c r="D7418" s="25" t="s">
        <v>26232</v>
      </c>
      <c r="E7418" s="25" t="s">
        <v>26306</v>
      </c>
      <c r="F7418" s="9" t="str">
        <f t="shared" si="109"/>
        <v>structure with developmental contribution from neural crest</v>
      </c>
      <c r="G7418" s="9" t="s">
        <v>5090</v>
      </c>
      <c r="H7418" s="9" t="s">
        <v>18704</v>
      </c>
      <c r="I7418" s="9" t="s">
        <v>13495</v>
      </c>
      <c r="J7418" s="9" t="s">
        <v>13496</v>
      </c>
      <c r="K7418" s="3" t="s">
        <v>15176</v>
      </c>
      <c r="L7418" s="13">
        <v>12993</v>
      </c>
      <c r="M7418" t="str">
        <f>VLOOKUP(L7418,[1]Mouse_ARA!$B$2:$C$1328,2,FALSE)</f>
        <v>SS1</v>
      </c>
    </row>
    <row r="7419" spans="2:13" x14ac:dyDescent="0.25">
      <c r="B7419" s="31" t="s">
        <v>26303</v>
      </c>
      <c r="C7419" s="25" t="s">
        <v>26220</v>
      </c>
      <c r="D7419" s="25" t="s">
        <v>26232</v>
      </c>
      <c r="E7419" s="25" t="s">
        <v>26306</v>
      </c>
      <c r="F7419" s="9" t="str">
        <f t="shared" si="109"/>
        <v>structure with developmental contribution from neural crest</v>
      </c>
      <c r="G7419" s="9" t="s">
        <v>5090</v>
      </c>
      <c r="H7419" s="9" t="s">
        <v>18706</v>
      </c>
      <c r="I7419" s="9" t="s">
        <v>13497</v>
      </c>
      <c r="J7419" s="9" t="s">
        <v>13498</v>
      </c>
      <c r="K7419" s="3" t="s">
        <v>15176</v>
      </c>
      <c r="L7419" s="13">
        <v>12994</v>
      </c>
      <c r="M7419" t="str">
        <f>VLOOKUP(L7419,[1]Mouse_ARA!$B$2:$C$1328,2,FALSE)</f>
        <v>SS2/3</v>
      </c>
    </row>
    <row r="7420" spans="2:13" x14ac:dyDescent="0.25">
      <c r="B7420" s="31" t="s">
        <v>26303</v>
      </c>
      <c r="C7420" s="25" t="s">
        <v>26220</v>
      </c>
      <c r="D7420" s="25" t="s">
        <v>26232</v>
      </c>
      <c r="E7420" s="25" t="s">
        <v>26306</v>
      </c>
      <c r="F7420" s="9" t="str">
        <f t="shared" si="109"/>
        <v>structure with developmental contribution from neural crest</v>
      </c>
      <c r="G7420" s="9" t="s">
        <v>5090</v>
      </c>
      <c r="H7420" s="9" t="s">
        <v>18708</v>
      </c>
      <c r="I7420" s="9" t="s">
        <v>13499</v>
      </c>
      <c r="J7420" s="9" t="s">
        <v>13500</v>
      </c>
      <c r="K7420" s="3" t="s">
        <v>15176</v>
      </c>
      <c r="L7420" s="13">
        <v>12995</v>
      </c>
      <c r="M7420" t="str">
        <f>VLOOKUP(L7420,[1]Mouse_ARA!$B$2:$C$1328,2,FALSE)</f>
        <v>SS4</v>
      </c>
    </row>
    <row r="7421" spans="2:13" x14ac:dyDescent="0.25">
      <c r="B7421" s="31" t="s">
        <v>26303</v>
      </c>
      <c r="C7421" s="25" t="s">
        <v>26220</v>
      </c>
      <c r="D7421" s="25" t="s">
        <v>26232</v>
      </c>
      <c r="E7421" s="25" t="s">
        <v>26306</v>
      </c>
      <c r="F7421" s="9" t="str">
        <f t="shared" si="109"/>
        <v>structure with developmental contribution from neural crest</v>
      </c>
      <c r="G7421" s="9" t="s">
        <v>5090</v>
      </c>
      <c r="H7421" s="9" t="s">
        <v>18710</v>
      </c>
      <c r="I7421" s="9" t="s">
        <v>13501</v>
      </c>
      <c r="J7421" s="9" t="s">
        <v>13502</v>
      </c>
      <c r="K7421" s="3" t="s">
        <v>15176</v>
      </c>
      <c r="L7421" s="13">
        <v>12996</v>
      </c>
      <c r="M7421" t="str">
        <f>VLOOKUP(L7421,[1]Mouse_ARA!$B$2:$C$1328,2,FALSE)</f>
        <v>SS5</v>
      </c>
    </row>
    <row r="7422" spans="2:13" x14ac:dyDescent="0.25">
      <c r="B7422" s="31" t="s">
        <v>26303</v>
      </c>
      <c r="C7422" s="25" t="s">
        <v>26220</v>
      </c>
      <c r="D7422" s="25" t="s">
        <v>26232</v>
      </c>
      <c r="E7422" s="25" t="s">
        <v>26306</v>
      </c>
      <c r="F7422" s="9" t="str">
        <f t="shared" si="109"/>
        <v>structure with developmental contribution from neural crest</v>
      </c>
      <c r="G7422" s="9" t="s">
        <v>5090</v>
      </c>
      <c r="H7422" s="9" t="s">
        <v>18712</v>
      </c>
      <c r="I7422" s="9" t="s">
        <v>13503</v>
      </c>
      <c r="J7422" s="9" t="s">
        <v>13504</v>
      </c>
      <c r="K7422" s="3" t="s">
        <v>15176</v>
      </c>
      <c r="L7422" s="13">
        <v>12997</v>
      </c>
      <c r="M7422" t="str">
        <f>VLOOKUP(L7422,[1]Mouse_ARA!$B$2:$C$1328,2,FALSE)</f>
        <v>SS6a</v>
      </c>
    </row>
    <row r="7423" spans="2:13" x14ac:dyDescent="0.25">
      <c r="B7423" s="31" t="s">
        <v>26303</v>
      </c>
      <c r="C7423" s="25" t="s">
        <v>26220</v>
      </c>
      <c r="D7423" s="25" t="s">
        <v>26232</v>
      </c>
      <c r="E7423" s="25" t="s">
        <v>26306</v>
      </c>
      <c r="F7423" s="9" t="str">
        <f t="shared" si="109"/>
        <v>structure with developmental contribution from neural crest</v>
      </c>
      <c r="G7423" s="9" t="s">
        <v>5090</v>
      </c>
      <c r="H7423" s="9" t="s">
        <v>18714</v>
      </c>
      <c r="I7423" s="9" t="s">
        <v>13505</v>
      </c>
      <c r="J7423" s="9" t="s">
        <v>13506</v>
      </c>
      <c r="K7423" s="3" t="s">
        <v>15176</v>
      </c>
      <c r="L7423" s="13">
        <v>12998</v>
      </c>
      <c r="M7423" t="str">
        <f>VLOOKUP(L7423,[1]Mouse_ARA!$B$2:$C$1328,2,FALSE)</f>
        <v>SS6b</v>
      </c>
    </row>
    <row r="7424" spans="2:13" x14ac:dyDescent="0.25">
      <c r="B7424" s="31" t="s">
        <v>26303</v>
      </c>
      <c r="C7424" s="25" t="s">
        <v>3060</v>
      </c>
      <c r="D7424" s="25" t="s">
        <v>26232</v>
      </c>
      <c r="E7424" s="25"/>
      <c r="F7424" s="9" t="str">
        <f t="shared" si="109"/>
        <v>structure with developmental contribution from neural crest</v>
      </c>
      <c r="G7424" s="9" t="s">
        <v>5090</v>
      </c>
      <c r="H7424" s="9" t="s">
        <v>20376</v>
      </c>
      <c r="I7424" s="9" t="s">
        <v>13507</v>
      </c>
      <c r="J7424" s="9" t="s">
        <v>13508</v>
      </c>
      <c r="K7424" s="3" t="s">
        <v>15176</v>
      </c>
      <c r="L7424" s="13">
        <v>130</v>
      </c>
      <c r="M7424" t="str">
        <f>VLOOKUP(L7424,[1]Mouse_ARA!$B$2:$C$1328,2,FALSE)</f>
        <v>CSm</v>
      </c>
    </row>
    <row r="7425" spans="2:13" x14ac:dyDescent="0.25">
      <c r="B7425" s="31" t="s">
        <v>26303</v>
      </c>
      <c r="C7425" s="25" t="s">
        <v>2559</v>
      </c>
      <c r="D7425" s="25" t="s">
        <v>26232</v>
      </c>
      <c r="E7425" s="25"/>
      <c r="F7425" s="9" t="str">
        <f t="shared" si="109"/>
        <v>structure with developmental contribution from neural crest</v>
      </c>
      <c r="G7425" s="9" t="s">
        <v>5090</v>
      </c>
      <c r="H7425" s="9" t="s">
        <v>15318</v>
      </c>
      <c r="I7425" s="9" t="s">
        <v>2562</v>
      </c>
      <c r="J7425" s="9" t="s">
        <v>2563</v>
      </c>
      <c r="K7425" s="3" t="s">
        <v>15176</v>
      </c>
      <c r="L7425" s="13">
        <v>131</v>
      </c>
      <c r="M7425" t="str">
        <f>VLOOKUP(L7425,[1]Mouse_ARA!$B$2:$C$1328,2,FALSE)</f>
        <v>LA</v>
      </c>
    </row>
    <row r="7426" spans="2:13" x14ac:dyDescent="0.25">
      <c r="B7426" s="31" t="s">
        <v>26299</v>
      </c>
      <c r="C7426" s="25" t="s">
        <v>25747</v>
      </c>
      <c r="D7426" s="25" t="s">
        <v>26232</v>
      </c>
      <c r="E7426" s="25" t="s">
        <v>26306</v>
      </c>
      <c r="F7426" s="9" t="str">
        <f t="shared" si="109"/>
        <v>structure with developmental contribution from neural crest</v>
      </c>
      <c r="G7426" s="9" t="s">
        <v>5090</v>
      </c>
      <c r="H7426" s="9" t="s">
        <v>19123</v>
      </c>
      <c r="I7426" s="9" t="s">
        <v>13509</v>
      </c>
      <c r="J7426" s="9" t="s">
        <v>13510</v>
      </c>
      <c r="K7426" s="3" t="s">
        <v>15176</v>
      </c>
      <c r="L7426" s="13">
        <v>132</v>
      </c>
      <c r="M7426" t="str">
        <f>VLOOKUP(L7426,[1]Mouse_ARA!$B$2:$C$1328,2,FALSE)</f>
        <v>PL6b</v>
      </c>
    </row>
    <row r="7427" spans="2:13" x14ac:dyDescent="0.25">
      <c r="B7427" s="31" t="s">
        <v>26303</v>
      </c>
      <c r="C7427" s="25" t="s">
        <v>3248</v>
      </c>
      <c r="D7427" s="25" t="s">
        <v>26232</v>
      </c>
      <c r="E7427" s="25"/>
      <c r="F7427" s="9" t="str">
        <f t="shared" si="109"/>
        <v>structure with developmental contribution from neural crest</v>
      </c>
      <c r="G7427" s="9" t="s">
        <v>5090</v>
      </c>
      <c r="H7427" s="9" t="s">
        <v>20460</v>
      </c>
      <c r="I7427" s="9" t="s">
        <v>3248</v>
      </c>
      <c r="J7427" s="9" t="s">
        <v>3249</v>
      </c>
      <c r="K7427" s="3" t="s">
        <v>15176</v>
      </c>
      <c r="L7427" s="13">
        <v>135</v>
      </c>
      <c r="M7427" t="str">
        <f>VLOOKUP(L7427,[1]Mouse_ARA!$B$2:$C$1328,2,FALSE)</f>
        <v>AMB</v>
      </c>
    </row>
    <row r="7428" spans="2:13" x14ac:dyDescent="0.25">
      <c r="B7428" s="31" t="s">
        <v>26303</v>
      </c>
      <c r="C7428" s="25" t="s">
        <v>2481</v>
      </c>
      <c r="D7428" s="25" t="s">
        <v>26232</v>
      </c>
      <c r="E7428" s="25"/>
      <c r="F7428" s="9" t="str">
        <f t="shared" si="109"/>
        <v>structure with developmental contribution from neural crest</v>
      </c>
      <c r="G7428" s="9" t="s">
        <v>5090</v>
      </c>
      <c r="H7428" s="9" t="s">
        <v>20476</v>
      </c>
      <c r="I7428" s="9" t="s">
        <v>2481</v>
      </c>
      <c r="J7428" s="9" t="s">
        <v>2483</v>
      </c>
      <c r="K7428" s="3" t="s">
        <v>15176</v>
      </c>
      <c r="L7428" s="13">
        <v>136</v>
      </c>
      <c r="M7428" t="str">
        <f>VLOOKUP(L7428,[1]Mouse_ARA!$B$2:$C$1328,2,FALSE)</f>
        <v>IRN</v>
      </c>
    </row>
    <row r="7429" spans="2:13" x14ac:dyDescent="0.25">
      <c r="B7429" s="31" t="s">
        <v>26303</v>
      </c>
      <c r="C7429" s="25" t="s">
        <v>3060</v>
      </c>
      <c r="D7429" s="25" t="s">
        <v>26232</v>
      </c>
      <c r="E7429" s="25"/>
      <c r="F7429" s="9" t="str">
        <f t="shared" si="109"/>
        <v>structure with developmental contribution from neural crest</v>
      </c>
      <c r="G7429" s="9" t="s">
        <v>5090</v>
      </c>
      <c r="H7429" s="9" t="s">
        <v>20374</v>
      </c>
      <c r="I7429" s="9" t="s">
        <v>13511</v>
      </c>
      <c r="J7429" s="9" t="s">
        <v>13512</v>
      </c>
      <c r="K7429" s="3" t="s">
        <v>15176</v>
      </c>
      <c r="L7429" s="13">
        <v>137</v>
      </c>
      <c r="M7429" t="str">
        <f>VLOOKUP(L7429,[1]Mouse_ARA!$B$2:$C$1328,2,FALSE)</f>
        <v>CSl</v>
      </c>
    </row>
    <row r="7430" spans="2:13" x14ac:dyDescent="0.25">
      <c r="B7430" s="31" t="s">
        <v>26303</v>
      </c>
      <c r="C7430" s="25" t="s">
        <v>25987</v>
      </c>
      <c r="D7430" s="25" t="s">
        <v>26232</v>
      </c>
      <c r="E7430" s="25" t="s">
        <v>26306</v>
      </c>
      <c r="F7430" s="9" t="str">
        <f t="shared" si="109"/>
        <v>structure with developmental contribution from neural crest</v>
      </c>
      <c r="G7430" s="9" t="s">
        <v>5090</v>
      </c>
      <c r="H7430" s="9" t="s">
        <v>19607</v>
      </c>
      <c r="I7430" s="9" t="s">
        <v>13513</v>
      </c>
      <c r="J7430" s="9" t="s">
        <v>13514</v>
      </c>
      <c r="K7430" s="3" t="s">
        <v>15176</v>
      </c>
      <c r="L7430" s="13">
        <v>139</v>
      </c>
      <c r="M7430" t="str">
        <f>VLOOKUP(L7430,[1]Mouse_ARA!$B$2:$C$1328,2,FALSE)</f>
        <v>ENTl5</v>
      </c>
    </row>
    <row r="7431" spans="2:13" x14ac:dyDescent="0.25">
      <c r="B7431" s="31" t="s">
        <v>26303</v>
      </c>
      <c r="C7431" s="25" t="s">
        <v>3248</v>
      </c>
      <c r="D7431" s="25" t="s">
        <v>26232</v>
      </c>
      <c r="E7431" s="25"/>
      <c r="F7431" s="9" t="str">
        <f t="shared" si="109"/>
        <v>structure with developmental contribution from neural crest</v>
      </c>
      <c r="G7431" s="9" t="s">
        <v>5090</v>
      </c>
      <c r="H7431" s="9" t="s">
        <v>20464</v>
      </c>
      <c r="I7431" s="9" t="s">
        <v>13515</v>
      </c>
      <c r="J7431" s="9" t="s">
        <v>13516</v>
      </c>
      <c r="K7431" s="3" t="s">
        <v>15176</v>
      </c>
      <c r="L7431" s="13">
        <v>143</v>
      </c>
      <c r="M7431" t="str">
        <f>VLOOKUP(L7431,[1]Mouse_ARA!$B$2:$C$1328,2,FALSE)</f>
        <v>AMBv</v>
      </c>
    </row>
    <row r="7432" spans="2:13" x14ac:dyDescent="0.25">
      <c r="B7432" s="31" t="s">
        <v>26303</v>
      </c>
      <c r="C7432" s="25" t="s">
        <v>3471</v>
      </c>
      <c r="D7432" s="25" t="s">
        <v>26232</v>
      </c>
      <c r="E7432" s="25" t="s">
        <v>26306</v>
      </c>
      <c r="F7432" s="9" t="str">
        <f t="shared" si="109"/>
        <v>structure with developmental contribution from neural crest</v>
      </c>
      <c r="G7432" s="9" t="s">
        <v>5090</v>
      </c>
      <c r="H7432" s="9" t="s">
        <v>19758</v>
      </c>
      <c r="I7432" s="9" t="s">
        <v>13517</v>
      </c>
      <c r="J7432" s="9" t="s">
        <v>13518</v>
      </c>
      <c r="K7432" s="3" t="s">
        <v>15176</v>
      </c>
      <c r="L7432" s="13">
        <v>144</v>
      </c>
      <c r="M7432" t="str">
        <f>VLOOKUP(L7432,[1]Mouse_ARA!$B$2:$C$1328,2,FALSE)</f>
        <v>OT1-3</v>
      </c>
    </row>
    <row r="7433" spans="2:13" x14ac:dyDescent="0.25">
      <c r="B7433" s="31" t="s">
        <v>26303</v>
      </c>
      <c r="C7433" s="25" t="s">
        <v>26059</v>
      </c>
      <c r="D7433" s="25" t="s">
        <v>26232</v>
      </c>
      <c r="E7433" s="25"/>
      <c r="F7433" s="9" t="str">
        <f t="shared" si="109"/>
        <v>structure with developmental contribution from neural crest</v>
      </c>
      <c r="G7433" s="9" t="s">
        <v>5090</v>
      </c>
      <c r="H7433" s="9" t="s">
        <v>20383</v>
      </c>
      <c r="I7433" s="9" t="s">
        <v>3307</v>
      </c>
      <c r="J7433" s="9" t="s">
        <v>3308</v>
      </c>
      <c r="K7433" s="3" t="s">
        <v>15176</v>
      </c>
      <c r="L7433" s="13">
        <v>146</v>
      </c>
      <c r="M7433" t="str">
        <f>VLOOKUP(L7433,[1]Mouse_ARA!$B$2:$C$1328,2,FALSE)</f>
        <v>PRNr</v>
      </c>
    </row>
    <row r="7434" spans="2:13" x14ac:dyDescent="0.25">
      <c r="B7434" s="31" t="s">
        <v>26303</v>
      </c>
      <c r="C7434" s="25" t="s">
        <v>2801</v>
      </c>
      <c r="D7434" s="25" t="s">
        <v>26232</v>
      </c>
      <c r="E7434" s="25"/>
      <c r="F7434" s="9" t="str">
        <f t="shared" si="109"/>
        <v>structure with developmental contribution from neural crest</v>
      </c>
      <c r="G7434" s="9" t="s">
        <v>5090</v>
      </c>
      <c r="H7434" s="9" t="s">
        <v>17425</v>
      </c>
      <c r="I7434" s="9" t="s">
        <v>2801</v>
      </c>
      <c r="J7434" s="9" t="s">
        <v>2803</v>
      </c>
      <c r="K7434" s="3" t="s">
        <v>15176</v>
      </c>
      <c r="L7434" s="13">
        <v>147</v>
      </c>
      <c r="M7434" t="str">
        <f>VLOOKUP(L7434,[1]Mouse_ARA!$B$2:$C$1328,2,FALSE)</f>
        <v>LC</v>
      </c>
    </row>
    <row r="7435" spans="2:13" x14ac:dyDescent="0.25">
      <c r="B7435" s="31" t="s">
        <v>26303</v>
      </c>
      <c r="C7435" s="20"/>
      <c r="D7435" s="25" t="s">
        <v>26232</v>
      </c>
      <c r="E7435" s="25" t="s">
        <v>26306</v>
      </c>
      <c r="F7435" s="9" t="str">
        <f t="shared" si="109"/>
        <v>structure with developmental contribution from neural crest</v>
      </c>
      <c r="G7435" s="9" t="s">
        <v>5090</v>
      </c>
      <c r="H7435" s="9" t="s">
        <v>18862</v>
      </c>
      <c r="I7435" s="9" t="s">
        <v>13519</v>
      </c>
      <c r="J7435" s="9" t="s">
        <v>13520</v>
      </c>
      <c r="K7435" s="3" t="s">
        <v>15176</v>
      </c>
      <c r="L7435" s="13">
        <v>148</v>
      </c>
      <c r="M7435" t="str">
        <f>VLOOKUP(L7435,[1]Mouse_ARA!$B$2:$C$1328,2,FALSE)</f>
        <v>GU4</v>
      </c>
    </row>
    <row r="7436" spans="2:13" x14ac:dyDescent="0.25">
      <c r="B7436" s="31" t="s">
        <v>26303</v>
      </c>
      <c r="C7436" s="25" t="s">
        <v>3837</v>
      </c>
      <c r="D7436" s="25" t="s">
        <v>26232</v>
      </c>
      <c r="E7436" s="25" t="s">
        <v>26306</v>
      </c>
      <c r="F7436" s="9" t="str">
        <f t="shared" si="109"/>
        <v>structure with developmental contribution from neural crest</v>
      </c>
      <c r="G7436" s="9" t="s">
        <v>5090</v>
      </c>
      <c r="H7436" s="9" t="s">
        <v>19467</v>
      </c>
      <c r="I7436" s="9" t="s">
        <v>13521</v>
      </c>
      <c r="J7436" s="9" t="s">
        <v>13522</v>
      </c>
      <c r="K7436" s="3" t="s">
        <v>15176</v>
      </c>
      <c r="L7436" s="13">
        <v>152</v>
      </c>
      <c r="M7436" t="str">
        <f>VLOOKUP(L7436,[1]Mouse_ARA!$B$2:$C$1328,2,FALSE)</f>
        <v>PIR1-3</v>
      </c>
    </row>
    <row r="7437" spans="2:13" x14ac:dyDescent="0.25">
      <c r="B7437" s="31" t="s">
        <v>26303</v>
      </c>
      <c r="C7437" s="25" t="s">
        <v>2702</v>
      </c>
      <c r="D7437" s="25" t="s">
        <v>26232</v>
      </c>
      <c r="E7437" s="25"/>
      <c r="F7437" s="9" t="str">
        <f t="shared" si="109"/>
        <v>structure with developmental contribution from neural crest</v>
      </c>
      <c r="G7437" s="9" t="s">
        <v>5090</v>
      </c>
      <c r="H7437" s="9" t="s">
        <v>20961</v>
      </c>
      <c r="I7437" s="9" t="s">
        <v>2704</v>
      </c>
      <c r="J7437" s="9" t="s">
        <v>2705</v>
      </c>
      <c r="K7437" s="3" t="s">
        <v>15176</v>
      </c>
      <c r="L7437" s="13">
        <v>153</v>
      </c>
      <c r="M7437" t="str">
        <f>VLOOKUP(L7437,[1]Mouse_ARA!$B$2:$C$1328,2,FALSE)</f>
        <v>V4r</v>
      </c>
    </row>
    <row r="7438" spans="2:13" x14ac:dyDescent="0.25">
      <c r="B7438" s="31" t="s">
        <v>26303</v>
      </c>
      <c r="C7438" s="20"/>
      <c r="D7438" s="25" t="s">
        <v>26185</v>
      </c>
      <c r="E7438" s="25" t="s">
        <v>26300</v>
      </c>
      <c r="F7438" s="9" t="str">
        <f t="shared" si="109"/>
        <v>structure with developmental contribution from neural crest</v>
      </c>
      <c r="G7438" s="9" t="s">
        <v>5090</v>
      </c>
      <c r="H7438" s="9" t="s">
        <v>20506</v>
      </c>
      <c r="I7438" s="9" t="s">
        <v>13523</v>
      </c>
      <c r="J7438" s="9" t="s">
        <v>13524</v>
      </c>
      <c r="K7438" s="3" t="s">
        <v>15176</v>
      </c>
      <c r="L7438" s="13">
        <v>154</v>
      </c>
      <c r="M7438" t="str">
        <f>VLOOKUP(L7438,[1]Mouse_ARA!$B$2:$C$1328,2,FALSE)</f>
        <v>PHY</v>
      </c>
    </row>
    <row r="7439" spans="2:13" x14ac:dyDescent="0.25">
      <c r="B7439" s="31" t="s">
        <v>26303</v>
      </c>
      <c r="C7439" s="25" t="s">
        <v>1512</v>
      </c>
      <c r="D7439" s="25" t="s">
        <v>26185</v>
      </c>
      <c r="E7439" s="25" t="s">
        <v>26307</v>
      </c>
      <c r="F7439" s="9" t="str">
        <f t="shared" si="109"/>
        <v>structure with developmental contribution from neural crest</v>
      </c>
      <c r="G7439" s="9" t="s">
        <v>5090</v>
      </c>
      <c r="H7439" s="9" t="s">
        <v>18896</v>
      </c>
      <c r="I7439" s="9" t="s">
        <v>13525</v>
      </c>
      <c r="J7439" s="9" t="s">
        <v>13526</v>
      </c>
      <c r="K7439" s="3" t="s">
        <v>15176</v>
      </c>
      <c r="L7439" s="13">
        <v>156</v>
      </c>
      <c r="M7439" t="str">
        <f>VLOOKUP(L7439,[1]Mouse_ARA!$B$2:$C$1328,2,FALSE)</f>
        <v>AUDd6a</v>
      </c>
    </row>
    <row r="7440" spans="2:13" x14ac:dyDescent="0.25">
      <c r="B7440" s="31" t="s">
        <v>26303</v>
      </c>
      <c r="C7440" s="25" t="s">
        <v>387</v>
      </c>
      <c r="D7440" s="25" t="s">
        <v>26232</v>
      </c>
      <c r="E7440" s="25"/>
      <c r="F7440" s="9" t="str">
        <f t="shared" si="109"/>
        <v>structure with developmental contribution from neural crest</v>
      </c>
      <c r="G7440" s="9" t="s">
        <v>5090</v>
      </c>
      <c r="H7440" s="9" t="s">
        <v>19413</v>
      </c>
      <c r="I7440" s="9" t="s">
        <v>387</v>
      </c>
      <c r="J7440" s="9" t="s">
        <v>390</v>
      </c>
      <c r="K7440" s="3" t="s">
        <v>15176</v>
      </c>
      <c r="L7440" s="13">
        <v>159</v>
      </c>
      <c r="M7440" t="str">
        <f>VLOOKUP(L7440,[1]Mouse_ARA!$B$2:$C$1328,2,FALSE)</f>
        <v>AON</v>
      </c>
    </row>
    <row r="7441" spans="2:13" x14ac:dyDescent="0.25">
      <c r="B7441" s="31" t="s">
        <v>26303</v>
      </c>
      <c r="C7441" s="25" t="s">
        <v>3205</v>
      </c>
      <c r="D7441" s="25" t="s">
        <v>26232</v>
      </c>
      <c r="E7441" s="25" t="s">
        <v>26306</v>
      </c>
      <c r="F7441" s="9" t="str">
        <f t="shared" si="109"/>
        <v>structure with developmental contribution from neural crest</v>
      </c>
      <c r="G7441" s="9" t="s">
        <v>5090</v>
      </c>
      <c r="H7441" s="9" t="s">
        <v>19713</v>
      </c>
      <c r="I7441" s="9" t="s">
        <v>13527</v>
      </c>
      <c r="J7441" s="9" t="s">
        <v>13528</v>
      </c>
      <c r="K7441" s="3" t="s">
        <v>15176</v>
      </c>
      <c r="L7441" s="13">
        <v>16</v>
      </c>
      <c r="M7441" t="str">
        <f>VLOOKUP(L7441,[1]Mouse_ARA!$B$2:$C$1328,2,FALSE)</f>
        <v>6b</v>
      </c>
    </row>
    <row r="7442" spans="2:13" x14ac:dyDescent="0.25">
      <c r="B7442" s="31" t="s">
        <v>26303</v>
      </c>
      <c r="C7442" s="25" t="s">
        <v>387</v>
      </c>
      <c r="D7442" s="25" t="s">
        <v>26232</v>
      </c>
      <c r="E7442" s="25" t="s">
        <v>26307</v>
      </c>
      <c r="F7442" s="9" t="str">
        <f t="shared" si="109"/>
        <v>structure with developmental contribution from neural crest</v>
      </c>
      <c r="G7442" s="9" t="s">
        <v>5090</v>
      </c>
      <c r="H7442" s="9" t="s">
        <v>19425</v>
      </c>
      <c r="I7442" s="9" t="s">
        <v>13529</v>
      </c>
      <c r="J7442" s="9" t="s">
        <v>13530</v>
      </c>
      <c r="K7442" s="3" t="s">
        <v>15176</v>
      </c>
      <c r="L7442" s="13">
        <v>160</v>
      </c>
      <c r="M7442" t="str">
        <f>VLOOKUP(L7442,[1]Mouse_ARA!$B$2:$C$1328,2,FALSE)</f>
        <v>AON1</v>
      </c>
    </row>
    <row r="7443" spans="2:13" x14ac:dyDescent="0.25">
      <c r="B7443" s="31" t="s">
        <v>26303</v>
      </c>
      <c r="C7443" s="25" t="s">
        <v>3262</v>
      </c>
      <c r="D7443" s="25" t="s">
        <v>26232</v>
      </c>
      <c r="E7443" s="25"/>
      <c r="F7443" s="9" t="str">
        <f t="shared" si="109"/>
        <v>structure with developmental contribution from neural crest</v>
      </c>
      <c r="G7443" s="9" t="s">
        <v>5090</v>
      </c>
      <c r="H7443" s="9" t="s">
        <v>20508</v>
      </c>
      <c r="I7443" s="9" t="s">
        <v>3262</v>
      </c>
      <c r="J7443" s="9" t="s">
        <v>3263</v>
      </c>
      <c r="K7443" s="3" t="s">
        <v>15176</v>
      </c>
      <c r="L7443" s="13">
        <v>161</v>
      </c>
      <c r="M7443" t="str">
        <f>VLOOKUP(L7443,[1]Mouse_ARA!$B$2:$C$1328,2,FALSE)</f>
        <v>NIS</v>
      </c>
    </row>
    <row r="7444" spans="2:13" x14ac:dyDescent="0.25">
      <c r="B7444" s="31" t="s">
        <v>26303</v>
      </c>
      <c r="C7444" s="25" t="s">
        <v>2261</v>
      </c>
      <c r="D7444" s="25" t="s">
        <v>26232</v>
      </c>
      <c r="E7444" s="25"/>
      <c r="F7444" s="9" t="str">
        <f t="shared" si="109"/>
        <v>structure with developmental contribution from neural crest</v>
      </c>
      <c r="G7444" s="9" t="s">
        <v>5090</v>
      </c>
      <c r="H7444" s="9" t="s">
        <v>20379</v>
      </c>
      <c r="I7444" s="9" t="s">
        <v>2261</v>
      </c>
      <c r="J7444" s="9" t="s">
        <v>2277</v>
      </c>
      <c r="K7444" s="3" t="s">
        <v>15176</v>
      </c>
      <c r="L7444" s="13">
        <v>162</v>
      </c>
      <c r="M7444" t="str">
        <f>VLOOKUP(L7444,[1]Mouse_ARA!$B$2:$C$1328,2,FALSE)</f>
        <v>LDT</v>
      </c>
    </row>
    <row r="7445" spans="2:13" x14ac:dyDescent="0.25">
      <c r="B7445" s="31" t="s">
        <v>26303</v>
      </c>
      <c r="C7445" s="25" t="s">
        <v>25771</v>
      </c>
      <c r="D7445" s="25" t="s">
        <v>26232</v>
      </c>
      <c r="E7445" s="25" t="s">
        <v>26306</v>
      </c>
      <c r="F7445" s="9" t="str">
        <f t="shared" si="109"/>
        <v>structure with developmental contribution from neural crest</v>
      </c>
      <c r="G7445" s="9" t="s">
        <v>5090</v>
      </c>
      <c r="H7445" s="9" t="s">
        <v>19209</v>
      </c>
      <c r="I7445" s="9" t="s">
        <v>13531</v>
      </c>
      <c r="J7445" s="9" t="s">
        <v>13532</v>
      </c>
      <c r="K7445" s="3" t="s">
        <v>15176</v>
      </c>
      <c r="L7445" s="13">
        <v>163</v>
      </c>
      <c r="M7445" t="str">
        <f>VLOOKUP(L7445,[1]Mouse_ARA!$B$2:$C$1328,2,FALSE)</f>
        <v>AIp2/3</v>
      </c>
    </row>
    <row r="7446" spans="2:13" x14ac:dyDescent="0.25">
      <c r="B7446" s="31" t="s">
        <v>26303</v>
      </c>
      <c r="C7446" s="25" t="s">
        <v>387</v>
      </c>
      <c r="D7446" s="25" t="s">
        <v>26232</v>
      </c>
      <c r="E7446" s="25" t="s">
        <v>26300</v>
      </c>
      <c r="F7446" s="9" t="str">
        <f t="shared" si="109"/>
        <v>structure with developmental contribution from neural crest</v>
      </c>
      <c r="G7446" s="9" t="s">
        <v>5090</v>
      </c>
      <c r="H7446" s="9" t="s">
        <v>19415</v>
      </c>
      <c r="I7446" s="9" t="s">
        <v>13533</v>
      </c>
      <c r="J7446" s="9" t="s">
        <v>13534</v>
      </c>
      <c r="K7446" s="3" t="s">
        <v>15176</v>
      </c>
      <c r="L7446" s="13">
        <v>167</v>
      </c>
      <c r="M7446" t="str">
        <f>VLOOKUP(L7446,[1]Mouse_ARA!$B$2:$C$1328,2,FALSE)</f>
        <v>AONd</v>
      </c>
    </row>
    <row r="7447" spans="2:13" x14ac:dyDescent="0.25">
      <c r="B7447" s="31" t="s">
        <v>26303</v>
      </c>
      <c r="C7447" s="25" t="s">
        <v>387</v>
      </c>
      <c r="D7447" s="25" t="s">
        <v>26232</v>
      </c>
      <c r="E7447" s="25" t="s">
        <v>26307</v>
      </c>
      <c r="F7447" s="9" t="str">
        <f t="shared" si="109"/>
        <v>structure with developmental contribution from neural crest</v>
      </c>
      <c r="G7447" s="9" t="s">
        <v>5090</v>
      </c>
      <c r="H7447" s="9" t="s">
        <v>19427</v>
      </c>
      <c r="I7447" s="9" t="s">
        <v>13535</v>
      </c>
      <c r="J7447" s="9" t="s">
        <v>13536</v>
      </c>
      <c r="K7447" s="3" t="s">
        <v>15176</v>
      </c>
      <c r="L7447" s="13">
        <v>168</v>
      </c>
      <c r="M7447" t="str">
        <f>VLOOKUP(L7447,[1]Mouse_ARA!$B$2:$C$1328,2,FALSE)</f>
        <v>AON2</v>
      </c>
    </row>
    <row r="7448" spans="2:13" x14ac:dyDescent="0.25">
      <c r="B7448" s="31" t="s">
        <v>26303</v>
      </c>
      <c r="C7448" s="25" t="s">
        <v>3352</v>
      </c>
      <c r="D7448" s="25" t="s">
        <v>26232</v>
      </c>
      <c r="E7448" s="25"/>
      <c r="F7448" s="9" t="str">
        <f t="shared" si="109"/>
        <v>structure with developmental contribution from neural crest</v>
      </c>
      <c r="G7448" s="9" t="s">
        <v>5090</v>
      </c>
      <c r="H7448" s="9" t="s">
        <v>20512</v>
      </c>
      <c r="I7448" s="9" t="s">
        <v>3352</v>
      </c>
      <c r="J7448" s="9" t="s">
        <v>3353</v>
      </c>
      <c r="K7448" s="3" t="s">
        <v>15176</v>
      </c>
      <c r="L7448" s="13">
        <v>169</v>
      </c>
      <c r="M7448" t="str">
        <f>VLOOKUP(L7448,[1]Mouse_ARA!$B$2:$C$1328,2,FALSE)</f>
        <v>PRP</v>
      </c>
    </row>
    <row r="7449" spans="2:13" x14ac:dyDescent="0.25">
      <c r="B7449" s="31" t="s">
        <v>26299</v>
      </c>
      <c r="C7449" s="25" t="s">
        <v>25747</v>
      </c>
      <c r="D7449" s="25" t="s">
        <v>26232</v>
      </c>
      <c r="E7449" s="25" t="s">
        <v>26306</v>
      </c>
      <c r="F7449" s="9" t="str">
        <f t="shared" si="109"/>
        <v>structure with developmental contribution from neural crest</v>
      </c>
      <c r="G7449" s="9" t="s">
        <v>5090</v>
      </c>
      <c r="H7449" s="9" t="s">
        <v>19113</v>
      </c>
      <c r="I7449" s="9" t="s">
        <v>13537</v>
      </c>
      <c r="J7449" s="9" t="s">
        <v>13538</v>
      </c>
      <c r="K7449" s="3" t="s">
        <v>15176</v>
      </c>
      <c r="L7449" s="13">
        <v>171</v>
      </c>
      <c r="M7449" t="str">
        <f>VLOOKUP(L7449,[1]Mouse_ARA!$B$2:$C$1328,2,FALSE)</f>
        <v>PL1</v>
      </c>
    </row>
    <row r="7450" spans="2:13" x14ac:dyDescent="0.25">
      <c r="B7450" s="31" t="s">
        <v>26303</v>
      </c>
      <c r="C7450" s="25" t="s">
        <v>387</v>
      </c>
      <c r="D7450" s="25" t="s">
        <v>26232</v>
      </c>
      <c r="E7450" s="25" t="s">
        <v>26300</v>
      </c>
      <c r="F7450" s="9" t="str">
        <f t="shared" si="109"/>
        <v>structure with developmental contribution from neural crest</v>
      </c>
      <c r="G7450" s="9" t="s">
        <v>5090</v>
      </c>
      <c r="H7450" s="9" t="s">
        <v>19417</v>
      </c>
      <c r="I7450" s="9" t="s">
        <v>13539</v>
      </c>
      <c r="J7450" s="9" t="s">
        <v>13540</v>
      </c>
      <c r="K7450" s="3" t="s">
        <v>15176</v>
      </c>
      <c r="L7450" s="13">
        <v>175</v>
      </c>
      <c r="M7450" t="str">
        <f>VLOOKUP(L7450,[1]Mouse_ARA!$B$2:$C$1328,2,FALSE)</f>
        <v>AONe</v>
      </c>
    </row>
    <row r="7451" spans="2:13" x14ac:dyDescent="0.25">
      <c r="B7451" s="31" t="s">
        <v>26303</v>
      </c>
      <c r="C7451" s="25" t="s">
        <v>26233</v>
      </c>
      <c r="D7451" s="25" t="s">
        <v>26232</v>
      </c>
      <c r="E7451" s="25"/>
      <c r="F7451" s="9" t="str">
        <f t="shared" si="109"/>
        <v>structure with developmental contribution from neural crest</v>
      </c>
      <c r="G7451" s="9" t="s">
        <v>5090</v>
      </c>
      <c r="H7451" s="9" t="s">
        <v>20510</v>
      </c>
      <c r="I7451" s="9" t="s">
        <v>7627</v>
      </c>
      <c r="J7451" s="9" t="s">
        <v>13541</v>
      </c>
      <c r="K7451" s="3" t="s">
        <v>15176</v>
      </c>
      <c r="L7451" s="13">
        <v>177</v>
      </c>
      <c r="M7451" t="str">
        <f>VLOOKUP(L7451,[1]Mouse_ARA!$B$2:$C$1328,2,FALSE)</f>
        <v>NR</v>
      </c>
    </row>
    <row r="7452" spans="2:13" x14ac:dyDescent="0.25">
      <c r="B7452" s="31" t="s">
        <v>26299</v>
      </c>
      <c r="C7452" s="25" t="s">
        <v>25746</v>
      </c>
      <c r="D7452" s="25" t="s">
        <v>26232</v>
      </c>
      <c r="E7452" s="25" t="s">
        <v>26306</v>
      </c>
      <c r="F7452" s="9" t="str">
        <f t="shared" si="109"/>
        <v>structure with developmental contribution from neural crest</v>
      </c>
      <c r="G7452" s="9" t="s">
        <v>5090</v>
      </c>
      <c r="H7452" s="9" t="s">
        <v>19083</v>
      </c>
      <c r="I7452" s="9" t="s">
        <v>13542</v>
      </c>
      <c r="J7452" s="9" t="s">
        <v>13543</v>
      </c>
      <c r="K7452" s="3" t="s">
        <v>15176</v>
      </c>
      <c r="L7452" s="13">
        <v>179</v>
      </c>
      <c r="M7452" t="str">
        <f>VLOOKUP(L7452,[1]Mouse_ARA!$B$2:$C$1328,2,FALSE)</f>
        <v>ACA6a</v>
      </c>
    </row>
    <row r="7453" spans="2:13" x14ac:dyDescent="0.25">
      <c r="B7453" s="31" t="s">
        <v>26303</v>
      </c>
      <c r="C7453" s="20"/>
      <c r="D7453" s="25" t="s">
        <v>26232</v>
      </c>
      <c r="E7453" s="25" t="s">
        <v>26306</v>
      </c>
      <c r="F7453" s="9" t="str">
        <f t="shared" si="109"/>
        <v>structure with developmental contribution from neural crest</v>
      </c>
      <c r="G7453" s="9" t="s">
        <v>5090</v>
      </c>
      <c r="H7453" s="9" t="s">
        <v>18860</v>
      </c>
      <c r="I7453" s="9" t="s">
        <v>13544</v>
      </c>
      <c r="J7453" s="9" t="s">
        <v>13545</v>
      </c>
      <c r="K7453" s="3" t="s">
        <v>15176</v>
      </c>
      <c r="L7453" s="13">
        <v>180</v>
      </c>
      <c r="M7453" t="str">
        <f>VLOOKUP(L7453,[1]Mouse_ARA!$B$2:$C$1328,2,FALSE)</f>
        <v>GU2/3</v>
      </c>
    </row>
    <row r="7454" spans="2:13" x14ac:dyDescent="0.25">
      <c r="B7454" s="31" t="s">
        <v>26303</v>
      </c>
      <c r="C7454" s="25" t="s">
        <v>26173</v>
      </c>
      <c r="D7454" s="25" t="s">
        <v>26232</v>
      </c>
      <c r="E7454" s="25"/>
      <c r="F7454" s="9" t="str">
        <f t="shared" si="109"/>
        <v>structure with developmental contribution from neural crest</v>
      </c>
      <c r="G7454" s="9" t="s">
        <v>5090</v>
      </c>
      <c r="H7454" s="9" t="s">
        <v>18828</v>
      </c>
      <c r="I7454" s="9" t="s">
        <v>13546</v>
      </c>
      <c r="J7454" s="9" t="s">
        <v>13547</v>
      </c>
      <c r="K7454" s="3" t="s">
        <v>15176</v>
      </c>
      <c r="L7454" s="13">
        <v>182305689</v>
      </c>
      <c r="M7454" t="str">
        <f>VLOOKUP(L7454,[1]Mouse_ARA!$B$2:$C$1328,2,FALSE)</f>
        <v>SSp-un</v>
      </c>
    </row>
    <row r="7455" spans="2:13" x14ac:dyDescent="0.25">
      <c r="B7455" s="31" t="s">
        <v>26303</v>
      </c>
      <c r="C7455" s="25" t="s">
        <v>26173</v>
      </c>
      <c r="D7455" s="25" t="s">
        <v>26232</v>
      </c>
      <c r="E7455" s="25" t="s">
        <v>26306</v>
      </c>
      <c r="F7455" s="9" t="str">
        <f t="shared" si="109"/>
        <v>structure with developmental contribution from neural crest</v>
      </c>
      <c r="G7455" s="9" t="s">
        <v>5090</v>
      </c>
      <c r="H7455" s="9" t="s">
        <v>18830</v>
      </c>
      <c r="I7455" s="9" t="s">
        <v>13548</v>
      </c>
      <c r="J7455" s="9" t="s">
        <v>13549</v>
      </c>
      <c r="K7455" s="3" t="s">
        <v>15176</v>
      </c>
      <c r="L7455" s="13">
        <v>182305693</v>
      </c>
      <c r="M7455" t="str">
        <f>VLOOKUP(L7455,[1]Mouse_ARA!$B$2:$C$1328,2,FALSE)</f>
        <v>SSp-un1</v>
      </c>
    </row>
    <row r="7456" spans="2:13" x14ac:dyDescent="0.25">
      <c r="B7456" s="31" t="s">
        <v>26303</v>
      </c>
      <c r="C7456" s="25" t="s">
        <v>26173</v>
      </c>
      <c r="D7456" s="25" t="s">
        <v>26232</v>
      </c>
      <c r="E7456" s="25" t="s">
        <v>26306</v>
      </c>
      <c r="F7456" s="9" t="str">
        <f t="shared" si="109"/>
        <v>structure with developmental contribution from neural crest</v>
      </c>
      <c r="G7456" s="9" t="s">
        <v>5090</v>
      </c>
      <c r="H7456" s="9" t="s">
        <v>18832</v>
      </c>
      <c r="I7456" s="9" t="s">
        <v>13550</v>
      </c>
      <c r="J7456" s="9" t="s">
        <v>13551</v>
      </c>
      <c r="K7456" s="3" t="s">
        <v>15176</v>
      </c>
      <c r="L7456" s="13">
        <v>182305697</v>
      </c>
      <c r="M7456" t="str">
        <f>VLOOKUP(L7456,[1]Mouse_ARA!$B$2:$C$1328,2,FALSE)</f>
        <v>SSp-un2/3</v>
      </c>
    </row>
    <row r="7457" spans="2:13" x14ac:dyDescent="0.25">
      <c r="B7457" s="31" t="s">
        <v>26303</v>
      </c>
      <c r="C7457" s="25" t="s">
        <v>26173</v>
      </c>
      <c r="D7457" s="25" t="s">
        <v>26232</v>
      </c>
      <c r="E7457" s="25" t="s">
        <v>26306</v>
      </c>
      <c r="F7457" s="9" t="str">
        <f t="shared" si="109"/>
        <v>structure with developmental contribution from neural crest</v>
      </c>
      <c r="G7457" s="9" t="s">
        <v>5090</v>
      </c>
      <c r="H7457" s="9" t="s">
        <v>18834</v>
      </c>
      <c r="I7457" s="9" t="s">
        <v>13552</v>
      </c>
      <c r="J7457" s="9" t="s">
        <v>13553</v>
      </c>
      <c r="K7457" s="3" t="s">
        <v>15176</v>
      </c>
      <c r="L7457" s="13">
        <v>182305701</v>
      </c>
      <c r="M7457" t="str">
        <f>VLOOKUP(L7457,[1]Mouse_ARA!$B$2:$C$1328,2,FALSE)</f>
        <v>SSp-un4</v>
      </c>
    </row>
    <row r="7458" spans="2:13" x14ac:dyDescent="0.25">
      <c r="B7458" s="31" t="s">
        <v>26303</v>
      </c>
      <c r="C7458" s="25" t="s">
        <v>26173</v>
      </c>
      <c r="D7458" s="25" t="s">
        <v>26232</v>
      </c>
      <c r="E7458" s="25" t="s">
        <v>26306</v>
      </c>
      <c r="F7458" s="9" t="str">
        <f t="shared" si="109"/>
        <v>structure with developmental contribution from neural crest</v>
      </c>
      <c r="G7458" s="9" t="s">
        <v>5090</v>
      </c>
      <c r="H7458" s="9" t="s">
        <v>18836</v>
      </c>
      <c r="I7458" s="9" t="s">
        <v>13554</v>
      </c>
      <c r="J7458" s="9" t="s">
        <v>13555</v>
      </c>
      <c r="K7458" s="3" t="s">
        <v>15176</v>
      </c>
      <c r="L7458" s="13">
        <v>182305705</v>
      </c>
      <c r="M7458" t="str">
        <f>VLOOKUP(L7458,[1]Mouse_ARA!$B$2:$C$1328,2,FALSE)</f>
        <v>SSp-un5</v>
      </c>
    </row>
    <row r="7459" spans="2:13" x14ac:dyDescent="0.25">
      <c r="B7459" s="31" t="s">
        <v>26303</v>
      </c>
      <c r="C7459" s="25" t="s">
        <v>26173</v>
      </c>
      <c r="D7459" s="25" t="s">
        <v>26232</v>
      </c>
      <c r="E7459" s="25" t="s">
        <v>26306</v>
      </c>
      <c r="F7459" s="9" t="str">
        <f t="shared" si="109"/>
        <v>structure with developmental contribution from neural crest</v>
      </c>
      <c r="G7459" s="9" t="s">
        <v>5090</v>
      </c>
      <c r="H7459" s="9" t="s">
        <v>18838</v>
      </c>
      <c r="I7459" s="9" t="s">
        <v>13556</v>
      </c>
      <c r="J7459" s="9" t="s">
        <v>13557</v>
      </c>
      <c r="K7459" s="3" t="s">
        <v>15176</v>
      </c>
      <c r="L7459" s="13">
        <v>182305709</v>
      </c>
      <c r="M7459" t="str">
        <f>VLOOKUP(L7459,[1]Mouse_ARA!$B$2:$C$1328,2,FALSE)</f>
        <v>SSp-un6a</v>
      </c>
    </row>
    <row r="7460" spans="2:13" x14ac:dyDescent="0.25">
      <c r="B7460" s="31" t="s">
        <v>26303</v>
      </c>
      <c r="C7460" s="25" t="s">
        <v>26173</v>
      </c>
      <c r="D7460" s="25" t="s">
        <v>26232</v>
      </c>
      <c r="E7460" s="25" t="s">
        <v>26306</v>
      </c>
      <c r="F7460" s="9" t="str">
        <f t="shared" si="109"/>
        <v>structure with developmental contribution from neural crest</v>
      </c>
      <c r="G7460" s="9" t="s">
        <v>5090</v>
      </c>
      <c r="H7460" s="9" t="s">
        <v>18840</v>
      </c>
      <c r="I7460" s="9" t="s">
        <v>13558</v>
      </c>
      <c r="J7460" s="9" t="s">
        <v>13559</v>
      </c>
      <c r="K7460" s="3" t="s">
        <v>15176</v>
      </c>
      <c r="L7460" s="13">
        <v>182305713</v>
      </c>
      <c r="M7460" t="str">
        <f>VLOOKUP(L7460,[1]Mouse_ARA!$B$2:$C$1328,2,FALSE)</f>
        <v>SSp-un6b</v>
      </c>
    </row>
    <row r="7461" spans="2:13" x14ac:dyDescent="0.25">
      <c r="B7461" s="31" t="s">
        <v>26303</v>
      </c>
      <c r="C7461" s="25" t="s">
        <v>387</v>
      </c>
      <c r="D7461" s="25" t="s">
        <v>26232</v>
      </c>
      <c r="E7461" s="25" t="s">
        <v>26300</v>
      </c>
      <c r="F7461" s="9" t="str">
        <f t="shared" si="109"/>
        <v>structure with developmental contribution from neural crest</v>
      </c>
      <c r="G7461" s="9" t="s">
        <v>5090</v>
      </c>
      <c r="H7461" s="9" t="s">
        <v>19419</v>
      </c>
      <c r="I7461" s="9" t="s">
        <v>13560</v>
      </c>
      <c r="J7461" s="9" t="s">
        <v>13561</v>
      </c>
      <c r="K7461" s="3" t="s">
        <v>15176</v>
      </c>
      <c r="L7461" s="13">
        <v>183</v>
      </c>
      <c r="M7461" t="str">
        <f>VLOOKUP(L7461,[1]Mouse_ARA!$B$2:$C$1328,2,FALSE)</f>
        <v>AONl</v>
      </c>
    </row>
    <row r="7462" spans="2:13" x14ac:dyDescent="0.25">
      <c r="B7462" s="31" t="s">
        <v>26303</v>
      </c>
      <c r="C7462" s="20"/>
      <c r="D7462" s="25" t="s">
        <v>26185</v>
      </c>
      <c r="E7462" s="25" t="s">
        <v>26300</v>
      </c>
      <c r="F7462" s="9" t="str">
        <f t="shared" si="109"/>
        <v>structure with developmental contribution from neural crest</v>
      </c>
      <c r="G7462" s="9" t="s">
        <v>5090</v>
      </c>
      <c r="H7462" s="9" t="s">
        <v>20518</v>
      </c>
      <c r="I7462" s="9" t="s">
        <v>13562</v>
      </c>
      <c r="J7462" s="9" t="s">
        <v>13563</v>
      </c>
      <c r="K7462" s="3" t="s">
        <v>15176</v>
      </c>
      <c r="L7462" s="13">
        <v>185</v>
      </c>
      <c r="M7462" t="str">
        <f>VLOOKUP(L7462,[1]Mouse_ARA!$B$2:$C$1328,2,FALSE)</f>
        <v>PPYd</v>
      </c>
    </row>
    <row r="7463" spans="2:13" x14ac:dyDescent="0.25">
      <c r="B7463" s="31" t="s">
        <v>26303</v>
      </c>
      <c r="C7463" s="20"/>
      <c r="D7463" s="25" t="s">
        <v>26232</v>
      </c>
      <c r="E7463" s="25" t="s">
        <v>26306</v>
      </c>
      <c r="F7463" s="9" t="str">
        <f t="shared" si="109"/>
        <v>structure with developmental contribution from neural crest</v>
      </c>
      <c r="G7463" s="9" t="s">
        <v>5090</v>
      </c>
      <c r="H7463" s="9" t="s">
        <v>18864</v>
      </c>
      <c r="I7463" s="9" t="s">
        <v>13564</v>
      </c>
      <c r="J7463" s="9" t="s">
        <v>13565</v>
      </c>
      <c r="K7463" s="3" t="s">
        <v>15176</v>
      </c>
      <c r="L7463" s="13">
        <v>187</v>
      </c>
      <c r="M7463" t="str">
        <f>VLOOKUP(L7463,[1]Mouse_ARA!$B$2:$C$1328,2,FALSE)</f>
        <v>GU5</v>
      </c>
    </row>
    <row r="7464" spans="2:13" x14ac:dyDescent="0.25">
      <c r="B7464" s="31" t="s">
        <v>26303</v>
      </c>
      <c r="C7464" s="25" t="s">
        <v>25767</v>
      </c>
      <c r="D7464" s="25" t="s">
        <v>26232</v>
      </c>
      <c r="E7464" s="25"/>
      <c r="F7464" s="9" t="str">
        <f t="shared" si="109"/>
        <v>structure with developmental contribution from neural crest</v>
      </c>
      <c r="G7464" s="9" t="s">
        <v>5090</v>
      </c>
      <c r="H7464" s="9" t="s">
        <v>19407</v>
      </c>
      <c r="I7464" s="9" t="s">
        <v>199</v>
      </c>
      <c r="J7464" s="9" t="s">
        <v>200</v>
      </c>
      <c r="K7464" s="3" t="s">
        <v>15176</v>
      </c>
      <c r="L7464" s="13">
        <v>188</v>
      </c>
      <c r="M7464" t="str">
        <f>VLOOKUP(L7464,[1]Mouse_ARA!$B$2:$C$1328,2,FALSE)</f>
        <v>AOBgl</v>
      </c>
    </row>
    <row r="7465" spans="2:13" x14ac:dyDescent="0.25">
      <c r="B7465" s="31" t="s">
        <v>26303</v>
      </c>
      <c r="C7465" s="25" t="s">
        <v>2345</v>
      </c>
      <c r="D7465" s="25" t="s">
        <v>26232</v>
      </c>
      <c r="E7465" s="25"/>
      <c r="F7465" s="9" t="str">
        <f t="shared" si="109"/>
        <v>structure with developmental contribution from neural crest</v>
      </c>
      <c r="G7465" s="9" t="s">
        <v>5090</v>
      </c>
      <c r="H7465" s="9" t="s">
        <v>15946</v>
      </c>
      <c r="I7465" s="9" t="s">
        <v>2345</v>
      </c>
      <c r="J7465" s="9" t="s">
        <v>2348</v>
      </c>
      <c r="K7465" s="3" t="s">
        <v>15176</v>
      </c>
      <c r="L7465" s="13">
        <v>19</v>
      </c>
      <c r="M7465" t="str">
        <f>VLOOKUP(L7465,[1]Mouse_ARA!$B$2:$C$1328,2,FALSE)</f>
        <v>IG</v>
      </c>
    </row>
    <row r="7466" spans="2:13" x14ac:dyDescent="0.25">
      <c r="B7466" s="31" t="s">
        <v>26303</v>
      </c>
      <c r="C7466" s="25" t="s">
        <v>387</v>
      </c>
      <c r="D7466" s="25" t="s">
        <v>26232</v>
      </c>
      <c r="E7466" s="25" t="s">
        <v>26300</v>
      </c>
      <c r="F7466" s="9" t="str">
        <f t="shared" si="109"/>
        <v>structure with developmental contribution from neural crest</v>
      </c>
      <c r="G7466" s="9" t="s">
        <v>5090</v>
      </c>
      <c r="H7466" s="9" t="s">
        <v>19421</v>
      </c>
      <c r="I7466" s="9" t="s">
        <v>13566</v>
      </c>
      <c r="J7466" s="9" t="s">
        <v>13567</v>
      </c>
      <c r="K7466" s="3" t="s">
        <v>15176</v>
      </c>
      <c r="L7466" s="13">
        <v>191</v>
      </c>
      <c r="M7466" t="str">
        <f>VLOOKUP(L7466,[1]Mouse_ARA!$B$2:$C$1328,2,FALSE)</f>
        <v>AONm</v>
      </c>
    </row>
    <row r="7467" spans="2:13" x14ac:dyDescent="0.25">
      <c r="B7467" s="31" t="s">
        <v>26303</v>
      </c>
      <c r="C7467" s="25" t="s">
        <v>25883</v>
      </c>
      <c r="D7467" s="25" t="s">
        <v>26232</v>
      </c>
      <c r="E7467" s="25" t="s">
        <v>26306</v>
      </c>
      <c r="F7467" s="9" t="str">
        <f t="shared" si="109"/>
        <v>structure with developmental contribution from neural crest</v>
      </c>
      <c r="G7467" s="9" t="s">
        <v>5090</v>
      </c>
      <c r="H7467" s="9" t="s">
        <v>19489</v>
      </c>
      <c r="I7467" s="9" t="s">
        <v>13568</v>
      </c>
      <c r="J7467" s="9" t="s">
        <v>13569</v>
      </c>
      <c r="K7467" s="3" t="s">
        <v>15176</v>
      </c>
      <c r="L7467" s="13">
        <v>192</v>
      </c>
      <c r="M7467" t="str">
        <f>VLOOKUP(L7467,[1]Mouse_ARA!$B$2:$C$1328,2,FALSE)</f>
        <v>COAa1</v>
      </c>
    </row>
    <row r="7468" spans="2:13" x14ac:dyDescent="0.25">
      <c r="B7468" s="31" t="s">
        <v>26303</v>
      </c>
      <c r="C7468" s="20"/>
      <c r="D7468" s="25" t="s">
        <v>26185</v>
      </c>
      <c r="E7468" s="25" t="s">
        <v>26300</v>
      </c>
      <c r="F7468" s="9" t="str">
        <f t="shared" si="109"/>
        <v>structure with developmental contribution from neural crest</v>
      </c>
      <c r="G7468" s="9" t="s">
        <v>5090</v>
      </c>
      <c r="H7468" s="9" t="s">
        <v>20520</v>
      </c>
      <c r="I7468" s="9" t="s">
        <v>13570</v>
      </c>
      <c r="J7468" s="9" t="s">
        <v>13571</v>
      </c>
      <c r="K7468" s="3" t="s">
        <v>15176</v>
      </c>
      <c r="L7468" s="13">
        <v>193</v>
      </c>
      <c r="M7468" t="str">
        <f>VLOOKUP(L7468,[1]Mouse_ARA!$B$2:$C$1328,2,FALSE)</f>
        <v>PPYs</v>
      </c>
    </row>
    <row r="7469" spans="2:13" x14ac:dyDescent="0.25">
      <c r="B7469" s="31" t="s">
        <v>26299</v>
      </c>
      <c r="C7469" s="25" t="s">
        <v>25747</v>
      </c>
      <c r="D7469" s="25" t="s">
        <v>26232</v>
      </c>
      <c r="E7469" s="25" t="s">
        <v>26306</v>
      </c>
      <c r="F7469" s="9" t="str">
        <f t="shared" si="109"/>
        <v>structure with developmental contribution from neural crest</v>
      </c>
      <c r="G7469" s="9" t="s">
        <v>5090</v>
      </c>
      <c r="H7469" s="9" t="s">
        <v>19115</v>
      </c>
      <c r="I7469" s="9" t="s">
        <v>13572</v>
      </c>
      <c r="J7469" s="9" t="s">
        <v>13573</v>
      </c>
      <c r="K7469" s="3" t="s">
        <v>15176</v>
      </c>
      <c r="L7469" s="13">
        <v>195</v>
      </c>
      <c r="M7469" t="str">
        <f>VLOOKUP(L7469,[1]Mouse_ARA!$B$2:$C$1328,2,FALSE)</f>
        <v>PL2</v>
      </c>
    </row>
    <row r="7470" spans="2:13" x14ac:dyDescent="0.25">
      <c r="B7470" s="31" t="s">
        <v>26303</v>
      </c>
      <c r="C7470" s="25" t="s">
        <v>25768</v>
      </c>
      <c r="D7470" s="25" t="s">
        <v>26232</v>
      </c>
      <c r="E7470" s="25"/>
      <c r="F7470" s="9" t="str">
        <f t="shared" si="109"/>
        <v>structure with developmental contribution from neural crest</v>
      </c>
      <c r="G7470" s="9" t="s">
        <v>5090</v>
      </c>
      <c r="H7470" s="9" t="s">
        <v>19409</v>
      </c>
      <c r="I7470" s="9" t="s">
        <v>204</v>
      </c>
      <c r="J7470" s="9" t="s">
        <v>205</v>
      </c>
      <c r="K7470" s="3" t="s">
        <v>15176</v>
      </c>
      <c r="L7470" s="13">
        <v>196</v>
      </c>
      <c r="M7470" t="str">
        <f>VLOOKUP(L7470,[1]Mouse_ARA!$B$2:$C$1328,2,FALSE)</f>
        <v>AOBgr</v>
      </c>
    </row>
    <row r="7471" spans="2:13" x14ac:dyDescent="0.25">
      <c r="B7471" s="31" t="s">
        <v>26303</v>
      </c>
      <c r="C7471" s="20"/>
      <c r="D7471" s="25" t="s">
        <v>26185</v>
      </c>
      <c r="E7471" s="25" t="s">
        <v>26300</v>
      </c>
      <c r="F7471" s="9" t="str">
        <f t="shared" si="109"/>
        <v>structure with developmental contribution from neural crest</v>
      </c>
      <c r="G7471" s="9" t="s">
        <v>5090</v>
      </c>
      <c r="H7471" s="9" t="s">
        <v>20836</v>
      </c>
      <c r="I7471" s="9" t="s">
        <v>4213</v>
      </c>
      <c r="J7471" s="9" t="s">
        <v>4218</v>
      </c>
      <c r="K7471" s="3" t="s">
        <v>15176</v>
      </c>
      <c r="L7471" s="13">
        <v>198</v>
      </c>
      <c r="M7471" t="str">
        <f>VLOOKUP(L7471,[1]Mouse_ARA!$B$2:$C$1328,2,FALSE)</f>
        <v>pyd</v>
      </c>
    </row>
    <row r="7472" spans="2:13" x14ac:dyDescent="0.25">
      <c r="B7472" s="31" t="s">
        <v>26303</v>
      </c>
      <c r="C7472" s="25" t="s">
        <v>387</v>
      </c>
      <c r="D7472" s="25" t="s">
        <v>26232</v>
      </c>
      <c r="E7472" s="25" t="s">
        <v>26300</v>
      </c>
      <c r="F7472" s="9" t="str">
        <f t="shared" si="109"/>
        <v>structure with developmental contribution from neural crest</v>
      </c>
      <c r="G7472" s="9" t="s">
        <v>5090</v>
      </c>
      <c r="H7472" s="9" t="s">
        <v>19423</v>
      </c>
      <c r="I7472" s="9" t="s">
        <v>13574</v>
      </c>
      <c r="J7472" s="9" t="s">
        <v>13575</v>
      </c>
      <c r="K7472" s="3" t="s">
        <v>15176</v>
      </c>
      <c r="L7472" s="13">
        <v>199</v>
      </c>
      <c r="M7472" t="str">
        <f>VLOOKUP(L7472,[1]Mouse_ARA!$B$2:$C$1328,2,FALSE)</f>
        <v>AONpv</v>
      </c>
    </row>
    <row r="7473" spans="2:13" x14ac:dyDescent="0.25">
      <c r="B7473" s="31" t="s">
        <v>26303</v>
      </c>
      <c r="C7473" s="25" t="s">
        <v>26173</v>
      </c>
      <c r="D7473" s="25" t="s">
        <v>26232</v>
      </c>
      <c r="E7473" s="25" t="s">
        <v>26306</v>
      </c>
      <c r="F7473" s="9" t="str">
        <f t="shared" si="109"/>
        <v>structure with developmental contribution from neural crest</v>
      </c>
      <c r="G7473" s="9" t="s">
        <v>5090</v>
      </c>
      <c r="H7473" s="9" t="s">
        <v>18798</v>
      </c>
      <c r="I7473" s="9" t="s">
        <v>13576</v>
      </c>
      <c r="J7473" s="9" t="s">
        <v>13577</v>
      </c>
      <c r="K7473" s="3" t="s">
        <v>15176</v>
      </c>
      <c r="L7473" s="13">
        <v>2</v>
      </c>
      <c r="M7473" t="str">
        <f>VLOOKUP(L7473,[1]Mouse_ARA!$B$2:$C$1328,2,FALSE)</f>
        <v>SSp-m6b</v>
      </c>
    </row>
    <row r="7474" spans="2:13" x14ac:dyDescent="0.25">
      <c r="B7474" s="31" t="s">
        <v>26303</v>
      </c>
      <c r="C7474" s="25" t="s">
        <v>25987</v>
      </c>
      <c r="D7474" s="25" t="s">
        <v>26232</v>
      </c>
      <c r="E7474" s="25" t="s">
        <v>26306</v>
      </c>
      <c r="F7474" s="9" t="str">
        <f t="shared" si="109"/>
        <v>structure with developmental contribution from neural crest</v>
      </c>
      <c r="G7474" s="9" t="s">
        <v>5090</v>
      </c>
      <c r="H7474" s="9" t="s">
        <v>19593</v>
      </c>
      <c r="I7474" s="9" t="s">
        <v>13578</v>
      </c>
      <c r="J7474" s="9" t="s">
        <v>13579</v>
      </c>
      <c r="K7474" s="3" t="s">
        <v>15176</v>
      </c>
      <c r="L7474" s="13">
        <v>20</v>
      </c>
      <c r="M7474" t="str">
        <f>VLOOKUP(L7474,[1]Mouse_ARA!$B$2:$C$1328,2,FALSE)</f>
        <v>ENTl2</v>
      </c>
    </row>
    <row r="7475" spans="2:13" x14ac:dyDescent="0.25">
      <c r="B7475" s="31" t="s">
        <v>26303</v>
      </c>
      <c r="C7475" s="25" t="s">
        <v>25883</v>
      </c>
      <c r="D7475" s="25" t="s">
        <v>26232</v>
      </c>
      <c r="E7475" s="25" t="s">
        <v>26306</v>
      </c>
      <c r="F7475" s="9" t="str">
        <f t="shared" si="109"/>
        <v>structure with developmental contribution from neural crest</v>
      </c>
      <c r="G7475" s="9" t="s">
        <v>5090</v>
      </c>
      <c r="H7475" s="9" t="s">
        <v>19491</v>
      </c>
      <c r="I7475" s="9" t="s">
        <v>13580</v>
      </c>
      <c r="J7475" s="9" t="s">
        <v>13581</v>
      </c>
      <c r="K7475" s="3" t="s">
        <v>15176</v>
      </c>
      <c r="L7475" s="13">
        <v>200</v>
      </c>
      <c r="M7475" t="str">
        <f>VLOOKUP(L7475,[1]Mouse_ARA!$B$2:$C$1328,2,FALSE)</f>
        <v>COAa2</v>
      </c>
    </row>
    <row r="7476" spans="2:13" x14ac:dyDescent="0.25">
      <c r="B7476" s="31" t="s">
        <v>26303</v>
      </c>
      <c r="C7476" s="25" t="s">
        <v>26168</v>
      </c>
      <c r="D7476" s="25" t="s">
        <v>26232</v>
      </c>
      <c r="E7476" s="25" t="s">
        <v>26306</v>
      </c>
      <c r="F7476" s="9" t="str">
        <f t="shared" si="109"/>
        <v>structure with developmental contribution from neural crest</v>
      </c>
      <c r="G7476" s="9" t="s">
        <v>5090</v>
      </c>
      <c r="H7476" s="9" t="s">
        <v>18748</v>
      </c>
      <c r="I7476" s="9" t="s">
        <v>4142</v>
      </c>
      <c r="J7476" s="9" t="s">
        <v>4143</v>
      </c>
      <c r="K7476" s="3" t="s">
        <v>15176</v>
      </c>
      <c r="L7476" s="13">
        <v>201</v>
      </c>
      <c r="M7476" t="str">
        <f>VLOOKUP(L7476,[1]Mouse_ARA!$B$2:$C$1328,2,FALSE)</f>
        <v>SSp-bfd2/3</v>
      </c>
    </row>
    <row r="7477" spans="2:13" x14ac:dyDescent="0.25">
      <c r="B7477" s="31" t="s">
        <v>26303</v>
      </c>
      <c r="C7477" s="25" t="s">
        <v>3042</v>
      </c>
      <c r="D7477" s="25" t="s">
        <v>26232</v>
      </c>
      <c r="E7477" s="25"/>
      <c r="F7477" s="9" t="str">
        <f t="shared" si="109"/>
        <v>structure with developmental contribution from neural crest</v>
      </c>
      <c r="G7477" s="9" t="s">
        <v>5090</v>
      </c>
      <c r="H7477" s="9" t="s">
        <v>20526</v>
      </c>
      <c r="I7477" s="9" t="s">
        <v>3042</v>
      </c>
      <c r="J7477" s="9" t="s">
        <v>3046</v>
      </c>
      <c r="K7477" s="3" t="s">
        <v>15176</v>
      </c>
      <c r="L7477" s="13">
        <v>202</v>
      </c>
      <c r="M7477" t="str">
        <f>VLOOKUP(L7477,[1]Mouse_ARA!$B$2:$C$1328,2,FALSE)</f>
        <v>MV</v>
      </c>
    </row>
    <row r="7478" spans="2:13" x14ac:dyDescent="0.25">
      <c r="B7478" s="31" t="s">
        <v>26303</v>
      </c>
      <c r="C7478" s="25" t="s">
        <v>3198</v>
      </c>
      <c r="D7478" s="25" t="s">
        <v>26232</v>
      </c>
      <c r="E7478" s="25" t="s">
        <v>26300</v>
      </c>
      <c r="F7478" s="9" t="str">
        <f t="shared" si="109"/>
        <v>structure with developmental contribution from neural crest</v>
      </c>
      <c r="G7478" s="9" t="s">
        <v>5090</v>
      </c>
      <c r="H7478" s="9" t="s">
        <v>20480</v>
      </c>
      <c r="I7478" s="9" t="s">
        <v>13582</v>
      </c>
      <c r="J7478" s="9" t="s">
        <v>13583</v>
      </c>
      <c r="K7478" s="3" t="s">
        <v>15176</v>
      </c>
      <c r="L7478" s="13">
        <v>203</v>
      </c>
      <c r="M7478" t="str">
        <f>VLOOKUP(L7478,[1]Mouse_ARA!$B$2:$C$1328,2,FALSE)</f>
        <v>LIN</v>
      </c>
    </row>
    <row r="7479" spans="2:13" x14ac:dyDescent="0.25">
      <c r="B7479" s="31" t="s">
        <v>26303</v>
      </c>
      <c r="C7479" s="25" t="s">
        <v>25770</v>
      </c>
      <c r="D7479" s="25" t="s">
        <v>26232</v>
      </c>
      <c r="E7479" s="25"/>
      <c r="F7479" s="9" t="str">
        <f t="shared" ref="F7479:F7542" si="110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7479" s="9" t="s">
        <v>5090</v>
      </c>
      <c r="H7479" s="9" t="s">
        <v>19411</v>
      </c>
      <c r="I7479" s="9" t="s">
        <v>210</v>
      </c>
      <c r="J7479" s="9" t="s">
        <v>211</v>
      </c>
      <c r="K7479" s="3" t="s">
        <v>15176</v>
      </c>
      <c r="L7479" s="13">
        <v>204</v>
      </c>
      <c r="M7479" t="str">
        <f>VLOOKUP(L7479,[1]Mouse_ARA!$B$2:$C$1328,2,FALSE)</f>
        <v>AOBmi</v>
      </c>
    </row>
    <row r="7480" spans="2:13" x14ac:dyDescent="0.25">
      <c r="B7480" s="31" t="s">
        <v>26303</v>
      </c>
      <c r="C7480" s="25" t="s">
        <v>3357</v>
      </c>
      <c r="D7480" s="25" t="s">
        <v>26232</v>
      </c>
      <c r="E7480" s="25"/>
      <c r="F7480" s="9" t="str">
        <f t="shared" si="110"/>
        <v>structure with developmental contribution from neural crest</v>
      </c>
      <c r="G7480" s="9" t="s">
        <v>5090</v>
      </c>
      <c r="H7480" s="9" t="s">
        <v>20542</v>
      </c>
      <c r="I7480" s="9" t="s">
        <v>3357</v>
      </c>
      <c r="J7480" s="9" t="s">
        <v>3359</v>
      </c>
      <c r="K7480" s="3" t="s">
        <v>15176</v>
      </c>
      <c r="L7480" s="13">
        <v>206</v>
      </c>
      <c r="M7480" t="str">
        <f>VLOOKUP(L7480,[1]Mouse_ARA!$B$2:$C$1328,2,FALSE)</f>
        <v>RM</v>
      </c>
    </row>
    <row r="7481" spans="2:13" x14ac:dyDescent="0.25">
      <c r="B7481" s="31" t="s">
        <v>26303</v>
      </c>
      <c r="C7481" s="25" t="s">
        <v>25883</v>
      </c>
      <c r="D7481" s="25" t="s">
        <v>26232</v>
      </c>
      <c r="E7481" s="25" t="s">
        <v>26306</v>
      </c>
      <c r="F7481" s="9" t="str">
        <f t="shared" si="110"/>
        <v>structure with developmental contribution from neural crest</v>
      </c>
      <c r="G7481" s="9" t="s">
        <v>5090</v>
      </c>
      <c r="H7481" s="9" t="s">
        <v>19493</v>
      </c>
      <c r="I7481" s="9" t="s">
        <v>13584</v>
      </c>
      <c r="J7481" s="9" t="s">
        <v>13585</v>
      </c>
      <c r="K7481" s="3" t="s">
        <v>15176</v>
      </c>
      <c r="L7481" s="13">
        <v>208</v>
      </c>
      <c r="M7481" t="str">
        <f>VLOOKUP(L7481,[1]Mouse_ARA!$B$2:$C$1328,2,FALSE)</f>
        <v>COAa3</v>
      </c>
    </row>
    <row r="7482" spans="2:13" x14ac:dyDescent="0.25">
      <c r="B7482" s="31" t="s">
        <v>26303</v>
      </c>
      <c r="C7482" s="25" t="s">
        <v>2745</v>
      </c>
      <c r="D7482" s="25" t="s">
        <v>26232</v>
      </c>
      <c r="E7482" s="25"/>
      <c r="F7482" s="9" t="str">
        <f t="shared" si="110"/>
        <v>structure with developmental contribution from neural crest</v>
      </c>
      <c r="G7482" s="9" t="s">
        <v>5090</v>
      </c>
      <c r="H7482" s="9" t="s">
        <v>20524</v>
      </c>
      <c r="I7482" s="9" t="s">
        <v>2745</v>
      </c>
      <c r="J7482" s="9" t="s">
        <v>2749</v>
      </c>
      <c r="K7482" s="3" t="s">
        <v>15176</v>
      </c>
      <c r="L7482" s="13">
        <v>209</v>
      </c>
      <c r="M7482" t="str">
        <f>VLOOKUP(L7482,[1]Mouse_ARA!$B$2:$C$1328,2,FALSE)</f>
        <v>LAV</v>
      </c>
    </row>
    <row r="7483" spans="2:13" x14ac:dyDescent="0.25">
      <c r="B7483" s="31" t="s">
        <v>26299</v>
      </c>
      <c r="C7483" s="25" t="s">
        <v>25746</v>
      </c>
      <c r="D7483" s="25" t="s">
        <v>26232</v>
      </c>
      <c r="E7483" s="25" t="s">
        <v>26306</v>
      </c>
      <c r="F7483" s="9" t="str">
        <f t="shared" si="110"/>
        <v>structure with developmental contribution from neural crest</v>
      </c>
      <c r="G7483" s="9" t="s">
        <v>5090</v>
      </c>
      <c r="H7483" s="9" t="s">
        <v>19091</v>
      </c>
      <c r="I7483" s="9" t="s">
        <v>13586</v>
      </c>
      <c r="J7483" s="9" t="s">
        <v>13587</v>
      </c>
      <c r="K7483" s="3" t="s">
        <v>15176</v>
      </c>
      <c r="L7483" s="13">
        <v>211</v>
      </c>
      <c r="M7483" t="str">
        <f>VLOOKUP(L7483,[1]Mouse_ARA!$B$2:$C$1328,2,FALSE)</f>
        <v>ACAd2/3</v>
      </c>
    </row>
    <row r="7484" spans="2:13" x14ac:dyDescent="0.25">
      <c r="B7484" s="31" t="s">
        <v>26303</v>
      </c>
      <c r="C7484" s="25" t="s">
        <v>26067</v>
      </c>
      <c r="D7484" s="25" t="s">
        <v>26232</v>
      </c>
      <c r="E7484" s="25"/>
      <c r="F7484" s="9" t="str">
        <f t="shared" si="110"/>
        <v>structure with developmental contribution from neural crest</v>
      </c>
      <c r="G7484" s="9" t="s">
        <v>5090</v>
      </c>
      <c r="H7484" s="9" t="s">
        <v>19396</v>
      </c>
      <c r="I7484" s="9" t="s">
        <v>3427</v>
      </c>
      <c r="J7484" s="9" t="s">
        <v>3428</v>
      </c>
      <c r="K7484" s="3" t="s">
        <v>15176</v>
      </c>
      <c r="L7484" s="13">
        <v>212</v>
      </c>
      <c r="M7484" t="str">
        <f>VLOOKUP(L7484,[1]Mouse_ARA!$B$2:$C$1328,2,FALSE)</f>
        <v>MOBgl</v>
      </c>
    </row>
    <row r="7485" spans="2:13" x14ac:dyDescent="0.25">
      <c r="B7485" s="31" t="s">
        <v>26303</v>
      </c>
      <c r="C7485" s="25" t="s">
        <v>25883</v>
      </c>
      <c r="D7485" s="25" t="s">
        <v>26232</v>
      </c>
      <c r="E7485" s="25" t="s">
        <v>26306</v>
      </c>
      <c r="F7485" s="9" t="str">
        <f t="shared" si="110"/>
        <v>structure with developmental contribution from neural crest</v>
      </c>
      <c r="G7485" s="9" t="s">
        <v>5090</v>
      </c>
      <c r="H7485" s="9" t="s">
        <v>19503</v>
      </c>
      <c r="I7485" s="9" t="s">
        <v>13588</v>
      </c>
      <c r="J7485" s="9" t="s">
        <v>13589</v>
      </c>
      <c r="K7485" s="3" t="s">
        <v>15176</v>
      </c>
      <c r="L7485" s="13">
        <v>216</v>
      </c>
      <c r="M7485" t="str">
        <f>VLOOKUP(L7485,[1]Mouse_ARA!$B$2:$C$1328,2,FALSE)</f>
        <v>COApl1</v>
      </c>
    </row>
    <row r="7486" spans="2:13" x14ac:dyDescent="0.25">
      <c r="B7486" s="31" t="s">
        <v>26303</v>
      </c>
      <c r="C7486" s="25" t="s">
        <v>7387</v>
      </c>
      <c r="D7486" s="25" t="s">
        <v>26232</v>
      </c>
      <c r="E7486" s="25"/>
      <c r="F7486" s="9" t="str">
        <f t="shared" si="110"/>
        <v>structure with developmental contribution from neural crest</v>
      </c>
      <c r="G7486" s="9" t="s">
        <v>5090</v>
      </c>
      <c r="H7486" s="9" t="s">
        <v>20530</v>
      </c>
      <c r="I7486" s="9" t="s">
        <v>7387</v>
      </c>
      <c r="J7486" s="9" t="s">
        <v>13590</v>
      </c>
      <c r="K7486" s="3" t="s">
        <v>15176</v>
      </c>
      <c r="L7486" s="13">
        <v>217</v>
      </c>
      <c r="M7486" t="str">
        <f>VLOOKUP(L7486,[1]Mouse_ARA!$B$2:$C$1328,2,FALSE)</f>
        <v>SUV</v>
      </c>
    </row>
    <row r="7487" spans="2:13" x14ac:dyDescent="0.25">
      <c r="B7487" s="31" t="s">
        <v>26303</v>
      </c>
      <c r="C7487" s="20"/>
      <c r="D7487" s="25" t="s">
        <v>26232</v>
      </c>
      <c r="E7487" s="25" t="s">
        <v>26307</v>
      </c>
      <c r="F7487" s="9" t="str">
        <f t="shared" si="110"/>
        <v>structure with developmental contribution from neural crest</v>
      </c>
      <c r="G7487" s="9" t="s">
        <v>5090</v>
      </c>
      <c r="H7487" s="9" t="s">
        <v>18671</v>
      </c>
      <c r="I7487" s="9" t="s">
        <v>13591</v>
      </c>
      <c r="J7487" s="9" t="s">
        <v>13592</v>
      </c>
      <c r="K7487" s="3" t="s">
        <v>15176</v>
      </c>
      <c r="L7487" s="13">
        <v>219</v>
      </c>
      <c r="M7487" t="str">
        <f>VLOOKUP(L7487,[1]Mouse_ARA!$B$2:$C$1328,2,FALSE)</f>
        <v>MO2/3</v>
      </c>
    </row>
    <row r="7488" spans="2:13" x14ac:dyDescent="0.25">
      <c r="B7488" s="31" t="s">
        <v>26303</v>
      </c>
      <c r="C7488" s="25" t="s">
        <v>26068</v>
      </c>
      <c r="D7488" s="25" t="s">
        <v>26232</v>
      </c>
      <c r="E7488" s="25"/>
      <c r="F7488" s="9" t="str">
        <f t="shared" si="110"/>
        <v>structure with developmental contribution from neural crest</v>
      </c>
      <c r="G7488" s="9" t="s">
        <v>5090</v>
      </c>
      <c r="H7488" s="9" t="s">
        <v>19398</v>
      </c>
      <c r="I7488" s="9" t="s">
        <v>3432</v>
      </c>
      <c r="J7488" s="9" t="s">
        <v>3433</v>
      </c>
      <c r="K7488" s="3" t="s">
        <v>15176</v>
      </c>
      <c r="L7488" s="13">
        <v>220</v>
      </c>
      <c r="M7488" t="str">
        <f>VLOOKUP(L7488,[1]Mouse_ARA!$B$2:$C$1328,2,FALSE)</f>
        <v>MOBgr</v>
      </c>
    </row>
    <row r="7489" spans="2:13" x14ac:dyDescent="0.25">
      <c r="B7489" s="31" t="s">
        <v>26303</v>
      </c>
      <c r="C7489" s="20"/>
      <c r="D7489" s="25" t="s">
        <v>26185</v>
      </c>
      <c r="E7489" s="25" t="s">
        <v>26300</v>
      </c>
      <c r="F7489" s="9" t="str">
        <f t="shared" si="110"/>
        <v>structure with developmental contribution from neural crest</v>
      </c>
      <c r="G7489" s="9" t="s">
        <v>5090</v>
      </c>
      <c r="H7489" s="9" t="s">
        <v>20868</v>
      </c>
      <c r="I7489" s="9" t="s">
        <v>13593</v>
      </c>
      <c r="J7489" s="9" t="s">
        <v>13594</v>
      </c>
      <c r="K7489" s="3" t="s">
        <v>15176</v>
      </c>
      <c r="L7489" s="13">
        <v>221</v>
      </c>
      <c r="M7489" t="str">
        <f>VLOOKUP(L7489,[1]Mouse_ARA!$B$2:$C$1328,2,FALSE)</f>
        <v>rrt</v>
      </c>
    </row>
    <row r="7490" spans="2:13" x14ac:dyDescent="0.25">
      <c r="B7490" s="31" t="s">
        <v>26303</v>
      </c>
      <c r="C7490" s="25" t="s">
        <v>3363</v>
      </c>
      <c r="D7490" s="25" t="s">
        <v>26232</v>
      </c>
      <c r="E7490" s="25"/>
      <c r="F7490" s="9" t="str">
        <f t="shared" si="110"/>
        <v>structure with developmental contribution from neural crest</v>
      </c>
      <c r="G7490" s="9" t="s">
        <v>5090</v>
      </c>
      <c r="H7490" s="9" t="s">
        <v>20546</v>
      </c>
      <c r="I7490" s="9" t="s">
        <v>3363</v>
      </c>
      <c r="J7490" s="9" t="s">
        <v>3365</v>
      </c>
      <c r="K7490" s="3" t="s">
        <v>15176</v>
      </c>
      <c r="L7490" s="13">
        <v>222</v>
      </c>
      <c r="M7490" t="str">
        <f>VLOOKUP(L7490,[1]Mouse_ARA!$B$2:$C$1328,2,FALSE)</f>
        <v>RO</v>
      </c>
    </row>
    <row r="7491" spans="2:13" x14ac:dyDescent="0.25">
      <c r="B7491" s="31" t="s">
        <v>26303</v>
      </c>
      <c r="C7491" s="25" t="s">
        <v>25883</v>
      </c>
      <c r="D7491" s="25" t="s">
        <v>26232</v>
      </c>
      <c r="E7491" s="25" t="s">
        <v>26306</v>
      </c>
      <c r="F7491" s="9" t="str">
        <f t="shared" si="110"/>
        <v>structure with developmental contribution from neural crest</v>
      </c>
      <c r="G7491" s="9" t="s">
        <v>5090</v>
      </c>
      <c r="H7491" s="9" t="s">
        <v>19505</v>
      </c>
      <c r="I7491" s="9" t="s">
        <v>13595</v>
      </c>
      <c r="J7491" s="9" t="s">
        <v>13596</v>
      </c>
      <c r="K7491" s="3" t="s">
        <v>15176</v>
      </c>
      <c r="L7491" s="13">
        <v>224</v>
      </c>
      <c r="M7491" t="str">
        <f>VLOOKUP(L7491,[1]Mouse_ARA!$B$2:$C$1328,2,FALSE)</f>
        <v>COApl2</v>
      </c>
    </row>
    <row r="7492" spans="2:13" x14ac:dyDescent="0.25">
      <c r="B7492" s="31" t="s">
        <v>26303</v>
      </c>
      <c r="C7492" s="25" t="s">
        <v>25970</v>
      </c>
      <c r="D7492" s="25" t="s">
        <v>26232</v>
      </c>
      <c r="E7492" s="25"/>
      <c r="F7492" s="9" t="str">
        <f t="shared" si="110"/>
        <v>structure with developmental contribution from neural crest</v>
      </c>
      <c r="G7492" s="9" t="s">
        <v>5090</v>
      </c>
      <c r="H7492" s="9" t="s">
        <v>20528</v>
      </c>
      <c r="I7492" s="9" t="s">
        <v>2430</v>
      </c>
      <c r="J7492" s="9" t="s">
        <v>2431</v>
      </c>
      <c r="K7492" s="3" t="s">
        <v>15176</v>
      </c>
      <c r="L7492" s="13">
        <v>225</v>
      </c>
      <c r="M7492" t="str">
        <f>VLOOKUP(L7492,[1]Mouse_ARA!$B$2:$C$1328,2,FALSE)</f>
        <v>SPIV</v>
      </c>
    </row>
    <row r="7493" spans="2:13" x14ac:dyDescent="0.25">
      <c r="B7493" s="31" t="s">
        <v>26299</v>
      </c>
      <c r="C7493" s="25" t="s">
        <v>25746</v>
      </c>
      <c r="D7493" s="25" t="s">
        <v>26232</v>
      </c>
      <c r="E7493" s="25" t="s">
        <v>26306</v>
      </c>
      <c r="F7493" s="9" t="str">
        <f t="shared" si="110"/>
        <v>structure with developmental contribution from neural crest</v>
      </c>
      <c r="G7493" s="9" t="s">
        <v>5090</v>
      </c>
      <c r="H7493" s="9" t="s">
        <v>19085</v>
      </c>
      <c r="I7493" s="9" t="s">
        <v>13597</v>
      </c>
      <c r="J7493" s="9" t="s">
        <v>13598</v>
      </c>
      <c r="K7493" s="3" t="s">
        <v>15176</v>
      </c>
      <c r="L7493" s="13">
        <v>227</v>
      </c>
      <c r="M7493" t="str">
        <f>VLOOKUP(L7493,[1]Mouse_ARA!$B$2:$C$1328,2,FALSE)</f>
        <v>ACA6b</v>
      </c>
    </row>
    <row r="7494" spans="2:13" x14ac:dyDescent="0.25">
      <c r="B7494" s="31" t="s">
        <v>26303</v>
      </c>
      <c r="C7494" s="25" t="s">
        <v>26069</v>
      </c>
      <c r="D7494" s="25" t="s">
        <v>26232</v>
      </c>
      <c r="E7494" s="25"/>
      <c r="F7494" s="9" t="str">
        <f t="shared" si="110"/>
        <v>structure with developmental contribution from neural crest</v>
      </c>
      <c r="G7494" s="9" t="s">
        <v>5090</v>
      </c>
      <c r="H7494" s="9" t="s">
        <v>19400</v>
      </c>
      <c r="I7494" s="9" t="s">
        <v>3439</v>
      </c>
      <c r="J7494" s="9" t="s">
        <v>3440</v>
      </c>
      <c r="K7494" s="3" t="s">
        <v>15176</v>
      </c>
      <c r="L7494" s="13">
        <v>228</v>
      </c>
      <c r="M7494" t="str">
        <f>VLOOKUP(L7494,[1]Mouse_ARA!$B$2:$C$1328,2,FALSE)</f>
        <v>MOBipl</v>
      </c>
    </row>
    <row r="7495" spans="2:13" x14ac:dyDescent="0.25">
      <c r="B7495" s="31" t="s">
        <v>26303</v>
      </c>
      <c r="C7495" s="25" t="s">
        <v>306</v>
      </c>
      <c r="D7495" s="25" t="s">
        <v>26232</v>
      </c>
      <c r="E7495" s="25"/>
      <c r="F7495" s="9" t="str">
        <f t="shared" si="110"/>
        <v>structure with developmental contribution from neural crest</v>
      </c>
      <c r="G7495" s="9" t="s">
        <v>5090</v>
      </c>
      <c r="H7495" s="9" t="s">
        <v>19783</v>
      </c>
      <c r="I7495" s="9" t="s">
        <v>311</v>
      </c>
      <c r="J7495" s="9" t="s">
        <v>312</v>
      </c>
      <c r="K7495" s="3" t="s">
        <v>15176</v>
      </c>
      <c r="L7495" s="13">
        <v>23</v>
      </c>
      <c r="M7495" t="str">
        <f>VLOOKUP(L7495,[1]Mouse_ARA!$B$2:$C$1328,2,FALSE)</f>
        <v>AAA</v>
      </c>
    </row>
    <row r="7496" spans="2:13" x14ac:dyDescent="0.25">
      <c r="B7496" s="31" t="s">
        <v>26303</v>
      </c>
      <c r="C7496" s="25" t="s">
        <v>3369</v>
      </c>
      <c r="D7496" s="25" t="s">
        <v>26232</v>
      </c>
      <c r="E7496" s="25"/>
      <c r="F7496" s="9" t="str">
        <f t="shared" si="110"/>
        <v>structure with developmental contribution from neural crest</v>
      </c>
      <c r="G7496" s="9" t="s">
        <v>5090</v>
      </c>
      <c r="H7496" s="9" t="s">
        <v>20544</v>
      </c>
      <c r="I7496" s="9" t="s">
        <v>3369</v>
      </c>
      <c r="J7496" s="9" t="s">
        <v>3371</v>
      </c>
      <c r="K7496" s="3" t="s">
        <v>15176</v>
      </c>
      <c r="L7496" s="13">
        <v>230</v>
      </c>
      <c r="M7496" t="str">
        <f>VLOOKUP(L7496,[1]Mouse_ARA!$B$2:$C$1328,2,FALSE)</f>
        <v>RPA</v>
      </c>
    </row>
    <row r="7497" spans="2:13" x14ac:dyDescent="0.25">
      <c r="B7497" s="31" t="s">
        <v>26303</v>
      </c>
      <c r="C7497" s="25" t="s">
        <v>425</v>
      </c>
      <c r="D7497" s="25" t="s">
        <v>26232</v>
      </c>
      <c r="E7497" s="25"/>
      <c r="F7497" s="9" t="str">
        <f t="shared" si="110"/>
        <v>structure with developmental contribution from neural crest</v>
      </c>
      <c r="G7497" s="9" t="s">
        <v>5090</v>
      </c>
      <c r="H7497" s="9" t="s">
        <v>20258</v>
      </c>
      <c r="I7497" s="9" t="s">
        <v>425</v>
      </c>
      <c r="J7497" s="9" t="s">
        <v>427</v>
      </c>
      <c r="K7497" s="3" t="s">
        <v>15176</v>
      </c>
      <c r="L7497" s="13">
        <v>231</v>
      </c>
      <c r="M7497" t="str">
        <f>VLOOKUP(L7497,[1]Mouse_ARA!$B$2:$C$1328,2,FALSE)</f>
        <v>AT</v>
      </c>
    </row>
    <row r="7498" spans="2:13" x14ac:dyDescent="0.25">
      <c r="B7498" s="31" t="s">
        <v>26303</v>
      </c>
      <c r="C7498" s="25" t="s">
        <v>25883</v>
      </c>
      <c r="D7498" s="25" t="s">
        <v>26232</v>
      </c>
      <c r="E7498" s="25" t="s">
        <v>26306</v>
      </c>
      <c r="F7498" s="9" t="str">
        <f t="shared" si="110"/>
        <v>structure with developmental contribution from neural crest</v>
      </c>
      <c r="G7498" s="9" t="s">
        <v>5090</v>
      </c>
      <c r="H7498" s="9" t="s">
        <v>19507</v>
      </c>
      <c r="I7498" s="9" t="s">
        <v>13599</v>
      </c>
      <c r="J7498" s="9" t="s">
        <v>13600</v>
      </c>
      <c r="K7498" s="3" t="s">
        <v>15176</v>
      </c>
      <c r="L7498" s="13">
        <v>232</v>
      </c>
      <c r="M7498" t="str">
        <f>VLOOKUP(L7498,[1]Mouse_ARA!$B$2:$C$1328,2,FALSE)</f>
        <v>COApl3</v>
      </c>
    </row>
    <row r="7499" spans="2:13" x14ac:dyDescent="0.25">
      <c r="B7499" s="31" t="s">
        <v>26303</v>
      </c>
      <c r="C7499" s="20"/>
      <c r="D7499" s="25" t="s">
        <v>26232</v>
      </c>
      <c r="E7499" s="25" t="s">
        <v>26307</v>
      </c>
      <c r="F7499" s="9" t="str">
        <f t="shared" si="110"/>
        <v>structure with developmental contribution from neural crest</v>
      </c>
      <c r="G7499" s="9" t="s">
        <v>5090</v>
      </c>
      <c r="H7499" s="9" t="s">
        <v>19360</v>
      </c>
      <c r="I7499" s="9" t="s">
        <v>13601</v>
      </c>
      <c r="J7499" s="9" t="s">
        <v>13602</v>
      </c>
      <c r="K7499" s="3" t="s">
        <v>15176</v>
      </c>
      <c r="L7499" s="13">
        <v>234</v>
      </c>
      <c r="M7499" t="str">
        <f>VLOOKUP(L7499,[1]Mouse_ARA!$B$2:$C$1328,2,FALSE)</f>
        <v>TEa4</v>
      </c>
    </row>
    <row r="7500" spans="2:13" x14ac:dyDescent="0.25">
      <c r="B7500" s="31" t="s">
        <v>26303</v>
      </c>
      <c r="C7500" s="25" t="s">
        <v>2709</v>
      </c>
      <c r="D7500" s="25" t="s">
        <v>26232</v>
      </c>
      <c r="E7500" s="25"/>
      <c r="F7500" s="9" t="str">
        <f t="shared" si="110"/>
        <v>structure with developmental contribution from neural crest</v>
      </c>
      <c r="G7500" s="9" t="s">
        <v>5090</v>
      </c>
      <c r="H7500" s="9" t="s">
        <v>20482</v>
      </c>
      <c r="I7500" s="9" t="s">
        <v>2709</v>
      </c>
      <c r="J7500" s="9" t="s">
        <v>2710</v>
      </c>
      <c r="K7500" s="3" t="s">
        <v>15176</v>
      </c>
      <c r="L7500" s="13">
        <v>235</v>
      </c>
      <c r="M7500" t="str">
        <f>VLOOKUP(L7500,[1]Mouse_ARA!$B$2:$C$1328,2,FALSE)</f>
        <v>LRN</v>
      </c>
    </row>
    <row r="7501" spans="2:13" x14ac:dyDescent="0.25">
      <c r="B7501" s="31" t="s">
        <v>26303</v>
      </c>
      <c r="C7501" s="25" t="s">
        <v>26071</v>
      </c>
      <c r="D7501" s="25" t="s">
        <v>26232</v>
      </c>
      <c r="E7501" s="25"/>
      <c r="F7501" s="9" t="str">
        <f t="shared" si="110"/>
        <v>structure with developmental contribution from neural crest</v>
      </c>
      <c r="G7501" s="9" t="s">
        <v>5090</v>
      </c>
      <c r="H7501" s="9" t="s">
        <v>19402</v>
      </c>
      <c r="I7501" s="9" t="s">
        <v>13603</v>
      </c>
      <c r="J7501" s="9" t="s">
        <v>13604</v>
      </c>
      <c r="K7501" s="3" t="s">
        <v>15176</v>
      </c>
      <c r="L7501" s="13">
        <v>236</v>
      </c>
      <c r="M7501" t="str">
        <f>VLOOKUP(L7501,[1]Mouse_ARA!$B$2:$C$1328,2,FALSE)</f>
        <v>MOBmi</v>
      </c>
    </row>
    <row r="7502" spans="2:13" x14ac:dyDescent="0.25">
      <c r="B7502" s="31" t="s">
        <v>26303</v>
      </c>
      <c r="C7502" s="25" t="s">
        <v>4980</v>
      </c>
      <c r="D7502" s="25" t="s">
        <v>26232</v>
      </c>
      <c r="E7502" s="25"/>
      <c r="F7502" s="9" t="str">
        <f t="shared" si="110"/>
        <v>structure with developmental contribution from neural crest</v>
      </c>
      <c r="G7502" s="9" t="s">
        <v>5090</v>
      </c>
      <c r="H7502" s="9" t="s">
        <v>20762</v>
      </c>
      <c r="I7502" s="9" t="s">
        <v>4980</v>
      </c>
      <c r="J7502" s="9" t="s">
        <v>4984</v>
      </c>
      <c r="K7502" s="3" t="s">
        <v>15176</v>
      </c>
      <c r="L7502" s="13">
        <v>237</v>
      </c>
      <c r="M7502" t="str">
        <f>VLOOKUP(L7502,[1]Mouse_ARA!$B$2:$C$1328,2,FALSE)</f>
        <v>ts</v>
      </c>
    </row>
    <row r="7503" spans="2:13" x14ac:dyDescent="0.25">
      <c r="B7503" s="31" t="s">
        <v>26303</v>
      </c>
      <c r="C7503" s="25" t="s">
        <v>12796</v>
      </c>
      <c r="D7503" s="25" t="s">
        <v>26232</v>
      </c>
      <c r="E7503" s="25"/>
      <c r="F7503" s="9" t="str">
        <f t="shared" si="110"/>
        <v>structure with developmental contribution from neural crest</v>
      </c>
      <c r="G7503" s="9" t="s">
        <v>5090</v>
      </c>
      <c r="H7503" s="9" t="s">
        <v>20385</v>
      </c>
      <c r="I7503" s="9" t="s">
        <v>3879</v>
      </c>
      <c r="J7503" s="9" t="s">
        <v>3880</v>
      </c>
      <c r="K7503" s="3" t="s">
        <v>15176</v>
      </c>
      <c r="L7503" s="13">
        <v>238</v>
      </c>
      <c r="M7503" t="str">
        <f>VLOOKUP(L7503,[1]Mouse_ARA!$B$2:$C$1328,2,FALSE)</f>
        <v>RPO</v>
      </c>
    </row>
    <row r="7504" spans="2:13" x14ac:dyDescent="0.25">
      <c r="B7504" s="31" t="s">
        <v>26303</v>
      </c>
      <c r="C7504" s="25" t="s">
        <v>25883</v>
      </c>
      <c r="D7504" s="25" t="s">
        <v>26232</v>
      </c>
      <c r="E7504" s="25" t="s">
        <v>26306</v>
      </c>
      <c r="F7504" s="9" t="str">
        <f t="shared" si="110"/>
        <v>structure with developmental contribution from neural crest</v>
      </c>
      <c r="G7504" s="9" t="s">
        <v>5090</v>
      </c>
      <c r="H7504" s="9" t="s">
        <v>19515</v>
      </c>
      <c r="I7504" s="9" t="s">
        <v>13605</v>
      </c>
      <c r="J7504" s="9" t="s">
        <v>13606</v>
      </c>
      <c r="K7504" s="3" t="s">
        <v>15176</v>
      </c>
      <c r="L7504" s="13">
        <v>240</v>
      </c>
      <c r="M7504" t="str">
        <f>VLOOKUP(L7504,[1]Mouse_ARA!$B$2:$C$1328,2,FALSE)</f>
        <v>COApm1</v>
      </c>
    </row>
    <row r="7505" spans="2:13" x14ac:dyDescent="0.25">
      <c r="B7505" s="31" t="s">
        <v>26303</v>
      </c>
      <c r="C7505" s="25" t="s">
        <v>3973</v>
      </c>
      <c r="D7505" s="25" t="s">
        <v>26232</v>
      </c>
      <c r="E7505" s="25" t="s">
        <v>26306</v>
      </c>
      <c r="F7505" s="9" t="str">
        <f t="shared" si="110"/>
        <v>structure with developmental contribution from neural crest</v>
      </c>
      <c r="G7505" s="9" t="s">
        <v>5090</v>
      </c>
      <c r="H7505" s="9" t="s">
        <v>19316</v>
      </c>
      <c r="I7505" s="9" t="s">
        <v>13607</v>
      </c>
      <c r="J7505" s="9" t="s">
        <v>13608</v>
      </c>
      <c r="K7505" s="3" t="s">
        <v>15176</v>
      </c>
      <c r="L7505" s="13">
        <v>241</v>
      </c>
      <c r="M7505" t="str">
        <f>VLOOKUP(L7505,[1]Mouse_ARA!$B$2:$C$1328,2,FALSE)</f>
        <v>PTLp2/3</v>
      </c>
    </row>
    <row r="7506" spans="2:13" x14ac:dyDescent="0.25">
      <c r="B7506" s="31" t="s">
        <v>26303</v>
      </c>
      <c r="C7506" s="25" t="s">
        <v>2715</v>
      </c>
      <c r="D7506" s="25" t="s">
        <v>26232</v>
      </c>
      <c r="E7506" s="25"/>
      <c r="F7506" s="9" t="str">
        <f t="shared" si="110"/>
        <v>structure with developmental contribution from neural crest</v>
      </c>
      <c r="G7506" s="9" t="s">
        <v>5090</v>
      </c>
      <c r="H7506" s="9" t="s">
        <v>19769</v>
      </c>
      <c r="I7506" s="9" t="s">
        <v>2715</v>
      </c>
      <c r="J7506" s="9" t="s">
        <v>2719</v>
      </c>
      <c r="K7506" s="3" t="s">
        <v>15176</v>
      </c>
      <c r="L7506" s="13">
        <v>242</v>
      </c>
      <c r="M7506" t="str">
        <f>VLOOKUP(L7506,[1]Mouse_ARA!$B$2:$C$1328,2,FALSE)</f>
        <v>LS</v>
      </c>
    </row>
    <row r="7507" spans="2:13" x14ac:dyDescent="0.25">
      <c r="B7507" s="31" t="s">
        <v>26303</v>
      </c>
      <c r="C7507" s="25" t="s">
        <v>1512</v>
      </c>
      <c r="D7507" s="25" t="s">
        <v>26185</v>
      </c>
      <c r="E7507" s="25" t="s">
        <v>26307</v>
      </c>
      <c r="F7507" s="9" t="str">
        <f t="shared" si="110"/>
        <v>structure with developmental contribution from neural crest</v>
      </c>
      <c r="G7507" s="9" t="s">
        <v>5090</v>
      </c>
      <c r="H7507" s="9" t="s">
        <v>18898</v>
      </c>
      <c r="I7507" s="9" t="s">
        <v>13609</v>
      </c>
      <c r="J7507" s="9" t="s">
        <v>13610</v>
      </c>
      <c r="K7507" s="3" t="s">
        <v>15176</v>
      </c>
      <c r="L7507" s="13">
        <v>243</v>
      </c>
      <c r="M7507" t="str">
        <f>VLOOKUP(L7507,[1]Mouse_ARA!$B$2:$C$1328,2,FALSE)</f>
        <v>AUDd6b</v>
      </c>
    </row>
    <row r="7508" spans="2:13" x14ac:dyDescent="0.25">
      <c r="B7508" s="31" t="s">
        <v>26303</v>
      </c>
      <c r="C7508" s="25" t="s">
        <v>26066</v>
      </c>
      <c r="D7508" s="25" t="s">
        <v>26232</v>
      </c>
      <c r="E7508" s="25" t="s">
        <v>26300</v>
      </c>
      <c r="F7508" s="9" t="str">
        <f t="shared" si="110"/>
        <v>structure with developmental contribution from neural crest</v>
      </c>
      <c r="G7508" s="9" t="s">
        <v>5090</v>
      </c>
      <c r="H7508" s="9" t="s">
        <v>19404</v>
      </c>
      <c r="I7508" s="9" t="s">
        <v>13611</v>
      </c>
      <c r="J7508" s="9" t="s">
        <v>13612</v>
      </c>
      <c r="K7508" s="3" t="s">
        <v>15176</v>
      </c>
      <c r="L7508" s="13">
        <v>244</v>
      </c>
      <c r="M7508" t="str">
        <f>VLOOKUP(L7508,[1]Mouse_ARA!$B$2:$C$1328,2,FALSE)</f>
        <v>MOBopl</v>
      </c>
    </row>
    <row r="7509" spans="2:13" x14ac:dyDescent="0.25">
      <c r="B7509" s="31" t="s">
        <v>26303</v>
      </c>
      <c r="C7509" s="25" t="s">
        <v>26188</v>
      </c>
      <c r="D7509" s="25" t="s">
        <v>26232</v>
      </c>
      <c r="E7509" s="25"/>
      <c r="F7509" s="9" t="str">
        <f t="shared" si="110"/>
        <v>structure with developmental contribution from neural crest</v>
      </c>
      <c r="G7509" s="9" t="s">
        <v>5090</v>
      </c>
      <c r="H7509" s="9" t="s">
        <v>17436</v>
      </c>
      <c r="I7509" s="9" t="s">
        <v>4729</v>
      </c>
      <c r="J7509" s="9" t="s">
        <v>4730</v>
      </c>
      <c r="K7509" s="3" t="s">
        <v>15176</v>
      </c>
      <c r="L7509" s="13">
        <v>246</v>
      </c>
      <c r="M7509" t="str">
        <f>VLOOKUP(L7509,[1]Mouse_ARA!$B$2:$C$1328,2,FALSE)</f>
        <v>RR</v>
      </c>
    </row>
    <row r="7510" spans="2:13" x14ac:dyDescent="0.25">
      <c r="B7510" s="31" t="s">
        <v>26303</v>
      </c>
      <c r="C7510" s="25" t="s">
        <v>25883</v>
      </c>
      <c r="D7510" s="25" t="s">
        <v>26232</v>
      </c>
      <c r="E7510" s="25" t="s">
        <v>26306</v>
      </c>
      <c r="F7510" s="9" t="str">
        <f t="shared" si="110"/>
        <v>structure with developmental contribution from neural crest</v>
      </c>
      <c r="G7510" s="9" t="s">
        <v>5090</v>
      </c>
      <c r="H7510" s="9" t="s">
        <v>19517</v>
      </c>
      <c r="I7510" s="9" t="s">
        <v>13613</v>
      </c>
      <c r="J7510" s="9" t="s">
        <v>13614</v>
      </c>
      <c r="K7510" s="3" t="s">
        <v>15176</v>
      </c>
      <c r="L7510" s="13">
        <v>248</v>
      </c>
      <c r="M7510" t="str">
        <f>VLOOKUP(L7510,[1]Mouse_ARA!$B$2:$C$1328,2,FALSE)</f>
        <v>COApm2</v>
      </c>
    </row>
    <row r="7511" spans="2:13" x14ac:dyDescent="0.25">
      <c r="B7511" s="31" t="s">
        <v>26303</v>
      </c>
      <c r="C7511" s="25" t="s">
        <v>25802</v>
      </c>
      <c r="D7511" s="25" t="s">
        <v>26185</v>
      </c>
      <c r="E7511" s="25" t="s">
        <v>26307</v>
      </c>
      <c r="F7511" s="9" t="str">
        <f t="shared" si="110"/>
        <v>structure with developmental contribution from neural crest</v>
      </c>
      <c r="G7511" s="9" t="s">
        <v>5090</v>
      </c>
      <c r="H7511" s="9" t="s">
        <v>18938</v>
      </c>
      <c r="I7511" s="9" t="s">
        <v>13615</v>
      </c>
      <c r="J7511" s="9" t="s">
        <v>13616</v>
      </c>
      <c r="K7511" s="3" t="s">
        <v>15176</v>
      </c>
      <c r="L7511" s="13">
        <v>249</v>
      </c>
      <c r="M7511" t="str">
        <f>VLOOKUP(L7511,[1]Mouse_ARA!$B$2:$C$1328,2,FALSE)</f>
        <v>AUDpo6a</v>
      </c>
    </row>
    <row r="7512" spans="2:13" x14ac:dyDescent="0.25">
      <c r="B7512" s="31" t="s">
        <v>26303</v>
      </c>
      <c r="C7512" s="25" t="s">
        <v>2715</v>
      </c>
      <c r="D7512" s="25" t="s">
        <v>26232</v>
      </c>
      <c r="E7512" s="25"/>
      <c r="F7512" s="9" t="str">
        <f t="shared" si="110"/>
        <v>structure with developmental contribution from neural crest</v>
      </c>
      <c r="G7512" s="9" t="s">
        <v>5090</v>
      </c>
      <c r="H7512" s="9" t="s">
        <v>19771</v>
      </c>
      <c r="I7512" s="9" t="s">
        <v>13617</v>
      </c>
      <c r="J7512" s="9" t="s">
        <v>13618</v>
      </c>
      <c r="K7512" s="3" t="s">
        <v>15176</v>
      </c>
      <c r="L7512" s="13">
        <v>250</v>
      </c>
      <c r="M7512" t="str">
        <f>VLOOKUP(L7512,[1]Mouse_ARA!$B$2:$C$1328,2,FALSE)</f>
        <v>LSc</v>
      </c>
    </row>
    <row r="7513" spans="2:13" x14ac:dyDescent="0.25">
      <c r="B7513" s="31" t="s">
        <v>26303</v>
      </c>
      <c r="C7513" s="25" t="s">
        <v>26164</v>
      </c>
      <c r="D7513" s="25" t="s">
        <v>26185</v>
      </c>
      <c r="E7513" s="25" t="s">
        <v>26306</v>
      </c>
      <c r="F7513" s="9" t="str">
        <f t="shared" si="110"/>
        <v>structure with developmental contribution from neural crest</v>
      </c>
      <c r="G7513" s="9" t="s">
        <v>5090</v>
      </c>
      <c r="H7513" s="9" t="s">
        <v>18918</v>
      </c>
      <c r="I7513" s="9" t="s">
        <v>13619</v>
      </c>
      <c r="J7513" s="9" t="s">
        <v>13620</v>
      </c>
      <c r="K7513" s="3" t="s">
        <v>15176</v>
      </c>
      <c r="L7513" s="13">
        <v>251</v>
      </c>
      <c r="M7513" t="str">
        <f>VLOOKUP(L7513,[1]Mouse_ARA!$B$2:$C$1328,2,FALSE)</f>
        <v>AUDp2/3</v>
      </c>
    </row>
    <row r="7514" spans="2:13" x14ac:dyDescent="0.25">
      <c r="B7514" s="31" t="s">
        <v>26303</v>
      </c>
      <c r="C7514" s="25" t="s">
        <v>1512</v>
      </c>
      <c r="D7514" s="25" t="s">
        <v>26185</v>
      </c>
      <c r="E7514" s="25" t="s">
        <v>26307</v>
      </c>
      <c r="F7514" s="9" t="str">
        <f t="shared" si="110"/>
        <v>structure with developmental contribution from neural crest</v>
      </c>
      <c r="G7514" s="9" t="s">
        <v>5090</v>
      </c>
      <c r="H7514" s="9" t="s">
        <v>18894</v>
      </c>
      <c r="I7514" s="9" t="s">
        <v>13621</v>
      </c>
      <c r="J7514" s="9" t="s">
        <v>13622</v>
      </c>
      <c r="K7514" s="3" t="s">
        <v>15176</v>
      </c>
      <c r="L7514" s="13">
        <v>252</v>
      </c>
      <c r="M7514" t="str">
        <f>VLOOKUP(L7514,[1]Mouse_ARA!$B$2:$C$1328,2,FALSE)</f>
        <v>AUDd5</v>
      </c>
    </row>
    <row r="7515" spans="2:13" x14ac:dyDescent="0.25">
      <c r="B7515" s="31" t="s">
        <v>26303</v>
      </c>
      <c r="C7515" s="25" t="s">
        <v>25883</v>
      </c>
      <c r="D7515" s="25" t="s">
        <v>26232</v>
      </c>
      <c r="E7515" s="25" t="s">
        <v>26306</v>
      </c>
      <c r="F7515" s="9" t="str">
        <f t="shared" si="110"/>
        <v>structure with developmental contribution from neural crest</v>
      </c>
      <c r="G7515" s="9" t="s">
        <v>5090</v>
      </c>
      <c r="H7515" s="9" t="s">
        <v>19519</v>
      </c>
      <c r="I7515" s="9" t="s">
        <v>13623</v>
      </c>
      <c r="J7515" s="9" t="s">
        <v>13624</v>
      </c>
      <c r="K7515" s="3" t="s">
        <v>15176</v>
      </c>
      <c r="L7515" s="13">
        <v>256</v>
      </c>
      <c r="M7515" t="str">
        <f>VLOOKUP(L7515,[1]Mouse_ARA!$B$2:$C$1328,2,FALSE)</f>
        <v>COApm3</v>
      </c>
    </row>
    <row r="7516" spans="2:13" x14ac:dyDescent="0.25">
      <c r="B7516" s="31" t="s">
        <v>26303</v>
      </c>
      <c r="C7516" s="25" t="s">
        <v>2715</v>
      </c>
      <c r="D7516" s="25" t="s">
        <v>26232</v>
      </c>
      <c r="E7516" s="25"/>
      <c r="F7516" s="9" t="str">
        <f t="shared" si="110"/>
        <v>structure with developmental contribution from neural crest</v>
      </c>
      <c r="G7516" s="9" t="s">
        <v>5090</v>
      </c>
      <c r="H7516" s="9" t="s">
        <v>19773</v>
      </c>
      <c r="I7516" s="9" t="s">
        <v>13625</v>
      </c>
      <c r="J7516" s="9" t="s">
        <v>13626</v>
      </c>
      <c r="K7516" s="3" t="s">
        <v>15176</v>
      </c>
      <c r="L7516" s="13">
        <v>258</v>
      </c>
      <c r="M7516" t="str">
        <f>VLOOKUP(L7516,[1]Mouse_ARA!$B$2:$C$1328,2,FALSE)</f>
        <v>LSr</v>
      </c>
    </row>
    <row r="7517" spans="2:13" x14ac:dyDescent="0.25">
      <c r="B7517" s="31" t="s">
        <v>26303</v>
      </c>
      <c r="C7517" s="25" t="s">
        <v>26020</v>
      </c>
      <c r="D7517" s="25" t="s">
        <v>26232</v>
      </c>
      <c r="E7517" s="25" t="s">
        <v>26306</v>
      </c>
      <c r="F7517" s="9" t="str">
        <f t="shared" si="110"/>
        <v>structure with developmental contribution from neural crest</v>
      </c>
      <c r="G7517" s="9" t="s">
        <v>5090</v>
      </c>
      <c r="H7517" s="9" t="s">
        <v>19637</v>
      </c>
      <c r="I7517" s="9" t="s">
        <v>13627</v>
      </c>
      <c r="J7517" s="9" t="s">
        <v>13628</v>
      </c>
      <c r="K7517" s="3" t="s">
        <v>15176</v>
      </c>
      <c r="L7517" s="13">
        <v>259</v>
      </c>
      <c r="M7517" t="str">
        <f>VLOOKUP(L7517,[1]Mouse_ARA!$B$2:$C$1328,2,FALSE)</f>
        <v>ENTmv1</v>
      </c>
    </row>
    <row r="7518" spans="2:13" x14ac:dyDescent="0.25">
      <c r="B7518" s="31" t="s">
        <v>26303</v>
      </c>
      <c r="C7518" s="25" t="s">
        <v>3283</v>
      </c>
      <c r="D7518" s="25" t="s">
        <v>26232</v>
      </c>
      <c r="E7518" s="25" t="s">
        <v>26306</v>
      </c>
      <c r="F7518" s="9" t="str">
        <f t="shared" si="110"/>
        <v>structure with developmental contribution from neural crest</v>
      </c>
      <c r="G7518" s="9" t="s">
        <v>5090</v>
      </c>
      <c r="H7518" s="9" t="s">
        <v>19479</v>
      </c>
      <c r="I7518" s="9" t="s">
        <v>13629</v>
      </c>
      <c r="J7518" s="9" t="s">
        <v>13630</v>
      </c>
      <c r="K7518" s="3" t="s">
        <v>15176</v>
      </c>
      <c r="L7518" s="13">
        <v>260</v>
      </c>
      <c r="M7518" t="str">
        <f>VLOOKUP(L7518,[1]Mouse_ARA!$B$2:$C$1328,2,FALSE)</f>
        <v>NLOT1</v>
      </c>
    </row>
    <row r="7519" spans="2:13" x14ac:dyDescent="0.25">
      <c r="B7519" s="31" t="s">
        <v>26303</v>
      </c>
      <c r="C7519" s="25" t="s">
        <v>5005</v>
      </c>
      <c r="D7519" s="25" t="s">
        <v>26232</v>
      </c>
      <c r="E7519" s="25"/>
      <c r="F7519" s="9" t="str">
        <f t="shared" si="110"/>
        <v>structure with developmental contribution from neural crest</v>
      </c>
      <c r="G7519" s="9" t="s">
        <v>5090</v>
      </c>
      <c r="H7519" s="9" t="s">
        <v>20788</v>
      </c>
      <c r="I7519" s="9" t="s">
        <v>5007</v>
      </c>
      <c r="J7519" s="9" t="s">
        <v>5008</v>
      </c>
      <c r="K7519" s="3" t="s">
        <v>15176</v>
      </c>
      <c r="L7519" s="13">
        <v>261</v>
      </c>
      <c r="M7519" t="str">
        <f>VLOOKUP(L7519,[1]Mouse_ARA!$B$2:$C$1328,2,FALSE)</f>
        <v>sop</v>
      </c>
    </row>
    <row r="7520" spans="2:13" x14ac:dyDescent="0.25">
      <c r="B7520" s="31" t="s">
        <v>26299</v>
      </c>
      <c r="C7520" s="25" t="s">
        <v>26080</v>
      </c>
      <c r="D7520" s="25" t="s">
        <v>26232</v>
      </c>
      <c r="E7520" s="25" t="s">
        <v>26306</v>
      </c>
      <c r="F7520" s="9" t="str">
        <f t="shared" si="110"/>
        <v>structure with developmental contribution from neural crest</v>
      </c>
      <c r="G7520" s="9" t="s">
        <v>5090</v>
      </c>
      <c r="H7520" s="9" t="s">
        <v>19141</v>
      </c>
      <c r="I7520" s="9" t="s">
        <v>13631</v>
      </c>
      <c r="J7520" s="9" t="s">
        <v>13632</v>
      </c>
      <c r="K7520" s="3" t="s">
        <v>15176</v>
      </c>
      <c r="L7520" s="13">
        <v>264</v>
      </c>
      <c r="M7520" t="str">
        <f>VLOOKUP(L7520,[1]Mouse_ARA!$B$2:$C$1328,2,FALSE)</f>
        <v>ORB1</v>
      </c>
    </row>
    <row r="7521" spans="2:13" x14ac:dyDescent="0.25">
      <c r="B7521" s="31" t="s">
        <v>26303</v>
      </c>
      <c r="C7521" s="25" t="s">
        <v>2715</v>
      </c>
      <c r="D7521" s="25" t="s">
        <v>26232</v>
      </c>
      <c r="E7521" s="25"/>
      <c r="F7521" s="9" t="str">
        <f t="shared" si="110"/>
        <v>structure with developmental contribution from neural crest</v>
      </c>
      <c r="G7521" s="9" t="s">
        <v>5090</v>
      </c>
      <c r="H7521" s="9" t="s">
        <v>19775</v>
      </c>
      <c r="I7521" s="9" t="s">
        <v>9389</v>
      </c>
      <c r="J7521" s="9" t="s">
        <v>13633</v>
      </c>
      <c r="K7521" s="3" t="s">
        <v>15176</v>
      </c>
      <c r="L7521" s="13">
        <v>266</v>
      </c>
      <c r="M7521" t="str">
        <f>VLOOKUP(L7521,[1]Mouse_ARA!$B$2:$C$1328,2,FALSE)</f>
        <v>LSv</v>
      </c>
    </row>
    <row r="7522" spans="2:13" x14ac:dyDescent="0.25">
      <c r="B7522" s="31" t="s">
        <v>26303</v>
      </c>
      <c r="C7522" s="20"/>
      <c r="D7522" s="25" t="s">
        <v>26232</v>
      </c>
      <c r="E7522" s="25" t="s">
        <v>26306</v>
      </c>
      <c r="F7522" s="9" t="str">
        <f t="shared" si="110"/>
        <v>structure with developmental contribution from neural crest</v>
      </c>
      <c r="G7522" s="9" t="s">
        <v>5090</v>
      </c>
      <c r="H7522" s="9" t="s">
        <v>19463</v>
      </c>
      <c r="I7522" s="9" t="s">
        <v>13634</v>
      </c>
      <c r="J7522" s="9" t="s">
        <v>13635</v>
      </c>
      <c r="K7522" s="3" t="s">
        <v>15176</v>
      </c>
      <c r="L7522" s="13">
        <v>267</v>
      </c>
      <c r="M7522" t="str">
        <f>VLOOKUP(L7522,[1]Mouse_ARA!$B$2:$C$1328,2,FALSE)</f>
        <v>DP6a</v>
      </c>
    </row>
    <row r="7523" spans="2:13" x14ac:dyDescent="0.25">
      <c r="B7523" s="31" t="s">
        <v>26303</v>
      </c>
      <c r="C7523" s="25" t="s">
        <v>3283</v>
      </c>
      <c r="D7523" s="25" t="s">
        <v>26232</v>
      </c>
      <c r="E7523" s="25"/>
      <c r="F7523" s="9" t="str">
        <f t="shared" si="110"/>
        <v>structure with developmental contribution from neural crest</v>
      </c>
      <c r="G7523" s="9" t="s">
        <v>5090</v>
      </c>
      <c r="H7523" s="9" t="s">
        <v>19481</v>
      </c>
      <c r="I7523" s="9" t="s">
        <v>13636</v>
      </c>
      <c r="J7523" s="9" t="s">
        <v>13637</v>
      </c>
      <c r="K7523" s="3" t="s">
        <v>15176</v>
      </c>
      <c r="L7523" s="13">
        <v>268</v>
      </c>
      <c r="M7523" t="str">
        <f>VLOOKUP(L7523,[1]Mouse_ARA!$B$2:$C$1328,2,FALSE)</f>
        <v>NLOT2</v>
      </c>
    </row>
    <row r="7524" spans="2:13" x14ac:dyDescent="0.25">
      <c r="B7524" s="31" t="s">
        <v>26303</v>
      </c>
      <c r="C7524" s="25" t="s">
        <v>4015</v>
      </c>
      <c r="D7524" s="25" t="s">
        <v>26232</v>
      </c>
      <c r="E7524" s="25" t="s">
        <v>26306</v>
      </c>
      <c r="F7524" s="9" t="str">
        <f t="shared" si="110"/>
        <v>structure with developmental contribution from neural crest</v>
      </c>
      <c r="G7524" s="9" t="s">
        <v>5090</v>
      </c>
      <c r="H7524" s="9" t="s">
        <v>19030</v>
      </c>
      <c r="I7524" s="9" t="s">
        <v>13638</v>
      </c>
      <c r="J7524" s="9" t="s">
        <v>13639</v>
      </c>
      <c r="K7524" s="3" t="s">
        <v>15176</v>
      </c>
      <c r="L7524" s="13">
        <v>269</v>
      </c>
      <c r="M7524" t="str">
        <f>VLOOKUP(L7524,[1]Mouse_ARA!$B$2:$C$1328,2,FALSE)</f>
        <v>VISpl2/3</v>
      </c>
    </row>
    <row r="7525" spans="2:13" x14ac:dyDescent="0.25">
      <c r="B7525" s="31" t="s">
        <v>26299</v>
      </c>
      <c r="C7525" s="25" t="s">
        <v>26190</v>
      </c>
      <c r="D7525" s="25" t="s">
        <v>26232</v>
      </c>
      <c r="E7525" s="25" t="s">
        <v>26306</v>
      </c>
      <c r="F7525" s="9" t="str">
        <f t="shared" si="110"/>
        <v>structure with developmental contribution from neural crest</v>
      </c>
      <c r="G7525" s="9" t="s">
        <v>5090</v>
      </c>
      <c r="H7525" s="9" t="s">
        <v>19294</v>
      </c>
      <c r="I7525" s="9" t="s">
        <v>13640</v>
      </c>
      <c r="J7525" s="9" t="s">
        <v>13641</v>
      </c>
      <c r="K7525" s="3" t="s">
        <v>15176</v>
      </c>
      <c r="L7525" s="13">
        <v>274</v>
      </c>
      <c r="M7525" t="str">
        <f>VLOOKUP(L7525,[1]Mouse_ARA!$B$2:$C$1328,2,FALSE)</f>
        <v>RSPd6a</v>
      </c>
    </row>
    <row r="7526" spans="2:13" x14ac:dyDescent="0.25">
      <c r="B7526" s="31" t="s">
        <v>26303</v>
      </c>
      <c r="C7526" s="25" t="s">
        <v>2712</v>
      </c>
      <c r="D7526" s="25" t="s">
        <v>26232</v>
      </c>
      <c r="E7526" s="25"/>
      <c r="F7526" s="9" t="str">
        <f t="shared" si="110"/>
        <v>structure with developmental contribution from neural crest</v>
      </c>
      <c r="G7526" s="9" t="s">
        <v>5090</v>
      </c>
      <c r="H7526" s="9" t="s">
        <v>19767</v>
      </c>
      <c r="I7526" s="9" t="s">
        <v>2712</v>
      </c>
      <c r="J7526" s="9" t="s">
        <v>2713</v>
      </c>
      <c r="K7526" s="3" t="s">
        <v>15176</v>
      </c>
      <c r="L7526" s="13">
        <v>275</v>
      </c>
      <c r="M7526" t="str">
        <f>VLOOKUP(L7526,[1]Mouse_ARA!$B$2:$C$1328,2,FALSE)</f>
        <v>LSX</v>
      </c>
    </row>
    <row r="7527" spans="2:13" x14ac:dyDescent="0.25">
      <c r="B7527" s="31" t="s">
        <v>26303</v>
      </c>
      <c r="C7527" s="25" t="s">
        <v>3837</v>
      </c>
      <c r="D7527" s="25" t="s">
        <v>26232</v>
      </c>
      <c r="E7527" s="25" t="s">
        <v>26306</v>
      </c>
      <c r="F7527" s="9" t="str">
        <f t="shared" si="110"/>
        <v>structure with developmental contribution from neural crest</v>
      </c>
      <c r="G7527" s="9" t="s">
        <v>5090</v>
      </c>
      <c r="H7527" s="9" t="s">
        <v>19469</v>
      </c>
      <c r="I7527" s="9" t="s">
        <v>13642</v>
      </c>
      <c r="J7527" s="9" t="s">
        <v>13643</v>
      </c>
      <c r="K7527" s="3" t="s">
        <v>15176</v>
      </c>
      <c r="L7527" s="13">
        <v>276</v>
      </c>
      <c r="M7527" t="str">
        <f>VLOOKUP(L7527,[1]Mouse_ARA!$B$2:$C$1328,2,FALSE)</f>
        <v>PIR1</v>
      </c>
    </row>
    <row r="7528" spans="2:13" x14ac:dyDescent="0.25">
      <c r="B7528" s="31" t="s">
        <v>26303</v>
      </c>
      <c r="C7528" s="25" t="s">
        <v>26226</v>
      </c>
      <c r="D7528" s="25" t="s">
        <v>26232</v>
      </c>
      <c r="E7528" s="25"/>
      <c r="F7528" s="9" t="str">
        <f t="shared" si="110"/>
        <v>structure with developmental contribution from neural crest</v>
      </c>
      <c r="G7528" s="9" t="s">
        <v>5090</v>
      </c>
      <c r="H7528" s="9" t="s">
        <v>20793</v>
      </c>
      <c r="I7528" s="9" t="s">
        <v>5018</v>
      </c>
      <c r="J7528" s="9" t="s">
        <v>5019</v>
      </c>
      <c r="K7528" s="3" t="s">
        <v>15176</v>
      </c>
      <c r="L7528" s="13">
        <v>277</v>
      </c>
      <c r="M7528" t="str">
        <f>VLOOKUP(L7528,[1]Mouse_ARA!$B$2:$C$1328,2,FALSE)</f>
        <v>stp</v>
      </c>
    </row>
    <row r="7529" spans="2:13" x14ac:dyDescent="0.25">
      <c r="B7529" s="31" t="s">
        <v>26303</v>
      </c>
      <c r="C7529" s="9"/>
      <c r="D7529" s="25" t="s">
        <v>26232</v>
      </c>
      <c r="E7529" s="20" t="s">
        <v>26300</v>
      </c>
      <c r="F7529" s="9" t="str">
        <f t="shared" si="110"/>
        <v>structure with developmental contribution from neural crest</v>
      </c>
      <c r="G7529" s="9" t="s">
        <v>5090</v>
      </c>
      <c r="H7529" s="9" t="s">
        <v>19781</v>
      </c>
      <c r="I7529" s="9" t="s">
        <v>13644</v>
      </c>
      <c r="J7529" s="9" t="s">
        <v>13645</v>
      </c>
      <c r="K7529" s="3" t="s">
        <v>15176</v>
      </c>
      <c r="L7529" s="13">
        <v>278</v>
      </c>
      <c r="M7529" t="str">
        <f>VLOOKUP(L7529,[1]Mouse_ARA!$B$2:$C$1328,2,FALSE)</f>
        <v>sAMY</v>
      </c>
    </row>
    <row r="7530" spans="2:13" x14ac:dyDescent="0.25">
      <c r="B7530" s="31" t="s">
        <v>26299</v>
      </c>
      <c r="C7530" s="25" t="s">
        <v>26190</v>
      </c>
      <c r="D7530" s="25" t="s">
        <v>26232</v>
      </c>
      <c r="E7530" s="25" t="s">
        <v>26306</v>
      </c>
      <c r="F7530" s="9" t="str">
        <f t="shared" si="110"/>
        <v>structure with developmental contribution from neural crest</v>
      </c>
      <c r="G7530" s="9" t="s">
        <v>5090</v>
      </c>
      <c r="H7530" s="9" t="s">
        <v>19240</v>
      </c>
      <c r="I7530" s="9" t="s">
        <v>13646</v>
      </c>
      <c r="J7530" s="9" t="s">
        <v>13647</v>
      </c>
      <c r="K7530" s="3" t="s">
        <v>15176</v>
      </c>
      <c r="L7530" s="13">
        <v>279</v>
      </c>
      <c r="M7530" t="str">
        <f>VLOOKUP(L7530,[1]Mouse_ARA!$B$2:$C$1328,2,FALSE)</f>
        <v>RSPagl6b</v>
      </c>
    </row>
    <row r="7531" spans="2:13" x14ac:dyDescent="0.25">
      <c r="B7531" s="31" t="s">
        <v>26303</v>
      </c>
      <c r="C7531" s="25" t="s">
        <v>25987</v>
      </c>
      <c r="D7531" s="25" t="s">
        <v>26232</v>
      </c>
      <c r="E7531" s="25" t="s">
        <v>26306</v>
      </c>
      <c r="F7531" s="9" t="str">
        <f t="shared" si="110"/>
        <v>structure with developmental contribution from neural crest</v>
      </c>
      <c r="G7531" s="9" t="s">
        <v>5090</v>
      </c>
      <c r="H7531" s="9" t="s">
        <v>19611</v>
      </c>
      <c r="I7531" s="9" t="s">
        <v>13648</v>
      </c>
      <c r="J7531" s="9" t="s">
        <v>13649</v>
      </c>
      <c r="K7531" s="3" t="s">
        <v>15176</v>
      </c>
      <c r="L7531" s="13">
        <v>28</v>
      </c>
      <c r="M7531" t="str">
        <f>VLOOKUP(L7531,[1]Mouse_ARA!$B$2:$C$1328,2,FALSE)</f>
        <v>ENTl6a</v>
      </c>
    </row>
    <row r="7532" spans="2:13" x14ac:dyDescent="0.25">
      <c r="B7532" s="31" t="s">
        <v>25743</v>
      </c>
      <c r="C7532" s="25" t="s">
        <v>16</v>
      </c>
      <c r="D7532" s="25" t="s">
        <v>26232</v>
      </c>
      <c r="E7532" s="25"/>
      <c r="F7532" s="9" t="str">
        <f t="shared" si="110"/>
        <v>structure with developmental contribution from neural crest</v>
      </c>
      <c r="G7532" s="9" t="s">
        <v>5090</v>
      </c>
      <c r="H7532" s="9" t="s">
        <v>20340</v>
      </c>
      <c r="I7532" s="9" t="s">
        <v>20</v>
      </c>
      <c r="J7532" s="9" t="s">
        <v>21</v>
      </c>
      <c r="K7532" s="3" t="s">
        <v>15176</v>
      </c>
      <c r="L7532" s="13">
        <v>280</v>
      </c>
      <c r="M7532" t="str">
        <f>VLOOKUP(L7532,[1]Mouse_ARA!$B$2:$C$1328,2,FALSE)</f>
        <v>B</v>
      </c>
    </row>
    <row r="7533" spans="2:13" x14ac:dyDescent="0.25">
      <c r="B7533" s="31" t="s">
        <v>26303</v>
      </c>
      <c r="C7533" s="20"/>
      <c r="D7533" s="25" t="s">
        <v>26232</v>
      </c>
      <c r="E7533" s="25" t="s">
        <v>26307</v>
      </c>
      <c r="F7533" s="9" t="str">
        <f t="shared" si="110"/>
        <v>structure with developmental contribution from neural crest</v>
      </c>
      <c r="G7533" s="9" t="s">
        <v>5090</v>
      </c>
      <c r="H7533" s="9" t="s">
        <v>18986</v>
      </c>
      <c r="I7533" s="9" t="s">
        <v>13650</v>
      </c>
      <c r="J7533" s="9" t="s">
        <v>13651</v>
      </c>
      <c r="K7533" s="3" t="s">
        <v>15176</v>
      </c>
      <c r="L7533" s="13">
        <v>281</v>
      </c>
      <c r="M7533" t="str">
        <f>VLOOKUP(L7533,[1]Mouse_ARA!$B$2:$C$1328,2,FALSE)</f>
        <v>VISam1</v>
      </c>
    </row>
    <row r="7534" spans="2:13" x14ac:dyDescent="0.25">
      <c r="B7534" s="31" t="s">
        <v>26303</v>
      </c>
      <c r="C7534" s="20"/>
      <c r="D7534" s="25" t="s">
        <v>26232</v>
      </c>
      <c r="E7534" s="25" t="s">
        <v>26300</v>
      </c>
      <c r="F7534" s="9" t="str">
        <f t="shared" si="110"/>
        <v>structure with developmental contribution from neural crest</v>
      </c>
      <c r="G7534" s="9" t="s">
        <v>5090</v>
      </c>
      <c r="H7534" s="9" t="s">
        <v>20343</v>
      </c>
      <c r="I7534" s="9" t="s">
        <v>13652</v>
      </c>
      <c r="J7534" s="9" t="s">
        <v>13653</v>
      </c>
      <c r="K7534" s="3" t="s">
        <v>15176</v>
      </c>
      <c r="L7534" s="13">
        <v>283</v>
      </c>
      <c r="M7534" t="str">
        <f>VLOOKUP(L7534,[1]Mouse_ARA!$B$2:$C$1328,2,FALSE)</f>
        <v>LTN</v>
      </c>
    </row>
    <row r="7535" spans="2:13" x14ac:dyDescent="0.25">
      <c r="B7535" s="31" t="s">
        <v>26303</v>
      </c>
      <c r="C7535" s="25" t="s">
        <v>3837</v>
      </c>
      <c r="D7535" s="25" t="s">
        <v>26232</v>
      </c>
      <c r="E7535" s="25" t="s">
        <v>26306</v>
      </c>
      <c r="F7535" s="9" t="str">
        <f t="shared" si="110"/>
        <v>structure with developmental contribution from neural crest</v>
      </c>
      <c r="G7535" s="9" t="s">
        <v>5090</v>
      </c>
      <c r="H7535" s="9" t="s">
        <v>19471</v>
      </c>
      <c r="I7535" s="9" t="s">
        <v>13654</v>
      </c>
      <c r="J7535" s="9" t="s">
        <v>13655</v>
      </c>
      <c r="K7535" s="3" t="s">
        <v>15176</v>
      </c>
      <c r="L7535" s="13">
        <v>284</v>
      </c>
      <c r="M7535" t="str">
        <f>VLOOKUP(L7535,[1]Mouse_ARA!$B$2:$C$1328,2,FALSE)</f>
        <v>PIR2</v>
      </c>
    </row>
    <row r="7536" spans="2:13" x14ac:dyDescent="0.25">
      <c r="B7536" s="31" t="s">
        <v>26303</v>
      </c>
      <c r="C7536" s="25" t="s">
        <v>26052</v>
      </c>
      <c r="D7536" s="25" t="s">
        <v>26232</v>
      </c>
      <c r="E7536" s="25"/>
      <c r="F7536" s="9" t="str">
        <f t="shared" si="110"/>
        <v>structure with developmental contribution from neural crest</v>
      </c>
      <c r="G7536" s="9" t="s">
        <v>5090</v>
      </c>
      <c r="H7536" s="9" t="s">
        <v>15577</v>
      </c>
      <c r="I7536" s="9" t="s">
        <v>3265</v>
      </c>
      <c r="J7536" s="9" t="s">
        <v>3269</v>
      </c>
      <c r="K7536" s="3" t="s">
        <v>15176</v>
      </c>
      <c r="L7536" s="13">
        <v>287</v>
      </c>
      <c r="M7536" t="str">
        <f>VLOOKUP(L7536,[1]Mouse_ARA!$B$2:$C$1328,2,FALSE)</f>
        <v>BAC</v>
      </c>
    </row>
    <row r="7537" spans="2:13" x14ac:dyDescent="0.25">
      <c r="B7537" s="31" t="s">
        <v>26299</v>
      </c>
      <c r="C7537" s="25" t="s">
        <v>26080</v>
      </c>
      <c r="D7537" s="25" t="s">
        <v>26232</v>
      </c>
      <c r="E7537" s="25" t="s">
        <v>26306</v>
      </c>
      <c r="F7537" s="9" t="str">
        <f t="shared" si="110"/>
        <v>structure with developmental contribution from neural crest</v>
      </c>
      <c r="G7537" s="9" t="s">
        <v>5090</v>
      </c>
      <c r="H7537" s="9" t="s">
        <v>19183</v>
      </c>
      <c r="I7537" s="9" t="s">
        <v>13656</v>
      </c>
      <c r="J7537" s="9" t="s">
        <v>13657</v>
      </c>
      <c r="K7537" s="3" t="s">
        <v>15176</v>
      </c>
      <c r="L7537" s="13">
        <v>288</v>
      </c>
      <c r="M7537" t="str">
        <f>VLOOKUP(L7537,[1]Mouse_ARA!$B$2:$C$1328,2,FALSE)</f>
        <v>ORBvl2/3</v>
      </c>
    </row>
    <row r="7538" spans="2:13" x14ac:dyDescent="0.25">
      <c r="B7538" s="31" t="s">
        <v>26303</v>
      </c>
      <c r="C7538" s="20"/>
      <c r="D7538" s="25" t="s">
        <v>26232</v>
      </c>
      <c r="E7538" s="25" t="s">
        <v>26307</v>
      </c>
      <c r="F7538" s="9" t="str">
        <f t="shared" si="110"/>
        <v>structure with developmental contribution from neural crest</v>
      </c>
      <c r="G7538" s="9" t="s">
        <v>5090</v>
      </c>
      <c r="H7538" s="9" t="s">
        <v>19362</v>
      </c>
      <c r="I7538" s="9" t="s">
        <v>13658</v>
      </c>
      <c r="J7538" s="9" t="s">
        <v>13659</v>
      </c>
      <c r="K7538" s="3" t="s">
        <v>15176</v>
      </c>
      <c r="L7538" s="13">
        <v>289</v>
      </c>
      <c r="M7538" t="str">
        <f>VLOOKUP(L7538,[1]Mouse_ARA!$B$2:$C$1328,2,FALSE)</f>
        <v>TEa5</v>
      </c>
    </row>
    <row r="7539" spans="2:13" x14ac:dyDescent="0.25">
      <c r="B7539" s="31" t="s">
        <v>26303</v>
      </c>
      <c r="C7539" s="25" t="s">
        <v>3837</v>
      </c>
      <c r="D7539" s="25" t="s">
        <v>26232</v>
      </c>
      <c r="E7539" s="25" t="s">
        <v>26306</v>
      </c>
      <c r="F7539" s="9" t="str">
        <f t="shared" si="110"/>
        <v>structure with developmental contribution from neural crest</v>
      </c>
      <c r="G7539" s="9" t="s">
        <v>5090</v>
      </c>
      <c r="H7539" s="9" t="s">
        <v>19473</v>
      </c>
      <c r="I7539" s="9" t="s">
        <v>13660</v>
      </c>
      <c r="J7539" s="9" t="s">
        <v>13661</v>
      </c>
      <c r="K7539" s="3" t="s">
        <v>15176</v>
      </c>
      <c r="L7539" s="13">
        <v>291</v>
      </c>
      <c r="M7539" t="str">
        <f>VLOOKUP(L7539,[1]Mouse_ARA!$B$2:$C$1328,2,FALSE)</f>
        <v>PIR3</v>
      </c>
    </row>
    <row r="7540" spans="2:13" x14ac:dyDescent="0.25">
      <c r="B7540" s="31" t="s">
        <v>26303</v>
      </c>
      <c r="C7540" s="25" t="s">
        <v>568</v>
      </c>
      <c r="D7540" s="25" t="s">
        <v>26232</v>
      </c>
      <c r="E7540" s="25"/>
      <c r="F7540" s="9" t="str">
        <f t="shared" si="110"/>
        <v>structure with developmental contribution from neural crest</v>
      </c>
      <c r="G7540" s="9" t="s">
        <v>5090</v>
      </c>
      <c r="H7540" s="9" t="s">
        <v>19785</v>
      </c>
      <c r="I7540" s="9" t="s">
        <v>568</v>
      </c>
      <c r="J7540" s="9" t="s">
        <v>569</v>
      </c>
      <c r="K7540" s="3" t="s">
        <v>15176</v>
      </c>
      <c r="L7540" s="13">
        <v>292</v>
      </c>
      <c r="M7540" t="str">
        <f>VLOOKUP(L7540,[1]Mouse_ARA!$B$2:$C$1328,2,FALSE)</f>
        <v>BA</v>
      </c>
    </row>
    <row r="7541" spans="2:13" x14ac:dyDescent="0.25">
      <c r="B7541" s="31" t="s">
        <v>26303</v>
      </c>
      <c r="C7541" s="25" t="s">
        <v>25804</v>
      </c>
      <c r="D7541" s="25" t="s">
        <v>26232</v>
      </c>
      <c r="E7541" s="25"/>
      <c r="F7541" s="9" t="str">
        <f t="shared" si="110"/>
        <v>structure with developmental contribution from neural crest</v>
      </c>
      <c r="G7541" s="9" t="s">
        <v>5090</v>
      </c>
      <c r="H7541" s="9" t="s">
        <v>15784</v>
      </c>
      <c r="I7541" s="9" t="s">
        <v>531</v>
      </c>
      <c r="J7541" s="9" t="s">
        <v>532</v>
      </c>
      <c r="K7541" s="3" t="s">
        <v>15176</v>
      </c>
      <c r="L7541" s="13">
        <v>295</v>
      </c>
      <c r="M7541" t="str">
        <f>VLOOKUP(L7541,[1]Mouse_ARA!$B$2:$C$1328,2,FALSE)</f>
        <v>BLA</v>
      </c>
    </row>
    <row r="7542" spans="2:13" x14ac:dyDescent="0.25">
      <c r="B7542" s="31" t="s">
        <v>26299</v>
      </c>
      <c r="C7542" s="25" t="s">
        <v>25746</v>
      </c>
      <c r="D7542" s="25" t="s">
        <v>26232</v>
      </c>
      <c r="E7542" s="25" t="s">
        <v>26306</v>
      </c>
      <c r="F7542" s="9" t="str">
        <f t="shared" si="110"/>
        <v>structure with developmental contribution from neural crest</v>
      </c>
      <c r="G7542" s="9" t="s">
        <v>5090</v>
      </c>
      <c r="H7542" s="9" t="s">
        <v>19103</v>
      </c>
      <c r="I7542" s="9" t="s">
        <v>13662</v>
      </c>
      <c r="J7542" s="9" t="s">
        <v>13663</v>
      </c>
      <c r="K7542" s="3" t="s">
        <v>15176</v>
      </c>
      <c r="L7542" s="13">
        <v>296</v>
      </c>
      <c r="M7542" t="str">
        <f>VLOOKUP(L7542,[1]Mouse_ARA!$B$2:$C$1328,2,FALSE)</f>
        <v>ACAv2/3</v>
      </c>
    </row>
    <row r="7543" spans="2:13" x14ac:dyDescent="0.25">
      <c r="B7543" s="31" t="s">
        <v>26303</v>
      </c>
      <c r="C7543" s="25" t="s">
        <v>26252</v>
      </c>
      <c r="D7543" s="25" t="s">
        <v>26232</v>
      </c>
      <c r="E7543" s="25" t="s">
        <v>26306</v>
      </c>
      <c r="F7543" s="9" t="str">
        <f t="shared" ref="F7543:F7606" si="111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7543" s="9" t="s">
        <v>5090</v>
      </c>
      <c r="H7543" s="9" t="s">
        <v>19433</v>
      </c>
      <c r="I7543" s="9" t="s">
        <v>13664</v>
      </c>
      <c r="J7543" s="9" t="s">
        <v>13665</v>
      </c>
      <c r="K7543" s="3" t="s">
        <v>15176</v>
      </c>
      <c r="L7543" s="13">
        <v>297</v>
      </c>
      <c r="M7543" t="str">
        <f>VLOOKUP(L7543,[1]Mouse_ARA!$B$2:$C$1328,2,FALSE)</f>
        <v>TTd1-4</v>
      </c>
    </row>
    <row r="7544" spans="2:13" x14ac:dyDescent="0.25">
      <c r="B7544" s="31" t="s">
        <v>26303</v>
      </c>
      <c r="C7544" s="20"/>
      <c r="D7544" s="25" t="s">
        <v>26232</v>
      </c>
      <c r="E7544" s="25" t="s">
        <v>26300</v>
      </c>
      <c r="F7544" s="9" t="str">
        <f t="shared" si="111"/>
        <v>structure with developmental contribution from neural crest</v>
      </c>
      <c r="G7544" s="9" t="s">
        <v>5090</v>
      </c>
      <c r="H7544" s="9" t="s">
        <v>19824</v>
      </c>
      <c r="I7544" s="9" t="s">
        <v>13666</v>
      </c>
      <c r="J7544" s="9" t="s">
        <v>13667</v>
      </c>
      <c r="K7544" s="3" t="s">
        <v>15176</v>
      </c>
      <c r="L7544" s="13">
        <v>298</v>
      </c>
      <c r="M7544" t="str">
        <f>VLOOKUP(L7544,[1]Mouse_ARA!$B$2:$C$1328,2,FALSE)</f>
        <v>MA</v>
      </c>
    </row>
    <row r="7545" spans="2:13" x14ac:dyDescent="0.25">
      <c r="B7545" s="31" t="s">
        <v>26303</v>
      </c>
      <c r="C7545" s="20"/>
      <c r="D7545" s="25" t="s">
        <v>26232</v>
      </c>
      <c r="E7545" s="25" t="s">
        <v>26307</v>
      </c>
      <c r="F7545" s="9" t="str">
        <f t="shared" si="111"/>
        <v>structure with developmental contribution from neural crest</v>
      </c>
      <c r="G7545" s="9" t="s">
        <v>5090</v>
      </c>
      <c r="H7545" s="9" t="s">
        <v>18673</v>
      </c>
      <c r="I7545" s="9" t="s">
        <v>13668</v>
      </c>
      <c r="J7545" s="9" t="s">
        <v>13669</v>
      </c>
      <c r="K7545" s="3" t="s">
        <v>15176</v>
      </c>
      <c r="L7545" s="13">
        <v>299</v>
      </c>
      <c r="M7545" t="str">
        <f>VLOOKUP(L7545,[1]Mouse_ARA!$B$2:$C$1328,2,FALSE)</f>
        <v>MO5</v>
      </c>
    </row>
    <row r="7546" spans="2:13" x14ac:dyDescent="0.25">
      <c r="B7546" s="31" t="s">
        <v>26303</v>
      </c>
      <c r="C7546" s="25" t="s">
        <v>26215</v>
      </c>
      <c r="D7546" s="25" t="s">
        <v>26232</v>
      </c>
      <c r="E7546" s="25"/>
      <c r="F7546" s="9" t="str">
        <f t="shared" si="111"/>
        <v>structure with developmental contribution from neural crest</v>
      </c>
      <c r="G7546" s="9" t="s">
        <v>5090</v>
      </c>
      <c r="H7546" s="9" t="s">
        <v>20978</v>
      </c>
      <c r="I7546" s="9" t="s">
        <v>4945</v>
      </c>
      <c r="J7546" s="9" t="s">
        <v>4947</v>
      </c>
      <c r="K7546" s="3" t="s">
        <v>15176</v>
      </c>
      <c r="L7546" s="13">
        <v>3</v>
      </c>
      <c r="M7546" t="str">
        <f>VLOOKUP(L7546,[1]Mouse_ARA!$B$2:$C$1328,2,FALSE)</f>
        <v>sec</v>
      </c>
    </row>
    <row r="7547" spans="2:13" x14ac:dyDescent="0.25">
      <c r="B7547" s="31" t="s">
        <v>26303</v>
      </c>
      <c r="C7547" s="25" t="s">
        <v>5082</v>
      </c>
      <c r="D7547" s="25" t="s">
        <v>26232</v>
      </c>
      <c r="E7547" s="25"/>
      <c r="F7547" s="9" t="str">
        <f t="shared" si="111"/>
        <v>structure with developmental contribution from neural crest</v>
      </c>
      <c r="G7547" s="9" t="s">
        <v>5090</v>
      </c>
      <c r="H7547" s="9" t="s">
        <v>18501</v>
      </c>
      <c r="I7547" s="9" t="s">
        <v>5082</v>
      </c>
      <c r="J7547" s="9" t="s">
        <v>5085</v>
      </c>
      <c r="K7547" s="3" t="s">
        <v>15176</v>
      </c>
      <c r="L7547" s="13">
        <v>301</v>
      </c>
      <c r="M7547" t="str">
        <f>VLOOKUP(L7547,[1]Mouse_ARA!$B$2:$C$1328,2,FALSE)</f>
        <v>st</v>
      </c>
    </row>
    <row r="7548" spans="2:13" x14ac:dyDescent="0.25">
      <c r="B7548" s="31" t="s">
        <v>26303</v>
      </c>
      <c r="C7548" s="25" t="s">
        <v>25804</v>
      </c>
      <c r="D7548" s="25" t="s">
        <v>26185</v>
      </c>
      <c r="E7548" s="20" t="s">
        <v>26300</v>
      </c>
      <c r="F7548" s="9" t="str">
        <f t="shared" si="111"/>
        <v>structure with developmental contribution from neural crest</v>
      </c>
      <c r="G7548" s="9" t="s">
        <v>5090</v>
      </c>
      <c r="H7548" s="9" t="s">
        <v>19725</v>
      </c>
      <c r="I7548" s="9" t="s">
        <v>13670</v>
      </c>
      <c r="J7548" s="9" t="s">
        <v>13671</v>
      </c>
      <c r="K7548" s="3" t="s">
        <v>15176</v>
      </c>
      <c r="L7548" s="13">
        <v>303</v>
      </c>
      <c r="M7548" t="str">
        <f>VLOOKUP(L7548,[1]Mouse_ARA!$B$2:$C$1328,2,FALSE)</f>
        <v>BLAa</v>
      </c>
    </row>
    <row r="7549" spans="2:13" x14ac:dyDescent="0.25">
      <c r="B7549" s="31" t="s">
        <v>26299</v>
      </c>
      <c r="C7549" s="25" t="s">
        <v>25747</v>
      </c>
      <c r="D7549" s="25" t="s">
        <v>26232</v>
      </c>
      <c r="E7549" s="25" t="s">
        <v>26306</v>
      </c>
      <c r="F7549" s="9" t="str">
        <f t="shared" si="111"/>
        <v>structure with developmental contribution from neural crest</v>
      </c>
      <c r="G7549" s="9" t="s">
        <v>5090</v>
      </c>
      <c r="H7549" s="9" t="s">
        <v>19117</v>
      </c>
      <c r="I7549" s="9" t="s">
        <v>13672</v>
      </c>
      <c r="J7549" s="9" t="s">
        <v>13673</v>
      </c>
      <c r="K7549" s="3" t="s">
        <v>15176</v>
      </c>
      <c r="L7549" s="13">
        <v>304</v>
      </c>
      <c r="M7549" t="str">
        <f>VLOOKUP(L7549,[1]Mouse_ARA!$B$2:$C$1328,2,FALSE)</f>
        <v>PL2/3</v>
      </c>
    </row>
    <row r="7550" spans="2:13" x14ac:dyDescent="0.25">
      <c r="B7550" s="31" t="s">
        <v>26303</v>
      </c>
      <c r="C7550" s="25" t="s">
        <v>26175</v>
      </c>
      <c r="D7550" s="25" t="s">
        <v>26232</v>
      </c>
      <c r="E7550" s="25" t="s">
        <v>26306</v>
      </c>
      <c r="F7550" s="9" t="str">
        <f t="shared" si="111"/>
        <v>structure with developmental contribution from neural crest</v>
      </c>
      <c r="G7550" s="9" t="s">
        <v>5090</v>
      </c>
      <c r="H7550" s="9" t="s">
        <v>19024</v>
      </c>
      <c r="I7550" s="9" t="s">
        <v>13674</v>
      </c>
      <c r="J7550" s="9" t="s">
        <v>13675</v>
      </c>
      <c r="K7550" s="3" t="s">
        <v>15176</v>
      </c>
      <c r="L7550" s="13">
        <v>305</v>
      </c>
      <c r="M7550" t="str">
        <f>VLOOKUP(L7550,[1]Mouse_ARA!$B$2:$C$1328,2,FALSE)</f>
        <v>VISp6b</v>
      </c>
    </row>
    <row r="7551" spans="2:13" x14ac:dyDescent="0.25">
      <c r="B7551" s="31" t="s">
        <v>26303</v>
      </c>
      <c r="C7551" s="25" t="s">
        <v>26252</v>
      </c>
      <c r="D7551" s="25" t="s">
        <v>26232</v>
      </c>
      <c r="E7551" s="25" t="s">
        <v>26306</v>
      </c>
      <c r="F7551" s="9" t="str">
        <f t="shared" si="111"/>
        <v>structure with developmental contribution from neural crest</v>
      </c>
      <c r="G7551" s="9" t="s">
        <v>5090</v>
      </c>
      <c r="H7551" s="9" t="s">
        <v>19445</v>
      </c>
      <c r="I7551" s="9" t="s">
        <v>13676</v>
      </c>
      <c r="J7551" s="9" t="s">
        <v>13677</v>
      </c>
      <c r="K7551" s="3" t="s">
        <v>15176</v>
      </c>
      <c r="L7551" s="13">
        <v>306</v>
      </c>
      <c r="M7551" t="str">
        <f>VLOOKUP(L7551,[1]Mouse_ARA!$B$2:$C$1328,2,FALSE)</f>
        <v>TTv1-3</v>
      </c>
    </row>
    <row r="7552" spans="2:13" x14ac:dyDescent="0.25">
      <c r="B7552" s="31" t="s">
        <v>26303</v>
      </c>
      <c r="C7552" s="20"/>
      <c r="D7552" s="25" t="s">
        <v>26185</v>
      </c>
      <c r="E7552" s="25" t="s">
        <v>26300</v>
      </c>
      <c r="F7552" s="9" t="str">
        <f t="shared" si="111"/>
        <v>structure with developmental contribution from neural crest</v>
      </c>
      <c r="G7552" s="9" t="s">
        <v>5090</v>
      </c>
      <c r="H7552" s="9" t="s">
        <v>20488</v>
      </c>
      <c r="I7552" s="9" t="s">
        <v>13678</v>
      </c>
      <c r="J7552" s="9" t="s">
        <v>13679</v>
      </c>
      <c r="K7552" s="3" t="s">
        <v>15176</v>
      </c>
      <c r="L7552" s="13">
        <v>307</v>
      </c>
      <c r="M7552" t="str">
        <f>VLOOKUP(L7552,[1]Mouse_ARA!$B$2:$C$1328,2,FALSE)</f>
        <v>MARN</v>
      </c>
    </row>
    <row r="7553" spans="2:13" x14ac:dyDescent="0.25">
      <c r="B7553" s="31" t="s">
        <v>26303</v>
      </c>
      <c r="C7553" s="25" t="s">
        <v>3973</v>
      </c>
      <c r="D7553" s="25" t="s">
        <v>26232</v>
      </c>
      <c r="E7553" s="25" t="s">
        <v>26306</v>
      </c>
      <c r="F7553" s="9" t="str">
        <f t="shared" si="111"/>
        <v>structure with developmental contribution from neural crest</v>
      </c>
      <c r="G7553" s="9" t="s">
        <v>5090</v>
      </c>
      <c r="H7553" s="9" t="s">
        <v>19322</v>
      </c>
      <c r="I7553" s="9" t="s">
        <v>13680</v>
      </c>
      <c r="J7553" s="9" t="s">
        <v>13681</v>
      </c>
      <c r="K7553" s="3" t="s">
        <v>15176</v>
      </c>
      <c r="L7553" s="13">
        <v>308</v>
      </c>
      <c r="M7553" t="str">
        <f>VLOOKUP(L7553,[1]Mouse_ARA!$B$2:$C$1328,2,FALSE)</f>
        <v>PTLp6a</v>
      </c>
    </row>
    <row r="7554" spans="2:13" x14ac:dyDescent="0.25">
      <c r="B7554" s="31" t="s">
        <v>26303</v>
      </c>
      <c r="C7554" s="25" t="s">
        <v>25804</v>
      </c>
      <c r="D7554" s="25" t="s">
        <v>26185</v>
      </c>
      <c r="E7554" s="20" t="s">
        <v>26300</v>
      </c>
      <c r="F7554" s="9" t="str">
        <f t="shared" si="111"/>
        <v>structure with developmental contribution from neural crest</v>
      </c>
      <c r="G7554" s="9" t="s">
        <v>5090</v>
      </c>
      <c r="H7554" s="9" t="s">
        <v>19727</v>
      </c>
      <c r="I7554" s="9" t="s">
        <v>13682</v>
      </c>
      <c r="J7554" s="9" t="s">
        <v>13683</v>
      </c>
      <c r="K7554" s="3" t="s">
        <v>15176</v>
      </c>
      <c r="L7554" s="13">
        <v>311</v>
      </c>
      <c r="M7554" t="str">
        <f>VLOOKUP(L7554,[1]Mouse_ARA!$B$2:$C$1328,2,FALSE)</f>
        <v>BLAp</v>
      </c>
    </row>
    <row r="7555" spans="2:13" x14ac:dyDescent="0.25">
      <c r="B7555" s="31" t="s">
        <v>26303</v>
      </c>
      <c r="C7555" s="25" t="s">
        <v>25987</v>
      </c>
      <c r="D7555" s="25" t="s">
        <v>26232</v>
      </c>
      <c r="E7555" s="25" t="s">
        <v>26306</v>
      </c>
      <c r="F7555" s="9" t="str">
        <f t="shared" si="111"/>
        <v>structure with developmental contribution from neural crest</v>
      </c>
      <c r="G7555" s="9" t="s">
        <v>5090</v>
      </c>
      <c r="H7555" s="9" t="s">
        <v>19605</v>
      </c>
      <c r="I7555" s="9" t="s">
        <v>13684</v>
      </c>
      <c r="J7555" s="9" t="s">
        <v>13685</v>
      </c>
      <c r="K7555" s="3" t="s">
        <v>15176</v>
      </c>
      <c r="L7555" s="13">
        <v>312</v>
      </c>
      <c r="M7555" t="str">
        <f>VLOOKUP(L7555,[1]Mouse_ARA!$B$2:$C$1328,2,FALSE)</f>
        <v>ENTl4/5</v>
      </c>
    </row>
    <row r="7556" spans="2:13" x14ac:dyDescent="0.25">
      <c r="B7556" s="31" t="s">
        <v>26303</v>
      </c>
      <c r="C7556" s="20"/>
      <c r="D7556" s="25" t="s">
        <v>26232</v>
      </c>
      <c r="E7556" s="25" t="s">
        <v>26300</v>
      </c>
      <c r="F7556" s="9" t="str">
        <f t="shared" si="111"/>
        <v>structure with developmental contribution from neural crest</v>
      </c>
      <c r="G7556" s="9" t="s">
        <v>5090</v>
      </c>
      <c r="H7556" s="9" t="s">
        <v>19326</v>
      </c>
      <c r="I7556" s="9" t="s">
        <v>13686</v>
      </c>
      <c r="J7556" s="9" t="s">
        <v>13687</v>
      </c>
      <c r="K7556" s="3" t="s">
        <v>15176</v>
      </c>
      <c r="L7556" s="13">
        <v>312782546</v>
      </c>
      <c r="M7556" t="str">
        <f>VLOOKUP(L7556,[1]Mouse_ARA!$B$2:$C$1328,2,FALSE)</f>
        <v>VISa</v>
      </c>
    </row>
    <row r="7557" spans="2:13" x14ac:dyDescent="0.25">
      <c r="B7557" s="31" t="s">
        <v>26303</v>
      </c>
      <c r="C7557" s="20"/>
      <c r="D7557" s="25" t="s">
        <v>26232</v>
      </c>
      <c r="E7557" s="25" t="s">
        <v>26307</v>
      </c>
      <c r="F7557" s="9" t="str">
        <f t="shared" si="111"/>
        <v>structure with developmental contribution from neural crest</v>
      </c>
      <c r="G7557" s="9" t="s">
        <v>5090</v>
      </c>
      <c r="H7557" s="9" t="s">
        <v>19328</v>
      </c>
      <c r="I7557" s="9" t="s">
        <v>13688</v>
      </c>
      <c r="J7557" s="9" t="s">
        <v>13689</v>
      </c>
      <c r="K7557" s="3" t="s">
        <v>15176</v>
      </c>
      <c r="L7557" s="13">
        <v>312782550</v>
      </c>
      <c r="M7557" t="str">
        <f>VLOOKUP(L7557,[1]Mouse_ARA!$B$2:$C$1328,2,FALSE)</f>
        <v>VISa1</v>
      </c>
    </row>
    <row r="7558" spans="2:13" x14ac:dyDescent="0.25">
      <c r="B7558" s="31" t="s">
        <v>26303</v>
      </c>
      <c r="C7558" s="20"/>
      <c r="D7558" s="25" t="s">
        <v>26232</v>
      </c>
      <c r="E7558" s="25" t="s">
        <v>26307</v>
      </c>
      <c r="F7558" s="9" t="str">
        <f t="shared" si="111"/>
        <v>structure with developmental contribution from neural crest</v>
      </c>
      <c r="G7558" s="9" t="s">
        <v>5090</v>
      </c>
      <c r="H7558" s="9" t="s">
        <v>19330</v>
      </c>
      <c r="I7558" s="9" t="s">
        <v>13690</v>
      </c>
      <c r="J7558" s="9" t="s">
        <v>13691</v>
      </c>
      <c r="K7558" s="3" t="s">
        <v>15176</v>
      </c>
      <c r="L7558" s="13">
        <v>312782554</v>
      </c>
      <c r="M7558" t="str">
        <f>VLOOKUP(L7558,[1]Mouse_ARA!$B$2:$C$1328,2,FALSE)</f>
        <v>VISa2/3</v>
      </c>
    </row>
    <row r="7559" spans="2:13" x14ac:dyDescent="0.25">
      <c r="B7559" s="31" t="s">
        <v>26303</v>
      </c>
      <c r="C7559" s="20"/>
      <c r="D7559" s="25" t="s">
        <v>26232</v>
      </c>
      <c r="E7559" s="25" t="s">
        <v>26307</v>
      </c>
      <c r="F7559" s="9" t="str">
        <f t="shared" si="111"/>
        <v>structure with developmental contribution from neural crest</v>
      </c>
      <c r="G7559" s="9" t="s">
        <v>5090</v>
      </c>
      <c r="H7559" s="9" t="s">
        <v>19332</v>
      </c>
      <c r="I7559" s="9" t="s">
        <v>13692</v>
      </c>
      <c r="J7559" s="9" t="s">
        <v>13693</v>
      </c>
      <c r="K7559" s="3" t="s">
        <v>15176</v>
      </c>
      <c r="L7559" s="13">
        <v>312782558</v>
      </c>
      <c r="M7559" t="str">
        <f>VLOOKUP(L7559,[1]Mouse_ARA!$B$2:$C$1328,2,FALSE)</f>
        <v>VISa4</v>
      </c>
    </row>
    <row r="7560" spans="2:13" x14ac:dyDescent="0.25">
      <c r="B7560" s="31" t="s">
        <v>26303</v>
      </c>
      <c r="C7560" s="20"/>
      <c r="D7560" s="25" t="s">
        <v>26232</v>
      </c>
      <c r="E7560" s="25" t="s">
        <v>26307</v>
      </c>
      <c r="F7560" s="9" t="str">
        <f t="shared" si="111"/>
        <v>structure with developmental contribution from neural crest</v>
      </c>
      <c r="G7560" s="9" t="s">
        <v>5090</v>
      </c>
      <c r="H7560" s="9" t="s">
        <v>19334</v>
      </c>
      <c r="I7560" s="9" t="s">
        <v>13694</v>
      </c>
      <c r="J7560" s="9" t="s">
        <v>13695</v>
      </c>
      <c r="K7560" s="3" t="s">
        <v>15176</v>
      </c>
      <c r="L7560" s="13">
        <v>312782562</v>
      </c>
      <c r="M7560" t="str">
        <f>VLOOKUP(L7560,[1]Mouse_ARA!$B$2:$C$1328,2,FALSE)</f>
        <v>VISa5</v>
      </c>
    </row>
    <row r="7561" spans="2:13" x14ac:dyDescent="0.25">
      <c r="B7561" s="31" t="s">
        <v>26303</v>
      </c>
      <c r="C7561" s="20"/>
      <c r="D7561" s="25" t="s">
        <v>26232</v>
      </c>
      <c r="E7561" s="25" t="s">
        <v>26307</v>
      </c>
      <c r="F7561" s="9" t="str">
        <f t="shared" si="111"/>
        <v>structure with developmental contribution from neural crest</v>
      </c>
      <c r="G7561" s="9" t="s">
        <v>5090</v>
      </c>
      <c r="H7561" s="9" t="s">
        <v>19336</v>
      </c>
      <c r="I7561" s="9" t="s">
        <v>13696</v>
      </c>
      <c r="J7561" s="9" t="s">
        <v>13697</v>
      </c>
      <c r="K7561" s="3" t="s">
        <v>15176</v>
      </c>
      <c r="L7561" s="13">
        <v>312782566</v>
      </c>
      <c r="M7561" t="str">
        <f>VLOOKUP(L7561,[1]Mouse_ARA!$B$2:$C$1328,2,FALSE)</f>
        <v>VISa6a</v>
      </c>
    </row>
    <row r="7562" spans="2:13" x14ac:dyDescent="0.25">
      <c r="B7562" s="31" t="s">
        <v>26303</v>
      </c>
      <c r="C7562" s="20"/>
      <c r="D7562" s="25" t="s">
        <v>26232</v>
      </c>
      <c r="E7562" s="25" t="s">
        <v>26307</v>
      </c>
      <c r="F7562" s="9" t="str">
        <f t="shared" si="111"/>
        <v>structure with developmental contribution from neural crest</v>
      </c>
      <c r="G7562" s="9" t="s">
        <v>5090</v>
      </c>
      <c r="H7562" s="9" t="s">
        <v>19338</v>
      </c>
      <c r="I7562" s="9" t="s">
        <v>13698</v>
      </c>
      <c r="J7562" s="9" t="s">
        <v>13699</v>
      </c>
      <c r="K7562" s="3" t="s">
        <v>15176</v>
      </c>
      <c r="L7562" s="13">
        <v>312782570</v>
      </c>
      <c r="M7562" t="str">
        <f>VLOOKUP(L7562,[1]Mouse_ARA!$B$2:$C$1328,2,FALSE)</f>
        <v>VISa6b</v>
      </c>
    </row>
    <row r="7563" spans="2:13" x14ac:dyDescent="0.25">
      <c r="B7563" s="31" t="s">
        <v>26303</v>
      </c>
      <c r="C7563" s="20"/>
      <c r="D7563" s="25" t="s">
        <v>26232</v>
      </c>
      <c r="E7563" s="25" t="s">
        <v>26300</v>
      </c>
      <c r="F7563" s="9" t="str">
        <f t="shared" si="111"/>
        <v>structure with developmental contribution from neural crest</v>
      </c>
      <c r="G7563" s="9" t="s">
        <v>5090</v>
      </c>
      <c r="H7563" s="9" t="s">
        <v>19047</v>
      </c>
      <c r="I7563" s="9" t="s">
        <v>13700</v>
      </c>
      <c r="J7563" s="9" t="s">
        <v>13701</v>
      </c>
      <c r="K7563" s="3" t="s">
        <v>15176</v>
      </c>
      <c r="L7563" s="13">
        <v>312782574</v>
      </c>
      <c r="M7563" t="str">
        <f>VLOOKUP(L7563,[1]Mouse_ARA!$B$2:$C$1328,2,FALSE)</f>
        <v>VISli</v>
      </c>
    </row>
    <row r="7564" spans="2:13" x14ac:dyDescent="0.25">
      <c r="B7564" s="31" t="s">
        <v>26303</v>
      </c>
      <c r="C7564" s="20"/>
      <c r="D7564" s="25" t="s">
        <v>26232</v>
      </c>
      <c r="E7564" s="25" t="s">
        <v>26307</v>
      </c>
      <c r="F7564" s="9" t="str">
        <f t="shared" si="111"/>
        <v>structure with developmental contribution from neural crest</v>
      </c>
      <c r="G7564" s="9" t="s">
        <v>5090</v>
      </c>
      <c r="H7564" s="9" t="s">
        <v>19049</v>
      </c>
      <c r="I7564" s="9" t="s">
        <v>13702</v>
      </c>
      <c r="J7564" s="9" t="s">
        <v>13703</v>
      </c>
      <c r="K7564" s="3" t="s">
        <v>15176</v>
      </c>
      <c r="L7564" s="13">
        <v>312782578</v>
      </c>
      <c r="M7564" t="str">
        <f>VLOOKUP(L7564,[1]Mouse_ARA!$B$2:$C$1328,2,FALSE)</f>
        <v>VISli1</v>
      </c>
    </row>
    <row r="7565" spans="2:13" x14ac:dyDescent="0.25">
      <c r="B7565" s="31" t="s">
        <v>26303</v>
      </c>
      <c r="C7565" s="20"/>
      <c r="D7565" s="25" t="s">
        <v>26232</v>
      </c>
      <c r="E7565" s="25" t="s">
        <v>26307</v>
      </c>
      <c r="F7565" s="9" t="str">
        <f t="shared" si="111"/>
        <v>structure with developmental contribution from neural crest</v>
      </c>
      <c r="G7565" s="9" t="s">
        <v>5090</v>
      </c>
      <c r="H7565" s="9" t="s">
        <v>19051</v>
      </c>
      <c r="I7565" s="9" t="s">
        <v>13704</v>
      </c>
      <c r="J7565" s="9" t="s">
        <v>13705</v>
      </c>
      <c r="K7565" s="3" t="s">
        <v>15176</v>
      </c>
      <c r="L7565" s="13">
        <v>312782582</v>
      </c>
      <c r="M7565" t="str">
        <f>VLOOKUP(L7565,[1]Mouse_ARA!$B$2:$C$1328,2,FALSE)</f>
        <v>VISli2/3</v>
      </c>
    </row>
    <row r="7566" spans="2:13" x14ac:dyDescent="0.25">
      <c r="B7566" s="31" t="s">
        <v>26303</v>
      </c>
      <c r="C7566" s="20"/>
      <c r="D7566" s="25" t="s">
        <v>26232</v>
      </c>
      <c r="E7566" s="25" t="s">
        <v>26307</v>
      </c>
      <c r="F7566" s="9" t="str">
        <f t="shared" si="111"/>
        <v>structure with developmental contribution from neural crest</v>
      </c>
      <c r="G7566" s="9" t="s">
        <v>5090</v>
      </c>
      <c r="H7566" s="9" t="s">
        <v>19053</v>
      </c>
      <c r="I7566" s="9" t="s">
        <v>13706</v>
      </c>
      <c r="J7566" s="9" t="s">
        <v>13707</v>
      </c>
      <c r="K7566" s="3" t="s">
        <v>15176</v>
      </c>
      <c r="L7566" s="13">
        <v>312782586</v>
      </c>
      <c r="M7566" t="str">
        <f>VLOOKUP(L7566,[1]Mouse_ARA!$B$2:$C$1328,2,FALSE)</f>
        <v>VISli4</v>
      </c>
    </row>
    <row r="7567" spans="2:13" x14ac:dyDescent="0.25">
      <c r="B7567" s="31" t="s">
        <v>26303</v>
      </c>
      <c r="C7567" s="20"/>
      <c r="D7567" s="25" t="s">
        <v>26232</v>
      </c>
      <c r="E7567" s="25" t="s">
        <v>26307</v>
      </c>
      <c r="F7567" s="9" t="str">
        <f t="shared" si="111"/>
        <v>structure with developmental contribution from neural crest</v>
      </c>
      <c r="G7567" s="9" t="s">
        <v>5090</v>
      </c>
      <c r="H7567" s="9" t="s">
        <v>19055</v>
      </c>
      <c r="I7567" s="9" t="s">
        <v>13708</v>
      </c>
      <c r="J7567" s="9" t="s">
        <v>13709</v>
      </c>
      <c r="K7567" s="3" t="s">
        <v>15176</v>
      </c>
      <c r="L7567" s="13">
        <v>312782590</v>
      </c>
      <c r="M7567" t="str">
        <f>VLOOKUP(L7567,[1]Mouse_ARA!$B$2:$C$1328,2,FALSE)</f>
        <v>VISli5</v>
      </c>
    </row>
    <row r="7568" spans="2:13" x14ac:dyDescent="0.25">
      <c r="B7568" s="31" t="s">
        <v>26303</v>
      </c>
      <c r="C7568" s="20"/>
      <c r="D7568" s="25" t="s">
        <v>26232</v>
      </c>
      <c r="E7568" s="25" t="s">
        <v>26307</v>
      </c>
      <c r="F7568" s="9" t="str">
        <f t="shared" si="111"/>
        <v>structure with developmental contribution from neural crest</v>
      </c>
      <c r="G7568" s="9" t="s">
        <v>5090</v>
      </c>
      <c r="H7568" s="9" t="s">
        <v>19057</v>
      </c>
      <c r="I7568" s="9" t="s">
        <v>13710</v>
      </c>
      <c r="J7568" s="9" t="s">
        <v>13711</v>
      </c>
      <c r="K7568" s="3" t="s">
        <v>15176</v>
      </c>
      <c r="L7568" s="13">
        <v>312782594</v>
      </c>
      <c r="M7568" t="str">
        <f>VLOOKUP(L7568,[1]Mouse_ARA!$B$2:$C$1328,2,FALSE)</f>
        <v>VISli6a</v>
      </c>
    </row>
    <row r="7569" spans="2:13" x14ac:dyDescent="0.25">
      <c r="B7569" s="31" t="s">
        <v>26303</v>
      </c>
      <c r="C7569" s="20"/>
      <c r="D7569" s="25" t="s">
        <v>26232</v>
      </c>
      <c r="E7569" s="25" t="s">
        <v>26307</v>
      </c>
      <c r="F7569" s="9" t="str">
        <f t="shared" si="111"/>
        <v>structure with developmental contribution from neural crest</v>
      </c>
      <c r="G7569" s="9" t="s">
        <v>5090</v>
      </c>
      <c r="H7569" s="9" t="s">
        <v>19059</v>
      </c>
      <c r="I7569" s="9" t="s">
        <v>13712</v>
      </c>
      <c r="J7569" s="9" t="s">
        <v>13713</v>
      </c>
      <c r="K7569" s="3" t="s">
        <v>15176</v>
      </c>
      <c r="L7569" s="13">
        <v>312782598</v>
      </c>
      <c r="M7569" t="str">
        <f>VLOOKUP(L7569,[1]Mouse_ARA!$B$2:$C$1328,2,FALSE)</f>
        <v>VISli6b</v>
      </c>
    </row>
    <row r="7570" spans="2:13" x14ac:dyDescent="0.25">
      <c r="B7570" s="31" t="s">
        <v>26303</v>
      </c>
      <c r="C7570" s="25" t="s">
        <v>4919</v>
      </c>
      <c r="D7570" s="25" t="s">
        <v>26232</v>
      </c>
      <c r="E7570" s="25" t="s">
        <v>26306</v>
      </c>
      <c r="F7570" s="9" t="str">
        <f t="shared" si="111"/>
        <v>structure with developmental contribution from neural crest</v>
      </c>
      <c r="G7570" s="9" t="s">
        <v>5090</v>
      </c>
      <c r="H7570" s="9" t="s">
        <v>19342</v>
      </c>
      <c r="I7570" s="9" t="s">
        <v>13714</v>
      </c>
      <c r="J7570" s="9" t="s">
        <v>13715</v>
      </c>
      <c r="K7570" s="3" t="s">
        <v>15176</v>
      </c>
      <c r="L7570" s="13">
        <v>312782604</v>
      </c>
      <c r="M7570" t="str">
        <f>VLOOKUP(L7570,[1]Mouse_ARA!$B$2:$C$1328,2,FALSE)</f>
        <v>VISrl1</v>
      </c>
    </row>
    <row r="7571" spans="2:13" x14ac:dyDescent="0.25">
      <c r="B7571" s="31" t="s">
        <v>26303</v>
      </c>
      <c r="C7571" s="25" t="s">
        <v>4919</v>
      </c>
      <c r="D7571" s="25" t="s">
        <v>26232</v>
      </c>
      <c r="E7571" s="25" t="s">
        <v>26306</v>
      </c>
      <c r="F7571" s="9" t="str">
        <f t="shared" si="111"/>
        <v>structure with developmental contribution from neural crest</v>
      </c>
      <c r="G7571" s="9" t="s">
        <v>5090</v>
      </c>
      <c r="H7571" s="9" t="s">
        <v>19344</v>
      </c>
      <c r="I7571" s="9" t="s">
        <v>13716</v>
      </c>
      <c r="J7571" s="9" t="s">
        <v>13717</v>
      </c>
      <c r="K7571" s="3" t="s">
        <v>15176</v>
      </c>
      <c r="L7571" s="13">
        <v>312782608</v>
      </c>
      <c r="M7571" t="str">
        <f>VLOOKUP(L7571,[1]Mouse_ARA!$B$2:$C$1328,2,FALSE)</f>
        <v>VISrl2/3</v>
      </c>
    </row>
    <row r="7572" spans="2:13" x14ac:dyDescent="0.25">
      <c r="B7572" s="31" t="s">
        <v>26303</v>
      </c>
      <c r="C7572" s="25" t="s">
        <v>4919</v>
      </c>
      <c r="D7572" s="25" t="s">
        <v>26232</v>
      </c>
      <c r="E7572" s="25" t="s">
        <v>26306</v>
      </c>
      <c r="F7572" s="9" t="str">
        <f t="shared" si="111"/>
        <v>structure with developmental contribution from neural crest</v>
      </c>
      <c r="G7572" s="9" t="s">
        <v>5090</v>
      </c>
      <c r="H7572" s="9" t="s">
        <v>19346</v>
      </c>
      <c r="I7572" s="9" t="s">
        <v>13718</v>
      </c>
      <c r="J7572" s="9" t="s">
        <v>13719</v>
      </c>
      <c r="K7572" s="3" t="s">
        <v>15176</v>
      </c>
      <c r="L7572" s="13">
        <v>312782612</v>
      </c>
      <c r="M7572" t="str">
        <f>VLOOKUP(L7572,[1]Mouse_ARA!$B$2:$C$1328,2,FALSE)</f>
        <v>VISrl4</v>
      </c>
    </row>
    <row r="7573" spans="2:13" x14ac:dyDescent="0.25">
      <c r="B7573" s="31" t="s">
        <v>26303</v>
      </c>
      <c r="C7573" s="25" t="s">
        <v>4919</v>
      </c>
      <c r="D7573" s="25" t="s">
        <v>26232</v>
      </c>
      <c r="E7573" s="25" t="s">
        <v>26306</v>
      </c>
      <c r="F7573" s="9" t="str">
        <f t="shared" si="111"/>
        <v>structure with developmental contribution from neural crest</v>
      </c>
      <c r="G7573" s="9" t="s">
        <v>5090</v>
      </c>
      <c r="H7573" s="9" t="s">
        <v>19350</v>
      </c>
      <c r="I7573" s="9" t="s">
        <v>13720</v>
      </c>
      <c r="J7573" s="9" t="s">
        <v>13721</v>
      </c>
      <c r="K7573" s="3" t="s">
        <v>15176</v>
      </c>
      <c r="L7573" s="13">
        <v>312782620</v>
      </c>
      <c r="M7573" t="str">
        <f>VLOOKUP(L7573,[1]Mouse_ARA!$B$2:$C$1328,2,FALSE)</f>
        <v>VISrl6a</v>
      </c>
    </row>
    <row r="7574" spans="2:13" x14ac:dyDescent="0.25">
      <c r="B7574" s="31" t="s">
        <v>26303</v>
      </c>
      <c r="C7574" s="25" t="s">
        <v>4919</v>
      </c>
      <c r="D7574" s="25" t="s">
        <v>26232</v>
      </c>
      <c r="E7574" s="25" t="s">
        <v>26306</v>
      </c>
      <c r="F7574" s="9" t="str">
        <f t="shared" si="111"/>
        <v>structure with developmental contribution from neural crest</v>
      </c>
      <c r="G7574" s="9" t="s">
        <v>5090</v>
      </c>
      <c r="H7574" s="9" t="s">
        <v>19352</v>
      </c>
      <c r="I7574" s="9" t="s">
        <v>13722</v>
      </c>
      <c r="J7574" s="9" t="s">
        <v>13723</v>
      </c>
      <c r="K7574" s="3" t="s">
        <v>15176</v>
      </c>
      <c r="L7574" s="13">
        <v>312782624</v>
      </c>
      <c r="M7574" t="str">
        <f>VLOOKUP(L7574,[1]Mouse_ARA!$B$2:$C$1328,2,FALSE)</f>
        <v>VISrl6b</v>
      </c>
    </row>
    <row r="7575" spans="2:13" x14ac:dyDescent="0.25">
      <c r="B7575" s="31" t="s">
        <v>26303</v>
      </c>
      <c r="C7575" s="25" t="s">
        <v>4045</v>
      </c>
      <c r="D7575" s="25" t="s">
        <v>26232</v>
      </c>
      <c r="E7575" s="25" t="s">
        <v>26306</v>
      </c>
      <c r="F7575" s="9" t="str">
        <f t="shared" si="111"/>
        <v>structure with developmental contribution from neural crest</v>
      </c>
      <c r="G7575" s="9" t="s">
        <v>5090</v>
      </c>
      <c r="H7575" s="9" t="s">
        <v>19063</v>
      </c>
      <c r="I7575" s="9" t="s">
        <v>13724</v>
      </c>
      <c r="J7575" s="9" t="s">
        <v>13725</v>
      </c>
      <c r="K7575" s="3" t="s">
        <v>15176</v>
      </c>
      <c r="L7575" s="13">
        <v>312782632</v>
      </c>
      <c r="M7575" t="str">
        <f>VLOOKUP(L7575,[1]Mouse_ARA!$B$2:$C$1328,2,FALSE)</f>
        <v>VISpor1</v>
      </c>
    </row>
    <row r="7576" spans="2:13" x14ac:dyDescent="0.25">
      <c r="B7576" s="31" t="s">
        <v>26303</v>
      </c>
      <c r="C7576" s="25" t="s">
        <v>4045</v>
      </c>
      <c r="D7576" s="25" t="s">
        <v>26232</v>
      </c>
      <c r="E7576" s="25" t="s">
        <v>26306</v>
      </c>
      <c r="F7576" s="9" t="str">
        <f t="shared" si="111"/>
        <v>structure with developmental contribution from neural crest</v>
      </c>
      <c r="G7576" s="9" t="s">
        <v>5090</v>
      </c>
      <c r="H7576" s="9" t="s">
        <v>19065</v>
      </c>
      <c r="I7576" s="9" t="s">
        <v>13726</v>
      </c>
      <c r="J7576" s="9" t="s">
        <v>13727</v>
      </c>
      <c r="K7576" s="3" t="s">
        <v>15176</v>
      </c>
      <c r="L7576" s="13">
        <v>312782636</v>
      </c>
      <c r="M7576" t="str">
        <f>VLOOKUP(L7576,[1]Mouse_ARA!$B$2:$C$1328,2,FALSE)</f>
        <v>VISpor2/3</v>
      </c>
    </row>
    <row r="7577" spans="2:13" x14ac:dyDescent="0.25">
      <c r="B7577" s="31" t="s">
        <v>26303</v>
      </c>
      <c r="C7577" s="25" t="s">
        <v>4045</v>
      </c>
      <c r="D7577" s="25" t="s">
        <v>26232</v>
      </c>
      <c r="E7577" s="25" t="s">
        <v>26306</v>
      </c>
      <c r="F7577" s="9" t="str">
        <f t="shared" si="111"/>
        <v>structure with developmental contribution from neural crest</v>
      </c>
      <c r="G7577" s="9" t="s">
        <v>5090</v>
      </c>
      <c r="H7577" s="9" t="s">
        <v>19069</v>
      </c>
      <c r="I7577" s="9" t="s">
        <v>13728</v>
      </c>
      <c r="J7577" s="9" t="s">
        <v>13729</v>
      </c>
      <c r="K7577" s="3" t="s">
        <v>15176</v>
      </c>
      <c r="L7577" s="13">
        <v>312782644</v>
      </c>
      <c r="M7577" t="str">
        <f>VLOOKUP(L7577,[1]Mouse_ARA!$B$2:$C$1328,2,FALSE)</f>
        <v>VISpor5</v>
      </c>
    </row>
    <row r="7578" spans="2:13" x14ac:dyDescent="0.25">
      <c r="B7578" s="31" t="s">
        <v>26303</v>
      </c>
      <c r="C7578" s="25" t="s">
        <v>4045</v>
      </c>
      <c r="D7578" s="25" t="s">
        <v>26232</v>
      </c>
      <c r="E7578" s="25" t="s">
        <v>26306</v>
      </c>
      <c r="F7578" s="9" t="str">
        <f t="shared" si="111"/>
        <v>structure with developmental contribution from neural crest</v>
      </c>
      <c r="G7578" s="9" t="s">
        <v>5090</v>
      </c>
      <c r="H7578" s="9" t="s">
        <v>19071</v>
      </c>
      <c r="I7578" s="9" t="s">
        <v>13730</v>
      </c>
      <c r="J7578" s="9" t="s">
        <v>13731</v>
      </c>
      <c r="K7578" s="3" t="s">
        <v>15176</v>
      </c>
      <c r="L7578" s="13">
        <v>312782648</v>
      </c>
      <c r="M7578" t="str">
        <f>VLOOKUP(L7578,[1]Mouse_ARA!$B$2:$C$1328,2,FALSE)</f>
        <v>VISpor6a</v>
      </c>
    </row>
    <row r="7579" spans="2:13" x14ac:dyDescent="0.25">
      <c r="B7579" s="31" t="s">
        <v>26303</v>
      </c>
      <c r="C7579" s="25" t="s">
        <v>4045</v>
      </c>
      <c r="D7579" s="25" t="s">
        <v>26232</v>
      </c>
      <c r="E7579" s="25" t="s">
        <v>26306</v>
      </c>
      <c r="F7579" s="9" t="str">
        <f t="shared" si="111"/>
        <v>structure with developmental contribution from neural crest</v>
      </c>
      <c r="G7579" s="9" t="s">
        <v>5090</v>
      </c>
      <c r="H7579" s="9" t="s">
        <v>19073</v>
      </c>
      <c r="I7579" s="9" t="s">
        <v>13732</v>
      </c>
      <c r="J7579" s="9" t="s">
        <v>13733</v>
      </c>
      <c r="K7579" s="3" t="s">
        <v>15176</v>
      </c>
      <c r="L7579" s="13">
        <v>312782652</v>
      </c>
      <c r="M7579" t="str">
        <f>VLOOKUP(L7579,[1]Mouse_ARA!$B$2:$C$1328,2,FALSE)</f>
        <v>VISpor6b</v>
      </c>
    </row>
    <row r="7580" spans="2:13" x14ac:dyDescent="0.25">
      <c r="B7580" s="31" t="s">
        <v>26303</v>
      </c>
      <c r="C7580" s="25" t="s">
        <v>25771</v>
      </c>
      <c r="D7580" s="25" t="s">
        <v>26232</v>
      </c>
      <c r="E7580" s="25" t="s">
        <v>26306</v>
      </c>
      <c r="F7580" s="9" t="str">
        <f t="shared" si="111"/>
        <v>structure with developmental contribution from neural crest</v>
      </c>
      <c r="G7580" s="9" t="s">
        <v>5090</v>
      </c>
      <c r="H7580" s="9" t="s">
        <v>19213</v>
      </c>
      <c r="I7580" s="9" t="s">
        <v>13734</v>
      </c>
      <c r="J7580" s="9" t="s">
        <v>13735</v>
      </c>
      <c r="K7580" s="3" t="s">
        <v>15176</v>
      </c>
      <c r="L7580" s="13">
        <v>314</v>
      </c>
      <c r="M7580" t="str">
        <f>VLOOKUP(L7580,[1]Mouse_ARA!$B$2:$C$1328,2,FALSE)</f>
        <v>AIp6a</v>
      </c>
    </row>
    <row r="7581" spans="2:13" x14ac:dyDescent="0.25">
      <c r="B7581" s="31" t="s">
        <v>26303</v>
      </c>
      <c r="C7581" s="25" t="s">
        <v>26249</v>
      </c>
      <c r="D7581" s="25" t="s">
        <v>26232</v>
      </c>
      <c r="E7581" s="25"/>
      <c r="F7581" s="9" t="str">
        <f t="shared" si="111"/>
        <v>structure with developmental contribution from neural crest</v>
      </c>
      <c r="G7581" s="9" t="s">
        <v>5090</v>
      </c>
      <c r="H7581" s="9" t="s">
        <v>16486</v>
      </c>
      <c r="I7581" s="9" t="s">
        <v>7637</v>
      </c>
      <c r="J7581" s="9" t="s">
        <v>13736</v>
      </c>
      <c r="K7581" s="3" t="s">
        <v>15176</v>
      </c>
      <c r="L7581" s="13">
        <v>318</v>
      </c>
      <c r="M7581" t="str">
        <f>VLOOKUP(L7581,[1]Mouse_ARA!$B$2:$C$1328,2,FALSE)</f>
        <v>SG</v>
      </c>
    </row>
    <row r="7582" spans="2:13" x14ac:dyDescent="0.25">
      <c r="B7582" s="31" t="s">
        <v>25743</v>
      </c>
      <c r="C7582" s="25" t="s">
        <v>26026</v>
      </c>
      <c r="D7582" s="25" t="s">
        <v>26232</v>
      </c>
      <c r="E7582" s="25"/>
      <c r="F7582" s="9" t="str">
        <f t="shared" si="111"/>
        <v>structure with developmental contribution from neural crest</v>
      </c>
      <c r="G7582" s="9" t="s">
        <v>5090</v>
      </c>
      <c r="H7582" s="9" t="s">
        <v>15737</v>
      </c>
      <c r="I7582" s="9" t="s">
        <v>2983</v>
      </c>
      <c r="J7582" s="9" t="s">
        <v>2984</v>
      </c>
      <c r="K7582" s="3" t="s">
        <v>15176</v>
      </c>
      <c r="L7582" s="13">
        <v>319</v>
      </c>
      <c r="M7582" t="str">
        <f>VLOOKUP(L7582,[1]Mouse_ARA!$B$2:$C$1328,2,FALSE)</f>
        <v>BMA</v>
      </c>
    </row>
    <row r="7583" spans="2:13" x14ac:dyDescent="0.25">
      <c r="B7583" s="31" t="s">
        <v>26303</v>
      </c>
      <c r="C7583" s="25" t="s">
        <v>26166</v>
      </c>
      <c r="D7583" s="25" t="s">
        <v>26232</v>
      </c>
      <c r="E7583" s="25" t="s">
        <v>26306</v>
      </c>
      <c r="F7583" s="9" t="str">
        <f t="shared" si="111"/>
        <v>structure with developmental contribution from neural crest</v>
      </c>
      <c r="G7583" s="9" t="s">
        <v>5090</v>
      </c>
      <c r="H7583" s="9" t="s">
        <v>18681</v>
      </c>
      <c r="I7583" s="9" t="s">
        <v>13737</v>
      </c>
      <c r="J7583" s="9" t="s">
        <v>13738</v>
      </c>
      <c r="K7583" s="3" t="s">
        <v>15176</v>
      </c>
      <c r="L7583" s="13">
        <v>320</v>
      </c>
      <c r="M7583" t="str">
        <f>VLOOKUP(L7583,[1]Mouse_ARA!$B$2:$C$1328,2,FALSE)</f>
        <v>MOp1</v>
      </c>
    </row>
    <row r="7584" spans="2:13" x14ac:dyDescent="0.25">
      <c r="B7584" s="31" t="s">
        <v>26303</v>
      </c>
      <c r="C7584" s="25" t="s">
        <v>26020</v>
      </c>
      <c r="D7584" s="25" t="s">
        <v>26232</v>
      </c>
      <c r="E7584" s="25" t="s">
        <v>26306</v>
      </c>
      <c r="F7584" s="9" t="str">
        <f t="shared" si="111"/>
        <v>structure with developmental contribution from neural crest</v>
      </c>
      <c r="G7584" s="9" t="s">
        <v>5090</v>
      </c>
      <c r="H7584" s="9" t="s">
        <v>19639</v>
      </c>
      <c r="I7584" s="9" t="s">
        <v>13739</v>
      </c>
      <c r="J7584" s="9" t="s">
        <v>13740</v>
      </c>
      <c r="K7584" s="3" t="s">
        <v>15176</v>
      </c>
      <c r="L7584" s="13">
        <v>324</v>
      </c>
      <c r="M7584" t="str">
        <f>VLOOKUP(L7584,[1]Mouse_ARA!$B$2:$C$1328,2,FALSE)</f>
        <v>ENTmv2</v>
      </c>
    </row>
    <row r="7585" spans="2:13" x14ac:dyDescent="0.25">
      <c r="B7585" s="31" t="s">
        <v>25743</v>
      </c>
      <c r="C7585" s="25" t="s">
        <v>26026</v>
      </c>
      <c r="D7585" s="25" t="s">
        <v>26232</v>
      </c>
      <c r="E7585" s="25"/>
      <c r="F7585" s="9" t="str">
        <f t="shared" si="111"/>
        <v>structure with developmental contribution from neural crest</v>
      </c>
      <c r="G7585" s="9" t="s">
        <v>5090</v>
      </c>
      <c r="H7585" s="9" t="s">
        <v>19732</v>
      </c>
      <c r="I7585" s="9" t="s">
        <v>13741</v>
      </c>
      <c r="J7585" s="9" t="s">
        <v>13742</v>
      </c>
      <c r="K7585" s="3" t="s">
        <v>15176</v>
      </c>
      <c r="L7585" s="13">
        <v>327</v>
      </c>
      <c r="M7585" t="str">
        <f>VLOOKUP(L7585,[1]Mouse_ARA!$B$2:$C$1328,2,FALSE)</f>
        <v>BMAa</v>
      </c>
    </row>
    <row r="7586" spans="2:13" x14ac:dyDescent="0.25">
      <c r="B7586" s="31" t="s">
        <v>26303</v>
      </c>
      <c r="C7586" s="25" t="s">
        <v>25771</v>
      </c>
      <c r="D7586" s="25" t="s">
        <v>26232</v>
      </c>
      <c r="E7586" s="25" t="s">
        <v>26306</v>
      </c>
      <c r="F7586" s="9" t="str">
        <f t="shared" si="111"/>
        <v>structure with developmental contribution from neural crest</v>
      </c>
      <c r="G7586" s="9" t="s">
        <v>5090</v>
      </c>
      <c r="H7586" s="9" t="s">
        <v>19197</v>
      </c>
      <c r="I7586" s="9" t="s">
        <v>13743</v>
      </c>
      <c r="J7586" s="9" t="s">
        <v>13744</v>
      </c>
      <c r="K7586" s="3" t="s">
        <v>15176</v>
      </c>
      <c r="L7586" s="13">
        <v>328</v>
      </c>
      <c r="M7586" t="str">
        <f>VLOOKUP(L7586,[1]Mouse_ARA!$B$2:$C$1328,2,FALSE)</f>
        <v>AId2/3</v>
      </c>
    </row>
    <row r="7587" spans="2:13" x14ac:dyDescent="0.25">
      <c r="B7587" s="31" t="s">
        <v>26299</v>
      </c>
      <c r="C7587" s="25" t="s">
        <v>26190</v>
      </c>
      <c r="D7587" s="25" t="s">
        <v>26232</v>
      </c>
      <c r="E7587" s="25" t="s">
        <v>26306</v>
      </c>
      <c r="F7587" s="9" t="str">
        <f t="shared" si="111"/>
        <v>structure with developmental contribution from neural crest</v>
      </c>
      <c r="G7587" s="9" t="s">
        <v>5090</v>
      </c>
      <c r="H7587" s="9" t="s">
        <v>19296</v>
      </c>
      <c r="I7587" s="9" t="s">
        <v>13745</v>
      </c>
      <c r="J7587" s="9" t="s">
        <v>13746</v>
      </c>
      <c r="K7587" s="3" t="s">
        <v>15176</v>
      </c>
      <c r="L7587" s="13">
        <v>330</v>
      </c>
      <c r="M7587" t="str">
        <f>VLOOKUP(L7587,[1]Mouse_ARA!$B$2:$C$1328,2,FALSE)</f>
        <v>RSPd6b</v>
      </c>
    </row>
    <row r="7588" spans="2:13" x14ac:dyDescent="0.25">
      <c r="B7588" s="31" t="s">
        <v>25743</v>
      </c>
      <c r="C7588" s="25" t="s">
        <v>26026</v>
      </c>
      <c r="D7588" s="25" t="s">
        <v>26232</v>
      </c>
      <c r="E7588" s="25"/>
      <c r="F7588" s="9" t="str">
        <f t="shared" si="111"/>
        <v>structure with developmental contribution from neural crest</v>
      </c>
      <c r="G7588" s="9" t="s">
        <v>5090</v>
      </c>
      <c r="H7588" s="9" t="s">
        <v>19734</v>
      </c>
      <c r="I7588" s="9" t="s">
        <v>13747</v>
      </c>
      <c r="J7588" s="9" t="s">
        <v>13748</v>
      </c>
      <c r="K7588" s="3" t="s">
        <v>15176</v>
      </c>
      <c r="L7588" s="13">
        <v>334</v>
      </c>
      <c r="M7588" t="str">
        <f>VLOOKUP(L7588,[1]Mouse_ARA!$B$2:$C$1328,2,FALSE)</f>
        <v>BMAp</v>
      </c>
    </row>
    <row r="7589" spans="2:13" x14ac:dyDescent="0.25">
      <c r="B7589" s="31" t="s">
        <v>26303</v>
      </c>
      <c r="C7589" s="25" t="s">
        <v>3815</v>
      </c>
      <c r="D7589" s="25" t="s">
        <v>26232</v>
      </c>
      <c r="E7589" s="25" t="s">
        <v>26306</v>
      </c>
      <c r="F7589" s="9" t="str">
        <f t="shared" si="111"/>
        <v>structure with developmental contribution from neural crest</v>
      </c>
      <c r="G7589" s="9" t="s">
        <v>5090</v>
      </c>
      <c r="H7589" s="9" t="s">
        <v>19376</v>
      </c>
      <c r="I7589" s="9" t="s">
        <v>13749</v>
      </c>
      <c r="J7589" s="9" t="s">
        <v>13750</v>
      </c>
      <c r="K7589" s="3" t="s">
        <v>15176</v>
      </c>
      <c r="L7589" s="13">
        <v>335</v>
      </c>
      <c r="M7589" t="str">
        <f>VLOOKUP(L7589,[1]Mouse_ARA!$B$2:$C$1328,2,FALSE)</f>
        <v>PERI6a</v>
      </c>
    </row>
    <row r="7590" spans="2:13" x14ac:dyDescent="0.25">
      <c r="B7590" s="31" t="s">
        <v>26303</v>
      </c>
      <c r="C7590" s="25" t="s">
        <v>25879</v>
      </c>
      <c r="D7590" s="25" t="s">
        <v>26232</v>
      </c>
      <c r="E7590" s="25"/>
      <c r="F7590" s="9" t="str">
        <f t="shared" si="111"/>
        <v>structure with developmental contribution from neural crest</v>
      </c>
      <c r="G7590" s="9" t="s">
        <v>5090</v>
      </c>
      <c r="H7590" s="9" t="s">
        <v>20738</v>
      </c>
      <c r="I7590" s="9" t="s">
        <v>1301</v>
      </c>
      <c r="J7590" s="9" t="s">
        <v>1302</v>
      </c>
      <c r="K7590" s="3" t="s">
        <v>15176</v>
      </c>
      <c r="L7590" s="13">
        <v>336</v>
      </c>
      <c r="M7590" t="str">
        <f>VLOOKUP(L7590,[1]Mouse_ARA!$B$2:$C$1328,2,FALSE)</f>
        <v>csc</v>
      </c>
    </row>
    <row r="7591" spans="2:13" x14ac:dyDescent="0.25">
      <c r="B7591" s="31" t="s">
        <v>26303</v>
      </c>
      <c r="C7591" s="25" t="s">
        <v>26173</v>
      </c>
      <c r="D7591" s="25" t="s">
        <v>26232</v>
      </c>
      <c r="E7591" s="25"/>
      <c r="F7591" s="9" t="str">
        <f t="shared" si="111"/>
        <v>structure with developmental contribution from neural crest</v>
      </c>
      <c r="G7591" s="9" t="s">
        <v>5090</v>
      </c>
      <c r="H7591" s="9" t="s">
        <v>18772</v>
      </c>
      <c r="I7591" s="9" t="s">
        <v>13751</v>
      </c>
      <c r="J7591" s="9" t="s">
        <v>13752</v>
      </c>
      <c r="K7591" s="3" t="s">
        <v>15176</v>
      </c>
      <c r="L7591" s="13">
        <v>337</v>
      </c>
      <c r="M7591" t="str">
        <f>VLOOKUP(L7591,[1]Mouse_ARA!$B$2:$C$1328,2,FALSE)</f>
        <v>SSp-ll</v>
      </c>
    </row>
    <row r="7592" spans="2:13" x14ac:dyDescent="0.25">
      <c r="B7592" s="31" t="s">
        <v>26303</v>
      </c>
      <c r="C7592" s="25" t="s">
        <v>3973</v>
      </c>
      <c r="D7592" s="25" t="s">
        <v>26232</v>
      </c>
      <c r="E7592" s="25" t="s">
        <v>26306</v>
      </c>
      <c r="F7592" s="9" t="str">
        <f t="shared" si="111"/>
        <v>structure with developmental contribution from neural crest</v>
      </c>
      <c r="G7592" s="9" t="s">
        <v>5090</v>
      </c>
      <c r="H7592" s="9" t="s">
        <v>19324</v>
      </c>
      <c r="I7592" s="9" t="s">
        <v>13753</v>
      </c>
      <c r="J7592" s="9" t="s">
        <v>13754</v>
      </c>
      <c r="K7592" s="3" t="s">
        <v>15176</v>
      </c>
      <c r="L7592" s="13">
        <v>340</v>
      </c>
      <c r="M7592" t="str">
        <f>VLOOKUP(L7592,[1]Mouse_ARA!$B$2:$C$1328,2,FALSE)</f>
        <v>PTLp6b</v>
      </c>
    </row>
    <row r="7593" spans="2:13" x14ac:dyDescent="0.25">
      <c r="B7593" s="31" t="s">
        <v>26303</v>
      </c>
      <c r="C7593" s="25" t="s">
        <v>7966</v>
      </c>
      <c r="D7593" s="25" t="s">
        <v>26232</v>
      </c>
      <c r="E7593" s="25"/>
      <c r="F7593" s="9" t="str">
        <f t="shared" si="111"/>
        <v>structure with developmental contribution from neural crest</v>
      </c>
      <c r="G7593" s="9" t="s">
        <v>5090</v>
      </c>
      <c r="H7593" s="9" t="s">
        <v>19822</v>
      </c>
      <c r="I7593" s="9" t="s">
        <v>7966</v>
      </c>
      <c r="J7593" s="9" t="s">
        <v>13755</v>
      </c>
      <c r="K7593" s="3" t="s">
        <v>15176</v>
      </c>
      <c r="L7593" s="13">
        <v>342</v>
      </c>
      <c r="M7593" t="str">
        <f>VLOOKUP(L7593,[1]Mouse_ARA!$B$2:$C$1328,2,FALSE)</f>
        <v>SI</v>
      </c>
    </row>
    <row r="7594" spans="2:13" x14ac:dyDescent="0.25">
      <c r="B7594" s="31" t="s">
        <v>26303</v>
      </c>
      <c r="C7594" s="25" t="s">
        <v>25771</v>
      </c>
      <c r="D7594" s="25" t="s">
        <v>26232</v>
      </c>
      <c r="E7594" s="25" t="s">
        <v>26306</v>
      </c>
      <c r="F7594" s="9" t="str">
        <f t="shared" si="111"/>
        <v>structure with developmental contribution from neural crest</v>
      </c>
      <c r="G7594" s="9" t="s">
        <v>5090</v>
      </c>
      <c r="H7594" s="9" t="s">
        <v>19211</v>
      </c>
      <c r="I7594" s="9" t="s">
        <v>13756</v>
      </c>
      <c r="J7594" s="9" t="s">
        <v>13757</v>
      </c>
      <c r="K7594" s="3" t="s">
        <v>15176</v>
      </c>
      <c r="L7594" s="13">
        <v>344</v>
      </c>
      <c r="M7594" t="str">
        <f>VLOOKUP(L7594,[1]Mouse_ARA!$B$2:$C$1328,2,FALSE)</f>
        <v>AIp5</v>
      </c>
    </row>
    <row r="7595" spans="2:13" x14ac:dyDescent="0.25">
      <c r="B7595" s="31" t="s">
        <v>26303</v>
      </c>
      <c r="C7595" s="25" t="s">
        <v>26173</v>
      </c>
      <c r="D7595" s="25" t="s">
        <v>26232</v>
      </c>
      <c r="E7595" s="25"/>
      <c r="F7595" s="9" t="str">
        <f t="shared" si="111"/>
        <v>structure with developmental contribution from neural crest</v>
      </c>
      <c r="G7595" s="9" t="s">
        <v>5090</v>
      </c>
      <c r="H7595" s="9" t="s">
        <v>18786</v>
      </c>
      <c r="I7595" s="9" t="s">
        <v>13758</v>
      </c>
      <c r="J7595" s="9" t="s">
        <v>13759</v>
      </c>
      <c r="K7595" s="3" t="s">
        <v>15176</v>
      </c>
      <c r="L7595" s="13">
        <v>345</v>
      </c>
      <c r="M7595" t="str">
        <f>VLOOKUP(L7595,[1]Mouse_ARA!$B$2:$C$1328,2,FALSE)</f>
        <v>SSp-m</v>
      </c>
    </row>
    <row r="7596" spans="2:13" x14ac:dyDescent="0.25">
      <c r="B7596" s="31" t="s">
        <v>26303</v>
      </c>
      <c r="C7596" s="25" t="s">
        <v>26173</v>
      </c>
      <c r="D7596" s="25" t="s">
        <v>26232</v>
      </c>
      <c r="E7596" s="25" t="s">
        <v>26306</v>
      </c>
      <c r="F7596" s="9" t="str">
        <f t="shared" si="111"/>
        <v>structure with developmental contribution from neural crest</v>
      </c>
      <c r="G7596" s="9" t="s">
        <v>5090</v>
      </c>
      <c r="H7596" s="9" t="s">
        <v>18720</v>
      </c>
      <c r="I7596" s="9" t="s">
        <v>13760</v>
      </c>
      <c r="J7596" s="9" t="s">
        <v>13761</v>
      </c>
      <c r="K7596" s="3" t="s">
        <v>15176</v>
      </c>
      <c r="L7596" s="13">
        <v>346</v>
      </c>
      <c r="M7596" t="str">
        <f>VLOOKUP(L7596,[1]Mouse_ARA!$B$2:$C$1328,2,FALSE)</f>
        <v>SSp2/3</v>
      </c>
    </row>
    <row r="7597" spans="2:13" x14ac:dyDescent="0.25">
      <c r="B7597" s="31" t="s">
        <v>26303</v>
      </c>
      <c r="C7597" s="25" t="s">
        <v>721</v>
      </c>
      <c r="D7597" s="25" t="s">
        <v>26232</v>
      </c>
      <c r="E7597" s="25"/>
      <c r="F7597" s="9" t="str">
        <f t="shared" si="111"/>
        <v>structure with developmental contribution from neural crest</v>
      </c>
      <c r="G7597" s="9" t="s">
        <v>5090</v>
      </c>
      <c r="H7597" s="9" t="s">
        <v>20387</v>
      </c>
      <c r="I7597" s="9" t="s">
        <v>773</v>
      </c>
      <c r="J7597" s="9" t="s">
        <v>774</v>
      </c>
      <c r="K7597" s="3" t="s">
        <v>15176</v>
      </c>
      <c r="L7597" s="13">
        <v>350</v>
      </c>
      <c r="M7597" t="str">
        <f>VLOOKUP(L7597,[1]Mouse_ARA!$B$2:$C$1328,2,FALSE)</f>
        <v>SLC</v>
      </c>
    </row>
    <row r="7598" spans="2:13" x14ac:dyDescent="0.25">
      <c r="B7598" s="31" t="s">
        <v>26303</v>
      </c>
      <c r="C7598" s="25" t="s">
        <v>561</v>
      </c>
      <c r="D7598" s="25" t="s">
        <v>26232</v>
      </c>
      <c r="E7598" s="25"/>
      <c r="F7598" s="9" t="str">
        <f t="shared" si="111"/>
        <v>structure with developmental contribution from neural crest</v>
      </c>
      <c r="G7598" s="9" t="s">
        <v>5090</v>
      </c>
      <c r="H7598" s="9" t="s">
        <v>19837</v>
      </c>
      <c r="I7598" s="9" t="s">
        <v>565</v>
      </c>
      <c r="J7598" s="9" t="s">
        <v>566</v>
      </c>
      <c r="K7598" s="3" t="s">
        <v>15176</v>
      </c>
      <c r="L7598" s="13">
        <v>351</v>
      </c>
      <c r="M7598" t="str">
        <f>VLOOKUP(L7598,[1]Mouse_ARA!$B$2:$C$1328,2,FALSE)</f>
        <v>BST</v>
      </c>
    </row>
    <row r="7599" spans="2:13" x14ac:dyDescent="0.25">
      <c r="B7599" s="31" t="s">
        <v>26299</v>
      </c>
      <c r="C7599" s="25" t="s">
        <v>26080</v>
      </c>
      <c r="D7599" s="25" t="s">
        <v>26232</v>
      </c>
      <c r="E7599" s="25" t="s">
        <v>26306</v>
      </c>
      <c r="F7599" s="9" t="str">
        <f t="shared" si="111"/>
        <v>structure with developmental contribution from neural crest</v>
      </c>
      <c r="G7599" s="9" t="s">
        <v>5090</v>
      </c>
      <c r="H7599" s="9" t="s">
        <v>19145</v>
      </c>
      <c r="I7599" s="9" t="s">
        <v>13762</v>
      </c>
      <c r="J7599" s="9" t="s">
        <v>13763</v>
      </c>
      <c r="K7599" s="3" t="s">
        <v>15176</v>
      </c>
      <c r="L7599" s="13">
        <v>352</v>
      </c>
      <c r="M7599" t="str">
        <f>VLOOKUP(L7599,[1]Mouse_ARA!$B$2:$C$1328,2,FALSE)</f>
        <v>ORB5</v>
      </c>
    </row>
    <row r="7600" spans="2:13" x14ac:dyDescent="0.25">
      <c r="B7600" s="31" t="s">
        <v>26303</v>
      </c>
      <c r="C7600" s="25" t="s">
        <v>26173</v>
      </c>
      <c r="D7600" s="25" t="s">
        <v>26232</v>
      </c>
      <c r="E7600" s="25"/>
      <c r="F7600" s="9" t="str">
        <f t="shared" si="111"/>
        <v>structure with developmental contribution from neural crest</v>
      </c>
      <c r="G7600" s="9" t="s">
        <v>5090</v>
      </c>
      <c r="H7600" s="9" t="s">
        <v>18730</v>
      </c>
      <c r="I7600" s="9" t="s">
        <v>13764</v>
      </c>
      <c r="J7600" s="9" t="s">
        <v>13765</v>
      </c>
      <c r="K7600" s="3" t="s">
        <v>15176</v>
      </c>
      <c r="L7600" s="13">
        <v>353</v>
      </c>
      <c r="M7600" t="str">
        <f>VLOOKUP(L7600,[1]Mouse_ARA!$B$2:$C$1328,2,FALSE)</f>
        <v>SSp-n</v>
      </c>
    </row>
    <row r="7601" spans="2:13" x14ac:dyDescent="0.25">
      <c r="B7601" s="31" t="s">
        <v>26303</v>
      </c>
      <c r="C7601" s="25" t="s">
        <v>25771</v>
      </c>
      <c r="D7601" s="25" t="s">
        <v>26232</v>
      </c>
      <c r="E7601" s="25" t="s">
        <v>26306</v>
      </c>
      <c r="F7601" s="9" t="str">
        <f t="shared" si="111"/>
        <v>structure with developmental contribution from neural crest</v>
      </c>
      <c r="G7601" s="9" t="s">
        <v>5090</v>
      </c>
      <c r="H7601" s="9" t="s">
        <v>19215</v>
      </c>
      <c r="I7601" s="9" t="s">
        <v>13766</v>
      </c>
      <c r="J7601" s="9" t="s">
        <v>13767</v>
      </c>
      <c r="K7601" s="3" t="s">
        <v>15176</v>
      </c>
      <c r="L7601" s="13">
        <v>355</v>
      </c>
      <c r="M7601" t="str">
        <f>VLOOKUP(L7601,[1]Mouse_ARA!$B$2:$C$1328,2,FALSE)</f>
        <v>AIp6b</v>
      </c>
    </row>
    <row r="7602" spans="2:13" x14ac:dyDescent="0.25">
      <c r="B7602" s="31" t="s">
        <v>26303</v>
      </c>
      <c r="C7602" s="25" t="s">
        <v>26254</v>
      </c>
      <c r="D7602" s="25" t="s">
        <v>26232</v>
      </c>
      <c r="E7602" s="25"/>
      <c r="F7602" s="9" t="str">
        <f t="shared" si="111"/>
        <v>structure with developmental contribution from neural crest</v>
      </c>
      <c r="G7602" s="9" t="s">
        <v>5090</v>
      </c>
      <c r="H7602" s="9" t="s">
        <v>20739</v>
      </c>
      <c r="I7602" s="9" t="s">
        <v>13768</v>
      </c>
      <c r="J7602" s="9" t="s">
        <v>13769</v>
      </c>
      <c r="K7602" s="3" t="s">
        <v>15176</v>
      </c>
      <c r="L7602" s="13">
        <v>357</v>
      </c>
      <c r="M7602" t="str">
        <f>VLOOKUP(L7602,[1]Mouse_ARA!$B$2:$C$1328,2,FALSE)</f>
        <v>ttp</v>
      </c>
    </row>
    <row r="7603" spans="2:13" x14ac:dyDescent="0.25">
      <c r="B7603" s="31" t="s">
        <v>26303</v>
      </c>
      <c r="C7603" s="20"/>
      <c r="D7603" s="25" t="s">
        <v>26232</v>
      </c>
      <c r="E7603" s="25" t="s">
        <v>26300</v>
      </c>
      <c r="F7603" s="9" t="str">
        <f t="shared" si="111"/>
        <v>structure with developmental contribution from neural crest</v>
      </c>
      <c r="G7603" s="9" t="s">
        <v>5090</v>
      </c>
      <c r="H7603" s="9" t="s">
        <v>20389</v>
      </c>
      <c r="I7603" s="9" t="s">
        <v>13770</v>
      </c>
      <c r="J7603" s="9" t="s">
        <v>13771</v>
      </c>
      <c r="K7603" s="3" t="s">
        <v>15176</v>
      </c>
      <c r="L7603" s="13">
        <v>358</v>
      </c>
      <c r="M7603" t="str">
        <f>VLOOKUP(L7603,[1]Mouse_ARA!$B$2:$C$1328,2,FALSE)</f>
        <v>SLD</v>
      </c>
    </row>
    <row r="7604" spans="2:13" x14ac:dyDescent="0.25">
      <c r="B7604" s="31" t="s">
        <v>26303</v>
      </c>
      <c r="C7604" s="20"/>
      <c r="D7604" s="25" t="s">
        <v>26232</v>
      </c>
      <c r="E7604" s="25" t="s">
        <v>26306</v>
      </c>
      <c r="F7604" s="9" t="str">
        <f t="shared" si="111"/>
        <v>structure with developmental contribution from neural crest</v>
      </c>
      <c r="G7604" s="9" t="s">
        <v>5090</v>
      </c>
      <c r="H7604" s="9" t="s">
        <v>18858</v>
      </c>
      <c r="I7604" s="9" t="s">
        <v>13772</v>
      </c>
      <c r="J7604" s="9" t="s">
        <v>13773</v>
      </c>
      <c r="K7604" s="3" t="s">
        <v>15176</v>
      </c>
      <c r="L7604" s="13">
        <v>36</v>
      </c>
      <c r="M7604" t="str">
        <f>VLOOKUP(L7604,[1]Mouse_ARA!$B$2:$C$1328,2,FALSE)</f>
        <v>GU1</v>
      </c>
    </row>
    <row r="7605" spans="2:13" x14ac:dyDescent="0.25">
      <c r="B7605" s="31" t="s">
        <v>26303</v>
      </c>
      <c r="C7605" s="20"/>
      <c r="D7605" s="25" t="s">
        <v>26232</v>
      </c>
      <c r="E7605" s="25" t="s">
        <v>26306</v>
      </c>
      <c r="F7605" s="9" t="str">
        <f t="shared" si="111"/>
        <v>structure with developmental contribution from neural crest</v>
      </c>
      <c r="G7605" s="9" t="s">
        <v>5090</v>
      </c>
      <c r="H7605" s="9" t="s">
        <v>19459</v>
      </c>
      <c r="I7605" s="9" t="s">
        <v>13774</v>
      </c>
      <c r="J7605" s="9" t="s">
        <v>13775</v>
      </c>
      <c r="K7605" s="3" t="s">
        <v>15176</v>
      </c>
      <c r="L7605" s="13">
        <v>360</v>
      </c>
      <c r="M7605" t="str">
        <f>VLOOKUP(L7605,[1]Mouse_ARA!$B$2:$C$1328,2,FALSE)</f>
        <v>DP2/3</v>
      </c>
    </row>
    <row r="7606" spans="2:13" x14ac:dyDescent="0.25">
      <c r="B7606" s="31" t="s">
        <v>26303</v>
      </c>
      <c r="C7606" s="25" t="s">
        <v>26173</v>
      </c>
      <c r="D7606" s="25" t="s">
        <v>26232</v>
      </c>
      <c r="E7606" s="25"/>
      <c r="F7606" s="9" t="str">
        <f t="shared" si="111"/>
        <v>structure with developmental contribution from neural crest</v>
      </c>
      <c r="G7606" s="9" t="s">
        <v>5090</v>
      </c>
      <c r="H7606" s="9" t="s">
        <v>18814</v>
      </c>
      <c r="I7606" s="9" t="s">
        <v>13776</v>
      </c>
      <c r="J7606" s="9" t="s">
        <v>13777</v>
      </c>
      <c r="K7606" s="3" t="s">
        <v>15176</v>
      </c>
      <c r="L7606" s="13">
        <v>361</v>
      </c>
      <c r="M7606" t="str">
        <f>VLOOKUP(L7606,[1]Mouse_ARA!$B$2:$C$1328,2,FALSE)</f>
        <v>SSp-tr</v>
      </c>
    </row>
    <row r="7607" spans="2:13" x14ac:dyDescent="0.25">
      <c r="B7607" s="31" t="s">
        <v>26299</v>
      </c>
      <c r="C7607" s="25" t="s">
        <v>25747</v>
      </c>
      <c r="D7607" s="25" t="s">
        <v>26232</v>
      </c>
      <c r="E7607" s="25" t="s">
        <v>26306</v>
      </c>
      <c r="F7607" s="9" t="str">
        <f t="shared" ref="F7607:F7670" si="112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7607" s="9" t="s">
        <v>5090</v>
      </c>
      <c r="H7607" s="9" t="s">
        <v>19119</v>
      </c>
      <c r="I7607" s="9" t="s">
        <v>13778</v>
      </c>
      <c r="J7607" s="9" t="s">
        <v>13779</v>
      </c>
      <c r="K7607" s="3" t="s">
        <v>15176</v>
      </c>
      <c r="L7607" s="13">
        <v>363</v>
      </c>
      <c r="M7607" t="str">
        <f>VLOOKUP(L7607,[1]Mouse_ARA!$B$2:$C$1328,2,FALSE)</f>
        <v>PL5</v>
      </c>
    </row>
    <row r="7608" spans="2:13" x14ac:dyDescent="0.25">
      <c r="B7608" s="31" t="s">
        <v>26303</v>
      </c>
      <c r="C7608" s="25" t="s">
        <v>3815</v>
      </c>
      <c r="D7608" s="25" t="s">
        <v>26232</v>
      </c>
      <c r="E7608" s="25" t="s">
        <v>26306</v>
      </c>
      <c r="F7608" s="9" t="str">
        <f t="shared" si="112"/>
        <v>structure with developmental contribution from neural crest</v>
      </c>
      <c r="G7608" s="9" t="s">
        <v>5090</v>
      </c>
      <c r="H7608" s="9" t="s">
        <v>19378</v>
      </c>
      <c r="I7608" s="9" t="s">
        <v>13780</v>
      </c>
      <c r="J7608" s="9" t="s">
        <v>13781</v>
      </c>
      <c r="K7608" s="3" t="s">
        <v>15176</v>
      </c>
      <c r="L7608" s="13">
        <v>368</v>
      </c>
      <c r="M7608" t="str">
        <f>VLOOKUP(L7608,[1]Mouse_ARA!$B$2:$C$1328,2,FALSE)</f>
        <v>PERI6b</v>
      </c>
    </row>
    <row r="7609" spans="2:13" x14ac:dyDescent="0.25">
      <c r="B7609" s="31" t="s">
        <v>26303</v>
      </c>
      <c r="C7609" s="25" t="s">
        <v>26173</v>
      </c>
      <c r="D7609" s="25" t="s">
        <v>26232</v>
      </c>
      <c r="E7609" s="25"/>
      <c r="F7609" s="9" t="str">
        <f t="shared" si="112"/>
        <v>structure with developmental contribution from neural crest</v>
      </c>
      <c r="G7609" s="9" t="s">
        <v>5090</v>
      </c>
      <c r="H7609" s="9" t="s">
        <v>18800</v>
      </c>
      <c r="I7609" s="9" t="s">
        <v>13782</v>
      </c>
      <c r="J7609" s="9" t="s">
        <v>13783</v>
      </c>
      <c r="K7609" s="3" t="s">
        <v>15176</v>
      </c>
      <c r="L7609" s="13">
        <v>369</v>
      </c>
      <c r="M7609" t="str">
        <f>VLOOKUP(L7609,[1]Mouse_ARA!$B$2:$C$1328,2,FALSE)</f>
        <v>SSp-ul</v>
      </c>
    </row>
    <row r="7610" spans="2:13" x14ac:dyDescent="0.25">
      <c r="B7610" s="31" t="s">
        <v>26303</v>
      </c>
      <c r="C7610" s="25" t="s">
        <v>3198</v>
      </c>
      <c r="D7610" s="25" t="s">
        <v>26232</v>
      </c>
      <c r="E7610" s="25"/>
      <c r="F7610" s="9" t="str">
        <f t="shared" si="112"/>
        <v>structure with developmental contribution from neural crest</v>
      </c>
      <c r="G7610" s="9" t="s">
        <v>5090</v>
      </c>
      <c r="H7610" s="9" t="s">
        <v>20449</v>
      </c>
      <c r="I7610" s="9" t="s">
        <v>13784</v>
      </c>
      <c r="J7610" s="9" t="s">
        <v>13785</v>
      </c>
      <c r="K7610" s="3" t="s">
        <v>15176</v>
      </c>
      <c r="L7610" s="13">
        <v>370</v>
      </c>
      <c r="M7610" t="str">
        <f>VLOOKUP(L7610,[1]Mouse_ARA!$B$2:$C$1328,2,FALSE)</f>
        <v>MY-mot</v>
      </c>
    </row>
    <row r="7611" spans="2:13" x14ac:dyDescent="0.25">
      <c r="B7611" s="31" t="s">
        <v>26303</v>
      </c>
      <c r="C7611" s="25" t="s">
        <v>26020</v>
      </c>
      <c r="D7611" s="25" t="s">
        <v>26232</v>
      </c>
      <c r="E7611" s="25" t="s">
        <v>26306</v>
      </c>
      <c r="F7611" s="9" t="str">
        <f t="shared" si="112"/>
        <v>structure with developmental contribution from neural crest</v>
      </c>
      <c r="G7611" s="9" t="s">
        <v>5090</v>
      </c>
      <c r="H7611" s="9" t="s">
        <v>19641</v>
      </c>
      <c r="I7611" s="9" t="s">
        <v>13786</v>
      </c>
      <c r="J7611" s="9" t="s">
        <v>13787</v>
      </c>
      <c r="K7611" s="3" t="s">
        <v>15176</v>
      </c>
      <c r="L7611" s="13">
        <v>371</v>
      </c>
      <c r="M7611" t="str">
        <f>VLOOKUP(L7611,[1]Mouse_ARA!$B$2:$C$1328,2,FALSE)</f>
        <v>ENTmv3</v>
      </c>
    </row>
    <row r="7612" spans="2:13" x14ac:dyDescent="0.25">
      <c r="B7612" s="37" t="s">
        <v>26303</v>
      </c>
      <c r="C7612" s="20"/>
      <c r="D7612" s="25" t="s">
        <v>26232</v>
      </c>
      <c r="E7612" s="25" t="s">
        <v>26300</v>
      </c>
      <c r="F7612" s="9" t="str">
        <f t="shared" si="112"/>
        <v>structure with developmental contribution from neural crest</v>
      </c>
      <c r="G7612" s="9" t="s">
        <v>5090</v>
      </c>
      <c r="H7612" s="9" t="s">
        <v>20472</v>
      </c>
      <c r="I7612" s="9" t="s">
        <v>13788</v>
      </c>
      <c r="J7612" s="9" t="s">
        <v>13789</v>
      </c>
      <c r="K7612" s="3" t="s">
        <v>15176</v>
      </c>
      <c r="L7612" s="13">
        <v>372</v>
      </c>
      <c r="M7612" t="str">
        <f>VLOOKUP(L7612,[1]Mouse_ARA!$B$2:$C$1328,2,FALSE)</f>
        <v>ICB</v>
      </c>
    </row>
    <row r="7613" spans="2:13" x14ac:dyDescent="0.25">
      <c r="B7613" s="31" t="s">
        <v>26303</v>
      </c>
      <c r="C7613" s="25" t="s">
        <v>25883</v>
      </c>
      <c r="D7613" s="25" t="s">
        <v>26232</v>
      </c>
      <c r="E7613" s="25" t="s">
        <v>26306</v>
      </c>
      <c r="F7613" s="9" t="str">
        <f t="shared" si="112"/>
        <v>structure with developmental contribution from neural crest</v>
      </c>
      <c r="G7613" s="9" t="s">
        <v>5090</v>
      </c>
      <c r="H7613" s="9" t="s">
        <v>19501</v>
      </c>
      <c r="I7613" s="9" t="s">
        <v>13790</v>
      </c>
      <c r="J7613" s="9" t="s">
        <v>13791</v>
      </c>
      <c r="K7613" s="3" t="s">
        <v>15176</v>
      </c>
      <c r="L7613" s="13">
        <v>376</v>
      </c>
      <c r="M7613" t="str">
        <f>VLOOKUP(L7613,[1]Mouse_ARA!$B$2:$C$1328,2,FALSE)</f>
        <v>COApl1-3</v>
      </c>
    </row>
    <row r="7614" spans="2:13" x14ac:dyDescent="0.25">
      <c r="B7614" s="31" t="s">
        <v>26303</v>
      </c>
      <c r="C7614" s="25" t="s">
        <v>4015</v>
      </c>
      <c r="D7614" s="25" t="s">
        <v>26232</v>
      </c>
      <c r="E7614" s="25" t="s">
        <v>26306</v>
      </c>
      <c r="F7614" s="9" t="str">
        <f t="shared" si="112"/>
        <v>structure with developmental contribution from neural crest</v>
      </c>
      <c r="G7614" s="9" t="s">
        <v>5090</v>
      </c>
      <c r="H7614" s="9" t="s">
        <v>19036</v>
      </c>
      <c r="I7614" s="9" t="s">
        <v>13792</v>
      </c>
      <c r="J7614" s="9" t="s">
        <v>13793</v>
      </c>
      <c r="K7614" s="3" t="s">
        <v>15176</v>
      </c>
      <c r="L7614" s="13">
        <v>377</v>
      </c>
      <c r="M7614" t="str">
        <f>VLOOKUP(L7614,[1]Mouse_ARA!$B$2:$C$1328,2,FALSE)</f>
        <v>VISpl6a</v>
      </c>
    </row>
    <row r="7615" spans="2:13" x14ac:dyDescent="0.25">
      <c r="B7615" s="31" t="s">
        <v>26303</v>
      </c>
      <c r="C7615" s="25" t="s">
        <v>3198</v>
      </c>
      <c r="D7615" s="25" t="s">
        <v>26232</v>
      </c>
      <c r="E7615" s="25"/>
      <c r="F7615" s="9" t="str">
        <f t="shared" si="112"/>
        <v>structure with developmental contribution from neural crest</v>
      </c>
      <c r="G7615" s="9" t="s">
        <v>5090</v>
      </c>
      <c r="H7615" s="9" t="s">
        <v>20540</v>
      </c>
      <c r="I7615" s="9" t="s">
        <v>13794</v>
      </c>
      <c r="J7615" s="9" t="s">
        <v>13795</v>
      </c>
      <c r="K7615" s="3" t="s">
        <v>15176</v>
      </c>
      <c r="L7615" s="13">
        <v>379</v>
      </c>
      <c r="M7615" t="str">
        <f>VLOOKUP(L7615,[1]Mouse_ARA!$B$2:$C$1328,2,FALSE)</f>
        <v>MY-sat</v>
      </c>
    </row>
    <row r="7616" spans="2:13" x14ac:dyDescent="0.25">
      <c r="B7616" s="31" t="s">
        <v>26303</v>
      </c>
      <c r="C7616" s="25" t="s">
        <v>25883</v>
      </c>
      <c r="D7616" s="25" t="s">
        <v>26232</v>
      </c>
      <c r="E7616" s="25" t="s">
        <v>26306</v>
      </c>
      <c r="F7616" s="9" t="str">
        <f t="shared" si="112"/>
        <v>structure with developmental contribution from neural crest</v>
      </c>
      <c r="G7616" s="9" t="s">
        <v>5090</v>
      </c>
      <c r="H7616" s="9" t="s">
        <v>19513</v>
      </c>
      <c r="I7616" s="9" t="s">
        <v>13796</v>
      </c>
      <c r="J7616" s="9" t="s">
        <v>13797</v>
      </c>
      <c r="K7616" s="3" t="s">
        <v>15176</v>
      </c>
      <c r="L7616" s="13">
        <v>383</v>
      </c>
      <c r="M7616" t="str">
        <f>VLOOKUP(L7616,[1]Mouse_ARA!$B$2:$C$1328,2,FALSE)</f>
        <v>COApm1-3</v>
      </c>
    </row>
    <row r="7617" spans="2:13" x14ac:dyDescent="0.25">
      <c r="B7617" s="31" t="s">
        <v>26303</v>
      </c>
      <c r="C7617" s="25" t="s">
        <v>25896</v>
      </c>
      <c r="D7617" s="25" t="s">
        <v>26232</v>
      </c>
      <c r="E7617" s="25"/>
      <c r="F7617" s="9" t="str">
        <f t="shared" si="112"/>
        <v>structure with developmental contribution from neural crest</v>
      </c>
      <c r="G7617" s="9" t="s">
        <v>5090</v>
      </c>
      <c r="H7617" s="9" t="s">
        <v>20742</v>
      </c>
      <c r="I7617" s="9" t="s">
        <v>1430</v>
      </c>
      <c r="J7617" s="9" t="s">
        <v>1431</v>
      </c>
      <c r="K7617" s="3" t="s">
        <v>15176</v>
      </c>
      <c r="L7617" s="13">
        <v>384</v>
      </c>
      <c r="M7617" t="str">
        <f>VLOOKUP(L7617,[1]Mouse_ARA!$B$2:$C$1328,2,FALSE)</f>
        <v>IVd</v>
      </c>
    </row>
    <row r="7618" spans="2:13" x14ac:dyDescent="0.25">
      <c r="B7618" s="31" t="s">
        <v>26303</v>
      </c>
      <c r="C7618" s="25" t="s">
        <v>3198</v>
      </c>
      <c r="D7618" s="25" t="s">
        <v>26232</v>
      </c>
      <c r="E7618" s="25"/>
      <c r="F7618" s="9" t="str">
        <f t="shared" si="112"/>
        <v>structure with developmental contribution from neural crest</v>
      </c>
      <c r="G7618" s="9" t="s">
        <v>5090</v>
      </c>
      <c r="H7618" s="9" t="s">
        <v>20393</v>
      </c>
      <c r="I7618" s="9" t="s">
        <v>13798</v>
      </c>
      <c r="J7618" s="9" t="s">
        <v>13799</v>
      </c>
      <c r="K7618" s="3" t="s">
        <v>15176</v>
      </c>
      <c r="L7618" s="13">
        <v>386</v>
      </c>
      <c r="M7618" t="str">
        <f>VLOOKUP(L7618,[1]Mouse_ARA!$B$2:$C$1328,2,FALSE)</f>
        <v>MY-sen</v>
      </c>
    </row>
    <row r="7619" spans="2:13" x14ac:dyDescent="0.25">
      <c r="B7619" s="31" t="s">
        <v>26303</v>
      </c>
      <c r="C7619" s="25" t="s">
        <v>25987</v>
      </c>
      <c r="D7619" s="25" t="s">
        <v>26232</v>
      </c>
      <c r="E7619" s="25" t="s">
        <v>26306</v>
      </c>
      <c r="F7619" s="9" t="str">
        <f t="shared" si="112"/>
        <v>structure with developmental contribution from neural crest</v>
      </c>
      <c r="G7619" s="9" t="s">
        <v>5090</v>
      </c>
      <c r="H7619" s="9" t="s">
        <v>19609</v>
      </c>
      <c r="I7619" s="9" t="s">
        <v>13800</v>
      </c>
      <c r="J7619" s="9" t="s">
        <v>13801</v>
      </c>
      <c r="K7619" s="3" t="s">
        <v>15176</v>
      </c>
      <c r="L7619" s="13">
        <v>387</v>
      </c>
      <c r="M7619" t="str">
        <f>VLOOKUP(L7619,[1]Mouse_ARA!$B$2:$C$1328,2,FALSE)</f>
        <v>ENTl5/6</v>
      </c>
    </row>
    <row r="7620" spans="2:13" x14ac:dyDescent="0.25">
      <c r="B7620" s="31" t="s">
        <v>26299</v>
      </c>
      <c r="C7620" s="25" t="s">
        <v>25746</v>
      </c>
      <c r="D7620" s="25" t="s">
        <v>26232</v>
      </c>
      <c r="E7620" s="25"/>
      <c r="F7620" s="9" t="str">
        <f t="shared" si="112"/>
        <v>structure with developmental contribution from neural crest</v>
      </c>
      <c r="G7620" s="9" t="s">
        <v>5090</v>
      </c>
      <c r="H7620" s="9" t="s">
        <v>19087</v>
      </c>
      <c r="I7620" s="9" t="s">
        <v>13802</v>
      </c>
      <c r="J7620" s="9" t="s">
        <v>13803</v>
      </c>
      <c r="K7620" s="3" t="s">
        <v>15176</v>
      </c>
      <c r="L7620" s="13">
        <v>39</v>
      </c>
      <c r="M7620" t="str">
        <f>VLOOKUP(L7620,[1]Mouse_ARA!$B$2:$C$1328,2,FALSE)</f>
        <v>ACAd</v>
      </c>
    </row>
    <row r="7621" spans="2:13" x14ac:dyDescent="0.25">
      <c r="B7621" s="31" t="s">
        <v>26303</v>
      </c>
      <c r="C7621" s="20" t="s">
        <v>25750</v>
      </c>
      <c r="D7621" s="25" t="s">
        <v>26232</v>
      </c>
      <c r="E7621" s="25" t="s">
        <v>26306</v>
      </c>
      <c r="F7621" s="9" t="str">
        <f t="shared" si="112"/>
        <v>structure with developmental contribution from neural crest</v>
      </c>
      <c r="G7621" s="9" t="s">
        <v>5090</v>
      </c>
      <c r="H7621" s="9" t="s">
        <v>15934</v>
      </c>
      <c r="I7621" s="9" t="s">
        <v>53</v>
      </c>
      <c r="J7621" s="9" t="s">
        <v>54</v>
      </c>
      <c r="K7621" s="3" t="s">
        <v>15176</v>
      </c>
      <c r="L7621" s="13">
        <v>391</v>
      </c>
      <c r="M7621" t="str">
        <f>VLOOKUP(L7621,[1]Mouse_ARA!$B$2:$C$1328,2,FALSE)</f>
        <v>CA1slm</v>
      </c>
    </row>
    <row r="7622" spans="2:13" x14ac:dyDescent="0.25">
      <c r="B7622" s="31" t="s">
        <v>26303</v>
      </c>
      <c r="C7622" s="25" t="s">
        <v>3283</v>
      </c>
      <c r="D7622" s="25" t="s">
        <v>26232</v>
      </c>
      <c r="E7622" s="25"/>
      <c r="F7622" s="9" t="str">
        <f t="shared" si="112"/>
        <v>structure with developmental contribution from neural crest</v>
      </c>
      <c r="G7622" s="9" t="s">
        <v>5090</v>
      </c>
      <c r="H7622" s="9" t="s">
        <v>19477</v>
      </c>
      <c r="I7622" s="9" t="s">
        <v>13804</v>
      </c>
      <c r="J7622" s="9" t="s">
        <v>13805</v>
      </c>
      <c r="K7622" s="3" t="s">
        <v>15176</v>
      </c>
      <c r="L7622" s="13">
        <v>392</v>
      </c>
      <c r="M7622" t="str">
        <f>VLOOKUP(L7622,[1]Mouse_ARA!$B$2:$C$1328,2,FALSE)</f>
        <v>NLOT1-3</v>
      </c>
    </row>
    <row r="7623" spans="2:13" x14ac:dyDescent="0.25">
      <c r="B7623" s="31" t="s">
        <v>26303</v>
      </c>
      <c r="C7623" s="25" t="s">
        <v>4015</v>
      </c>
      <c r="D7623" s="25" t="s">
        <v>26232</v>
      </c>
      <c r="E7623" s="25" t="s">
        <v>26306</v>
      </c>
      <c r="F7623" s="9" t="str">
        <f t="shared" si="112"/>
        <v>structure with developmental contribution from neural crest</v>
      </c>
      <c r="G7623" s="9" t="s">
        <v>5090</v>
      </c>
      <c r="H7623" s="9" t="s">
        <v>19038</v>
      </c>
      <c r="I7623" s="9" t="s">
        <v>13806</v>
      </c>
      <c r="J7623" s="9" t="s">
        <v>13807</v>
      </c>
      <c r="K7623" s="3" t="s">
        <v>15176</v>
      </c>
      <c r="L7623" s="13">
        <v>393</v>
      </c>
      <c r="M7623" t="str">
        <f>VLOOKUP(L7623,[1]Mouse_ARA!$B$2:$C$1328,2,FALSE)</f>
        <v>VISpl6b</v>
      </c>
    </row>
    <row r="7624" spans="2:13" x14ac:dyDescent="0.25">
      <c r="B7624" s="31" t="s">
        <v>26303</v>
      </c>
      <c r="C7624" s="25" t="s">
        <v>3071</v>
      </c>
      <c r="D7624" s="25" t="s">
        <v>26232</v>
      </c>
      <c r="E7624" s="25"/>
      <c r="F7624" s="9" t="str">
        <f t="shared" si="112"/>
        <v>structure with developmental contribution from neural crest</v>
      </c>
      <c r="G7624" s="9" t="s">
        <v>5090</v>
      </c>
      <c r="H7624" s="9" t="s">
        <v>20490</v>
      </c>
      <c r="I7624" s="9" t="s">
        <v>3074</v>
      </c>
      <c r="J7624" s="9" t="s">
        <v>3075</v>
      </c>
      <c r="K7624" s="3" t="s">
        <v>15176</v>
      </c>
      <c r="L7624" s="13">
        <v>395</v>
      </c>
      <c r="M7624" t="str">
        <f>VLOOKUP(L7624,[1]Mouse_ARA!$B$2:$C$1328,2,FALSE)</f>
        <v>MDRN</v>
      </c>
    </row>
    <row r="7625" spans="2:13" x14ac:dyDescent="0.25">
      <c r="B7625" s="31" t="s">
        <v>26303</v>
      </c>
      <c r="C7625" s="25" t="s">
        <v>25975</v>
      </c>
      <c r="D7625" s="25" t="s">
        <v>26232</v>
      </c>
      <c r="E7625" s="25"/>
      <c r="F7625" s="9" t="str">
        <f t="shared" si="112"/>
        <v>structure with developmental contribution from neural crest</v>
      </c>
      <c r="G7625" s="9" t="s">
        <v>5090</v>
      </c>
      <c r="H7625" s="9" t="s">
        <v>20780</v>
      </c>
      <c r="I7625" s="9" t="s">
        <v>2485</v>
      </c>
      <c r="J7625" s="9" t="s">
        <v>2488</v>
      </c>
      <c r="K7625" s="3" t="s">
        <v>15176</v>
      </c>
      <c r="L7625" s="13">
        <v>396</v>
      </c>
      <c r="M7625" t="str">
        <f>VLOOKUP(L7625,[1]Mouse_ARA!$B$2:$C$1328,2,FALSE)</f>
        <v>iaf</v>
      </c>
    </row>
    <row r="7626" spans="2:13" x14ac:dyDescent="0.25">
      <c r="B7626" s="31" t="s">
        <v>26303</v>
      </c>
      <c r="C7626" s="25" t="s">
        <v>11631</v>
      </c>
      <c r="D7626" s="25" t="s">
        <v>26232</v>
      </c>
      <c r="E7626" s="25"/>
      <c r="F7626" s="9" t="str">
        <f t="shared" si="112"/>
        <v>structure with developmental contribution from neural crest</v>
      </c>
      <c r="G7626" s="9" t="s">
        <v>5090</v>
      </c>
      <c r="H7626" s="9" t="s">
        <v>20867</v>
      </c>
      <c r="I7626" s="9" t="s">
        <v>11631</v>
      </c>
      <c r="J7626" s="9" t="s">
        <v>13808</v>
      </c>
      <c r="K7626" s="3" t="s">
        <v>15176</v>
      </c>
      <c r="L7626" s="13">
        <v>397</v>
      </c>
      <c r="M7626" t="str">
        <f>VLOOKUP(L7626,[1]Mouse_ARA!$B$2:$C$1328,2,FALSE)</f>
        <v>vtd</v>
      </c>
    </row>
    <row r="7627" spans="2:13" x14ac:dyDescent="0.25">
      <c r="B7627" s="31" t="s">
        <v>26303</v>
      </c>
      <c r="C7627" s="25" t="s">
        <v>13809</v>
      </c>
      <c r="D7627" s="25" t="s">
        <v>26232</v>
      </c>
      <c r="E7627" s="25"/>
      <c r="F7627" s="9" t="str">
        <f t="shared" si="112"/>
        <v>structure with developmental contribution from neural crest</v>
      </c>
      <c r="G7627" s="9" t="s">
        <v>5090</v>
      </c>
      <c r="H7627" s="9" t="s">
        <v>20331</v>
      </c>
      <c r="I7627" s="9" t="s">
        <v>13809</v>
      </c>
      <c r="J7627" s="9" t="s">
        <v>13810</v>
      </c>
      <c r="K7627" s="3" t="s">
        <v>15176</v>
      </c>
      <c r="L7627" s="13">
        <v>398</v>
      </c>
      <c r="M7627" t="str">
        <f>VLOOKUP(L7627,[1]Mouse_ARA!$B$2:$C$1328,2,FALSE)</f>
        <v>SOC</v>
      </c>
    </row>
    <row r="7628" spans="2:13" x14ac:dyDescent="0.25">
      <c r="B7628" s="31" t="s">
        <v>26303</v>
      </c>
      <c r="C7628" s="25" t="s">
        <v>25751</v>
      </c>
      <c r="D7628" s="25" t="s">
        <v>26232</v>
      </c>
      <c r="E7628" s="25"/>
      <c r="F7628" s="9" t="str">
        <f t="shared" si="112"/>
        <v>structure with developmental contribution from neural crest</v>
      </c>
      <c r="G7628" s="9" t="s">
        <v>5090</v>
      </c>
      <c r="H7628" s="9" t="s">
        <v>15931</v>
      </c>
      <c r="I7628" s="9" t="s">
        <v>60</v>
      </c>
      <c r="J7628" s="9" t="s">
        <v>61</v>
      </c>
      <c r="K7628" s="3" t="s">
        <v>15176</v>
      </c>
      <c r="L7628" s="13">
        <v>399</v>
      </c>
      <c r="M7628" t="str">
        <f>VLOOKUP(L7628,[1]Mouse_ARA!$B$2:$C$1328,2,FALSE)</f>
        <v>CA1so</v>
      </c>
    </row>
    <row r="7629" spans="2:13" x14ac:dyDescent="0.25">
      <c r="B7629" s="31" t="s">
        <v>26303</v>
      </c>
      <c r="C7629" s="25" t="s">
        <v>257</v>
      </c>
      <c r="D7629" s="25" t="s">
        <v>26232</v>
      </c>
      <c r="E7629" s="25" t="s">
        <v>26306</v>
      </c>
      <c r="F7629" s="9" t="str">
        <f t="shared" si="112"/>
        <v>structure with developmental contribution from neural crest</v>
      </c>
      <c r="G7629" s="9" t="s">
        <v>5090</v>
      </c>
      <c r="H7629" s="9" t="s">
        <v>19523</v>
      </c>
      <c r="I7629" s="9" t="s">
        <v>13811</v>
      </c>
      <c r="J7629" s="9" t="s">
        <v>13812</v>
      </c>
      <c r="K7629" s="3" t="s">
        <v>15176</v>
      </c>
      <c r="L7629" s="13">
        <v>400</v>
      </c>
      <c r="M7629" t="str">
        <f>VLOOKUP(L7629,[1]Mouse_ARA!$B$2:$C$1328,2,FALSE)</f>
        <v>PAA1-3</v>
      </c>
    </row>
    <row r="7630" spans="2:13" x14ac:dyDescent="0.25">
      <c r="B7630" s="31" t="s">
        <v>26303</v>
      </c>
      <c r="C7630" s="20"/>
      <c r="D7630" s="25" t="s">
        <v>26232</v>
      </c>
      <c r="E7630" s="25" t="s">
        <v>26307</v>
      </c>
      <c r="F7630" s="9" t="str">
        <f t="shared" si="112"/>
        <v>structure with developmental contribution from neural crest</v>
      </c>
      <c r="G7630" s="9" t="s">
        <v>5090</v>
      </c>
      <c r="H7630" s="9" t="s">
        <v>18990</v>
      </c>
      <c r="I7630" s="9" t="s">
        <v>13813</v>
      </c>
      <c r="J7630" s="9" t="s">
        <v>13814</v>
      </c>
      <c r="K7630" s="3" t="s">
        <v>15176</v>
      </c>
      <c r="L7630" s="13">
        <v>401</v>
      </c>
      <c r="M7630" t="str">
        <f>VLOOKUP(L7630,[1]Mouse_ARA!$B$2:$C$1328,2,FALSE)</f>
        <v>VISam4</v>
      </c>
    </row>
    <row r="7631" spans="2:13" x14ac:dyDescent="0.25">
      <c r="B7631" s="37" t="s">
        <v>26303</v>
      </c>
      <c r="C7631" s="25" t="s">
        <v>3481</v>
      </c>
      <c r="D7631" s="25" t="s">
        <v>26232</v>
      </c>
      <c r="E7631" s="25"/>
      <c r="F7631" s="9" t="str">
        <f t="shared" si="112"/>
        <v>structure with developmental contribution from neural crest</v>
      </c>
      <c r="G7631" s="9" t="s">
        <v>5090</v>
      </c>
      <c r="H7631" s="9" t="s">
        <v>20810</v>
      </c>
      <c r="I7631" s="9" t="s">
        <v>3481</v>
      </c>
      <c r="J7631" s="9" t="s">
        <v>3483</v>
      </c>
      <c r="K7631" s="3" t="s">
        <v>15176</v>
      </c>
      <c r="L7631" s="13">
        <v>404</v>
      </c>
      <c r="M7631" t="str">
        <f>VLOOKUP(L7631,[1]Mouse_ARA!$B$2:$C$1328,2,FALSE)</f>
        <v>oct</v>
      </c>
    </row>
    <row r="7632" spans="2:13" x14ac:dyDescent="0.25">
      <c r="B7632" s="31" t="s">
        <v>26303</v>
      </c>
      <c r="C7632" s="35" t="s">
        <v>26180</v>
      </c>
      <c r="D7632" s="25" t="s">
        <v>26232</v>
      </c>
      <c r="E7632" s="25"/>
      <c r="F7632" s="9" t="str">
        <f t="shared" si="112"/>
        <v>structure with developmental contribution from neural crest</v>
      </c>
      <c r="G7632" s="9" t="s">
        <v>5090</v>
      </c>
      <c r="H7632" s="9" t="s">
        <v>15932</v>
      </c>
      <c r="I7632" s="9" t="s">
        <v>4222</v>
      </c>
      <c r="J7632" s="9" t="s">
        <v>4223</v>
      </c>
      <c r="K7632" s="3" t="s">
        <v>15176</v>
      </c>
      <c r="L7632" s="13">
        <v>407</v>
      </c>
      <c r="M7632" t="str">
        <f>VLOOKUP(L7632,[1]Mouse_ARA!$B$2:$C$1328,2,FALSE)</f>
        <v>CA1sp</v>
      </c>
    </row>
    <row r="7633" spans="2:13" x14ac:dyDescent="0.25">
      <c r="B7633" s="31" t="s">
        <v>26303</v>
      </c>
      <c r="C7633" s="25" t="s">
        <v>257</v>
      </c>
      <c r="D7633" s="25" t="s">
        <v>26232</v>
      </c>
      <c r="E7633" s="25" t="s">
        <v>26306</v>
      </c>
      <c r="F7633" s="9" t="str">
        <f t="shared" si="112"/>
        <v>structure with developmental contribution from neural crest</v>
      </c>
      <c r="G7633" s="9" t="s">
        <v>5090</v>
      </c>
      <c r="H7633" s="9" t="s">
        <v>19525</v>
      </c>
      <c r="I7633" s="9" t="s">
        <v>13815</v>
      </c>
      <c r="J7633" s="9" t="s">
        <v>13816</v>
      </c>
      <c r="K7633" s="3" t="s">
        <v>15176</v>
      </c>
      <c r="L7633" s="13">
        <v>408</v>
      </c>
      <c r="M7633" t="str">
        <f>VLOOKUP(L7633,[1]Mouse_ARA!$B$2:$C$1328,2,FALSE)</f>
        <v>PAA1</v>
      </c>
    </row>
    <row r="7634" spans="2:13" x14ac:dyDescent="0.25">
      <c r="B7634" s="31" t="s">
        <v>26303</v>
      </c>
      <c r="C7634" s="25" t="s">
        <v>4024</v>
      </c>
      <c r="D7634" s="25" t="s">
        <v>26232</v>
      </c>
      <c r="E7634" s="25" t="s">
        <v>26306</v>
      </c>
      <c r="F7634" s="9" t="str">
        <f t="shared" si="112"/>
        <v>structure with developmental contribution from neural crest</v>
      </c>
      <c r="G7634" s="9" t="s">
        <v>5090</v>
      </c>
      <c r="H7634" s="9" t="s">
        <v>19042</v>
      </c>
      <c r="I7634" s="9" t="s">
        <v>13817</v>
      </c>
      <c r="J7634" s="9" t="s">
        <v>13818</v>
      </c>
      <c r="K7634" s="3" t="s">
        <v>15176</v>
      </c>
      <c r="L7634" s="13">
        <v>41</v>
      </c>
      <c r="M7634" t="str">
        <f>VLOOKUP(L7634,[1]Mouse_ARA!$B$2:$C$1328,2,FALSE)</f>
        <v>VISpm2/3</v>
      </c>
    </row>
    <row r="7635" spans="2:13" x14ac:dyDescent="0.25">
      <c r="B7635" s="37" t="s">
        <v>26303</v>
      </c>
      <c r="C7635" s="20"/>
      <c r="D7635" s="25" t="s">
        <v>26232</v>
      </c>
      <c r="E7635" s="25" t="s">
        <v>26309</v>
      </c>
      <c r="F7635" s="9" t="str">
        <f t="shared" si="112"/>
        <v>structure with developmental contribution from neural crest</v>
      </c>
      <c r="G7635" s="9" t="s">
        <v>5090</v>
      </c>
      <c r="H7635" s="9" t="s">
        <v>20811</v>
      </c>
      <c r="I7635" s="9" t="s">
        <v>13819</v>
      </c>
      <c r="J7635" s="9" t="s">
        <v>13820</v>
      </c>
      <c r="K7635" s="3" t="s">
        <v>15176</v>
      </c>
      <c r="L7635" s="13">
        <v>410</v>
      </c>
      <c r="M7635" t="str">
        <f>VLOOKUP(L7635,[1]Mouse_ARA!$B$2:$C$1328,2,FALSE)</f>
        <v>rct</v>
      </c>
    </row>
    <row r="7636" spans="2:13" x14ac:dyDescent="0.25">
      <c r="B7636" s="31" t="s">
        <v>26303</v>
      </c>
      <c r="C7636" s="25" t="s">
        <v>26018</v>
      </c>
      <c r="D7636" s="25" t="s">
        <v>26232</v>
      </c>
      <c r="E7636" s="25"/>
      <c r="F7636" s="9" t="str">
        <f t="shared" si="112"/>
        <v>structure with developmental contribution from neural crest</v>
      </c>
      <c r="G7636" s="9" t="s">
        <v>5090</v>
      </c>
      <c r="H7636" s="9" t="s">
        <v>19798</v>
      </c>
      <c r="I7636" s="9" t="s">
        <v>13821</v>
      </c>
      <c r="J7636" s="9" t="s">
        <v>13822</v>
      </c>
      <c r="K7636" s="3" t="s">
        <v>15176</v>
      </c>
      <c r="L7636" s="13">
        <v>411</v>
      </c>
      <c r="M7636" t="str">
        <f>VLOOKUP(L7636,[1]Mouse_ARA!$B$2:$C$1328,2,FALSE)</f>
        <v>MEAad</v>
      </c>
    </row>
    <row r="7637" spans="2:13" x14ac:dyDescent="0.25">
      <c r="B7637" s="31" t="s">
        <v>26299</v>
      </c>
      <c r="C7637" s="25" t="s">
        <v>26080</v>
      </c>
      <c r="D7637" s="25" t="s">
        <v>26232</v>
      </c>
      <c r="E7637" s="25" t="s">
        <v>26306</v>
      </c>
      <c r="F7637" s="9" t="str">
        <f t="shared" si="112"/>
        <v>structure with developmental contribution from neural crest</v>
      </c>
      <c r="G7637" s="9" t="s">
        <v>5090</v>
      </c>
      <c r="H7637" s="9" t="s">
        <v>19155</v>
      </c>
      <c r="I7637" s="9" t="s">
        <v>13823</v>
      </c>
      <c r="J7637" s="9" t="s">
        <v>13824</v>
      </c>
      <c r="K7637" s="3" t="s">
        <v>15176</v>
      </c>
      <c r="L7637" s="13">
        <v>412</v>
      </c>
      <c r="M7637" t="str">
        <f>VLOOKUP(L7637,[1]Mouse_ARA!$B$2:$C$1328,2,FALSE)</f>
        <v>ORBl2/3</v>
      </c>
    </row>
    <row r="7638" spans="2:13" x14ac:dyDescent="0.25">
      <c r="B7638" s="31" t="s">
        <v>26303</v>
      </c>
      <c r="C7638" s="25" t="s">
        <v>981</v>
      </c>
      <c r="D7638" s="25" t="s">
        <v>26232</v>
      </c>
      <c r="E7638" s="25"/>
      <c r="F7638" s="9" t="str">
        <f t="shared" si="112"/>
        <v>structure with developmental contribution from neural crest</v>
      </c>
      <c r="G7638" s="9" t="s">
        <v>5090</v>
      </c>
      <c r="H7638" s="9" t="s">
        <v>20754</v>
      </c>
      <c r="I7638" s="9" t="s">
        <v>981</v>
      </c>
      <c r="J7638" s="9" t="s">
        <v>982</v>
      </c>
      <c r="K7638" s="3" t="s">
        <v>15176</v>
      </c>
      <c r="L7638" s="13">
        <v>413</v>
      </c>
      <c r="M7638" t="str">
        <f>VLOOKUP(L7638,[1]Mouse_ARA!$B$2:$C$1328,2,FALSE)</f>
        <v>vVIIIn</v>
      </c>
    </row>
    <row r="7639" spans="2:13" x14ac:dyDescent="0.25">
      <c r="B7639" s="31" t="s">
        <v>26303</v>
      </c>
      <c r="C7639" s="20" t="s">
        <v>25752</v>
      </c>
      <c r="D7639" s="25" t="s">
        <v>26232</v>
      </c>
      <c r="E7639" s="25"/>
      <c r="F7639" s="9" t="str">
        <f t="shared" si="112"/>
        <v>structure with developmental contribution from neural crest</v>
      </c>
      <c r="G7639" s="9" t="s">
        <v>5090</v>
      </c>
      <c r="H7639" s="9" t="s">
        <v>15933</v>
      </c>
      <c r="I7639" s="9" t="s">
        <v>67</v>
      </c>
      <c r="J7639" s="9" t="s">
        <v>68</v>
      </c>
      <c r="K7639" s="3" t="s">
        <v>15176</v>
      </c>
      <c r="L7639" s="13">
        <v>415</v>
      </c>
      <c r="M7639" t="str">
        <f>VLOOKUP(L7639,[1]Mouse_ARA!$B$2:$C$1328,2,FALSE)</f>
        <v>CA1sr</v>
      </c>
    </row>
    <row r="7640" spans="2:13" x14ac:dyDescent="0.25">
      <c r="B7640" s="31" t="s">
        <v>26303</v>
      </c>
      <c r="C7640" s="25" t="s">
        <v>257</v>
      </c>
      <c r="D7640" s="25" t="s">
        <v>26232</v>
      </c>
      <c r="E7640" s="25" t="s">
        <v>26306</v>
      </c>
      <c r="F7640" s="9" t="str">
        <f t="shared" si="112"/>
        <v>structure with developmental contribution from neural crest</v>
      </c>
      <c r="G7640" s="9" t="s">
        <v>5090</v>
      </c>
      <c r="H7640" s="9" t="s">
        <v>19527</v>
      </c>
      <c r="I7640" s="9" t="s">
        <v>13825</v>
      </c>
      <c r="J7640" s="9" t="s">
        <v>13826</v>
      </c>
      <c r="K7640" s="3" t="s">
        <v>15176</v>
      </c>
      <c r="L7640" s="13">
        <v>416</v>
      </c>
      <c r="M7640" t="str">
        <f>VLOOKUP(L7640,[1]Mouse_ARA!$B$2:$C$1328,2,FALSE)</f>
        <v>PAA2</v>
      </c>
    </row>
    <row r="7641" spans="2:13" x14ac:dyDescent="0.25">
      <c r="B7641" s="31" t="s">
        <v>26303</v>
      </c>
      <c r="C7641" s="25" t="s">
        <v>26018</v>
      </c>
      <c r="D7641" s="25" t="s">
        <v>26232</v>
      </c>
      <c r="E7641" s="25"/>
      <c r="F7641" s="9" t="str">
        <f t="shared" si="112"/>
        <v>structure with developmental contribution from neural crest</v>
      </c>
      <c r="G7641" s="9" t="s">
        <v>5090</v>
      </c>
      <c r="H7641" s="9" t="s">
        <v>19800</v>
      </c>
      <c r="I7641" s="9" t="s">
        <v>13827</v>
      </c>
      <c r="J7641" s="9" t="s">
        <v>13828</v>
      </c>
      <c r="K7641" s="3" t="s">
        <v>15176</v>
      </c>
      <c r="L7641" s="13">
        <v>418</v>
      </c>
      <c r="M7641" t="str">
        <f>VLOOKUP(L7641,[1]Mouse_ARA!$B$2:$C$1328,2,FALSE)</f>
        <v>MEAav</v>
      </c>
    </row>
    <row r="7642" spans="2:13" x14ac:dyDescent="0.25">
      <c r="B7642" s="31" t="s">
        <v>26303</v>
      </c>
      <c r="C7642" s="25" t="s">
        <v>26020</v>
      </c>
      <c r="D7642" s="25" t="s">
        <v>26232</v>
      </c>
      <c r="E7642" s="25" t="s">
        <v>26306</v>
      </c>
      <c r="F7642" s="9" t="str">
        <f t="shared" si="112"/>
        <v>structure with developmental contribution from neural crest</v>
      </c>
      <c r="G7642" s="9" t="s">
        <v>5090</v>
      </c>
      <c r="H7642" s="9" t="s">
        <v>19643</v>
      </c>
      <c r="I7642" s="9" t="s">
        <v>13829</v>
      </c>
      <c r="J7642" s="9" t="s">
        <v>13830</v>
      </c>
      <c r="K7642" s="3" t="s">
        <v>15176</v>
      </c>
      <c r="L7642" s="13">
        <v>419</v>
      </c>
      <c r="M7642" t="str">
        <f>VLOOKUP(L7642,[1]Mouse_ARA!$B$2:$C$1328,2,FALSE)</f>
        <v>ENTmv4</v>
      </c>
    </row>
    <row r="7643" spans="2:13" x14ac:dyDescent="0.25">
      <c r="B7643" s="31" t="s">
        <v>26303</v>
      </c>
      <c r="C7643" s="25" t="s">
        <v>2751</v>
      </c>
      <c r="D7643" s="25" t="s">
        <v>26232</v>
      </c>
      <c r="E7643" s="25" t="s">
        <v>26306</v>
      </c>
      <c r="F7643" s="9" t="str">
        <f t="shared" si="112"/>
        <v>structure with developmental contribution from neural crest</v>
      </c>
      <c r="G7643" s="9" t="s">
        <v>5090</v>
      </c>
      <c r="H7643" s="9" t="s">
        <v>19000</v>
      </c>
      <c r="I7643" s="9" t="s">
        <v>13831</v>
      </c>
      <c r="J7643" s="9" t="s">
        <v>13832</v>
      </c>
      <c r="K7643" s="3" t="s">
        <v>15176</v>
      </c>
      <c r="L7643" s="13">
        <v>421</v>
      </c>
      <c r="M7643" t="str">
        <f>VLOOKUP(L7643,[1]Mouse_ARA!$B$2:$C$1328,2,FALSE)</f>
        <v>VISl1</v>
      </c>
    </row>
    <row r="7644" spans="2:13" x14ac:dyDescent="0.25">
      <c r="B7644" s="31" t="s">
        <v>26303</v>
      </c>
      <c r="C7644" s="25" t="s">
        <v>257</v>
      </c>
      <c r="D7644" s="25" t="s">
        <v>26232</v>
      </c>
      <c r="E7644" s="25" t="s">
        <v>26306</v>
      </c>
      <c r="F7644" s="9" t="str">
        <f t="shared" si="112"/>
        <v>structure with developmental contribution from neural crest</v>
      </c>
      <c r="G7644" s="9" t="s">
        <v>5090</v>
      </c>
      <c r="H7644" s="9" t="s">
        <v>19529</v>
      </c>
      <c r="I7644" s="9" t="s">
        <v>13833</v>
      </c>
      <c r="J7644" s="9" t="s">
        <v>13834</v>
      </c>
      <c r="K7644" s="3" t="s">
        <v>15176</v>
      </c>
      <c r="L7644" s="13">
        <v>424</v>
      </c>
      <c r="M7644" t="str">
        <f>VLOOKUP(L7644,[1]Mouse_ARA!$B$2:$C$1328,2,FALSE)</f>
        <v>PAA3</v>
      </c>
    </row>
    <row r="7645" spans="2:13" x14ac:dyDescent="0.25">
      <c r="B7645" s="31" t="s">
        <v>26303</v>
      </c>
      <c r="C7645" s="25" t="s">
        <v>26018</v>
      </c>
      <c r="D7645" s="25" t="s">
        <v>26232</v>
      </c>
      <c r="E7645" s="25"/>
      <c r="F7645" s="9" t="str">
        <f t="shared" si="112"/>
        <v>structure with developmental contribution from neural crest</v>
      </c>
      <c r="G7645" s="9" t="s">
        <v>5090</v>
      </c>
      <c r="H7645" s="9" t="s">
        <v>19802</v>
      </c>
      <c r="I7645" s="9" t="s">
        <v>13835</v>
      </c>
      <c r="J7645" s="9" t="s">
        <v>13836</v>
      </c>
      <c r="K7645" s="3" t="s">
        <v>15176</v>
      </c>
      <c r="L7645" s="13">
        <v>426</v>
      </c>
      <c r="M7645" t="str">
        <f>VLOOKUP(L7645,[1]Mouse_ARA!$B$2:$C$1328,2,FALSE)</f>
        <v>MEApd</v>
      </c>
    </row>
    <row r="7646" spans="2:13" x14ac:dyDescent="0.25">
      <c r="B7646" s="31" t="s">
        <v>26303</v>
      </c>
      <c r="C7646" s="25" t="s">
        <v>1765</v>
      </c>
      <c r="D7646" s="25" t="s">
        <v>26232</v>
      </c>
      <c r="E7646" s="25" t="s">
        <v>26306</v>
      </c>
      <c r="F7646" s="9" t="str">
        <f t="shared" si="112"/>
        <v>structure with developmental contribution from neural crest</v>
      </c>
      <c r="G7646" s="9" t="s">
        <v>5090</v>
      </c>
      <c r="H7646" s="9" t="s">
        <v>19384</v>
      </c>
      <c r="I7646" s="9" t="s">
        <v>13837</v>
      </c>
      <c r="J7646" s="9" t="s">
        <v>13838</v>
      </c>
      <c r="K7646" s="3" t="s">
        <v>15176</v>
      </c>
      <c r="L7646" s="13">
        <v>427</v>
      </c>
      <c r="M7646" t="str">
        <f>VLOOKUP(L7646,[1]Mouse_ARA!$B$2:$C$1328,2,FALSE)</f>
        <v>ECT2/3</v>
      </c>
    </row>
    <row r="7647" spans="2:13" x14ac:dyDescent="0.25">
      <c r="B7647" s="31" t="s">
        <v>26303</v>
      </c>
      <c r="C7647" s="20"/>
      <c r="D7647" s="25" t="s">
        <v>26232</v>
      </c>
      <c r="E7647" s="25" t="s">
        <v>26300</v>
      </c>
      <c r="F7647" s="9" t="str">
        <f t="shared" si="112"/>
        <v>structure with developmental contribution from neural crest</v>
      </c>
      <c r="G7647" s="9" t="s">
        <v>5090</v>
      </c>
      <c r="H7647" s="9" t="s">
        <v>20896</v>
      </c>
      <c r="I7647" s="9" t="s">
        <v>13839</v>
      </c>
      <c r="J7647" s="9" t="s">
        <v>13840</v>
      </c>
      <c r="K7647" s="3" t="s">
        <v>15176</v>
      </c>
      <c r="L7647" s="13">
        <v>428</v>
      </c>
      <c r="M7647" t="str">
        <f>VLOOKUP(L7647,[1]Mouse_ARA!$B$2:$C$1328,2,FALSE)</f>
        <v>mct</v>
      </c>
    </row>
    <row r="7648" spans="2:13" x14ac:dyDescent="0.25">
      <c r="B7648" s="31" t="s">
        <v>26303</v>
      </c>
      <c r="C7648" s="25" t="s">
        <v>25822</v>
      </c>
      <c r="D7648" s="25" t="s">
        <v>26232</v>
      </c>
      <c r="E7648" s="25"/>
      <c r="F7648" s="9" t="str">
        <f t="shared" si="112"/>
        <v>structure with developmental contribution from neural crest</v>
      </c>
      <c r="G7648" s="9" t="s">
        <v>5090</v>
      </c>
      <c r="H7648" s="9" t="s">
        <v>20429</v>
      </c>
      <c r="I7648" s="9" t="s">
        <v>887</v>
      </c>
      <c r="J7648" s="9" t="s">
        <v>888</v>
      </c>
      <c r="K7648" s="3" t="s">
        <v>15176</v>
      </c>
      <c r="L7648" s="13">
        <v>429</v>
      </c>
      <c r="M7648" t="str">
        <f>VLOOKUP(L7648,[1]Mouse_ARA!$B$2:$C$1328,2,FALSE)</f>
        <v>SPVC</v>
      </c>
    </row>
    <row r="7649" spans="2:13" x14ac:dyDescent="0.25">
      <c r="B7649" s="31" t="s">
        <v>26303</v>
      </c>
      <c r="C7649" s="25" t="s">
        <v>25779</v>
      </c>
      <c r="D7649" s="25" t="s">
        <v>26232</v>
      </c>
      <c r="E7649" s="25"/>
      <c r="F7649" s="9" t="str">
        <f t="shared" si="112"/>
        <v>structure with developmental contribution from neural crest</v>
      </c>
      <c r="G7649" s="9" t="s">
        <v>5090</v>
      </c>
      <c r="H7649" s="9" t="s">
        <v>20986</v>
      </c>
      <c r="I7649" s="9" t="s">
        <v>301</v>
      </c>
      <c r="J7649" s="9" t="s">
        <v>304</v>
      </c>
      <c r="K7649" s="3" t="s">
        <v>15176</v>
      </c>
      <c r="L7649" s="13">
        <v>43</v>
      </c>
      <c r="M7649" t="str">
        <f>VLOOKUP(L7649,[1]Mouse_ARA!$B$2:$C$1328,2,FALSE)</f>
        <v>apf</v>
      </c>
    </row>
    <row r="7650" spans="2:13" x14ac:dyDescent="0.25">
      <c r="B7650" s="31" t="s">
        <v>26299</v>
      </c>
      <c r="C7650" s="25" t="s">
        <v>26189</v>
      </c>
      <c r="D7650" s="25" t="s">
        <v>26232</v>
      </c>
      <c r="E7650" s="25" t="s">
        <v>26306</v>
      </c>
      <c r="F7650" s="9" t="str">
        <f t="shared" si="112"/>
        <v>structure with developmental contribution from neural crest</v>
      </c>
      <c r="G7650" s="9" t="s">
        <v>5090</v>
      </c>
      <c r="H7650" s="9" t="s">
        <v>19304</v>
      </c>
      <c r="I7650" s="9" t="s">
        <v>13841</v>
      </c>
      <c r="J7650" s="9" t="s">
        <v>13842</v>
      </c>
      <c r="K7650" s="3" t="s">
        <v>15176</v>
      </c>
      <c r="L7650" s="13">
        <v>430</v>
      </c>
      <c r="M7650" t="str">
        <f>VLOOKUP(L7650,[1]Mouse_ARA!$B$2:$C$1328,2,FALSE)</f>
        <v>RSPv2/3</v>
      </c>
    </row>
    <row r="7651" spans="2:13" x14ac:dyDescent="0.25">
      <c r="B7651" s="31" t="s">
        <v>26303</v>
      </c>
      <c r="C7651" s="20" t="s">
        <v>25754</v>
      </c>
      <c r="D7651" s="25" t="s">
        <v>26232</v>
      </c>
      <c r="E7651" s="25" t="s">
        <v>26306</v>
      </c>
      <c r="F7651" s="9" t="str">
        <f t="shared" si="112"/>
        <v>structure with developmental contribution from neural crest</v>
      </c>
      <c r="G7651" s="9" t="s">
        <v>5090</v>
      </c>
      <c r="H7651" s="9" t="s">
        <v>15936</v>
      </c>
      <c r="I7651" s="9" t="s">
        <v>85</v>
      </c>
      <c r="J7651" s="9" t="s">
        <v>86</v>
      </c>
      <c r="K7651" s="3" t="s">
        <v>15176</v>
      </c>
      <c r="L7651" s="13">
        <v>431</v>
      </c>
      <c r="M7651" t="str">
        <f>VLOOKUP(L7651,[1]Mouse_ARA!$B$2:$C$1328,2,FALSE)</f>
        <v>CA2slm</v>
      </c>
    </row>
    <row r="7652" spans="2:13" x14ac:dyDescent="0.25">
      <c r="B7652" s="31" t="s">
        <v>26299</v>
      </c>
      <c r="C7652" s="25" t="s">
        <v>26190</v>
      </c>
      <c r="D7652" s="25" t="s">
        <v>26232</v>
      </c>
      <c r="E7652" s="25" t="s">
        <v>26306</v>
      </c>
      <c r="F7652" s="9" t="str">
        <f t="shared" si="112"/>
        <v>structure with developmental contribution from neural crest</v>
      </c>
      <c r="G7652" s="9" t="s">
        <v>5090</v>
      </c>
      <c r="H7652" s="9" t="s">
        <v>19288</v>
      </c>
      <c r="I7652" s="9" t="s">
        <v>13843</v>
      </c>
      <c r="J7652" s="9" t="s">
        <v>13844</v>
      </c>
      <c r="K7652" s="3" t="s">
        <v>15176</v>
      </c>
      <c r="L7652" s="13">
        <v>434</v>
      </c>
      <c r="M7652" t="str">
        <f>VLOOKUP(L7652,[1]Mouse_ARA!$B$2:$C$1328,2,FALSE)</f>
        <v>RSPd2/3</v>
      </c>
    </row>
    <row r="7653" spans="2:13" x14ac:dyDescent="0.25">
      <c r="B7653" s="31" t="s">
        <v>26303</v>
      </c>
      <c r="C7653" s="25" t="s">
        <v>26018</v>
      </c>
      <c r="D7653" s="25" t="s">
        <v>26232</v>
      </c>
      <c r="E7653" s="25"/>
      <c r="F7653" s="9" t="str">
        <f t="shared" si="112"/>
        <v>structure with developmental contribution from neural crest</v>
      </c>
      <c r="G7653" s="9" t="s">
        <v>5090</v>
      </c>
      <c r="H7653" s="9" t="s">
        <v>19810</v>
      </c>
      <c r="I7653" s="9" t="s">
        <v>13845</v>
      </c>
      <c r="J7653" s="9" t="s">
        <v>13846</v>
      </c>
      <c r="K7653" s="3" t="s">
        <v>15176</v>
      </c>
      <c r="L7653" s="13">
        <v>435</v>
      </c>
      <c r="M7653" t="str">
        <f>VLOOKUP(L7653,[1]Mouse_ARA!$B$2:$C$1328,2,FALSE)</f>
        <v>MEApv</v>
      </c>
    </row>
    <row r="7654" spans="2:13" x14ac:dyDescent="0.25">
      <c r="B7654" s="31" t="s">
        <v>26299</v>
      </c>
      <c r="C7654" s="25" t="s">
        <v>25810</v>
      </c>
      <c r="D7654" s="25" t="s">
        <v>26232</v>
      </c>
      <c r="E7654" s="20" t="s">
        <v>26300</v>
      </c>
      <c r="F7654" s="9" t="str">
        <f t="shared" si="112"/>
        <v>structure with developmental contribution from neural crest</v>
      </c>
      <c r="G7654" s="9" t="s">
        <v>5090</v>
      </c>
      <c r="H7654" s="9" t="s">
        <v>18461</v>
      </c>
      <c r="I7654" s="9" t="s">
        <v>587</v>
      </c>
      <c r="J7654" s="9" t="s">
        <v>588</v>
      </c>
      <c r="K7654" s="3" t="s">
        <v>15176</v>
      </c>
      <c r="L7654" s="13">
        <v>436</v>
      </c>
      <c r="M7654" t="str">
        <f>VLOOKUP(L7654,[1]Mouse_ARA!$B$2:$C$1328,2,FALSE)</f>
        <v>fx</v>
      </c>
    </row>
    <row r="7655" spans="2:13" x14ac:dyDescent="0.25">
      <c r="B7655" s="31" t="s">
        <v>26303</v>
      </c>
      <c r="C7655" s="25" t="s">
        <v>25977</v>
      </c>
      <c r="D7655" s="25" t="s">
        <v>26232</v>
      </c>
      <c r="E7655" s="25"/>
      <c r="F7655" s="9" t="str">
        <f t="shared" si="112"/>
        <v>structure with developmental contribution from neural crest</v>
      </c>
      <c r="G7655" s="9" t="s">
        <v>5090</v>
      </c>
      <c r="H7655" s="9" t="s">
        <v>20431</v>
      </c>
      <c r="I7655" s="9" t="s">
        <v>2512</v>
      </c>
      <c r="J7655" s="9" t="s">
        <v>2513</v>
      </c>
      <c r="K7655" s="3" t="s">
        <v>15176</v>
      </c>
      <c r="L7655" s="13">
        <v>437</v>
      </c>
      <c r="M7655" t="str">
        <f>VLOOKUP(L7655,[1]Mouse_ARA!$B$2:$C$1328,2,FALSE)</f>
        <v>SPVI</v>
      </c>
    </row>
    <row r="7656" spans="2:13" x14ac:dyDescent="0.25">
      <c r="B7656" s="31" t="s">
        <v>26303</v>
      </c>
      <c r="C7656" s="25" t="s">
        <v>25755</v>
      </c>
      <c r="D7656" s="25" t="s">
        <v>26232</v>
      </c>
      <c r="E7656" s="25"/>
      <c r="F7656" s="9" t="str">
        <f t="shared" si="112"/>
        <v>structure with developmental contribution from neural crest</v>
      </c>
      <c r="G7656" s="9" t="s">
        <v>5090</v>
      </c>
      <c r="H7656" s="9" t="s">
        <v>15937</v>
      </c>
      <c r="I7656" s="9" t="s">
        <v>92</v>
      </c>
      <c r="J7656" s="9" t="s">
        <v>93</v>
      </c>
      <c r="K7656" s="3" t="s">
        <v>15176</v>
      </c>
      <c r="L7656" s="13">
        <v>438</v>
      </c>
      <c r="M7656" t="str">
        <f>VLOOKUP(L7656,[1]Mouse_ARA!$B$2:$C$1328,2,FALSE)</f>
        <v>CA2so</v>
      </c>
    </row>
    <row r="7657" spans="2:13" x14ac:dyDescent="0.25">
      <c r="B7657" s="31" t="s">
        <v>26303</v>
      </c>
      <c r="C7657" s="20"/>
      <c r="D7657" s="25" t="s">
        <v>26232</v>
      </c>
      <c r="E7657" s="25" t="s">
        <v>26300</v>
      </c>
      <c r="F7657" s="9" t="str">
        <f t="shared" si="112"/>
        <v>structure with developmental contribution from neural crest</v>
      </c>
      <c r="G7657" s="9" t="s">
        <v>5090</v>
      </c>
      <c r="H7657" s="9" t="s">
        <v>19125</v>
      </c>
      <c r="I7657" s="9" t="s">
        <v>13847</v>
      </c>
      <c r="J7657" s="9" t="s">
        <v>13848</v>
      </c>
      <c r="K7657" s="3" t="s">
        <v>15176</v>
      </c>
      <c r="L7657" s="13">
        <v>44</v>
      </c>
      <c r="M7657" t="str">
        <f>VLOOKUP(L7657,[1]Mouse_ARA!$B$2:$C$1328,2,FALSE)</f>
        <v>ILA</v>
      </c>
    </row>
    <row r="7658" spans="2:13" x14ac:dyDescent="0.25">
      <c r="B7658" s="31" t="s">
        <v>26299</v>
      </c>
      <c r="C7658" s="25" t="s">
        <v>26080</v>
      </c>
      <c r="D7658" s="25" t="s">
        <v>26232</v>
      </c>
      <c r="E7658" s="25" t="s">
        <v>26306</v>
      </c>
      <c r="F7658" s="9" t="str">
        <f t="shared" si="112"/>
        <v>structure with developmental contribution from neural crest</v>
      </c>
      <c r="G7658" s="9" t="s">
        <v>5090</v>
      </c>
      <c r="H7658" s="9" t="s">
        <v>19159</v>
      </c>
      <c r="I7658" s="9" t="s">
        <v>13849</v>
      </c>
      <c r="J7658" s="9" t="s">
        <v>13850</v>
      </c>
      <c r="K7658" s="3" t="s">
        <v>15176</v>
      </c>
      <c r="L7658" s="13">
        <v>440</v>
      </c>
      <c r="M7658" t="str">
        <f>VLOOKUP(L7658,[1]Mouse_ARA!$B$2:$C$1328,2,FALSE)</f>
        <v>ORBl6a</v>
      </c>
    </row>
    <row r="7659" spans="2:13" x14ac:dyDescent="0.25">
      <c r="B7659" s="31" t="s">
        <v>26303</v>
      </c>
      <c r="C7659" s="20"/>
      <c r="D7659" s="25" t="s">
        <v>26232</v>
      </c>
      <c r="E7659" s="25" t="s">
        <v>26307</v>
      </c>
      <c r="F7659" s="9" t="str">
        <f t="shared" si="112"/>
        <v>structure with developmental contribution from neural crest</v>
      </c>
      <c r="G7659" s="9" t="s">
        <v>5090</v>
      </c>
      <c r="H7659" s="9" t="s">
        <v>18996</v>
      </c>
      <c r="I7659" s="9" t="s">
        <v>13851</v>
      </c>
      <c r="J7659" s="9" t="s">
        <v>13852</v>
      </c>
      <c r="K7659" s="3" t="s">
        <v>15176</v>
      </c>
      <c r="L7659" s="13">
        <v>441</v>
      </c>
      <c r="M7659" t="str">
        <f>VLOOKUP(L7659,[1]Mouse_ARA!$B$2:$C$1328,2,FALSE)</f>
        <v>VISam6b</v>
      </c>
    </row>
    <row r="7660" spans="2:13" x14ac:dyDescent="0.25">
      <c r="B7660" s="31" t="s">
        <v>26299</v>
      </c>
      <c r="C7660" s="25" t="s">
        <v>26190</v>
      </c>
      <c r="D7660" s="25" t="s">
        <v>26232</v>
      </c>
      <c r="E7660" s="25" t="s">
        <v>26306</v>
      </c>
      <c r="F7660" s="9" t="str">
        <f t="shared" si="112"/>
        <v>structure with developmental contribution from neural crest</v>
      </c>
      <c r="G7660" s="9" t="s">
        <v>5090</v>
      </c>
      <c r="H7660" s="9" t="s">
        <v>19286</v>
      </c>
      <c r="I7660" s="9" t="s">
        <v>13853</v>
      </c>
      <c r="J7660" s="9" t="s">
        <v>13854</v>
      </c>
      <c r="K7660" s="3" t="s">
        <v>15176</v>
      </c>
      <c r="L7660" s="13">
        <v>442</v>
      </c>
      <c r="M7660" t="str">
        <f>VLOOKUP(L7660,[1]Mouse_ARA!$B$2:$C$1328,2,FALSE)</f>
        <v>RSPd1</v>
      </c>
    </row>
    <row r="7661" spans="2:13" x14ac:dyDescent="0.25">
      <c r="B7661" s="31" t="s">
        <v>26303</v>
      </c>
      <c r="C7661" s="25" t="s">
        <v>2282</v>
      </c>
      <c r="D7661" s="25" t="s">
        <v>26232</v>
      </c>
      <c r="E7661" s="25"/>
      <c r="F7661" s="9" t="str">
        <f t="shared" si="112"/>
        <v>structure with developmental contribution from neural crest</v>
      </c>
      <c r="G7661" s="9" t="s">
        <v>5090</v>
      </c>
      <c r="H7661" s="9" t="s">
        <v>20898</v>
      </c>
      <c r="I7661" s="9" t="s">
        <v>7213</v>
      </c>
      <c r="J7661" s="9" t="s">
        <v>13855</v>
      </c>
      <c r="K7661" s="3" t="s">
        <v>15176</v>
      </c>
      <c r="L7661" s="13">
        <v>443</v>
      </c>
      <c r="M7661" t="str">
        <f>VLOOKUP(L7661,[1]Mouse_ARA!$B$2:$C$1328,2,FALSE)</f>
        <v>dhc</v>
      </c>
    </row>
    <row r="7662" spans="2:13" x14ac:dyDescent="0.25">
      <c r="B7662" s="31" t="s">
        <v>26303</v>
      </c>
      <c r="C7662" s="25" t="s">
        <v>26076</v>
      </c>
      <c r="D7662" s="25" t="s">
        <v>26232</v>
      </c>
      <c r="E7662" s="25"/>
      <c r="F7662" s="9" t="str">
        <f t="shared" si="112"/>
        <v>structure with developmental contribution from neural crest</v>
      </c>
      <c r="G7662" s="9" t="s">
        <v>5090</v>
      </c>
      <c r="H7662" s="9" t="s">
        <v>20433</v>
      </c>
      <c r="I7662" s="9" t="s">
        <v>3513</v>
      </c>
      <c r="J7662" s="9" t="s">
        <v>3514</v>
      </c>
      <c r="K7662" s="3" t="s">
        <v>15176</v>
      </c>
      <c r="L7662" s="13">
        <v>445</v>
      </c>
      <c r="M7662" t="str">
        <f>VLOOKUP(L7662,[1]Mouse_ARA!$B$2:$C$1328,2,FALSE)</f>
        <v>SPVO</v>
      </c>
    </row>
    <row r="7663" spans="2:13" x14ac:dyDescent="0.25">
      <c r="B7663" s="31" t="s">
        <v>26303</v>
      </c>
      <c r="C7663" s="35" t="s">
        <v>26181</v>
      </c>
      <c r="D7663" s="25" t="s">
        <v>26232</v>
      </c>
      <c r="E7663" s="25"/>
      <c r="F7663" s="9" t="str">
        <f t="shared" si="112"/>
        <v>structure with developmental contribution from neural crest</v>
      </c>
      <c r="G7663" s="9" t="s">
        <v>5090</v>
      </c>
      <c r="H7663" s="9" t="s">
        <v>15938</v>
      </c>
      <c r="I7663" s="9" t="s">
        <v>4227</v>
      </c>
      <c r="J7663" s="9" t="s">
        <v>4228</v>
      </c>
      <c r="K7663" s="3" t="s">
        <v>15176</v>
      </c>
      <c r="L7663" s="13">
        <v>446</v>
      </c>
      <c r="M7663" t="str">
        <f>VLOOKUP(L7663,[1]Mouse_ARA!$B$2:$C$1328,2,FALSE)</f>
        <v>CA2sp</v>
      </c>
    </row>
    <row r="7664" spans="2:13" x14ac:dyDescent="0.25">
      <c r="B7664" s="31" t="s">
        <v>26299</v>
      </c>
      <c r="C7664" s="25" t="s">
        <v>26080</v>
      </c>
      <c r="D7664" s="25" t="s">
        <v>26232</v>
      </c>
      <c r="E7664" s="25" t="s">
        <v>26306</v>
      </c>
      <c r="F7664" s="9" t="str">
        <f t="shared" si="112"/>
        <v>structure with developmental contribution from neural crest</v>
      </c>
      <c r="G7664" s="9" t="s">
        <v>5090</v>
      </c>
      <c r="H7664" s="9" t="s">
        <v>19153</v>
      </c>
      <c r="I7664" s="9" t="s">
        <v>13856</v>
      </c>
      <c r="J7664" s="9" t="s">
        <v>13857</v>
      </c>
      <c r="K7664" s="3" t="s">
        <v>15176</v>
      </c>
      <c r="L7664" s="13">
        <v>448</v>
      </c>
      <c r="M7664" t="str">
        <f>VLOOKUP(L7664,[1]Mouse_ARA!$B$2:$C$1328,2,FALSE)</f>
        <v>ORBl1</v>
      </c>
    </row>
    <row r="7665" spans="2:13" x14ac:dyDescent="0.25">
      <c r="B7665" s="31" t="s">
        <v>26303</v>
      </c>
      <c r="C7665" s="25" t="s">
        <v>2282</v>
      </c>
      <c r="D7665" s="25" t="s">
        <v>26232</v>
      </c>
      <c r="E7665" s="25"/>
      <c r="F7665" s="9" t="str">
        <f t="shared" si="112"/>
        <v>structure with developmental contribution from neural crest</v>
      </c>
      <c r="G7665" s="9" t="s">
        <v>5090</v>
      </c>
      <c r="H7665" s="9" t="s">
        <v>20899</v>
      </c>
      <c r="I7665" s="9" t="s">
        <v>7215</v>
      </c>
      <c r="J7665" s="9" t="s">
        <v>13858</v>
      </c>
      <c r="K7665" s="3" t="s">
        <v>15176</v>
      </c>
      <c r="L7665" s="13">
        <v>449</v>
      </c>
      <c r="M7665" t="str">
        <f>VLOOKUP(L7665,[1]Mouse_ARA!$B$2:$C$1328,2,FALSE)</f>
        <v>vhc</v>
      </c>
    </row>
    <row r="7666" spans="2:13" x14ac:dyDescent="0.25">
      <c r="B7666" s="31" t="s">
        <v>26303</v>
      </c>
      <c r="C7666" s="25" t="s">
        <v>26076</v>
      </c>
      <c r="D7666" s="25" t="s">
        <v>26232</v>
      </c>
      <c r="E7666" s="25"/>
      <c r="F7666" s="9" t="str">
        <f t="shared" si="112"/>
        <v>structure with developmental contribution from neural crest</v>
      </c>
      <c r="G7666" s="9" t="s">
        <v>5090</v>
      </c>
      <c r="H7666" s="9" t="s">
        <v>20441</v>
      </c>
      <c r="I7666" s="9" t="s">
        <v>13859</v>
      </c>
      <c r="J7666" s="9" t="s">
        <v>13860</v>
      </c>
      <c r="K7666" s="3" t="s">
        <v>15176</v>
      </c>
      <c r="L7666" s="13">
        <v>45</v>
      </c>
      <c r="M7666" t="str">
        <f>VLOOKUP(L7666,[1]Mouse_ARA!$B$2:$C$1328,2,FALSE)</f>
        <v>SPVOrdm</v>
      </c>
    </row>
    <row r="7667" spans="2:13" x14ac:dyDescent="0.25">
      <c r="B7667" s="31" t="s">
        <v>26303</v>
      </c>
      <c r="C7667" s="25" t="s">
        <v>26173</v>
      </c>
      <c r="D7667" s="25" t="s">
        <v>26232</v>
      </c>
      <c r="E7667" s="25" t="s">
        <v>26306</v>
      </c>
      <c r="F7667" s="9" t="str">
        <f t="shared" si="112"/>
        <v>structure with developmental contribution from neural crest</v>
      </c>
      <c r="G7667" s="9" t="s">
        <v>5090</v>
      </c>
      <c r="H7667" s="9" t="s">
        <v>18802</v>
      </c>
      <c r="I7667" s="9" t="s">
        <v>13861</v>
      </c>
      <c r="J7667" s="9" t="s">
        <v>13862</v>
      </c>
      <c r="K7667" s="3" t="s">
        <v>15176</v>
      </c>
      <c r="L7667" s="13">
        <v>450</v>
      </c>
      <c r="M7667" t="str">
        <f>VLOOKUP(L7667,[1]Mouse_ARA!$B$2:$C$1328,2,FALSE)</f>
        <v>SSp-ul1</v>
      </c>
    </row>
    <row r="7668" spans="2:13" x14ac:dyDescent="0.25">
      <c r="B7668" s="31" t="s">
        <v>26303</v>
      </c>
      <c r="C7668" s="25" t="s">
        <v>25804</v>
      </c>
      <c r="D7668" s="25" t="s">
        <v>26185</v>
      </c>
      <c r="E7668" s="20" t="s">
        <v>26300</v>
      </c>
      <c r="F7668" s="9" t="str">
        <f t="shared" si="112"/>
        <v>structure with developmental contribution from neural crest</v>
      </c>
      <c r="G7668" s="9" t="s">
        <v>5090</v>
      </c>
      <c r="H7668" s="9" t="s">
        <v>19729</v>
      </c>
      <c r="I7668" s="9" t="s">
        <v>13863</v>
      </c>
      <c r="J7668" s="9" t="s">
        <v>13864</v>
      </c>
      <c r="K7668" s="3" t="s">
        <v>15176</v>
      </c>
      <c r="L7668" s="13">
        <v>451</v>
      </c>
      <c r="M7668" t="str">
        <f>VLOOKUP(L7668,[1]Mouse_ARA!$B$2:$C$1328,2,FALSE)</f>
        <v>BLAv</v>
      </c>
    </row>
    <row r="7669" spans="2:13" x14ac:dyDescent="0.25">
      <c r="B7669" s="31" t="s">
        <v>26303</v>
      </c>
      <c r="C7669" s="20" t="s">
        <v>25756</v>
      </c>
      <c r="D7669" s="25" t="s">
        <v>26232</v>
      </c>
      <c r="E7669" s="25"/>
      <c r="F7669" s="9" t="str">
        <f t="shared" si="112"/>
        <v>structure with developmental contribution from neural crest</v>
      </c>
      <c r="G7669" s="9" t="s">
        <v>5090</v>
      </c>
      <c r="H7669" s="9" t="s">
        <v>15939</v>
      </c>
      <c r="I7669" s="9" t="s">
        <v>99</v>
      </c>
      <c r="J7669" s="9" t="s">
        <v>100</v>
      </c>
      <c r="K7669" s="3" t="s">
        <v>15176</v>
      </c>
      <c r="L7669" s="13">
        <v>454</v>
      </c>
      <c r="M7669" t="str">
        <f>VLOOKUP(L7669,[1]Mouse_ARA!$B$2:$C$1328,2,FALSE)</f>
        <v>CA2sr</v>
      </c>
    </row>
    <row r="7670" spans="2:13" x14ac:dyDescent="0.25">
      <c r="B7670" s="31" t="s">
        <v>26303</v>
      </c>
      <c r="C7670" s="25" t="s">
        <v>25802</v>
      </c>
      <c r="D7670" s="25" t="s">
        <v>26185</v>
      </c>
      <c r="E7670" s="25" t="s">
        <v>26307</v>
      </c>
      <c r="F7670" s="9" t="str">
        <f t="shared" si="112"/>
        <v>structure with developmental contribution from neural crest</v>
      </c>
      <c r="G7670" s="9" t="s">
        <v>5090</v>
      </c>
      <c r="H7670" s="9" t="s">
        <v>18940</v>
      </c>
      <c r="I7670" s="9" t="s">
        <v>13865</v>
      </c>
      <c r="J7670" s="9" t="s">
        <v>13866</v>
      </c>
      <c r="K7670" s="3" t="s">
        <v>15176</v>
      </c>
      <c r="L7670" s="13">
        <v>456</v>
      </c>
      <c r="M7670" t="str">
        <f>VLOOKUP(L7670,[1]Mouse_ARA!$B$2:$C$1328,2,FALSE)</f>
        <v>AUDpo6b</v>
      </c>
    </row>
    <row r="7671" spans="2:13" x14ac:dyDescent="0.25">
      <c r="B7671" s="31" t="s">
        <v>26303</v>
      </c>
      <c r="C7671" s="25" t="s">
        <v>26288</v>
      </c>
      <c r="D7671" s="25" t="s">
        <v>26232</v>
      </c>
      <c r="E7671" s="25" t="s">
        <v>26306</v>
      </c>
      <c r="F7671" s="9" t="str">
        <f t="shared" ref="F7671:F7734" si="113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7671" s="9" t="s">
        <v>5090</v>
      </c>
      <c r="H7671" s="9" t="s">
        <v>18966</v>
      </c>
      <c r="I7671" s="9" t="s">
        <v>13867</v>
      </c>
      <c r="J7671" s="9" t="s">
        <v>13868</v>
      </c>
      <c r="K7671" s="3" t="s">
        <v>15176</v>
      </c>
      <c r="L7671" s="13">
        <v>457</v>
      </c>
      <c r="M7671" t="str">
        <f>VLOOKUP(L7671,[1]Mouse_ARA!$B$2:$C$1328,2,FALSE)</f>
        <v>VIS6a</v>
      </c>
    </row>
    <row r="7672" spans="2:13" x14ac:dyDescent="0.25">
      <c r="B7672" s="31" t="s">
        <v>26303</v>
      </c>
      <c r="C7672" s="25" t="s">
        <v>3471</v>
      </c>
      <c r="D7672" s="25" t="s">
        <v>26232</v>
      </c>
      <c r="E7672" s="25" t="s">
        <v>26306</v>
      </c>
      <c r="F7672" s="9" t="str">
        <f t="shared" si="113"/>
        <v>structure with developmental contribution from neural crest</v>
      </c>
      <c r="G7672" s="9" t="s">
        <v>5090</v>
      </c>
      <c r="H7672" s="9" t="s">
        <v>19760</v>
      </c>
      <c r="I7672" s="9" t="s">
        <v>13869</v>
      </c>
      <c r="J7672" s="9" t="s">
        <v>13870</v>
      </c>
      <c r="K7672" s="3" t="s">
        <v>15176</v>
      </c>
      <c r="L7672" s="13">
        <v>458</v>
      </c>
      <c r="M7672" t="str">
        <f>VLOOKUP(L7672,[1]Mouse_ARA!$B$2:$C$1328,2,FALSE)</f>
        <v>OT1</v>
      </c>
    </row>
    <row r="7673" spans="2:13" x14ac:dyDescent="0.25">
      <c r="B7673" s="31" t="s">
        <v>26303</v>
      </c>
      <c r="C7673" s="25" t="s">
        <v>26173</v>
      </c>
      <c r="D7673" s="25" t="s">
        <v>26232</v>
      </c>
      <c r="E7673" s="25" t="s">
        <v>26306</v>
      </c>
      <c r="F7673" s="9" t="str">
        <f t="shared" si="113"/>
        <v>structure with developmental contribution from neural crest</v>
      </c>
      <c r="G7673" s="9" t="s">
        <v>5090</v>
      </c>
      <c r="H7673" s="9" t="s">
        <v>18826</v>
      </c>
      <c r="I7673" s="9" t="s">
        <v>13871</v>
      </c>
      <c r="J7673" s="9" t="s">
        <v>13872</v>
      </c>
      <c r="K7673" s="3" t="s">
        <v>15176</v>
      </c>
      <c r="L7673" s="13">
        <v>461</v>
      </c>
      <c r="M7673" t="str">
        <f>VLOOKUP(L7673,[1]Mouse_ARA!$B$2:$C$1328,2,FALSE)</f>
        <v>SSp-tr6b</v>
      </c>
    </row>
    <row r="7674" spans="2:13" x14ac:dyDescent="0.25">
      <c r="B7674" s="31" t="s">
        <v>26303</v>
      </c>
      <c r="C7674" s="20"/>
      <c r="D7674" s="25" t="s">
        <v>26232</v>
      </c>
      <c r="E7674" s="25"/>
      <c r="F7674" s="9" t="str">
        <f t="shared" si="113"/>
        <v>structure with developmental contribution from neural crest</v>
      </c>
      <c r="G7674" s="9" t="s">
        <v>5090</v>
      </c>
      <c r="H7674" s="9" t="s">
        <v>20355</v>
      </c>
      <c r="I7674" s="9" t="s">
        <v>7365</v>
      </c>
      <c r="J7674" s="9" t="s">
        <v>13873</v>
      </c>
      <c r="K7674" s="3" t="s">
        <v>15176</v>
      </c>
      <c r="L7674" s="13">
        <v>462</v>
      </c>
      <c r="M7674" t="str">
        <f>VLOOKUP(L7674,[1]Mouse_ARA!$B$2:$C$1328,2,FALSE)</f>
        <v>SSN</v>
      </c>
    </row>
    <row r="7675" spans="2:13" x14ac:dyDescent="0.25">
      <c r="B7675" s="31" t="s">
        <v>26303</v>
      </c>
      <c r="C7675" s="25" t="s">
        <v>3471</v>
      </c>
      <c r="D7675" s="25" t="s">
        <v>26232</v>
      </c>
      <c r="E7675" s="25" t="s">
        <v>26306</v>
      </c>
      <c r="F7675" s="9" t="str">
        <f t="shared" si="113"/>
        <v>structure with developmental contribution from neural crest</v>
      </c>
      <c r="G7675" s="9" t="s">
        <v>5090</v>
      </c>
      <c r="H7675" s="9" t="s">
        <v>19762</v>
      </c>
      <c r="I7675" s="9" t="s">
        <v>13874</v>
      </c>
      <c r="J7675" s="9" t="s">
        <v>13875</v>
      </c>
      <c r="K7675" s="3" t="s">
        <v>15176</v>
      </c>
      <c r="L7675" s="13">
        <v>465</v>
      </c>
      <c r="M7675" t="str">
        <f>VLOOKUP(L7675,[1]Mouse_ARA!$B$2:$C$1328,2,FALSE)</f>
        <v>OT2</v>
      </c>
    </row>
    <row r="7676" spans="2:13" x14ac:dyDescent="0.25">
      <c r="B7676" s="31" t="s">
        <v>26303</v>
      </c>
      <c r="C7676" s="25" t="s">
        <v>25963</v>
      </c>
      <c r="D7676" s="25" t="s">
        <v>26232</v>
      </c>
      <c r="E7676" s="25"/>
      <c r="F7676" s="9" t="str">
        <f t="shared" si="113"/>
        <v>structure with developmental contribution from neural crest</v>
      </c>
      <c r="G7676" s="9" t="s">
        <v>5090</v>
      </c>
      <c r="H7676" s="9" t="s">
        <v>20889</v>
      </c>
      <c r="I7676" s="9" t="s">
        <v>2303</v>
      </c>
      <c r="J7676" s="9" t="s">
        <v>2306</v>
      </c>
      <c r="K7676" s="3" t="s">
        <v>15176</v>
      </c>
      <c r="L7676" s="13">
        <v>466</v>
      </c>
      <c r="M7676" t="str">
        <f>VLOOKUP(L7676,[1]Mouse_ARA!$B$2:$C$1328,2,FALSE)</f>
        <v>alv</v>
      </c>
    </row>
    <row r="7677" spans="2:13" x14ac:dyDescent="0.25">
      <c r="B7677" s="31" t="s">
        <v>26303</v>
      </c>
      <c r="C7677" s="25" t="s">
        <v>26020</v>
      </c>
      <c r="D7677" s="25" t="s">
        <v>26232</v>
      </c>
      <c r="E7677" s="25" t="s">
        <v>26306</v>
      </c>
      <c r="F7677" s="9" t="str">
        <f t="shared" si="113"/>
        <v>structure with developmental contribution from neural crest</v>
      </c>
      <c r="G7677" s="9" t="s">
        <v>5090</v>
      </c>
      <c r="H7677" s="9" t="s">
        <v>19621</v>
      </c>
      <c r="I7677" s="9" t="s">
        <v>13876</v>
      </c>
      <c r="J7677" s="9" t="s">
        <v>13877</v>
      </c>
      <c r="K7677" s="3" t="s">
        <v>15176</v>
      </c>
      <c r="L7677" s="13">
        <v>468</v>
      </c>
      <c r="M7677" t="str">
        <f>VLOOKUP(L7677,[1]Mouse_ARA!$B$2:$C$1328,2,FALSE)</f>
        <v>ENTm2a</v>
      </c>
    </row>
    <row r="7678" spans="2:13" x14ac:dyDescent="0.25">
      <c r="B7678" s="31" t="s">
        <v>26303</v>
      </c>
      <c r="C7678" s="25" t="s">
        <v>4024</v>
      </c>
      <c r="D7678" s="25" t="s">
        <v>26232</v>
      </c>
      <c r="E7678" s="25" t="s">
        <v>26306</v>
      </c>
      <c r="F7678" s="9" t="str">
        <f t="shared" si="113"/>
        <v>structure with developmental contribution from neural crest</v>
      </c>
      <c r="G7678" s="9" t="s">
        <v>5090</v>
      </c>
      <c r="H7678" s="9" t="s">
        <v>19046</v>
      </c>
      <c r="I7678" s="9" t="s">
        <v>13878</v>
      </c>
      <c r="J7678" s="9" t="s">
        <v>13879</v>
      </c>
      <c r="K7678" s="3" t="s">
        <v>15176</v>
      </c>
      <c r="L7678" s="13">
        <v>469</v>
      </c>
      <c r="M7678" t="str">
        <f>VLOOKUP(L7678,[1]Mouse_ARA!$B$2:$C$1328,2,FALSE)</f>
        <v>VISpm6b</v>
      </c>
    </row>
    <row r="7679" spans="2:13" x14ac:dyDescent="0.25">
      <c r="B7679" s="31" t="s">
        <v>26303</v>
      </c>
      <c r="C7679" s="20" t="s">
        <v>25758</v>
      </c>
      <c r="D7679" s="25" t="s">
        <v>26232</v>
      </c>
      <c r="E7679" s="25" t="s">
        <v>26306</v>
      </c>
      <c r="F7679" s="9" t="str">
        <f t="shared" si="113"/>
        <v>structure with developmental contribution from neural crest</v>
      </c>
      <c r="G7679" s="9" t="s">
        <v>5090</v>
      </c>
      <c r="H7679" s="9" t="s">
        <v>15945</v>
      </c>
      <c r="I7679" s="9" t="s">
        <v>117</v>
      </c>
      <c r="J7679" s="9" t="s">
        <v>118</v>
      </c>
      <c r="K7679" s="3" t="s">
        <v>15176</v>
      </c>
      <c r="L7679" s="13">
        <v>471</v>
      </c>
      <c r="M7679" t="str">
        <f>VLOOKUP(L7679,[1]Mouse_ARA!$B$2:$C$1328,2,FALSE)</f>
        <v>CA3slm</v>
      </c>
    </row>
    <row r="7680" spans="2:13" x14ac:dyDescent="0.25">
      <c r="B7680" s="31" t="s">
        <v>26303</v>
      </c>
      <c r="C7680" s="25" t="s">
        <v>26018</v>
      </c>
      <c r="D7680" s="25" t="s">
        <v>26232</v>
      </c>
      <c r="E7680" s="25"/>
      <c r="F7680" s="9" t="str">
        <f t="shared" si="113"/>
        <v>structure with developmental contribution from neural crest</v>
      </c>
      <c r="G7680" s="9" t="s">
        <v>5090</v>
      </c>
      <c r="H7680" s="9" t="s">
        <v>19804</v>
      </c>
      <c r="I7680" s="9" t="s">
        <v>13880</v>
      </c>
      <c r="J7680" s="9" t="s">
        <v>13881</v>
      </c>
      <c r="K7680" s="3" t="s">
        <v>15176</v>
      </c>
      <c r="L7680" s="13">
        <v>472</v>
      </c>
      <c r="M7680" t="str">
        <f>VLOOKUP(L7680,[1]Mouse_ARA!$B$2:$C$1328,2,FALSE)</f>
        <v>MEApd-a</v>
      </c>
    </row>
    <row r="7681" spans="2:13" x14ac:dyDescent="0.25">
      <c r="B7681" s="31" t="s">
        <v>26303</v>
      </c>
      <c r="C7681" s="25" t="s">
        <v>3471</v>
      </c>
      <c r="D7681" s="25" t="s">
        <v>26232</v>
      </c>
      <c r="E7681" s="25" t="s">
        <v>26306</v>
      </c>
      <c r="F7681" s="9" t="str">
        <f t="shared" si="113"/>
        <v>structure with developmental contribution from neural crest</v>
      </c>
      <c r="G7681" s="9" t="s">
        <v>5090</v>
      </c>
      <c r="H7681" s="9" t="s">
        <v>19764</v>
      </c>
      <c r="I7681" s="9" t="s">
        <v>13882</v>
      </c>
      <c r="J7681" s="9" t="s">
        <v>13883</v>
      </c>
      <c r="K7681" s="3" t="s">
        <v>15176</v>
      </c>
      <c r="L7681" s="13">
        <v>473</v>
      </c>
      <c r="M7681" t="str">
        <f>VLOOKUP(L7681,[1]Mouse_ARA!$B$2:$C$1328,2,FALSE)</f>
        <v>OT3</v>
      </c>
    </row>
    <row r="7682" spans="2:13" x14ac:dyDescent="0.25">
      <c r="B7682" s="31" t="s">
        <v>26299</v>
      </c>
      <c r="C7682" s="25" t="s">
        <v>26080</v>
      </c>
      <c r="D7682" s="25" t="s">
        <v>26232</v>
      </c>
      <c r="E7682" s="25" t="s">
        <v>26306</v>
      </c>
      <c r="F7682" s="9" t="str">
        <f t="shared" si="113"/>
        <v>structure with developmental contribution from neural crest</v>
      </c>
      <c r="G7682" s="9" t="s">
        <v>5090</v>
      </c>
      <c r="H7682" s="9" t="s">
        <v>19147</v>
      </c>
      <c r="I7682" s="9" t="s">
        <v>13884</v>
      </c>
      <c r="J7682" s="9" t="s">
        <v>13885</v>
      </c>
      <c r="K7682" s="3" t="s">
        <v>15176</v>
      </c>
      <c r="L7682" s="13">
        <v>476</v>
      </c>
      <c r="M7682" t="str">
        <f>VLOOKUP(L7682,[1]Mouse_ARA!$B$2:$C$1328,2,FALSE)</f>
        <v>ORB6a</v>
      </c>
    </row>
    <row r="7683" spans="2:13" x14ac:dyDescent="0.25">
      <c r="B7683" s="31" t="s">
        <v>26303</v>
      </c>
      <c r="C7683" s="9" t="s">
        <v>1200</v>
      </c>
      <c r="D7683" s="25" t="s">
        <v>26232</v>
      </c>
      <c r="E7683" s="25"/>
      <c r="F7683" s="9" t="str">
        <f t="shared" si="113"/>
        <v>structure with developmental contribution from neural crest</v>
      </c>
      <c r="G7683" s="9" t="s">
        <v>5090</v>
      </c>
      <c r="H7683" s="9" t="s">
        <v>19740</v>
      </c>
      <c r="I7683" s="9" t="s">
        <v>1200</v>
      </c>
      <c r="J7683" s="9" t="s">
        <v>1201</v>
      </c>
      <c r="K7683" s="3" t="s">
        <v>15176</v>
      </c>
      <c r="L7683" s="13">
        <v>477</v>
      </c>
      <c r="M7683" t="str">
        <f>VLOOKUP(L7683,[1]Mouse_ARA!$B$2:$C$1328,2,FALSE)</f>
        <v>STR</v>
      </c>
    </row>
    <row r="7684" spans="2:13" x14ac:dyDescent="0.25">
      <c r="B7684" s="31" t="s">
        <v>26303</v>
      </c>
      <c r="C7684" s="25" t="s">
        <v>26173</v>
      </c>
      <c r="D7684" s="25" t="s">
        <v>26232</v>
      </c>
      <c r="E7684" s="25" t="s">
        <v>26306</v>
      </c>
      <c r="F7684" s="9" t="str">
        <f t="shared" si="113"/>
        <v>structure with developmental contribution from neural crest</v>
      </c>
      <c r="G7684" s="9" t="s">
        <v>5090</v>
      </c>
      <c r="H7684" s="9" t="s">
        <v>18782</v>
      </c>
      <c r="I7684" s="9" t="s">
        <v>13886</v>
      </c>
      <c r="J7684" s="9" t="s">
        <v>13887</v>
      </c>
      <c r="K7684" s="3" t="s">
        <v>15176</v>
      </c>
      <c r="L7684" s="13">
        <v>478</v>
      </c>
      <c r="M7684" t="str">
        <f>VLOOKUP(L7684,[1]Mouse_ARA!$B$2:$C$1328,2,FALSE)</f>
        <v>SSp-ll6a</v>
      </c>
    </row>
    <row r="7685" spans="2:13" x14ac:dyDescent="0.25">
      <c r="B7685" s="31" t="s">
        <v>26299</v>
      </c>
      <c r="C7685" s="25" t="s">
        <v>25746</v>
      </c>
      <c r="D7685" s="25" t="s">
        <v>26232</v>
      </c>
      <c r="E7685" s="25"/>
      <c r="F7685" s="9" t="str">
        <f t="shared" si="113"/>
        <v>structure with developmental contribution from neural crest</v>
      </c>
      <c r="G7685" s="9" t="s">
        <v>5090</v>
      </c>
      <c r="H7685" s="9" t="s">
        <v>19099</v>
      </c>
      <c r="I7685" s="9" t="s">
        <v>13888</v>
      </c>
      <c r="J7685" s="9" t="s">
        <v>13889</v>
      </c>
      <c r="K7685" s="3" t="s">
        <v>15176</v>
      </c>
      <c r="L7685" s="13">
        <v>48</v>
      </c>
      <c r="M7685" t="str">
        <f>VLOOKUP(L7685,[1]Mouse_ARA!$B$2:$C$1328,2,FALSE)</f>
        <v>ACAv</v>
      </c>
    </row>
    <row r="7686" spans="2:13" x14ac:dyDescent="0.25">
      <c r="B7686" s="31" t="s">
        <v>26303</v>
      </c>
      <c r="C7686" s="25" t="s">
        <v>26018</v>
      </c>
      <c r="D7686" s="25" t="s">
        <v>26232</v>
      </c>
      <c r="E7686" s="25"/>
      <c r="F7686" s="9" t="str">
        <f t="shared" si="113"/>
        <v>structure with developmental contribution from neural crest</v>
      </c>
      <c r="G7686" s="9" t="s">
        <v>5090</v>
      </c>
      <c r="H7686" s="9" t="s">
        <v>19806</v>
      </c>
      <c r="I7686" s="9" t="s">
        <v>13890</v>
      </c>
      <c r="J7686" s="9" t="s">
        <v>13891</v>
      </c>
      <c r="K7686" s="3" t="s">
        <v>15176</v>
      </c>
      <c r="L7686" s="13">
        <v>480</v>
      </c>
      <c r="M7686" t="str">
        <f>VLOOKUP(L7686,[1]Mouse_ARA!$B$2:$C$1328,2,FALSE)</f>
        <v>MEApd-b</v>
      </c>
    </row>
    <row r="7687" spans="2:13" x14ac:dyDescent="0.25">
      <c r="B7687" s="31" t="s">
        <v>26303</v>
      </c>
      <c r="C7687" s="25" t="s">
        <v>25983</v>
      </c>
      <c r="D7687" s="25" t="s">
        <v>26232</v>
      </c>
      <c r="E7687" s="25"/>
      <c r="F7687" s="9" t="str">
        <f t="shared" si="113"/>
        <v>structure with developmental contribution from neural crest</v>
      </c>
      <c r="G7687" s="9" t="s">
        <v>5090</v>
      </c>
      <c r="H7687" s="9" t="s">
        <v>19754</v>
      </c>
      <c r="I7687" s="9" t="s">
        <v>2542</v>
      </c>
      <c r="J7687" s="9" t="s">
        <v>2546</v>
      </c>
      <c r="K7687" s="3" t="s">
        <v>15176</v>
      </c>
      <c r="L7687" s="13">
        <v>481</v>
      </c>
      <c r="M7687" t="str">
        <f>VLOOKUP(L7687,[1]Mouse_ARA!$B$2:$C$1328,2,FALSE)</f>
        <v>isl</v>
      </c>
    </row>
    <row r="7688" spans="2:13" x14ac:dyDescent="0.25">
      <c r="B7688" s="31" t="s">
        <v>26303</v>
      </c>
      <c r="C7688" s="25" t="s">
        <v>593</v>
      </c>
      <c r="D7688" s="25" t="s">
        <v>26232</v>
      </c>
      <c r="E7688" s="25"/>
      <c r="F7688" s="9" t="str">
        <f t="shared" si="113"/>
        <v>structure with developmental contribution from neural crest</v>
      </c>
      <c r="G7688" s="9" t="s">
        <v>5090</v>
      </c>
      <c r="H7688" s="9" t="s">
        <v>18441</v>
      </c>
      <c r="I7688" s="9" t="s">
        <v>596</v>
      </c>
      <c r="J7688" s="9" t="s">
        <v>598</v>
      </c>
      <c r="K7688" s="3" t="s">
        <v>15176</v>
      </c>
      <c r="L7688" s="13">
        <v>482</v>
      </c>
      <c r="M7688" t="str">
        <f>VLOOKUP(L7688,[1]Mouse_ARA!$B$2:$C$1328,2,FALSE)</f>
        <v>bic</v>
      </c>
    </row>
    <row r="7689" spans="2:13" x14ac:dyDescent="0.25">
      <c r="B7689" s="31" t="s">
        <v>26299</v>
      </c>
      <c r="C7689" s="25" t="s">
        <v>26080</v>
      </c>
      <c r="D7689" s="25" t="s">
        <v>26232</v>
      </c>
      <c r="E7689" s="25" t="s">
        <v>26306</v>
      </c>
      <c r="F7689" s="9" t="str">
        <f t="shared" si="113"/>
        <v>structure with developmental contribution from neural crest</v>
      </c>
      <c r="G7689" s="9" t="s">
        <v>5090</v>
      </c>
      <c r="H7689" s="9" t="s">
        <v>19165</v>
      </c>
      <c r="I7689" s="9" t="s">
        <v>13892</v>
      </c>
      <c r="J7689" s="9" t="s">
        <v>13893</v>
      </c>
      <c r="K7689" s="3" t="s">
        <v>15176</v>
      </c>
      <c r="L7689" s="13">
        <v>484</v>
      </c>
      <c r="M7689" t="str">
        <f>VLOOKUP(L7689,[1]Mouse_ARA!$B$2:$C$1328,2,FALSE)</f>
        <v>ORBm1</v>
      </c>
    </row>
    <row r="7690" spans="2:13" x14ac:dyDescent="0.25">
      <c r="B7690" s="31" t="s">
        <v>26303</v>
      </c>
      <c r="C7690" s="9" t="s">
        <v>1605</v>
      </c>
      <c r="D7690" s="25" t="s">
        <v>26232</v>
      </c>
      <c r="E7690" s="25"/>
      <c r="F7690" s="9" t="str">
        <f t="shared" si="113"/>
        <v>structure with developmental contribution from neural crest</v>
      </c>
      <c r="G7690" s="9" t="s">
        <v>5090</v>
      </c>
      <c r="H7690" s="9" t="s">
        <v>19742</v>
      </c>
      <c r="I7690" s="9" t="s">
        <v>1202</v>
      </c>
      <c r="J7690" s="9" t="s">
        <v>1203</v>
      </c>
      <c r="K7690" s="3" t="s">
        <v>15176</v>
      </c>
      <c r="L7690" s="13">
        <v>485</v>
      </c>
      <c r="M7690" t="str">
        <f>VLOOKUP(L7690,[1]Mouse_ARA!$B$2:$C$1328,2,FALSE)</f>
        <v>STRd</v>
      </c>
    </row>
    <row r="7691" spans="2:13" x14ac:dyDescent="0.25">
      <c r="B7691" s="31" t="s">
        <v>26303</v>
      </c>
      <c r="C7691" s="25" t="s">
        <v>25760</v>
      </c>
      <c r="D7691" s="25" t="s">
        <v>26232</v>
      </c>
      <c r="E7691" s="25"/>
      <c r="F7691" s="9" t="str">
        <f t="shared" si="113"/>
        <v>structure with developmental contribution from neural crest</v>
      </c>
      <c r="G7691" s="9" t="s">
        <v>5090</v>
      </c>
      <c r="H7691" s="9" t="s">
        <v>15941</v>
      </c>
      <c r="I7691" s="9" t="s">
        <v>131</v>
      </c>
      <c r="J7691" s="9" t="s">
        <v>132</v>
      </c>
      <c r="K7691" s="3" t="s">
        <v>15176</v>
      </c>
      <c r="L7691" s="13">
        <v>486</v>
      </c>
      <c r="M7691" t="str">
        <f>VLOOKUP(L7691,[1]Mouse_ARA!$B$2:$C$1328,2,FALSE)</f>
        <v>CA3so</v>
      </c>
    </row>
    <row r="7692" spans="2:13" x14ac:dyDescent="0.25">
      <c r="B7692" s="31" t="s">
        <v>26303</v>
      </c>
      <c r="C7692" s="25" t="s">
        <v>26018</v>
      </c>
      <c r="D7692" s="25" t="s">
        <v>26232</v>
      </c>
      <c r="E7692" s="25"/>
      <c r="F7692" s="9" t="str">
        <f t="shared" si="113"/>
        <v>structure with developmental contribution from neural crest</v>
      </c>
      <c r="G7692" s="9" t="s">
        <v>5090</v>
      </c>
      <c r="H7692" s="9" t="s">
        <v>19808</v>
      </c>
      <c r="I7692" s="9" t="s">
        <v>13894</v>
      </c>
      <c r="J7692" s="9" t="s">
        <v>13895</v>
      </c>
      <c r="K7692" s="3" t="s">
        <v>15176</v>
      </c>
      <c r="L7692" s="13">
        <v>487</v>
      </c>
      <c r="M7692" t="str">
        <f>VLOOKUP(L7692,[1]Mouse_ARA!$B$2:$C$1328,2,FALSE)</f>
        <v>MEApd-c</v>
      </c>
    </row>
    <row r="7693" spans="2:13" x14ac:dyDescent="0.25">
      <c r="B7693" s="31" t="s">
        <v>26299</v>
      </c>
      <c r="C7693" s="25" t="s">
        <v>26080</v>
      </c>
      <c r="D7693" s="25" t="s">
        <v>26232</v>
      </c>
      <c r="E7693" s="25" t="s">
        <v>26306</v>
      </c>
      <c r="F7693" s="9" t="str">
        <f t="shared" si="113"/>
        <v>structure with developmental contribution from neural crest</v>
      </c>
      <c r="G7693" s="9" t="s">
        <v>5090</v>
      </c>
      <c r="H7693" s="9" t="s">
        <v>19161</v>
      </c>
      <c r="I7693" s="9" t="s">
        <v>13896</v>
      </c>
      <c r="J7693" s="9" t="s">
        <v>13897</v>
      </c>
      <c r="K7693" s="3" t="s">
        <v>15176</v>
      </c>
      <c r="L7693" s="13">
        <v>488</v>
      </c>
      <c r="M7693" t="str">
        <f>VLOOKUP(L7693,[1]Mouse_ARA!$B$2:$C$1328,2,FALSE)</f>
        <v>ORBl6b</v>
      </c>
    </row>
    <row r="7694" spans="2:13" x14ac:dyDescent="0.25">
      <c r="B7694" s="37" t="s">
        <v>26303</v>
      </c>
      <c r="C7694" s="20"/>
      <c r="D7694" s="25" t="s">
        <v>26232</v>
      </c>
      <c r="E7694" s="25" t="s">
        <v>26300</v>
      </c>
      <c r="F7694" s="9" t="str">
        <f t="shared" si="113"/>
        <v>structure with developmental contribution from neural crest</v>
      </c>
      <c r="G7694" s="9" t="s">
        <v>5090</v>
      </c>
      <c r="H7694" s="9" t="s">
        <v>20809</v>
      </c>
      <c r="I7694" s="9" t="s">
        <v>13898</v>
      </c>
      <c r="J7694" s="9" t="s">
        <v>13899</v>
      </c>
      <c r="K7694" s="3" t="s">
        <v>15176</v>
      </c>
      <c r="L7694" s="13">
        <v>490</v>
      </c>
      <c r="M7694" t="str">
        <f>VLOOKUP(L7694,[1]Mouse_ARA!$B$2:$C$1328,2,FALSE)</f>
        <v>bct</v>
      </c>
    </row>
    <row r="7695" spans="2:13" x14ac:dyDescent="0.25">
      <c r="B7695" s="31" t="s">
        <v>26299</v>
      </c>
      <c r="C7695" s="25" t="s">
        <v>26080</v>
      </c>
      <c r="D7695" s="25" t="s">
        <v>26232</v>
      </c>
      <c r="E7695" s="25" t="s">
        <v>26306</v>
      </c>
      <c r="F7695" s="9" t="str">
        <f t="shared" si="113"/>
        <v>structure with developmental contribution from neural crest</v>
      </c>
      <c r="G7695" s="9" t="s">
        <v>5090</v>
      </c>
      <c r="H7695" s="9" t="s">
        <v>19143</v>
      </c>
      <c r="I7695" s="9" t="s">
        <v>13900</v>
      </c>
      <c r="J7695" s="9" t="s">
        <v>13901</v>
      </c>
      <c r="K7695" s="3" t="s">
        <v>15176</v>
      </c>
      <c r="L7695" s="13">
        <v>492</v>
      </c>
      <c r="M7695" t="str">
        <f>VLOOKUP(L7695,[1]Mouse_ARA!$B$2:$C$1328,2,FALSE)</f>
        <v>ORB2/3</v>
      </c>
    </row>
    <row r="7696" spans="2:13" x14ac:dyDescent="0.25">
      <c r="B7696" s="31" t="s">
        <v>26303</v>
      </c>
      <c r="C7696" s="9" t="s">
        <v>1198</v>
      </c>
      <c r="D7696" s="25" t="s">
        <v>26232</v>
      </c>
      <c r="E7696" s="25"/>
      <c r="F7696" s="9" t="str">
        <f t="shared" si="113"/>
        <v>structure with developmental contribution from neural crest</v>
      </c>
      <c r="G7696" s="9" t="s">
        <v>5090</v>
      </c>
      <c r="H7696" s="9" t="s">
        <v>19746</v>
      </c>
      <c r="I7696" s="9" t="s">
        <v>1204</v>
      </c>
      <c r="J7696" s="9" t="s">
        <v>1205</v>
      </c>
      <c r="K7696" s="3" t="s">
        <v>15176</v>
      </c>
      <c r="L7696" s="13">
        <v>493</v>
      </c>
      <c r="M7696" t="str">
        <f>VLOOKUP(L7696,[1]Mouse_ARA!$B$2:$C$1328,2,FALSE)</f>
        <v>STRv</v>
      </c>
    </row>
    <row r="7697" spans="2:13" x14ac:dyDescent="0.25">
      <c r="B7697" s="31" t="s">
        <v>26303</v>
      </c>
      <c r="C7697" s="35" t="s">
        <v>26182</v>
      </c>
      <c r="D7697" s="25" t="s">
        <v>26232</v>
      </c>
      <c r="E7697" s="25"/>
      <c r="F7697" s="9" t="str">
        <f t="shared" si="113"/>
        <v>structure with developmental contribution from neural crest</v>
      </c>
      <c r="G7697" s="9" t="s">
        <v>5090</v>
      </c>
      <c r="H7697" s="9" t="s">
        <v>15942</v>
      </c>
      <c r="I7697" s="9" t="s">
        <v>4232</v>
      </c>
      <c r="J7697" s="9" t="s">
        <v>4233</v>
      </c>
      <c r="K7697" s="3" t="s">
        <v>15176</v>
      </c>
      <c r="L7697" s="13">
        <v>495</v>
      </c>
      <c r="M7697" t="str">
        <f>VLOOKUP(L7697,[1]Mouse_ARA!$B$2:$C$1328,2,FALSE)</f>
        <v>CA3sp</v>
      </c>
    </row>
    <row r="7698" spans="2:13" x14ac:dyDescent="0.25">
      <c r="B7698" s="31" t="s">
        <v>26303</v>
      </c>
      <c r="C7698" s="20"/>
      <c r="D7698" s="25" t="s">
        <v>26232</v>
      </c>
      <c r="E7698" s="25" t="s">
        <v>26306</v>
      </c>
      <c r="F7698" s="9" t="str">
        <f t="shared" si="113"/>
        <v>structure with developmental contribution from neural crest</v>
      </c>
      <c r="G7698" s="9" t="s">
        <v>5090</v>
      </c>
      <c r="H7698" s="9" t="s">
        <v>19455</v>
      </c>
      <c r="I7698" s="9" t="s">
        <v>13902</v>
      </c>
      <c r="J7698" s="9" t="s">
        <v>13903</v>
      </c>
      <c r="K7698" s="3" t="s">
        <v>15176</v>
      </c>
      <c r="L7698" s="13">
        <v>496</v>
      </c>
      <c r="M7698" t="str">
        <f>VLOOKUP(L7698,[1]Mouse_ARA!$B$2:$C$1328,2,FALSE)</f>
        <v>DP1</v>
      </c>
    </row>
    <row r="7699" spans="2:13" x14ac:dyDescent="0.25">
      <c r="B7699" s="31" t="s">
        <v>26303</v>
      </c>
      <c r="C7699" s="25" t="s">
        <v>26288</v>
      </c>
      <c r="D7699" s="25" t="s">
        <v>26232</v>
      </c>
      <c r="E7699" s="25" t="s">
        <v>26306</v>
      </c>
      <c r="F7699" s="9" t="str">
        <f t="shared" si="113"/>
        <v>structure with developmental contribution from neural crest</v>
      </c>
      <c r="G7699" s="9" t="s">
        <v>5090</v>
      </c>
      <c r="H7699" s="9" t="s">
        <v>18968</v>
      </c>
      <c r="I7699" s="9" t="s">
        <v>13904</v>
      </c>
      <c r="J7699" s="9" t="s">
        <v>13905</v>
      </c>
      <c r="K7699" s="3" t="s">
        <v>15176</v>
      </c>
      <c r="L7699" s="13">
        <v>497</v>
      </c>
      <c r="M7699" t="str">
        <f>VLOOKUP(L7699,[1]Mouse_ARA!$B$2:$C$1328,2,FALSE)</f>
        <v>VIS6b</v>
      </c>
    </row>
    <row r="7700" spans="2:13" x14ac:dyDescent="0.25">
      <c r="B7700" s="31" t="s">
        <v>26303</v>
      </c>
      <c r="C7700" s="25" t="s">
        <v>561</v>
      </c>
      <c r="D7700" s="25" t="s">
        <v>26232</v>
      </c>
      <c r="E7700" s="20" t="s">
        <v>26300</v>
      </c>
      <c r="F7700" s="9" t="str">
        <f t="shared" si="113"/>
        <v>structure with developmental contribution from neural crest</v>
      </c>
      <c r="G7700" s="9" t="s">
        <v>5090</v>
      </c>
      <c r="H7700" s="9" t="s">
        <v>19843</v>
      </c>
      <c r="I7700" s="9" t="s">
        <v>13906</v>
      </c>
      <c r="J7700" s="9" t="s">
        <v>13907</v>
      </c>
      <c r="K7700" s="3" t="s">
        <v>15176</v>
      </c>
      <c r="L7700" s="13">
        <v>498</v>
      </c>
      <c r="M7700" t="str">
        <f>VLOOKUP(L7700,[1]Mouse_ARA!$B$2:$C$1328,2,FALSE)</f>
        <v>BSTam</v>
      </c>
    </row>
    <row r="7701" spans="2:13" x14ac:dyDescent="0.25">
      <c r="B7701" s="37" t="s">
        <v>26303</v>
      </c>
      <c r="C7701" s="25" t="s">
        <v>1408</v>
      </c>
      <c r="D7701" s="25" t="s">
        <v>26232</v>
      </c>
      <c r="E7701" s="25"/>
      <c r="F7701" s="9" t="str">
        <f t="shared" si="113"/>
        <v>structure with developmental contribution from neural crest</v>
      </c>
      <c r="G7701" s="9" t="s">
        <v>5090</v>
      </c>
      <c r="H7701" s="9" t="s">
        <v>20807</v>
      </c>
      <c r="I7701" s="9" t="s">
        <v>1408</v>
      </c>
      <c r="J7701" s="9" t="s">
        <v>1410</v>
      </c>
      <c r="K7701" s="3" t="s">
        <v>15176</v>
      </c>
      <c r="L7701" s="13">
        <v>499</v>
      </c>
      <c r="M7701" t="str">
        <f>VLOOKUP(L7701,[1]Mouse_ARA!$B$2:$C$1328,2,FALSE)</f>
        <v>cct</v>
      </c>
    </row>
    <row r="7702" spans="2:13" x14ac:dyDescent="0.25">
      <c r="B7702" s="31" t="s">
        <v>26303</v>
      </c>
      <c r="C7702" s="20"/>
      <c r="D7702" s="25" t="s">
        <v>26232</v>
      </c>
      <c r="E7702" s="25" t="s">
        <v>26300</v>
      </c>
      <c r="F7702" s="9" t="str">
        <f t="shared" si="113"/>
        <v>structure with developmental contribution from neural crest</v>
      </c>
      <c r="G7702" s="9" t="s">
        <v>5090</v>
      </c>
      <c r="H7702" s="9" t="s">
        <v>18667</v>
      </c>
      <c r="I7702" s="9" t="s">
        <v>13908</v>
      </c>
      <c r="J7702" s="9" t="s">
        <v>13909</v>
      </c>
      <c r="K7702" s="3" t="s">
        <v>15176</v>
      </c>
      <c r="L7702" s="13">
        <v>500</v>
      </c>
      <c r="M7702" t="str">
        <f>VLOOKUP(L7702,[1]Mouse_ARA!$B$2:$C$1328,2,FALSE)</f>
        <v>MO</v>
      </c>
    </row>
    <row r="7703" spans="2:13" x14ac:dyDescent="0.25">
      <c r="B7703" s="31" t="s">
        <v>26303</v>
      </c>
      <c r="C7703" s="20" t="s">
        <v>25761</v>
      </c>
      <c r="D7703" s="25" t="s">
        <v>26232</v>
      </c>
      <c r="E7703" s="25"/>
      <c r="F7703" s="9" t="str">
        <f t="shared" si="113"/>
        <v>structure with developmental contribution from neural crest</v>
      </c>
      <c r="G7703" s="9" t="s">
        <v>5090</v>
      </c>
      <c r="H7703" s="9" t="s">
        <v>15944</v>
      </c>
      <c r="I7703" s="9" t="s">
        <v>138</v>
      </c>
      <c r="J7703" s="9" t="s">
        <v>139</v>
      </c>
      <c r="K7703" s="3" t="s">
        <v>15176</v>
      </c>
      <c r="L7703" s="13">
        <v>504</v>
      </c>
      <c r="M7703" t="str">
        <f>VLOOKUP(L7703,[1]Mouse_ARA!$B$2:$C$1328,2,FALSE)</f>
        <v>CA3sr</v>
      </c>
    </row>
    <row r="7704" spans="2:13" x14ac:dyDescent="0.25">
      <c r="B7704" s="31" t="s">
        <v>26303</v>
      </c>
      <c r="C7704" s="25" t="s">
        <v>561</v>
      </c>
      <c r="D7704" s="25" t="s">
        <v>26185</v>
      </c>
      <c r="E7704" s="20" t="s">
        <v>26300</v>
      </c>
      <c r="F7704" s="9" t="str">
        <f t="shared" si="113"/>
        <v>structure with developmental contribution from neural crest</v>
      </c>
      <c r="G7704" s="9" t="s">
        <v>5090</v>
      </c>
      <c r="H7704" s="9" t="s">
        <v>19845</v>
      </c>
      <c r="I7704" s="9" t="s">
        <v>13910</v>
      </c>
      <c r="J7704" s="9" t="s">
        <v>13911</v>
      </c>
      <c r="K7704" s="3" t="s">
        <v>15176</v>
      </c>
      <c r="L7704" s="13">
        <v>505</v>
      </c>
      <c r="M7704" t="str">
        <f>VLOOKUP(L7704,[1]Mouse_ARA!$B$2:$C$1328,2,FALSE)</f>
        <v>BSTdm</v>
      </c>
    </row>
    <row r="7705" spans="2:13" x14ac:dyDescent="0.25">
      <c r="B7705" s="31" t="s">
        <v>26303</v>
      </c>
      <c r="C7705" s="25" t="s">
        <v>1508</v>
      </c>
      <c r="D7705" s="25" t="s">
        <v>26232</v>
      </c>
      <c r="E7705" s="25"/>
      <c r="F7705" s="9" t="str">
        <f t="shared" si="113"/>
        <v>structure with developmental contribution from neural crest</v>
      </c>
      <c r="G7705" s="9" t="s">
        <v>5090</v>
      </c>
      <c r="H7705" s="9" t="s">
        <v>20758</v>
      </c>
      <c r="I7705" s="9" t="s">
        <v>1508</v>
      </c>
      <c r="J7705" s="9" t="s">
        <v>1510</v>
      </c>
      <c r="K7705" s="3" t="s">
        <v>15176</v>
      </c>
      <c r="L7705" s="13">
        <v>506</v>
      </c>
      <c r="M7705" t="str">
        <f>VLOOKUP(L7705,[1]Mouse_ARA!$B$2:$C$1328,2,FALSE)</f>
        <v>das</v>
      </c>
    </row>
    <row r="7706" spans="2:13" x14ac:dyDescent="0.25">
      <c r="B7706" s="31" t="s">
        <v>26303</v>
      </c>
      <c r="C7706" s="25" t="s">
        <v>26020</v>
      </c>
      <c r="D7706" s="25" t="s">
        <v>26232</v>
      </c>
      <c r="E7706" s="25" t="s">
        <v>26306</v>
      </c>
      <c r="F7706" s="9" t="str">
        <f t="shared" si="113"/>
        <v>structure with developmental contribution from neural crest</v>
      </c>
      <c r="G7706" s="9" t="s">
        <v>5090</v>
      </c>
      <c r="H7706" s="9" t="s">
        <v>19623</v>
      </c>
      <c r="I7706" s="9" t="s">
        <v>13912</v>
      </c>
      <c r="J7706" s="9" t="s">
        <v>13913</v>
      </c>
      <c r="K7706" s="3" t="s">
        <v>15176</v>
      </c>
      <c r="L7706" s="13">
        <v>508</v>
      </c>
      <c r="M7706" t="str">
        <f>VLOOKUP(L7706,[1]Mouse_ARA!$B$2:$C$1328,2,FALSE)</f>
        <v>ENTm2b</v>
      </c>
    </row>
    <row r="7707" spans="2:13" x14ac:dyDescent="0.25">
      <c r="B7707" s="31" t="s">
        <v>26303</v>
      </c>
      <c r="C7707" s="25" t="s">
        <v>14722</v>
      </c>
      <c r="D7707" s="25" t="s">
        <v>26232</v>
      </c>
      <c r="E7707" s="25"/>
      <c r="F7707" s="9" t="str">
        <f t="shared" si="113"/>
        <v>structure with developmental contribution from neural crest</v>
      </c>
      <c r="G7707" s="9" t="s">
        <v>5090</v>
      </c>
      <c r="H7707" s="9" t="s">
        <v>19673</v>
      </c>
      <c r="I7707" s="9" t="s">
        <v>13914</v>
      </c>
      <c r="J7707" s="9" t="s">
        <v>13915</v>
      </c>
      <c r="K7707" s="3" t="s">
        <v>15176</v>
      </c>
      <c r="L7707" s="13">
        <v>509</v>
      </c>
      <c r="M7707" t="str">
        <f>VLOOKUP(L7707,[1]Mouse_ARA!$B$2:$C$1328,2,FALSE)</f>
        <v>SUBd</v>
      </c>
    </row>
    <row r="7708" spans="2:13" x14ac:dyDescent="0.25">
      <c r="B7708" s="31" t="s">
        <v>26303</v>
      </c>
      <c r="C7708" s="25" t="s">
        <v>26173</v>
      </c>
      <c r="D7708" s="25" t="s">
        <v>26232</v>
      </c>
      <c r="E7708" s="25" t="s">
        <v>26306</v>
      </c>
      <c r="F7708" s="9" t="str">
        <f t="shared" si="113"/>
        <v>structure with developmental contribution from neural crest</v>
      </c>
      <c r="G7708" s="9" t="s">
        <v>5090</v>
      </c>
      <c r="H7708" s="9" t="s">
        <v>18784</v>
      </c>
      <c r="I7708" s="9" t="s">
        <v>13916</v>
      </c>
      <c r="J7708" s="9" t="s">
        <v>13917</v>
      </c>
      <c r="K7708" s="3" t="s">
        <v>15176</v>
      </c>
      <c r="L7708" s="13">
        <v>510</v>
      </c>
      <c r="M7708" t="str">
        <f>VLOOKUP(L7708,[1]Mouse_ARA!$B$2:$C$1328,2,FALSE)</f>
        <v>SSp-ll6b</v>
      </c>
    </row>
    <row r="7709" spans="2:13" x14ac:dyDescent="0.25">
      <c r="B7709" s="31" t="s">
        <v>26303</v>
      </c>
      <c r="C7709" s="25" t="s">
        <v>25943</v>
      </c>
      <c r="D7709" s="25" t="s">
        <v>26232</v>
      </c>
      <c r="E7709" s="20" t="s">
        <v>26300</v>
      </c>
      <c r="F7709" s="9" t="str">
        <f t="shared" si="113"/>
        <v>structure with developmental contribution from neural crest</v>
      </c>
      <c r="G7709" s="9" t="s">
        <v>5090</v>
      </c>
      <c r="H7709" s="9" t="s">
        <v>19847</v>
      </c>
      <c r="I7709" s="9" t="s">
        <v>2049</v>
      </c>
      <c r="J7709" s="9" t="s">
        <v>2050</v>
      </c>
      <c r="K7709" s="3" t="s">
        <v>15176</v>
      </c>
      <c r="L7709" s="13">
        <v>513</v>
      </c>
      <c r="M7709" t="str">
        <f>VLOOKUP(L7709,[1]Mouse_ARA!$B$2:$C$1328,2,FALSE)</f>
        <v>BSTfu</v>
      </c>
    </row>
    <row r="7710" spans="2:13" x14ac:dyDescent="0.25">
      <c r="B7710" s="31" t="s">
        <v>26299</v>
      </c>
      <c r="C7710" s="25" t="s">
        <v>26080</v>
      </c>
      <c r="D7710" s="25" t="s">
        <v>26232</v>
      </c>
      <c r="E7710" s="25" t="s">
        <v>26306</v>
      </c>
      <c r="F7710" s="9" t="str">
        <f t="shared" si="113"/>
        <v>structure with developmental contribution from neural crest</v>
      </c>
      <c r="G7710" s="9" t="s">
        <v>5090</v>
      </c>
      <c r="H7710" s="9" t="s">
        <v>19149</v>
      </c>
      <c r="I7710" s="9" t="s">
        <v>13918</v>
      </c>
      <c r="J7710" s="9" t="s">
        <v>13919</v>
      </c>
      <c r="K7710" s="3" t="s">
        <v>15176</v>
      </c>
      <c r="L7710" s="13">
        <v>516</v>
      </c>
      <c r="M7710" t="str">
        <f>VLOOKUP(L7710,[1]Mouse_ARA!$B$2:$C$1328,2,FALSE)</f>
        <v>ORB6b</v>
      </c>
    </row>
    <row r="7711" spans="2:13" x14ac:dyDescent="0.25">
      <c r="B7711" s="31" t="s">
        <v>26303</v>
      </c>
      <c r="C7711" s="20"/>
      <c r="D7711" s="25" t="s">
        <v>26232</v>
      </c>
      <c r="E7711" s="25" t="s">
        <v>26307</v>
      </c>
      <c r="F7711" s="9" t="str">
        <f t="shared" si="113"/>
        <v>structure with developmental contribution from neural crest</v>
      </c>
      <c r="G7711" s="9" t="s">
        <v>5090</v>
      </c>
      <c r="H7711" s="9" t="s">
        <v>19533</v>
      </c>
      <c r="I7711" s="9" t="s">
        <v>13920</v>
      </c>
      <c r="J7711" s="9" t="s">
        <v>13921</v>
      </c>
      <c r="K7711" s="3" t="s">
        <v>15176</v>
      </c>
      <c r="L7711" s="13">
        <v>517</v>
      </c>
      <c r="M7711" t="str">
        <f>VLOOKUP(L7711,[1]Mouse_ARA!$B$2:$C$1328,2,FALSE)</f>
        <v>TR1-3</v>
      </c>
    </row>
    <row r="7712" spans="2:13" x14ac:dyDescent="0.25">
      <c r="B7712" s="31" t="s">
        <v>26303</v>
      </c>
      <c r="C7712" s="25" t="s">
        <v>14722</v>
      </c>
      <c r="D7712" s="25" t="s">
        <v>26232</v>
      </c>
      <c r="E7712" s="25"/>
      <c r="F7712" s="9" t="str">
        <f t="shared" si="113"/>
        <v>structure with developmental contribution from neural crest</v>
      </c>
      <c r="G7712" s="9" t="s">
        <v>5090</v>
      </c>
      <c r="H7712" s="9" t="s">
        <v>19681</v>
      </c>
      <c r="I7712" s="9" t="s">
        <v>13922</v>
      </c>
      <c r="J7712" s="9" t="s">
        <v>13923</v>
      </c>
      <c r="K7712" s="3" t="s">
        <v>15176</v>
      </c>
      <c r="L7712" s="13">
        <v>518</v>
      </c>
      <c r="M7712" t="str">
        <f>VLOOKUP(L7712,[1]Mouse_ARA!$B$2:$C$1328,2,FALSE)</f>
        <v>SUBv</v>
      </c>
    </row>
    <row r="7713" spans="2:13" x14ac:dyDescent="0.25">
      <c r="B7713" s="37" t="s">
        <v>26303</v>
      </c>
      <c r="C7713" s="25" t="s">
        <v>25835</v>
      </c>
      <c r="D7713" s="25" t="s">
        <v>26232</v>
      </c>
      <c r="E7713" s="25"/>
      <c r="F7713" s="9" t="str">
        <f t="shared" si="113"/>
        <v>structure with developmental contribution from neural crest</v>
      </c>
      <c r="G7713" s="9" t="s">
        <v>5090</v>
      </c>
      <c r="H7713" s="9" t="s">
        <v>20712</v>
      </c>
      <c r="I7713" s="9" t="s">
        <v>1034</v>
      </c>
      <c r="J7713" s="9" t="s">
        <v>1036</v>
      </c>
      <c r="K7713" s="3" t="s">
        <v>15176</v>
      </c>
      <c r="L7713" s="13">
        <v>519</v>
      </c>
      <c r="M7713" t="str">
        <f>VLOOKUP(L7713,[1]Mouse_ARA!$B$2:$C$1328,2,FALSE)</f>
        <v>CBN</v>
      </c>
    </row>
    <row r="7714" spans="2:13" x14ac:dyDescent="0.25">
      <c r="B7714" s="31" t="s">
        <v>26303</v>
      </c>
      <c r="C7714" s="25" t="s">
        <v>25987</v>
      </c>
      <c r="D7714" s="25" t="s">
        <v>26232</v>
      </c>
      <c r="E7714" s="25" t="s">
        <v>26306</v>
      </c>
      <c r="F7714" s="9" t="str">
        <f t="shared" si="113"/>
        <v>structure with developmental contribution from neural crest</v>
      </c>
      <c r="G7714" s="9" t="s">
        <v>5090</v>
      </c>
      <c r="H7714" s="9" t="s">
        <v>19601</v>
      </c>
      <c r="I7714" s="9" t="s">
        <v>13924</v>
      </c>
      <c r="J7714" s="9" t="s">
        <v>13925</v>
      </c>
      <c r="K7714" s="3" t="s">
        <v>15176</v>
      </c>
      <c r="L7714" s="13">
        <v>52</v>
      </c>
      <c r="M7714" t="str">
        <f>VLOOKUP(L7714,[1]Mouse_ARA!$B$2:$C$1328,2,FALSE)</f>
        <v>ENTl3</v>
      </c>
    </row>
    <row r="7715" spans="2:13" x14ac:dyDescent="0.25">
      <c r="B7715" s="31" t="s">
        <v>26303</v>
      </c>
      <c r="C7715" s="25" t="s">
        <v>25802</v>
      </c>
      <c r="D7715" s="25" t="s">
        <v>26185</v>
      </c>
      <c r="E7715" s="25" t="s">
        <v>26307</v>
      </c>
      <c r="F7715" s="9" t="str">
        <f t="shared" si="113"/>
        <v>structure with developmental contribution from neural crest</v>
      </c>
      <c r="G7715" s="9" t="s">
        <v>5090</v>
      </c>
      <c r="H7715" s="9" t="s">
        <v>18952</v>
      </c>
      <c r="I7715" s="9" t="s">
        <v>13926</v>
      </c>
      <c r="J7715" s="9" t="s">
        <v>13927</v>
      </c>
      <c r="K7715" s="3" t="s">
        <v>15176</v>
      </c>
      <c r="L7715" s="13">
        <v>520</v>
      </c>
      <c r="M7715" t="str">
        <f>VLOOKUP(L7715,[1]Mouse_ARA!$B$2:$C$1328,2,FALSE)</f>
        <v>AUDv6a</v>
      </c>
    </row>
    <row r="7716" spans="2:13" x14ac:dyDescent="0.25">
      <c r="B7716" s="31" t="s">
        <v>26303</v>
      </c>
      <c r="C7716" s="25" t="s">
        <v>26009</v>
      </c>
      <c r="D7716" s="25" t="s">
        <v>26232</v>
      </c>
      <c r="E7716" s="20" t="s">
        <v>26300</v>
      </c>
      <c r="F7716" s="9" t="str">
        <f t="shared" si="113"/>
        <v>structure with developmental contribution from neural crest</v>
      </c>
      <c r="G7716" s="9" t="s">
        <v>5090</v>
      </c>
      <c r="H7716" s="9" t="s">
        <v>19851</v>
      </c>
      <c r="I7716" s="9" t="s">
        <v>2830</v>
      </c>
      <c r="J7716" s="9" t="s">
        <v>2831</v>
      </c>
      <c r="K7716" s="3" t="s">
        <v>15176</v>
      </c>
      <c r="L7716" s="13">
        <v>521</v>
      </c>
      <c r="M7716" t="str">
        <f>VLOOKUP(L7716,[1]Mouse_ARA!$B$2:$C$1328,2,FALSE)</f>
        <v>BSTmg</v>
      </c>
    </row>
    <row r="7717" spans="2:13" x14ac:dyDescent="0.25">
      <c r="B7717" s="31" t="s">
        <v>26299</v>
      </c>
      <c r="C7717" s="25" t="s">
        <v>26080</v>
      </c>
      <c r="D7717" s="25" t="s">
        <v>26232</v>
      </c>
      <c r="E7717" s="25" t="s">
        <v>26306</v>
      </c>
      <c r="F7717" s="9" t="str">
        <f t="shared" si="113"/>
        <v>structure with developmental contribution from neural crest</v>
      </c>
      <c r="G7717" s="9" t="s">
        <v>5090</v>
      </c>
      <c r="H7717" s="9" t="s">
        <v>19167</v>
      </c>
      <c r="I7717" s="9" t="s">
        <v>13928</v>
      </c>
      <c r="J7717" s="9" t="s">
        <v>13929</v>
      </c>
      <c r="K7717" s="3" t="s">
        <v>15176</v>
      </c>
      <c r="L7717" s="13">
        <v>524</v>
      </c>
      <c r="M7717" t="str">
        <f>VLOOKUP(L7717,[1]Mouse_ARA!$B$2:$C$1328,2,FALSE)</f>
        <v>ORBm2</v>
      </c>
    </row>
    <row r="7718" spans="2:13" x14ac:dyDescent="0.25">
      <c r="B7718" s="31" t="s">
        <v>26303</v>
      </c>
      <c r="C7718" s="25" t="s">
        <v>26020</v>
      </c>
      <c r="D7718" s="25" t="s">
        <v>26232</v>
      </c>
      <c r="E7718" s="25" t="s">
        <v>26306</v>
      </c>
      <c r="F7718" s="9" t="str">
        <f t="shared" si="113"/>
        <v>structure with developmental contribution from neural crest</v>
      </c>
      <c r="G7718" s="9" t="s">
        <v>5090</v>
      </c>
      <c r="H7718" s="9" t="s">
        <v>19617</v>
      </c>
      <c r="I7718" s="9" t="s">
        <v>13930</v>
      </c>
      <c r="J7718" s="9" t="s">
        <v>13931</v>
      </c>
      <c r="K7718" s="3" t="s">
        <v>15176</v>
      </c>
      <c r="L7718" s="13">
        <v>526</v>
      </c>
      <c r="M7718" t="str">
        <f>VLOOKUP(L7718,[1]Mouse_ARA!$B$2:$C$1328,2,FALSE)</f>
        <v>ENTm1</v>
      </c>
    </row>
    <row r="7719" spans="2:13" x14ac:dyDescent="0.25">
      <c r="B7719" s="31" t="s">
        <v>26303</v>
      </c>
      <c r="C7719" s="25" t="s">
        <v>1512</v>
      </c>
      <c r="D7719" s="25" t="s">
        <v>26185</v>
      </c>
      <c r="E7719" s="25" t="s">
        <v>26307</v>
      </c>
      <c r="F7719" s="9" t="str">
        <f t="shared" si="113"/>
        <v>structure with developmental contribution from neural crest</v>
      </c>
      <c r="G7719" s="9" t="s">
        <v>5090</v>
      </c>
      <c r="H7719" s="9" t="s">
        <v>18888</v>
      </c>
      <c r="I7719" s="9" t="s">
        <v>13932</v>
      </c>
      <c r="J7719" s="9" t="s">
        <v>13933</v>
      </c>
      <c r="K7719" s="3" t="s">
        <v>15176</v>
      </c>
      <c r="L7719" s="13">
        <v>527</v>
      </c>
      <c r="M7719" t="str">
        <f>VLOOKUP(L7719,[1]Mouse_ARA!$B$2:$C$1328,2,FALSE)</f>
        <v>AUDd1</v>
      </c>
    </row>
    <row r="7720" spans="2:13" x14ac:dyDescent="0.25">
      <c r="B7720" s="31" t="s">
        <v>26303</v>
      </c>
      <c r="C7720" s="25" t="s">
        <v>561</v>
      </c>
      <c r="D7720" s="25" t="s">
        <v>26232</v>
      </c>
      <c r="E7720" s="20" t="s">
        <v>26300</v>
      </c>
      <c r="F7720" s="9" t="str">
        <f t="shared" si="113"/>
        <v>structure with developmental contribution from neural crest</v>
      </c>
      <c r="G7720" s="9" t="s">
        <v>5090</v>
      </c>
      <c r="H7720" s="9" t="s">
        <v>19857</v>
      </c>
      <c r="I7720" s="9" t="s">
        <v>13934</v>
      </c>
      <c r="J7720" s="9" t="s">
        <v>13935</v>
      </c>
      <c r="K7720" s="3" t="s">
        <v>15176</v>
      </c>
      <c r="L7720" s="13">
        <v>529</v>
      </c>
      <c r="M7720" t="str">
        <f>VLOOKUP(L7720,[1]Mouse_ARA!$B$2:$C$1328,2,FALSE)</f>
        <v>BSTv</v>
      </c>
    </row>
    <row r="7721" spans="2:13" x14ac:dyDescent="0.25">
      <c r="B7721" s="31" t="s">
        <v>26303</v>
      </c>
      <c r="C7721" s="25" t="s">
        <v>26076</v>
      </c>
      <c r="D7721" s="25" t="s">
        <v>26232</v>
      </c>
      <c r="E7721" s="25"/>
      <c r="F7721" s="9" t="str">
        <f t="shared" si="113"/>
        <v>structure with developmental contribution from neural crest</v>
      </c>
      <c r="G7721" s="9" t="s">
        <v>5090</v>
      </c>
      <c r="H7721" s="9" t="s">
        <v>20437</v>
      </c>
      <c r="I7721" s="9" t="s">
        <v>13936</v>
      </c>
      <c r="J7721" s="9" t="s">
        <v>13937</v>
      </c>
      <c r="K7721" s="3" t="s">
        <v>15176</v>
      </c>
      <c r="L7721" s="13">
        <v>53</v>
      </c>
      <c r="M7721" t="str">
        <f>VLOOKUP(L7721,[1]Mouse_ARA!$B$2:$C$1328,2,FALSE)</f>
        <v>SPVOmdmd</v>
      </c>
    </row>
    <row r="7722" spans="2:13" x14ac:dyDescent="0.25">
      <c r="B7722" s="31" t="s">
        <v>26303</v>
      </c>
      <c r="C7722" s="25" t="s">
        <v>3973</v>
      </c>
      <c r="D7722" s="25" t="s">
        <v>26232</v>
      </c>
      <c r="E7722" s="25" t="s">
        <v>26306</v>
      </c>
      <c r="F7722" s="9" t="str">
        <f t="shared" si="113"/>
        <v>structure with developmental contribution from neural crest</v>
      </c>
      <c r="G7722" s="9" t="s">
        <v>5090</v>
      </c>
      <c r="H7722" s="9" t="s">
        <v>19314</v>
      </c>
      <c r="I7722" s="9" t="s">
        <v>13938</v>
      </c>
      <c r="J7722" s="9" t="s">
        <v>13939</v>
      </c>
      <c r="K7722" s="3" t="s">
        <v>15176</v>
      </c>
      <c r="L7722" s="13">
        <v>532</v>
      </c>
      <c r="M7722" t="str">
        <f>VLOOKUP(L7722,[1]Mouse_ARA!$B$2:$C$1328,2,FALSE)</f>
        <v>PTLp1</v>
      </c>
    </row>
    <row r="7723" spans="2:13" x14ac:dyDescent="0.25">
      <c r="B7723" s="31" t="s">
        <v>26303</v>
      </c>
      <c r="C7723" s="20"/>
      <c r="D7723" s="25" t="s">
        <v>26185</v>
      </c>
      <c r="E7723" s="25" t="s">
        <v>26300</v>
      </c>
      <c r="F7723" s="9" t="str">
        <f t="shared" si="113"/>
        <v>structure with developmental contribution from neural crest</v>
      </c>
      <c r="G7723" s="9" t="s">
        <v>5090</v>
      </c>
      <c r="H7723" s="9" t="s">
        <v>20357</v>
      </c>
      <c r="I7723" s="9" t="s">
        <v>10355</v>
      </c>
      <c r="J7723" s="9" t="s">
        <v>13940</v>
      </c>
      <c r="K7723" s="3" t="s">
        <v>15176</v>
      </c>
      <c r="L7723" s="13">
        <v>534</v>
      </c>
      <c r="M7723" t="str">
        <f>VLOOKUP(L7723,[1]Mouse_ARA!$B$2:$C$1328,2,FALSE)</f>
        <v>SUT</v>
      </c>
    </row>
    <row r="7724" spans="2:13" x14ac:dyDescent="0.25">
      <c r="B7724" s="31" t="s">
        <v>26303</v>
      </c>
      <c r="C7724" s="20"/>
      <c r="D7724" s="25" t="s">
        <v>26232</v>
      </c>
      <c r="E7724" s="25" t="s">
        <v>26306</v>
      </c>
      <c r="F7724" s="9" t="str">
        <f t="shared" si="113"/>
        <v>structure with developmental contribution from neural crest</v>
      </c>
      <c r="G7724" s="9" t="s">
        <v>5090</v>
      </c>
      <c r="H7724" s="9" t="s">
        <v>19457</v>
      </c>
      <c r="I7724" s="9" t="s">
        <v>13941</v>
      </c>
      <c r="J7724" s="9" t="s">
        <v>13942</v>
      </c>
      <c r="K7724" s="3" t="s">
        <v>15176</v>
      </c>
      <c r="L7724" s="13">
        <v>535</v>
      </c>
      <c r="M7724" t="str">
        <f>VLOOKUP(L7724,[1]Mouse_ARA!$B$2:$C$1328,2,FALSE)</f>
        <v>DP2</v>
      </c>
    </row>
    <row r="7725" spans="2:13" x14ac:dyDescent="0.25">
      <c r="B7725" s="31" t="s">
        <v>26303</v>
      </c>
      <c r="C7725" s="25" t="s">
        <v>920</v>
      </c>
      <c r="D7725" s="25" t="s">
        <v>26232</v>
      </c>
      <c r="E7725" s="25"/>
      <c r="F7725" s="9" t="str">
        <f t="shared" si="113"/>
        <v>structure with developmental contribution from neural crest</v>
      </c>
      <c r="G7725" s="9" t="s">
        <v>5090</v>
      </c>
      <c r="H7725" s="9" t="s">
        <v>19787</v>
      </c>
      <c r="I7725" s="9" t="s">
        <v>918</v>
      </c>
      <c r="J7725" s="9" t="s">
        <v>919</v>
      </c>
      <c r="K7725" s="3" t="s">
        <v>15176</v>
      </c>
      <c r="L7725" s="13">
        <v>536</v>
      </c>
      <c r="M7725" t="str">
        <f>VLOOKUP(L7725,[1]Mouse_ARA!$B$2:$C$1328,2,FALSE)</f>
        <v>CEA</v>
      </c>
    </row>
    <row r="7726" spans="2:13" x14ac:dyDescent="0.25">
      <c r="B7726" s="31" t="s">
        <v>26303</v>
      </c>
      <c r="C7726" s="25" t="s">
        <v>561</v>
      </c>
      <c r="D7726" s="25" t="s">
        <v>26232</v>
      </c>
      <c r="E7726" s="20" t="s">
        <v>26300</v>
      </c>
      <c r="F7726" s="9" t="str">
        <f t="shared" si="113"/>
        <v>structure with developmental contribution from neural crest</v>
      </c>
      <c r="G7726" s="9" t="s">
        <v>5090</v>
      </c>
      <c r="H7726" s="9" t="s">
        <v>19841</v>
      </c>
      <c r="I7726" s="9" t="s">
        <v>13943</v>
      </c>
      <c r="J7726" s="9" t="s">
        <v>13944</v>
      </c>
      <c r="K7726" s="3" t="s">
        <v>15176</v>
      </c>
      <c r="L7726" s="13">
        <v>537</v>
      </c>
      <c r="M7726" t="str">
        <f>VLOOKUP(L7726,[1]Mouse_ARA!$B$2:$C$1328,2,FALSE)</f>
        <v>BSTal</v>
      </c>
    </row>
    <row r="7727" spans="2:13" x14ac:dyDescent="0.25">
      <c r="B7727" s="31" t="s">
        <v>26303</v>
      </c>
      <c r="C7727" s="25" t="s">
        <v>3815</v>
      </c>
      <c r="D7727" s="25" t="s">
        <v>26232</v>
      </c>
      <c r="E7727" s="25" t="s">
        <v>26306</v>
      </c>
      <c r="F7727" s="9" t="str">
        <f t="shared" si="113"/>
        <v>structure with developmental contribution from neural crest</v>
      </c>
      <c r="G7727" s="9" t="s">
        <v>5090</v>
      </c>
      <c r="H7727" s="9" t="s">
        <v>19370</v>
      </c>
      <c r="I7727" s="9" t="s">
        <v>13945</v>
      </c>
      <c r="J7727" s="9" t="s">
        <v>13946</v>
      </c>
      <c r="K7727" s="3" t="s">
        <v>15176</v>
      </c>
      <c r="L7727" s="13">
        <v>540</v>
      </c>
      <c r="M7727" t="str">
        <f>VLOOKUP(L7727,[1]Mouse_ARA!$B$2:$C$1328,2,FALSE)</f>
        <v>PERI1</v>
      </c>
    </row>
    <row r="7728" spans="2:13" x14ac:dyDescent="0.25">
      <c r="B7728" s="31" t="s">
        <v>26299</v>
      </c>
      <c r="C7728" s="25" t="s">
        <v>26189</v>
      </c>
      <c r="D7728" s="25" t="s">
        <v>26232</v>
      </c>
      <c r="E7728" s="25" t="s">
        <v>26306</v>
      </c>
      <c r="F7728" s="9" t="str">
        <f t="shared" si="113"/>
        <v>structure with developmental contribution from neural crest</v>
      </c>
      <c r="G7728" s="9" t="s">
        <v>5090</v>
      </c>
      <c r="H7728" s="9" t="s">
        <v>19300</v>
      </c>
      <c r="I7728" s="9" t="s">
        <v>13947</v>
      </c>
      <c r="J7728" s="9" t="s">
        <v>13948</v>
      </c>
      <c r="K7728" s="3" t="s">
        <v>15176</v>
      </c>
      <c r="L7728" s="13">
        <v>542</v>
      </c>
      <c r="M7728" t="str">
        <f>VLOOKUP(L7728,[1]Mouse_ARA!$B$2:$C$1328,2,FALSE)</f>
        <v>RSPv1</v>
      </c>
    </row>
    <row r="7729" spans="2:13" x14ac:dyDescent="0.25">
      <c r="B7729" s="31" t="s">
        <v>26303</v>
      </c>
      <c r="C7729" s="25" t="s">
        <v>26020</v>
      </c>
      <c r="D7729" s="25" t="s">
        <v>26232</v>
      </c>
      <c r="E7729" s="25" t="s">
        <v>26306</v>
      </c>
      <c r="F7729" s="9" t="str">
        <f t="shared" si="113"/>
        <v>structure with developmental contribution from neural crest</v>
      </c>
      <c r="G7729" s="9" t="s">
        <v>5090</v>
      </c>
      <c r="H7729" s="9" t="s">
        <v>19619</v>
      </c>
      <c r="I7729" s="9" t="s">
        <v>13949</v>
      </c>
      <c r="J7729" s="9" t="s">
        <v>13950</v>
      </c>
      <c r="K7729" s="3" t="s">
        <v>15176</v>
      </c>
      <c r="L7729" s="13">
        <v>543</v>
      </c>
      <c r="M7729" t="str">
        <f>VLOOKUP(L7729,[1]Mouse_ARA!$B$2:$C$1328,2,FALSE)</f>
        <v>ENTm2</v>
      </c>
    </row>
    <row r="7730" spans="2:13" x14ac:dyDescent="0.25">
      <c r="B7730" s="31" t="s">
        <v>26303</v>
      </c>
      <c r="C7730" s="25" t="s">
        <v>920</v>
      </c>
      <c r="D7730" s="25" t="s">
        <v>26232</v>
      </c>
      <c r="E7730" s="25"/>
      <c r="F7730" s="9" t="str">
        <f t="shared" si="113"/>
        <v>structure with developmental contribution from neural crest</v>
      </c>
      <c r="G7730" s="9" t="s">
        <v>5090</v>
      </c>
      <c r="H7730" s="9" t="s">
        <v>19789</v>
      </c>
      <c r="I7730" s="9" t="s">
        <v>9603</v>
      </c>
      <c r="J7730" s="9" t="s">
        <v>13951</v>
      </c>
      <c r="K7730" s="3" t="s">
        <v>15176</v>
      </c>
      <c r="L7730" s="13">
        <v>544</v>
      </c>
      <c r="M7730" t="str">
        <f>VLOOKUP(L7730,[1]Mouse_ARA!$B$2:$C$1328,2,FALSE)</f>
        <v>CEAc</v>
      </c>
    </row>
    <row r="7731" spans="2:13" x14ac:dyDescent="0.25">
      <c r="B7731" s="31" t="s">
        <v>26299</v>
      </c>
      <c r="C7731" s="25" t="s">
        <v>26190</v>
      </c>
      <c r="D7731" s="25" t="s">
        <v>26232</v>
      </c>
      <c r="E7731" s="25" t="s">
        <v>26306</v>
      </c>
      <c r="F7731" s="9" t="str">
        <f t="shared" si="113"/>
        <v>structure with developmental contribution from neural crest</v>
      </c>
      <c r="G7731" s="9" t="s">
        <v>5090</v>
      </c>
      <c r="H7731" s="9" t="s">
        <v>19290</v>
      </c>
      <c r="I7731" s="9" t="s">
        <v>13952</v>
      </c>
      <c r="J7731" s="9" t="s">
        <v>13953</v>
      </c>
      <c r="K7731" s="3" t="s">
        <v>15176</v>
      </c>
      <c r="L7731" s="13">
        <v>545</v>
      </c>
      <c r="M7731" t="str">
        <f>VLOOKUP(L7731,[1]Mouse_ARA!$B$2:$C$1328,2,FALSE)</f>
        <v>RSPd4</v>
      </c>
    </row>
    <row r="7732" spans="2:13" x14ac:dyDescent="0.25">
      <c r="B7732" s="31" t="s">
        <v>26303</v>
      </c>
      <c r="C7732" s="25" t="s">
        <v>561</v>
      </c>
      <c r="D7732" s="25" t="s">
        <v>26232</v>
      </c>
      <c r="E7732" s="20" t="s">
        <v>26300</v>
      </c>
      <c r="F7732" s="9" t="str">
        <f t="shared" si="113"/>
        <v>structure with developmental contribution from neural crest</v>
      </c>
      <c r="G7732" s="9" t="s">
        <v>5090</v>
      </c>
      <c r="H7732" s="9" t="s">
        <v>19849</v>
      </c>
      <c r="I7732" s="9" t="s">
        <v>13954</v>
      </c>
      <c r="J7732" s="9" t="s">
        <v>13955</v>
      </c>
      <c r="K7732" s="3" t="s">
        <v>15176</v>
      </c>
      <c r="L7732" s="13">
        <v>546</v>
      </c>
      <c r="M7732" t="str">
        <f>VLOOKUP(L7732,[1]Mouse_ARA!$B$2:$C$1328,2,FALSE)</f>
        <v>BSTju</v>
      </c>
    </row>
    <row r="7733" spans="2:13" x14ac:dyDescent="0.25">
      <c r="B7733" s="31" t="s">
        <v>26303</v>
      </c>
      <c r="C7733" s="25" t="s">
        <v>26020</v>
      </c>
      <c r="D7733" s="25" t="s">
        <v>26232</v>
      </c>
      <c r="E7733" s="25" t="s">
        <v>26306</v>
      </c>
      <c r="F7733" s="9" t="str">
        <f t="shared" si="113"/>
        <v>structure with developmental contribution from neural crest</v>
      </c>
      <c r="G7733" s="9" t="s">
        <v>5090</v>
      </c>
      <c r="H7733" s="9" t="s">
        <v>19631</v>
      </c>
      <c r="I7733" s="9" t="s">
        <v>13956</v>
      </c>
      <c r="J7733" s="9" t="s">
        <v>13957</v>
      </c>
      <c r="K7733" s="3" t="s">
        <v>15176</v>
      </c>
      <c r="L7733" s="13">
        <v>550</v>
      </c>
      <c r="M7733" t="str">
        <f>VLOOKUP(L7733,[1]Mouse_ARA!$B$2:$C$1328,2,FALSE)</f>
        <v>ENTm5/6</v>
      </c>
    </row>
    <row r="7734" spans="2:13" x14ac:dyDescent="0.25">
      <c r="B7734" s="31" t="s">
        <v>26303</v>
      </c>
      <c r="C7734" s="25" t="s">
        <v>920</v>
      </c>
      <c r="D7734" s="25" t="s">
        <v>26232</v>
      </c>
      <c r="E7734" s="25"/>
      <c r="F7734" s="9" t="str">
        <f t="shared" si="113"/>
        <v>structure with developmental contribution from neural crest</v>
      </c>
      <c r="G7734" s="9" t="s">
        <v>5090</v>
      </c>
      <c r="H7734" s="9" t="s">
        <v>19791</v>
      </c>
      <c r="I7734" s="9" t="s">
        <v>9601</v>
      </c>
      <c r="J7734" s="9" t="s">
        <v>13958</v>
      </c>
      <c r="K7734" s="3" t="s">
        <v>15176</v>
      </c>
      <c r="L7734" s="13">
        <v>551</v>
      </c>
      <c r="M7734" t="str">
        <f>VLOOKUP(L7734,[1]Mouse_ARA!$B$2:$C$1328,2,FALSE)</f>
        <v>CEAl</v>
      </c>
    </row>
    <row r="7735" spans="2:13" x14ac:dyDescent="0.25">
      <c r="B7735" s="37" t="s">
        <v>26303</v>
      </c>
      <c r="C7735" s="25" t="s">
        <v>26144</v>
      </c>
      <c r="D7735" s="25" t="s">
        <v>26232</v>
      </c>
      <c r="E7735" s="25"/>
      <c r="F7735" s="9" t="str">
        <f t="shared" ref="F7735:F7798" si="114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7735" s="9" t="s">
        <v>5090</v>
      </c>
      <c r="H7735" s="9" t="s">
        <v>20806</v>
      </c>
      <c r="I7735" s="9" t="s">
        <v>3992</v>
      </c>
      <c r="J7735" s="9" t="s">
        <v>3995</v>
      </c>
      <c r="K7735" s="3" t="s">
        <v>15176</v>
      </c>
      <c r="L7735" s="13">
        <v>553</v>
      </c>
      <c r="M7735" t="str">
        <f>VLOOKUP(L7735,[1]Mouse_ARA!$B$2:$C$1328,2,FALSE)</f>
        <v>sctd</v>
      </c>
    </row>
    <row r="7736" spans="2:13" x14ac:dyDescent="0.25">
      <c r="B7736" s="31" t="s">
        <v>26303</v>
      </c>
      <c r="C7736" s="25" t="s">
        <v>561</v>
      </c>
      <c r="D7736" s="25" t="s">
        <v>26232</v>
      </c>
      <c r="E7736" s="20" t="s">
        <v>26300</v>
      </c>
      <c r="F7736" s="9" t="str">
        <f t="shared" si="114"/>
        <v>structure with developmental contribution from neural crest</v>
      </c>
      <c r="G7736" s="9" t="s">
        <v>5090</v>
      </c>
      <c r="H7736" s="9" t="s">
        <v>19853</v>
      </c>
      <c r="I7736" s="9" t="s">
        <v>3542</v>
      </c>
      <c r="J7736" s="9" t="s">
        <v>3543</v>
      </c>
      <c r="K7736" s="3" t="s">
        <v>15176</v>
      </c>
      <c r="L7736" s="13">
        <v>554</v>
      </c>
      <c r="M7736" t="str">
        <f>VLOOKUP(L7736,[1]Mouse_ARA!$B$2:$C$1328,2,FALSE)</f>
        <v>BSTov</v>
      </c>
    </row>
    <row r="7737" spans="2:13" x14ac:dyDescent="0.25">
      <c r="B7737" s="31" t="s">
        <v>26303</v>
      </c>
      <c r="C7737" s="20"/>
      <c r="D7737" s="25" t="s">
        <v>26232</v>
      </c>
      <c r="E7737" s="25" t="s">
        <v>26307</v>
      </c>
      <c r="F7737" s="9" t="str">
        <f t="shared" si="114"/>
        <v>structure with developmental contribution from neural crest</v>
      </c>
      <c r="G7737" s="9" t="s">
        <v>5090</v>
      </c>
      <c r="H7737" s="9" t="s">
        <v>19131</v>
      </c>
      <c r="I7737" s="9" t="s">
        <v>13959</v>
      </c>
      <c r="J7737" s="9" t="s">
        <v>13960</v>
      </c>
      <c r="K7737" s="3" t="s">
        <v>15176</v>
      </c>
      <c r="L7737" s="13">
        <v>556</v>
      </c>
      <c r="M7737" t="str">
        <f>VLOOKUP(L7737,[1]Mouse_ARA!$B$2:$C$1328,2,FALSE)</f>
        <v>ILA2/3</v>
      </c>
    </row>
    <row r="7738" spans="2:13" x14ac:dyDescent="0.25">
      <c r="B7738" s="31" t="s">
        <v>26303</v>
      </c>
      <c r="C7738" s="25" t="s">
        <v>26173</v>
      </c>
      <c r="D7738" s="25" t="s">
        <v>26232</v>
      </c>
      <c r="E7738" s="25" t="s">
        <v>26306</v>
      </c>
      <c r="F7738" s="9" t="str">
        <f t="shared" si="114"/>
        <v>structure with developmental contribution from neural crest</v>
      </c>
      <c r="G7738" s="9" t="s">
        <v>5090</v>
      </c>
      <c r="H7738" s="9" t="s">
        <v>18732</v>
      </c>
      <c r="I7738" s="9" t="s">
        <v>13961</v>
      </c>
      <c r="J7738" s="9" t="s">
        <v>13962</v>
      </c>
      <c r="K7738" s="3" t="s">
        <v>15176</v>
      </c>
      <c r="L7738" s="13">
        <v>558</v>
      </c>
      <c r="M7738" t="str">
        <f>VLOOKUP(L7738,[1]Mouse_ARA!$B$2:$C$1328,2,FALSE)</f>
        <v>SSp-n1</v>
      </c>
    </row>
    <row r="7739" spans="2:13" x14ac:dyDescent="0.25">
      <c r="B7739" s="31" t="s">
        <v>26303</v>
      </c>
      <c r="C7739" s="25" t="s">
        <v>920</v>
      </c>
      <c r="D7739" s="25" t="s">
        <v>26232</v>
      </c>
      <c r="E7739" s="25"/>
      <c r="F7739" s="9" t="str">
        <f t="shared" si="114"/>
        <v>structure with developmental contribution from neural crest</v>
      </c>
      <c r="G7739" s="9" t="s">
        <v>5090</v>
      </c>
      <c r="H7739" s="9" t="s">
        <v>19793</v>
      </c>
      <c r="I7739" s="9" t="s">
        <v>13963</v>
      </c>
      <c r="J7739" s="9" t="s">
        <v>13964</v>
      </c>
      <c r="K7739" s="3" t="s">
        <v>15176</v>
      </c>
      <c r="L7739" s="13">
        <v>559</v>
      </c>
      <c r="M7739" t="str">
        <f>VLOOKUP(L7739,[1]Mouse_ARA!$B$2:$C$1328,2,FALSE)</f>
        <v>CEAm</v>
      </c>
    </row>
    <row r="7740" spans="2:13" x14ac:dyDescent="0.25">
      <c r="B7740" s="31" t="s">
        <v>26303</v>
      </c>
      <c r="C7740" s="25" t="s">
        <v>3239</v>
      </c>
      <c r="D7740" s="25" t="s">
        <v>26232</v>
      </c>
      <c r="E7740" s="25"/>
      <c r="F7740" s="9" t="str">
        <f t="shared" si="114"/>
        <v>structure with developmental contribution from neural crest</v>
      </c>
      <c r="G7740" s="9" t="s">
        <v>5090</v>
      </c>
      <c r="H7740" s="9" t="s">
        <v>19748</v>
      </c>
      <c r="I7740" s="9" t="s">
        <v>3239</v>
      </c>
      <c r="J7740" s="9" t="s">
        <v>3242</v>
      </c>
      <c r="K7740" s="3" t="s">
        <v>15176</v>
      </c>
      <c r="L7740" s="13">
        <v>56</v>
      </c>
      <c r="M7740" t="str">
        <f>VLOOKUP(L7740,[1]Mouse_ARA!$B$2:$C$1328,2,FALSE)</f>
        <v>ACB</v>
      </c>
    </row>
    <row r="7741" spans="2:13" x14ac:dyDescent="0.25">
      <c r="B7741" s="31" t="s">
        <v>26303</v>
      </c>
      <c r="C7741" s="20"/>
      <c r="D7741" s="25" t="s">
        <v>26185</v>
      </c>
      <c r="E7741" s="25" t="s">
        <v>26300</v>
      </c>
      <c r="F7741" s="9" t="str">
        <f t="shared" si="114"/>
        <v>structure with developmental contribution from neural crest</v>
      </c>
      <c r="G7741" s="9" t="s">
        <v>5090</v>
      </c>
      <c r="H7741" s="9" t="s">
        <v>20401</v>
      </c>
      <c r="I7741" s="9" t="s">
        <v>13965</v>
      </c>
      <c r="J7741" s="9" t="s">
        <v>13966</v>
      </c>
      <c r="K7741" s="3" t="s">
        <v>15176</v>
      </c>
      <c r="L7741" s="13">
        <v>560</v>
      </c>
      <c r="M7741" t="str">
        <f>VLOOKUP(L7741,[1]Mouse_ARA!$B$2:$C$1328,2,FALSE)</f>
        <v>CNspg</v>
      </c>
    </row>
    <row r="7742" spans="2:13" x14ac:dyDescent="0.25">
      <c r="B7742" s="31" t="s">
        <v>26303</v>
      </c>
      <c r="C7742" s="25" t="s">
        <v>26288</v>
      </c>
      <c r="D7742" s="25" t="s">
        <v>26232</v>
      </c>
      <c r="E7742" s="25" t="s">
        <v>26306</v>
      </c>
      <c r="F7742" s="9" t="str">
        <f t="shared" si="114"/>
        <v>structure with developmental contribution from neural crest</v>
      </c>
      <c r="G7742" s="9" t="s">
        <v>5090</v>
      </c>
      <c r="H7742" s="9" t="s">
        <v>18960</v>
      </c>
      <c r="I7742" s="9" t="s">
        <v>13967</v>
      </c>
      <c r="J7742" s="9" t="s">
        <v>13968</v>
      </c>
      <c r="K7742" s="3" t="s">
        <v>15176</v>
      </c>
      <c r="L7742" s="13">
        <v>561</v>
      </c>
      <c r="M7742" t="str">
        <f>VLOOKUP(L7742,[1]Mouse_ARA!$B$2:$C$1328,2,FALSE)</f>
        <v>VIS2/3</v>
      </c>
    </row>
    <row r="7743" spans="2:13" x14ac:dyDescent="0.25">
      <c r="B7743" s="31" t="s">
        <v>26303</v>
      </c>
      <c r="C7743" s="25" t="s">
        <v>561</v>
      </c>
      <c r="D7743" s="25" t="s">
        <v>26232</v>
      </c>
      <c r="E7743" s="20" t="s">
        <v>26300</v>
      </c>
      <c r="F7743" s="9" t="str">
        <f t="shared" si="114"/>
        <v>structure with developmental contribution from neural crest</v>
      </c>
      <c r="G7743" s="9" t="s">
        <v>5090</v>
      </c>
      <c r="H7743" s="9" t="s">
        <v>19855</v>
      </c>
      <c r="I7743" s="9" t="s">
        <v>13969</v>
      </c>
      <c r="J7743" s="9" t="s">
        <v>13970</v>
      </c>
      <c r="K7743" s="3" t="s">
        <v>15176</v>
      </c>
      <c r="L7743" s="13">
        <v>562</v>
      </c>
      <c r="M7743" t="str">
        <f>VLOOKUP(L7743,[1]Mouse_ARA!$B$2:$C$1328,2,FALSE)</f>
        <v>BSTrh</v>
      </c>
    </row>
    <row r="7744" spans="2:13" x14ac:dyDescent="0.25">
      <c r="B7744" s="31" t="s">
        <v>26303</v>
      </c>
      <c r="C7744" s="25" t="s">
        <v>3024</v>
      </c>
      <c r="D7744" s="25" t="s">
        <v>26232</v>
      </c>
      <c r="E7744" s="25"/>
      <c r="F7744" s="9" t="str">
        <f t="shared" si="114"/>
        <v>structure with developmental contribution from neural crest</v>
      </c>
      <c r="G7744" s="9" t="s">
        <v>5090</v>
      </c>
      <c r="H7744" s="9" t="s">
        <v>15547</v>
      </c>
      <c r="I7744" s="9" t="s">
        <v>3024</v>
      </c>
      <c r="J7744" s="9" t="s">
        <v>3029</v>
      </c>
      <c r="K7744" s="3" t="s">
        <v>15176</v>
      </c>
      <c r="L7744" s="13">
        <v>564</v>
      </c>
      <c r="M7744" t="str">
        <f>VLOOKUP(L7744,[1]Mouse_ARA!$B$2:$C$1328,2,FALSE)</f>
        <v>MS</v>
      </c>
    </row>
    <row r="7745" spans="2:13" x14ac:dyDescent="0.25">
      <c r="B7745" s="31" t="s">
        <v>26303</v>
      </c>
      <c r="C7745" s="25" t="s">
        <v>4024</v>
      </c>
      <c r="D7745" s="25" t="s">
        <v>26232</v>
      </c>
      <c r="E7745" s="25" t="s">
        <v>26306</v>
      </c>
      <c r="F7745" s="9" t="str">
        <f t="shared" si="114"/>
        <v>structure with developmental contribution from neural crest</v>
      </c>
      <c r="G7745" s="9" t="s">
        <v>5090</v>
      </c>
      <c r="H7745" s="9" t="s">
        <v>19044</v>
      </c>
      <c r="I7745" s="9" t="s">
        <v>13971</v>
      </c>
      <c r="J7745" s="9" t="s">
        <v>13972</v>
      </c>
      <c r="K7745" s="3" t="s">
        <v>15176</v>
      </c>
      <c r="L7745" s="13">
        <v>565</v>
      </c>
      <c r="M7745" t="str">
        <f>VLOOKUP(L7745,[1]Mouse_ARA!$B$2:$C$1328,2,FALSE)</f>
        <v>VISpm5</v>
      </c>
    </row>
    <row r="7746" spans="2:13" x14ac:dyDescent="0.25">
      <c r="B7746" s="31" t="s">
        <v>26303</v>
      </c>
      <c r="C7746" s="20"/>
      <c r="D7746" s="25" t="s">
        <v>26232</v>
      </c>
      <c r="E7746" s="25" t="s">
        <v>26300</v>
      </c>
      <c r="F7746" s="9" t="str">
        <f t="shared" si="114"/>
        <v>structure with developmental contribution from neural crest</v>
      </c>
      <c r="G7746" s="9" t="s">
        <v>5090</v>
      </c>
      <c r="H7746" s="9" t="s">
        <v>19531</v>
      </c>
      <c r="I7746" s="9" t="s">
        <v>13973</v>
      </c>
      <c r="J7746" s="9" t="s">
        <v>13974</v>
      </c>
      <c r="K7746" s="3" t="s">
        <v>15176</v>
      </c>
      <c r="L7746" s="13">
        <v>566</v>
      </c>
      <c r="M7746" t="str">
        <f>VLOOKUP(L7746,[1]Mouse_ARA!$B$2:$C$1328,2,FALSE)</f>
        <v>TR</v>
      </c>
    </row>
    <row r="7747" spans="2:13" x14ac:dyDescent="0.25">
      <c r="B7747" s="31" t="s">
        <v>26303</v>
      </c>
      <c r="C7747" s="25" t="s">
        <v>561</v>
      </c>
      <c r="D7747" s="25" t="s">
        <v>26232</v>
      </c>
      <c r="E7747" s="20" t="s">
        <v>26300</v>
      </c>
      <c r="F7747" s="9" t="str">
        <f t="shared" si="114"/>
        <v>structure with developmental contribution from neural crest</v>
      </c>
      <c r="G7747" s="9" t="s">
        <v>5090</v>
      </c>
      <c r="H7747" s="9" t="s">
        <v>19861</v>
      </c>
      <c r="I7747" s="9" t="s">
        <v>13975</v>
      </c>
      <c r="J7747" s="9" t="s">
        <v>13976</v>
      </c>
      <c r="K7747" s="3" t="s">
        <v>15176</v>
      </c>
      <c r="L7747" s="13">
        <v>569</v>
      </c>
      <c r="M7747" t="str">
        <f>VLOOKUP(L7747,[1]Mouse_ARA!$B$2:$C$1328,2,FALSE)</f>
        <v>BSTd</v>
      </c>
    </row>
    <row r="7748" spans="2:13" x14ac:dyDescent="0.25">
      <c r="B7748" s="31" t="s">
        <v>26299</v>
      </c>
      <c r="C7748" s="25" t="s">
        <v>25746</v>
      </c>
      <c r="D7748" s="25" t="s">
        <v>26232</v>
      </c>
      <c r="E7748" s="25" t="s">
        <v>26306</v>
      </c>
      <c r="F7748" s="9" t="str">
        <f t="shared" si="114"/>
        <v>structure with developmental contribution from neural crest</v>
      </c>
      <c r="G7748" s="9" t="s">
        <v>5090</v>
      </c>
      <c r="H7748" s="9" t="s">
        <v>19077</v>
      </c>
      <c r="I7748" s="9" t="s">
        <v>13977</v>
      </c>
      <c r="J7748" s="9" t="s">
        <v>13978</v>
      </c>
      <c r="K7748" s="3" t="s">
        <v>15176</v>
      </c>
      <c r="L7748" s="13">
        <v>572</v>
      </c>
      <c r="M7748" t="str">
        <f>VLOOKUP(L7748,[1]Mouse_ARA!$B$2:$C$1328,2,FALSE)</f>
        <v>ACA1</v>
      </c>
    </row>
    <row r="7749" spans="2:13" x14ac:dyDescent="0.25">
      <c r="B7749" s="31" t="s">
        <v>26303</v>
      </c>
      <c r="C7749" s="25" t="s">
        <v>3298</v>
      </c>
      <c r="D7749" s="25" t="s">
        <v>26232</v>
      </c>
      <c r="E7749" s="25"/>
      <c r="F7749" s="9" t="str">
        <f t="shared" si="114"/>
        <v>structure with developmental contribution from neural crest</v>
      </c>
      <c r="G7749" s="9" t="s">
        <v>5090</v>
      </c>
      <c r="H7749" s="9" t="s">
        <v>20359</v>
      </c>
      <c r="I7749" s="9" t="s">
        <v>4703</v>
      </c>
      <c r="J7749" s="9" t="s">
        <v>4704</v>
      </c>
      <c r="K7749" s="3" t="s">
        <v>15176</v>
      </c>
      <c r="L7749" s="13">
        <v>574</v>
      </c>
      <c r="M7749" t="str">
        <f>VLOOKUP(L7749,[1]Mouse_ARA!$B$2:$C$1328,2,FALSE)</f>
        <v>TRN</v>
      </c>
    </row>
    <row r="7750" spans="2:13" x14ac:dyDescent="0.25">
      <c r="B7750" s="31" t="s">
        <v>26303</v>
      </c>
      <c r="C7750" s="20"/>
      <c r="D7750" s="25" t="s">
        <v>26185</v>
      </c>
      <c r="E7750" s="25" t="s">
        <v>26300</v>
      </c>
      <c r="F7750" s="9" t="str">
        <f t="shared" si="114"/>
        <v>structure with developmental contribution from neural crest</v>
      </c>
      <c r="G7750" s="9" t="s">
        <v>5090</v>
      </c>
      <c r="H7750" s="9" t="s">
        <v>20456</v>
      </c>
      <c r="I7750" s="9" t="s">
        <v>13979</v>
      </c>
      <c r="J7750" s="9" t="s">
        <v>13980</v>
      </c>
      <c r="K7750" s="3" t="s">
        <v>15176</v>
      </c>
      <c r="L7750" s="13">
        <v>576</v>
      </c>
      <c r="M7750" t="str">
        <f>VLOOKUP(L7750,[1]Mouse_ARA!$B$2:$C$1328,2,FALSE)</f>
        <v>ACVII</v>
      </c>
    </row>
    <row r="7751" spans="2:13" x14ac:dyDescent="0.25">
      <c r="B7751" s="31" t="s">
        <v>26303</v>
      </c>
      <c r="C7751" s="25" t="s">
        <v>26173</v>
      </c>
      <c r="D7751" s="25" t="s">
        <v>26232</v>
      </c>
      <c r="E7751" s="25" t="s">
        <v>26306</v>
      </c>
      <c r="F7751" s="9" t="str">
        <f t="shared" si="114"/>
        <v>structure with developmental contribution from neural crest</v>
      </c>
      <c r="G7751" s="9" t="s">
        <v>5090</v>
      </c>
      <c r="H7751" s="9" t="s">
        <v>18806</v>
      </c>
      <c r="I7751" s="9" t="s">
        <v>13981</v>
      </c>
      <c r="J7751" s="9" t="s">
        <v>13982</v>
      </c>
      <c r="K7751" s="3" t="s">
        <v>15176</v>
      </c>
      <c r="L7751" s="13">
        <v>577</v>
      </c>
      <c r="M7751" t="str">
        <f>VLOOKUP(L7751,[1]Mouse_ARA!$B$2:$C$1328,2,FALSE)</f>
        <v>SSp-ul4</v>
      </c>
    </row>
    <row r="7752" spans="2:13" x14ac:dyDescent="0.25">
      <c r="B7752" s="31" t="s">
        <v>26303</v>
      </c>
      <c r="C7752" s="25" t="s">
        <v>561</v>
      </c>
      <c r="D7752" s="25" t="s">
        <v>26232</v>
      </c>
      <c r="E7752" s="20" t="s">
        <v>26300</v>
      </c>
      <c r="F7752" s="9" t="str">
        <f t="shared" si="114"/>
        <v>structure with developmental contribution from neural crest</v>
      </c>
      <c r="G7752" s="9" t="s">
        <v>5090</v>
      </c>
      <c r="H7752" s="9" t="s">
        <v>19863</v>
      </c>
      <c r="I7752" s="9" t="s">
        <v>4189</v>
      </c>
      <c r="J7752" s="9" t="s">
        <v>4190</v>
      </c>
      <c r="K7752" s="3" t="s">
        <v>15176</v>
      </c>
      <c r="L7752" s="13">
        <v>578</v>
      </c>
      <c r="M7752" t="str">
        <f>VLOOKUP(L7752,[1]Mouse_ARA!$B$2:$C$1328,2,FALSE)</f>
        <v>BSTpr</v>
      </c>
    </row>
    <row r="7753" spans="2:13" x14ac:dyDescent="0.25">
      <c r="B7753" s="31" t="s">
        <v>26303</v>
      </c>
      <c r="C7753" s="25" t="s">
        <v>25930</v>
      </c>
      <c r="D7753" s="25" t="s">
        <v>26232</v>
      </c>
      <c r="E7753" s="25"/>
      <c r="F7753" s="9" t="str">
        <f t="shared" si="114"/>
        <v>structure with developmental contribution from neural crest</v>
      </c>
      <c r="G7753" s="9" t="s">
        <v>5090</v>
      </c>
      <c r="H7753" s="9" t="s">
        <v>18459</v>
      </c>
      <c r="I7753" s="9" t="s">
        <v>1782</v>
      </c>
      <c r="J7753" s="9" t="s">
        <v>1786</v>
      </c>
      <c r="K7753" s="3" t="s">
        <v>15176</v>
      </c>
      <c r="L7753" s="13">
        <v>579</v>
      </c>
      <c r="M7753" t="str">
        <f>VLOOKUP(L7753,[1]Mouse_ARA!$B$2:$C$1328,2,FALSE)</f>
        <v>ec</v>
      </c>
    </row>
    <row r="7754" spans="2:13" x14ac:dyDescent="0.25">
      <c r="B7754" s="31" t="s">
        <v>26303</v>
      </c>
      <c r="C7754" s="25" t="s">
        <v>8507</v>
      </c>
      <c r="D7754" s="25" t="s">
        <v>26232</v>
      </c>
      <c r="E7754" s="25"/>
      <c r="F7754" s="9" t="str">
        <f t="shared" si="114"/>
        <v>structure with developmental contribution from neural crest</v>
      </c>
      <c r="G7754" s="9" t="s">
        <v>5090</v>
      </c>
      <c r="H7754" s="9" t="s">
        <v>19833</v>
      </c>
      <c r="I7754" s="9" t="s">
        <v>13983</v>
      </c>
      <c r="J7754" s="9" t="s">
        <v>13984</v>
      </c>
      <c r="K7754" s="3" t="s">
        <v>15176</v>
      </c>
      <c r="L7754" s="13">
        <v>581</v>
      </c>
      <c r="M7754" t="str">
        <f>VLOOKUP(L7754,[1]Mouse_ARA!$B$2:$C$1328,2,FALSE)</f>
        <v>TRS</v>
      </c>
    </row>
    <row r="7755" spans="2:13" x14ac:dyDescent="0.25">
      <c r="B7755" s="31" t="s">
        <v>26299</v>
      </c>
      <c r="C7755" s="25" t="s">
        <v>26080</v>
      </c>
      <c r="D7755" s="25" t="s">
        <v>26232</v>
      </c>
      <c r="E7755" s="25" t="s">
        <v>26306</v>
      </c>
      <c r="F7755" s="9" t="str">
        <f t="shared" si="114"/>
        <v>structure with developmental contribution from neural crest</v>
      </c>
      <c r="G7755" s="9" t="s">
        <v>5090</v>
      </c>
      <c r="H7755" s="9" t="s">
        <v>19169</v>
      </c>
      <c r="I7755" s="9" t="s">
        <v>13985</v>
      </c>
      <c r="J7755" s="9" t="s">
        <v>13986</v>
      </c>
      <c r="K7755" s="3" t="s">
        <v>15176</v>
      </c>
      <c r="L7755" s="13">
        <v>582</v>
      </c>
      <c r="M7755" t="str">
        <f>VLOOKUP(L7755,[1]Mouse_ARA!$B$2:$C$1328,2,FALSE)</f>
        <v>ORBm2/3</v>
      </c>
    </row>
    <row r="7756" spans="2:13" x14ac:dyDescent="0.25">
      <c r="B7756" s="31" t="s">
        <v>26303</v>
      </c>
      <c r="C7756" s="25" t="s">
        <v>25876</v>
      </c>
      <c r="D7756" s="25" t="s">
        <v>26232</v>
      </c>
      <c r="E7756" s="25"/>
      <c r="F7756" s="9" t="str">
        <f t="shared" si="114"/>
        <v>structure with developmental contribution from neural crest</v>
      </c>
      <c r="G7756" s="9" t="s">
        <v>5090</v>
      </c>
      <c r="H7756" s="9" t="s">
        <v>19715</v>
      </c>
      <c r="I7756" s="9" t="s">
        <v>1268</v>
      </c>
      <c r="J7756" s="9" t="s">
        <v>1272</v>
      </c>
      <c r="K7756" s="3" t="s">
        <v>15176</v>
      </c>
      <c r="L7756" s="13">
        <v>583</v>
      </c>
      <c r="M7756" t="str">
        <f>VLOOKUP(L7756,[1]Mouse_ARA!$B$2:$C$1328,2,FALSE)</f>
        <v>CLA</v>
      </c>
    </row>
    <row r="7757" spans="2:13" x14ac:dyDescent="0.25">
      <c r="B7757" s="31" t="s">
        <v>26303</v>
      </c>
      <c r="C7757" s="25" t="s">
        <v>25883</v>
      </c>
      <c r="D7757" s="25" t="s">
        <v>26232</v>
      </c>
      <c r="E7757" s="25" t="s">
        <v>26306</v>
      </c>
      <c r="F7757" s="9" t="str">
        <f t="shared" si="114"/>
        <v>structure with developmental contribution from neural crest</v>
      </c>
      <c r="G7757" s="9" t="s">
        <v>5090</v>
      </c>
      <c r="H7757" s="9" t="s">
        <v>19499</v>
      </c>
      <c r="I7757" s="9" t="s">
        <v>13987</v>
      </c>
      <c r="J7757" s="9" t="s">
        <v>13988</v>
      </c>
      <c r="K7757" s="3" t="s">
        <v>15176</v>
      </c>
      <c r="L7757" s="13">
        <v>584</v>
      </c>
      <c r="M7757" t="str">
        <f>VLOOKUP(L7757,[1]Mouse_ARA!$B$2:$C$1328,2,FALSE)</f>
        <v>COApl1-2</v>
      </c>
    </row>
    <row r="7758" spans="2:13" x14ac:dyDescent="0.25">
      <c r="B7758" s="31" t="s">
        <v>26303</v>
      </c>
      <c r="C7758" s="25" t="s">
        <v>561</v>
      </c>
      <c r="D7758" s="25" t="s">
        <v>26232</v>
      </c>
      <c r="E7758" s="20" t="s">
        <v>26300</v>
      </c>
      <c r="F7758" s="9" t="str">
        <f t="shared" si="114"/>
        <v>structure with developmental contribution from neural crest</v>
      </c>
      <c r="G7758" s="9" t="s">
        <v>5090</v>
      </c>
      <c r="H7758" s="9" t="s">
        <v>19865</v>
      </c>
      <c r="I7758" s="9" t="s">
        <v>13989</v>
      </c>
      <c r="J7758" s="9" t="s">
        <v>13990</v>
      </c>
      <c r="K7758" s="3" t="s">
        <v>15176</v>
      </c>
      <c r="L7758" s="13">
        <v>585</v>
      </c>
      <c r="M7758" t="str">
        <f>VLOOKUP(L7758,[1]Mouse_ARA!$B$2:$C$1328,2,FALSE)</f>
        <v>BSTif</v>
      </c>
    </row>
    <row r="7759" spans="2:13" x14ac:dyDescent="0.25">
      <c r="B7759" s="31" t="s">
        <v>26299</v>
      </c>
      <c r="C7759" s="25" t="s">
        <v>25746</v>
      </c>
      <c r="D7759" s="25" t="s">
        <v>26232</v>
      </c>
      <c r="E7759" s="25" t="s">
        <v>26306</v>
      </c>
      <c r="F7759" s="9" t="str">
        <f t="shared" si="114"/>
        <v>structure with developmental contribution from neural crest</v>
      </c>
      <c r="G7759" s="9" t="s">
        <v>5090</v>
      </c>
      <c r="H7759" s="9" t="s">
        <v>19101</v>
      </c>
      <c r="I7759" s="9" t="s">
        <v>13991</v>
      </c>
      <c r="J7759" s="9" t="s">
        <v>13992</v>
      </c>
      <c r="K7759" s="3" t="s">
        <v>15176</v>
      </c>
      <c r="L7759" s="13">
        <v>588</v>
      </c>
      <c r="M7759" t="str">
        <f>VLOOKUP(L7759,[1]Mouse_ARA!$B$2:$C$1328,2,FALSE)</f>
        <v>ACAv1</v>
      </c>
    </row>
    <row r="7760" spans="2:13" x14ac:dyDescent="0.25">
      <c r="B7760" s="31" t="s">
        <v>26303</v>
      </c>
      <c r="C7760" s="25" t="s">
        <v>26252</v>
      </c>
      <c r="D7760" s="25" t="s">
        <v>26232</v>
      </c>
      <c r="E7760" s="25"/>
      <c r="F7760" s="9" t="str">
        <f t="shared" si="114"/>
        <v>structure with developmental contribution from neural crest</v>
      </c>
      <c r="G7760" s="9" t="s">
        <v>5090</v>
      </c>
      <c r="H7760" s="9" t="s">
        <v>19429</v>
      </c>
      <c r="I7760" s="9" t="s">
        <v>10063</v>
      </c>
      <c r="J7760" s="9" t="s">
        <v>13993</v>
      </c>
      <c r="K7760" s="3" t="s">
        <v>15176</v>
      </c>
      <c r="L7760" s="13">
        <v>589</v>
      </c>
      <c r="M7760" t="str">
        <f>VLOOKUP(L7760,[1]Mouse_ARA!$B$2:$C$1328,2,FALSE)</f>
        <v>TT</v>
      </c>
    </row>
    <row r="7761" spans="2:13" x14ac:dyDescent="0.25">
      <c r="B7761" s="31" t="s">
        <v>26299</v>
      </c>
      <c r="C7761" s="25" t="s">
        <v>26189</v>
      </c>
      <c r="D7761" s="25" t="s">
        <v>26232</v>
      </c>
      <c r="E7761" s="25" t="s">
        <v>26306</v>
      </c>
      <c r="F7761" s="9" t="str">
        <f t="shared" si="114"/>
        <v>structure with developmental contribution from neural crest</v>
      </c>
      <c r="G7761" s="9" t="s">
        <v>5090</v>
      </c>
      <c r="H7761" s="9" t="s">
        <v>19308</v>
      </c>
      <c r="I7761" s="9" t="s">
        <v>13994</v>
      </c>
      <c r="J7761" s="9" t="s">
        <v>13995</v>
      </c>
      <c r="K7761" s="3" t="s">
        <v>15176</v>
      </c>
      <c r="L7761" s="13">
        <v>590</v>
      </c>
      <c r="M7761" t="str">
        <f>VLOOKUP(L7761,[1]Mouse_ARA!$B$2:$C$1328,2,FALSE)</f>
        <v>RSPv6a</v>
      </c>
    </row>
    <row r="7762" spans="2:13" x14ac:dyDescent="0.25">
      <c r="B7762" s="31" t="s">
        <v>26303</v>
      </c>
      <c r="C7762" s="25" t="s">
        <v>25883</v>
      </c>
      <c r="D7762" s="25" t="s">
        <v>26232</v>
      </c>
      <c r="E7762" s="25" t="s">
        <v>26306</v>
      </c>
      <c r="F7762" s="9" t="str">
        <f t="shared" si="114"/>
        <v>structure with developmental contribution from neural crest</v>
      </c>
      <c r="G7762" s="9" t="s">
        <v>5090</v>
      </c>
      <c r="H7762" s="9" t="s">
        <v>19511</v>
      </c>
      <c r="I7762" s="9" t="s">
        <v>13996</v>
      </c>
      <c r="J7762" s="9" t="s">
        <v>13997</v>
      </c>
      <c r="K7762" s="3" t="s">
        <v>15176</v>
      </c>
      <c r="L7762" s="13">
        <v>592</v>
      </c>
      <c r="M7762" t="str">
        <f>VLOOKUP(L7762,[1]Mouse_ARA!$B$2:$C$1328,2,FALSE)</f>
        <v>COApm1-2</v>
      </c>
    </row>
    <row r="7763" spans="2:13" x14ac:dyDescent="0.25">
      <c r="B7763" s="31" t="s">
        <v>26303</v>
      </c>
      <c r="C7763" s="25" t="s">
        <v>26175</v>
      </c>
      <c r="D7763" s="25" t="s">
        <v>26232</v>
      </c>
      <c r="E7763" s="25" t="s">
        <v>26306</v>
      </c>
      <c r="F7763" s="9" t="str">
        <f t="shared" si="114"/>
        <v>structure with developmental contribution from neural crest</v>
      </c>
      <c r="G7763" s="9" t="s">
        <v>5090</v>
      </c>
      <c r="H7763" s="9" t="s">
        <v>19014</v>
      </c>
      <c r="I7763" s="9" t="s">
        <v>13998</v>
      </c>
      <c r="J7763" s="9" t="s">
        <v>13999</v>
      </c>
      <c r="K7763" s="3" t="s">
        <v>15176</v>
      </c>
      <c r="L7763" s="13">
        <v>593</v>
      </c>
      <c r="M7763" t="str">
        <f>VLOOKUP(L7763,[1]Mouse_ARA!$B$2:$C$1328,2,FALSE)</f>
        <v>VISp1</v>
      </c>
    </row>
    <row r="7764" spans="2:13" x14ac:dyDescent="0.25">
      <c r="B7764" s="31" t="s">
        <v>26303</v>
      </c>
      <c r="C7764" s="25" t="s">
        <v>561</v>
      </c>
      <c r="D7764" s="25" t="s">
        <v>26232</v>
      </c>
      <c r="E7764" s="20" t="s">
        <v>26300</v>
      </c>
      <c r="F7764" s="9" t="str">
        <f t="shared" si="114"/>
        <v>structure with developmental contribution from neural crest</v>
      </c>
      <c r="G7764" s="9" t="s">
        <v>5090</v>
      </c>
      <c r="H7764" s="9" t="s">
        <v>19867</v>
      </c>
      <c r="I7764" s="9" t="s">
        <v>14000</v>
      </c>
      <c r="J7764" s="9" t="s">
        <v>14001</v>
      </c>
      <c r="K7764" s="3" t="s">
        <v>15176</v>
      </c>
      <c r="L7764" s="13">
        <v>594</v>
      </c>
      <c r="M7764" t="str">
        <f>VLOOKUP(L7764,[1]Mouse_ARA!$B$2:$C$1328,2,FALSE)</f>
        <v>BSTtr</v>
      </c>
    </row>
    <row r="7765" spans="2:13" x14ac:dyDescent="0.25">
      <c r="B7765" s="31" t="s">
        <v>26303</v>
      </c>
      <c r="C7765" s="25" t="s">
        <v>3272</v>
      </c>
      <c r="D7765" s="25" t="s">
        <v>26232</v>
      </c>
      <c r="E7765" s="25"/>
      <c r="F7765" s="9" t="str">
        <f t="shared" si="114"/>
        <v>structure with developmental contribution from neural crest</v>
      </c>
      <c r="G7765" s="9" t="s">
        <v>5090</v>
      </c>
      <c r="H7765" s="9" t="s">
        <v>19831</v>
      </c>
      <c r="I7765" s="9" t="s">
        <v>3276</v>
      </c>
      <c r="J7765" s="9" t="s">
        <v>3277</v>
      </c>
      <c r="K7765" s="3" t="s">
        <v>15176</v>
      </c>
      <c r="L7765" s="13">
        <v>596</v>
      </c>
      <c r="M7765" t="str">
        <f>VLOOKUP(L7765,[1]Mouse_ARA!$B$2:$C$1328,2,FALSE)</f>
        <v>NDB</v>
      </c>
    </row>
    <row r="7766" spans="2:13" x14ac:dyDescent="0.25">
      <c r="B7766" s="31" t="s">
        <v>26303</v>
      </c>
      <c r="C7766" s="25" t="s">
        <v>26252</v>
      </c>
      <c r="D7766" s="25" t="s">
        <v>26232</v>
      </c>
      <c r="E7766" s="25"/>
      <c r="F7766" s="9" t="str">
        <f t="shared" si="114"/>
        <v>structure with developmental contribution from neural crest</v>
      </c>
      <c r="G7766" s="9" t="s">
        <v>5090</v>
      </c>
      <c r="H7766" s="9" t="s">
        <v>19431</v>
      </c>
      <c r="I7766" s="9" t="s">
        <v>14002</v>
      </c>
      <c r="J7766" s="9" t="s">
        <v>14003</v>
      </c>
      <c r="K7766" s="3" t="s">
        <v>15176</v>
      </c>
      <c r="L7766" s="13">
        <v>597</v>
      </c>
      <c r="M7766" t="str">
        <f>VLOOKUP(L7766,[1]Mouse_ARA!$B$2:$C$1328,2,FALSE)</f>
        <v>TTd</v>
      </c>
    </row>
    <row r="7767" spans="2:13" x14ac:dyDescent="0.25">
      <c r="B7767" s="31" t="s">
        <v>26303</v>
      </c>
      <c r="C7767" s="25" t="s">
        <v>25802</v>
      </c>
      <c r="D7767" s="25" t="s">
        <v>26185</v>
      </c>
      <c r="E7767" s="25" t="s">
        <v>26307</v>
      </c>
      <c r="F7767" s="9" t="str">
        <f t="shared" si="114"/>
        <v>structure with developmental contribution from neural crest</v>
      </c>
      <c r="G7767" s="9" t="s">
        <v>5090</v>
      </c>
      <c r="H7767" s="9" t="s">
        <v>18954</v>
      </c>
      <c r="I7767" s="9" t="s">
        <v>14004</v>
      </c>
      <c r="J7767" s="9" t="s">
        <v>14005</v>
      </c>
      <c r="K7767" s="3" t="s">
        <v>15176</v>
      </c>
      <c r="L7767" s="13">
        <v>598</v>
      </c>
      <c r="M7767" t="str">
        <f>VLOOKUP(L7767,[1]Mouse_ARA!$B$2:$C$1328,2,FALSE)</f>
        <v>AUDv6b</v>
      </c>
    </row>
    <row r="7768" spans="2:13" x14ac:dyDescent="0.25">
      <c r="B7768" s="31" t="s">
        <v>26303</v>
      </c>
      <c r="C7768" s="25" t="s">
        <v>25976</v>
      </c>
      <c r="D7768" s="25" t="s">
        <v>26232</v>
      </c>
      <c r="E7768" s="25"/>
      <c r="F7768" s="9" t="str">
        <f t="shared" si="114"/>
        <v>structure with developmental contribution from neural crest</v>
      </c>
      <c r="G7768" s="9" t="s">
        <v>5090</v>
      </c>
      <c r="H7768" s="9" t="s">
        <v>20828</v>
      </c>
      <c r="I7768" s="9" t="s">
        <v>2490</v>
      </c>
      <c r="J7768" s="9" t="s">
        <v>2494</v>
      </c>
      <c r="K7768" s="3" t="s">
        <v>15176</v>
      </c>
      <c r="L7768" s="13">
        <v>6</v>
      </c>
      <c r="M7768" t="str">
        <f>VLOOKUP(L7768,[1]Mouse_ARA!$B$2:$C$1328,2,FALSE)</f>
        <v>int</v>
      </c>
    </row>
    <row r="7769" spans="2:13" x14ac:dyDescent="0.25">
      <c r="B7769" s="31" t="s">
        <v>26303</v>
      </c>
      <c r="C7769" s="25" t="s">
        <v>25987</v>
      </c>
      <c r="D7769" s="25" t="s">
        <v>26232</v>
      </c>
      <c r="E7769" s="25" t="s">
        <v>26306</v>
      </c>
      <c r="F7769" s="9" t="str">
        <f t="shared" si="114"/>
        <v>structure with developmental contribution from neural crest</v>
      </c>
      <c r="G7769" s="9" t="s">
        <v>5090</v>
      </c>
      <c r="H7769" s="9" t="s">
        <v>19613</v>
      </c>
      <c r="I7769" s="9" t="s">
        <v>14006</v>
      </c>
      <c r="J7769" s="9" t="s">
        <v>14007</v>
      </c>
      <c r="K7769" s="3" t="s">
        <v>15176</v>
      </c>
      <c r="L7769" s="13">
        <v>60</v>
      </c>
      <c r="M7769" t="str">
        <f>VLOOKUP(L7769,[1]Mouse_ARA!$B$2:$C$1328,2,FALSE)</f>
        <v>ENTl6b</v>
      </c>
    </row>
    <row r="7770" spans="2:13" x14ac:dyDescent="0.25">
      <c r="B7770" s="31" t="s">
        <v>26303</v>
      </c>
      <c r="C7770" s="25" t="s">
        <v>1512</v>
      </c>
      <c r="D7770" s="25" t="s">
        <v>26185</v>
      </c>
      <c r="E7770" s="25" t="s">
        <v>26307</v>
      </c>
      <c r="F7770" s="9" t="str">
        <f t="shared" si="114"/>
        <v>structure with developmental contribution from neural crest</v>
      </c>
      <c r="G7770" s="9" t="s">
        <v>5090</v>
      </c>
      <c r="H7770" s="9" t="s">
        <v>18890</v>
      </c>
      <c r="I7770" s="9" t="s">
        <v>14008</v>
      </c>
      <c r="J7770" s="9" t="s">
        <v>14009</v>
      </c>
      <c r="K7770" s="3" t="s">
        <v>15176</v>
      </c>
      <c r="L7770" s="13">
        <v>600</v>
      </c>
      <c r="M7770" t="str">
        <f>VLOOKUP(L7770,[1]Mouse_ARA!$B$2:$C$1328,2,FALSE)</f>
        <v>AUDd2/3</v>
      </c>
    </row>
    <row r="7771" spans="2:13" x14ac:dyDescent="0.25">
      <c r="B7771" s="31" t="s">
        <v>26302</v>
      </c>
      <c r="C7771" s="25" t="s">
        <v>450</v>
      </c>
      <c r="D7771" s="25" t="s">
        <v>26185</v>
      </c>
      <c r="E7771" s="25" t="s">
        <v>26306</v>
      </c>
      <c r="F7771" s="9" t="str">
        <f t="shared" si="114"/>
        <v>structure with developmental contribution from neural crest</v>
      </c>
      <c r="G7771" s="9" t="s">
        <v>5090</v>
      </c>
      <c r="H7771" s="9" t="s">
        <v>18980</v>
      </c>
      <c r="I7771" s="9" t="s">
        <v>14010</v>
      </c>
      <c r="J7771" s="9" t="s">
        <v>14011</v>
      </c>
      <c r="K7771" s="3" t="s">
        <v>15176</v>
      </c>
      <c r="L7771" s="13">
        <v>601</v>
      </c>
      <c r="M7771" t="str">
        <f>VLOOKUP(L7771,[1]Mouse_ARA!$B$2:$C$1328,2,FALSE)</f>
        <v>VISal6a</v>
      </c>
    </row>
    <row r="7772" spans="2:13" x14ac:dyDescent="0.25">
      <c r="B7772" s="31" t="s">
        <v>26303</v>
      </c>
      <c r="C7772" s="25" t="s">
        <v>561</v>
      </c>
      <c r="D7772" s="25" t="s">
        <v>26232</v>
      </c>
      <c r="E7772" s="20" t="s">
        <v>26300</v>
      </c>
      <c r="F7772" s="9" t="str">
        <f t="shared" si="114"/>
        <v>structure with developmental contribution from neural crest</v>
      </c>
      <c r="G7772" s="9" t="s">
        <v>5090</v>
      </c>
      <c r="H7772" s="9" t="s">
        <v>19869</v>
      </c>
      <c r="I7772" s="9" t="s">
        <v>14012</v>
      </c>
      <c r="J7772" s="9" t="s">
        <v>14013</v>
      </c>
      <c r="K7772" s="3" t="s">
        <v>15176</v>
      </c>
      <c r="L7772" s="13">
        <v>602</v>
      </c>
      <c r="M7772" t="str">
        <f>VLOOKUP(L7772,[1]Mouse_ARA!$B$2:$C$1328,2,FALSE)</f>
        <v>BSTse</v>
      </c>
    </row>
    <row r="7773" spans="2:13" x14ac:dyDescent="0.25">
      <c r="B7773" s="31" t="s">
        <v>26303</v>
      </c>
      <c r="C7773" s="25" t="s">
        <v>25964</v>
      </c>
      <c r="D7773" s="25" t="s">
        <v>26232</v>
      </c>
      <c r="E7773" s="25"/>
      <c r="F7773" s="9" t="str">
        <f t="shared" si="114"/>
        <v>structure with developmental contribution from neural crest</v>
      </c>
      <c r="G7773" s="9" t="s">
        <v>5090</v>
      </c>
      <c r="H7773" s="9" t="s">
        <v>18460</v>
      </c>
      <c r="I7773" s="9" t="s">
        <v>2308</v>
      </c>
      <c r="J7773" s="9" t="s">
        <v>2313</v>
      </c>
      <c r="K7773" s="3" t="s">
        <v>15176</v>
      </c>
      <c r="L7773" s="13">
        <v>603</v>
      </c>
      <c r="M7773" t="str">
        <f>VLOOKUP(L7773,[1]Mouse_ARA!$B$2:$C$1328,2,FALSE)</f>
        <v>fi</v>
      </c>
    </row>
    <row r="7774" spans="2:13" x14ac:dyDescent="0.25">
      <c r="B7774" s="31" t="s">
        <v>26303</v>
      </c>
      <c r="C7774" s="25" t="s">
        <v>3251</v>
      </c>
      <c r="D7774" s="25" t="s">
        <v>26232</v>
      </c>
      <c r="E7774" s="25"/>
      <c r="F7774" s="9" t="str">
        <f t="shared" si="114"/>
        <v>structure with developmental contribution from neural crest</v>
      </c>
      <c r="G7774" s="9" t="s">
        <v>5090</v>
      </c>
      <c r="H7774" s="9" t="s">
        <v>20381</v>
      </c>
      <c r="I7774" s="9" t="s">
        <v>3251</v>
      </c>
      <c r="J7774" s="9" t="s">
        <v>3254</v>
      </c>
      <c r="K7774" s="3" t="s">
        <v>15176</v>
      </c>
      <c r="L7774" s="13">
        <v>604</v>
      </c>
      <c r="M7774" t="str">
        <f>VLOOKUP(L7774,[1]Mouse_ARA!$B$2:$C$1328,2,FALSE)</f>
        <v>NI</v>
      </c>
    </row>
    <row r="7775" spans="2:13" x14ac:dyDescent="0.25">
      <c r="B7775" s="31" t="s">
        <v>26303</v>
      </c>
      <c r="C7775" s="25" t="s">
        <v>26252</v>
      </c>
      <c r="D7775" s="25" t="s">
        <v>26232</v>
      </c>
      <c r="E7775" s="25"/>
      <c r="F7775" s="9" t="str">
        <f t="shared" si="114"/>
        <v>structure with developmental contribution from neural crest</v>
      </c>
      <c r="G7775" s="9" t="s">
        <v>5090</v>
      </c>
      <c r="H7775" s="9" t="s">
        <v>19443</v>
      </c>
      <c r="I7775" s="9" t="s">
        <v>14014</v>
      </c>
      <c r="J7775" s="9" t="s">
        <v>14015</v>
      </c>
      <c r="K7775" s="3" t="s">
        <v>15176</v>
      </c>
      <c r="L7775" s="13">
        <v>605</v>
      </c>
      <c r="M7775" t="str">
        <f>VLOOKUP(L7775,[1]Mouse_ARA!$B$2:$C$1328,2,FALSE)</f>
        <v>TTv</v>
      </c>
    </row>
    <row r="7776" spans="2:13" x14ac:dyDescent="0.25">
      <c r="B7776" s="31" t="s">
        <v>26299</v>
      </c>
      <c r="C7776" s="25" t="s">
        <v>26189</v>
      </c>
      <c r="D7776" s="25" t="s">
        <v>26232</v>
      </c>
      <c r="E7776" s="25" t="s">
        <v>26306</v>
      </c>
      <c r="F7776" s="9" t="str">
        <f t="shared" si="114"/>
        <v>structure with developmental contribution from neural crest</v>
      </c>
      <c r="G7776" s="9" t="s">
        <v>5090</v>
      </c>
      <c r="H7776" s="9" t="s">
        <v>19302</v>
      </c>
      <c r="I7776" s="9" t="s">
        <v>14016</v>
      </c>
      <c r="J7776" s="9" t="s">
        <v>14017</v>
      </c>
      <c r="K7776" s="3" t="s">
        <v>15176</v>
      </c>
      <c r="L7776" s="13">
        <v>606</v>
      </c>
      <c r="M7776" t="str">
        <f>VLOOKUP(L7776,[1]Mouse_ARA!$B$2:$C$1328,2,FALSE)</f>
        <v>RSPv2</v>
      </c>
    </row>
    <row r="7777" spans="2:13" x14ac:dyDescent="0.25">
      <c r="B7777" s="31" t="s">
        <v>26303</v>
      </c>
      <c r="C7777" s="25" t="s">
        <v>25877</v>
      </c>
      <c r="D7777" s="25" t="s">
        <v>26232</v>
      </c>
      <c r="E7777" s="25"/>
      <c r="F7777" s="9" t="str">
        <f t="shared" si="114"/>
        <v>structure with developmental contribution from neural crest</v>
      </c>
      <c r="G7777" s="9" t="s">
        <v>5090</v>
      </c>
      <c r="H7777" s="9" t="s">
        <v>20397</v>
      </c>
      <c r="I7777" s="9" t="s">
        <v>1276</v>
      </c>
      <c r="J7777" s="9" t="s">
        <v>1279</v>
      </c>
      <c r="K7777" s="3" t="s">
        <v>15176</v>
      </c>
      <c r="L7777" s="13">
        <v>607</v>
      </c>
      <c r="M7777" t="str">
        <f>VLOOKUP(L7777,[1]Mouse_ARA!$B$2:$C$1328,2,FALSE)</f>
        <v>CN</v>
      </c>
    </row>
    <row r="7778" spans="2:13" x14ac:dyDescent="0.25">
      <c r="B7778" s="31" t="s">
        <v>26299</v>
      </c>
      <c r="C7778" s="25" t="s">
        <v>26080</v>
      </c>
      <c r="D7778" s="25" t="s">
        <v>26232</v>
      </c>
      <c r="E7778" s="25" t="s">
        <v>26306</v>
      </c>
      <c r="F7778" s="9" t="str">
        <f t="shared" si="114"/>
        <v>structure with developmental contribution from neural crest</v>
      </c>
      <c r="G7778" s="9" t="s">
        <v>5090</v>
      </c>
      <c r="H7778" s="9" t="s">
        <v>19187</v>
      </c>
      <c r="I7778" s="9" t="s">
        <v>14018</v>
      </c>
      <c r="J7778" s="9" t="s">
        <v>14019</v>
      </c>
      <c r="K7778" s="3" t="s">
        <v>15176</v>
      </c>
      <c r="L7778" s="13">
        <v>608</v>
      </c>
      <c r="M7778" t="str">
        <f>VLOOKUP(L7778,[1]Mouse_ARA!$B$2:$C$1328,2,FALSE)</f>
        <v>ORBvl6a</v>
      </c>
    </row>
    <row r="7779" spans="2:13" x14ac:dyDescent="0.25">
      <c r="B7779" s="31" t="s">
        <v>26303</v>
      </c>
      <c r="C7779" s="25" t="s">
        <v>26076</v>
      </c>
      <c r="D7779" s="25" t="s">
        <v>26232</v>
      </c>
      <c r="E7779" s="25"/>
      <c r="F7779" s="9" t="str">
        <f t="shared" si="114"/>
        <v>structure with developmental contribution from neural crest</v>
      </c>
      <c r="G7779" s="9" t="s">
        <v>5090</v>
      </c>
      <c r="H7779" s="9" t="s">
        <v>20439</v>
      </c>
      <c r="I7779" s="9" t="s">
        <v>14020</v>
      </c>
      <c r="J7779" s="9" t="s">
        <v>14021</v>
      </c>
      <c r="K7779" s="3" t="s">
        <v>15176</v>
      </c>
      <c r="L7779" s="13">
        <v>61</v>
      </c>
      <c r="M7779" t="str">
        <f>VLOOKUP(L7779,[1]Mouse_ARA!$B$2:$C$1328,2,FALSE)</f>
        <v>SPVOmdmv</v>
      </c>
    </row>
    <row r="7780" spans="2:13" x14ac:dyDescent="0.25">
      <c r="B7780" s="31" t="s">
        <v>26299</v>
      </c>
      <c r="C7780" s="25" t="s">
        <v>26190</v>
      </c>
      <c r="D7780" s="25" t="s">
        <v>26232</v>
      </c>
      <c r="E7780" s="25" t="s">
        <v>26306</v>
      </c>
      <c r="F7780" s="9" t="str">
        <f t="shared" si="114"/>
        <v>structure with developmental contribution from neural crest</v>
      </c>
      <c r="G7780" s="9" t="s">
        <v>5090</v>
      </c>
      <c r="H7780" s="9" t="s">
        <v>19292</v>
      </c>
      <c r="I7780" s="9" t="s">
        <v>14022</v>
      </c>
      <c r="J7780" s="9" t="s">
        <v>14023</v>
      </c>
      <c r="K7780" s="3" t="s">
        <v>15176</v>
      </c>
      <c r="L7780" s="13">
        <v>610</v>
      </c>
      <c r="M7780" t="str">
        <f>VLOOKUP(L7780,[1]Mouse_ARA!$B$2:$C$1328,2,FALSE)</f>
        <v>RSPd5</v>
      </c>
    </row>
    <row r="7781" spans="2:13" x14ac:dyDescent="0.25">
      <c r="B7781" s="31" t="s">
        <v>26303</v>
      </c>
      <c r="C7781" s="25" t="s">
        <v>2138</v>
      </c>
      <c r="D7781" s="25" t="s">
        <v>26232</v>
      </c>
      <c r="E7781" s="25"/>
      <c r="F7781" s="9" t="str">
        <f t="shared" si="114"/>
        <v>structure with developmental contribution from neural crest</v>
      </c>
      <c r="G7781" s="9" t="s">
        <v>5090</v>
      </c>
      <c r="H7781" s="9" t="s">
        <v>18462</v>
      </c>
      <c r="I7781" s="9" t="s">
        <v>2138</v>
      </c>
      <c r="J7781" s="9" t="s">
        <v>2142</v>
      </c>
      <c r="K7781" s="3" t="s">
        <v>15176</v>
      </c>
      <c r="L7781" s="13">
        <v>611</v>
      </c>
      <c r="M7781" t="str">
        <f>VLOOKUP(L7781,[1]Mouse_ARA!$B$2:$C$1328,2,FALSE)</f>
        <v>hbc</v>
      </c>
    </row>
    <row r="7782" spans="2:13" x14ac:dyDescent="0.25">
      <c r="B7782" s="31" t="s">
        <v>26303</v>
      </c>
      <c r="C7782" s="25" t="s">
        <v>26055</v>
      </c>
      <c r="D7782" s="25" t="s">
        <v>26232</v>
      </c>
      <c r="E7782" s="25"/>
      <c r="F7782" s="9" t="str">
        <f t="shared" si="114"/>
        <v>structure with developmental contribution from neural crest</v>
      </c>
      <c r="G7782" s="9" t="s">
        <v>5090</v>
      </c>
      <c r="H7782" s="9" t="s">
        <v>20299</v>
      </c>
      <c r="I7782" s="9" t="s">
        <v>808</v>
      </c>
      <c r="J7782" s="9" t="s">
        <v>809</v>
      </c>
      <c r="K7782" s="3" t="s">
        <v>15176</v>
      </c>
      <c r="L7782" s="13">
        <v>612</v>
      </c>
      <c r="M7782" t="str">
        <f>VLOOKUP(L7782,[1]Mouse_ARA!$B$2:$C$1328,2,FALSE)</f>
        <v>NLL</v>
      </c>
    </row>
    <row r="7783" spans="2:13" x14ac:dyDescent="0.25">
      <c r="B7783" s="31" t="s">
        <v>26303</v>
      </c>
      <c r="C7783" s="25" t="s">
        <v>2282</v>
      </c>
      <c r="D7783" s="25" t="s">
        <v>26232</v>
      </c>
      <c r="E7783" s="25"/>
      <c r="F7783" s="9" t="str">
        <f t="shared" si="114"/>
        <v>structure with developmental contribution from neural crest</v>
      </c>
      <c r="G7783" s="9" t="s">
        <v>5090</v>
      </c>
      <c r="H7783" s="9" t="s">
        <v>18463</v>
      </c>
      <c r="I7783" s="9" t="s">
        <v>2286</v>
      </c>
      <c r="J7783" s="9" t="s">
        <v>2287</v>
      </c>
      <c r="K7783" s="3" t="s">
        <v>15176</v>
      </c>
      <c r="L7783" s="13">
        <v>618</v>
      </c>
      <c r="M7783" t="str">
        <f>VLOOKUP(L7783,[1]Mouse_ARA!$B$2:$C$1328,2,FALSE)</f>
        <v>hc</v>
      </c>
    </row>
    <row r="7784" spans="2:13" x14ac:dyDescent="0.25">
      <c r="B7784" s="31" t="s">
        <v>26303</v>
      </c>
      <c r="C7784" s="25" t="s">
        <v>3283</v>
      </c>
      <c r="D7784" s="25" t="s">
        <v>26232</v>
      </c>
      <c r="E7784" s="25"/>
      <c r="F7784" s="9" t="str">
        <f t="shared" si="114"/>
        <v>structure with developmental contribution from neural crest</v>
      </c>
      <c r="G7784" s="9" t="s">
        <v>5090</v>
      </c>
      <c r="H7784" s="9" t="s">
        <v>19475</v>
      </c>
      <c r="I7784" s="9" t="s">
        <v>3285</v>
      </c>
      <c r="J7784" s="9" t="s">
        <v>3288</v>
      </c>
      <c r="K7784" s="3" t="s">
        <v>15176</v>
      </c>
      <c r="L7784" s="13">
        <v>619</v>
      </c>
      <c r="M7784" t="str">
        <f>VLOOKUP(L7784,[1]Mouse_ARA!$B$2:$C$1328,2,FALSE)</f>
        <v>NLOT</v>
      </c>
    </row>
    <row r="7785" spans="2:13" x14ac:dyDescent="0.25">
      <c r="B7785" s="31" t="s">
        <v>26299</v>
      </c>
      <c r="C7785" s="25" t="s">
        <v>26080</v>
      </c>
      <c r="D7785" s="25" t="s">
        <v>26232</v>
      </c>
      <c r="E7785" s="25" t="s">
        <v>26306</v>
      </c>
      <c r="F7785" s="9" t="str">
        <f t="shared" si="114"/>
        <v>structure with developmental contribution from neural crest</v>
      </c>
      <c r="G7785" s="9" t="s">
        <v>5090</v>
      </c>
      <c r="H7785" s="9" t="s">
        <v>19171</v>
      </c>
      <c r="I7785" s="9" t="s">
        <v>14024</v>
      </c>
      <c r="J7785" s="9" t="s">
        <v>14025</v>
      </c>
      <c r="K7785" s="3" t="s">
        <v>15176</v>
      </c>
      <c r="L7785" s="13">
        <v>620</v>
      </c>
      <c r="M7785" t="str">
        <f>VLOOKUP(L7785,[1]Mouse_ARA!$B$2:$C$1328,2,FALSE)</f>
        <v>ORBm5</v>
      </c>
    </row>
    <row r="7786" spans="2:13" x14ac:dyDescent="0.25">
      <c r="B7786" s="31" t="s">
        <v>26303</v>
      </c>
      <c r="C7786" s="25" t="s">
        <v>3181</v>
      </c>
      <c r="D7786" s="25" t="s">
        <v>26232</v>
      </c>
      <c r="E7786" s="25"/>
      <c r="F7786" s="9" t="str">
        <f t="shared" si="114"/>
        <v>structure with developmental contribution from neural crest</v>
      </c>
      <c r="G7786" s="9" t="s">
        <v>5090</v>
      </c>
      <c r="H7786" s="9" t="s">
        <v>1093</v>
      </c>
      <c r="I7786" s="9" t="s">
        <v>3185</v>
      </c>
      <c r="J7786" s="9" t="s">
        <v>3186</v>
      </c>
      <c r="K7786" s="3" t="s">
        <v>15176</v>
      </c>
      <c r="L7786" s="13">
        <v>621</v>
      </c>
      <c r="M7786" t="str">
        <f>VLOOKUP(L7786,[1]Mouse_ARA!$B$2:$C$1328,2,FALSE)</f>
        <v>V</v>
      </c>
    </row>
    <row r="7787" spans="2:13" x14ac:dyDescent="0.25">
      <c r="B7787" s="31" t="s">
        <v>26299</v>
      </c>
      <c r="C7787" s="25" t="s">
        <v>26189</v>
      </c>
      <c r="D7787" s="25" t="s">
        <v>26232</v>
      </c>
      <c r="E7787" s="25" t="s">
        <v>26306</v>
      </c>
      <c r="F7787" s="9" t="str">
        <f t="shared" si="114"/>
        <v>structure with developmental contribution from neural crest</v>
      </c>
      <c r="G7787" s="9" t="s">
        <v>5090</v>
      </c>
      <c r="H7787" s="9" t="s">
        <v>19310</v>
      </c>
      <c r="I7787" s="9" t="s">
        <v>14026</v>
      </c>
      <c r="J7787" s="9" t="s">
        <v>14027</v>
      </c>
      <c r="K7787" s="3" t="s">
        <v>15176</v>
      </c>
      <c r="L7787" s="13">
        <v>622</v>
      </c>
      <c r="M7787" t="str">
        <f>VLOOKUP(L7787,[1]Mouse_ARA!$B$2:$C$1328,2,FALSE)</f>
        <v>RSPv6b</v>
      </c>
    </row>
    <row r="7788" spans="2:13" x14ac:dyDescent="0.25">
      <c r="B7788" s="31" t="s">
        <v>26303</v>
      </c>
      <c r="C7788" s="20"/>
      <c r="D7788" s="25" t="s">
        <v>26185</v>
      </c>
      <c r="E7788" s="25" t="s">
        <v>26300</v>
      </c>
      <c r="F7788" s="9" t="str">
        <f t="shared" si="114"/>
        <v>structure with developmental contribution from neural crest</v>
      </c>
      <c r="G7788" s="9" t="s">
        <v>5090</v>
      </c>
      <c r="H7788" s="9" t="s">
        <v>19738</v>
      </c>
      <c r="I7788" s="9" t="s">
        <v>1285</v>
      </c>
      <c r="J7788" s="9" t="s">
        <v>1290</v>
      </c>
      <c r="K7788" s="3" t="s">
        <v>15176</v>
      </c>
      <c r="L7788" s="13">
        <v>623</v>
      </c>
      <c r="M7788" t="str">
        <f>VLOOKUP(L7788,[1]Mouse_ARA!$B$2:$C$1328,2,FALSE)</f>
        <v>CNU</v>
      </c>
    </row>
    <row r="7789" spans="2:13" x14ac:dyDescent="0.25">
      <c r="B7789" s="31" t="s">
        <v>26303</v>
      </c>
      <c r="C7789" s="25" t="s">
        <v>26173</v>
      </c>
      <c r="D7789" s="25" t="s">
        <v>26232</v>
      </c>
      <c r="E7789" s="25" t="s">
        <v>26306</v>
      </c>
      <c r="F7789" s="9" t="str">
        <f t="shared" si="114"/>
        <v>structure with developmental contribution from neural crest</v>
      </c>
      <c r="G7789" s="9" t="s">
        <v>5090</v>
      </c>
      <c r="H7789" s="9" t="s">
        <v>18808</v>
      </c>
      <c r="I7789" s="9" t="s">
        <v>14028</v>
      </c>
      <c r="J7789" s="9" t="s">
        <v>14029</v>
      </c>
      <c r="K7789" s="3" t="s">
        <v>15176</v>
      </c>
      <c r="L7789" s="13">
        <v>625</v>
      </c>
      <c r="M7789" t="str">
        <f>VLOOKUP(L7789,[1]Mouse_ARA!$B$2:$C$1328,2,FALSE)</f>
        <v>SSp-ul5</v>
      </c>
    </row>
    <row r="7790" spans="2:13" x14ac:dyDescent="0.25">
      <c r="B7790" s="31" t="s">
        <v>26299</v>
      </c>
      <c r="C7790" s="25" t="s">
        <v>26080</v>
      </c>
      <c r="D7790" s="25" t="s">
        <v>26232</v>
      </c>
      <c r="E7790" s="25" t="s">
        <v>26306</v>
      </c>
      <c r="F7790" s="9" t="str">
        <f t="shared" si="114"/>
        <v>structure with developmental contribution from neural crest</v>
      </c>
      <c r="G7790" s="9" t="s">
        <v>5090</v>
      </c>
      <c r="H7790" s="9" t="s">
        <v>19157</v>
      </c>
      <c r="I7790" s="9" t="s">
        <v>14030</v>
      </c>
      <c r="J7790" s="9" t="s">
        <v>14031</v>
      </c>
      <c r="K7790" s="3" t="s">
        <v>15176</v>
      </c>
      <c r="L7790" s="13">
        <v>630</v>
      </c>
      <c r="M7790" t="str">
        <f>VLOOKUP(L7790,[1]Mouse_ARA!$B$2:$C$1328,2,FALSE)</f>
        <v>ORBl5</v>
      </c>
    </row>
    <row r="7791" spans="2:13" x14ac:dyDescent="0.25">
      <c r="B7791" s="31" t="s">
        <v>26303</v>
      </c>
      <c r="C7791" s="25" t="s">
        <v>25883</v>
      </c>
      <c r="D7791" s="25" t="s">
        <v>26232</v>
      </c>
      <c r="E7791" s="25"/>
      <c r="F7791" s="9" t="str">
        <f t="shared" si="114"/>
        <v>structure with developmental contribution from neural crest</v>
      </c>
      <c r="G7791" s="9" t="s">
        <v>5090</v>
      </c>
      <c r="H7791" s="9" t="s">
        <v>19485</v>
      </c>
      <c r="I7791" s="9" t="s">
        <v>1326</v>
      </c>
      <c r="J7791" s="9" t="s">
        <v>1327</v>
      </c>
      <c r="K7791" s="3" t="s">
        <v>15176</v>
      </c>
      <c r="L7791" s="13">
        <v>631</v>
      </c>
      <c r="M7791" t="str">
        <f>VLOOKUP(L7791,[1]Mouse_ARA!$B$2:$C$1328,2,FALSE)</f>
        <v>COA</v>
      </c>
    </row>
    <row r="7792" spans="2:13" x14ac:dyDescent="0.25">
      <c r="B7792" s="31" t="s">
        <v>26303</v>
      </c>
      <c r="C7792" s="25" t="s">
        <v>25899</v>
      </c>
      <c r="D7792" s="25" t="s">
        <v>26232</v>
      </c>
      <c r="E7792" s="25"/>
      <c r="F7792" s="9" t="str">
        <f t="shared" si="114"/>
        <v>structure with developmental contribution from neural crest</v>
      </c>
      <c r="G7792" s="9" t="s">
        <v>5090</v>
      </c>
      <c r="H7792" s="9" t="s">
        <v>19554</v>
      </c>
      <c r="I7792" s="9" t="s">
        <v>1453</v>
      </c>
      <c r="J7792" s="9" t="s">
        <v>1454</v>
      </c>
      <c r="K7792" s="3" t="s">
        <v>15176</v>
      </c>
      <c r="L7792" s="13">
        <v>632</v>
      </c>
      <c r="M7792" t="str">
        <f>VLOOKUP(L7792,[1]Mouse_ARA!$B$2:$C$1328,2,FALSE)</f>
        <v>DG-sg</v>
      </c>
    </row>
    <row r="7793" spans="2:13" x14ac:dyDescent="0.25">
      <c r="B7793" s="31" t="s">
        <v>26303</v>
      </c>
      <c r="C7793" s="25" t="s">
        <v>1294</v>
      </c>
      <c r="D7793" s="25" t="s">
        <v>26232</v>
      </c>
      <c r="E7793" s="25"/>
      <c r="F7793" s="9" t="str">
        <f t="shared" si="114"/>
        <v>structure with developmental contribution from neural crest</v>
      </c>
      <c r="G7793" s="9" t="s">
        <v>5090</v>
      </c>
      <c r="H7793" s="9" t="s">
        <v>20759</v>
      </c>
      <c r="I7793" s="9" t="s">
        <v>1298</v>
      </c>
      <c r="J7793" s="9" t="s">
        <v>1299</v>
      </c>
      <c r="K7793" s="3" t="s">
        <v>15176</v>
      </c>
      <c r="L7793" s="13">
        <v>633</v>
      </c>
      <c r="M7793" t="str">
        <f>VLOOKUP(L7793,[1]Mouse_ARA!$B$2:$C$1328,2,FALSE)</f>
        <v>cic</v>
      </c>
    </row>
    <row r="7794" spans="2:13" x14ac:dyDescent="0.25">
      <c r="B7794" s="31" t="s">
        <v>26303</v>
      </c>
      <c r="C7794" s="25" t="s">
        <v>3973</v>
      </c>
      <c r="D7794" s="25" t="s">
        <v>26232</v>
      </c>
      <c r="E7794" s="25" t="s">
        <v>26306</v>
      </c>
      <c r="F7794" s="9" t="str">
        <f t="shared" si="114"/>
        <v>structure with developmental contribution from neural crest</v>
      </c>
      <c r="G7794" s="9" t="s">
        <v>5090</v>
      </c>
      <c r="H7794" s="9" t="s">
        <v>19318</v>
      </c>
      <c r="I7794" s="9" t="s">
        <v>14032</v>
      </c>
      <c r="J7794" s="9" t="s">
        <v>14033</v>
      </c>
      <c r="K7794" s="3" t="s">
        <v>15176</v>
      </c>
      <c r="L7794" s="13">
        <v>635</v>
      </c>
      <c r="M7794" t="str">
        <f>VLOOKUP(L7794,[1]Mouse_ARA!$B$2:$C$1328,2,FALSE)</f>
        <v>PTLp4</v>
      </c>
    </row>
    <row r="7795" spans="2:13" x14ac:dyDescent="0.25">
      <c r="B7795" s="31" t="s">
        <v>26303</v>
      </c>
      <c r="C7795" s="20"/>
      <c r="D7795" s="25" t="s">
        <v>26232</v>
      </c>
      <c r="E7795" s="25" t="s">
        <v>26306</v>
      </c>
      <c r="F7795" s="9" t="str">
        <f t="shared" si="114"/>
        <v>structure with developmental contribution from neural crest</v>
      </c>
      <c r="G7795" s="9" t="s">
        <v>5090</v>
      </c>
      <c r="H7795" s="9" t="s">
        <v>18866</v>
      </c>
      <c r="I7795" s="9" t="s">
        <v>14034</v>
      </c>
      <c r="J7795" s="9" t="s">
        <v>14035</v>
      </c>
      <c r="K7795" s="3" t="s">
        <v>15176</v>
      </c>
      <c r="L7795" s="13">
        <v>638</v>
      </c>
      <c r="M7795" t="str">
        <f>VLOOKUP(L7795,[1]Mouse_ARA!$B$2:$C$1328,2,FALSE)</f>
        <v>GU6a</v>
      </c>
    </row>
    <row r="7796" spans="2:13" x14ac:dyDescent="0.25">
      <c r="B7796" s="31" t="s">
        <v>26303</v>
      </c>
      <c r="C7796" s="25" t="s">
        <v>25883</v>
      </c>
      <c r="D7796" s="25" t="s">
        <v>26232</v>
      </c>
      <c r="E7796" s="25"/>
      <c r="F7796" s="9" t="str">
        <f t="shared" si="114"/>
        <v>structure with developmental contribution from neural crest</v>
      </c>
      <c r="G7796" s="9" t="s">
        <v>5090</v>
      </c>
      <c r="H7796" s="9" t="s">
        <v>19487</v>
      </c>
      <c r="I7796" s="9" t="s">
        <v>14036</v>
      </c>
      <c r="J7796" s="9" t="s">
        <v>14037</v>
      </c>
      <c r="K7796" s="3" t="s">
        <v>15176</v>
      </c>
      <c r="L7796" s="13">
        <v>639</v>
      </c>
      <c r="M7796" t="str">
        <f>VLOOKUP(L7796,[1]Mouse_ARA!$B$2:$C$1328,2,FALSE)</f>
        <v>COAa</v>
      </c>
    </row>
    <row r="7797" spans="2:13" x14ac:dyDescent="0.25">
      <c r="B7797" s="31" t="s">
        <v>26303</v>
      </c>
      <c r="C7797" s="20"/>
      <c r="D7797" s="25" t="s">
        <v>26232</v>
      </c>
      <c r="E7797" s="25" t="s">
        <v>26300</v>
      </c>
      <c r="F7797" s="9" t="str">
        <f t="shared" si="114"/>
        <v>structure with developmental contribution from neural crest</v>
      </c>
      <c r="G7797" s="9" t="s">
        <v>5090</v>
      </c>
      <c r="H7797" s="9" t="s">
        <v>20458</v>
      </c>
      <c r="I7797" s="9" t="s">
        <v>10751</v>
      </c>
      <c r="J7797" s="9" t="s">
        <v>14038</v>
      </c>
      <c r="K7797" s="3" t="s">
        <v>15176</v>
      </c>
      <c r="L7797" s="13">
        <v>640</v>
      </c>
      <c r="M7797" t="str">
        <f>VLOOKUP(L7797,[1]Mouse_ARA!$B$2:$C$1328,2,FALSE)</f>
        <v>EV</v>
      </c>
    </row>
    <row r="7798" spans="2:13" x14ac:dyDescent="0.25">
      <c r="B7798" s="31" t="s">
        <v>26303</v>
      </c>
      <c r="C7798" s="25" t="s">
        <v>2461</v>
      </c>
      <c r="D7798" s="25" t="s">
        <v>26232</v>
      </c>
      <c r="E7798" s="25"/>
      <c r="F7798" s="9" t="str">
        <f t="shared" si="114"/>
        <v>structure with developmental contribution from neural crest</v>
      </c>
      <c r="G7798" s="9" t="s">
        <v>5090</v>
      </c>
      <c r="H7798" s="9" t="s">
        <v>20757</v>
      </c>
      <c r="I7798" s="9" t="s">
        <v>2461</v>
      </c>
      <c r="J7798" s="9" t="s">
        <v>2463</v>
      </c>
      <c r="K7798" s="3" t="s">
        <v>15176</v>
      </c>
      <c r="L7798" s="13">
        <v>641</v>
      </c>
      <c r="M7798" t="str">
        <f>VLOOKUP(L7798,[1]Mouse_ARA!$B$2:$C$1328,2,FALSE)</f>
        <v>ias</v>
      </c>
    </row>
    <row r="7799" spans="2:13" x14ac:dyDescent="0.25">
      <c r="B7799" s="31" t="s">
        <v>26303</v>
      </c>
      <c r="C7799" s="25" t="s">
        <v>3323</v>
      </c>
      <c r="D7799" s="25" t="s">
        <v>26232</v>
      </c>
      <c r="E7799" s="25"/>
      <c r="F7799" s="9" t="str">
        <f t="shared" ref="F7799:F7862" si="115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7799" s="9" t="s">
        <v>5090</v>
      </c>
      <c r="H7799" s="9" t="s">
        <v>20415</v>
      </c>
      <c r="I7799" s="9" t="s">
        <v>3290</v>
      </c>
      <c r="J7799" s="9" t="s">
        <v>3291</v>
      </c>
      <c r="K7799" s="3" t="s">
        <v>15176</v>
      </c>
      <c r="L7799" s="13">
        <v>642</v>
      </c>
      <c r="M7799" t="str">
        <f>VLOOKUP(L7799,[1]Mouse_ARA!$B$2:$C$1328,2,FALSE)</f>
        <v>NTB</v>
      </c>
    </row>
    <row r="7800" spans="2:13" x14ac:dyDescent="0.25">
      <c r="B7800" s="31" t="s">
        <v>26303</v>
      </c>
      <c r="C7800" s="25" t="s">
        <v>25802</v>
      </c>
      <c r="D7800" s="25" t="s">
        <v>26185</v>
      </c>
      <c r="E7800" s="25" t="s">
        <v>26307</v>
      </c>
      <c r="F7800" s="9" t="str">
        <f t="shared" si="115"/>
        <v>structure with developmental contribution from neural crest</v>
      </c>
      <c r="G7800" s="9" t="s">
        <v>5090</v>
      </c>
      <c r="H7800" s="9" t="s">
        <v>18932</v>
      </c>
      <c r="I7800" s="9" t="s">
        <v>14039</v>
      </c>
      <c r="J7800" s="9" t="s">
        <v>14040</v>
      </c>
      <c r="K7800" s="3" t="s">
        <v>15176</v>
      </c>
      <c r="L7800" s="13">
        <v>643</v>
      </c>
      <c r="M7800" t="str">
        <f>VLOOKUP(L7800,[1]Mouse_ARA!$B$2:$C$1328,2,FALSE)</f>
        <v>AUDpo2/3</v>
      </c>
    </row>
    <row r="7801" spans="2:13" x14ac:dyDescent="0.25">
      <c r="B7801" s="31" t="s">
        <v>26303</v>
      </c>
      <c r="C7801" s="20"/>
      <c r="D7801" s="25" t="s">
        <v>26232</v>
      </c>
      <c r="E7801" s="25" t="s">
        <v>26307</v>
      </c>
      <c r="F7801" s="9" t="str">
        <f t="shared" si="115"/>
        <v>structure with developmental contribution from neural crest</v>
      </c>
      <c r="G7801" s="9" t="s">
        <v>5090</v>
      </c>
      <c r="H7801" s="9" t="s">
        <v>18675</v>
      </c>
      <c r="I7801" s="9" t="s">
        <v>14041</v>
      </c>
      <c r="J7801" s="9" t="s">
        <v>14042</v>
      </c>
      <c r="K7801" s="3" t="s">
        <v>15176</v>
      </c>
      <c r="L7801" s="13">
        <v>644</v>
      </c>
      <c r="M7801" t="str">
        <f>VLOOKUP(L7801,[1]Mouse_ARA!$B$2:$C$1328,2,FALSE)</f>
        <v>MO6a</v>
      </c>
    </row>
    <row r="7802" spans="2:13" x14ac:dyDescent="0.25">
      <c r="B7802" s="31" t="s">
        <v>26303</v>
      </c>
      <c r="C7802" s="20"/>
      <c r="D7802" s="25" t="s">
        <v>26232</v>
      </c>
      <c r="E7802" s="25" t="s">
        <v>26306</v>
      </c>
      <c r="F7802" s="9" t="str">
        <f t="shared" si="115"/>
        <v>structure with developmental contribution from neural crest</v>
      </c>
      <c r="G7802" s="9" t="s">
        <v>5090</v>
      </c>
      <c r="H7802" s="9" t="s">
        <v>19461</v>
      </c>
      <c r="I7802" s="9" t="s">
        <v>14043</v>
      </c>
      <c r="J7802" s="9" t="s">
        <v>14044</v>
      </c>
      <c r="K7802" s="3" t="s">
        <v>15176</v>
      </c>
      <c r="L7802" s="13">
        <v>646</v>
      </c>
      <c r="M7802" t="str">
        <f>VLOOKUP(L7802,[1]Mouse_ARA!$B$2:$C$1328,2,FALSE)</f>
        <v>DP5</v>
      </c>
    </row>
    <row r="7803" spans="2:13" x14ac:dyDescent="0.25">
      <c r="B7803" s="31" t="s">
        <v>26303</v>
      </c>
      <c r="C7803" s="25" t="s">
        <v>25883</v>
      </c>
      <c r="D7803" s="25" t="s">
        <v>26232</v>
      </c>
      <c r="E7803" s="25"/>
      <c r="F7803" s="9" t="str">
        <f t="shared" si="115"/>
        <v>structure with developmental contribution from neural crest</v>
      </c>
      <c r="G7803" s="9" t="s">
        <v>5090</v>
      </c>
      <c r="H7803" s="9" t="s">
        <v>19495</v>
      </c>
      <c r="I7803" s="9" t="s">
        <v>14045</v>
      </c>
      <c r="J7803" s="9" t="s">
        <v>14046</v>
      </c>
      <c r="K7803" s="3" t="s">
        <v>15176</v>
      </c>
      <c r="L7803" s="13">
        <v>647</v>
      </c>
      <c r="M7803" t="str">
        <f>VLOOKUP(L7803,[1]Mouse_ARA!$B$2:$C$1328,2,FALSE)</f>
        <v>COAp</v>
      </c>
    </row>
    <row r="7804" spans="2:13" x14ac:dyDescent="0.25">
      <c r="B7804" s="31" t="s">
        <v>26303</v>
      </c>
      <c r="C7804" s="25" t="s">
        <v>26166</v>
      </c>
      <c r="D7804" s="25" t="s">
        <v>26232</v>
      </c>
      <c r="E7804" s="25" t="s">
        <v>26306</v>
      </c>
      <c r="F7804" s="9" t="str">
        <f t="shared" si="115"/>
        <v>structure with developmental contribution from neural crest</v>
      </c>
      <c r="G7804" s="9" t="s">
        <v>5090</v>
      </c>
      <c r="H7804" s="9" t="s">
        <v>18685</v>
      </c>
      <c r="I7804" s="9" t="s">
        <v>14047</v>
      </c>
      <c r="J7804" s="9" t="s">
        <v>14048</v>
      </c>
      <c r="K7804" s="3" t="s">
        <v>15176</v>
      </c>
      <c r="L7804" s="13">
        <v>648</v>
      </c>
      <c r="M7804" t="str">
        <f>VLOOKUP(L7804,[1]Mouse_ARA!$B$2:$C$1328,2,FALSE)</f>
        <v>MOp5</v>
      </c>
    </row>
    <row r="7805" spans="2:13" x14ac:dyDescent="0.25">
      <c r="B7805" s="31" t="s">
        <v>26302</v>
      </c>
      <c r="C7805" s="25" t="s">
        <v>450</v>
      </c>
      <c r="D7805" s="25" t="s">
        <v>26185</v>
      </c>
      <c r="E7805" s="25" t="s">
        <v>26306</v>
      </c>
      <c r="F7805" s="9" t="str">
        <f t="shared" si="115"/>
        <v>structure with developmental contribution from neural crest</v>
      </c>
      <c r="G7805" s="9" t="s">
        <v>5090</v>
      </c>
      <c r="H7805" s="9" t="s">
        <v>18982</v>
      </c>
      <c r="I7805" s="9" t="s">
        <v>14049</v>
      </c>
      <c r="J7805" s="9" t="s">
        <v>14050</v>
      </c>
      <c r="K7805" s="3" t="s">
        <v>15176</v>
      </c>
      <c r="L7805" s="13">
        <v>649</v>
      </c>
      <c r="M7805" t="str">
        <f>VLOOKUP(L7805,[1]Mouse_ARA!$B$2:$C$1328,2,FALSE)</f>
        <v>VISal6b</v>
      </c>
    </row>
    <row r="7806" spans="2:13" x14ac:dyDescent="0.25">
      <c r="B7806" s="31" t="s">
        <v>26303</v>
      </c>
      <c r="C7806" s="25" t="s">
        <v>2549</v>
      </c>
      <c r="D7806" s="25" t="s">
        <v>26232</v>
      </c>
      <c r="E7806" s="25"/>
      <c r="F7806" s="9" t="str">
        <f t="shared" si="115"/>
        <v>structure with developmental contribution from neural crest</v>
      </c>
      <c r="G7806" s="9" t="s">
        <v>5090</v>
      </c>
      <c r="H7806" s="9" t="s">
        <v>20808</v>
      </c>
      <c r="I7806" s="9" t="s">
        <v>2549</v>
      </c>
      <c r="J7806" s="9" t="s">
        <v>2551</v>
      </c>
      <c r="K7806" s="3" t="s">
        <v>15176</v>
      </c>
      <c r="L7806" s="13">
        <v>650</v>
      </c>
      <c r="M7806" t="str">
        <f>VLOOKUP(L7806,[1]Mouse_ARA!$B$2:$C$1328,2,FALSE)</f>
        <v>jrb</v>
      </c>
    </row>
    <row r="7807" spans="2:13" x14ac:dyDescent="0.25">
      <c r="B7807" s="31" t="s">
        <v>26303</v>
      </c>
      <c r="C7807" s="25" t="s">
        <v>26061</v>
      </c>
      <c r="D7807" s="25" t="s">
        <v>26232</v>
      </c>
      <c r="E7807" s="25"/>
      <c r="F7807" s="9" t="str">
        <f t="shared" si="115"/>
        <v>structure with developmental contribution from neural crest</v>
      </c>
      <c r="G7807" s="9" t="s">
        <v>5090</v>
      </c>
      <c r="H7807" s="9" t="s">
        <v>20417</v>
      </c>
      <c r="I7807" s="9" t="s">
        <v>3315</v>
      </c>
      <c r="J7807" s="9" t="s">
        <v>3316</v>
      </c>
      <c r="K7807" s="3" t="s">
        <v>15176</v>
      </c>
      <c r="L7807" s="13">
        <v>651</v>
      </c>
      <c r="M7807" t="str">
        <f>VLOOKUP(L7807,[1]Mouse_ARA!$B$2:$C$1328,2,FALSE)</f>
        <v>NTS</v>
      </c>
    </row>
    <row r="7808" spans="2:13" x14ac:dyDescent="0.25">
      <c r="B7808" s="31" t="s">
        <v>26303</v>
      </c>
      <c r="C7808" s="25" t="s">
        <v>160</v>
      </c>
      <c r="D7808" s="25" t="s">
        <v>26232</v>
      </c>
      <c r="E7808" s="25"/>
      <c r="F7808" s="9" t="str">
        <f t="shared" si="115"/>
        <v>structure with developmental contribution from neural crest</v>
      </c>
      <c r="G7808" s="9" t="s">
        <v>5090</v>
      </c>
      <c r="H7808" s="9" t="s">
        <v>1095</v>
      </c>
      <c r="I7808" s="9" t="s">
        <v>160</v>
      </c>
      <c r="J7808" s="9" t="s">
        <v>165</v>
      </c>
      <c r="K7808" s="3" t="s">
        <v>15176</v>
      </c>
      <c r="L7808" s="13">
        <v>653</v>
      </c>
      <c r="M7808" t="str">
        <f>VLOOKUP(L7808,[1]Mouse_ARA!$B$2:$C$1328,2,FALSE)</f>
        <v>VI</v>
      </c>
    </row>
    <row r="7809" spans="2:13" x14ac:dyDescent="0.25">
      <c r="B7809" s="31" t="s">
        <v>26303</v>
      </c>
      <c r="C7809" s="25" t="s">
        <v>26173</v>
      </c>
      <c r="D7809" s="25" t="s">
        <v>26232</v>
      </c>
      <c r="E7809" s="25" t="s">
        <v>26306</v>
      </c>
      <c r="F7809" s="9" t="str">
        <f t="shared" si="115"/>
        <v>structure with developmental contribution from neural crest</v>
      </c>
      <c r="G7809" s="9" t="s">
        <v>5090</v>
      </c>
      <c r="H7809" s="9" t="s">
        <v>18736</v>
      </c>
      <c r="I7809" s="9" t="s">
        <v>14051</v>
      </c>
      <c r="J7809" s="9" t="s">
        <v>14052</v>
      </c>
      <c r="K7809" s="3" t="s">
        <v>15176</v>
      </c>
      <c r="L7809" s="13">
        <v>654</v>
      </c>
      <c r="M7809" t="str">
        <f>VLOOKUP(L7809,[1]Mouse_ARA!$B$2:$C$1328,2,FALSE)</f>
        <v>SSp-n4</v>
      </c>
    </row>
    <row r="7810" spans="2:13" x14ac:dyDescent="0.25">
      <c r="B7810" s="31" t="s">
        <v>26303</v>
      </c>
      <c r="C7810" s="25" t="s">
        <v>25883</v>
      </c>
      <c r="D7810" s="25" t="s">
        <v>26232</v>
      </c>
      <c r="E7810" s="25" t="s">
        <v>26306</v>
      </c>
      <c r="F7810" s="9" t="str">
        <f t="shared" si="115"/>
        <v>structure with developmental contribution from neural crest</v>
      </c>
      <c r="G7810" s="9" t="s">
        <v>5090</v>
      </c>
      <c r="H7810" s="9" t="s">
        <v>19497</v>
      </c>
      <c r="I7810" s="9" t="s">
        <v>14053</v>
      </c>
      <c r="J7810" s="9" t="s">
        <v>14054</v>
      </c>
      <c r="K7810" s="3" t="s">
        <v>15176</v>
      </c>
      <c r="L7810" s="13">
        <v>655</v>
      </c>
      <c r="M7810" t="str">
        <f>VLOOKUP(L7810,[1]Mouse_ARA!$B$2:$C$1328,2,FALSE)</f>
        <v>COApl</v>
      </c>
    </row>
    <row r="7811" spans="2:13" x14ac:dyDescent="0.25">
      <c r="B7811" s="31" t="s">
        <v>26299</v>
      </c>
      <c r="C7811" s="25" t="s">
        <v>26157</v>
      </c>
      <c r="D7811" s="25" t="s">
        <v>26232</v>
      </c>
      <c r="E7811" s="25" t="s">
        <v>26306</v>
      </c>
      <c r="F7811" s="9" t="str">
        <f t="shared" si="115"/>
        <v>structure with developmental contribution from neural crest</v>
      </c>
      <c r="G7811" s="9" t="s">
        <v>5090</v>
      </c>
      <c r="H7811" s="9" t="s">
        <v>18693</v>
      </c>
      <c r="I7811" s="9" t="s">
        <v>14055</v>
      </c>
      <c r="J7811" s="9" t="s">
        <v>14056</v>
      </c>
      <c r="K7811" s="3" t="s">
        <v>15176</v>
      </c>
      <c r="L7811" s="13">
        <v>656</v>
      </c>
      <c r="M7811" t="str">
        <f>VLOOKUP(L7811,[1]Mouse_ARA!$B$2:$C$1328,2,FALSE)</f>
        <v>MOs1</v>
      </c>
    </row>
    <row r="7812" spans="2:13" x14ac:dyDescent="0.25">
      <c r="B7812" s="31" t="s">
        <v>26303</v>
      </c>
      <c r="C7812" s="25" t="s">
        <v>26173</v>
      </c>
      <c r="D7812" s="25" t="s">
        <v>26232</v>
      </c>
      <c r="E7812" s="25" t="s">
        <v>26306</v>
      </c>
      <c r="F7812" s="9" t="str">
        <f t="shared" si="115"/>
        <v>structure with developmental contribution from neural crest</v>
      </c>
      <c r="G7812" s="9" t="s">
        <v>5090</v>
      </c>
      <c r="H7812" s="9" t="s">
        <v>18790</v>
      </c>
      <c r="I7812" s="9" t="s">
        <v>14057</v>
      </c>
      <c r="J7812" s="9" t="s">
        <v>14058</v>
      </c>
      <c r="K7812" s="3" t="s">
        <v>15176</v>
      </c>
      <c r="L7812" s="13">
        <v>657</v>
      </c>
      <c r="M7812" t="str">
        <f>VLOOKUP(L7812,[1]Mouse_ARA!$B$2:$C$1328,2,FALSE)</f>
        <v>SSp-m2/3</v>
      </c>
    </row>
    <row r="7813" spans="2:13" x14ac:dyDescent="0.25">
      <c r="B7813" s="31" t="s">
        <v>26303</v>
      </c>
      <c r="C7813" s="25" t="s">
        <v>2607</v>
      </c>
      <c r="D7813" s="25" t="s">
        <v>26232</v>
      </c>
      <c r="E7813" s="25"/>
      <c r="F7813" s="9" t="str">
        <f t="shared" si="115"/>
        <v>structure with developmental contribution from neural crest</v>
      </c>
      <c r="G7813" s="9" t="s">
        <v>5090</v>
      </c>
      <c r="H7813" s="9" t="s">
        <v>18469</v>
      </c>
      <c r="I7813" s="9" t="s">
        <v>2607</v>
      </c>
      <c r="J7813" s="9" t="s">
        <v>2612</v>
      </c>
      <c r="K7813" s="3" t="s">
        <v>15176</v>
      </c>
      <c r="L7813" s="13">
        <v>658</v>
      </c>
      <c r="M7813" t="str">
        <f>VLOOKUP(L7813,[1]Mouse_ARA!$B$2:$C$1328,2,FALSE)</f>
        <v>ll</v>
      </c>
    </row>
    <row r="7814" spans="2:13" x14ac:dyDescent="0.25">
      <c r="B7814" s="31" t="s">
        <v>26303</v>
      </c>
      <c r="C7814" s="25" t="s">
        <v>26061</v>
      </c>
      <c r="D7814" s="25" t="s">
        <v>26185</v>
      </c>
      <c r="E7814" s="25" t="s">
        <v>26300</v>
      </c>
      <c r="F7814" s="9" t="str">
        <f t="shared" si="115"/>
        <v>structure with developmental contribution from neural crest</v>
      </c>
      <c r="G7814" s="9" t="s">
        <v>5090</v>
      </c>
      <c r="H7814" s="9" t="s">
        <v>20419</v>
      </c>
      <c r="I7814" s="9" t="s">
        <v>14059</v>
      </c>
      <c r="J7814" s="9" t="s">
        <v>14060</v>
      </c>
      <c r="K7814" s="3" t="s">
        <v>15176</v>
      </c>
      <c r="L7814" s="13">
        <v>659</v>
      </c>
      <c r="M7814" t="str">
        <f>VLOOKUP(L7814,[1]Mouse_ARA!$B$2:$C$1328,2,FALSE)</f>
        <v>NTSce</v>
      </c>
    </row>
    <row r="7815" spans="2:13" x14ac:dyDescent="0.25">
      <c r="B7815" s="31" t="s">
        <v>26303</v>
      </c>
      <c r="C7815" s="25" t="s">
        <v>1809</v>
      </c>
      <c r="D7815" s="25" t="s">
        <v>26232</v>
      </c>
      <c r="E7815" s="25"/>
      <c r="F7815" s="9" t="str">
        <f t="shared" si="115"/>
        <v>structure with developmental contribution from neural crest</v>
      </c>
      <c r="G7815" s="9" t="s">
        <v>5090</v>
      </c>
      <c r="H7815" s="9" t="s">
        <v>20454</v>
      </c>
      <c r="I7815" s="9" t="s">
        <v>1809</v>
      </c>
      <c r="J7815" s="9" t="s">
        <v>1812</v>
      </c>
      <c r="K7815" s="3" t="s">
        <v>15176</v>
      </c>
      <c r="L7815" s="13">
        <v>661</v>
      </c>
      <c r="M7815" t="str">
        <f>VLOOKUP(L7815,[1]Mouse_ARA!$B$2:$C$1328,2,FALSE)</f>
        <v>VII</v>
      </c>
    </row>
    <row r="7816" spans="2:13" x14ac:dyDescent="0.25">
      <c r="B7816" s="31" t="s">
        <v>26303</v>
      </c>
      <c r="C7816" s="20"/>
      <c r="D7816" s="25" t="s">
        <v>26232</v>
      </c>
      <c r="E7816" s="25" t="s">
        <v>26306</v>
      </c>
      <c r="F7816" s="9" t="str">
        <f t="shared" si="115"/>
        <v>structure with developmental contribution from neural crest</v>
      </c>
      <c r="G7816" s="9" t="s">
        <v>5090</v>
      </c>
      <c r="H7816" s="9" t="s">
        <v>18868</v>
      </c>
      <c r="I7816" s="9" t="s">
        <v>14061</v>
      </c>
      <c r="J7816" s="9" t="s">
        <v>14062</v>
      </c>
      <c r="K7816" s="3" t="s">
        <v>15176</v>
      </c>
      <c r="L7816" s="13">
        <v>662</v>
      </c>
      <c r="M7816" t="str">
        <f>VLOOKUP(L7816,[1]Mouse_ARA!$B$2:$C$1328,2,FALSE)</f>
        <v>GU6b</v>
      </c>
    </row>
    <row r="7817" spans="2:13" x14ac:dyDescent="0.25">
      <c r="B7817" s="31" t="s">
        <v>26303</v>
      </c>
      <c r="C7817" s="25" t="s">
        <v>25883</v>
      </c>
      <c r="D7817" s="25" t="s">
        <v>26232</v>
      </c>
      <c r="E7817" s="25" t="s">
        <v>26306</v>
      </c>
      <c r="F7817" s="9" t="str">
        <f t="shared" si="115"/>
        <v>structure with developmental contribution from neural crest</v>
      </c>
      <c r="G7817" s="9" t="s">
        <v>5090</v>
      </c>
      <c r="H7817" s="9" t="s">
        <v>19509</v>
      </c>
      <c r="I7817" s="9" t="s">
        <v>14063</v>
      </c>
      <c r="J7817" s="9" t="s">
        <v>14064</v>
      </c>
      <c r="K7817" s="3" t="s">
        <v>15176</v>
      </c>
      <c r="L7817" s="13">
        <v>663</v>
      </c>
      <c r="M7817" t="str">
        <f>VLOOKUP(L7817,[1]Mouse_ARA!$B$2:$C$1328,2,FALSE)</f>
        <v>COApm</v>
      </c>
    </row>
    <row r="7818" spans="2:13" x14ac:dyDescent="0.25">
      <c r="B7818" s="31" t="s">
        <v>26303</v>
      </c>
      <c r="C7818" s="25" t="s">
        <v>26020</v>
      </c>
      <c r="D7818" s="25" t="s">
        <v>26232</v>
      </c>
      <c r="E7818" s="25" t="s">
        <v>26306</v>
      </c>
      <c r="F7818" s="9" t="str">
        <f t="shared" si="115"/>
        <v>structure with developmental contribution from neural crest</v>
      </c>
      <c r="G7818" s="9" t="s">
        <v>5090</v>
      </c>
      <c r="H7818" s="9" t="s">
        <v>19625</v>
      </c>
      <c r="I7818" s="9" t="s">
        <v>14065</v>
      </c>
      <c r="J7818" s="9" t="s">
        <v>14066</v>
      </c>
      <c r="K7818" s="3" t="s">
        <v>15176</v>
      </c>
      <c r="L7818" s="13">
        <v>664</v>
      </c>
      <c r="M7818" t="str">
        <f>VLOOKUP(L7818,[1]Mouse_ARA!$B$2:$C$1328,2,FALSE)</f>
        <v>ENTm3</v>
      </c>
    </row>
    <row r="7819" spans="2:13" x14ac:dyDescent="0.25">
      <c r="B7819" s="31" t="s">
        <v>26303</v>
      </c>
      <c r="C7819" s="25" t="s">
        <v>3464</v>
      </c>
      <c r="D7819" s="25" t="s">
        <v>26185</v>
      </c>
      <c r="E7819" s="25" t="s">
        <v>26300</v>
      </c>
      <c r="F7819" s="9" t="str">
        <f t="shared" si="115"/>
        <v>structure with developmental contribution from neural crest</v>
      </c>
      <c r="G7819" s="9" t="s">
        <v>5090</v>
      </c>
      <c r="H7819" s="9" t="s">
        <v>18468</v>
      </c>
      <c r="I7819" s="9" t="s">
        <v>2649</v>
      </c>
      <c r="J7819" s="9" t="s">
        <v>2650</v>
      </c>
      <c r="K7819" s="3" t="s">
        <v>15176</v>
      </c>
      <c r="L7819" s="13">
        <v>665</v>
      </c>
      <c r="M7819" t="str">
        <f>VLOOKUP(L7819,[1]Mouse_ARA!$B$2:$C$1328,2,FALSE)</f>
        <v>lot</v>
      </c>
    </row>
    <row r="7820" spans="2:13" x14ac:dyDescent="0.25">
      <c r="B7820" s="31" t="s">
        <v>26303</v>
      </c>
      <c r="C7820" s="25" t="s">
        <v>26061</v>
      </c>
      <c r="D7820" s="25" t="s">
        <v>26185</v>
      </c>
      <c r="E7820" s="25"/>
      <c r="F7820" s="9" t="str">
        <f t="shared" si="115"/>
        <v>structure with developmental contribution from neural crest</v>
      </c>
      <c r="G7820" s="9" t="s">
        <v>5090</v>
      </c>
      <c r="H7820" s="9" t="s">
        <v>20421</v>
      </c>
      <c r="I7820" s="9" t="s">
        <v>14067</v>
      </c>
      <c r="J7820" s="9" t="s">
        <v>14068</v>
      </c>
      <c r="K7820" s="3" t="s">
        <v>15176</v>
      </c>
      <c r="L7820" s="13">
        <v>666</v>
      </c>
      <c r="M7820" t="str">
        <f>VLOOKUP(L7820,[1]Mouse_ARA!$B$2:$C$1328,2,FALSE)</f>
        <v>NTSco</v>
      </c>
    </row>
    <row r="7821" spans="2:13" x14ac:dyDescent="0.25">
      <c r="B7821" s="31" t="s">
        <v>26303</v>
      </c>
      <c r="C7821" s="25" t="s">
        <v>2027</v>
      </c>
      <c r="D7821" s="25" t="s">
        <v>26232</v>
      </c>
      <c r="E7821" s="25" t="s">
        <v>26306</v>
      </c>
      <c r="F7821" s="9" t="str">
        <f t="shared" si="115"/>
        <v>structure with developmental contribution from neural crest</v>
      </c>
      <c r="G7821" s="9" t="s">
        <v>5090</v>
      </c>
      <c r="H7821" s="9" t="s">
        <v>18659</v>
      </c>
      <c r="I7821" s="9" t="s">
        <v>14069</v>
      </c>
      <c r="J7821" s="9" t="s">
        <v>14070</v>
      </c>
      <c r="K7821" s="3" t="s">
        <v>15176</v>
      </c>
      <c r="L7821" s="13">
        <v>667</v>
      </c>
      <c r="M7821" t="str">
        <f>VLOOKUP(L7821,[1]Mouse_ARA!$B$2:$C$1328,2,FALSE)</f>
        <v>FRP2/3</v>
      </c>
    </row>
    <row r="7822" spans="2:13" x14ac:dyDescent="0.25">
      <c r="B7822" s="31" t="s">
        <v>26303</v>
      </c>
      <c r="C7822" s="25" t="s">
        <v>26173</v>
      </c>
      <c r="D7822" s="25" t="s">
        <v>26232</v>
      </c>
      <c r="E7822" s="25" t="s">
        <v>26306</v>
      </c>
      <c r="F7822" s="9" t="str">
        <f t="shared" si="115"/>
        <v>structure with developmental contribution from neural crest</v>
      </c>
      <c r="G7822" s="9" t="s">
        <v>5090</v>
      </c>
      <c r="H7822" s="9" t="s">
        <v>18818</v>
      </c>
      <c r="I7822" s="9" t="s">
        <v>14071</v>
      </c>
      <c r="J7822" s="9" t="s">
        <v>14072</v>
      </c>
      <c r="K7822" s="3" t="s">
        <v>15176</v>
      </c>
      <c r="L7822" s="13">
        <v>670</v>
      </c>
      <c r="M7822" t="str">
        <f>VLOOKUP(L7822,[1]Mouse_ARA!$B$2:$C$1328,2,FALSE)</f>
        <v>SSp-tr2/3</v>
      </c>
    </row>
    <row r="7823" spans="2:13" x14ac:dyDescent="0.25">
      <c r="B7823" s="31" t="s">
        <v>26299</v>
      </c>
      <c r="C7823" s="25" t="s">
        <v>26190</v>
      </c>
      <c r="D7823" s="25" t="s">
        <v>26232</v>
      </c>
      <c r="E7823" s="25" t="s">
        <v>26306</v>
      </c>
      <c r="F7823" s="9" t="str">
        <f t="shared" si="115"/>
        <v>structure with developmental contribution from neural crest</v>
      </c>
      <c r="G7823" s="9" t="s">
        <v>5090</v>
      </c>
      <c r="H7823" s="9" t="s">
        <v>19232</v>
      </c>
      <c r="I7823" s="9" t="s">
        <v>14073</v>
      </c>
      <c r="J7823" s="9" t="s">
        <v>14074</v>
      </c>
      <c r="K7823" s="3" t="s">
        <v>15176</v>
      </c>
      <c r="L7823" s="13">
        <v>671</v>
      </c>
      <c r="M7823" t="str">
        <f>VLOOKUP(L7823,[1]Mouse_ARA!$B$2:$C$1328,2,FALSE)</f>
        <v>RSPagl1</v>
      </c>
    </row>
    <row r="7824" spans="2:13" x14ac:dyDescent="0.25">
      <c r="B7824" s="31" t="s">
        <v>26303</v>
      </c>
      <c r="C7824" s="25" t="s">
        <v>25826</v>
      </c>
      <c r="D7824" s="25" t="s">
        <v>26232</v>
      </c>
      <c r="E7824" s="25"/>
      <c r="F7824" s="9" t="str">
        <f t="shared" si="115"/>
        <v>structure with developmental contribution from neural crest</v>
      </c>
      <c r="G7824" s="9" t="s">
        <v>5090</v>
      </c>
      <c r="H7824" s="9" t="s">
        <v>19744</v>
      </c>
      <c r="I7824" s="9" t="s">
        <v>908</v>
      </c>
      <c r="J7824" s="9" t="s">
        <v>909</v>
      </c>
      <c r="K7824" s="3" t="s">
        <v>15176</v>
      </c>
      <c r="L7824" s="13">
        <v>672</v>
      </c>
      <c r="M7824" t="str">
        <f>VLOOKUP(L7824,[1]Mouse_ARA!$B$2:$C$1328,2,FALSE)</f>
        <v>CP</v>
      </c>
    </row>
    <row r="7825" spans="2:13" x14ac:dyDescent="0.25">
      <c r="B7825" s="31" t="s">
        <v>26303</v>
      </c>
      <c r="C7825" s="25" t="s">
        <v>25771</v>
      </c>
      <c r="D7825" s="25" t="s">
        <v>26232</v>
      </c>
      <c r="E7825" s="25" t="s">
        <v>26306</v>
      </c>
      <c r="F7825" s="9" t="str">
        <f t="shared" si="115"/>
        <v>structure with developmental contribution from neural crest</v>
      </c>
      <c r="G7825" s="9" t="s">
        <v>5090</v>
      </c>
      <c r="H7825" s="9" t="s">
        <v>19225</v>
      </c>
      <c r="I7825" s="9" t="s">
        <v>14075</v>
      </c>
      <c r="J7825" s="9" t="s">
        <v>14076</v>
      </c>
      <c r="K7825" s="3" t="s">
        <v>15176</v>
      </c>
      <c r="L7825" s="13">
        <v>675</v>
      </c>
      <c r="M7825" t="str">
        <f>VLOOKUP(L7825,[1]Mouse_ARA!$B$2:$C$1328,2,FALSE)</f>
        <v>AIv6a</v>
      </c>
    </row>
    <row r="7826" spans="2:13" x14ac:dyDescent="0.25">
      <c r="B7826" s="31" t="s">
        <v>26303</v>
      </c>
      <c r="C7826" s="20"/>
      <c r="D7826" s="25" t="s">
        <v>26232</v>
      </c>
      <c r="E7826" s="25" t="s">
        <v>26300</v>
      </c>
      <c r="F7826" s="9" t="str">
        <f t="shared" si="115"/>
        <v>structure with developmental contribution from neural crest</v>
      </c>
      <c r="G7826" s="9" t="s">
        <v>5090</v>
      </c>
      <c r="H7826" s="9" t="s">
        <v>18870</v>
      </c>
      <c r="I7826" s="9" t="s">
        <v>14077</v>
      </c>
      <c r="J7826" s="9" t="s">
        <v>14078</v>
      </c>
      <c r="K7826" s="3" t="s">
        <v>15176</v>
      </c>
      <c r="L7826" s="13">
        <v>677</v>
      </c>
      <c r="M7826" t="str">
        <f>VLOOKUP(L7826,[1]Mouse_ARA!$B$2:$C$1328,2,FALSE)</f>
        <v>VISC</v>
      </c>
    </row>
    <row r="7827" spans="2:13" x14ac:dyDescent="0.25">
      <c r="B7827" s="31" t="s">
        <v>26303</v>
      </c>
      <c r="C7827" s="25" t="s">
        <v>3060</v>
      </c>
      <c r="D7827" s="25" t="s">
        <v>26232</v>
      </c>
      <c r="E7827" s="25"/>
      <c r="F7827" s="9" t="str">
        <f t="shared" si="115"/>
        <v>structure with developmental contribution from neural crest</v>
      </c>
      <c r="G7827" s="9" t="s">
        <v>5090</v>
      </c>
      <c r="H7827" s="9" t="s">
        <v>20372</v>
      </c>
      <c r="I7827" s="9" t="s">
        <v>2278</v>
      </c>
      <c r="J7827" s="9" t="s">
        <v>2279</v>
      </c>
      <c r="K7827" s="3" t="s">
        <v>15176</v>
      </c>
      <c r="L7827" s="13">
        <v>679</v>
      </c>
      <c r="M7827" t="str">
        <f>VLOOKUP(L7827,[1]Mouse_ARA!$B$2:$C$1328,2,FALSE)</f>
        <v>CS</v>
      </c>
    </row>
    <row r="7828" spans="2:13" x14ac:dyDescent="0.25">
      <c r="B7828" s="31" t="s">
        <v>26303</v>
      </c>
      <c r="C7828" s="25" t="s">
        <v>2027</v>
      </c>
      <c r="D7828" s="25" t="s">
        <v>26232</v>
      </c>
      <c r="E7828" s="25" t="s">
        <v>26306</v>
      </c>
      <c r="F7828" s="9" t="str">
        <f t="shared" si="115"/>
        <v>structure with developmental contribution from neural crest</v>
      </c>
      <c r="G7828" s="9" t="s">
        <v>5090</v>
      </c>
      <c r="H7828" s="9" t="s">
        <v>18657</v>
      </c>
      <c r="I7828" s="9" t="s">
        <v>14079</v>
      </c>
      <c r="J7828" s="9" t="s">
        <v>14080</v>
      </c>
      <c r="K7828" s="3" t="s">
        <v>15176</v>
      </c>
      <c r="L7828" s="13">
        <v>68</v>
      </c>
      <c r="M7828" t="str">
        <f>VLOOKUP(L7828,[1]Mouse_ARA!$B$2:$C$1328,2,FALSE)</f>
        <v>FRP1</v>
      </c>
    </row>
    <row r="7829" spans="2:13" x14ac:dyDescent="0.25">
      <c r="B7829" s="31" t="s">
        <v>26299</v>
      </c>
      <c r="C7829" s="25" t="s">
        <v>26080</v>
      </c>
      <c r="D7829" s="25" t="s">
        <v>26232</v>
      </c>
      <c r="E7829" s="25" t="s">
        <v>26306</v>
      </c>
      <c r="F7829" s="9" t="str">
        <f t="shared" si="115"/>
        <v>structure with developmental contribution from neural crest</v>
      </c>
      <c r="G7829" s="9" t="s">
        <v>5090</v>
      </c>
      <c r="H7829" s="9" t="s">
        <v>19189</v>
      </c>
      <c r="I7829" s="9" t="s">
        <v>14081</v>
      </c>
      <c r="J7829" s="9" t="s">
        <v>14082</v>
      </c>
      <c r="K7829" s="3" t="s">
        <v>15176</v>
      </c>
      <c r="L7829" s="13">
        <v>680</v>
      </c>
      <c r="M7829" t="str">
        <f>VLOOKUP(L7829,[1]Mouse_ARA!$B$2:$C$1328,2,FALSE)</f>
        <v>ORBvl6b</v>
      </c>
    </row>
    <row r="7830" spans="2:13" x14ac:dyDescent="0.25">
      <c r="B7830" s="31" t="s">
        <v>26303</v>
      </c>
      <c r="C7830" s="25" t="s">
        <v>26061</v>
      </c>
      <c r="D7830" s="25" t="s">
        <v>26185</v>
      </c>
      <c r="E7830" s="25" t="s">
        <v>26300</v>
      </c>
      <c r="F7830" s="9" t="str">
        <f t="shared" si="115"/>
        <v>structure with developmental contribution from neural crest</v>
      </c>
      <c r="G7830" s="9" t="s">
        <v>5090</v>
      </c>
      <c r="H7830" s="9" t="s">
        <v>20425</v>
      </c>
      <c r="I7830" s="9" t="s">
        <v>14083</v>
      </c>
      <c r="J7830" s="9" t="s">
        <v>14084</v>
      </c>
      <c r="K7830" s="3" t="s">
        <v>15176</v>
      </c>
      <c r="L7830" s="13">
        <v>682</v>
      </c>
      <c r="M7830" t="str">
        <f>VLOOKUP(L7830,[1]Mouse_ARA!$B$2:$C$1328,2,FALSE)</f>
        <v>NTSl</v>
      </c>
    </row>
    <row r="7831" spans="2:13" x14ac:dyDescent="0.25">
      <c r="B7831" s="31" t="s">
        <v>26303</v>
      </c>
      <c r="C7831" s="25" t="s">
        <v>3973</v>
      </c>
      <c r="D7831" s="25" t="s">
        <v>26232</v>
      </c>
      <c r="E7831" s="25" t="s">
        <v>26306</v>
      </c>
      <c r="F7831" s="9" t="str">
        <f t="shared" si="115"/>
        <v>structure with developmental contribution from neural crest</v>
      </c>
      <c r="G7831" s="9" t="s">
        <v>5090</v>
      </c>
      <c r="H7831" s="9" t="s">
        <v>19320</v>
      </c>
      <c r="I7831" s="9" t="s">
        <v>14085</v>
      </c>
      <c r="J7831" s="9" t="s">
        <v>14086</v>
      </c>
      <c r="K7831" s="3" t="s">
        <v>15176</v>
      </c>
      <c r="L7831" s="13">
        <v>683</v>
      </c>
      <c r="M7831" t="str">
        <f>VLOOKUP(L7831,[1]Mouse_ARA!$B$2:$C$1328,2,FALSE)</f>
        <v>PTLp5</v>
      </c>
    </row>
    <row r="7832" spans="2:13" x14ac:dyDescent="0.25">
      <c r="B7832" s="31" t="s">
        <v>26303</v>
      </c>
      <c r="C7832" s="25" t="s">
        <v>26173</v>
      </c>
      <c r="D7832" s="25" t="s">
        <v>26232</v>
      </c>
      <c r="E7832" s="25" t="s">
        <v>26306</v>
      </c>
      <c r="F7832" s="9" t="str">
        <f t="shared" si="115"/>
        <v>structure with developmental contribution from neural crest</v>
      </c>
      <c r="G7832" s="9" t="s">
        <v>5090</v>
      </c>
      <c r="H7832" s="9" t="s">
        <v>18726</v>
      </c>
      <c r="I7832" s="9" t="s">
        <v>14087</v>
      </c>
      <c r="J7832" s="9" t="s">
        <v>14088</v>
      </c>
      <c r="K7832" s="3" t="s">
        <v>15176</v>
      </c>
      <c r="L7832" s="13">
        <v>686</v>
      </c>
      <c r="M7832" t="str">
        <f>VLOOKUP(L7832,[1]Mouse_ARA!$B$2:$C$1328,2,FALSE)</f>
        <v>SSp6a</v>
      </c>
    </row>
    <row r="7833" spans="2:13" x14ac:dyDescent="0.25">
      <c r="B7833" s="31" t="s">
        <v>26299</v>
      </c>
      <c r="C7833" s="25" t="s">
        <v>26189</v>
      </c>
      <c r="D7833" s="25" t="s">
        <v>26232</v>
      </c>
      <c r="E7833" s="25" t="s">
        <v>26306</v>
      </c>
      <c r="F7833" s="9" t="str">
        <f t="shared" si="115"/>
        <v>structure with developmental contribution from neural crest</v>
      </c>
      <c r="G7833" s="9" t="s">
        <v>5090</v>
      </c>
      <c r="H7833" s="9" t="s">
        <v>19306</v>
      </c>
      <c r="I7833" s="9" t="s">
        <v>14089</v>
      </c>
      <c r="J7833" s="9" t="s">
        <v>14090</v>
      </c>
      <c r="K7833" s="3" t="s">
        <v>15176</v>
      </c>
      <c r="L7833" s="13">
        <v>687</v>
      </c>
      <c r="M7833" t="str">
        <f>VLOOKUP(L7833,[1]Mouse_ARA!$B$2:$C$1328,2,FALSE)</f>
        <v>RSPv5</v>
      </c>
    </row>
    <row r="7834" spans="2:13" x14ac:dyDescent="0.25">
      <c r="B7834" s="31" t="s">
        <v>26303</v>
      </c>
      <c r="C7834" s="25" t="s">
        <v>1180</v>
      </c>
      <c r="D7834" s="25" t="s">
        <v>26232</v>
      </c>
      <c r="E7834" s="25"/>
      <c r="F7834" s="9" t="str">
        <f t="shared" si="115"/>
        <v>structure with developmental contribution from neural crest</v>
      </c>
      <c r="G7834" s="9" t="s">
        <v>5090</v>
      </c>
      <c r="H7834" s="9" t="s">
        <v>18650</v>
      </c>
      <c r="I7834" s="9" t="s">
        <v>1180</v>
      </c>
      <c r="J7834" s="9" t="s">
        <v>1183</v>
      </c>
      <c r="K7834" s="3" t="s">
        <v>15176</v>
      </c>
      <c r="L7834" s="13">
        <v>688</v>
      </c>
      <c r="M7834" t="str">
        <f>VLOOKUP(L7834,[1]Mouse_ARA!$B$2:$C$1328,2,FALSE)</f>
        <v>CTX</v>
      </c>
    </row>
    <row r="7835" spans="2:13" x14ac:dyDescent="0.25">
      <c r="B7835" s="31" t="s">
        <v>26303</v>
      </c>
      <c r="C7835" s="25" t="s">
        <v>26076</v>
      </c>
      <c r="D7835" s="25" t="s">
        <v>26232</v>
      </c>
      <c r="E7835" s="25"/>
      <c r="F7835" s="9" t="str">
        <f t="shared" si="115"/>
        <v>structure with developmental contribution from neural crest</v>
      </c>
      <c r="G7835" s="9" t="s">
        <v>5090</v>
      </c>
      <c r="H7835" s="9" t="s">
        <v>20443</v>
      </c>
      <c r="I7835" s="9" t="s">
        <v>14091</v>
      </c>
      <c r="J7835" s="9" t="s">
        <v>14092</v>
      </c>
      <c r="K7835" s="3" t="s">
        <v>15176</v>
      </c>
      <c r="L7835" s="13">
        <v>69</v>
      </c>
      <c r="M7835" t="str">
        <f>VLOOKUP(L7835,[1]Mouse_ARA!$B$2:$C$1328,2,FALSE)</f>
        <v>SPVOvl</v>
      </c>
    </row>
    <row r="7836" spans="2:13" x14ac:dyDescent="0.25">
      <c r="B7836" s="31" t="s">
        <v>26303</v>
      </c>
      <c r="C7836" s="25" t="s">
        <v>3815</v>
      </c>
      <c r="D7836" s="25" t="s">
        <v>26232</v>
      </c>
      <c r="E7836" s="25" t="s">
        <v>26306</v>
      </c>
      <c r="F7836" s="9" t="str">
        <f t="shared" si="115"/>
        <v>structure with developmental contribution from neural crest</v>
      </c>
      <c r="G7836" s="9" t="s">
        <v>5090</v>
      </c>
      <c r="H7836" s="9" t="s">
        <v>19374</v>
      </c>
      <c r="I7836" s="9" t="s">
        <v>14093</v>
      </c>
      <c r="J7836" s="9" t="s">
        <v>14094</v>
      </c>
      <c r="K7836" s="3" t="s">
        <v>15176</v>
      </c>
      <c r="L7836" s="13">
        <v>692</v>
      </c>
      <c r="M7836" t="str">
        <f>VLOOKUP(L7836,[1]Mouse_ARA!$B$2:$C$1328,2,FALSE)</f>
        <v>PERI5</v>
      </c>
    </row>
    <row r="7837" spans="2:13" x14ac:dyDescent="0.25">
      <c r="B7837" s="31" t="s">
        <v>26303</v>
      </c>
      <c r="C7837" s="25" t="s">
        <v>25771</v>
      </c>
      <c r="D7837" s="25" t="s">
        <v>26232</v>
      </c>
      <c r="E7837" s="25" t="s">
        <v>26306</v>
      </c>
      <c r="F7837" s="9" t="str">
        <f t="shared" si="115"/>
        <v>structure with developmental contribution from neural crest</v>
      </c>
      <c r="G7837" s="9" t="s">
        <v>5090</v>
      </c>
      <c r="H7837" s="9" t="s">
        <v>19221</v>
      </c>
      <c r="I7837" s="9" t="s">
        <v>14095</v>
      </c>
      <c r="J7837" s="9" t="s">
        <v>14096</v>
      </c>
      <c r="K7837" s="3" t="s">
        <v>15176</v>
      </c>
      <c r="L7837" s="13">
        <v>694</v>
      </c>
      <c r="M7837" t="str">
        <f>VLOOKUP(L7837,[1]Mouse_ARA!$B$2:$C$1328,2,FALSE)</f>
        <v>AIv2/3</v>
      </c>
    </row>
    <row r="7838" spans="2:13" x14ac:dyDescent="0.25">
      <c r="B7838" s="31" t="s">
        <v>26303</v>
      </c>
      <c r="C7838" s="25" t="s">
        <v>1347</v>
      </c>
      <c r="D7838" s="25" t="s">
        <v>26232</v>
      </c>
      <c r="E7838" s="25"/>
      <c r="F7838" s="9" t="str">
        <f t="shared" si="115"/>
        <v>structure with developmental contribution from neural crest</v>
      </c>
      <c r="G7838" s="9" t="s">
        <v>5090</v>
      </c>
      <c r="H7838" s="9" t="s">
        <v>18652</v>
      </c>
      <c r="I7838" s="9" t="s">
        <v>1347</v>
      </c>
      <c r="J7838" s="9" t="s">
        <v>1349</v>
      </c>
      <c r="K7838" s="3" t="s">
        <v>15176</v>
      </c>
      <c r="L7838" s="13">
        <v>695</v>
      </c>
      <c r="M7838" t="str">
        <f>VLOOKUP(L7838,[1]Mouse_ARA!$B$2:$C$1328,2,FALSE)</f>
        <v>CTXpl</v>
      </c>
    </row>
    <row r="7839" spans="2:13" x14ac:dyDescent="0.25">
      <c r="B7839" s="31" t="s">
        <v>26303</v>
      </c>
      <c r="C7839" s="25" t="s">
        <v>25802</v>
      </c>
      <c r="D7839" s="25" t="s">
        <v>26185</v>
      </c>
      <c r="E7839" s="25" t="s">
        <v>26307</v>
      </c>
      <c r="F7839" s="9" t="str">
        <f t="shared" si="115"/>
        <v>structure with developmental contribution from neural crest</v>
      </c>
      <c r="G7839" s="9" t="s">
        <v>5090</v>
      </c>
      <c r="H7839" s="9" t="s">
        <v>18930</v>
      </c>
      <c r="I7839" s="9" t="s">
        <v>14097</v>
      </c>
      <c r="J7839" s="9" t="s">
        <v>14098</v>
      </c>
      <c r="K7839" s="3" t="s">
        <v>15176</v>
      </c>
      <c r="L7839" s="13">
        <v>696</v>
      </c>
      <c r="M7839" t="str">
        <f>VLOOKUP(L7839,[1]Mouse_ARA!$B$2:$C$1328,2,FALSE)</f>
        <v>AUDpo1</v>
      </c>
    </row>
    <row r="7840" spans="2:13" x14ac:dyDescent="0.25">
      <c r="B7840" s="31" t="s">
        <v>26303</v>
      </c>
      <c r="C7840" s="25" t="s">
        <v>26073</v>
      </c>
      <c r="D7840" s="25" t="s">
        <v>26232</v>
      </c>
      <c r="E7840" s="25"/>
      <c r="F7840" s="9" t="str">
        <f t="shared" si="115"/>
        <v>structure with developmental contribution from neural crest</v>
      </c>
      <c r="G7840" s="9" t="s">
        <v>5090</v>
      </c>
      <c r="H7840" s="9" t="s">
        <v>19392</v>
      </c>
      <c r="I7840" s="9" t="s">
        <v>14099</v>
      </c>
      <c r="J7840" s="9" t="s">
        <v>14100</v>
      </c>
      <c r="K7840" s="3" t="s">
        <v>15176</v>
      </c>
      <c r="L7840" s="13">
        <v>698</v>
      </c>
      <c r="M7840" t="str">
        <f>VLOOKUP(L7840,[1]Mouse_ARA!$B$2:$C$1328,2,FALSE)</f>
        <v>OLF</v>
      </c>
    </row>
    <row r="7841" spans="2:13" x14ac:dyDescent="0.25">
      <c r="B7841" s="31" t="s">
        <v>26303</v>
      </c>
      <c r="C7841" s="25" t="s">
        <v>25771</v>
      </c>
      <c r="D7841" s="25" t="s">
        <v>26232</v>
      </c>
      <c r="E7841" s="25" t="s">
        <v>26306</v>
      </c>
      <c r="F7841" s="9" t="str">
        <f t="shared" si="115"/>
        <v>structure with developmental contribution from neural crest</v>
      </c>
      <c r="G7841" s="9" t="s">
        <v>5090</v>
      </c>
      <c r="H7841" s="9" t="s">
        <v>19227</v>
      </c>
      <c r="I7841" s="9" t="s">
        <v>14101</v>
      </c>
      <c r="J7841" s="9" t="s">
        <v>14102</v>
      </c>
      <c r="K7841" s="3" t="s">
        <v>15176</v>
      </c>
      <c r="L7841" s="13">
        <v>699</v>
      </c>
      <c r="M7841" t="str">
        <f>VLOOKUP(L7841,[1]Mouse_ARA!$B$2:$C$1328,2,FALSE)</f>
        <v>AIv6b</v>
      </c>
    </row>
    <row r="7842" spans="2:13" x14ac:dyDescent="0.25">
      <c r="B7842" s="31" t="s">
        <v>26303</v>
      </c>
      <c r="C7842" s="25" t="s">
        <v>4194</v>
      </c>
      <c r="D7842" s="25" t="s">
        <v>26232</v>
      </c>
      <c r="E7842" s="25"/>
      <c r="F7842" s="9" t="str">
        <f t="shared" si="115"/>
        <v>structure with developmental contribution from neural crest</v>
      </c>
      <c r="G7842" s="9" t="s">
        <v>5090</v>
      </c>
      <c r="H7842" s="9" t="s">
        <v>20307</v>
      </c>
      <c r="I7842" s="9" t="s">
        <v>4198</v>
      </c>
      <c r="J7842" s="9" t="s">
        <v>4199</v>
      </c>
      <c r="K7842" s="3" t="s">
        <v>15176</v>
      </c>
      <c r="L7842" s="13">
        <v>7</v>
      </c>
      <c r="M7842" t="str">
        <f>VLOOKUP(L7842,[1]Mouse_ARA!$B$2:$C$1328,2,FALSE)</f>
        <v>PSV</v>
      </c>
    </row>
    <row r="7843" spans="2:13" x14ac:dyDescent="0.25">
      <c r="B7843" s="31" t="s">
        <v>26303</v>
      </c>
      <c r="C7843" s="25" t="s">
        <v>26286</v>
      </c>
      <c r="D7843" s="25" t="s">
        <v>26232</v>
      </c>
      <c r="E7843" s="25"/>
      <c r="F7843" s="9" t="str">
        <f t="shared" si="115"/>
        <v>structure with developmental contribution from neural crest</v>
      </c>
      <c r="G7843" s="9" t="s">
        <v>5090</v>
      </c>
      <c r="H7843" s="9" t="s">
        <v>20522</v>
      </c>
      <c r="I7843" s="9" t="s">
        <v>14103</v>
      </c>
      <c r="J7843" s="9" t="s">
        <v>14104</v>
      </c>
      <c r="K7843" s="3" t="s">
        <v>15176</v>
      </c>
      <c r="L7843" s="13">
        <v>701</v>
      </c>
      <c r="M7843" t="str">
        <f>VLOOKUP(L7843,[1]Mouse_ARA!$B$2:$C$1328,2,FALSE)</f>
        <v>VNC</v>
      </c>
    </row>
    <row r="7844" spans="2:13" x14ac:dyDescent="0.25">
      <c r="B7844" s="31" t="s">
        <v>26303</v>
      </c>
      <c r="C7844" s="25" t="s">
        <v>26173</v>
      </c>
      <c r="D7844" s="25" t="s">
        <v>26232</v>
      </c>
      <c r="E7844" s="25" t="s">
        <v>26306</v>
      </c>
      <c r="F7844" s="9" t="str">
        <f t="shared" si="115"/>
        <v>structure with developmental contribution from neural crest</v>
      </c>
      <c r="G7844" s="9" t="s">
        <v>5090</v>
      </c>
      <c r="H7844" s="9" t="s">
        <v>18738</v>
      </c>
      <c r="I7844" s="9" t="s">
        <v>14105</v>
      </c>
      <c r="J7844" s="9" t="s">
        <v>14106</v>
      </c>
      <c r="K7844" s="3" t="s">
        <v>15176</v>
      </c>
      <c r="L7844" s="13">
        <v>702</v>
      </c>
      <c r="M7844" t="str">
        <f>VLOOKUP(L7844,[1]Mouse_ARA!$B$2:$C$1328,2,FALSE)</f>
        <v>SSp-n5</v>
      </c>
    </row>
    <row r="7845" spans="2:13" x14ac:dyDescent="0.25">
      <c r="B7845" s="31" t="s">
        <v>26303</v>
      </c>
      <c r="C7845" s="25" t="s">
        <v>14107</v>
      </c>
      <c r="D7845" s="25" t="s">
        <v>26232</v>
      </c>
      <c r="E7845" s="25"/>
      <c r="F7845" s="9" t="str">
        <f t="shared" si="115"/>
        <v>structure with developmental contribution from neural crest</v>
      </c>
      <c r="G7845" s="9" t="s">
        <v>5090</v>
      </c>
      <c r="H7845" s="9" t="s">
        <v>19711</v>
      </c>
      <c r="I7845" s="9" t="s">
        <v>14107</v>
      </c>
      <c r="J7845" s="9" t="s">
        <v>14108</v>
      </c>
      <c r="K7845" s="3" t="s">
        <v>15176</v>
      </c>
      <c r="L7845" s="13">
        <v>703</v>
      </c>
      <c r="M7845" t="str">
        <f>VLOOKUP(L7845,[1]Mouse_ARA!$B$2:$C$1328,2,FALSE)</f>
        <v>CTXsp</v>
      </c>
    </row>
    <row r="7846" spans="2:13" x14ac:dyDescent="0.25">
      <c r="B7846" s="31" t="s">
        <v>26303</v>
      </c>
      <c r="C7846" s="25" t="s">
        <v>25771</v>
      </c>
      <c r="D7846" s="25" t="s">
        <v>26232</v>
      </c>
      <c r="E7846" s="25" t="s">
        <v>26306</v>
      </c>
      <c r="F7846" s="9" t="str">
        <f t="shared" si="115"/>
        <v>structure with developmental contribution from neural crest</v>
      </c>
      <c r="G7846" s="9" t="s">
        <v>5090</v>
      </c>
      <c r="H7846" s="9" t="s">
        <v>19219</v>
      </c>
      <c r="I7846" s="9" t="s">
        <v>14109</v>
      </c>
      <c r="J7846" s="9" t="s">
        <v>14110</v>
      </c>
      <c r="K7846" s="3" t="s">
        <v>15176</v>
      </c>
      <c r="L7846" s="13">
        <v>704</v>
      </c>
      <c r="M7846" t="str">
        <f>VLOOKUP(L7846,[1]Mouse_ARA!$B$2:$C$1328,2,FALSE)</f>
        <v>AIv1</v>
      </c>
    </row>
    <row r="7847" spans="2:13" x14ac:dyDescent="0.25">
      <c r="B7847" s="31" t="s">
        <v>26303</v>
      </c>
      <c r="C7847" s="20"/>
      <c r="D7847" s="25" t="s">
        <v>26232</v>
      </c>
      <c r="E7847" s="25" t="s">
        <v>26307</v>
      </c>
      <c r="F7847" s="9" t="str">
        <f t="shared" si="115"/>
        <v>structure with developmental contribution from neural crest</v>
      </c>
      <c r="G7847" s="9" t="s">
        <v>5090</v>
      </c>
      <c r="H7847" s="9" t="s">
        <v>19127</v>
      </c>
      <c r="I7847" s="9" t="s">
        <v>14111</v>
      </c>
      <c r="J7847" s="9" t="s">
        <v>14112</v>
      </c>
      <c r="K7847" s="3" t="s">
        <v>15176</v>
      </c>
      <c r="L7847" s="13">
        <v>707</v>
      </c>
      <c r="M7847" t="str">
        <f>VLOOKUP(L7847,[1]Mouse_ARA!$B$2:$C$1328,2,FALSE)</f>
        <v>ILA1</v>
      </c>
    </row>
    <row r="7848" spans="2:13" x14ac:dyDescent="0.25">
      <c r="B7848" s="31" t="s">
        <v>26303</v>
      </c>
      <c r="C7848" s="25" t="s">
        <v>26020</v>
      </c>
      <c r="D7848" s="25" t="s">
        <v>26232</v>
      </c>
      <c r="E7848" s="25" t="s">
        <v>26306</v>
      </c>
      <c r="F7848" s="9" t="str">
        <f t="shared" si="115"/>
        <v>structure with developmental contribution from neural crest</v>
      </c>
      <c r="G7848" s="9" t="s">
        <v>5090</v>
      </c>
      <c r="H7848" s="9" t="s">
        <v>19627</v>
      </c>
      <c r="I7848" s="9" t="s">
        <v>14113</v>
      </c>
      <c r="J7848" s="9" t="s">
        <v>14114</v>
      </c>
      <c r="K7848" s="3" t="s">
        <v>15176</v>
      </c>
      <c r="L7848" s="13">
        <v>712</v>
      </c>
      <c r="M7848" t="str">
        <f>VLOOKUP(L7848,[1]Mouse_ARA!$B$2:$C$1328,2,FALSE)</f>
        <v>ENTm4</v>
      </c>
    </row>
    <row r="7849" spans="2:13" x14ac:dyDescent="0.25">
      <c r="B7849" s="31" t="s">
        <v>26303</v>
      </c>
      <c r="C7849" s="25" t="s">
        <v>3781</v>
      </c>
      <c r="D7849" s="25" t="s">
        <v>26232</v>
      </c>
      <c r="E7849" s="25"/>
      <c r="F7849" s="9" t="str">
        <f t="shared" si="115"/>
        <v>structure with developmental contribution from neural crest</v>
      </c>
      <c r="G7849" s="9" t="s">
        <v>5090</v>
      </c>
      <c r="H7849" s="9" t="s">
        <v>20900</v>
      </c>
      <c r="I7849" s="9" t="s">
        <v>3781</v>
      </c>
      <c r="J7849" s="9" t="s">
        <v>3784</v>
      </c>
      <c r="K7849" s="3" t="s">
        <v>15176</v>
      </c>
      <c r="L7849" s="13">
        <v>713</v>
      </c>
      <c r="M7849" t="str">
        <f>VLOOKUP(L7849,[1]Mouse_ARA!$B$2:$C$1328,2,FALSE)</f>
        <v>per</v>
      </c>
    </row>
    <row r="7850" spans="2:13" x14ac:dyDescent="0.25">
      <c r="B7850" s="31" t="s">
        <v>26299</v>
      </c>
      <c r="C7850" s="25" t="s">
        <v>26080</v>
      </c>
      <c r="D7850" s="25" t="s">
        <v>26232</v>
      </c>
      <c r="E7850" s="25"/>
      <c r="F7850" s="9" t="str">
        <f t="shared" si="115"/>
        <v>structure with developmental contribution from neural crest</v>
      </c>
      <c r="G7850" s="9" t="s">
        <v>5090</v>
      </c>
      <c r="H7850" s="9" t="s">
        <v>19139</v>
      </c>
      <c r="I7850" s="9" t="s">
        <v>14115</v>
      </c>
      <c r="J7850" s="9" t="s">
        <v>14116</v>
      </c>
      <c r="K7850" s="3" t="s">
        <v>15176</v>
      </c>
      <c r="L7850" s="13">
        <v>714</v>
      </c>
      <c r="M7850" t="str">
        <f>VLOOKUP(L7850,[1]Mouse_ARA!$B$2:$C$1328,2,FALSE)</f>
        <v>ORB</v>
      </c>
    </row>
    <row r="7851" spans="2:13" x14ac:dyDescent="0.25">
      <c r="B7851" s="31" t="s">
        <v>26303</v>
      </c>
      <c r="C7851" s="25" t="s">
        <v>25987</v>
      </c>
      <c r="D7851" s="25" t="s">
        <v>26232</v>
      </c>
      <c r="E7851" s="25" t="s">
        <v>26306</v>
      </c>
      <c r="F7851" s="9" t="str">
        <f t="shared" si="115"/>
        <v>structure with developmental contribution from neural crest</v>
      </c>
      <c r="G7851" s="9" t="s">
        <v>5090</v>
      </c>
      <c r="H7851" s="9" t="s">
        <v>19597</v>
      </c>
      <c r="I7851" s="9" t="s">
        <v>14117</v>
      </c>
      <c r="J7851" s="9" t="s">
        <v>14118</v>
      </c>
      <c r="K7851" s="3" t="s">
        <v>15176</v>
      </c>
      <c r="L7851" s="13">
        <v>715</v>
      </c>
      <c r="M7851" t="str">
        <f>VLOOKUP(L7851,[1]Mouse_ARA!$B$2:$C$1328,2,FALSE)</f>
        <v>ENTl2a</v>
      </c>
    </row>
    <row r="7852" spans="2:13" x14ac:dyDescent="0.25">
      <c r="B7852" s="31" t="s">
        <v>26303</v>
      </c>
      <c r="C7852" s="25" t="s">
        <v>26173</v>
      </c>
      <c r="D7852" s="25" t="s">
        <v>26232</v>
      </c>
      <c r="E7852" s="25" t="s">
        <v>26306</v>
      </c>
      <c r="F7852" s="9" t="str">
        <f t="shared" si="115"/>
        <v>structure with developmental contribution from neural crest</v>
      </c>
      <c r="G7852" s="9" t="s">
        <v>5090</v>
      </c>
      <c r="H7852" s="9" t="s">
        <v>18728</v>
      </c>
      <c r="I7852" s="9" t="s">
        <v>14119</v>
      </c>
      <c r="J7852" s="9" t="s">
        <v>14120</v>
      </c>
      <c r="K7852" s="3" t="s">
        <v>15176</v>
      </c>
      <c r="L7852" s="13">
        <v>719</v>
      </c>
      <c r="M7852" t="str">
        <f>VLOOKUP(L7852,[1]Mouse_ARA!$B$2:$C$1328,2,FALSE)</f>
        <v>SSp6b</v>
      </c>
    </row>
    <row r="7853" spans="2:13" x14ac:dyDescent="0.25">
      <c r="B7853" s="31" t="s">
        <v>26303</v>
      </c>
      <c r="C7853" s="25" t="s">
        <v>25909</v>
      </c>
      <c r="D7853" s="25" t="s">
        <v>26232</v>
      </c>
      <c r="E7853" s="25"/>
      <c r="F7853" s="9" t="str">
        <f t="shared" si="115"/>
        <v>structure with developmental contribution from neural crest</v>
      </c>
      <c r="G7853" s="9" t="s">
        <v>5090</v>
      </c>
      <c r="H7853" s="9" t="s">
        <v>20407</v>
      </c>
      <c r="I7853" s="9" t="s">
        <v>1524</v>
      </c>
      <c r="J7853" s="9" t="s">
        <v>1525</v>
      </c>
      <c r="K7853" s="3" t="s">
        <v>15176</v>
      </c>
      <c r="L7853" s="13">
        <v>720</v>
      </c>
      <c r="M7853" t="str">
        <f>VLOOKUP(L7853,[1]Mouse_ARA!$B$2:$C$1328,2,FALSE)</f>
        <v>DCN</v>
      </c>
    </row>
    <row r="7854" spans="2:13" x14ac:dyDescent="0.25">
      <c r="B7854" s="31" t="s">
        <v>26299</v>
      </c>
      <c r="C7854" s="25" t="s">
        <v>26080</v>
      </c>
      <c r="D7854" s="25" t="s">
        <v>26232</v>
      </c>
      <c r="E7854" s="25"/>
      <c r="F7854" s="9" t="str">
        <f t="shared" si="115"/>
        <v>structure with developmental contribution from neural crest</v>
      </c>
      <c r="G7854" s="9" t="s">
        <v>5090</v>
      </c>
      <c r="H7854" s="9" t="s">
        <v>19151</v>
      </c>
      <c r="I7854" s="9" t="s">
        <v>14121</v>
      </c>
      <c r="J7854" s="9" t="s">
        <v>14122</v>
      </c>
      <c r="K7854" s="3" t="s">
        <v>15176</v>
      </c>
      <c r="L7854" s="13">
        <v>723</v>
      </c>
      <c r="M7854" t="str">
        <f>VLOOKUP(L7854,[1]Mouse_ARA!$B$2:$C$1328,2,FALSE)</f>
        <v>ORBl</v>
      </c>
    </row>
    <row r="7855" spans="2:13" x14ac:dyDescent="0.25">
      <c r="B7855" s="31" t="s">
        <v>26303</v>
      </c>
      <c r="C7855" s="25" t="s">
        <v>26020</v>
      </c>
      <c r="D7855" s="25" t="s">
        <v>26232</v>
      </c>
      <c r="E7855" s="25" t="s">
        <v>26306</v>
      </c>
      <c r="F7855" s="9" t="str">
        <f t="shared" si="115"/>
        <v>structure with developmental contribution from neural crest</v>
      </c>
      <c r="G7855" s="9" t="s">
        <v>5090</v>
      </c>
      <c r="H7855" s="9" t="s">
        <v>19629</v>
      </c>
      <c r="I7855" s="9" t="s">
        <v>14123</v>
      </c>
      <c r="J7855" s="9" t="s">
        <v>14124</v>
      </c>
      <c r="K7855" s="3" t="s">
        <v>15176</v>
      </c>
      <c r="L7855" s="13">
        <v>727</v>
      </c>
      <c r="M7855" t="str">
        <f>VLOOKUP(L7855,[1]Mouse_ARA!$B$2:$C$1328,2,FALSE)</f>
        <v>ENTm5</v>
      </c>
    </row>
    <row r="7856" spans="2:13" x14ac:dyDescent="0.25">
      <c r="B7856" s="31" t="s">
        <v>26303</v>
      </c>
      <c r="C7856" s="20"/>
      <c r="D7856" s="25" t="s">
        <v>26232</v>
      </c>
      <c r="E7856" s="25" t="s">
        <v>26307</v>
      </c>
      <c r="F7856" s="9" t="str">
        <f t="shared" si="115"/>
        <v>structure with developmental contribution from neural crest</v>
      </c>
      <c r="G7856" s="9" t="s">
        <v>5090</v>
      </c>
      <c r="H7856" s="9" t="s">
        <v>19364</v>
      </c>
      <c r="I7856" s="9" t="s">
        <v>14125</v>
      </c>
      <c r="J7856" s="9" t="s">
        <v>14126</v>
      </c>
      <c r="K7856" s="3" t="s">
        <v>15176</v>
      </c>
      <c r="L7856" s="13">
        <v>729</v>
      </c>
      <c r="M7856" t="str">
        <f>VLOOKUP(L7856,[1]Mouse_ARA!$B$2:$C$1328,2,FALSE)</f>
        <v>TEa6a</v>
      </c>
    </row>
    <row r="7857" spans="2:13" x14ac:dyDescent="0.25">
      <c r="B7857" s="31" t="s">
        <v>26299</v>
      </c>
      <c r="C7857" s="25" t="s">
        <v>26080</v>
      </c>
      <c r="D7857" s="25" t="s">
        <v>26232</v>
      </c>
      <c r="E7857" s="25"/>
      <c r="F7857" s="9" t="str">
        <f t="shared" si="115"/>
        <v>structure with developmental contribution from neural crest</v>
      </c>
      <c r="G7857" s="9" t="s">
        <v>5090</v>
      </c>
      <c r="H7857" s="9" t="s">
        <v>19163</v>
      </c>
      <c r="I7857" s="9" t="s">
        <v>14127</v>
      </c>
      <c r="J7857" s="9" t="s">
        <v>14128</v>
      </c>
      <c r="K7857" s="3" t="s">
        <v>15176</v>
      </c>
      <c r="L7857" s="13">
        <v>731</v>
      </c>
      <c r="M7857" t="str">
        <f>VLOOKUP(L7857,[1]Mouse_ARA!$B$2:$C$1328,2,FALSE)</f>
        <v>ORBm</v>
      </c>
    </row>
    <row r="7858" spans="2:13" x14ac:dyDescent="0.25">
      <c r="B7858" s="31" t="s">
        <v>26303</v>
      </c>
      <c r="C7858" s="20" t="s">
        <v>25901</v>
      </c>
      <c r="D7858" s="25" t="s">
        <v>26232</v>
      </c>
      <c r="E7858" s="25"/>
      <c r="F7858" s="9" t="str">
        <f t="shared" si="115"/>
        <v>structure with developmental contribution from neural crest</v>
      </c>
      <c r="G7858" s="9" t="s">
        <v>5090</v>
      </c>
      <c r="H7858" s="9" t="s">
        <v>19558</v>
      </c>
      <c r="I7858" s="9" t="s">
        <v>14129</v>
      </c>
      <c r="J7858" s="9" t="s">
        <v>14130</v>
      </c>
      <c r="K7858" s="3" t="s">
        <v>15176</v>
      </c>
      <c r="L7858" s="13">
        <v>734</v>
      </c>
      <c r="M7858" t="str">
        <f>VLOOKUP(L7858,[1]Mouse_ARA!$B$2:$C$1328,2,FALSE)</f>
        <v>DGcr</v>
      </c>
    </row>
    <row r="7859" spans="2:13" x14ac:dyDescent="0.25">
      <c r="B7859" s="31" t="s">
        <v>26303</v>
      </c>
      <c r="C7859" s="25" t="s">
        <v>26164</v>
      </c>
      <c r="D7859" s="25" t="s">
        <v>26185</v>
      </c>
      <c r="E7859" s="25" t="s">
        <v>26306</v>
      </c>
      <c r="F7859" s="9" t="str">
        <f t="shared" si="115"/>
        <v>structure with developmental contribution from neural crest</v>
      </c>
      <c r="G7859" s="9" t="s">
        <v>5090</v>
      </c>
      <c r="H7859" s="9" t="s">
        <v>18916</v>
      </c>
      <c r="I7859" s="9" t="s">
        <v>14131</v>
      </c>
      <c r="J7859" s="9" t="s">
        <v>14132</v>
      </c>
      <c r="K7859" s="3" t="s">
        <v>15176</v>
      </c>
      <c r="L7859" s="13">
        <v>735</v>
      </c>
      <c r="M7859" t="str">
        <f>VLOOKUP(L7859,[1]Mouse_ARA!$B$2:$C$1328,2,FALSE)</f>
        <v>AUDp1</v>
      </c>
    </row>
    <row r="7860" spans="2:13" x14ac:dyDescent="0.25">
      <c r="B7860" s="31" t="s">
        <v>26303</v>
      </c>
      <c r="C7860" s="25" t="s">
        <v>26128</v>
      </c>
      <c r="D7860" s="25" t="s">
        <v>26232</v>
      </c>
      <c r="E7860" s="25"/>
      <c r="F7860" s="9" t="str">
        <f t="shared" si="115"/>
        <v>structure with developmental contribution from neural crest</v>
      </c>
      <c r="G7860" s="9" t="s">
        <v>5090</v>
      </c>
      <c r="H7860" s="9" t="s">
        <v>20895</v>
      </c>
      <c r="I7860" s="9" t="s">
        <v>3908</v>
      </c>
      <c r="J7860" s="9" t="s">
        <v>3909</v>
      </c>
      <c r="K7860" s="3" t="s">
        <v>15176</v>
      </c>
      <c r="L7860" s="13">
        <v>737</v>
      </c>
      <c r="M7860" t="str">
        <f>VLOOKUP(L7860,[1]Mouse_ARA!$B$2:$C$1328,2,FALSE)</f>
        <v>fxpo</v>
      </c>
    </row>
    <row r="7861" spans="2:13" x14ac:dyDescent="0.25">
      <c r="B7861" s="31" t="s">
        <v>26299</v>
      </c>
      <c r="C7861" s="25" t="s">
        <v>26080</v>
      </c>
      <c r="D7861" s="25" t="s">
        <v>26232</v>
      </c>
      <c r="E7861" s="25"/>
      <c r="F7861" s="9" t="str">
        <f t="shared" si="115"/>
        <v>structure with developmental contribution from neural crest</v>
      </c>
      <c r="G7861" s="9" t="s">
        <v>5090</v>
      </c>
      <c r="H7861" s="9" t="s">
        <v>19177</v>
      </c>
      <c r="I7861" s="9" t="s">
        <v>14133</v>
      </c>
      <c r="J7861" s="9" t="s">
        <v>14134</v>
      </c>
      <c r="K7861" s="3" t="s">
        <v>15176</v>
      </c>
      <c r="L7861" s="13">
        <v>738</v>
      </c>
      <c r="M7861" t="str">
        <f>VLOOKUP(L7861,[1]Mouse_ARA!$B$2:$C$1328,2,FALSE)</f>
        <v>ORBv</v>
      </c>
    </row>
    <row r="7862" spans="2:13" x14ac:dyDescent="0.25">
      <c r="B7862" s="31" t="s">
        <v>26299</v>
      </c>
      <c r="C7862" s="25" t="s">
        <v>25746</v>
      </c>
      <c r="D7862" s="25" t="s">
        <v>26232</v>
      </c>
      <c r="E7862" s="25" t="s">
        <v>26306</v>
      </c>
      <c r="F7862" s="9" t="str">
        <f t="shared" si="115"/>
        <v>structure with developmental contribution from neural crest</v>
      </c>
      <c r="G7862" s="9" t="s">
        <v>5090</v>
      </c>
      <c r="H7862" s="9" t="s">
        <v>19081</v>
      </c>
      <c r="I7862" s="9" t="s">
        <v>14135</v>
      </c>
      <c r="J7862" s="9" t="s">
        <v>14136</v>
      </c>
      <c r="K7862" s="3" t="s">
        <v>15176</v>
      </c>
      <c r="L7862" s="13">
        <v>739</v>
      </c>
      <c r="M7862" t="str">
        <f>VLOOKUP(L7862,[1]Mouse_ARA!$B$2:$C$1328,2,FALSE)</f>
        <v>ACA5</v>
      </c>
    </row>
    <row r="7863" spans="2:13" x14ac:dyDescent="0.25">
      <c r="B7863" s="31" t="s">
        <v>26303</v>
      </c>
      <c r="C7863" s="25" t="s">
        <v>25900</v>
      </c>
      <c r="D7863" s="25" t="s">
        <v>26232</v>
      </c>
      <c r="E7863" s="25" t="s">
        <v>26306</v>
      </c>
      <c r="F7863" s="9" t="str">
        <f t="shared" ref="F7863:F7926" si="116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7863" s="9" t="s">
        <v>5090</v>
      </c>
      <c r="H7863" s="9" t="s">
        <v>19560</v>
      </c>
      <c r="I7863" s="9" t="s">
        <v>14137</v>
      </c>
      <c r="J7863" s="9" t="s">
        <v>14138</v>
      </c>
      <c r="K7863" s="3" t="s">
        <v>15176</v>
      </c>
      <c r="L7863" s="13">
        <v>742</v>
      </c>
      <c r="M7863" t="str">
        <f>VLOOKUP(L7863,[1]Mouse_ARA!$B$2:$C$1328,2,FALSE)</f>
        <v>DGcr-mo</v>
      </c>
    </row>
    <row r="7864" spans="2:13" x14ac:dyDescent="0.25">
      <c r="B7864" s="31" t="s">
        <v>26303</v>
      </c>
      <c r="C7864" s="25" t="s">
        <v>26020</v>
      </c>
      <c r="D7864" s="25" t="s">
        <v>26232</v>
      </c>
      <c r="E7864" s="25" t="s">
        <v>26306</v>
      </c>
      <c r="F7864" s="9" t="str">
        <f t="shared" si="116"/>
        <v>structure with developmental contribution from neural crest</v>
      </c>
      <c r="G7864" s="9" t="s">
        <v>5090</v>
      </c>
      <c r="H7864" s="9" t="s">
        <v>19633</v>
      </c>
      <c r="I7864" s="9" t="s">
        <v>14139</v>
      </c>
      <c r="J7864" s="9" t="s">
        <v>14140</v>
      </c>
      <c r="K7864" s="3" t="s">
        <v>15176</v>
      </c>
      <c r="L7864" s="13">
        <v>743</v>
      </c>
      <c r="M7864" t="str">
        <f>VLOOKUP(L7864,[1]Mouse_ARA!$B$2:$C$1328,2,FALSE)</f>
        <v>ENTm6</v>
      </c>
    </row>
    <row r="7865" spans="2:13" x14ac:dyDescent="0.25">
      <c r="B7865" s="31" t="s">
        <v>26299</v>
      </c>
      <c r="C7865" s="25" t="s">
        <v>26080</v>
      </c>
      <c r="D7865" s="25" t="s">
        <v>26232</v>
      </c>
      <c r="E7865" s="25"/>
      <c r="F7865" s="9" t="str">
        <f t="shared" si="116"/>
        <v>structure with developmental contribution from neural crest</v>
      </c>
      <c r="G7865" s="9" t="s">
        <v>5090</v>
      </c>
      <c r="H7865" s="9" t="s">
        <v>19179</v>
      </c>
      <c r="I7865" s="9" t="s">
        <v>14141</v>
      </c>
      <c r="J7865" s="9" t="s">
        <v>14142</v>
      </c>
      <c r="K7865" s="3" t="s">
        <v>15176</v>
      </c>
      <c r="L7865" s="13">
        <v>746</v>
      </c>
      <c r="M7865" t="str">
        <f>VLOOKUP(L7865,[1]Mouse_ARA!$B$2:$C$1328,2,FALSE)</f>
        <v>ORBvl</v>
      </c>
    </row>
    <row r="7866" spans="2:13" x14ac:dyDescent="0.25">
      <c r="B7866" s="31" t="s">
        <v>26303</v>
      </c>
      <c r="C7866" s="20"/>
      <c r="D7866" s="25" t="s">
        <v>26232</v>
      </c>
      <c r="E7866" s="25" t="s">
        <v>26307</v>
      </c>
      <c r="F7866" s="9" t="str">
        <f t="shared" si="116"/>
        <v>structure with developmental contribution from neural crest</v>
      </c>
      <c r="G7866" s="9" t="s">
        <v>5090</v>
      </c>
      <c r="H7866" s="9" t="s">
        <v>19129</v>
      </c>
      <c r="I7866" s="9" t="s">
        <v>14143</v>
      </c>
      <c r="J7866" s="9" t="s">
        <v>14144</v>
      </c>
      <c r="K7866" s="3" t="s">
        <v>15176</v>
      </c>
      <c r="L7866" s="13">
        <v>747</v>
      </c>
      <c r="M7866" t="str">
        <f>VLOOKUP(L7866,[1]Mouse_ARA!$B$2:$C$1328,2,FALSE)</f>
        <v>ILA2</v>
      </c>
    </row>
    <row r="7867" spans="2:13" x14ac:dyDescent="0.25">
      <c r="B7867" s="31" t="s">
        <v>26303</v>
      </c>
      <c r="C7867" s="25" t="s">
        <v>4015</v>
      </c>
      <c r="D7867" s="25" t="s">
        <v>26232</v>
      </c>
      <c r="E7867" s="25" t="s">
        <v>26306</v>
      </c>
      <c r="F7867" s="9" t="str">
        <f t="shared" si="116"/>
        <v>structure with developmental contribution from neural crest</v>
      </c>
      <c r="G7867" s="9" t="s">
        <v>5090</v>
      </c>
      <c r="H7867" s="9" t="s">
        <v>19028</v>
      </c>
      <c r="I7867" s="9" t="s">
        <v>14145</v>
      </c>
      <c r="J7867" s="9" t="s">
        <v>14146</v>
      </c>
      <c r="K7867" s="3" t="s">
        <v>15176</v>
      </c>
      <c r="L7867" s="13">
        <v>750</v>
      </c>
      <c r="M7867" t="str">
        <f>VLOOKUP(L7867,[1]Mouse_ARA!$B$2:$C$1328,2,FALSE)</f>
        <v>VISpl1</v>
      </c>
    </row>
    <row r="7868" spans="2:13" x14ac:dyDescent="0.25">
      <c r="B7868" s="31" t="s">
        <v>26303</v>
      </c>
      <c r="C7868" s="25" t="s">
        <v>25902</v>
      </c>
      <c r="D7868" s="25" t="s">
        <v>26232</v>
      </c>
      <c r="E7868" s="25"/>
      <c r="F7868" s="9" t="str">
        <f t="shared" si="116"/>
        <v>structure with developmental contribution from neural crest</v>
      </c>
      <c r="G7868" s="9" t="s">
        <v>5090</v>
      </c>
      <c r="H7868" s="9" t="s">
        <v>19562</v>
      </c>
      <c r="I7868" s="9" t="s">
        <v>14147</v>
      </c>
      <c r="J7868" s="9" t="s">
        <v>14148</v>
      </c>
      <c r="K7868" s="3" t="s">
        <v>15176</v>
      </c>
      <c r="L7868" s="13">
        <v>751</v>
      </c>
      <c r="M7868" t="str">
        <f>VLOOKUP(L7868,[1]Mouse_ARA!$B$2:$C$1328,2,FALSE)</f>
        <v>DGcr-po</v>
      </c>
    </row>
    <row r="7869" spans="2:13" x14ac:dyDescent="0.25">
      <c r="B7869" s="31" t="s">
        <v>26303</v>
      </c>
      <c r="C7869" s="25" t="s">
        <v>3471</v>
      </c>
      <c r="D7869" s="25" t="s">
        <v>26232</v>
      </c>
      <c r="E7869" s="25"/>
      <c r="F7869" s="9" t="str">
        <f t="shared" si="116"/>
        <v>structure with developmental contribution from neural crest</v>
      </c>
      <c r="G7869" s="9" t="s">
        <v>5090</v>
      </c>
      <c r="H7869" s="9" t="s">
        <v>19752</v>
      </c>
      <c r="I7869" s="9" t="s">
        <v>3471</v>
      </c>
      <c r="J7869" s="9" t="s">
        <v>3475</v>
      </c>
      <c r="K7869" s="3" t="s">
        <v>15176</v>
      </c>
      <c r="L7869" s="13">
        <v>754</v>
      </c>
      <c r="M7869" t="str">
        <f>VLOOKUP(L7869,[1]Mouse_ARA!$B$2:$C$1328,2,FALSE)</f>
        <v>OT</v>
      </c>
    </row>
    <row r="7870" spans="2:13" x14ac:dyDescent="0.25">
      <c r="B7870" s="31" t="s">
        <v>26303</v>
      </c>
      <c r="C7870" s="25" t="s">
        <v>25802</v>
      </c>
      <c r="D7870" s="25" t="s">
        <v>26185</v>
      </c>
      <c r="E7870" s="25" t="s">
        <v>26307</v>
      </c>
      <c r="F7870" s="9" t="str">
        <f t="shared" si="116"/>
        <v>structure with developmental contribution from neural crest</v>
      </c>
      <c r="G7870" s="9" t="s">
        <v>5090</v>
      </c>
      <c r="H7870" s="9" t="s">
        <v>18946</v>
      </c>
      <c r="I7870" s="9" t="s">
        <v>14149</v>
      </c>
      <c r="J7870" s="9" t="s">
        <v>14150</v>
      </c>
      <c r="K7870" s="3" t="s">
        <v>15176</v>
      </c>
      <c r="L7870" s="13">
        <v>755</v>
      </c>
      <c r="M7870" t="str">
        <f>VLOOKUP(L7870,[1]Mouse_ARA!$B$2:$C$1328,2,FALSE)</f>
        <v>AUDv2/3</v>
      </c>
    </row>
    <row r="7871" spans="2:13" x14ac:dyDescent="0.25">
      <c r="B7871" s="31" t="s">
        <v>26303</v>
      </c>
      <c r="C7871" s="25" t="s">
        <v>2257</v>
      </c>
      <c r="D7871" s="25" t="s">
        <v>26232</v>
      </c>
      <c r="E7871" s="25"/>
      <c r="F7871" s="9" t="str">
        <f t="shared" si="116"/>
        <v>structure with developmental contribution from neural crest</v>
      </c>
      <c r="G7871" s="9" t="s">
        <v>5090</v>
      </c>
      <c r="H7871" s="9" t="s">
        <v>20256</v>
      </c>
      <c r="I7871" s="9" t="s">
        <v>2257</v>
      </c>
      <c r="J7871" s="9" t="s">
        <v>2280</v>
      </c>
      <c r="K7871" s="3" t="s">
        <v>15176</v>
      </c>
      <c r="L7871" s="13">
        <v>757</v>
      </c>
      <c r="M7871" t="str">
        <f>VLOOKUP(L7871,[1]Mouse_ARA!$B$2:$C$1328,2,FALSE)</f>
        <v>VTN</v>
      </c>
    </row>
    <row r="7872" spans="2:13" x14ac:dyDescent="0.25">
      <c r="B7872" s="31" t="s">
        <v>26303</v>
      </c>
      <c r="C7872" s="25" t="s">
        <v>25899</v>
      </c>
      <c r="D7872" s="25" t="s">
        <v>26232</v>
      </c>
      <c r="E7872" s="25"/>
      <c r="F7872" s="9" t="str">
        <f t="shared" si="116"/>
        <v>structure with developmental contribution from neural crest</v>
      </c>
      <c r="G7872" s="9" t="s">
        <v>5090</v>
      </c>
      <c r="H7872" s="9" t="s">
        <v>19564</v>
      </c>
      <c r="I7872" s="9" t="s">
        <v>14151</v>
      </c>
      <c r="J7872" s="9" t="s">
        <v>14152</v>
      </c>
      <c r="K7872" s="3" t="s">
        <v>15176</v>
      </c>
      <c r="L7872" s="13">
        <v>758</v>
      </c>
      <c r="M7872" t="str">
        <f>VLOOKUP(L7872,[1]Mouse_ARA!$B$2:$C$1328,2,FALSE)</f>
        <v>DGcr-sg</v>
      </c>
    </row>
    <row r="7873" spans="2:13" x14ac:dyDescent="0.25">
      <c r="B7873" s="31" t="s">
        <v>26303</v>
      </c>
      <c r="C7873" s="25" t="s">
        <v>25802</v>
      </c>
      <c r="D7873" s="25" t="s">
        <v>26185</v>
      </c>
      <c r="E7873" s="25" t="s">
        <v>26307</v>
      </c>
      <c r="F7873" s="9" t="str">
        <f t="shared" si="116"/>
        <v>structure with developmental contribution from neural crest</v>
      </c>
      <c r="G7873" s="9" t="s">
        <v>5090</v>
      </c>
      <c r="H7873" s="9" t="s">
        <v>18934</v>
      </c>
      <c r="I7873" s="9" t="s">
        <v>14153</v>
      </c>
      <c r="J7873" s="9" t="s">
        <v>14154</v>
      </c>
      <c r="K7873" s="3" t="s">
        <v>15176</v>
      </c>
      <c r="L7873" s="13">
        <v>759</v>
      </c>
      <c r="M7873" t="str">
        <f>VLOOKUP(L7873,[1]Mouse_ARA!$B$2:$C$1328,2,FALSE)</f>
        <v>AUDpo4</v>
      </c>
    </row>
    <row r="7874" spans="2:13" x14ac:dyDescent="0.25">
      <c r="B7874" s="31" t="s">
        <v>26303</v>
      </c>
      <c r="C7874" s="20"/>
      <c r="D7874" s="25" t="s">
        <v>26232</v>
      </c>
      <c r="E7874" s="25" t="s">
        <v>26300</v>
      </c>
      <c r="F7874" s="9" t="str">
        <f t="shared" si="116"/>
        <v>structure with developmental contribution from neural crest</v>
      </c>
      <c r="G7874" s="9" t="s">
        <v>5090</v>
      </c>
      <c r="H7874" s="9" t="s">
        <v>20538</v>
      </c>
      <c r="I7874" s="9" t="s">
        <v>14155</v>
      </c>
      <c r="J7874" s="9" t="s">
        <v>14156</v>
      </c>
      <c r="K7874" s="3" t="s">
        <v>15176</v>
      </c>
      <c r="L7874" s="13">
        <v>76</v>
      </c>
      <c r="M7874" t="str">
        <f>VLOOKUP(L7874,[1]Mouse_ARA!$B$2:$C$1328,2,FALSE)</f>
        <v>INV</v>
      </c>
    </row>
    <row r="7875" spans="2:13" x14ac:dyDescent="0.25">
      <c r="B7875" s="31" t="s">
        <v>26303</v>
      </c>
      <c r="C7875" s="25" t="s">
        <v>25987</v>
      </c>
      <c r="D7875" s="25" t="s">
        <v>26232</v>
      </c>
      <c r="E7875" s="25" t="s">
        <v>26306</v>
      </c>
      <c r="F7875" s="9" t="str">
        <f t="shared" si="116"/>
        <v>structure with developmental contribution from neural crest</v>
      </c>
      <c r="G7875" s="9" t="s">
        <v>5090</v>
      </c>
      <c r="H7875" s="9" t="s">
        <v>19599</v>
      </c>
      <c r="I7875" s="9" t="s">
        <v>14157</v>
      </c>
      <c r="J7875" s="9" t="s">
        <v>14158</v>
      </c>
      <c r="K7875" s="3" t="s">
        <v>15176</v>
      </c>
      <c r="L7875" s="13">
        <v>764</v>
      </c>
      <c r="M7875" t="str">
        <f>VLOOKUP(L7875,[1]Mouse_ARA!$B$2:$C$1328,2,FALSE)</f>
        <v>ENTl2b</v>
      </c>
    </row>
    <row r="7876" spans="2:13" x14ac:dyDescent="0.25">
      <c r="B7876" s="31" t="s">
        <v>26303</v>
      </c>
      <c r="C7876" s="25" t="s">
        <v>25801</v>
      </c>
      <c r="D7876" s="25" t="s">
        <v>26232</v>
      </c>
      <c r="E7876" s="25"/>
      <c r="F7876" s="9" t="str">
        <f t="shared" si="116"/>
        <v>structure with developmental contribution from neural crest</v>
      </c>
      <c r="G7876" s="9" t="s">
        <v>5090</v>
      </c>
      <c r="H7876" s="9" t="s">
        <v>20532</v>
      </c>
      <c r="I7876" s="9" t="s">
        <v>14159</v>
      </c>
      <c r="J7876" s="9" t="s">
        <v>14160</v>
      </c>
      <c r="K7876" s="3" t="s">
        <v>15176</v>
      </c>
      <c r="L7876" s="13">
        <v>765</v>
      </c>
      <c r="M7876" t="str">
        <f>VLOOKUP(L7876,[1]Mouse_ARA!$B$2:$C$1328,2,FALSE)</f>
        <v>x</v>
      </c>
    </row>
    <row r="7877" spans="2:13" x14ac:dyDescent="0.25">
      <c r="B7877" s="31" t="s">
        <v>26303</v>
      </c>
      <c r="C7877" s="20" t="s">
        <v>25901</v>
      </c>
      <c r="D7877" s="25" t="s">
        <v>26232</v>
      </c>
      <c r="E7877" s="25"/>
      <c r="F7877" s="9" t="str">
        <f t="shared" si="116"/>
        <v>structure with developmental contribution from neural crest</v>
      </c>
      <c r="G7877" s="9" t="s">
        <v>5090</v>
      </c>
      <c r="H7877" s="9" t="s">
        <v>19566</v>
      </c>
      <c r="I7877" s="9" t="s">
        <v>14161</v>
      </c>
      <c r="J7877" s="9" t="s">
        <v>14162</v>
      </c>
      <c r="K7877" s="3" t="s">
        <v>15176</v>
      </c>
      <c r="L7877" s="13">
        <v>766</v>
      </c>
      <c r="M7877" t="str">
        <f>VLOOKUP(L7877,[1]Mouse_ARA!$B$2:$C$1328,2,FALSE)</f>
        <v>DGlb</v>
      </c>
    </row>
    <row r="7878" spans="2:13" x14ac:dyDescent="0.25">
      <c r="B7878" s="31" t="s">
        <v>26299</v>
      </c>
      <c r="C7878" s="25" t="s">
        <v>26157</v>
      </c>
      <c r="D7878" s="25" t="s">
        <v>26232</v>
      </c>
      <c r="E7878" s="25" t="s">
        <v>26306</v>
      </c>
      <c r="F7878" s="9" t="str">
        <f t="shared" si="116"/>
        <v>structure with developmental contribution from neural crest</v>
      </c>
      <c r="G7878" s="9" t="s">
        <v>5090</v>
      </c>
      <c r="H7878" s="9" t="s">
        <v>18697</v>
      </c>
      <c r="I7878" s="9" t="s">
        <v>14163</v>
      </c>
      <c r="J7878" s="9" t="s">
        <v>14164</v>
      </c>
      <c r="K7878" s="3" t="s">
        <v>15176</v>
      </c>
      <c r="L7878" s="13">
        <v>767</v>
      </c>
      <c r="M7878" t="str">
        <f>VLOOKUP(L7878,[1]Mouse_ARA!$B$2:$C$1328,2,FALSE)</f>
        <v>MOs5</v>
      </c>
    </row>
    <row r="7879" spans="2:13" x14ac:dyDescent="0.25">
      <c r="B7879" s="31" t="s">
        <v>26303</v>
      </c>
      <c r="C7879" s="25" t="s">
        <v>26076</v>
      </c>
      <c r="D7879" s="25" t="s">
        <v>26232</v>
      </c>
      <c r="E7879" s="25"/>
      <c r="F7879" s="9" t="str">
        <f t="shared" si="116"/>
        <v>structure with developmental contribution from neural crest</v>
      </c>
      <c r="G7879" s="9" t="s">
        <v>5090</v>
      </c>
      <c r="H7879" s="9" t="s">
        <v>20435</v>
      </c>
      <c r="I7879" s="9" t="s">
        <v>14165</v>
      </c>
      <c r="J7879" s="9" t="s">
        <v>14166</v>
      </c>
      <c r="K7879" s="3" t="s">
        <v>15176</v>
      </c>
      <c r="L7879" s="13">
        <v>77</v>
      </c>
      <c r="M7879" t="str">
        <f>VLOOKUP(L7879,[1]Mouse_ARA!$B$2:$C$1328,2,FALSE)</f>
        <v>SPVOcdm</v>
      </c>
    </row>
    <row r="7880" spans="2:13" x14ac:dyDescent="0.25">
      <c r="B7880" s="31" t="s">
        <v>26299</v>
      </c>
      <c r="C7880" s="25" t="s">
        <v>25746</v>
      </c>
      <c r="D7880" s="25" t="s">
        <v>26232</v>
      </c>
      <c r="E7880" s="25" t="s">
        <v>26306</v>
      </c>
      <c r="F7880" s="9" t="str">
        <f t="shared" si="116"/>
        <v>structure with developmental contribution from neural crest</v>
      </c>
      <c r="G7880" s="9" t="s">
        <v>5090</v>
      </c>
      <c r="H7880" s="9" t="s">
        <v>19105</v>
      </c>
      <c r="I7880" s="9" t="s">
        <v>14167</v>
      </c>
      <c r="J7880" s="9" t="s">
        <v>14168</v>
      </c>
      <c r="K7880" s="3" t="s">
        <v>15176</v>
      </c>
      <c r="L7880" s="13">
        <v>772</v>
      </c>
      <c r="M7880" t="str">
        <f>VLOOKUP(L7880,[1]Mouse_ARA!$B$2:$C$1328,2,FALSE)</f>
        <v>ACAv5</v>
      </c>
    </row>
    <row r="7881" spans="2:13" x14ac:dyDescent="0.25">
      <c r="B7881" s="31" t="s">
        <v>26303</v>
      </c>
      <c r="C7881" s="25" t="s">
        <v>2327</v>
      </c>
      <c r="D7881" s="25" t="s">
        <v>26232</v>
      </c>
      <c r="E7881" s="25"/>
      <c r="F7881" s="9" t="str">
        <f t="shared" si="116"/>
        <v>structure with developmental contribution from neural crest</v>
      </c>
      <c r="G7881" s="9" t="s">
        <v>5090</v>
      </c>
      <c r="H7881" s="9" t="s">
        <v>20534</v>
      </c>
      <c r="I7881" s="9" t="s">
        <v>2327</v>
      </c>
      <c r="J7881" s="9" t="s">
        <v>2330</v>
      </c>
      <c r="K7881" s="3" t="s">
        <v>15176</v>
      </c>
      <c r="L7881" s="13">
        <v>773</v>
      </c>
      <c r="M7881" t="str">
        <f>VLOOKUP(L7881,[1]Mouse_ARA!$B$2:$C$1328,2,FALSE)</f>
        <v>XII</v>
      </c>
    </row>
    <row r="7882" spans="2:13" x14ac:dyDescent="0.25">
      <c r="B7882" s="31" t="s">
        <v>26299</v>
      </c>
      <c r="C7882" s="25" t="s">
        <v>26190</v>
      </c>
      <c r="D7882" s="25" t="s">
        <v>26232</v>
      </c>
      <c r="E7882" s="25" t="s">
        <v>26306</v>
      </c>
      <c r="F7882" s="9" t="str">
        <f t="shared" si="116"/>
        <v>structure with developmental contribution from neural crest</v>
      </c>
      <c r="G7882" s="9" t="s">
        <v>5090</v>
      </c>
      <c r="H7882" s="9" t="s">
        <v>19236</v>
      </c>
      <c r="I7882" s="9" t="s">
        <v>14169</v>
      </c>
      <c r="J7882" s="9" t="s">
        <v>14170</v>
      </c>
      <c r="K7882" s="3" t="s">
        <v>15176</v>
      </c>
      <c r="L7882" s="13">
        <v>774</v>
      </c>
      <c r="M7882" t="str">
        <f>VLOOKUP(L7882,[1]Mouse_ARA!$B$2:$C$1328,2,FALSE)</f>
        <v>RSPagl5</v>
      </c>
    </row>
    <row r="7883" spans="2:13" x14ac:dyDescent="0.25">
      <c r="B7883" s="31" t="s">
        <v>26303</v>
      </c>
      <c r="C7883" s="25" t="s">
        <v>25900</v>
      </c>
      <c r="D7883" s="25" t="s">
        <v>26232</v>
      </c>
      <c r="E7883" s="25" t="s">
        <v>26306</v>
      </c>
      <c r="F7883" s="9" t="str">
        <f t="shared" si="116"/>
        <v>structure with developmental contribution from neural crest</v>
      </c>
      <c r="G7883" s="9" t="s">
        <v>5090</v>
      </c>
      <c r="H7883" s="9" t="s">
        <v>19568</v>
      </c>
      <c r="I7883" s="9" t="s">
        <v>14171</v>
      </c>
      <c r="J7883" s="9" t="s">
        <v>14172</v>
      </c>
      <c r="K7883" s="3" t="s">
        <v>15176</v>
      </c>
      <c r="L7883" s="13">
        <v>775</v>
      </c>
      <c r="M7883" t="str">
        <f>VLOOKUP(L7883,[1]Mouse_ARA!$B$2:$C$1328,2,FALSE)</f>
        <v>DGlb-mo</v>
      </c>
    </row>
    <row r="7884" spans="2:13" x14ac:dyDescent="0.25">
      <c r="B7884" s="31" t="s">
        <v>26303</v>
      </c>
      <c r="C7884" s="25" t="s">
        <v>1321</v>
      </c>
      <c r="D7884" s="25" t="s">
        <v>26232</v>
      </c>
      <c r="E7884" s="25"/>
      <c r="F7884" s="9" t="str">
        <f t="shared" si="116"/>
        <v>structure with developmental contribution from neural crest</v>
      </c>
      <c r="G7884" s="9" t="s">
        <v>5090</v>
      </c>
      <c r="H7884" s="9" t="s">
        <v>18443</v>
      </c>
      <c r="I7884" s="9" t="s">
        <v>1321</v>
      </c>
      <c r="J7884" s="9" t="s">
        <v>1324</v>
      </c>
      <c r="K7884" s="3" t="s">
        <v>15176</v>
      </c>
      <c r="L7884" s="13">
        <v>776</v>
      </c>
      <c r="M7884" t="str">
        <f>VLOOKUP(L7884,[1]Mouse_ARA!$B$2:$C$1328,2,FALSE)</f>
        <v>cc</v>
      </c>
    </row>
    <row r="7885" spans="2:13" x14ac:dyDescent="0.25">
      <c r="B7885" s="37" t="s">
        <v>26303</v>
      </c>
      <c r="C7885" s="25" t="s">
        <v>3146</v>
      </c>
      <c r="D7885" s="25" t="s">
        <v>26232</v>
      </c>
      <c r="E7885" s="25"/>
      <c r="F7885" s="9" t="str">
        <f t="shared" si="116"/>
        <v>structure with developmental contribution from neural crest</v>
      </c>
      <c r="G7885" s="9" t="s">
        <v>5090</v>
      </c>
      <c r="H7885" s="9" t="s">
        <v>18470</v>
      </c>
      <c r="I7885" s="9" t="s">
        <v>3146</v>
      </c>
      <c r="J7885" s="9" t="s">
        <v>3150</v>
      </c>
      <c r="K7885" s="3" t="s">
        <v>15176</v>
      </c>
      <c r="L7885" s="13">
        <v>78</v>
      </c>
      <c r="M7885" t="str">
        <f>VLOOKUP(L7885,[1]Mouse_ARA!$B$2:$C$1328,2,FALSE)</f>
        <v>mcp</v>
      </c>
    </row>
    <row r="7886" spans="2:13" x14ac:dyDescent="0.25">
      <c r="B7886" s="31" t="s">
        <v>26303</v>
      </c>
      <c r="C7886" s="25" t="s">
        <v>26129</v>
      </c>
      <c r="D7886" s="25" t="s">
        <v>26232</v>
      </c>
      <c r="E7886" s="25"/>
      <c r="F7886" s="9" t="str">
        <f t="shared" si="116"/>
        <v>structure with developmental contribution from neural crest</v>
      </c>
      <c r="G7886" s="9" t="s">
        <v>5090</v>
      </c>
      <c r="H7886" s="9" t="s">
        <v>19736</v>
      </c>
      <c r="I7886" s="9" t="s">
        <v>3911</v>
      </c>
      <c r="J7886" s="9" t="s">
        <v>3912</v>
      </c>
      <c r="K7886" s="3" t="s">
        <v>15176</v>
      </c>
      <c r="L7886" s="13">
        <v>780</v>
      </c>
      <c r="M7886" t="str">
        <f>VLOOKUP(L7886,[1]Mouse_ARA!$B$2:$C$1328,2,FALSE)</f>
        <v>PA</v>
      </c>
    </row>
    <row r="7887" spans="2:13" x14ac:dyDescent="0.25">
      <c r="B7887" s="31" t="s">
        <v>26303</v>
      </c>
      <c r="C7887" s="20"/>
      <c r="D7887" s="25" t="s">
        <v>26232</v>
      </c>
      <c r="E7887" s="25" t="s">
        <v>26309</v>
      </c>
      <c r="F7887" s="9" t="str">
        <f t="shared" si="116"/>
        <v>structure with developmental contribution from neural crest</v>
      </c>
      <c r="G7887" s="9" t="s">
        <v>5090</v>
      </c>
      <c r="H7887" s="9" t="s">
        <v>20536</v>
      </c>
      <c r="I7887" s="9" t="s">
        <v>14173</v>
      </c>
      <c r="J7887" s="9" t="s">
        <v>14174</v>
      </c>
      <c r="K7887" s="3" t="s">
        <v>15176</v>
      </c>
      <c r="L7887" s="13">
        <v>781</v>
      </c>
      <c r="M7887" t="str">
        <f>VLOOKUP(L7887,[1]Mouse_ARA!$B$2:$C$1328,2,FALSE)</f>
        <v>y</v>
      </c>
    </row>
    <row r="7888" spans="2:13" x14ac:dyDescent="0.25">
      <c r="B7888" s="31" t="s">
        <v>26303</v>
      </c>
      <c r="C7888" s="20" t="s">
        <v>25901</v>
      </c>
      <c r="D7888" s="25" t="s">
        <v>26232</v>
      </c>
      <c r="E7888" s="25"/>
      <c r="F7888" s="9" t="str">
        <f t="shared" si="116"/>
        <v>structure with developmental contribution from neural crest</v>
      </c>
      <c r="G7888" s="9" t="s">
        <v>5090</v>
      </c>
      <c r="H7888" s="9" t="s">
        <v>19570</v>
      </c>
      <c r="I7888" s="9" t="s">
        <v>14175</v>
      </c>
      <c r="J7888" s="9" t="s">
        <v>14176</v>
      </c>
      <c r="K7888" s="3" t="s">
        <v>15176</v>
      </c>
      <c r="L7888" s="13">
        <v>782</v>
      </c>
      <c r="M7888" t="str">
        <f>VLOOKUP(L7888,[1]Mouse_ARA!$B$2:$C$1328,2,FALSE)</f>
        <v>DGlb-po</v>
      </c>
    </row>
    <row r="7889" spans="2:13" x14ac:dyDescent="0.25">
      <c r="B7889" s="31" t="s">
        <v>26303</v>
      </c>
      <c r="C7889" s="25" t="s">
        <v>25771</v>
      </c>
      <c r="D7889" s="25" t="s">
        <v>26232</v>
      </c>
      <c r="E7889" s="25" t="s">
        <v>26306</v>
      </c>
      <c r="F7889" s="9" t="str">
        <f t="shared" si="116"/>
        <v>structure with developmental contribution from neural crest</v>
      </c>
      <c r="G7889" s="9" t="s">
        <v>5090</v>
      </c>
      <c r="H7889" s="9" t="s">
        <v>19201</v>
      </c>
      <c r="I7889" s="9" t="s">
        <v>14177</v>
      </c>
      <c r="J7889" s="9" t="s">
        <v>14178</v>
      </c>
      <c r="K7889" s="3" t="s">
        <v>15176</v>
      </c>
      <c r="L7889" s="13">
        <v>783</v>
      </c>
      <c r="M7889" t="str">
        <f>VLOOKUP(L7889,[1]Mouse_ARA!$B$2:$C$1328,2,FALSE)</f>
        <v>AId6a</v>
      </c>
    </row>
    <row r="7890" spans="2:13" x14ac:dyDescent="0.25">
      <c r="B7890" s="31" t="s">
        <v>26303</v>
      </c>
      <c r="C7890" s="20"/>
      <c r="D7890" s="25" t="s">
        <v>26232</v>
      </c>
      <c r="E7890" s="25" t="s">
        <v>26307</v>
      </c>
      <c r="F7890" s="9" t="str">
        <f t="shared" si="116"/>
        <v>structure with developmental contribution from neural crest</v>
      </c>
      <c r="G7890" s="9" t="s">
        <v>5090</v>
      </c>
      <c r="H7890" s="9" t="s">
        <v>19366</v>
      </c>
      <c r="I7890" s="9" t="s">
        <v>14179</v>
      </c>
      <c r="J7890" s="9" t="s">
        <v>14180</v>
      </c>
      <c r="K7890" s="3" t="s">
        <v>15176</v>
      </c>
      <c r="L7890" s="13">
        <v>786</v>
      </c>
      <c r="M7890" t="str">
        <f>VLOOKUP(L7890,[1]Mouse_ARA!$B$2:$C$1328,2,FALSE)</f>
        <v>TEa6b</v>
      </c>
    </row>
    <row r="7891" spans="2:13" x14ac:dyDescent="0.25">
      <c r="B7891" s="31" t="s">
        <v>26303</v>
      </c>
      <c r="C7891" s="20"/>
      <c r="D7891" s="25" t="s">
        <v>26232</v>
      </c>
      <c r="E7891" s="25" t="s">
        <v>26300</v>
      </c>
      <c r="F7891" s="9" t="str">
        <f t="shared" si="116"/>
        <v>structure with developmental contribution from neural crest</v>
      </c>
      <c r="G7891" s="9" t="s">
        <v>5090</v>
      </c>
      <c r="H7891" s="9" t="s">
        <v>19521</v>
      </c>
      <c r="I7891" s="9" t="s">
        <v>14181</v>
      </c>
      <c r="J7891" s="9" t="s">
        <v>14182</v>
      </c>
      <c r="K7891" s="3" t="s">
        <v>15176</v>
      </c>
      <c r="L7891" s="13">
        <v>788</v>
      </c>
      <c r="M7891" t="str">
        <f>VLOOKUP(L7891,[1]Mouse_ARA!$B$2:$C$1328,2,FALSE)</f>
        <v>PAA</v>
      </c>
    </row>
    <row r="7892" spans="2:13" x14ac:dyDescent="0.25">
      <c r="B7892" s="31" t="s">
        <v>26303</v>
      </c>
      <c r="C7892" s="20"/>
      <c r="D7892" s="25" t="s">
        <v>26232</v>
      </c>
      <c r="E7892" s="25" t="s">
        <v>26309</v>
      </c>
      <c r="F7892" s="9" t="str">
        <f t="shared" si="116"/>
        <v>structure with developmental contribution from neural crest</v>
      </c>
      <c r="G7892" s="9" t="s">
        <v>5090</v>
      </c>
      <c r="H7892" s="9" t="s">
        <v>20447</v>
      </c>
      <c r="I7892" s="9" t="s">
        <v>14183</v>
      </c>
      <c r="J7892" s="9" t="s">
        <v>14184</v>
      </c>
      <c r="K7892" s="3" t="s">
        <v>15176</v>
      </c>
      <c r="L7892" s="13">
        <v>789</v>
      </c>
      <c r="M7892" t="str">
        <f>VLOOKUP(L7892,[1]Mouse_ARA!$B$2:$C$1328,2,FALSE)</f>
        <v>z</v>
      </c>
    </row>
    <row r="7893" spans="2:13" x14ac:dyDescent="0.25">
      <c r="B7893" s="31" t="s">
        <v>26303</v>
      </c>
      <c r="C7893" s="25" t="s">
        <v>25899</v>
      </c>
      <c r="D7893" s="25" t="s">
        <v>26232</v>
      </c>
      <c r="E7893" s="25"/>
      <c r="F7893" s="9" t="str">
        <f t="shared" si="116"/>
        <v>structure with developmental contribution from neural crest</v>
      </c>
      <c r="G7893" s="9" t="s">
        <v>5090</v>
      </c>
      <c r="H7893" s="9" t="s">
        <v>19572</v>
      </c>
      <c r="I7893" s="9" t="s">
        <v>14185</v>
      </c>
      <c r="J7893" s="9" t="s">
        <v>14186</v>
      </c>
      <c r="K7893" s="3" t="s">
        <v>15176</v>
      </c>
      <c r="L7893" s="13">
        <v>790</v>
      </c>
      <c r="M7893" t="str">
        <f>VLOOKUP(L7893,[1]Mouse_ARA!$B$2:$C$1328,2,FALSE)</f>
        <v>DGlb-sg</v>
      </c>
    </row>
    <row r="7894" spans="2:13" x14ac:dyDescent="0.25">
      <c r="B7894" s="31" t="s">
        <v>26303</v>
      </c>
      <c r="C7894" s="25" t="s">
        <v>25802</v>
      </c>
      <c r="D7894" s="25" t="s">
        <v>26185</v>
      </c>
      <c r="E7894" s="25" t="s">
        <v>26307</v>
      </c>
      <c r="F7894" s="9" t="str">
        <f t="shared" si="116"/>
        <v>structure with developmental contribution from neural crest</v>
      </c>
      <c r="G7894" s="9" t="s">
        <v>5090</v>
      </c>
      <c r="H7894" s="9" t="s">
        <v>18936</v>
      </c>
      <c r="I7894" s="9" t="s">
        <v>14187</v>
      </c>
      <c r="J7894" s="9" t="s">
        <v>14188</v>
      </c>
      <c r="K7894" s="3" t="s">
        <v>15176</v>
      </c>
      <c r="L7894" s="13">
        <v>791</v>
      </c>
      <c r="M7894" t="str">
        <f>VLOOKUP(L7894,[1]Mouse_ARA!$B$2:$C$1328,2,FALSE)</f>
        <v>AUDpo5</v>
      </c>
    </row>
    <row r="7895" spans="2:13" x14ac:dyDescent="0.25">
      <c r="B7895" s="31" t="s">
        <v>26303</v>
      </c>
      <c r="C7895" s="25" t="s">
        <v>26173</v>
      </c>
      <c r="D7895" s="25" t="s">
        <v>26232</v>
      </c>
      <c r="E7895" s="25" t="s">
        <v>26306</v>
      </c>
      <c r="F7895" s="9" t="str">
        <f t="shared" si="116"/>
        <v>structure with developmental contribution from neural crest</v>
      </c>
      <c r="G7895" s="9" t="s">
        <v>5090</v>
      </c>
      <c r="H7895" s="9" t="s">
        <v>18718</v>
      </c>
      <c r="I7895" s="9" t="s">
        <v>14189</v>
      </c>
      <c r="J7895" s="9" t="s">
        <v>14190</v>
      </c>
      <c r="K7895" s="3" t="s">
        <v>15176</v>
      </c>
      <c r="L7895" s="13">
        <v>793</v>
      </c>
      <c r="M7895" t="str">
        <f>VLOOKUP(L7895,[1]Mouse_ARA!$B$2:$C$1328,2,FALSE)</f>
        <v>SSp1</v>
      </c>
    </row>
    <row r="7896" spans="2:13" x14ac:dyDescent="0.25">
      <c r="B7896" s="31" t="s">
        <v>26303</v>
      </c>
      <c r="C7896" s="20" t="s">
        <v>25901</v>
      </c>
      <c r="D7896" s="25" t="s">
        <v>26232</v>
      </c>
      <c r="E7896" s="25"/>
      <c r="F7896" s="9" t="str">
        <f t="shared" si="116"/>
        <v>structure with developmental contribution from neural crest</v>
      </c>
      <c r="G7896" s="9" t="s">
        <v>5090</v>
      </c>
      <c r="H7896" s="9" t="s">
        <v>19574</v>
      </c>
      <c r="I7896" s="9" t="s">
        <v>14191</v>
      </c>
      <c r="J7896" s="9" t="s">
        <v>14192</v>
      </c>
      <c r="K7896" s="3" t="s">
        <v>15176</v>
      </c>
      <c r="L7896" s="13">
        <v>799</v>
      </c>
      <c r="M7896" t="str">
        <f>VLOOKUP(L7896,[1]Mouse_ARA!$B$2:$C$1328,2,FALSE)</f>
        <v>DGmb</v>
      </c>
    </row>
    <row r="7897" spans="2:13" x14ac:dyDescent="0.25">
      <c r="B7897" s="31" t="s">
        <v>26303</v>
      </c>
      <c r="C7897" s="25" t="s">
        <v>25771</v>
      </c>
      <c r="D7897" s="25" t="s">
        <v>26232</v>
      </c>
      <c r="E7897" s="25" t="s">
        <v>26306</v>
      </c>
      <c r="F7897" s="9" t="str">
        <f t="shared" si="116"/>
        <v>structure with developmental contribution from neural crest</v>
      </c>
      <c r="G7897" s="9" t="s">
        <v>5090</v>
      </c>
      <c r="H7897" s="9" t="s">
        <v>19223</v>
      </c>
      <c r="I7897" s="9" t="s">
        <v>14193</v>
      </c>
      <c r="J7897" s="9" t="s">
        <v>14194</v>
      </c>
      <c r="K7897" s="3" t="s">
        <v>15176</v>
      </c>
      <c r="L7897" s="13">
        <v>800</v>
      </c>
      <c r="M7897" t="str">
        <f>VLOOKUP(L7897,[1]Mouse_ARA!$B$2:$C$1328,2,FALSE)</f>
        <v>AIv5</v>
      </c>
    </row>
    <row r="7898" spans="2:13" x14ac:dyDescent="0.25">
      <c r="B7898" s="31" t="s">
        <v>26303</v>
      </c>
      <c r="C7898" s="25" t="s">
        <v>26288</v>
      </c>
      <c r="D7898" s="25" t="s">
        <v>26232</v>
      </c>
      <c r="E7898" s="25" t="s">
        <v>26306</v>
      </c>
      <c r="F7898" s="9" t="str">
        <f t="shared" si="116"/>
        <v>structure with developmental contribution from neural crest</v>
      </c>
      <c r="G7898" s="9" t="s">
        <v>5090</v>
      </c>
      <c r="H7898" s="9" t="s">
        <v>18958</v>
      </c>
      <c r="I7898" s="9" t="s">
        <v>14195</v>
      </c>
      <c r="J7898" s="9" t="s">
        <v>14196</v>
      </c>
      <c r="K7898" s="3" t="s">
        <v>15176</v>
      </c>
      <c r="L7898" s="13">
        <v>801</v>
      </c>
      <c r="M7898" t="str">
        <f>VLOOKUP(L7898,[1]Mouse_ARA!$B$2:$C$1328,2,FALSE)</f>
        <v>VIS1</v>
      </c>
    </row>
    <row r="7899" spans="2:13" x14ac:dyDescent="0.25">
      <c r="B7899" s="31" t="s">
        <v>26303</v>
      </c>
      <c r="C7899" s="25" t="s">
        <v>2129</v>
      </c>
      <c r="D7899" s="25" t="s">
        <v>26232</v>
      </c>
      <c r="E7899" s="25"/>
      <c r="F7899" s="9" t="str">
        <f t="shared" si="116"/>
        <v>structure with developmental contribution from neural crest</v>
      </c>
      <c r="G7899" s="9" t="s">
        <v>5090</v>
      </c>
      <c r="H7899" s="9" t="s">
        <v>19812</v>
      </c>
      <c r="I7899" s="9" t="s">
        <v>2129</v>
      </c>
      <c r="J7899" s="9" t="s">
        <v>2130</v>
      </c>
      <c r="K7899" s="3" t="s">
        <v>15176</v>
      </c>
      <c r="L7899" s="13">
        <v>803</v>
      </c>
      <c r="M7899" t="str">
        <f>VLOOKUP(L7899,[1]Mouse_ARA!$B$2:$C$1328,2,FALSE)</f>
        <v>PAL</v>
      </c>
    </row>
    <row r="7900" spans="2:13" x14ac:dyDescent="0.25">
      <c r="B7900" s="31" t="s">
        <v>26303</v>
      </c>
      <c r="C7900" s="25" t="s">
        <v>4024</v>
      </c>
      <c r="D7900" s="25" t="s">
        <v>26232</v>
      </c>
      <c r="E7900" s="25" t="s">
        <v>26306</v>
      </c>
      <c r="F7900" s="9" t="str">
        <f t="shared" si="116"/>
        <v>structure with developmental contribution from neural crest</v>
      </c>
      <c r="G7900" s="9" t="s">
        <v>5090</v>
      </c>
      <c r="H7900" s="9" t="s">
        <v>19041</v>
      </c>
      <c r="I7900" s="9" t="s">
        <v>14197</v>
      </c>
      <c r="J7900" s="9" t="s">
        <v>14198</v>
      </c>
      <c r="K7900" s="3" t="s">
        <v>15176</v>
      </c>
      <c r="L7900" s="13">
        <v>805</v>
      </c>
      <c r="M7900" t="str">
        <f>VLOOKUP(L7900,[1]Mouse_ARA!$B$2:$C$1328,2,FALSE)</f>
        <v>VISpm1</v>
      </c>
    </row>
    <row r="7901" spans="2:13" x14ac:dyDescent="0.25">
      <c r="B7901" s="31" t="s">
        <v>26303</v>
      </c>
      <c r="C7901" s="25" t="s">
        <v>26216</v>
      </c>
      <c r="D7901" s="25" t="s">
        <v>26232</v>
      </c>
      <c r="E7901" s="25" t="s">
        <v>26306</v>
      </c>
      <c r="F7901" s="9" t="str">
        <f t="shared" si="116"/>
        <v>structure with developmental contribution from neural crest</v>
      </c>
      <c r="G7901" s="9" t="s">
        <v>5090</v>
      </c>
      <c r="H7901" s="9" t="s">
        <v>18846</v>
      </c>
      <c r="I7901" s="9" t="s">
        <v>14199</v>
      </c>
      <c r="J7901" s="9" t="s">
        <v>14200</v>
      </c>
      <c r="K7901" s="3" t="s">
        <v>15176</v>
      </c>
      <c r="L7901" s="13">
        <v>806</v>
      </c>
      <c r="M7901" t="str">
        <f>VLOOKUP(L7901,[1]Mouse_ARA!$B$2:$C$1328,2,FALSE)</f>
        <v>SSs2/3</v>
      </c>
    </row>
    <row r="7902" spans="2:13" x14ac:dyDescent="0.25">
      <c r="B7902" s="31" t="s">
        <v>26303</v>
      </c>
      <c r="C7902" s="25" t="s">
        <v>25900</v>
      </c>
      <c r="D7902" s="25" t="s">
        <v>26232</v>
      </c>
      <c r="E7902" s="25" t="s">
        <v>26306</v>
      </c>
      <c r="F7902" s="9" t="str">
        <f t="shared" si="116"/>
        <v>structure with developmental contribution from neural crest</v>
      </c>
      <c r="G7902" s="9" t="s">
        <v>5090</v>
      </c>
      <c r="H7902" s="9" t="s">
        <v>19576</v>
      </c>
      <c r="I7902" s="9" t="s">
        <v>14201</v>
      </c>
      <c r="J7902" s="9" t="s">
        <v>14202</v>
      </c>
      <c r="K7902" s="3" t="s">
        <v>15176</v>
      </c>
      <c r="L7902" s="13">
        <v>807</v>
      </c>
      <c r="M7902" t="str">
        <f>VLOOKUP(L7902,[1]Mouse_ARA!$B$2:$C$1328,2,FALSE)</f>
        <v>DGmb-mo</v>
      </c>
    </row>
    <row r="7903" spans="2:13" x14ac:dyDescent="0.25">
      <c r="B7903" s="31" t="s">
        <v>26303</v>
      </c>
      <c r="C7903" s="25" t="s">
        <v>2129</v>
      </c>
      <c r="D7903" s="25" t="s">
        <v>26232</v>
      </c>
      <c r="E7903" s="25"/>
      <c r="F7903" s="9" t="str">
        <f t="shared" si="116"/>
        <v>structure with developmental contribution from neural crest</v>
      </c>
      <c r="G7903" s="9" t="s">
        <v>5090</v>
      </c>
      <c r="H7903" s="9" t="s">
        <v>19835</v>
      </c>
      <c r="I7903" s="9" t="s">
        <v>14203</v>
      </c>
      <c r="J7903" s="9" t="s">
        <v>14204</v>
      </c>
      <c r="K7903" s="3" t="s">
        <v>15176</v>
      </c>
      <c r="L7903" s="13">
        <v>809</v>
      </c>
      <c r="M7903" t="str">
        <f>VLOOKUP(L7903,[1]Mouse_ARA!$B$2:$C$1328,2,FALSE)</f>
        <v>PALc</v>
      </c>
    </row>
    <row r="7904" spans="2:13" x14ac:dyDescent="0.25">
      <c r="B7904" s="31" t="s">
        <v>26299</v>
      </c>
      <c r="C7904" s="25" t="s">
        <v>25746</v>
      </c>
      <c r="D7904" s="25" t="s">
        <v>26232</v>
      </c>
      <c r="E7904" s="25"/>
      <c r="F7904" s="9" t="str">
        <f t="shared" si="116"/>
        <v>structure with developmental contribution from neural crest</v>
      </c>
      <c r="G7904" s="9" t="s">
        <v>5090</v>
      </c>
      <c r="H7904" s="9" t="s">
        <v>19107</v>
      </c>
      <c r="I7904" s="9" t="s">
        <v>14205</v>
      </c>
      <c r="J7904" s="9" t="s">
        <v>14206</v>
      </c>
      <c r="K7904" s="3" t="s">
        <v>15176</v>
      </c>
      <c r="L7904" s="13">
        <v>810</v>
      </c>
      <c r="M7904" t="str">
        <f>VLOOKUP(L7904,[1]Mouse_ARA!$B$2:$C$1328,2,FALSE)</f>
        <v>ACAv6a</v>
      </c>
    </row>
    <row r="7905" spans="2:13" x14ac:dyDescent="0.25">
      <c r="B7905" s="31" t="s">
        <v>26303</v>
      </c>
      <c r="C7905" s="20"/>
      <c r="D7905" s="25" t="s">
        <v>26185</v>
      </c>
      <c r="E7905" s="25" t="s">
        <v>26300</v>
      </c>
      <c r="F7905" s="9" t="str">
        <f t="shared" si="116"/>
        <v>structure with developmental contribution from neural crest</v>
      </c>
      <c r="G7905" s="9" t="s">
        <v>5090</v>
      </c>
      <c r="H7905" s="9" t="s">
        <v>19453</v>
      </c>
      <c r="I7905" s="9" t="s">
        <v>14207</v>
      </c>
      <c r="J7905" s="9" t="s">
        <v>14208</v>
      </c>
      <c r="K7905" s="3" t="s">
        <v>15176</v>
      </c>
      <c r="L7905" s="13">
        <v>814</v>
      </c>
      <c r="M7905" t="str">
        <f>VLOOKUP(L7905,[1]Mouse_ARA!$B$2:$C$1328,2,FALSE)</f>
        <v>DP</v>
      </c>
    </row>
    <row r="7906" spans="2:13" x14ac:dyDescent="0.25">
      <c r="B7906" s="31" t="s">
        <v>26303</v>
      </c>
      <c r="C7906" s="20" t="s">
        <v>25901</v>
      </c>
      <c r="D7906" s="25" t="s">
        <v>26232</v>
      </c>
      <c r="E7906" s="25"/>
      <c r="F7906" s="9" t="str">
        <f t="shared" si="116"/>
        <v>structure with developmental contribution from neural crest</v>
      </c>
      <c r="G7906" s="9" t="s">
        <v>5090</v>
      </c>
      <c r="H7906" s="9" t="s">
        <v>19578</v>
      </c>
      <c r="I7906" s="9" t="s">
        <v>14209</v>
      </c>
      <c r="J7906" s="9" t="s">
        <v>14210</v>
      </c>
      <c r="K7906" s="3" t="s">
        <v>15176</v>
      </c>
      <c r="L7906" s="13">
        <v>815</v>
      </c>
      <c r="M7906" t="str">
        <f>VLOOKUP(L7906,[1]Mouse_ARA!$B$2:$C$1328,2,FALSE)</f>
        <v>DGmb-po</v>
      </c>
    </row>
    <row r="7907" spans="2:13" x14ac:dyDescent="0.25">
      <c r="B7907" s="31" t="s">
        <v>26303</v>
      </c>
      <c r="C7907" s="25" t="s">
        <v>26164</v>
      </c>
      <c r="D7907" s="25" t="s">
        <v>26185</v>
      </c>
      <c r="E7907" s="25" t="s">
        <v>26306</v>
      </c>
      <c r="F7907" s="9" t="str">
        <f t="shared" si="116"/>
        <v>structure with developmental contribution from neural crest</v>
      </c>
      <c r="G7907" s="9" t="s">
        <v>5090</v>
      </c>
      <c r="H7907" s="9" t="s">
        <v>18920</v>
      </c>
      <c r="I7907" s="9" t="s">
        <v>14211</v>
      </c>
      <c r="J7907" s="9" t="s">
        <v>14212</v>
      </c>
      <c r="K7907" s="3" t="s">
        <v>15176</v>
      </c>
      <c r="L7907" s="13">
        <v>816</v>
      </c>
      <c r="M7907" t="str">
        <f>VLOOKUP(L7907,[1]Mouse_ARA!$B$2:$C$1328,2,FALSE)</f>
        <v>AUDp4</v>
      </c>
    </row>
    <row r="7908" spans="2:13" x14ac:dyDescent="0.25">
      <c r="B7908" s="31" t="s">
        <v>26299</v>
      </c>
      <c r="C7908" s="25" t="s">
        <v>25746</v>
      </c>
      <c r="D7908" s="25" t="s">
        <v>26232</v>
      </c>
      <c r="E7908" s="25"/>
      <c r="F7908" s="9" t="str">
        <f t="shared" si="116"/>
        <v>structure with developmental contribution from neural crest</v>
      </c>
      <c r="G7908" s="9" t="s">
        <v>5090</v>
      </c>
      <c r="H7908" s="9" t="s">
        <v>19109</v>
      </c>
      <c r="I7908" s="9" t="s">
        <v>14213</v>
      </c>
      <c r="J7908" s="9" t="s">
        <v>14214</v>
      </c>
      <c r="K7908" s="3" t="s">
        <v>15176</v>
      </c>
      <c r="L7908" s="13">
        <v>819</v>
      </c>
      <c r="M7908" t="str">
        <f>VLOOKUP(L7908,[1]Mouse_ARA!$B$2:$C$1328,2,FALSE)</f>
        <v>ACAv6b</v>
      </c>
    </row>
    <row r="7909" spans="2:13" x14ac:dyDescent="0.25">
      <c r="B7909" s="31" t="s">
        <v>26303</v>
      </c>
      <c r="C7909" s="25" t="s">
        <v>25899</v>
      </c>
      <c r="D7909" s="25" t="s">
        <v>26232</v>
      </c>
      <c r="E7909" s="25"/>
      <c r="F7909" s="9" t="str">
        <f t="shared" si="116"/>
        <v>structure with developmental contribution from neural crest</v>
      </c>
      <c r="G7909" s="9" t="s">
        <v>5090</v>
      </c>
      <c r="H7909" s="9" t="s">
        <v>19580</v>
      </c>
      <c r="I7909" s="9" t="s">
        <v>14215</v>
      </c>
      <c r="J7909" s="9" t="s">
        <v>14216</v>
      </c>
      <c r="K7909" s="3" t="s">
        <v>15176</v>
      </c>
      <c r="L7909" s="13">
        <v>823</v>
      </c>
      <c r="M7909" t="str">
        <f>VLOOKUP(L7909,[1]Mouse_ARA!$B$2:$C$1328,2,FALSE)</f>
        <v>DGmb-sg</v>
      </c>
    </row>
    <row r="7910" spans="2:13" x14ac:dyDescent="0.25">
      <c r="B7910" s="31" t="s">
        <v>26303</v>
      </c>
      <c r="C7910" s="25" t="s">
        <v>2129</v>
      </c>
      <c r="D7910" s="25" t="s">
        <v>26232</v>
      </c>
      <c r="E7910" s="25"/>
      <c r="F7910" s="9" t="str">
        <f t="shared" si="116"/>
        <v>structure with developmental contribution from neural crest</v>
      </c>
      <c r="G7910" s="9" t="s">
        <v>5090</v>
      </c>
      <c r="H7910" s="9" t="s">
        <v>19826</v>
      </c>
      <c r="I7910" s="9" t="s">
        <v>14217</v>
      </c>
      <c r="J7910" s="9" t="s">
        <v>14218</v>
      </c>
      <c r="K7910" s="3" t="s">
        <v>15176</v>
      </c>
      <c r="L7910" s="13">
        <v>826</v>
      </c>
      <c r="M7910" t="str">
        <f>VLOOKUP(L7910,[1]Mouse_ARA!$B$2:$C$1328,2,FALSE)</f>
        <v>PALm</v>
      </c>
    </row>
    <row r="7911" spans="2:13" x14ac:dyDescent="0.25">
      <c r="B7911" s="31" t="s">
        <v>26303</v>
      </c>
      <c r="C7911" s="20"/>
      <c r="D7911" s="25" t="s">
        <v>26232</v>
      </c>
      <c r="E7911" s="25" t="s">
        <v>26307</v>
      </c>
      <c r="F7911" s="9" t="str">
        <f t="shared" si="116"/>
        <v>structure with developmental contribution from neural crest</v>
      </c>
      <c r="G7911" s="9" t="s">
        <v>5090</v>
      </c>
      <c r="H7911" s="9" t="s">
        <v>19133</v>
      </c>
      <c r="I7911" s="9" t="s">
        <v>14219</v>
      </c>
      <c r="J7911" s="9" t="s">
        <v>14220</v>
      </c>
      <c r="K7911" s="3" t="s">
        <v>15176</v>
      </c>
      <c r="L7911" s="13">
        <v>827</v>
      </c>
      <c r="M7911" t="str">
        <f>VLOOKUP(L7911,[1]Mouse_ARA!$B$2:$C$1328,2,FALSE)</f>
        <v>ILA5</v>
      </c>
    </row>
    <row r="7912" spans="2:13" x14ac:dyDescent="0.25">
      <c r="B7912" s="31" t="s">
        <v>26303</v>
      </c>
      <c r="C7912" s="25" t="s">
        <v>14722</v>
      </c>
      <c r="D7912" s="25" t="s">
        <v>26232</v>
      </c>
      <c r="E7912" s="25" t="s">
        <v>26306</v>
      </c>
      <c r="F7912" s="9" t="str">
        <f t="shared" si="116"/>
        <v>structure with developmental contribution from neural crest</v>
      </c>
      <c r="G7912" s="9" t="s">
        <v>5090</v>
      </c>
      <c r="H7912" s="9" t="s">
        <v>19675</v>
      </c>
      <c r="I7912" s="9" t="s">
        <v>14221</v>
      </c>
      <c r="J7912" s="9" t="s">
        <v>14222</v>
      </c>
      <c r="K7912" s="3" t="s">
        <v>15176</v>
      </c>
      <c r="L7912" s="13">
        <v>829</v>
      </c>
      <c r="M7912" t="str">
        <f>VLOOKUP(L7912,[1]Mouse_ARA!$B$2:$C$1328,2,FALSE)</f>
        <v>SUBd-m</v>
      </c>
    </row>
    <row r="7913" spans="2:13" x14ac:dyDescent="0.25">
      <c r="B7913" s="31" t="s">
        <v>26303</v>
      </c>
      <c r="C7913" s="25" t="s">
        <v>2387</v>
      </c>
      <c r="D7913" s="25" t="s">
        <v>26232</v>
      </c>
      <c r="E7913" s="25"/>
      <c r="F7913" s="9" t="str">
        <f t="shared" si="116"/>
        <v>structure with developmental contribution from neural crest</v>
      </c>
      <c r="G7913" s="9" t="s">
        <v>5090</v>
      </c>
      <c r="H7913" s="9" t="s">
        <v>20474</v>
      </c>
      <c r="I7913" s="9" t="s">
        <v>2387</v>
      </c>
      <c r="J7913" s="9" t="s">
        <v>2389</v>
      </c>
      <c r="K7913" s="3" t="s">
        <v>15176</v>
      </c>
      <c r="L7913" s="13">
        <v>83</v>
      </c>
      <c r="M7913" t="str">
        <f>VLOOKUP(L7913,[1]Mouse_ARA!$B$2:$C$1328,2,FALSE)</f>
        <v>IO</v>
      </c>
    </row>
    <row r="7914" spans="2:13" x14ac:dyDescent="0.25">
      <c r="B7914" s="31" t="s">
        <v>26303</v>
      </c>
      <c r="C7914" s="25" t="s">
        <v>25771</v>
      </c>
      <c r="D7914" s="25" t="s">
        <v>26232</v>
      </c>
      <c r="E7914" s="25" t="s">
        <v>26306</v>
      </c>
      <c r="F7914" s="9" t="str">
        <f t="shared" si="116"/>
        <v>structure with developmental contribution from neural crest</v>
      </c>
      <c r="G7914" s="9" t="s">
        <v>5090</v>
      </c>
      <c r="H7914" s="9" t="s">
        <v>19203</v>
      </c>
      <c r="I7914" s="9" t="s">
        <v>14223</v>
      </c>
      <c r="J7914" s="9" t="s">
        <v>14224</v>
      </c>
      <c r="K7914" s="3" t="s">
        <v>15176</v>
      </c>
      <c r="L7914" s="13">
        <v>831</v>
      </c>
      <c r="M7914" t="str">
        <f>VLOOKUP(L7914,[1]Mouse_ARA!$B$2:$C$1328,2,FALSE)</f>
        <v>AId6b</v>
      </c>
    </row>
    <row r="7915" spans="2:13" x14ac:dyDescent="0.25">
      <c r="B7915" s="31" t="s">
        <v>26303</v>
      </c>
      <c r="C7915" s="25" t="s">
        <v>1765</v>
      </c>
      <c r="D7915" s="25" t="s">
        <v>26232</v>
      </c>
      <c r="E7915" s="25" t="s">
        <v>26306</v>
      </c>
      <c r="F7915" s="9" t="str">
        <f t="shared" si="116"/>
        <v>structure with developmental contribution from neural crest</v>
      </c>
      <c r="G7915" s="9" t="s">
        <v>5090</v>
      </c>
      <c r="H7915" s="9" t="s">
        <v>19382</v>
      </c>
      <c r="I7915" s="9" t="s">
        <v>14225</v>
      </c>
      <c r="J7915" s="9" t="s">
        <v>14226</v>
      </c>
      <c r="K7915" s="3" t="s">
        <v>15176</v>
      </c>
      <c r="L7915" s="13">
        <v>836</v>
      </c>
      <c r="M7915" t="str">
        <f>VLOOKUP(L7915,[1]Mouse_ARA!$B$2:$C$1328,2,FALSE)</f>
        <v>ECT1</v>
      </c>
    </row>
    <row r="7916" spans="2:13" x14ac:dyDescent="0.25">
      <c r="B7916" s="31" t="s">
        <v>26303</v>
      </c>
      <c r="C7916" s="25" t="s">
        <v>14722</v>
      </c>
      <c r="D7916" s="25" t="s">
        <v>26232</v>
      </c>
      <c r="E7916" s="25"/>
      <c r="F7916" s="9" t="str">
        <f t="shared" si="116"/>
        <v>structure with developmental contribution from neural crest</v>
      </c>
      <c r="G7916" s="9" t="s">
        <v>5090</v>
      </c>
      <c r="H7916" s="9" t="s">
        <v>19679</v>
      </c>
      <c r="I7916" s="9" t="s">
        <v>14227</v>
      </c>
      <c r="J7916" s="9" t="s">
        <v>14228</v>
      </c>
      <c r="K7916" s="3" t="s">
        <v>15176</v>
      </c>
      <c r="L7916" s="13">
        <v>837</v>
      </c>
      <c r="M7916" t="str">
        <f>VLOOKUP(L7916,[1]Mouse_ARA!$B$2:$C$1328,2,FALSE)</f>
        <v>SUBd-sr</v>
      </c>
    </row>
    <row r="7917" spans="2:13" x14ac:dyDescent="0.25">
      <c r="B7917" s="31" t="s">
        <v>26303</v>
      </c>
      <c r="C7917" s="25" t="s">
        <v>26173</v>
      </c>
      <c r="D7917" s="25" t="s">
        <v>26232</v>
      </c>
      <c r="E7917" s="25" t="s">
        <v>26306</v>
      </c>
      <c r="F7917" s="9" t="str">
        <f t="shared" si="116"/>
        <v>structure with developmental contribution from neural crest</v>
      </c>
      <c r="G7917" s="9" t="s">
        <v>5090</v>
      </c>
      <c r="H7917" s="9" t="s">
        <v>18734</v>
      </c>
      <c r="I7917" s="9" t="s">
        <v>14229</v>
      </c>
      <c r="J7917" s="9" t="s">
        <v>14230</v>
      </c>
      <c r="K7917" s="3" t="s">
        <v>15176</v>
      </c>
      <c r="L7917" s="13">
        <v>838</v>
      </c>
      <c r="M7917" t="str">
        <f>VLOOKUP(L7917,[1]Mouse_ARA!$B$2:$C$1328,2,FALSE)</f>
        <v>SSp-n2/3</v>
      </c>
    </row>
    <row r="7918" spans="2:13" x14ac:dyDescent="0.25">
      <c r="B7918" s="31" t="s">
        <v>26303</v>
      </c>
      <c r="C7918" s="25" t="s">
        <v>25912</v>
      </c>
      <c r="D7918" s="25" t="s">
        <v>26232</v>
      </c>
      <c r="E7918" s="25"/>
      <c r="F7918" s="9" t="str">
        <f t="shared" si="116"/>
        <v>structure with developmental contribution from neural crest</v>
      </c>
      <c r="G7918" s="9" t="s">
        <v>5090</v>
      </c>
      <c r="H7918" s="9" t="s">
        <v>20466</v>
      </c>
      <c r="I7918" s="9" t="s">
        <v>1550</v>
      </c>
      <c r="J7918" s="9" t="s">
        <v>1551</v>
      </c>
      <c r="K7918" s="3" t="s">
        <v>15176</v>
      </c>
      <c r="L7918" s="13">
        <v>839</v>
      </c>
      <c r="M7918" t="str">
        <f>VLOOKUP(L7918,[1]Mouse_ARA!$B$2:$C$1328,2,FALSE)</f>
        <v>DMX</v>
      </c>
    </row>
    <row r="7919" spans="2:13" x14ac:dyDescent="0.25">
      <c r="B7919" s="31" t="s">
        <v>26299</v>
      </c>
      <c r="C7919" s="25" t="s">
        <v>25747</v>
      </c>
      <c r="D7919" s="25" t="s">
        <v>26232</v>
      </c>
      <c r="E7919" s="25" t="s">
        <v>26306</v>
      </c>
      <c r="F7919" s="9" t="str">
        <f t="shared" si="116"/>
        <v>structure with developmental contribution from neural crest</v>
      </c>
      <c r="G7919" s="9" t="s">
        <v>5090</v>
      </c>
      <c r="H7919" s="9" t="s">
        <v>19121</v>
      </c>
      <c r="I7919" s="9" t="s">
        <v>14231</v>
      </c>
      <c r="J7919" s="9" t="s">
        <v>14232</v>
      </c>
      <c r="K7919" s="3" t="s">
        <v>15176</v>
      </c>
      <c r="L7919" s="13">
        <v>84</v>
      </c>
      <c r="M7919" t="str">
        <f>VLOOKUP(L7919,[1]Mouse_ARA!$B$2:$C$1328,2,FALSE)</f>
        <v>PL6a</v>
      </c>
    </row>
    <row r="7920" spans="2:13" x14ac:dyDescent="0.25">
      <c r="B7920" s="31" t="s">
        <v>26303</v>
      </c>
      <c r="C7920" s="25" t="s">
        <v>14233</v>
      </c>
      <c r="D7920" s="25" t="s">
        <v>26232</v>
      </c>
      <c r="E7920" s="25"/>
      <c r="F7920" s="9" t="str">
        <f t="shared" si="116"/>
        <v>structure with developmental contribution from neural crest</v>
      </c>
      <c r="G7920" s="9" t="s">
        <v>5090</v>
      </c>
      <c r="H7920" s="9" t="s">
        <v>20756</v>
      </c>
      <c r="I7920" s="9" t="s">
        <v>14233</v>
      </c>
      <c r="J7920" s="9" t="s">
        <v>14234</v>
      </c>
      <c r="K7920" s="3" t="s">
        <v>15176</v>
      </c>
      <c r="L7920" s="13">
        <v>841</v>
      </c>
      <c r="M7920" t="str">
        <f>VLOOKUP(L7920,[1]Mouse_ARA!$B$2:$C$1328,2,FALSE)</f>
        <v>tb</v>
      </c>
    </row>
    <row r="7921" spans="2:13" x14ac:dyDescent="0.25">
      <c r="B7921" s="31" t="s">
        <v>26303</v>
      </c>
      <c r="C7921" s="25" t="s">
        <v>26166</v>
      </c>
      <c r="D7921" s="25" t="s">
        <v>26232</v>
      </c>
      <c r="E7921" s="25" t="s">
        <v>26306</v>
      </c>
      <c r="F7921" s="9" t="str">
        <f t="shared" si="116"/>
        <v>structure with developmental contribution from neural crest</v>
      </c>
      <c r="G7921" s="9" t="s">
        <v>5090</v>
      </c>
      <c r="H7921" s="9" t="s">
        <v>18687</v>
      </c>
      <c r="I7921" s="9" t="s">
        <v>14235</v>
      </c>
      <c r="J7921" s="9" t="s">
        <v>14236</v>
      </c>
      <c r="K7921" s="3" t="s">
        <v>15176</v>
      </c>
      <c r="L7921" s="13">
        <v>844</v>
      </c>
      <c r="M7921" t="str">
        <f>VLOOKUP(L7921,[1]Mouse_ARA!$B$2:$C$1328,2,FALSE)</f>
        <v>MOp6a</v>
      </c>
    </row>
    <row r="7922" spans="2:13" x14ac:dyDescent="0.25">
      <c r="B7922" s="31" t="s">
        <v>26303</v>
      </c>
      <c r="C7922" s="25" t="s">
        <v>14722</v>
      </c>
      <c r="D7922" s="25" t="s">
        <v>26232</v>
      </c>
      <c r="E7922" s="25" t="s">
        <v>26306</v>
      </c>
      <c r="F7922" s="9" t="str">
        <f t="shared" si="116"/>
        <v>structure with developmental contribution from neural crest</v>
      </c>
      <c r="G7922" s="9" t="s">
        <v>5090</v>
      </c>
      <c r="H7922" s="9" t="s">
        <v>19677</v>
      </c>
      <c r="I7922" s="9" t="s">
        <v>14237</v>
      </c>
      <c r="J7922" s="9" t="s">
        <v>14238</v>
      </c>
      <c r="K7922" s="3" t="s">
        <v>15176</v>
      </c>
      <c r="L7922" s="13">
        <v>845</v>
      </c>
      <c r="M7922" t="str">
        <f>VLOOKUP(L7922,[1]Mouse_ARA!$B$2:$C$1328,2,FALSE)</f>
        <v>SUBd-sp</v>
      </c>
    </row>
    <row r="7923" spans="2:13" x14ac:dyDescent="0.25">
      <c r="B7923" s="31" t="s">
        <v>26303</v>
      </c>
      <c r="C7923" s="25" t="s">
        <v>1472</v>
      </c>
      <c r="D7923" s="25" t="s">
        <v>26232</v>
      </c>
      <c r="E7923" s="25"/>
      <c r="F7923" s="9" t="str">
        <f t="shared" si="116"/>
        <v>structure with developmental contribution from neural crest</v>
      </c>
      <c r="G7923" s="9" t="s">
        <v>5090</v>
      </c>
      <c r="H7923" s="9" t="s">
        <v>20718</v>
      </c>
      <c r="I7923" s="9" t="s">
        <v>1472</v>
      </c>
      <c r="J7923" s="9" t="s">
        <v>1474</v>
      </c>
      <c r="K7923" s="3" t="s">
        <v>15176</v>
      </c>
      <c r="L7923" s="13">
        <v>846</v>
      </c>
      <c r="M7923" t="str">
        <f>VLOOKUP(L7923,[1]Mouse_ARA!$B$2:$C$1328,2,FALSE)</f>
        <v>DN</v>
      </c>
    </row>
    <row r="7924" spans="2:13" x14ac:dyDescent="0.25">
      <c r="B7924" s="31" t="s">
        <v>26303</v>
      </c>
      <c r="C7924" s="25" t="s">
        <v>26164</v>
      </c>
      <c r="D7924" s="25" t="s">
        <v>26185</v>
      </c>
      <c r="E7924" s="25" t="s">
        <v>26306</v>
      </c>
      <c r="F7924" s="9" t="str">
        <f t="shared" si="116"/>
        <v>structure with developmental contribution from neural crest</v>
      </c>
      <c r="G7924" s="9" t="s">
        <v>5090</v>
      </c>
      <c r="H7924" s="9" t="s">
        <v>18922</v>
      </c>
      <c r="I7924" s="9" t="s">
        <v>14239</v>
      </c>
      <c r="J7924" s="9" t="s">
        <v>14240</v>
      </c>
      <c r="K7924" s="3" t="s">
        <v>15176</v>
      </c>
      <c r="L7924" s="13">
        <v>847</v>
      </c>
      <c r="M7924" t="str">
        <f>VLOOKUP(L7924,[1]Mouse_ARA!$B$2:$C$1328,2,FALSE)</f>
        <v>AUDp5</v>
      </c>
    </row>
    <row r="7925" spans="2:13" x14ac:dyDescent="0.25">
      <c r="B7925" s="31" t="s">
        <v>26303</v>
      </c>
      <c r="C7925" s="25" t="s">
        <v>25893</v>
      </c>
      <c r="D7925" s="25" t="s">
        <v>26232</v>
      </c>
      <c r="E7925" s="25"/>
      <c r="F7925" s="9" t="str">
        <f t="shared" si="116"/>
        <v>structure with developmental contribution from neural crest</v>
      </c>
      <c r="G7925" s="9" t="s">
        <v>5090</v>
      </c>
      <c r="H7925" s="9" t="s">
        <v>20735</v>
      </c>
      <c r="I7925" s="9" t="s">
        <v>1384</v>
      </c>
      <c r="J7925" s="9" t="s">
        <v>1387</v>
      </c>
      <c r="K7925" s="3" t="s">
        <v>15176</v>
      </c>
      <c r="L7925" s="13">
        <v>848</v>
      </c>
      <c r="M7925" t="str">
        <f>VLOOKUP(L7925,[1]Mouse_ARA!$B$2:$C$1328,2,FALSE)</f>
        <v>IIn</v>
      </c>
    </row>
    <row r="7926" spans="2:13" x14ac:dyDescent="0.25">
      <c r="B7926" s="31" t="s">
        <v>26303</v>
      </c>
      <c r="C7926" s="20"/>
      <c r="D7926" s="25" t="s">
        <v>26232</v>
      </c>
      <c r="E7926" s="25" t="s">
        <v>26307</v>
      </c>
      <c r="F7926" s="9" t="str">
        <f t="shared" si="116"/>
        <v>structure with developmental contribution from neural crest</v>
      </c>
      <c r="G7926" s="9" t="s">
        <v>5090</v>
      </c>
      <c r="H7926" s="9" t="s">
        <v>18882</v>
      </c>
      <c r="I7926" s="9" t="s">
        <v>14241</v>
      </c>
      <c r="J7926" s="9" t="s">
        <v>14242</v>
      </c>
      <c r="K7926" s="3" t="s">
        <v>15176</v>
      </c>
      <c r="L7926" s="13">
        <v>849</v>
      </c>
      <c r="M7926" t="str">
        <f>VLOOKUP(L7926,[1]Mouse_ARA!$B$2:$C$1328,2,FALSE)</f>
        <v>VISC6b</v>
      </c>
    </row>
    <row r="7927" spans="2:13" x14ac:dyDescent="0.25">
      <c r="B7927" s="31" t="s">
        <v>26303</v>
      </c>
      <c r="C7927" s="25" t="s">
        <v>14722</v>
      </c>
      <c r="D7927" s="25" t="s">
        <v>26232</v>
      </c>
      <c r="E7927" s="25" t="s">
        <v>26306</v>
      </c>
      <c r="F7927" s="9" t="str">
        <f t="shared" ref="F7927:F7990" si="117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7927" s="9" t="s">
        <v>5090</v>
      </c>
      <c r="H7927" s="9" t="s">
        <v>19683</v>
      </c>
      <c r="I7927" s="9" t="s">
        <v>14243</v>
      </c>
      <c r="J7927" s="9" t="s">
        <v>14244</v>
      </c>
      <c r="K7927" s="3" t="s">
        <v>15176</v>
      </c>
      <c r="L7927" s="13">
        <v>853</v>
      </c>
      <c r="M7927" t="str">
        <f>VLOOKUP(L7927,[1]Mouse_ARA!$B$2:$C$1328,2,FALSE)</f>
        <v>SUBv-m</v>
      </c>
    </row>
    <row r="7928" spans="2:13" x14ac:dyDescent="0.25">
      <c r="B7928" s="31" t="s">
        <v>26303</v>
      </c>
      <c r="C7928" s="25" t="s">
        <v>26173</v>
      </c>
      <c r="D7928" s="25" t="s">
        <v>26232</v>
      </c>
      <c r="E7928" s="25" t="s">
        <v>26306</v>
      </c>
      <c r="F7928" s="9" t="str">
        <f t="shared" si="117"/>
        <v>structure with developmental contribution from neural crest</v>
      </c>
      <c r="G7928" s="9" t="s">
        <v>5090</v>
      </c>
      <c r="H7928" s="9" t="s">
        <v>18804</v>
      </c>
      <c r="I7928" s="9" t="s">
        <v>14245</v>
      </c>
      <c r="J7928" s="9" t="s">
        <v>14246</v>
      </c>
      <c r="K7928" s="3" t="s">
        <v>15176</v>
      </c>
      <c r="L7928" s="13">
        <v>854</v>
      </c>
      <c r="M7928" t="str">
        <f>VLOOKUP(L7928,[1]Mouse_ARA!$B$2:$C$1328,2,FALSE)</f>
        <v>SSp-ul2/3</v>
      </c>
    </row>
    <row r="7929" spans="2:13" x14ac:dyDescent="0.25">
      <c r="B7929" s="31" t="s">
        <v>26303</v>
      </c>
      <c r="C7929" s="20"/>
      <c r="D7929" s="25" t="s">
        <v>26232</v>
      </c>
      <c r="E7929" s="25" t="s">
        <v>26307</v>
      </c>
      <c r="F7929" s="9" t="str">
        <f t="shared" si="117"/>
        <v>structure with developmental contribution from neural crest</v>
      </c>
      <c r="G7929" s="9" t="s">
        <v>5090</v>
      </c>
      <c r="H7929" s="9" t="s">
        <v>18880</v>
      </c>
      <c r="I7929" s="9" t="s">
        <v>14247</v>
      </c>
      <c r="J7929" s="9" t="s">
        <v>14248</v>
      </c>
      <c r="K7929" s="3" t="s">
        <v>15176</v>
      </c>
      <c r="L7929" s="13">
        <v>857</v>
      </c>
      <c r="M7929" t="str">
        <f>VLOOKUP(L7929,[1]Mouse_ARA!$B$2:$C$1328,2,FALSE)</f>
        <v>VISC6a</v>
      </c>
    </row>
    <row r="7930" spans="2:13" x14ac:dyDescent="0.25">
      <c r="B7930" s="31" t="s">
        <v>26303</v>
      </c>
      <c r="C7930" s="25" t="s">
        <v>3608</v>
      </c>
      <c r="D7930" s="25" t="s">
        <v>26232</v>
      </c>
      <c r="E7930" s="25"/>
      <c r="F7930" s="9" t="str">
        <f t="shared" si="117"/>
        <v>structure with developmental contribution from neural crest</v>
      </c>
      <c r="G7930" s="9" t="s">
        <v>5090</v>
      </c>
      <c r="H7930" s="9" t="s">
        <v>20498</v>
      </c>
      <c r="I7930" s="9" t="s">
        <v>3608</v>
      </c>
      <c r="J7930" s="9" t="s">
        <v>3610</v>
      </c>
      <c r="K7930" s="3" t="s">
        <v>15176</v>
      </c>
      <c r="L7930" s="13">
        <v>859</v>
      </c>
      <c r="M7930" t="str">
        <f>VLOOKUP(L7930,[1]Mouse_ARA!$B$2:$C$1328,2,FALSE)</f>
        <v>PAS</v>
      </c>
    </row>
    <row r="7931" spans="2:13" x14ac:dyDescent="0.25">
      <c r="B7931" s="31" t="s">
        <v>26303</v>
      </c>
      <c r="C7931" s="25" t="s">
        <v>2659</v>
      </c>
      <c r="D7931" s="25" t="s">
        <v>26232</v>
      </c>
      <c r="E7931" s="25"/>
      <c r="F7931" s="9" t="str">
        <f t="shared" si="117"/>
        <v>structure with developmental contribution from neural crest</v>
      </c>
      <c r="G7931" s="9" t="s">
        <v>5090</v>
      </c>
      <c r="H7931" s="9" t="s">
        <v>20314</v>
      </c>
      <c r="I7931" s="9" t="s">
        <v>14249</v>
      </c>
      <c r="J7931" s="9" t="s">
        <v>14250</v>
      </c>
      <c r="K7931" s="3" t="s">
        <v>15176</v>
      </c>
      <c r="L7931" s="13">
        <v>860</v>
      </c>
      <c r="M7931" t="str">
        <f>VLOOKUP(L7931,[1]Mouse_ARA!$B$2:$C$1328,2,FALSE)</f>
        <v>PBlc</v>
      </c>
    </row>
    <row r="7932" spans="2:13" x14ac:dyDescent="0.25">
      <c r="B7932" s="31" t="s">
        <v>26303</v>
      </c>
      <c r="C7932" s="25" t="s">
        <v>14722</v>
      </c>
      <c r="D7932" s="25" t="s">
        <v>26232</v>
      </c>
      <c r="E7932" s="25"/>
      <c r="F7932" s="9" t="str">
        <f t="shared" si="117"/>
        <v>structure with developmental contribution from neural crest</v>
      </c>
      <c r="G7932" s="9" t="s">
        <v>5090</v>
      </c>
      <c r="H7932" s="9" t="s">
        <v>19687</v>
      </c>
      <c r="I7932" s="9" t="s">
        <v>14251</v>
      </c>
      <c r="J7932" s="9" t="s">
        <v>14252</v>
      </c>
      <c r="K7932" s="3" t="s">
        <v>15176</v>
      </c>
      <c r="L7932" s="13">
        <v>861</v>
      </c>
      <c r="M7932" t="str">
        <f>VLOOKUP(L7932,[1]Mouse_ARA!$B$2:$C$1328,2,FALSE)</f>
        <v>SUBv-sr</v>
      </c>
    </row>
    <row r="7933" spans="2:13" x14ac:dyDescent="0.25">
      <c r="B7933" s="31" t="s">
        <v>26303</v>
      </c>
      <c r="C7933" s="25" t="s">
        <v>26216</v>
      </c>
      <c r="D7933" s="25" t="s">
        <v>26232</v>
      </c>
      <c r="E7933" s="25" t="s">
        <v>26306</v>
      </c>
      <c r="F7933" s="9" t="str">
        <f t="shared" si="117"/>
        <v>structure with developmental contribution from neural crest</v>
      </c>
      <c r="G7933" s="9" t="s">
        <v>5090</v>
      </c>
      <c r="H7933" s="9" t="s">
        <v>18852</v>
      </c>
      <c r="I7933" s="9" t="s">
        <v>14253</v>
      </c>
      <c r="J7933" s="9" t="s">
        <v>14254</v>
      </c>
      <c r="K7933" s="3" t="s">
        <v>15176</v>
      </c>
      <c r="L7933" s="13">
        <v>862</v>
      </c>
      <c r="M7933" t="str">
        <f>VLOOKUP(L7933,[1]Mouse_ARA!$B$2:$C$1328,2,FALSE)</f>
        <v>SSs6a</v>
      </c>
    </row>
    <row r="7934" spans="2:13" x14ac:dyDescent="0.25">
      <c r="B7934" s="31" t="s">
        <v>26303</v>
      </c>
      <c r="C7934" s="25" t="s">
        <v>4929</v>
      </c>
      <c r="D7934" s="25" t="s">
        <v>26232</v>
      </c>
      <c r="E7934" s="25"/>
      <c r="F7934" s="9" t="str">
        <f t="shared" si="117"/>
        <v>structure with developmental contribution from neural crest</v>
      </c>
      <c r="G7934" s="9" t="s">
        <v>5090</v>
      </c>
      <c r="H7934" s="9" t="s">
        <v>20866</v>
      </c>
      <c r="I7934" s="9" t="s">
        <v>4929</v>
      </c>
      <c r="J7934" s="9" t="s">
        <v>4932</v>
      </c>
      <c r="K7934" s="3" t="s">
        <v>15176</v>
      </c>
      <c r="L7934" s="13">
        <v>863</v>
      </c>
      <c r="M7934" t="str">
        <f>VLOOKUP(L7934,[1]Mouse_ARA!$B$2:$C$1328,2,FALSE)</f>
        <v>rust</v>
      </c>
    </row>
    <row r="7935" spans="2:13" x14ac:dyDescent="0.25">
      <c r="B7935" s="31" t="s">
        <v>26303</v>
      </c>
      <c r="C7935" s="25" t="s">
        <v>26173</v>
      </c>
      <c r="D7935" s="25" t="s">
        <v>26232</v>
      </c>
      <c r="E7935" s="25" t="s">
        <v>26306</v>
      </c>
      <c r="F7935" s="9" t="str">
        <f t="shared" si="117"/>
        <v>structure with developmental contribution from neural crest</v>
      </c>
      <c r="G7935" s="9" t="s">
        <v>5090</v>
      </c>
      <c r="H7935" s="9" t="s">
        <v>18722</v>
      </c>
      <c r="I7935" s="9" t="s">
        <v>14255</v>
      </c>
      <c r="J7935" s="9" t="s">
        <v>14256</v>
      </c>
      <c r="K7935" s="3" t="s">
        <v>15176</v>
      </c>
      <c r="L7935" s="13">
        <v>865</v>
      </c>
      <c r="M7935" t="str">
        <f>VLOOKUP(L7935,[1]Mouse_ARA!$B$2:$C$1328,2,FALSE)</f>
        <v>SSp4</v>
      </c>
    </row>
    <row r="7936" spans="2:13" x14ac:dyDescent="0.25">
      <c r="B7936" s="37" t="s">
        <v>26303</v>
      </c>
      <c r="C7936" s="25" t="s">
        <v>25796</v>
      </c>
      <c r="D7936" s="25" t="s">
        <v>26232</v>
      </c>
      <c r="E7936" s="25"/>
      <c r="F7936" s="9" t="str">
        <f t="shared" si="117"/>
        <v>structure with developmental contribution from neural crest</v>
      </c>
      <c r="G7936" s="9" t="s">
        <v>5090</v>
      </c>
      <c r="H7936" s="9" t="s">
        <v>20805</v>
      </c>
      <c r="I7936" s="9" t="s">
        <v>417</v>
      </c>
      <c r="J7936" s="9" t="s">
        <v>420</v>
      </c>
      <c r="K7936" s="3" t="s">
        <v>15176</v>
      </c>
      <c r="L7936" s="13">
        <v>866</v>
      </c>
      <c r="M7936" t="str">
        <f>VLOOKUP(L7936,[1]Mouse_ARA!$B$2:$C$1328,2,FALSE)</f>
        <v>sctv</v>
      </c>
    </row>
    <row r="7937" spans="2:13" x14ac:dyDescent="0.25">
      <c r="B7937" s="31" t="s">
        <v>26303</v>
      </c>
      <c r="C7937" s="25" t="s">
        <v>3562</v>
      </c>
      <c r="D7937" s="25" t="s">
        <v>26232</v>
      </c>
      <c r="E7937" s="25"/>
      <c r="F7937" s="9" t="str">
        <f t="shared" si="117"/>
        <v>structure with developmental contribution from neural crest</v>
      </c>
      <c r="G7937" s="9" t="s">
        <v>5090</v>
      </c>
      <c r="H7937" s="9" t="s">
        <v>20309</v>
      </c>
      <c r="I7937" s="9" t="s">
        <v>3562</v>
      </c>
      <c r="J7937" s="9" t="s">
        <v>3563</v>
      </c>
      <c r="K7937" s="3" t="s">
        <v>15176</v>
      </c>
      <c r="L7937" s="13">
        <v>867</v>
      </c>
      <c r="M7937" t="str">
        <f>VLOOKUP(L7937,[1]Mouse_ARA!$B$2:$C$1328,2,FALSE)</f>
        <v>PB</v>
      </c>
    </row>
    <row r="7938" spans="2:13" x14ac:dyDescent="0.25">
      <c r="B7938" s="31" t="s">
        <v>26303</v>
      </c>
      <c r="C7938" s="25" t="s">
        <v>2659</v>
      </c>
      <c r="D7938" s="25" t="s">
        <v>26232</v>
      </c>
      <c r="E7938" s="25"/>
      <c r="F7938" s="9" t="str">
        <f t="shared" si="117"/>
        <v>structure with developmental contribution from neural crest</v>
      </c>
      <c r="G7938" s="9" t="s">
        <v>5090</v>
      </c>
      <c r="H7938" s="9" t="s">
        <v>20316</v>
      </c>
      <c r="I7938" s="9" t="s">
        <v>14257</v>
      </c>
      <c r="J7938" s="9" t="s">
        <v>14258</v>
      </c>
      <c r="K7938" s="3" t="s">
        <v>15176</v>
      </c>
      <c r="L7938" s="13">
        <v>868</v>
      </c>
      <c r="M7938" t="str">
        <f>VLOOKUP(L7938,[1]Mouse_ARA!$B$2:$C$1328,2,FALSE)</f>
        <v>PBld</v>
      </c>
    </row>
    <row r="7939" spans="2:13" x14ac:dyDescent="0.25">
      <c r="B7939" s="31" t="s">
        <v>26303</v>
      </c>
      <c r="C7939" s="25" t="s">
        <v>14722</v>
      </c>
      <c r="D7939" s="25" t="s">
        <v>26232</v>
      </c>
      <c r="E7939" s="25" t="s">
        <v>26306</v>
      </c>
      <c r="F7939" s="9" t="str">
        <f t="shared" si="117"/>
        <v>structure with developmental contribution from neural crest</v>
      </c>
      <c r="G7939" s="9" t="s">
        <v>5090</v>
      </c>
      <c r="H7939" s="9" t="s">
        <v>19685</v>
      </c>
      <c r="I7939" s="9" t="s">
        <v>14259</v>
      </c>
      <c r="J7939" s="9" t="s">
        <v>14260</v>
      </c>
      <c r="K7939" s="3" t="s">
        <v>15176</v>
      </c>
      <c r="L7939" s="13">
        <v>870</v>
      </c>
      <c r="M7939" t="str">
        <f>VLOOKUP(L7939,[1]Mouse_ARA!$B$2:$C$1328,2,FALSE)</f>
        <v>SUBv-sp</v>
      </c>
    </row>
    <row r="7940" spans="2:13" x14ac:dyDescent="0.25">
      <c r="B7940" s="31" t="s">
        <v>26303</v>
      </c>
      <c r="C7940" s="25" t="s">
        <v>26216</v>
      </c>
      <c r="D7940" s="25" t="s">
        <v>26232</v>
      </c>
      <c r="E7940" s="25" t="s">
        <v>26306</v>
      </c>
      <c r="F7940" s="9" t="str">
        <f t="shared" si="117"/>
        <v>structure with developmental contribution from neural crest</v>
      </c>
      <c r="G7940" s="9" t="s">
        <v>5090</v>
      </c>
      <c r="H7940" s="9" t="s">
        <v>18844</v>
      </c>
      <c r="I7940" s="9" t="s">
        <v>14261</v>
      </c>
      <c r="J7940" s="9" t="s">
        <v>14262</v>
      </c>
      <c r="K7940" s="3" t="s">
        <v>15176</v>
      </c>
      <c r="L7940" s="13">
        <v>873</v>
      </c>
      <c r="M7940" t="str">
        <f>VLOOKUP(L7940,[1]Mouse_ARA!$B$2:$C$1328,2,FALSE)</f>
        <v>SSs1</v>
      </c>
    </row>
    <row r="7941" spans="2:13" x14ac:dyDescent="0.25">
      <c r="B7941" s="31" t="s">
        <v>26303</v>
      </c>
      <c r="C7941" s="25" t="s">
        <v>716</v>
      </c>
      <c r="D7941" s="25" t="s">
        <v>26232</v>
      </c>
      <c r="E7941" s="25"/>
      <c r="F7941" s="9" t="str">
        <f t="shared" si="117"/>
        <v>structure with developmental contribution from neural crest</v>
      </c>
      <c r="G7941" s="9" t="s">
        <v>5090</v>
      </c>
      <c r="H7941" s="9" t="s">
        <v>17293</v>
      </c>
      <c r="I7941" s="9" t="s">
        <v>716</v>
      </c>
      <c r="J7941" s="9" t="s">
        <v>837</v>
      </c>
      <c r="K7941" s="3" t="s">
        <v>15176</v>
      </c>
      <c r="L7941" s="13">
        <v>874</v>
      </c>
      <c r="M7941" t="str">
        <f>VLOOKUP(L7941,[1]Mouse_ARA!$B$2:$C$1328,2,FALSE)</f>
        <v>PBG</v>
      </c>
    </row>
    <row r="7942" spans="2:13" x14ac:dyDescent="0.25">
      <c r="B7942" s="31" t="s">
        <v>26303</v>
      </c>
      <c r="C7942" s="25" t="s">
        <v>2659</v>
      </c>
      <c r="D7942" s="25" t="s">
        <v>26232</v>
      </c>
      <c r="E7942" s="25"/>
      <c r="F7942" s="9" t="str">
        <f t="shared" si="117"/>
        <v>structure with developmental contribution from neural crest</v>
      </c>
      <c r="G7942" s="9" t="s">
        <v>5090</v>
      </c>
      <c r="H7942" s="9" t="s">
        <v>20318</v>
      </c>
      <c r="I7942" s="9" t="s">
        <v>14263</v>
      </c>
      <c r="J7942" s="9" t="s">
        <v>14264</v>
      </c>
      <c r="K7942" s="3" t="s">
        <v>15176</v>
      </c>
      <c r="L7942" s="13">
        <v>875</v>
      </c>
      <c r="M7942" t="str">
        <f>VLOOKUP(L7942,[1]Mouse_ARA!$B$2:$C$1328,2,FALSE)</f>
        <v>PBle</v>
      </c>
    </row>
    <row r="7943" spans="2:13" x14ac:dyDescent="0.25">
      <c r="B7943" s="31" t="s">
        <v>26303</v>
      </c>
      <c r="C7943" s="25" t="s">
        <v>213</v>
      </c>
      <c r="D7943" s="25" t="s">
        <v>26232</v>
      </c>
      <c r="E7943" s="25"/>
      <c r="F7943" s="9" t="str">
        <f t="shared" si="117"/>
        <v>structure with developmental contribution from neural crest</v>
      </c>
      <c r="G7943" s="9" t="s">
        <v>5090</v>
      </c>
      <c r="H7943" s="9" t="s">
        <v>20736</v>
      </c>
      <c r="I7943" s="9" t="s">
        <v>213</v>
      </c>
      <c r="J7943" s="9" t="s">
        <v>214</v>
      </c>
      <c r="K7943" s="3" t="s">
        <v>15176</v>
      </c>
      <c r="L7943" s="13">
        <v>876</v>
      </c>
      <c r="M7943" t="str">
        <f>VLOOKUP(L7943,[1]Mouse_ARA!$B$2:$C$1328,2,FALSE)</f>
        <v>aot</v>
      </c>
    </row>
    <row r="7944" spans="2:13" x14ac:dyDescent="0.25">
      <c r="B7944" s="31" t="s">
        <v>26303</v>
      </c>
      <c r="C7944" s="25" t="s">
        <v>7806</v>
      </c>
      <c r="D7944" s="25" t="s">
        <v>26232</v>
      </c>
      <c r="E7944" s="25"/>
      <c r="F7944" s="9" t="str">
        <f t="shared" si="117"/>
        <v>structure with developmental contribution from neural crest</v>
      </c>
      <c r="G7944" s="9" t="s">
        <v>5090</v>
      </c>
      <c r="H7944" s="9" t="s">
        <v>18509</v>
      </c>
      <c r="I7944" s="9" t="s">
        <v>14265</v>
      </c>
      <c r="J7944" s="9" t="s">
        <v>14266</v>
      </c>
      <c r="K7944" s="3" t="s">
        <v>15176</v>
      </c>
      <c r="L7944" s="13">
        <v>877</v>
      </c>
      <c r="M7944" t="str">
        <f>VLOOKUP(L7944,[1]Mouse_ARA!$B$2:$C$1328,2,FALSE)</f>
        <v>tsp</v>
      </c>
    </row>
    <row r="7945" spans="2:13" x14ac:dyDescent="0.25">
      <c r="B7945" s="31" t="s">
        <v>26303</v>
      </c>
      <c r="C7945" s="25" t="s">
        <v>26173</v>
      </c>
      <c r="D7945" s="25" t="s">
        <v>26232</v>
      </c>
      <c r="E7945" s="25" t="s">
        <v>26306</v>
      </c>
      <c r="F7945" s="9" t="str">
        <f t="shared" si="117"/>
        <v>structure with developmental contribution from neural crest</v>
      </c>
      <c r="G7945" s="9" t="s">
        <v>5090</v>
      </c>
      <c r="H7945" s="9" t="s">
        <v>18788</v>
      </c>
      <c r="I7945" s="9" t="s">
        <v>14267</v>
      </c>
      <c r="J7945" s="9" t="s">
        <v>14268</v>
      </c>
      <c r="K7945" s="3" t="s">
        <v>15176</v>
      </c>
      <c r="L7945" s="13">
        <v>878</v>
      </c>
      <c r="M7945" t="str">
        <f>VLOOKUP(L7945,[1]Mouse_ARA!$B$2:$C$1328,2,FALSE)</f>
        <v>SSp-m1</v>
      </c>
    </row>
    <row r="7946" spans="2:13" x14ac:dyDescent="0.25">
      <c r="B7946" s="31" t="s">
        <v>26299</v>
      </c>
      <c r="C7946" s="25" t="s">
        <v>26190</v>
      </c>
      <c r="D7946" s="25" t="s">
        <v>26232</v>
      </c>
      <c r="E7946" s="25"/>
      <c r="F7946" s="9" t="str">
        <f t="shared" si="117"/>
        <v>structure with developmental contribution from neural crest</v>
      </c>
      <c r="G7946" s="9" t="s">
        <v>5090</v>
      </c>
      <c r="H7946" s="9" t="s">
        <v>19284</v>
      </c>
      <c r="I7946" s="9" t="s">
        <v>14269</v>
      </c>
      <c r="J7946" s="9" t="s">
        <v>14270</v>
      </c>
      <c r="K7946" s="3" t="s">
        <v>15176</v>
      </c>
      <c r="L7946" s="13">
        <v>879</v>
      </c>
      <c r="M7946" t="str">
        <f>VLOOKUP(L7946,[1]Mouse_ARA!$B$2:$C$1328,2,FALSE)</f>
        <v>RSPd</v>
      </c>
    </row>
    <row r="7947" spans="2:13" x14ac:dyDescent="0.25">
      <c r="B7947" s="31" t="s">
        <v>25743</v>
      </c>
      <c r="C7947" s="25" t="s">
        <v>1614</v>
      </c>
      <c r="D7947" s="25" t="s">
        <v>26232</v>
      </c>
      <c r="E7947" s="25"/>
      <c r="F7947" s="9" t="str">
        <f t="shared" si="117"/>
        <v>structure with developmental contribution from neural crest</v>
      </c>
      <c r="G7947" s="9" t="s">
        <v>5090</v>
      </c>
      <c r="H7947" s="9" t="s">
        <v>20341</v>
      </c>
      <c r="I7947" s="9" t="s">
        <v>1614</v>
      </c>
      <c r="J7947" s="9" t="s">
        <v>1618</v>
      </c>
      <c r="K7947" s="3" t="s">
        <v>15176</v>
      </c>
      <c r="L7947" s="13">
        <v>880</v>
      </c>
      <c r="M7947" t="str">
        <f>VLOOKUP(L7947,[1]Mouse_ARA!$B$2:$C$1328,2,FALSE)</f>
        <v>DTN</v>
      </c>
    </row>
    <row r="7948" spans="2:13" x14ac:dyDescent="0.25">
      <c r="B7948" s="31" t="s">
        <v>26303</v>
      </c>
      <c r="C7948" s="25" t="s">
        <v>26166</v>
      </c>
      <c r="D7948" s="25" t="s">
        <v>26232</v>
      </c>
      <c r="E7948" s="25" t="s">
        <v>26306</v>
      </c>
      <c r="F7948" s="9" t="str">
        <f t="shared" si="117"/>
        <v>structure with developmental contribution from neural crest</v>
      </c>
      <c r="G7948" s="9" t="s">
        <v>5090</v>
      </c>
      <c r="H7948" s="9" t="s">
        <v>18689</v>
      </c>
      <c r="I7948" s="9" t="s">
        <v>14271</v>
      </c>
      <c r="J7948" s="9" t="s">
        <v>14272</v>
      </c>
      <c r="K7948" s="3" t="s">
        <v>15176</v>
      </c>
      <c r="L7948" s="13">
        <v>882</v>
      </c>
      <c r="M7948" t="str">
        <f>VLOOKUP(L7948,[1]Mouse_ARA!$B$2:$C$1328,2,FALSE)</f>
        <v>MOp6b</v>
      </c>
    </row>
    <row r="7949" spans="2:13" x14ac:dyDescent="0.25">
      <c r="B7949" s="31" t="s">
        <v>26303</v>
      </c>
      <c r="C7949" s="25" t="s">
        <v>2659</v>
      </c>
      <c r="D7949" s="25" t="s">
        <v>26232</v>
      </c>
      <c r="E7949" s="25"/>
      <c r="F7949" s="9" t="str">
        <f t="shared" si="117"/>
        <v>structure with developmental contribution from neural crest</v>
      </c>
      <c r="G7949" s="9" t="s">
        <v>5090</v>
      </c>
      <c r="H7949" s="9" t="s">
        <v>20320</v>
      </c>
      <c r="I7949" s="9" t="s">
        <v>14273</v>
      </c>
      <c r="J7949" s="9" t="s">
        <v>14274</v>
      </c>
      <c r="K7949" s="3" t="s">
        <v>15176</v>
      </c>
      <c r="L7949" s="13">
        <v>883</v>
      </c>
      <c r="M7949" t="str">
        <f>VLOOKUP(L7949,[1]Mouse_ARA!$B$2:$C$1328,2,FALSE)</f>
        <v>PBls</v>
      </c>
    </row>
    <row r="7950" spans="2:13" x14ac:dyDescent="0.25">
      <c r="B7950" s="31" t="s">
        <v>26303</v>
      </c>
      <c r="C7950" s="20"/>
      <c r="D7950" s="25" t="s">
        <v>26232</v>
      </c>
      <c r="E7950" s="25" t="s">
        <v>26300</v>
      </c>
      <c r="F7950" s="9" t="str">
        <f t="shared" si="117"/>
        <v>structure with developmental contribution from neural crest</v>
      </c>
      <c r="G7950" s="9" t="s">
        <v>5090</v>
      </c>
      <c r="H7950" s="9" t="s">
        <v>20468</v>
      </c>
      <c r="I7950" s="9" t="s">
        <v>14275</v>
      </c>
      <c r="J7950" s="9" t="s">
        <v>14276</v>
      </c>
      <c r="K7950" s="3" t="s">
        <v>15176</v>
      </c>
      <c r="L7950" s="13">
        <v>887</v>
      </c>
      <c r="M7950" t="str">
        <f>VLOOKUP(L7950,[1]Mouse_ARA!$B$2:$C$1328,2,FALSE)</f>
        <v>ECO</v>
      </c>
    </row>
    <row r="7951" spans="2:13" x14ac:dyDescent="0.25">
      <c r="B7951" s="31" t="s">
        <v>26303</v>
      </c>
      <c r="C7951" s="25" t="s">
        <v>3815</v>
      </c>
      <c r="D7951" s="25" t="s">
        <v>26232</v>
      </c>
      <c r="E7951" s="25" t="s">
        <v>26306</v>
      </c>
      <c r="F7951" s="9" t="str">
        <f t="shared" si="117"/>
        <v>structure with developmental contribution from neural crest</v>
      </c>
      <c r="G7951" s="9" t="s">
        <v>5090</v>
      </c>
      <c r="H7951" s="9" t="s">
        <v>19372</v>
      </c>
      <c r="I7951" s="9" t="s">
        <v>14277</v>
      </c>
      <c r="J7951" s="9" t="s">
        <v>14278</v>
      </c>
      <c r="K7951" s="3" t="s">
        <v>15176</v>
      </c>
      <c r="L7951" s="13">
        <v>888</v>
      </c>
      <c r="M7951" t="str">
        <f>VLOOKUP(L7951,[1]Mouse_ARA!$B$2:$C$1328,2,FALSE)</f>
        <v>PERI2/3</v>
      </c>
    </row>
    <row r="7952" spans="2:13" x14ac:dyDescent="0.25">
      <c r="B7952" s="31" t="s">
        <v>26303</v>
      </c>
      <c r="C7952" s="25" t="s">
        <v>26173</v>
      </c>
      <c r="D7952" s="25" t="s">
        <v>26232</v>
      </c>
      <c r="E7952" s="25" t="s">
        <v>26306</v>
      </c>
      <c r="F7952" s="9" t="str">
        <f t="shared" si="117"/>
        <v>structure with developmental contribution from neural crest</v>
      </c>
      <c r="G7952" s="9" t="s">
        <v>5090</v>
      </c>
      <c r="H7952" s="9" t="s">
        <v>18740</v>
      </c>
      <c r="I7952" s="9" t="s">
        <v>14279</v>
      </c>
      <c r="J7952" s="9" t="s">
        <v>14280</v>
      </c>
      <c r="K7952" s="3" t="s">
        <v>15176</v>
      </c>
      <c r="L7952" s="13">
        <v>889</v>
      </c>
      <c r="M7952" t="str">
        <f>VLOOKUP(L7952,[1]Mouse_ARA!$B$2:$C$1328,2,FALSE)</f>
        <v>SSp-n6a</v>
      </c>
    </row>
    <row r="7953" spans="2:13" x14ac:dyDescent="0.25">
      <c r="B7953" s="31" t="s">
        <v>26303</v>
      </c>
      <c r="C7953" s="20"/>
      <c r="D7953" s="25" t="s">
        <v>26232</v>
      </c>
      <c r="E7953" s="25" t="s">
        <v>26300</v>
      </c>
      <c r="F7953" s="9" t="str">
        <f t="shared" si="117"/>
        <v>structure with developmental contribution from neural crest</v>
      </c>
      <c r="G7953" s="9" t="s">
        <v>5090</v>
      </c>
      <c r="H7953" s="9" t="s">
        <v>20953</v>
      </c>
      <c r="I7953" s="9" t="s">
        <v>14281</v>
      </c>
      <c r="J7953" s="9" t="s">
        <v>14282</v>
      </c>
      <c r="K7953" s="3" t="s">
        <v>15176</v>
      </c>
      <c r="L7953" s="13">
        <v>89</v>
      </c>
      <c r="M7953" t="str">
        <f>VLOOKUP(L7953,[1]Mouse_ARA!$B$2:$C$1328,2,FALSE)</f>
        <v>RC</v>
      </c>
    </row>
    <row r="7954" spans="2:13" x14ac:dyDescent="0.25">
      <c r="B7954" s="31" t="s">
        <v>26303</v>
      </c>
      <c r="C7954" s="25" t="s">
        <v>2659</v>
      </c>
      <c r="D7954" s="25" t="s">
        <v>26232</v>
      </c>
      <c r="E7954" s="25"/>
      <c r="F7954" s="9" t="str">
        <f t="shared" si="117"/>
        <v>structure with developmental contribution from neural crest</v>
      </c>
      <c r="G7954" s="9" t="s">
        <v>5090</v>
      </c>
      <c r="H7954" s="9" t="s">
        <v>20322</v>
      </c>
      <c r="I7954" s="9" t="s">
        <v>14283</v>
      </c>
      <c r="J7954" s="9" t="s">
        <v>14284</v>
      </c>
      <c r="K7954" s="3" t="s">
        <v>15176</v>
      </c>
      <c r="L7954" s="13">
        <v>891</v>
      </c>
      <c r="M7954" t="str">
        <f>VLOOKUP(L7954,[1]Mouse_ARA!$B$2:$C$1328,2,FALSE)</f>
        <v>PBlv</v>
      </c>
    </row>
    <row r="7955" spans="2:13" x14ac:dyDescent="0.25">
      <c r="B7955" s="31" t="s">
        <v>26303</v>
      </c>
      <c r="C7955" s="25" t="s">
        <v>26216</v>
      </c>
      <c r="D7955" s="25" t="s">
        <v>26232</v>
      </c>
      <c r="E7955" s="25" t="s">
        <v>26306</v>
      </c>
      <c r="F7955" s="9" t="str">
        <f t="shared" si="117"/>
        <v>structure with developmental contribution from neural crest</v>
      </c>
      <c r="G7955" s="9" t="s">
        <v>5090</v>
      </c>
      <c r="H7955" s="9" t="s">
        <v>18854</v>
      </c>
      <c r="I7955" s="9" t="s">
        <v>14285</v>
      </c>
      <c r="J7955" s="9" t="s">
        <v>14286</v>
      </c>
      <c r="K7955" s="3" t="s">
        <v>15176</v>
      </c>
      <c r="L7955" s="13">
        <v>893</v>
      </c>
      <c r="M7955" t="str">
        <f>VLOOKUP(L7955,[1]Mouse_ARA!$B$2:$C$1328,2,FALSE)</f>
        <v>SSs6b</v>
      </c>
    </row>
    <row r="7956" spans="2:13" x14ac:dyDescent="0.25">
      <c r="B7956" s="31" t="s">
        <v>26299</v>
      </c>
      <c r="C7956" s="25" t="s">
        <v>26190</v>
      </c>
      <c r="D7956" s="25" t="s">
        <v>26232</v>
      </c>
      <c r="E7956" s="25"/>
      <c r="F7956" s="9" t="str">
        <f t="shared" si="117"/>
        <v>structure with developmental contribution from neural crest</v>
      </c>
      <c r="G7956" s="9" t="s">
        <v>5090</v>
      </c>
      <c r="H7956" s="9" t="s">
        <v>19230</v>
      </c>
      <c r="I7956" s="9" t="s">
        <v>14287</v>
      </c>
      <c r="J7956" s="9" t="s">
        <v>14288</v>
      </c>
      <c r="K7956" s="3" t="s">
        <v>15176</v>
      </c>
      <c r="L7956" s="13">
        <v>894</v>
      </c>
      <c r="M7956" t="str">
        <f>VLOOKUP(L7956,[1]Mouse_ARA!$B$2:$C$1328,2,FALSE)</f>
        <v>RSPagl</v>
      </c>
    </row>
    <row r="7957" spans="2:13" x14ac:dyDescent="0.25">
      <c r="B7957" s="31" t="s">
        <v>26303</v>
      </c>
      <c r="C7957" s="25" t="s">
        <v>1765</v>
      </c>
      <c r="D7957" s="25" t="s">
        <v>26232</v>
      </c>
      <c r="E7957" s="25"/>
      <c r="F7957" s="9" t="str">
        <f t="shared" si="117"/>
        <v>structure with developmental contribution from neural crest</v>
      </c>
      <c r="G7957" s="9" t="s">
        <v>5090</v>
      </c>
      <c r="H7957" s="9" t="s">
        <v>19380</v>
      </c>
      <c r="I7957" s="9" t="s">
        <v>14289</v>
      </c>
      <c r="J7957" s="9" t="s">
        <v>14290</v>
      </c>
      <c r="K7957" s="3" t="s">
        <v>15176</v>
      </c>
      <c r="L7957" s="13">
        <v>895</v>
      </c>
      <c r="M7957" t="str">
        <f>VLOOKUP(L7957,[1]Mouse_ARA!$B$2:$C$1328,2,FALSE)</f>
        <v>ECT</v>
      </c>
    </row>
    <row r="7958" spans="2:13" x14ac:dyDescent="0.25">
      <c r="B7958" s="31" t="s">
        <v>26303</v>
      </c>
      <c r="C7958" s="20"/>
      <c r="D7958" s="25" t="s">
        <v>26232</v>
      </c>
      <c r="E7958" s="25" t="s">
        <v>26307</v>
      </c>
      <c r="F7958" s="9" t="str">
        <f t="shared" si="117"/>
        <v>structure with developmental contribution from neural crest</v>
      </c>
      <c r="G7958" s="9" t="s">
        <v>5090</v>
      </c>
      <c r="H7958" s="9" t="s">
        <v>18872</v>
      </c>
      <c r="I7958" s="9" t="s">
        <v>14291</v>
      </c>
      <c r="J7958" s="9" t="s">
        <v>14292</v>
      </c>
      <c r="K7958" s="3" t="s">
        <v>15176</v>
      </c>
      <c r="L7958" s="13">
        <v>897</v>
      </c>
      <c r="M7958" t="str">
        <f>VLOOKUP(L7958,[1]Mouse_ARA!$B$2:$C$1328,2,FALSE)</f>
        <v>VISC1</v>
      </c>
    </row>
    <row r="7959" spans="2:13" x14ac:dyDescent="0.25">
      <c r="B7959" s="31" t="s">
        <v>26303</v>
      </c>
      <c r="C7959" s="25" t="s">
        <v>25830</v>
      </c>
      <c r="D7959" s="25" t="s">
        <v>26232</v>
      </c>
      <c r="E7959" s="25"/>
      <c r="F7959" s="9" t="str">
        <f t="shared" si="117"/>
        <v>structure with developmental contribution from neural crest</v>
      </c>
      <c r="G7959" s="9" t="s">
        <v>5090</v>
      </c>
      <c r="H7959" s="9" t="s">
        <v>20346</v>
      </c>
      <c r="I7959" s="9" t="s">
        <v>951</v>
      </c>
      <c r="J7959" s="9" t="s">
        <v>952</v>
      </c>
      <c r="K7959" s="3" t="s">
        <v>15176</v>
      </c>
      <c r="L7959" s="13">
        <v>898</v>
      </c>
      <c r="M7959" t="str">
        <f>VLOOKUP(L7959,[1]Mouse_ARA!$B$2:$C$1328,2,FALSE)</f>
        <v>PCG</v>
      </c>
    </row>
    <row r="7960" spans="2:13" x14ac:dyDescent="0.25">
      <c r="B7960" s="31" t="s">
        <v>26303</v>
      </c>
      <c r="C7960" s="25" t="s">
        <v>2973</v>
      </c>
      <c r="D7960" s="25" t="s">
        <v>26232</v>
      </c>
      <c r="E7960" s="25"/>
      <c r="F7960" s="9" t="str">
        <f t="shared" si="117"/>
        <v>structure with developmental contribution from neural crest</v>
      </c>
      <c r="G7960" s="9" t="s">
        <v>5090</v>
      </c>
      <c r="H7960" s="9" t="s">
        <v>20325</v>
      </c>
      <c r="I7960" s="9" t="s">
        <v>14293</v>
      </c>
      <c r="J7960" s="9" t="s">
        <v>14294</v>
      </c>
      <c r="K7960" s="3" t="s">
        <v>15176</v>
      </c>
      <c r="L7960" s="13">
        <v>899</v>
      </c>
      <c r="M7960" t="str">
        <f>VLOOKUP(L7960,[1]Mouse_ARA!$B$2:$C$1328,2,FALSE)</f>
        <v>PBme</v>
      </c>
    </row>
    <row r="7961" spans="2:13" x14ac:dyDescent="0.25">
      <c r="B7961" s="31" t="s">
        <v>26303</v>
      </c>
      <c r="C7961" s="25" t="s">
        <v>26173</v>
      </c>
      <c r="D7961" s="25" t="s">
        <v>26232</v>
      </c>
      <c r="E7961" s="25" t="s">
        <v>26306</v>
      </c>
      <c r="F7961" s="9" t="str">
        <f t="shared" si="117"/>
        <v>structure with developmental contribution from neural crest</v>
      </c>
      <c r="G7961" s="9" t="s">
        <v>5090</v>
      </c>
      <c r="H7961" s="9" t="s">
        <v>18824</v>
      </c>
      <c r="I7961" s="9" t="s">
        <v>14295</v>
      </c>
      <c r="J7961" s="9" t="s">
        <v>14296</v>
      </c>
      <c r="K7961" s="3" t="s">
        <v>15176</v>
      </c>
      <c r="L7961" s="13">
        <v>9</v>
      </c>
      <c r="M7961" t="str">
        <f>VLOOKUP(L7961,[1]Mouse_ARA!$B$2:$C$1328,2,FALSE)</f>
        <v>SSp-tr6a</v>
      </c>
    </row>
    <row r="7962" spans="2:13" x14ac:dyDescent="0.25">
      <c r="B7962" s="31" t="s">
        <v>26303</v>
      </c>
      <c r="C7962" s="25" t="s">
        <v>25781</v>
      </c>
      <c r="D7962" s="25" t="s">
        <v>26232</v>
      </c>
      <c r="E7962" s="25"/>
      <c r="F7962" s="9" t="str">
        <f t="shared" si="117"/>
        <v>structure with developmental contribution from neural crest</v>
      </c>
      <c r="G7962" s="9" t="s">
        <v>5090</v>
      </c>
      <c r="H7962" s="9" t="s">
        <v>20734</v>
      </c>
      <c r="I7962" s="9" t="s">
        <v>323</v>
      </c>
      <c r="J7962" s="9" t="s">
        <v>324</v>
      </c>
      <c r="K7962" s="3" t="s">
        <v>15176</v>
      </c>
      <c r="L7962" s="13">
        <v>900</v>
      </c>
      <c r="M7962" t="str">
        <f>VLOOKUP(L7962,[1]Mouse_ARA!$B$2:$C$1328,2,FALSE)</f>
        <v>aco</v>
      </c>
    </row>
    <row r="7963" spans="2:13" x14ac:dyDescent="0.25">
      <c r="B7963" s="31" t="s">
        <v>26303</v>
      </c>
      <c r="C7963" s="25" t="s">
        <v>4015</v>
      </c>
      <c r="D7963" s="25" t="s">
        <v>26232</v>
      </c>
      <c r="E7963" s="25" t="s">
        <v>26306</v>
      </c>
      <c r="F7963" s="9" t="str">
        <f t="shared" si="117"/>
        <v>structure with developmental contribution from neural crest</v>
      </c>
      <c r="G7963" s="9" t="s">
        <v>5090</v>
      </c>
      <c r="H7963" s="9" t="s">
        <v>19034</v>
      </c>
      <c r="I7963" s="9" t="s">
        <v>14297</v>
      </c>
      <c r="J7963" s="9" t="s">
        <v>14298</v>
      </c>
      <c r="K7963" s="3" t="s">
        <v>15176</v>
      </c>
      <c r="L7963" s="13">
        <v>902</v>
      </c>
      <c r="M7963" t="str">
        <f>VLOOKUP(L7963,[1]Mouse_ARA!$B$2:$C$1328,2,FALSE)</f>
        <v>VISpl5</v>
      </c>
    </row>
    <row r="7964" spans="2:13" x14ac:dyDescent="0.25">
      <c r="B7964" s="31" t="s">
        <v>26303</v>
      </c>
      <c r="C7964" s="25" t="s">
        <v>180</v>
      </c>
      <c r="D7964" s="25" t="s">
        <v>26232</v>
      </c>
      <c r="E7964" s="25"/>
      <c r="F7964" s="9" t="str">
        <f t="shared" si="117"/>
        <v>structure with developmental contribution from neural crest</v>
      </c>
      <c r="G7964" s="9" t="s">
        <v>5090</v>
      </c>
      <c r="H7964" s="9" t="s">
        <v>20413</v>
      </c>
      <c r="I7964" s="9" t="s">
        <v>182</v>
      </c>
      <c r="J7964" s="9" t="s">
        <v>183</v>
      </c>
      <c r="K7964" s="3" t="s">
        <v>15176</v>
      </c>
      <c r="L7964" s="13">
        <v>903</v>
      </c>
      <c r="M7964" t="str">
        <f>VLOOKUP(L7964,[1]Mouse_ARA!$B$2:$C$1328,2,FALSE)</f>
        <v>ECU</v>
      </c>
    </row>
    <row r="7965" spans="2:13" x14ac:dyDescent="0.25">
      <c r="B7965" s="31" t="s">
        <v>26303</v>
      </c>
      <c r="C7965" s="25" t="s">
        <v>3021</v>
      </c>
      <c r="D7965" s="25" t="s">
        <v>26232</v>
      </c>
      <c r="E7965" s="25"/>
      <c r="F7965" s="9" t="str">
        <f t="shared" si="117"/>
        <v>structure with developmental contribution from neural crest</v>
      </c>
      <c r="G7965" s="9" t="s">
        <v>5090</v>
      </c>
      <c r="H7965" s="9" t="s">
        <v>19828</v>
      </c>
      <c r="I7965" s="9" t="s">
        <v>3021</v>
      </c>
      <c r="J7965" s="9" t="s">
        <v>3022</v>
      </c>
      <c r="K7965" s="3" t="s">
        <v>15176</v>
      </c>
      <c r="L7965" s="13">
        <v>904</v>
      </c>
      <c r="M7965" t="str">
        <f>VLOOKUP(L7965,[1]Mouse_ARA!$B$2:$C$1328,2,FALSE)</f>
        <v>MSC</v>
      </c>
    </row>
    <row r="7966" spans="2:13" x14ac:dyDescent="0.25">
      <c r="B7966" s="31" t="s">
        <v>26302</v>
      </c>
      <c r="C7966" s="25" t="s">
        <v>450</v>
      </c>
      <c r="D7966" s="25" t="s">
        <v>26185</v>
      </c>
      <c r="E7966" s="25" t="s">
        <v>26306</v>
      </c>
      <c r="F7966" s="9" t="str">
        <f t="shared" si="117"/>
        <v>structure with developmental contribution from neural crest</v>
      </c>
      <c r="G7966" s="9" t="s">
        <v>5090</v>
      </c>
      <c r="H7966" s="9" t="s">
        <v>18974</v>
      </c>
      <c r="I7966" s="9" t="s">
        <v>14299</v>
      </c>
      <c r="J7966" s="9" t="s">
        <v>14300</v>
      </c>
      <c r="K7966" s="3" t="s">
        <v>15176</v>
      </c>
      <c r="L7966" s="13">
        <v>905</v>
      </c>
      <c r="M7966" t="str">
        <f>VLOOKUP(L7966,[1]Mouse_ARA!$B$2:$C$1328,2,FALSE)</f>
        <v>VISal2/3</v>
      </c>
    </row>
    <row r="7967" spans="2:13" x14ac:dyDescent="0.25">
      <c r="B7967" s="31" t="s">
        <v>26299</v>
      </c>
      <c r="C7967" s="25" t="s">
        <v>26190</v>
      </c>
      <c r="D7967" s="25" t="s">
        <v>26232</v>
      </c>
      <c r="E7967" s="25" t="s">
        <v>26306</v>
      </c>
      <c r="F7967" s="9" t="str">
        <f t="shared" si="117"/>
        <v>structure with developmental contribution from neural crest</v>
      </c>
      <c r="G7967" s="9" t="s">
        <v>5090</v>
      </c>
      <c r="H7967" s="9" t="s">
        <v>19238</v>
      </c>
      <c r="I7967" s="9" t="s">
        <v>14301</v>
      </c>
      <c r="J7967" s="9" t="s">
        <v>14302</v>
      </c>
      <c r="K7967" s="3" t="s">
        <v>15176</v>
      </c>
      <c r="L7967" s="13">
        <v>906</v>
      </c>
      <c r="M7967" t="str">
        <f>VLOOKUP(L7967,[1]Mouse_ARA!$B$2:$C$1328,2,FALSE)</f>
        <v>RSPagl6a</v>
      </c>
    </row>
    <row r="7968" spans="2:13" x14ac:dyDescent="0.25">
      <c r="B7968" s="31" t="s">
        <v>26303</v>
      </c>
      <c r="C7968" s="25" t="s">
        <v>26141</v>
      </c>
      <c r="D7968" s="25" t="s">
        <v>26232</v>
      </c>
      <c r="E7968" s="25"/>
      <c r="F7968" s="9" t="str">
        <f t="shared" si="117"/>
        <v>structure with developmental contribution from neural crest</v>
      </c>
      <c r="G7968" s="9" t="s">
        <v>5090</v>
      </c>
      <c r="H7968" s="9" t="s">
        <v>20885</v>
      </c>
      <c r="I7968" s="9" t="s">
        <v>3984</v>
      </c>
      <c r="J7968" s="9" t="s">
        <v>3985</v>
      </c>
      <c r="K7968" s="3" t="s">
        <v>15176</v>
      </c>
      <c r="L7968" s="13">
        <v>908</v>
      </c>
      <c r="M7968" t="str">
        <f>VLOOKUP(L7968,[1]Mouse_ARA!$B$2:$C$1328,2,FALSE)</f>
        <v>act</v>
      </c>
    </row>
    <row r="7969" spans="2:13" x14ac:dyDescent="0.25">
      <c r="B7969" s="31" t="s">
        <v>26303</v>
      </c>
      <c r="C7969" s="20"/>
      <c r="D7969" s="25" t="s">
        <v>26232</v>
      </c>
      <c r="E7969" s="25" t="s">
        <v>26300</v>
      </c>
      <c r="F7969" s="9" t="str">
        <f t="shared" si="117"/>
        <v>structure with developmental contribution from neural crest</v>
      </c>
      <c r="G7969" s="9" t="s">
        <v>5090</v>
      </c>
      <c r="H7969" s="9" t="s">
        <v>20716</v>
      </c>
      <c r="I7969" s="9" t="s">
        <v>14303</v>
      </c>
      <c r="J7969" s="9" t="s">
        <v>14304</v>
      </c>
      <c r="K7969" s="3" t="s">
        <v>15176</v>
      </c>
      <c r="L7969" s="13">
        <v>91</v>
      </c>
      <c r="M7969" t="str">
        <f>VLOOKUP(L7969,[1]Mouse_ARA!$B$2:$C$1328,2,FALSE)</f>
        <v>IP</v>
      </c>
    </row>
    <row r="7970" spans="2:13" x14ac:dyDescent="0.25">
      <c r="B7970" s="31" t="s">
        <v>26299</v>
      </c>
      <c r="C7970" s="25" t="s">
        <v>26080</v>
      </c>
      <c r="D7970" s="25" t="s">
        <v>26232</v>
      </c>
      <c r="E7970" s="25" t="s">
        <v>26306</v>
      </c>
      <c r="F7970" s="9" t="str">
        <f t="shared" si="117"/>
        <v>structure with developmental contribution from neural crest</v>
      </c>
      <c r="G7970" s="9" t="s">
        <v>5090</v>
      </c>
      <c r="H7970" s="9" t="s">
        <v>19173</v>
      </c>
      <c r="I7970" s="9" t="s">
        <v>14305</v>
      </c>
      <c r="J7970" s="9" t="s">
        <v>14306</v>
      </c>
      <c r="K7970" s="3" t="s">
        <v>15176</v>
      </c>
      <c r="L7970" s="13">
        <v>910</v>
      </c>
      <c r="M7970" t="str">
        <f>VLOOKUP(L7970,[1]Mouse_ARA!$B$2:$C$1328,2,FALSE)</f>
        <v>ORBm6a</v>
      </c>
    </row>
    <row r="7971" spans="2:13" x14ac:dyDescent="0.25">
      <c r="B7971" s="31" t="s">
        <v>26303</v>
      </c>
      <c r="C7971" s="25" t="s">
        <v>26288</v>
      </c>
      <c r="D7971" s="25" t="s">
        <v>26232</v>
      </c>
      <c r="E7971" s="25" t="s">
        <v>26306</v>
      </c>
      <c r="F7971" s="9" t="str">
        <f t="shared" si="117"/>
        <v>structure with developmental contribution from neural crest</v>
      </c>
      <c r="G7971" s="9" t="s">
        <v>5090</v>
      </c>
      <c r="H7971" s="9" t="s">
        <v>18962</v>
      </c>
      <c r="I7971" s="9" t="s">
        <v>14307</v>
      </c>
      <c r="J7971" s="9" t="s">
        <v>14308</v>
      </c>
      <c r="K7971" s="3" t="s">
        <v>15176</v>
      </c>
      <c r="L7971" s="13">
        <v>913</v>
      </c>
      <c r="M7971" t="str">
        <f>VLOOKUP(L7971,[1]Mouse_ARA!$B$2:$C$1328,2,FALSE)</f>
        <v>VIS4</v>
      </c>
    </row>
    <row r="7972" spans="2:13" x14ac:dyDescent="0.25">
      <c r="B7972" s="31" t="s">
        <v>26303</v>
      </c>
      <c r="C7972" s="25" t="s">
        <v>2973</v>
      </c>
      <c r="D7972" s="25" t="s">
        <v>26232</v>
      </c>
      <c r="E7972" s="25"/>
      <c r="F7972" s="9" t="str">
        <f t="shared" si="117"/>
        <v>structure with developmental contribution from neural crest</v>
      </c>
      <c r="G7972" s="9" t="s">
        <v>5090</v>
      </c>
      <c r="H7972" s="9" t="s">
        <v>20327</v>
      </c>
      <c r="I7972" s="9" t="s">
        <v>14309</v>
      </c>
      <c r="J7972" s="9" t="s">
        <v>14310</v>
      </c>
      <c r="K7972" s="3" t="s">
        <v>15176</v>
      </c>
      <c r="L7972" s="13">
        <v>915</v>
      </c>
      <c r="M7972" t="str">
        <f>VLOOKUP(L7972,[1]Mouse_ARA!$B$2:$C$1328,2,FALSE)</f>
        <v>PBmm</v>
      </c>
    </row>
    <row r="7973" spans="2:13" x14ac:dyDescent="0.25">
      <c r="B7973" s="31" t="s">
        <v>26303</v>
      </c>
      <c r="C7973" s="25" t="s">
        <v>600</v>
      </c>
      <c r="D7973" s="25" t="s">
        <v>26232</v>
      </c>
      <c r="E7973" s="25"/>
      <c r="F7973" s="9" t="str">
        <f t="shared" si="117"/>
        <v>structure with developmental contribution from neural crest</v>
      </c>
      <c r="G7973" s="9" t="s">
        <v>5090</v>
      </c>
      <c r="H7973" s="9" t="s">
        <v>20737</v>
      </c>
      <c r="I7973" s="9" t="s">
        <v>602</v>
      </c>
      <c r="J7973" s="9" t="s">
        <v>604</v>
      </c>
      <c r="K7973" s="3" t="s">
        <v>15176</v>
      </c>
      <c r="L7973" s="13">
        <v>916</v>
      </c>
      <c r="M7973" t="str">
        <f>VLOOKUP(L7973,[1]Mouse_ARA!$B$2:$C$1328,2,FALSE)</f>
        <v>bsc</v>
      </c>
    </row>
    <row r="7974" spans="2:13" x14ac:dyDescent="0.25">
      <c r="B7974" s="31" t="s">
        <v>26299</v>
      </c>
      <c r="C7974" s="25" t="s">
        <v>25746</v>
      </c>
      <c r="D7974" s="25" t="s">
        <v>26232</v>
      </c>
      <c r="E7974" s="25" t="s">
        <v>26306</v>
      </c>
      <c r="F7974" s="9" t="str">
        <f t="shared" si="117"/>
        <v>structure with developmental contribution from neural crest</v>
      </c>
      <c r="G7974" s="9" t="s">
        <v>5090</v>
      </c>
      <c r="H7974" s="9" t="s">
        <v>19095</v>
      </c>
      <c r="I7974" s="9" t="s">
        <v>14311</v>
      </c>
      <c r="J7974" s="9" t="s">
        <v>14312</v>
      </c>
      <c r="K7974" s="3" t="s">
        <v>15176</v>
      </c>
      <c r="L7974" s="13">
        <v>919</v>
      </c>
      <c r="M7974" t="str">
        <f>VLOOKUP(L7974,[1]Mouse_ARA!$B$2:$C$1328,2,FALSE)</f>
        <v>ACAd6a</v>
      </c>
    </row>
    <row r="7975" spans="2:13" x14ac:dyDescent="0.25">
      <c r="B7975" s="31" t="s">
        <v>26303</v>
      </c>
      <c r="C7975" s="25" t="s">
        <v>25987</v>
      </c>
      <c r="D7975" s="25" t="s">
        <v>26232</v>
      </c>
      <c r="E7975" s="25" t="s">
        <v>26306</v>
      </c>
      <c r="F7975" s="9" t="str">
        <f t="shared" si="117"/>
        <v>structure with developmental contribution from neural crest</v>
      </c>
      <c r="G7975" s="9" t="s">
        <v>5090</v>
      </c>
      <c r="H7975" s="9" t="s">
        <v>19603</v>
      </c>
      <c r="I7975" s="9" t="s">
        <v>14313</v>
      </c>
      <c r="J7975" s="9" t="s">
        <v>14314</v>
      </c>
      <c r="K7975" s="3" t="s">
        <v>15176</v>
      </c>
      <c r="L7975" s="13">
        <v>92</v>
      </c>
      <c r="M7975" t="str">
        <f>VLOOKUP(L7975,[1]Mouse_ARA!$B$2:$C$1328,2,FALSE)</f>
        <v>ENTl4</v>
      </c>
    </row>
    <row r="7976" spans="2:13" x14ac:dyDescent="0.25">
      <c r="B7976" s="31" t="s">
        <v>26303</v>
      </c>
      <c r="C7976" s="25" t="s">
        <v>26173</v>
      </c>
      <c r="D7976" s="25" t="s">
        <v>26232</v>
      </c>
      <c r="E7976" s="25" t="s">
        <v>26306</v>
      </c>
      <c r="F7976" s="9" t="str">
        <f t="shared" si="117"/>
        <v>structure with developmental contribution from neural crest</v>
      </c>
      <c r="G7976" s="9" t="s">
        <v>5090</v>
      </c>
      <c r="H7976" s="9" t="s">
        <v>18724</v>
      </c>
      <c r="I7976" s="9" t="s">
        <v>14315</v>
      </c>
      <c r="J7976" s="9" t="s">
        <v>14316</v>
      </c>
      <c r="K7976" s="3" t="s">
        <v>15176</v>
      </c>
      <c r="L7976" s="13">
        <v>921</v>
      </c>
      <c r="M7976" t="str">
        <f>VLOOKUP(L7976,[1]Mouse_ARA!$B$2:$C$1328,2,FALSE)</f>
        <v>SSp5</v>
      </c>
    </row>
    <row r="7977" spans="2:13" x14ac:dyDescent="0.25">
      <c r="B7977" s="31" t="s">
        <v>26303</v>
      </c>
      <c r="C7977" s="25" t="s">
        <v>2973</v>
      </c>
      <c r="D7977" s="25" t="s">
        <v>26232</v>
      </c>
      <c r="E7977" s="25"/>
      <c r="F7977" s="9" t="str">
        <f t="shared" si="117"/>
        <v>structure with developmental contribution from neural crest</v>
      </c>
      <c r="G7977" s="9" t="s">
        <v>5090</v>
      </c>
      <c r="H7977" s="9" t="s">
        <v>20329</v>
      </c>
      <c r="I7977" s="9" t="s">
        <v>14317</v>
      </c>
      <c r="J7977" s="9" t="s">
        <v>14318</v>
      </c>
      <c r="K7977" s="3" t="s">
        <v>15176</v>
      </c>
      <c r="L7977" s="13">
        <v>923</v>
      </c>
      <c r="M7977" t="str">
        <f>VLOOKUP(L7977,[1]Mouse_ARA!$B$2:$C$1328,2,FALSE)</f>
        <v>PBmv</v>
      </c>
    </row>
    <row r="7978" spans="2:13" x14ac:dyDescent="0.25">
      <c r="B7978" s="31" t="s">
        <v>26299</v>
      </c>
      <c r="C7978" s="25" t="s">
        <v>25746</v>
      </c>
      <c r="D7978" s="25" t="s">
        <v>26232</v>
      </c>
      <c r="E7978" s="25" t="s">
        <v>26306</v>
      </c>
      <c r="F7978" s="9" t="str">
        <f t="shared" si="117"/>
        <v>structure with developmental contribution from neural crest</v>
      </c>
      <c r="G7978" s="9" t="s">
        <v>5090</v>
      </c>
      <c r="H7978" s="9" t="s">
        <v>19097</v>
      </c>
      <c r="I7978" s="9" t="s">
        <v>14319</v>
      </c>
      <c r="J7978" s="9" t="s">
        <v>14320</v>
      </c>
      <c r="K7978" s="3" t="s">
        <v>15176</v>
      </c>
      <c r="L7978" s="13">
        <v>927</v>
      </c>
      <c r="M7978" t="str">
        <f>VLOOKUP(L7978,[1]Mouse_ARA!$B$2:$C$1328,2,FALSE)</f>
        <v>ACAd6b</v>
      </c>
    </row>
    <row r="7979" spans="2:13" x14ac:dyDescent="0.25">
      <c r="B7979" s="31" t="s">
        <v>26303</v>
      </c>
      <c r="C7979" s="25" t="s">
        <v>26173</v>
      </c>
      <c r="D7979" s="25" t="s">
        <v>26232</v>
      </c>
      <c r="E7979" s="25" t="s">
        <v>26306</v>
      </c>
      <c r="F7979" s="9" t="str">
        <f t="shared" si="117"/>
        <v>structure with developmental contribution from neural crest</v>
      </c>
      <c r="G7979" s="9" t="s">
        <v>5090</v>
      </c>
      <c r="H7979" s="9" t="s">
        <v>18742</v>
      </c>
      <c r="I7979" s="9" t="s">
        <v>14321</v>
      </c>
      <c r="J7979" s="9" t="s">
        <v>14322</v>
      </c>
      <c r="K7979" s="3" t="s">
        <v>15176</v>
      </c>
      <c r="L7979" s="13">
        <v>929</v>
      </c>
      <c r="M7979" t="str">
        <f>VLOOKUP(L7979,[1]Mouse_ARA!$B$2:$C$1328,2,FALSE)</f>
        <v>SSp-n6b</v>
      </c>
    </row>
    <row r="7980" spans="2:13" x14ac:dyDescent="0.25">
      <c r="B7980" s="31" t="s">
        <v>26303</v>
      </c>
      <c r="C7980" s="20"/>
      <c r="D7980" s="25" t="s">
        <v>26232</v>
      </c>
      <c r="E7980" s="25" t="s">
        <v>26300</v>
      </c>
      <c r="F7980" s="9" t="str">
        <f t="shared" si="117"/>
        <v>structure with developmental contribution from neural crest</v>
      </c>
      <c r="G7980" s="9" t="s">
        <v>5090</v>
      </c>
      <c r="H7980" s="9" t="s">
        <v>20348</v>
      </c>
      <c r="I7980" s="9" t="s">
        <v>3871</v>
      </c>
      <c r="J7980" s="9" t="s">
        <v>3872</v>
      </c>
      <c r="K7980" s="3" t="s">
        <v>15176</v>
      </c>
      <c r="L7980" s="13">
        <v>931</v>
      </c>
      <c r="M7980" t="str">
        <f>VLOOKUP(L7980,[1]Mouse_ARA!$B$2:$C$1328,2,FALSE)</f>
        <v>PG</v>
      </c>
    </row>
    <row r="7981" spans="2:13" x14ac:dyDescent="0.25">
      <c r="B7981" s="31" t="s">
        <v>26299</v>
      </c>
      <c r="C7981" s="25" t="s">
        <v>25746</v>
      </c>
      <c r="D7981" s="25" t="s">
        <v>26232</v>
      </c>
      <c r="E7981" s="25" t="s">
        <v>26306</v>
      </c>
      <c r="F7981" s="9" t="str">
        <f t="shared" si="117"/>
        <v>structure with developmental contribution from neural crest</v>
      </c>
      <c r="G7981" s="9" t="s">
        <v>5090</v>
      </c>
      <c r="H7981" s="9" t="s">
        <v>19089</v>
      </c>
      <c r="I7981" s="9" t="s">
        <v>14323</v>
      </c>
      <c r="J7981" s="9" t="s">
        <v>14324</v>
      </c>
      <c r="K7981" s="3" t="s">
        <v>15176</v>
      </c>
      <c r="L7981" s="13">
        <v>935</v>
      </c>
      <c r="M7981" t="str">
        <f>VLOOKUP(L7981,[1]Mouse_ARA!$B$2:$C$1328,2,FALSE)</f>
        <v>ACAd1</v>
      </c>
    </row>
    <row r="7982" spans="2:13" x14ac:dyDescent="0.25">
      <c r="B7982" s="31" t="s">
        <v>26303</v>
      </c>
      <c r="C7982" s="25" t="s">
        <v>26288</v>
      </c>
      <c r="D7982" s="25" t="s">
        <v>26232</v>
      </c>
      <c r="E7982" s="25" t="s">
        <v>26306</v>
      </c>
      <c r="F7982" s="9" t="str">
        <f t="shared" si="117"/>
        <v>structure with developmental contribution from neural crest</v>
      </c>
      <c r="G7982" s="9" t="s">
        <v>5090</v>
      </c>
      <c r="H7982" s="9" t="s">
        <v>18964</v>
      </c>
      <c r="I7982" s="9" t="s">
        <v>14325</v>
      </c>
      <c r="J7982" s="9" t="s">
        <v>14326</v>
      </c>
      <c r="K7982" s="3" t="s">
        <v>15176</v>
      </c>
      <c r="L7982" s="13">
        <v>937</v>
      </c>
      <c r="M7982" t="str">
        <f>VLOOKUP(L7982,[1]Mouse_ARA!$B$2:$C$1328,2,FALSE)</f>
        <v>VIS5</v>
      </c>
    </row>
    <row r="7983" spans="2:13" x14ac:dyDescent="0.25">
      <c r="B7983" s="31" t="s">
        <v>26303</v>
      </c>
      <c r="C7983" s="25" t="s">
        <v>3591</v>
      </c>
      <c r="D7983" s="25" t="s">
        <v>26232</v>
      </c>
      <c r="E7983" s="25"/>
      <c r="F7983" s="9" t="str">
        <f t="shared" si="117"/>
        <v>structure with developmental contribution from neural crest</v>
      </c>
      <c r="G7983" s="9" t="s">
        <v>5090</v>
      </c>
      <c r="H7983" s="9" t="s">
        <v>20500</v>
      </c>
      <c r="I7983" s="9" t="s">
        <v>3593</v>
      </c>
      <c r="J7983" s="9" t="s">
        <v>3594</v>
      </c>
      <c r="K7983" s="3" t="s">
        <v>15176</v>
      </c>
      <c r="L7983" s="13">
        <v>938</v>
      </c>
      <c r="M7983" t="str">
        <f>VLOOKUP(L7983,[1]Mouse_ARA!$B$2:$C$1328,2,FALSE)</f>
        <v>PGRN</v>
      </c>
    </row>
    <row r="7984" spans="2:13" x14ac:dyDescent="0.25">
      <c r="B7984" s="31" t="s">
        <v>26303</v>
      </c>
      <c r="C7984" s="25" t="s">
        <v>3248</v>
      </c>
      <c r="D7984" s="25" t="s">
        <v>26232</v>
      </c>
      <c r="E7984" s="25"/>
      <c r="F7984" s="9" t="str">
        <f t="shared" si="117"/>
        <v>structure with developmental contribution from neural crest</v>
      </c>
      <c r="G7984" s="9" t="s">
        <v>5090</v>
      </c>
      <c r="H7984" s="9" t="s">
        <v>20462</v>
      </c>
      <c r="I7984" s="9" t="s">
        <v>14327</v>
      </c>
      <c r="J7984" s="9" t="s">
        <v>14328</v>
      </c>
      <c r="K7984" s="3" t="s">
        <v>15176</v>
      </c>
      <c r="L7984" s="13">
        <v>939</v>
      </c>
      <c r="M7984" t="str">
        <f>VLOOKUP(L7984,[1]Mouse_ARA!$B$2:$C$1328,2,FALSE)</f>
        <v>AMBd</v>
      </c>
    </row>
    <row r="7985" spans="2:13" x14ac:dyDescent="0.25">
      <c r="B7985" s="31" t="s">
        <v>26303</v>
      </c>
      <c r="C7985" s="25" t="s">
        <v>26287</v>
      </c>
      <c r="D7985" s="25" t="s">
        <v>26232</v>
      </c>
      <c r="E7985" s="25"/>
      <c r="F7985" s="9" t="str">
        <f t="shared" si="117"/>
        <v>structure with developmental contribution from neural crest</v>
      </c>
      <c r="G7985" s="9" t="s">
        <v>5090</v>
      </c>
      <c r="H7985" s="9" t="s">
        <v>20877</v>
      </c>
      <c r="I7985" s="9" t="s">
        <v>14329</v>
      </c>
      <c r="J7985" s="9" t="s">
        <v>14330</v>
      </c>
      <c r="K7985" s="3" t="s">
        <v>15176</v>
      </c>
      <c r="L7985" s="13">
        <v>941</v>
      </c>
      <c r="M7985" t="str">
        <f>VLOOKUP(L7985,[1]Mouse_ARA!$B$2:$C$1328,2,FALSE)</f>
        <v>vsp</v>
      </c>
    </row>
    <row r="7986" spans="2:13" x14ac:dyDescent="0.25">
      <c r="B7986" s="31" t="s">
        <v>26303</v>
      </c>
      <c r="C7986" s="25" t="s">
        <v>1761</v>
      </c>
      <c r="D7986" s="25" t="s">
        <v>26232</v>
      </c>
      <c r="E7986" s="25"/>
      <c r="F7986" s="9" t="str">
        <f t="shared" si="117"/>
        <v>structure with developmental contribution from neural crest</v>
      </c>
      <c r="G7986" s="9" t="s">
        <v>5090</v>
      </c>
      <c r="H7986" s="9" t="s">
        <v>19717</v>
      </c>
      <c r="I7986" s="9" t="s">
        <v>1761</v>
      </c>
      <c r="J7986" s="9" t="s">
        <v>1763</v>
      </c>
      <c r="K7986" s="3" t="s">
        <v>15176</v>
      </c>
      <c r="L7986" s="13">
        <v>942</v>
      </c>
      <c r="M7986" t="str">
        <f>VLOOKUP(L7986,[1]Mouse_ARA!$B$2:$C$1328,2,FALSE)</f>
        <v>EP</v>
      </c>
    </row>
    <row r="7987" spans="2:13" x14ac:dyDescent="0.25">
      <c r="B7987" s="31" t="s">
        <v>26303</v>
      </c>
      <c r="C7987" s="25" t="s">
        <v>26166</v>
      </c>
      <c r="D7987" s="25" t="s">
        <v>26232</v>
      </c>
      <c r="E7987" s="25" t="s">
        <v>26306</v>
      </c>
      <c r="F7987" s="9" t="str">
        <f t="shared" si="117"/>
        <v>structure with developmental contribution from neural crest</v>
      </c>
      <c r="G7987" s="9" t="s">
        <v>5090</v>
      </c>
      <c r="H7987" s="9" t="s">
        <v>18683</v>
      </c>
      <c r="I7987" s="9" t="s">
        <v>14331</v>
      </c>
      <c r="J7987" s="9" t="s">
        <v>14332</v>
      </c>
      <c r="K7987" s="3" t="s">
        <v>15176</v>
      </c>
      <c r="L7987" s="13">
        <v>943</v>
      </c>
      <c r="M7987" t="str">
        <f>VLOOKUP(L7987,[1]Mouse_ARA!$B$2:$C$1328,2,FALSE)</f>
        <v>MOp2/3</v>
      </c>
    </row>
    <row r="7988" spans="2:13" x14ac:dyDescent="0.25">
      <c r="B7988" s="31" t="s">
        <v>26303</v>
      </c>
      <c r="C7988" s="25" t="s">
        <v>26173</v>
      </c>
      <c r="D7988" s="25" t="s">
        <v>26232</v>
      </c>
      <c r="E7988" s="25" t="s">
        <v>26306</v>
      </c>
      <c r="F7988" s="9" t="str">
        <f t="shared" si="117"/>
        <v>structure with developmental contribution from neural crest</v>
      </c>
      <c r="G7988" s="9" t="s">
        <v>5090</v>
      </c>
      <c r="H7988" s="9" t="s">
        <v>18810</v>
      </c>
      <c r="I7988" s="9" t="s">
        <v>14333</v>
      </c>
      <c r="J7988" s="9" t="s">
        <v>14334</v>
      </c>
      <c r="K7988" s="3" t="s">
        <v>15176</v>
      </c>
      <c r="L7988" s="13">
        <v>945</v>
      </c>
      <c r="M7988" t="str">
        <f>VLOOKUP(L7988,[1]Mouse_ARA!$B$2:$C$1328,2,FALSE)</f>
        <v>SSp-ul6a</v>
      </c>
    </row>
    <row r="7989" spans="2:13" x14ac:dyDescent="0.25">
      <c r="B7989" s="31" t="s">
        <v>26303</v>
      </c>
      <c r="C7989" s="20"/>
      <c r="D7989" s="25" t="s">
        <v>26232</v>
      </c>
      <c r="E7989" s="25" t="s">
        <v>26307</v>
      </c>
      <c r="F7989" s="9" t="str">
        <f t="shared" si="117"/>
        <v>structure with developmental contribution from neural crest</v>
      </c>
      <c r="G7989" s="9" t="s">
        <v>5090</v>
      </c>
      <c r="H7989" s="9" t="s">
        <v>18677</v>
      </c>
      <c r="I7989" s="9" t="s">
        <v>14335</v>
      </c>
      <c r="J7989" s="9" t="s">
        <v>14336</v>
      </c>
      <c r="K7989" s="3" t="s">
        <v>15176</v>
      </c>
      <c r="L7989" s="13">
        <v>947</v>
      </c>
      <c r="M7989" t="str">
        <f>VLOOKUP(L7989,[1]Mouse_ARA!$B$2:$C$1328,2,FALSE)</f>
        <v>MO6b</v>
      </c>
    </row>
    <row r="7990" spans="2:13" x14ac:dyDescent="0.25">
      <c r="B7990" s="31" t="s">
        <v>26303</v>
      </c>
      <c r="C7990" s="25" t="s">
        <v>983</v>
      </c>
      <c r="D7990" s="25" t="s">
        <v>26232</v>
      </c>
      <c r="E7990" s="25"/>
      <c r="F7990" s="9" t="str">
        <f t="shared" si="117"/>
        <v>structure with developmental contribution from neural crest</v>
      </c>
      <c r="G7990" s="9" t="s">
        <v>5090</v>
      </c>
      <c r="H7990" s="9" t="s">
        <v>20755</v>
      </c>
      <c r="I7990" s="9" t="s">
        <v>983</v>
      </c>
      <c r="J7990" s="9" t="s">
        <v>984</v>
      </c>
      <c r="K7990" s="3" t="s">
        <v>15176</v>
      </c>
      <c r="L7990" s="13">
        <v>948</v>
      </c>
      <c r="M7990" t="str">
        <f>VLOOKUP(L7990,[1]Mouse_ARA!$B$2:$C$1328,2,FALSE)</f>
        <v>cVIIIn</v>
      </c>
    </row>
    <row r="7991" spans="2:13" x14ac:dyDescent="0.25">
      <c r="B7991" s="31" t="s">
        <v>26303</v>
      </c>
      <c r="C7991" s="25" t="s">
        <v>25771</v>
      </c>
      <c r="D7991" s="25" t="s">
        <v>26232</v>
      </c>
      <c r="E7991" s="25"/>
      <c r="F7991" s="9" t="str">
        <f t="shared" ref="F7991:F8054" si="118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7991" s="9" t="s">
        <v>5090</v>
      </c>
      <c r="H7991" s="9" t="s">
        <v>19191</v>
      </c>
      <c r="I7991" s="9" t="s">
        <v>14337</v>
      </c>
      <c r="J7991" s="9" t="s">
        <v>14338</v>
      </c>
      <c r="K7991" s="3" t="s">
        <v>15176</v>
      </c>
      <c r="L7991" s="13">
        <v>95</v>
      </c>
      <c r="M7991" t="str">
        <f>VLOOKUP(L7991,[1]Mouse_ARA!$B$2:$C$1328,2,FALSE)</f>
        <v>AI</v>
      </c>
    </row>
    <row r="7992" spans="2:13" x14ac:dyDescent="0.25">
      <c r="B7992" s="31" t="s">
        <v>26303</v>
      </c>
      <c r="C7992" s="25" t="s">
        <v>26173</v>
      </c>
      <c r="D7992" s="25" t="s">
        <v>26232</v>
      </c>
      <c r="E7992" s="25" t="s">
        <v>26306</v>
      </c>
      <c r="F7992" s="9" t="str">
        <f t="shared" si="118"/>
        <v>structure with developmental contribution from neural crest</v>
      </c>
      <c r="G7992" s="9" t="s">
        <v>5090</v>
      </c>
      <c r="H7992" s="9" t="s">
        <v>18792</v>
      </c>
      <c r="I7992" s="9" t="s">
        <v>14339</v>
      </c>
      <c r="J7992" s="9" t="s">
        <v>14340</v>
      </c>
      <c r="K7992" s="3" t="s">
        <v>15176</v>
      </c>
      <c r="L7992" s="13">
        <v>950</v>
      </c>
      <c r="M7992" t="str">
        <f>VLOOKUP(L7992,[1]Mouse_ARA!$B$2:$C$1328,2,FALSE)</f>
        <v>SSp-m4</v>
      </c>
    </row>
    <row r="7993" spans="2:13" x14ac:dyDescent="0.25">
      <c r="B7993" s="31" t="s">
        <v>26303</v>
      </c>
      <c r="C7993" s="25" t="s">
        <v>1761</v>
      </c>
      <c r="D7993" s="25" t="s">
        <v>26232</v>
      </c>
      <c r="E7993" s="25"/>
      <c r="F7993" s="9" t="str">
        <f t="shared" si="118"/>
        <v>structure with developmental contribution from neural crest</v>
      </c>
      <c r="G7993" s="9" t="s">
        <v>5090</v>
      </c>
      <c r="H7993" s="9" t="s">
        <v>19719</v>
      </c>
      <c r="I7993" s="9" t="s">
        <v>14341</v>
      </c>
      <c r="J7993" s="9" t="s">
        <v>14342</v>
      </c>
      <c r="K7993" s="3" t="s">
        <v>15176</v>
      </c>
      <c r="L7993" s="13">
        <v>952</v>
      </c>
      <c r="M7993" t="str">
        <f>VLOOKUP(L7993,[1]Mouse_ARA!$B$2:$C$1328,2,FALSE)</f>
        <v>EPd</v>
      </c>
    </row>
    <row r="7994" spans="2:13" x14ac:dyDescent="0.25">
      <c r="B7994" s="31" t="s">
        <v>26303</v>
      </c>
      <c r="C7994" s="25" t="s">
        <v>26164</v>
      </c>
      <c r="D7994" s="25" t="s">
        <v>26185</v>
      </c>
      <c r="E7994" s="25" t="s">
        <v>26306</v>
      </c>
      <c r="F7994" s="9" t="str">
        <f t="shared" si="118"/>
        <v>structure with developmental contribution from neural crest</v>
      </c>
      <c r="G7994" s="9" t="s">
        <v>5090</v>
      </c>
      <c r="H7994" s="9" t="s">
        <v>18924</v>
      </c>
      <c r="I7994" s="9" t="s">
        <v>14343</v>
      </c>
      <c r="J7994" s="9" t="s">
        <v>14344</v>
      </c>
      <c r="K7994" s="3" t="s">
        <v>15176</v>
      </c>
      <c r="L7994" s="13">
        <v>954</v>
      </c>
      <c r="M7994" t="str">
        <f>VLOOKUP(L7994,[1]Mouse_ARA!$B$2:$C$1328,2,FALSE)</f>
        <v>AUDp6a</v>
      </c>
    </row>
    <row r="7995" spans="2:13" x14ac:dyDescent="0.25">
      <c r="B7995" s="31" t="s">
        <v>26303</v>
      </c>
      <c r="C7995" s="25" t="s">
        <v>2709</v>
      </c>
      <c r="D7995" s="25" t="s">
        <v>26232</v>
      </c>
      <c r="E7995" s="25"/>
      <c r="F7995" s="9" t="str">
        <f t="shared" si="118"/>
        <v>structure with developmental contribution from neural crest</v>
      </c>
      <c r="G7995" s="9" t="s">
        <v>5090</v>
      </c>
      <c r="H7995" s="9" t="s">
        <v>20484</v>
      </c>
      <c r="I7995" s="9" t="s">
        <v>7605</v>
      </c>
      <c r="J7995" s="9" t="s">
        <v>14345</v>
      </c>
      <c r="K7995" s="3" t="s">
        <v>15176</v>
      </c>
      <c r="L7995" s="13">
        <v>955</v>
      </c>
      <c r="M7995" t="str">
        <f>VLOOKUP(L7995,[1]Mouse_ARA!$B$2:$C$1328,2,FALSE)</f>
        <v>LRNm</v>
      </c>
    </row>
    <row r="7996" spans="2:13" x14ac:dyDescent="0.25">
      <c r="B7996" s="31" t="s">
        <v>26303</v>
      </c>
      <c r="C7996" s="25" t="s">
        <v>25939</v>
      </c>
      <c r="D7996" s="25" t="s">
        <v>26185</v>
      </c>
      <c r="E7996" s="25" t="s">
        <v>26300</v>
      </c>
      <c r="F7996" s="9" t="str">
        <f t="shared" si="118"/>
        <v>structure with developmental contribution from neural crest</v>
      </c>
      <c r="G7996" s="9" t="s">
        <v>5090</v>
      </c>
      <c r="H7996" s="9" t="s">
        <v>20819</v>
      </c>
      <c r="I7996" s="9" t="s">
        <v>14346</v>
      </c>
      <c r="J7996" s="9" t="s">
        <v>14347</v>
      </c>
      <c r="K7996" s="3" t="s">
        <v>15176</v>
      </c>
      <c r="L7996" s="13">
        <v>956</v>
      </c>
      <c r="M7996" t="str">
        <f>VLOOKUP(L7996,[1]Mouse_ARA!$B$2:$C$1328,2,FALSE)</f>
        <v>fa</v>
      </c>
    </row>
    <row r="7997" spans="2:13" x14ac:dyDescent="0.25">
      <c r="B7997" s="31" t="s">
        <v>26303</v>
      </c>
      <c r="C7997" s="25" t="s">
        <v>25802</v>
      </c>
      <c r="D7997" s="25" t="s">
        <v>26185</v>
      </c>
      <c r="E7997" s="25" t="s">
        <v>26307</v>
      </c>
      <c r="F7997" s="9" t="str">
        <f t="shared" si="118"/>
        <v>structure with developmental contribution from neural crest</v>
      </c>
      <c r="G7997" s="9" t="s">
        <v>5090</v>
      </c>
      <c r="H7997" s="9" t="s">
        <v>18944</v>
      </c>
      <c r="I7997" s="9" t="s">
        <v>14348</v>
      </c>
      <c r="J7997" s="9" t="s">
        <v>14349</v>
      </c>
      <c r="K7997" s="3" t="s">
        <v>15176</v>
      </c>
      <c r="L7997" s="13">
        <v>959</v>
      </c>
      <c r="M7997" t="str">
        <f>VLOOKUP(L7997,[1]Mouse_ARA!$B$2:$C$1328,2,FALSE)</f>
        <v>AUDv1</v>
      </c>
    </row>
    <row r="7998" spans="2:13" x14ac:dyDescent="0.25">
      <c r="B7998" s="31" t="s">
        <v>26303</v>
      </c>
      <c r="C7998" s="25" t="s">
        <v>1518</v>
      </c>
      <c r="D7998" s="25" t="s">
        <v>26232</v>
      </c>
      <c r="E7998" s="25"/>
      <c r="F7998" s="9" t="str">
        <f t="shared" si="118"/>
        <v>structure with developmental contribution from neural crest</v>
      </c>
      <c r="G7998" s="9" t="s">
        <v>5090</v>
      </c>
      <c r="H7998" s="9" t="s">
        <v>20403</v>
      </c>
      <c r="I7998" s="9" t="s">
        <v>1518</v>
      </c>
      <c r="J7998" s="9" t="s">
        <v>1522</v>
      </c>
      <c r="K7998" s="3" t="s">
        <v>15176</v>
      </c>
      <c r="L7998" s="13">
        <v>96</v>
      </c>
      <c r="M7998" t="str">
        <f>VLOOKUP(L7998,[1]Mouse_ARA!$B$2:$C$1328,2,FALSE)</f>
        <v>DCO</v>
      </c>
    </row>
    <row r="7999" spans="2:13" x14ac:dyDescent="0.25">
      <c r="B7999" s="31" t="s">
        <v>26299</v>
      </c>
      <c r="C7999" s="25" t="s">
        <v>26157</v>
      </c>
      <c r="D7999" s="25" t="s">
        <v>26232</v>
      </c>
      <c r="E7999" s="25" t="s">
        <v>26306</v>
      </c>
      <c r="F7999" s="9" t="str">
        <f t="shared" si="118"/>
        <v>structure with developmental contribution from neural crest</v>
      </c>
      <c r="G7999" s="9" t="s">
        <v>5090</v>
      </c>
      <c r="H7999" s="9" t="s">
        <v>18695</v>
      </c>
      <c r="I7999" s="9" t="s">
        <v>14350</v>
      </c>
      <c r="J7999" s="9" t="s">
        <v>14351</v>
      </c>
      <c r="K7999" s="3" t="s">
        <v>15176</v>
      </c>
      <c r="L7999" s="13">
        <v>962</v>
      </c>
      <c r="M7999" t="str">
        <f>VLOOKUP(L7999,[1]Mouse_ARA!$B$2:$C$1328,2,FALSE)</f>
        <v>MOs2/3</v>
      </c>
    </row>
    <row r="8000" spans="2:13" x14ac:dyDescent="0.25">
      <c r="B8000" s="31" t="s">
        <v>26303</v>
      </c>
      <c r="C8000" s="25" t="s">
        <v>2709</v>
      </c>
      <c r="D8000" s="25" t="s">
        <v>26232</v>
      </c>
      <c r="E8000" s="25"/>
      <c r="F8000" s="9" t="str">
        <f t="shared" si="118"/>
        <v>structure with developmental contribution from neural crest</v>
      </c>
      <c r="G8000" s="9" t="s">
        <v>5090</v>
      </c>
      <c r="H8000" s="9" t="s">
        <v>20486</v>
      </c>
      <c r="I8000" s="9" t="s">
        <v>7607</v>
      </c>
      <c r="J8000" s="9" t="s">
        <v>14352</v>
      </c>
      <c r="K8000" s="3" t="s">
        <v>15176</v>
      </c>
      <c r="L8000" s="13">
        <v>963</v>
      </c>
      <c r="M8000" t="str">
        <f>VLOOKUP(L8000,[1]Mouse_ARA!$B$2:$C$1328,2,FALSE)</f>
        <v>LRNp</v>
      </c>
    </row>
    <row r="8001" spans="2:13" x14ac:dyDescent="0.25">
      <c r="B8001" s="31" t="s">
        <v>26303</v>
      </c>
      <c r="C8001" s="25" t="s">
        <v>1805</v>
      </c>
      <c r="D8001" s="25" t="s">
        <v>26232</v>
      </c>
      <c r="E8001" s="25"/>
      <c r="F8001" s="9" t="str">
        <f t="shared" si="118"/>
        <v>structure with developmental contribution from neural crest</v>
      </c>
      <c r="G8001" s="9" t="s">
        <v>5090</v>
      </c>
      <c r="H8001" s="9" t="s">
        <v>20820</v>
      </c>
      <c r="I8001" s="9" t="s">
        <v>14353</v>
      </c>
      <c r="J8001" s="9" t="s">
        <v>14354</v>
      </c>
      <c r="K8001" s="3" t="s">
        <v>15176</v>
      </c>
      <c r="L8001" s="13">
        <v>964</v>
      </c>
      <c r="M8001" t="str">
        <f>VLOOKUP(L8001,[1]Mouse_ARA!$B$2:$C$1328,2,FALSE)</f>
        <v>ee</v>
      </c>
    </row>
    <row r="8002" spans="2:13" x14ac:dyDescent="0.25">
      <c r="B8002" s="31" t="s">
        <v>26299</v>
      </c>
      <c r="C8002" s="25" t="s">
        <v>26190</v>
      </c>
      <c r="D8002" s="25" t="s">
        <v>26232</v>
      </c>
      <c r="E8002" s="25" t="s">
        <v>26306</v>
      </c>
      <c r="F8002" s="9" t="str">
        <f t="shared" si="118"/>
        <v>structure with developmental contribution from neural crest</v>
      </c>
      <c r="G8002" s="9" t="s">
        <v>5090</v>
      </c>
      <c r="H8002" s="9" t="s">
        <v>19234</v>
      </c>
      <c r="I8002" s="9" t="s">
        <v>14355</v>
      </c>
      <c r="J8002" s="9" t="s">
        <v>14356</v>
      </c>
      <c r="K8002" s="3" t="s">
        <v>15176</v>
      </c>
      <c r="L8002" s="13">
        <v>965</v>
      </c>
      <c r="M8002" t="str">
        <f>VLOOKUP(L8002,[1]Mouse_ARA!$B$2:$C$1328,2,FALSE)</f>
        <v>RSPagl2/3</v>
      </c>
    </row>
    <row r="8003" spans="2:13" x14ac:dyDescent="0.25">
      <c r="B8003" s="31" t="s">
        <v>26303</v>
      </c>
      <c r="C8003" s="25" t="s">
        <v>1761</v>
      </c>
      <c r="D8003" s="25" t="s">
        <v>26232</v>
      </c>
      <c r="E8003" s="25"/>
      <c r="F8003" s="9" t="str">
        <f t="shared" si="118"/>
        <v>structure with developmental contribution from neural crest</v>
      </c>
      <c r="G8003" s="9" t="s">
        <v>5090</v>
      </c>
      <c r="H8003" s="9" t="s">
        <v>19721</v>
      </c>
      <c r="I8003" s="9" t="s">
        <v>14357</v>
      </c>
      <c r="J8003" s="9" t="s">
        <v>14358</v>
      </c>
      <c r="K8003" s="3" t="s">
        <v>15176</v>
      </c>
      <c r="L8003" s="13">
        <v>966</v>
      </c>
      <c r="M8003" t="str">
        <f>VLOOKUP(L8003,[1]Mouse_ARA!$B$2:$C$1328,2,FALSE)</f>
        <v>EPv</v>
      </c>
    </row>
    <row r="8004" spans="2:13" x14ac:dyDescent="0.25">
      <c r="B8004" s="31" t="s">
        <v>26303</v>
      </c>
      <c r="C8004" s="25" t="s">
        <v>25892</v>
      </c>
      <c r="D8004" s="25" t="s">
        <v>26232</v>
      </c>
      <c r="E8004" s="25"/>
      <c r="F8004" s="9" t="str">
        <f t="shared" si="118"/>
        <v>structure with developmental contribution from neural crest</v>
      </c>
      <c r="G8004" s="9" t="s">
        <v>5090</v>
      </c>
      <c r="H8004" s="9" t="s">
        <v>20723</v>
      </c>
      <c r="I8004" s="9" t="s">
        <v>979</v>
      </c>
      <c r="J8004" s="9" t="s">
        <v>985</v>
      </c>
      <c r="K8004" s="3" t="s">
        <v>15176</v>
      </c>
      <c r="L8004" s="13">
        <v>967</v>
      </c>
      <c r="M8004" t="str">
        <f>VLOOKUP(L8004,[1]Mouse_ARA!$B$2:$C$1328,2,FALSE)</f>
        <v>cm</v>
      </c>
    </row>
    <row r="8005" spans="2:13" x14ac:dyDescent="0.25">
      <c r="B8005" s="31" t="s">
        <v>26299</v>
      </c>
      <c r="C8005" s="25" t="s">
        <v>26080</v>
      </c>
      <c r="D8005" s="25" t="s">
        <v>26232</v>
      </c>
      <c r="E8005" s="25" t="s">
        <v>26306</v>
      </c>
      <c r="F8005" s="9" t="str">
        <f t="shared" si="118"/>
        <v>structure with developmental contribution from neural crest</v>
      </c>
      <c r="G8005" s="9" t="s">
        <v>5090</v>
      </c>
      <c r="H8005" s="9" t="s">
        <v>19181</v>
      </c>
      <c r="I8005" s="9" t="s">
        <v>14359</v>
      </c>
      <c r="J8005" s="9" t="s">
        <v>14360</v>
      </c>
      <c r="K8005" s="3" t="s">
        <v>15176</v>
      </c>
      <c r="L8005" s="13">
        <v>969</v>
      </c>
      <c r="M8005" t="str">
        <f>VLOOKUP(L8005,[1]Mouse_ARA!$B$2:$C$1328,2,FALSE)</f>
        <v>ORBvl1</v>
      </c>
    </row>
    <row r="8006" spans="2:13" x14ac:dyDescent="0.25">
      <c r="B8006" s="31" t="s">
        <v>26303</v>
      </c>
      <c r="C8006" s="20"/>
      <c r="D8006" s="25" t="s">
        <v>26232</v>
      </c>
      <c r="E8006" s="25" t="s">
        <v>26307</v>
      </c>
      <c r="F8006" s="9" t="str">
        <f t="shared" si="118"/>
        <v>structure with developmental contribution from neural crest</v>
      </c>
      <c r="G8006" s="9" t="s">
        <v>5090</v>
      </c>
      <c r="H8006" s="9" t="s">
        <v>19356</v>
      </c>
      <c r="I8006" s="9" t="s">
        <v>14361</v>
      </c>
      <c r="J8006" s="9" t="s">
        <v>14362</v>
      </c>
      <c r="K8006" s="3" t="s">
        <v>15176</v>
      </c>
      <c r="L8006" s="13">
        <v>97</v>
      </c>
      <c r="M8006" t="str">
        <f>VLOOKUP(L8006,[1]Mouse_ARA!$B$2:$C$1328,2,FALSE)</f>
        <v>TEa1</v>
      </c>
    </row>
    <row r="8007" spans="2:13" x14ac:dyDescent="0.25">
      <c r="B8007" s="31" t="s">
        <v>26303</v>
      </c>
      <c r="C8007" s="25" t="s">
        <v>25938</v>
      </c>
      <c r="D8007" s="25" t="s">
        <v>26185</v>
      </c>
      <c r="E8007" s="25" t="s">
        <v>26300</v>
      </c>
      <c r="F8007" s="9" t="str">
        <f t="shared" si="118"/>
        <v>structure with developmental contribution from neural crest</v>
      </c>
      <c r="G8007" s="9" t="s">
        <v>5090</v>
      </c>
      <c r="H8007" s="9" t="s">
        <v>20822</v>
      </c>
      <c r="I8007" s="9" t="s">
        <v>14363</v>
      </c>
      <c r="J8007" s="9" t="s">
        <v>14364</v>
      </c>
      <c r="K8007" s="3" t="s">
        <v>15176</v>
      </c>
      <c r="L8007" s="13">
        <v>971</v>
      </c>
      <c r="M8007" t="str">
        <f>VLOOKUP(L8007,[1]Mouse_ARA!$B$2:$C$1328,2,FALSE)</f>
        <v>fp</v>
      </c>
    </row>
    <row r="8008" spans="2:13" x14ac:dyDescent="0.25">
      <c r="B8008" s="31" t="s">
        <v>26303</v>
      </c>
      <c r="C8008" s="25" t="s">
        <v>2751</v>
      </c>
      <c r="D8008" s="25" t="s">
        <v>26232</v>
      </c>
      <c r="E8008" s="25" t="s">
        <v>26306</v>
      </c>
      <c r="F8008" s="9" t="str">
        <f t="shared" si="118"/>
        <v>structure with developmental contribution from neural crest</v>
      </c>
      <c r="G8008" s="9" t="s">
        <v>5090</v>
      </c>
      <c r="H8008" s="9" t="s">
        <v>19002</v>
      </c>
      <c r="I8008" s="9" t="s">
        <v>14365</v>
      </c>
      <c r="J8008" s="9" t="s">
        <v>14366</v>
      </c>
      <c r="K8008" s="3" t="s">
        <v>15176</v>
      </c>
      <c r="L8008" s="13">
        <v>973</v>
      </c>
      <c r="M8008" t="str">
        <f>VLOOKUP(L8008,[1]Mouse_ARA!$B$2:$C$1328,2,FALSE)</f>
        <v>VISl2/3</v>
      </c>
    </row>
    <row r="8009" spans="2:13" x14ac:dyDescent="0.25">
      <c r="B8009" s="31" t="s">
        <v>26303</v>
      </c>
      <c r="C8009" s="25" t="s">
        <v>26173</v>
      </c>
      <c r="D8009" s="25" t="s">
        <v>26232</v>
      </c>
      <c r="E8009" s="25" t="s">
        <v>26306</v>
      </c>
      <c r="F8009" s="9" t="str">
        <f t="shared" si="118"/>
        <v>structure with developmental contribution from neural crest</v>
      </c>
      <c r="G8009" s="9" t="s">
        <v>5090</v>
      </c>
      <c r="H8009" s="9" t="s">
        <v>18794</v>
      </c>
      <c r="I8009" s="9" t="s">
        <v>14367</v>
      </c>
      <c r="J8009" s="9" t="s">
        <v>14368</v>
      </c>
      <c r="K8009" s="3" t="s">
        <v>15176</v>
      </c>
      <c r="L8009" s="13">
        <v>974</v>
      </c>
      <c r="M8009" t="str">
        <f>VLOOKUP(L8009,[1]Mouse_ARA!$B$2:$C$1328,2,FALSE)</f>
        <v>SSp-m5</v>
      </c>
    </row>
    <row r="8010" spans="2:13" x14ac:dyDescent="0.25">
      <c r="B8010" s="31" t="s">
        <v>26303</v>
      </c>
      <c r="C8010" s="25" t="s">
        <v>1765</v>
      </c>
      <c r="D8010" s="25" t="s">
        <v>26232</v>
      </c>
      <c r="E8010" s="25" t="s">
        <v>26306</v>
      </c>
      <c r="F8010" s="9" t="str">
        <f t="shared" si="118"/>
        <v>structure with developmental contribution from neural crest</v>
      </c>
      <c r="G8010" s="9" t="s">
        <v>5090</v>
      </c>
      <c r="H8010" s="9" t="s">
        <v>19388</v>
      </c>
      <c r="I8010" s="9" t="s">
        <v>14369</v>
      </c>
      <c r="J8010" s="9" t="s">
        <v>14370</v>
      </c>
      <c r="K8010" s="3" t="s">
        <v>15176</v>
      </c>
      <c r="L8010" s="13">
        <v>977</v>
      </c>
      <c r="M8010" t="str">
        <f>VLOOKUP(L8010,[1]Mouse_ARA!$B$2:$C$1328,2,FALSE)</f>
        <v>ECT6a</v>
      </c>
    </row>
    <row r="8011" spans="2:13" x14ac:dyDescent="0.25">
      <c r="B8011" s="31" t="s">
        <v>26303</v>
      </c>
      <c r="C8011" s="25" t="s">
        <v>4922</v>
      </c>
      <c r="D8011" s="25" t="s">
        <v>26232</v>
      </c>
      <c r="E8011" s="25"/>
      <c r="F8011" s="9" t="str">
        <f t="shared" si="118"/>
        <v>structure with developmental contribution from neural crest</v>
      </c>
      <c r="G8011" s="9" t="s">
        <v>5090</v>
      </c>
      <c r="H8011" s="9" t="s">
        <v>20823</v>
      </c>
      <c r="I8011" s="9" t="s">
        <v>4926</v>
      </c>
      <c r="J8011" s="9" t="s">
        <v>4927</v>
      </c>
      <c r="K8011" s="3" t="s">
        <v>15176</v>
      </c>
      <c r="L8011" s="13">
        <v>979</v>
      </c>
      <c r="M8011" t="str">
        <f>VLOOKUP(L8011,[1]Mouse_ARA!$B$2:$C$1328,2,FALSE)</f>
        <v>ccr</v>
      </c>
    </row>
    <row r="8012" spans="2:13" x14ac:dyDescent="0.25">
      <c r="B8012" s="31" t="s">
        <v>26303</v>
      </c>
      <c r="C8012" s="25" t="s">
        <v>26151</v>
      </c>
      <c r="D8012" s="25" t="s">
        <v>26232</v>
      </c>
      <c r="E8012" s="25"/>
      <c r="F8012" s="9" t="str">
        <f t="shared" si="118"/>
        <v>structure with developmental contribution from neural crest</v>
      </c>
      <c r="G8012" s="9" t="s">
        <v>5090</v>
      </c>
      <c r="H8012" s="9" t="s">
        <v>20954</v>
      </c>
      <c r="I8012" s="9" t="s">
        <v>4039</v>
      </c>
      <c r="J8012" s="9" t="s">
        <v>4040</v>
      </c>
      <c r="K8012" s="3" t="s">
        <v>15176</v>
      </c>
      <c r="L8012" s="13">
        <v>98</v>
      </c>
      <c r="M8012" t="str">
        <f>VLOOKUP(L8012,[1]Mouse_ARA!$B$2:$C$1328,2,FALSE)</f>
        <v>SEZ</v>
      </c>
    </row>
    <row r="8013" spans="2:13" x14ac:dyDescent="0.25">
      <c r="B8013" s="31" t="s">
        <v>26303</v>
      </c>
      <c r="C8013" s="25" t="s">
        <v>26167</v>
      </c>
      <c r="D8013" s="25" t="s">
        <v>26232</v>
      </c>
      <c r="E8013" s="25" t="s">
        <v>26306</v>
      </c>
      <c r="F8013" s="9" t="str">
        <f t="shared" si="118"/>
        <v>structure with developmental contribution from neural crest</v>
      </c>
      <c r="G8013" s="9" t="s">
        <v>5090</v>
      </c>
      <c r="H8013" s="9" t="s">
        <v>18746</v>
      </c>
      <c r="I8013" s="9" t="s">
        <v>4139</v>
      </c>
      <c r="J8013" s="9" t="s">
        <v>4140</v>
      </c>
      <c r="K8013" s="3" t="s">
        <v>15176</v>
      </c>
      <c r="L8013" s="13">
        <v>981</v>
      </c>
      <c r="M8013" t="str">
        <f>VLOOKUP(L8013,[1]Mouse_ARA!$B$2:$C$1328,2,FALSE)</f>
        <v>SSp-bfd1</v>
      </c>
    </row>
    <row r="8014" spans="2:13" x14ac:dyDescent="0.25">
      <c r="B8014" s="31" t="s">
        <v>26303</v>
      </c>
      <c r="C8014" s="25" t="s">
        <v>5023</v>
      </c>
      <c r="D8014" s="25" t="s">
        <v>26232</v>
      </c>
      <c r="E8014" s="25"/>
      <c r="F8014" s="9" t="str">
        <f t="shared" si="118"/>
        <v>structure with developmental contribution from neural crest</v>
      </c>
      <c r="G8014" s="9" t="s">
        <v>5090</v>
      </c>
      <c r="H8014" s="9" t="s">
        <v>20826</v>
      </c>
      <c r="I8014" s="9" t="s">
        <v>5025</v>
      </c>
      <c r="J8014" s="9" t="s">
        <v>5026</v>
      </c>
      <c r="K8014" s="3" t="s">
        <v>15176</v>
      </c>
      <c r="L8014" s="13">
        <v>986</v>
      </c>
      <c r="M8014" t="str">
        <f>VLOOKUP(L8014,[1]Mouse_ARA!$B$2:$C$1328,2,FALSE)</f>
        <v>ccs</v>
      </c>
    </row>
    <row r="8015" spans="2:13" x14ac:dyDescent="0.25">
      <c r="B8015" s="31" t="s">
        <v>26303</v>
      </c>
      <c r="C8015" s="25" t="s">
        <v>3862</v>
      </c>
      <c r="D8015" s="25" t="s">
        <v>26232</v>
      </c>
      <c r="E8015" s="25"/>
      <c r="F8015" s="9" t="str">
        <f t="shared" si="118"/>
        <v>structure with developmental contribution from neural crest</v>
      </c>
      <c r="G8015" s="9" t="s">
        <v>5090</v>
      </c>
      <c r="H8015" s="9" t="s">
        <v>20338</v>
      </c>
      <c r="I8015" s="9" t="s">
        <v>14371</v>
      </c>
      <c r="J8015" s="9" t="s">
        <v>14372</v>
      </c>
      <c r="K8015" s="3" t="s">
        <v>15176</v>
      </c>
      <c r="L8015" s="13">
        <v>987</v>
      </c>
      <c r="M8015" t="str">
        <f>VLOOKUP(L8015,[1]Mouse_ARA!$B$2:$C$1328,2,FALSE)</f>
        <v>P-mot</v>
      </c>
    </row>
    <row r="8016" spans="2:13" x14ac:dyDescent="0.25">
      <c r="B8016" s="31" t="s">
        <v>26303</v>
      </c>
      <c r="C8016" s="25" t="s">
        <v>1765</v>
      </c>
      <c r="D8016" s="25" t="s">
        <v>26232</v>
      </c>
      <c r="E8016" s="25" t="s">
        <v>26306</v>
      </c>
      <c r="F8016" s="9" t="str">
        <f t="shared" si="118"/>
        <v>structure with developmental contribution from neural crest</v>
      </c>
      <c r="G8016" s="9" t="s">
        <v>5090</v>
      </c>
      <c r="H8016" s="9" t="s">
        <v>19386</v>
      </c>
      <c r="I8016" s="9" t="s">
        <v>14373</v>
      </c>
      <c r="J8016" s="9" t="s">
        <v>14374</v>
      </c>
      <c r="K8016" s="3" t="s">
        <v>15176</v>
      </c>
      <c r="L8016" s="13">
        <v>988</v>
      </c>
      <c r="M8016" t="str">
        <f>VLOOKUP(L8016,[1]Mouse_ARA!$B$2:$C$1328,2,FALSE)</f>
        <v>ECT5</v>
      </c>
    </row>
    <row r="8017" spans="2:13" x14ac:dyDescent="0.25">
      <c r="B8017" s="31" t="s">
        <v>26303</v>
      </c>
      <c r="C8017" s="25" t="s">
        <v>25802</v>
      </c>
      <c r="D8017" s="25" t="s">
        <v>26185</v>
      </c>
      <c r="E8017" s="25" t="s">
        <v>26307</v>
      </c>
      <c r="F8017" s="9" t="str">
        <f t="shared" si="118"/>
        <v>structure with developmental contribution from neural crest</v>
      </c>
      <c r="G8017" s="9" t="s">
        <v>5090</v>
      </c>
      <c r="H8017" s="9" t="s">
        <v>18948</v>
      </c>
      <c r="I8017" s="9" t="s">
        <v>14375</v>
      </c>
      <c r="J8017" s="9" t="s">
        <v>14376</v>
      </c>
      <c r="K8017" s="3" t="s">
        <v>15176</v>
      </c>
      <c r="L8017" s="13">
        <v>990</v>
      </c>
      <c r="M8017" t="str">
        <f>VLOOKUP(L8017,[1]Mouse_ARA!$B$2:$C$1328,2,FALSE)</f>
        <v>AUDv4</v>
      </c>
    </row>
    <row r="8018" spans="2:13" x14ac:dyDescent="0.25">
      <c r="B8018" s="31" t="s">
        <v>26303</v>
      </c>
      <c r="C8018" s="25" t="s">
        <v>1357</v>
      </c>
      <c r="D8018" s="25" t="s">
        <v>26232</v>
      </c>
      <c r="E8018" s="25"/>
      <c r="F8018" s="9" t="str">
        <f t="shared" si="118"/>
        <v>structure with developmental contribution from neural crest</v>
      </c>
      <c r="G8018" s="9" t="s">
        <v>5090</v>
      </c>
      <c r="H8018" s="9" t="s">
        <v>20835</v>
      </c>
      <c r="I8018" s="9" t="s">
        <v>1357</v>
      </c>
      <c r="J8018" s="9" t="s">
        <v>1360</v>
      </c>
      <c r="K8018" s="3" t="s">
        <v>15176</v>
      </c>
      <c r="L8018" s="13">
        <v>994</v>
      </c>
      <c r="M8018" t="str">
        <f>VLOOKUP(L8018,[1]Mouse_ARA!$B$2:$C$1328,2,FALSE)</f>
        <v>cbt</v>
      </c>
    </row>
    <row r="8019" spans="2:13" x14ac:dyDescent="0.25">
      <c r="B8019" s="31" t="s">
        <v>26303</v>
      </c>
      <c r="C8019" s="25" t="s">
        <v>3302</v>
      </c>
      <c r="D8019" s="25" t="s">
        <v>26232</v>
      </c>
      <c r="E8019" s="25"/>
      <c r="F8019" s="9" t="str">
        <f t="shared" si="118"/>
        <v>structure with developmental contribution from neural crest</v>
      </c>
      <c r="G8019" s="9" t="s">
        <v>5090</v>
      </c>
      <c r="H8019" s="9" t="s">
        <v>20514</v>
      </c>
      <c r="I8019" s="9" t="s">
        <v>3302</v>
      </c>
      <c r="J8019" s="9" t="s">
        <v>3601</v>
      </c>
      <c r="K8019" s="3" t="s">
        <v>15176</v>
      </c>
      <c r="L8019" s="13">
        <v>995</v>
      </c>
      <c r="M8019" t="str">
        <f>VLOOKUP(L8019,[1]Mouse_ARA!$B$2:$C$1328,2,FALSE)</f>
        <v>PMR</v>
      </c>
    </row>
    <row r="8020" spans="2:13" x14ac:dyDescent="0.25">
      <c r="B8020" s="31" t="s">
        <v>26303</v>
      </c>
      <c r="C8020" s="25" t="s">
        <v>25771</v>
      </c>
      <c r="D8020" s="25" t="s">
        <v>26232</v>
      </c>
      <c r="E8020" s="25" t="s">
        <v>26306</v>
      </c>
      <c r="F8020" s="9" t="str">
        <f t="shared" si="118"/>
        <v>structure with developmental contribution from neural crest</v>
      </c>
      <c r="G8020" s="9" t="s">
        <v>5090</v>
      </c>
      <c r="H8020" s="9" t="s">
        <v>19195</v>
      </c>
      <c r="I8020" s="9" t="s">
        <v>14377</v>
      </c>
      <c r="J8020" s="9" t="s">
        <v>14378</v>
      </c>
      <c r="K8020" s="3" t="s">
        <v>15176</v>
      </c>
      <c r="L8020" s="13">
        <v>996</v>
      </c>
      <c r="M8020" t="str">
        <f>VLOOKUP(L8020,[1]Mouse_ARA!$B$2:$C$1328,2,FALSE)</f>
        <v>AId1</v>
      </c>
    </row>
    <row r="8021" spans="2:13" x14ac:dyDescent="0.25">
      <c r="B8021" s="31" t="s">
        <v>26303</v>
      </c>
      <c r="C8021" s="25" t="s">
        <v>25987</v>
      </c>
      <c r="D8021" s="25" t="s">
        <v>26232</v>
      </c>
      <c r="E8021" s="25" t="s">
        <v>26306</v>
      </c>
      <c r="F8021" s="9" t="str">
        <f t="shared" si="118"/>
        <v>structure with developmental contribution from neural crest</v>
      </c>
      <c r="G8021" s="9" t="s">
        <v>5090</v>
      </c>
      <c r="H8021" s="9" t="s">
        <v>19595</v>
      </c>
      <c r="I8021" s="9" t="s">
        <v>14379</v>
      </c>
      <c r="J8021" s="9" t="s">
        <v>14380</v>
      </c>
      <c r="K8021" s="3" t="s">
        <v>15176</v>
      </c>
      <c r="L8021" s="13">
        <v>999</v>
      </c>
      <c r="M8021" t="str">
        <f>VLOOKUP(L8021,[1]Mouse_ARA!$B$2:$C$1328,2,FALSE)</f>
        <v>ENTl2/3</v>
      </c>
    </row>
    <row r="8022" spans="2:13" x14ac:dyDescent="0.25">
      <c r="B8022" s="31" t="s">
        <v>26299</v>
      </c>
      <c r="C8022" s="25" t="s">
        <v>1242</v>
      </c>
      <c r="D8022" s="25" t="s">
        <v>26232</v>
      </c>
      <c r="E8022" s="25" t="s">
        <v>26306</v>
      </c>
      <c r="F8022" s="9" t="str">
        <f t="shared" si="118"/>
        <v>structure with developmental contribution from neural crest</v>
      </c>
      <c r="G8022" s="9" t="s">
        <v>5090</v>
      </c>
      <c r="H8022" s="9" t="s">
        <v>25581</v>
      </c>
      <c r="I8022" s="9" t="s">
        <v>14381</v>
      </c>
      <c r="J8022" s="9" t="s">
        <v>14382</v>
      </c>
      <c r="K8022" s="6" t="s">
        <v>15174</v>
      </c>
      <c r="L8022" s="13">
        <v>10000</v>
      </c>
      <c r="M8022" t="str">
        <f>VLOOKUP(L8022,[1]NonHumanPrimate!$B$2:$C$4000,2,FALSE)</f>
        <v>rCG1</v>
      </c>
    </row>
    <row r="8023" spans="2:13" x14ac:dyDescent="0.25">
      <c r="B8023" s="31" t="s">
        <v>26299</v>
      </c>
      <c r="C8023" s="25" t="s">
        <v>1242</v>
      </c>
      <c r="D8023" s="25" t="s">
        <v>26232</v>
      </c>
      <c r="E8023" s="25" t="s">
        <v>26306</v>
      </c>
      <c r="F8023" s="9" t="str">
        <f t="shared" si="118"/>
        <v>structure with developmental contribution from neural crest</v>
      </c>
      <c r="G8023" s="9" t="s">
        <v>5090</v>
      </c>
      <c r="H8023" s="9" t="s">
        <v>25585</v>
      </c>
      <c r="I8023" s="9" t="s">
        <v>14383</v>
      </c>
      <c r="J8023" s="9" t="s">
        <v>14384</v>
      </c>
      <c r="K8023" s="6" t="s">
        <v>15174</v>
      </c>
      <c r="L8023" s="13">
        <v>10001</v>
      </c>
      <c r="M8023" t="str">
        <f>VLOOKUP(L8023,[1]NonHumanPrimate!$B$2:$C$4000,2,FALSE)</f>
        <v>rCG2</v>
      </c>
    </row>
    <row r="8024" spans="2:13" x14ac:dyDescent="0.25">
      <c r="B8024" s="31" t="s">
        <v>26299</v>
      </c>
      <c r="C8024" s="25" t="s">
        <v>1242</v>
      </c>
      <c r="D8024" s="25" t="s">
        <v>26232</v>
      </c>
      <c r="E8024" s="25" t="s">
        <v>26306</v>
      </c>
      <c r="F8024" s="9" t="str">
        <f t="shared" si="118"/>
        <v>structure with developmental contribution from neural crest</v>
      </c>
      <c r="G8024" s="9" t="s">
        <v>5090</v>
      </c>
      <c r="H8024" s="9" t="s">
        <v>25593</v>
      </c>
      <c r="I8024" s="9" t="s">
        <v>14385</v>
      </c>
      <c r="J8024" s="9" t="s">
        <v>14386</v>
      </c>
      <c r="K8024" s="6" t="s">
        <v>15174</v>
      </c>
      <c r="L8024" s="13">
        <v>10002</v>
      </c>
      <c r="M8024" t="str">
        <f>VLOOKUP(L8024,[1]NonHumanPrimate!$B$2:$C$4000,2,FALSE)</f>
        <v>rCG3</v>
      </c>
    </row>
    <row r="8025" spans="2:13" x14ac:dyDescent="0.25">
      <c r="B8025" s="31" t="s">
        <v>26299</v>
      </c>
      <c r="C8025" s="25" t="s">
        <v>1242</v>
      </c>
      <c r="D8025" s="25" t="s">
        <v>26232</v>
      </c>
      <c r="E8025" s="25" t="s">
        <v>26306</v>
      </c>
      <c r="F8025" s="9" t="str">
        <f t="shared" si="118"/>
        <v>structure with developmental contribution from neural crest</v>
      </c>
      <c r="G8025" s="9" t="s">
        <v>5090</v>
      </c>
      <c r="H8025" s="9" t="s">
        <v>25603</v>
      </c>
      <c r="I8025" s="9" t="s">
        <v>14387</v>
      </c>
      <c r="J8025" s="9" t="s">
        <v>14388</v>
      </c>
      <c r="K8025" s="6" t="s">
        <v>15174</v>
      </c>
      <c r="L8025" s="13">
        <v>10003</v>
      </c>
      <c r="M8025" t="str">
        <f>VLOOKUP(L8025,[1]NonHumanPrimate!$B$2:$C$4000,2,FALSE)</f>
        <v>rCG4</v>
      </c>
    </row>
    <row r="8026" spans="2:13" x14ac:dyDescent="0.25">
      <c r="B8026" s="31" t="s">
        <v>26299</v>
      </c>
      <c r="C8026" s="25" t="s">
        <v>1242</v>
      </c>
      <c r="D8026" s="25" t="s">
        <v>26232</v>
      </c>
      <c r="E8026" s="25" t="s">
        <v>26306</v>
      </c>
      <c r="F8026" s="9" t="str">
        <f t="shared" si="118"/>
        <v>structure with developmental contribution from neural crest</v>
      </c>
      <c r="G8026" s="9" t="s">
        <v>5090</v>
      </c>
      <c r="H8026" s="9" t="s">
        <v>25611</v>
      </c>
      <c r="I8026" s="9" t="s">
        <v>14389</v>
      </c>
      <c r="J8026" s="9" t="s">
        <v>14390</v>
      </c>
      <c r="K8026" s="6" t="s">
        <v>15174</v>
      </c>
      <c r="L8026" s="13">
        <v>10004</v>
      </c>
      <c r="M8026" t="str">
        <f>VLOOKUP(L8026,[1]NonHumanPrimate!$B$2:$C$4000,2,FALSE)</f>
        <v>rCG5</v>
      </c>
    </row>
    <row r="8027" spans="2:13" x14ac:dyDescent="0.25">
      <c r="B8027" s="31" t="s">
        <v>26299</v>
      </c>
      <c r="C8027" s="25" t="s">
        <v>1242</v>
      </c>
      <c r="D8027" s="25" t="s">
        <v>26232</v>
      </c>
      <c r="E8027" s="25" t="s">
        <v>26306</v>
      </c>
      <c r="F8027" s="9" t="str">
        <f t="shared" si="118"/>
        <v>structure with developmental contribution from neural crest</v>
      </c>
      <c r="G8027" s="9" t="s">
        <v>5090</v>
      </c>
      <c r="H8027" s="9" t="s">
        <v>25618</v>
      </c>
      <c r="I8027" s="9" t="s">
        <v>14391</v>
      </c>
      <c r="J8027" s="9" t="s">
        <v>14392</v>
      </c>
      <c r="K8027" s="6" t="s">
        <v>15174</v>
      </c>
      <c r="L8027" s="13">
        <v>10005</v>
      </c>
      <c r="M8027" t="str">
        <f>VLOOKUP(L8027,[1]NonHumanPrimate!$B$2:$C$4000,2,FALSE)</f>
        <v>rCG6</v>
      </c>
    </row>
    <row r="8028" spans="2:13" x14ac:dyDescent="0.25">
      <c r="B8028" s="31" t="s">
        <v>26299</v>
      </c>
      <c r="C8028" s="25" t="s">
        <v>25865</v>
      </c>
      <c r="D8028" s="25" t="s">
        <v>26232</v>
      </c>
      <c r="E8028" s="25"/>
      <c r="F8028" s="9" t="str">
        <f t="shared" si="118"/>
        <v>structure with developmental contribution from neural crest</v>
      </c>
      <c r="G8028" s="9" t="s">
        <v>5090</v>
      </c>
      <c r="H8028" s="9" t="s">
        <v>25669</v>
      </c>
      <c r="I8028" s="9" t="s">
        <v>14393</v>
      </c>
      <c r="J8028" s="9" t="s">
        <v>14394</v>
      </c>
      <c r="K8028" s="6" t="s">
        <v>15174</v>
      </c>
      <c r="L8028" s="13">
        <v>10007</v>
      </c>
      <c r="M8028" t="str">
        <f>VLOOKUP(L8028,[1]NonHumanPrimate!$B$2:$C$4000,2,FALSE)</f>
        <v>rCGwm</v>
      </c>
    </row>
    <row r="8029" spans="2:13" x14ac:dyDescent="0.25">
      <c r="B8029" s="31" t="s">
        <v>26303</v>
      </c>
      <c r="C8029" s="25" t="s">
        <v>26080</v>
      </c>
      <c r="D8029" s="25" t="s">
        <v>26232</v>
      </c>
      <c r="E8029" s="25"/>
      <c r="F8029" s="9" t="str">
        <f t="shared" si="118"/>
        <v>structure with developmental contribution from neural crest</v>
      </c>
      <c r="G8029" s="9" t="s">
        <v>5090</v>
      </c>
      <c r="H8029" s="9" t="s">
        <v>25570</v>
      </c>
      <c r="I8029" s="9" t="s">
        <v>5147</v>
      </c>
      <c r="J8029" s="9" t="s">
        <v>14395</v>
      </c>
      <c r="K8029" s="6" t="s">
        <v>15174</v>
      </c>
      <c r="L8029" s="13">
        <v>10008</v>
      </c>
      <c r="M8029" t="str">
        <f>VLOOKUP(L8029,[1]NonHumanPrimate!$B$2:$C$4000,2,FALSE)</f>
        <v>mOF</v>
      </c>
    </row>
    <row r="8030" spans="2:13" x14ac:dyDescent="0.25">
      <c r="B8030" s="31" t="s">
        <v>26303</v>
      </c>
      <c r="C8030" s="25" t="s">
        <v>26080</v>
      </c>
      <c r="D8030" s="25" t="s">
        <v>26232</v>
      </c>
      <c r="E8030" s="25" t="s">
        <v>26306</v>
      </c>
      <c r="F8030" s="9" t="str">
        <f t="shared" si="118"/>
        <v>structure with developmental contribution from neural crest</v>
      </c>
      <c r="G8030" s="9" t="s">
        <v>5090</v>
      </c>
      <c r="H8030" s="9" t="s">
        <v>25582</v>
      </c>
      <c r="I8030" s="9" t="s">
        <v>14396</v>
      </c>
      <c r="J8030" s="9" t="s">
        <v>14397</v>
      </c>
      <c r="K8030" s="6" t="s">
        <v>15174</v>
      </c>
      <c r="L8030" s="13">
        <v>10009</v>
      </c>
      <c r="M8030" t="str">
        <f>VLOOKUP(L8030,[1]NonHumanPrimate!$B$2:$C$4000,2,FALSE)</f>
        <v>mOF1</v>
      </c>
    </row>
    <row r="8031" spans="2:13" x14ac:dyDescent="0.25">
      <c r="B8031" s="31" t="s">
        <v>26303</v>
      </c>
      <c r="C8031" s="25" t="s">
        <v>26080</v>
      </c>
      <c r="D8031" s="25" t="s">
        <v>26232</v>
      </c>
      <c r="E8031" s="25" t="s">
        <v>26306</v>
      </c>
      <c r="F8031" s="9" t="str">
        <f t="shared" si="118"/>
        <v>structure with developmental contribution from neural crest</v>
      </c>
      <c r="G8031" s="9" t="s">
        <v>5090</v>
      </c>
      <c r="H8031" s="9" t="s">
        <v>25587</v>
      </c>
      <c r="I8031" s="9" t="s">
        <v>14398</v>
      </c>
      <c r="J8031" s="9" t="s">
        <v>14399</v>
      </c>
      <c r="K8031" s="6" t="s">
        <v>15174</v>
      </c>
      <c r="L8031" s="13">
        <v>10010</v>
      </c>
      <c r="M8031" t="str">
        <f>VLOOKUP(L8031,[1]NonHumanPrimate!$B$2:$C$4000,2,FALSE)</f>
        <v>mOF2</v>
      </c>
    </row>
    <row r="8032" spans="2:13" x14ac:dyDescent="0.25">
      <c r="B8032" s="31" t="s">
        <v>26303</v>
      </c>
      <c r="C8032" s="25" t="s">
        <v>26080</v>
      </c>
      <c r="D8032" s="25" t="s">
        <v>26232</v>
      </c>
      <c r="E8032" s="25" t="s">
        <v>26306</v>
      </c>
      <c r="F8032" s="9" t="str">
        <f t="shared" si="118"/>
        <v>structure with developmental contribution from neural crest</v>
      </c>
      <c r="G8032" s="9" t="s">
        <v>5090</v>
      </c>
      <c r="H8032" s="9" t="s">
        <v>25595</v>
      </c>
      <c r="I8032" s="9" t="s">
        <v>14400</v>
      </c>
      <c r="J8032" s="9" t="s">
        <v>14401</v>
      </c>
      <c r="K8032" s="6" t="s">
        <v>15174</v>
      </c>
      <c r="L8032" s="13">
        <v>10011</v>
      </c>
      <c r="M8032" t="str">
        <f>VLOOKUP(L8032,[1]NonHumanPrimate!$B$2:$C$4000,2,FALSE)</f>
        <v>mOF3</v>
      </c>
    </row>
    <row r="8033" spans="2:13" x14ac:dyDescent="0.25">
      <c r="B8033" s="31" t="s">
        <v>26303</v>
      </c>
      <c r="C8033" s="25" t="s">
        <v>26080</v>
      </c>
      <c r="D8033" s="25" t="s">
        <v>26232</v>
      </c>
      <c r="E8033" s="25" t="s">
        <v>26306</v>
      </c>
      <c r="F8033" s="9" t="str">
        <f t="shared" si="118"/>
        <v>structure with developmental contribution from neural crest</v>
      </c>
      <c r="G8033" s="9" t="s">
        <v>5090</v>
      </c>
      <c r="H8033" s="9" t="s">
        <v>25605</v>
      </c>
      <c r="I8033" s="9" t="s">
        <v>14402</v>
      </c>
      <c r="J8033" s="9" t="s">
        <v>14403</v>
      </c>
      <c r="K8033" s="6" t="s">
        <v>15174</v>
      </c>
      <c r="L8033" s="13">
        <v>10012</v>
      </c>
      <c r="M8033" t="str">
        <f>VLOOKUP(L8033,[1]NonHumanPrimate!$B$2:$C$4000,2,FALSE)</f>
        <v>mOF4</v>
      </c>
    </row>
    <row r="8034" spans="2:13" x14ac:dyDescent="0.25">
      <c r="B8034" s="31" t="s">
        <v>26303</v>
      </c>
      <c r="C8034" s="25" t="s">
        <v>26080</v>
      </c>
      <c r="D8034" s="25" t="s">
        <v>26232</v>
      </c>
      <c r="E8034" s="25" t="s">
        <v>26306</v>
      </c>
      <c r="F8034" s="9" t="str">
        <f t="shared" si="118"/>
        <v>structure with developmental contribution from neural crest</v>
      </c>
      <c r="G8034" s="9" t="s">
        <v>5090</v>
      </c>
      <c r="H8034" s="9" t="s">
        <v>25613</v>
      </c>
      <c r="I8034" s="9" t="s">
        <v>14404</v>
      </c>
      <c r="J8034" s="9" t="s">
        <v>14405</v>
      </c>
      <c r="K8034" s="6" t="s">
        <v>15174</v>
      </c>
      <c r="L8034" s="13">
        <v>10013</v>
      </c>
      <c r="M8034" t="str">
        <f>VLOOKUP(L8034,[1]NonHumanPrimate!$B$2:$C$4000,2,FALSE)</f>
        <v>mOF5</v>
      </c>
    </row>
    <row r="8035" spans="2:13" x14ac:dyDescent="0.25">
      <c r="B8035" s="31" t="s">
        <v>26303</v>
      </c>
      <c r="C8035" s="25" t="s">
        <v>26080</v>
      </c>
      <c r="D8035" s="25" t="s">
        <v>26232</v>
      </c>
      <c r="E8035" s="25" t="s">
        <v>26306</v>
      </c>
      <c r="F8035" s="9" t="str">
        <f t="shared" si="118"/>
        <v>structure with developmental contribution from neural crest</v>
      </c>
      <c r="G8035" s="9" t="s">
        <v>5090</v>
      </c>
      <c r="H8035" s="9" t="s">
        <v>25620</v>
      </c>
      <c r="I8035" s="9" t="s">
        <v>14406</v>
      </c>
      <c r="J8035" s="9" t="s">
        <v>14407</v>
      </c>
      <c r="K8035" s="6" t="s">
        <v>15174</v>
      </c>
      <c r="L8035" s="13">
        <v>10014</v>
      </c>
      <c r="M8035" t="str">
        <f>VLOOKUP(L8035,[1]NonHumanPrimate!$B$2:$C$4000,2,FALSE)</f>
        <v>mOF6</v>
      </c>
    </row>
    <row r="8036" spans="2:13" x14ac:dyDescent="0.25">
      <c r="B8036" s="31" t="s">
        <v>26303</v>
      </c>
      <c r="C8036" s="25" t="s">
        <v>25865</v>
      </c>
      <c r="D8036" s="25" t="s">
        <v>26232</v>
      </c>
      <c r="E8036" s="25"/>
      <c r="F8036" s="9" t="str">
        <f t="shared" si="118"/>
        <v>structure with developmental contribution from neural crest</v>
      </c>
      <c r="G8036" s="9" t="s">
        <v>5090</v>
      </c>
      <c r="H8036" s="9" t="s">
        <v>25670</v>
      </c>
      <c r="I8036" s="9" t="s">
        <v>14408</v>
      </c>
      <c r="J8036" s="9" t="s">
        <v>14409</v>
      </c>
      <c r="K8036" s="6" t="s">
        <v>15174</v>
      </c>
      <c r="L8036" s="13">
        <v>10016</v>
      </c>
      <c r="M8036" t="str">
        <f>VLOOKUP(L8036,[1]NonHumanPrimate!$B$2:$C$4000,2,FALSE)</f>
        <v>mOFwm</v>
      </c>
    </row>
    <row r="8037" spans="2:13" x14ac:dyDescent="0.25">
      <c r="B8037" s="31" t="s">
        <v>26299</v>
      </c>
      <c r="C8037" s="25" t="s">
        <v>26080</v>
      </c>
      <c r="D8037" s="25" t="s">
        <v>26232</v>
      </c>
      <c r="E8037" s="25"/>
      <c r="F8037" s="9" t="str">
        <f t="shared" si="118"/>
        <v>structure with developmental contribution from neural crest</v>
      </c>
      <c r="G8037" s="9" t="s">
        <v>5090</v>
      </c>
      <c r="H8037" s="9" t="s">
        <v>25571</v>
      </c>
      <c r="I8037" s="9" t="s">
        <v>14410</v>
      </c>
      <c r="J8037" s="9" t="s">
        <v>14411</v>
      </c>
      <c r="K8037" s="6" t="s">
        <v>15174</v>
      </c>
      <c r="L8037" s="13">
        <v>10017</v>
      </c>
      <c r="M8037" t="str">
        <f>VLOOKUP(L8037,[1]NonHumanPrimate!$B$2:$C$4000,2,FALSE)</f>
        <v>cOF</v>
      </c>
    </row>
    <row r="8038" spans="2:13" x14ac:dyDescent="0.25">
      <c r="B8038" s="31" t="s">
        <v>26303</v>
      </c>
      <c r="C8038" s="25" t="s">
        <v>26080</v>
      </c>
      <c r="D8038" s="25" t="s">
        <v>26232</v>
      </c>
      <c r="E8038" s="25" t="s">
        <v>26306</v>
      </c>
      <c r="F8038" s="9" t="str">
        <f t="shared" si="118"/>
        <v>structure with developmental contribution from neural crest</v>
      </c>
      <c r="G8038" s="9" t="s">
        <v>5090</v>
      </c>
      <c r="H8038" s="9" t="s">
        <v>25583</v>
      </c>
      <c r="I8038" s="9" t="s">
        <v>14412</v>
      </c>
      <c r="J8038" s="9" t="s">
        <v>14413</v>
      </c>
      <c r="K8038" s="6" t="s">
        <v>15174</v>
      </c>
      <c r="L8038" s="13">
        <v>10018</v>
      </c>
      <c r="M8038" t="str">
        <f>VLOOKUP(L8038,[1]NonHumanPrimate!$B$2:$C$4000,2,FALSE)</f>
        <v>cOF1</v>
      </c>
    </row>
    <row r="8039" spans="2:13" x14ac:dyDescent="0.25">
      <c r="B8039" s="31" t="s">
        <v>26303</v>
      </c>
      <c r="C8039" s="25" t="s">
        <v>26080</v>
      </c>
      <c r="D8039" s="25" t="s">
        <v>26232</v>
      </c>
      <c r="E8039" s="25" t="s">
        <v>26306</v>
      </c>
      <c r="F8039" s="9" t="str">
        <f t="shared" si="118"/>
        <v>structure with developmental contribution from neural crest</v>
      </c>
      <c r="G8039" s="9" t="s">
        <v>5090</v>
      </c>
      <c r="H8039" s="9" t="s">
        <v>25588</v>
      </c>
      <c r="I8039" s="9" t="s">
        <v>14414</v>
      </c>
      <c r="J8039" s="9" t="s">
        <v>14415</v>
      </c>
      <c r="K8039" s="6" t="s">
        <v>15174</v>
      </c>
      <c r="L8039" s="13">
        <v>10019</v>
      </c>
      <c r="M8039" t="str">
        <f>VLOOKUP(L8039,[1]NonHumanPrimate!$B$2:$C$4000,2,FALSE)</f>
        <v>cOF2</v>
      </c>
    </row>
    <row r="8040" spans="2:13" x14ac:dyDescent="0.25">
      <c r="B8040" s="31" t="s">
        <v>26303</v>
      </c>
      <c r="C8040" s="25" t="s">
        <v>26080</v>
      </c>
      <c r="D8040" s="25" t="s">
        <v>26232</v>
      </c>
      <c r="E8040" s="25" t="s">
        <v>26306</v>
      </c>
      <c r="F8040" s="9" t="str">
        <f t="shared" si="118"/>
        <v>structure with developmental contribution from neural crest</v>
      </c>
      <c r="G8040" s="9" t="s">
        <v>5090</v>
      </c>
      <c r="H8040" s="9" t="s">
        <v>25596</v>
      </c>
      <c r="I8040" s="9" t="s">
        <v>14416</v>
      </c>
      <c r="J8040" s="9" t="s">
        <v>14417</v>
      </c>
      <c r="K8040" s="6" t="s">
        <v>15174</v>
      </c>
      <c r="L8040" s="13">
        <v>10020</v>
      </c>
      <c r="M8040" t="str">
        <f>VLOOKUP(L8040,[1]NonHumanPrimate!$B$2:$C$4000,2,FALSE)</f>
        <v>cOF3</v>
      </c>
    </row>
    <row r="8041" spans="2:13" x14ac:dyDescent="0.25">
      <c r="B8041" s="31" t="s">
        <v>26303</v>
      </c>
      <c r="C8041" s="25" t="s">
        <v>26080</v>
      </c>
      <c r="D8041" s="25" t="s">
        <v>26232</v>
      </c>
      <c r="E8041" s="25" t="s">
        <v>26306</v>
      </c>
      <c r="F8041" s="9" t="str">
        <f t="shared" si="118"/>
        <v>structure with developmental contribution from neural crest</v>
      </c>
      <c r="G8041" s="9" t="s">
        <v>5090</v>
      </c>
      <c r="H8041" s="9" t="s">
        <v>25606</v>
      </c>
      <c r="I8041" s="9" t="s">
        <v>14418</v>
      </c>
      <c r="J8041" s="9" t="s">
        <v>14419</v>
      </c>
      <c r="K8041" s="6" t="s">
        <v>15174</v>
      </c>
      <c r="L8041" s="13">
        <v>10021</v>
      </c>
      <c r="M8041" t="str">
        <f>VLOOKUP(L8041,[1]NonHumanPrimate!$B$2:$C$4000,2,FALSE)</f>
        <v>cOF4</v>
      </c>
    </row>
    <row r="8042" spans="2:13" x14ac:dyDescent="0.25">
      <c r="B8042" s="31" t="s">
        <v>26303</v>
      </c>
      <c r="C8042" s="25" t="s">
        <v>26080</v>
      </c>
      <c r="D8042" s="25" t="s">
        <v>26232</v>
      </c>
      <c r="E8042" s="25" t="s">
        <v>26306</v>
      </c>
      <c r="F8042" s="9" t="str">
        <f t="shared" si="118"/>
        <v>structure with developmental contribution from neural crest</v>
      </c>
      <c r="G8042" s="9" t="s">
        <v>5090</v>
      </c>
      <c r="H8042" s="9" t="s">
        <v>25614</v>
      </c>
      <c r="I8042" s="9" t="s">
        <v>14420</v>
      </c>
      <c r="J8042" s="9" t="s">
        <v>14421</v>
      </c>
      <c r="K8042" s="6" t="s">
        <v>15174</v>
      </c>
      <c r="L8042" s="13">
        <v>10022</v>
      </c>
      <c r="M8042" t="str">
        <f>VLOOKUP(L8042,[1]NonHumanPrimate!$B$2:$C$4000,2,FALSE)</f>
        <v>cOF5</v>
      </c>
    </row>
    <row r="8043" spans="2:13" x14ac:dyDescent="0.25">
      <c r="B8043" s="31" t="s">
        <v>26303</v>
      </c>
      <c r="C8043" s="25" t="s">
        <v>26080</v>
      </c>
      <c r="D8043" s="25" t="s">
        <v>26232</v>
      </c>
      <c r="E8043" s="25" t="s">
        <v>26306</v>
      </c>
      <c r="F8043" s="9" t="str">
        <f t="shared" si="118"/>
        <v>structure with developmental contribution from neural crest</v>
      </c>
      <c r="G8043" s="9" t="s">
        <v>5090</v>
      </c>
      <c r="H8043" s="9" t="s">
        <v>25621</v>
      </c>
      <c r="I8043" s="9" t="s">
        <v>14422</v>
      </c>
      <c r="J8043" s="9" t="s">
        <v>14423</v>
      </c>
      <c r="K8043" s="6" t="s">
        <v>15174</v>
      </c>
      <c r="L8043" s="13">
        <v>10023</v>
      </c>
      <c r="M8043" t="str">
        <f>VLOOKUP(L8043,[1]NonHumanPrimate!$B$2:$C$4000,2,FALSE)</f>
        <v>cOF6</v>
      </c>
    </row>
    <row r="8044" spans="2:13" x14ac:dyDescent="0.25">
      <c r="B8044" s="31" t="s">
        <v>26303</v>
      </c>
      <c r="C8044" s="25" t="s">
        <v>25865</v>
      </c>
      <c r="D8044" s="25" t="s">
        <v>26232</v>
      </c>
      <c r="E8044" s="25"/>
      <c r="F8044" s="9" t="str">
        <f t="shared" si="118"/>
        <v>structure with developmental contribution from neural crest</v>
      </c>
      <c r="G8044" s="9" t="s">
        <v>5090</v>
      </c>
      <c r="H8044" s="9" t="s">
        <v>25671</v>
      </c>
      <c r="I8044" s="9" t="s">
        <v>14424</v>
      </c>
      <c r="J8044" s="9" t="s">
        <v>14425</v>
      </c>
      <c r="K8044" s="6" t="s">
        <v>15174</v>
      </c>
      <c r="L8044" s="13">
        <v>10025</v>
      </c>
      <c r="M8044" t="str">
        <f>VLOOKUP(L8044,[1]NonHumanPrimate!$B$2:$C$4000,2,FALSE)</f>
        <v>cOFwm</v>
      </c>
    </row>
    <row r="8045" spans="2:13" x14ac:dyDescent="0.25">
      <c r="B8045" s="31" t="s">
        <v>26303</v>
      </c>
      <c r="C8045" s="25" t="s">
        <v>26175</v>
      </c>
      <c r="D8045" s="25" t="s">
        <v>26232</v>
      </c>
      <c r="E8045" s="25" t="s">
        <v>26306</v>
      </c>
      <c r="F8045" s="9" t="str">
        <f t="shared" si="118"/>
        <v>structure with developmental contribution from neural crest</v>
      </c>
      <c r="G8045" s="9" t="s">
        <v>5090</v>
      </c>
      <c r="H8045" s="9" t="s">
        <v>22678</v>
      </c>
      <c r="I8045" s="9" t="s">
        <v>14426</v>
      </c>
      <c r="J8045" s="9" t="s">
        <v>14427</v>
      </c>
      <c r="K8045" s="6" t="s">
        <v>15174</v>
      </c>
      <c r="L8045" s="13">
        <v>10027</v>
      </c>
      <c r="M8045" t="str">
        <f>VLOOKUP(L8045,[1]NonHumanPrimate!$B$2:$C$4000,2,FALSE)</f>
        <v>V1-1</v>
      </c>
    </row>
    <row r="8046" spans="2:13" x14ac:dyDescent="0.25">
      <c r="B8046" s="31" t="s">
        <v>26303</v>
      </c>
      <c r="C8046" s="25" t="s">
        <v>26175</v>
      </c>
      <c r="D8046" s="25" t="s">
        <v>26232</v>
      </c>
      <c r="E8046" s="25" t="s">
        <v>26306</v>
      </c>
      <c r="F8046" s="9" t="str">
        <f t="shared" si="118"/>
        <v>structure with developmental contribution from neural crest</v>
      </c>
      <c r="G8046" s="9" t="s">
        <v>5090</v>
      </c>
      <c r="H8046" s="9" t="s">
        <v>22679</v>
      </c>
      <c r="I8046" s="9" t="s">
        <v>14428</v>
      </c>
      <c r="J8046" s="9" t="s">
        <v>14429</v>
      </c>
      <c r="K8046" s="6" t="s">
        <v>15174</v>
      </c>
      <c r="L8046" s="13">
        <v>10028</v>
      </c>
      <c r="M8046" t="str">
        <f>VLOOKUP(L8046,[1]NonHumanPrimate!$B$2:$C$4000,2,FALSE)</f>
        <v>V1-2</v>
      </c>
    </row>
    <row r="8047" spans="2:13" x14ac:dyDescent="0.25">
      <c r="B8047" s="31" t="s">
        <v>26303</v>
      </c>
      <c r="C8047" s="25" t="s">
        <v>26175</v>
      </c>
      <c r="D8047" s="25" t="s">
        <v>26232</v>
      </c>
      <c r="E8047" s="25" t="s">
        <v>26306</v>
      </c>
      <c r="F8047" s="9" t="str">
        <f t="shared" si="118"/>
        <v>structure with developmental contribution from neural crest</v>
      </c>
      <c r="G8047" s="9" t="s">
        <v>5090</v>
      </c>
      <c r="H8047" s="9" t="s">
        <v>22680</v>
      </c>
      <c r="I8047" s="9" t="s">
        <v>14430</v>
      </c>
      <c r="J8047" s="9" t="s">
        <v>14431</v>
      </c>
      <c r="K8047" s="6" t="s">
        <v>15174</v>
      </c>
      <c r="L8047" s="13">
        <v>10029</v>
      </c>
      <c r="M8047" t="str">
        <f>VLOOKUP(L8047,[1]NonHumanPrimate!$B$2:$C$4000,2,FALSE)</f>
        <v>V1-3</v>
      </c>
    </row>
    <row r="8048" spans="2:13" x14ac:dyDescent="0.25">
      <c r="B8048" s="31" t="s">
        <v>26303</v>
      </c>
      <c r="C8048" s="25" t="s">
        <v>26175</v>
      </c>
      <c r="D8048" s="25" t="s">
        <v>26232</v>
      </c>
      <c r="E8048" s="25" t="s">
        <v>26306</v>
      </c>
      <c r="F8048" s="9" t="str">
        <f t="shared" si="118"/>
        <v>structure with developmental contribution from neural crest</v>
      </c>
      <c r="G8048" s="9" t="s">
        <v>5090</v>
      </c>
      <c r="H8048" s="9" t="s">
        <v>22681</v>
      </c>
      <c r="I8048" s="9" t="s">
        <v>14432</v>
      </c>
      <c r="J8048" s="9" t="s">
        <v>14433</v>
      </c>
      <c r="K8048" s="6" t="s">
        <v>15174</v>
      </c>
      <c r="L8048" s="13">
        <v>10030</v>
      </c>
      <c r="M8048" t="str">
        <f>VLOOKUP(L8048,[1]NonHumanPrimate!$B$2:$C$4000,2,FALSE)</f>
        <v>V1-4</v>
      </c>
    </row>
    <row r="8049" spans="2:13" x14ac:dyDescent="0.25">
      <c r="B8049" s="31" t="s">
        <v>26303</v>
      </c>
      <c r="C8049" s="25" t="s">
        <v>26175</v>
      </c>
      <c r="D8049" s="25" t="s">
        <v>26232</v>
      </c>
      <c r="E8049" s="25" t="s">
        <v>26306</v>
      </c>
      <c r="F8049" s="9" t="str">
        <f t="shared" si="118"/>
        <v>structure with developmental contribution from neural crest</v>
      </c>
      <c r="G8049" s="9" t="s">
        <v>5090</v>
      </c>
      <c r="H8049" s="9" t="s">
        <v>22682</v>
      </c>
      <c r="I8049" s="9" t="s">
        <v>14434</v>
      </c>
      <c r="J8049" s="9" t="s">
        <v>14435</v>
      </c>
      <c r="K8049" s="6" t="s">
        <v>15174</v>
      </c>
      <c r="L8049" s="13">
        <v>10031</v>
      </c>
      <c r="M8049" t="str">
        <f>VLOOKUP(L8049,[1]NonHumanPrimate!$B$2:$C$4000,2,FALSE)</f>
        <v>V1-4A</v>
      </c>
    </row>
    <row r="8050" spans="2:13" x14ac:dyDescent="0.25">
      <c r="B8050" s="31" t="s">
        <v>26303</v>
      </c>
      <c r="C8050" s="25" t="s">
        <v>26175</v>
      </c>
      <c r="D8050" s="25" t="s">
        <v>26232</v>
      </c>
      <c r="E8050" s="25" t="s">
        <v>26306</v>
      </c>
      <c r="F8050" s="9" t="str">
        <f t="shared" si="118"/>
        <v>structure with developmental contribution from neural crest</v>
      </c>
      <c r="G8050" s="9" t="s">
        <v>5090</v>
      </c>
      <c r="H8050" s="9" t="s">
        <v>22683</v>
      </c>
      <c r="I8050" s="9" t="s">
        <v>14436</v>
      </c>
      <c r="J8050" s="9" t="s">
        <v>14437</v>
      </c>
      <c r="K8050" s="6" t="s">
        <v>15174</v>
      </c>
      <c r="L8050" s="13">
        <v>10032</v>
      </c>
      <c r="M8050" t="str">
        <f>VLOOKUP(L8050,[1]NonHumanPrimate!$B$2:$C$4000,2,FALSE)</f>
        <v>V1-4B</v>
      </c>
    </row>
    <row r="8051" spans="2:13" x14ac:dyDescent="0.25">
      <c r="B8051" s="31" t="s">
        <v>26303</v>
      </c>
      <c r="C8051" s="25" t="s">
        <v>26175</v>
      </c>
      <c r="D8051" s="25" t="s">
        <v>26232</v>
      </c>
      <c r="E8051" s="25" t="s">
        <v>26306</v>
      </c>
      <c r="F8051" s="9" t="str">
        <f t="shared" si="118"/>
        <v>structure with developmental contribution from neural crest</v>
      </c>
      <c r="G8051" s="9" t="s">
        <v>5090</v>
      </c>
      <c r="H8051" s="9" t="s">
        <v>25608</v>
      </c>
      <c r="I8051" s="9" t="s">
        <v>14438</v>
      </c>
      <c r="J8051" s="9" t="s">
        <v>14439</v>
      </c>
      <c r="K8051" s="6" t="s">
        <v>15174</v>
      </c>
      <c r="L8051" s="13">
        <v>10033</v>
      </c>
      <c r="M8051" t="str">
        <f>VLOOKUP(L8051,[1]NonHumanPrimate!$B$2:$C$4000,2,FALSE)</f>
        <v>V14Ca</v>
      </c>
    </row>
    <row r="8052" spans="2:13" x14ac:dyDescent="0.25">
      <c r="B8052" s="31" t="s">
        <v>26303</v>
      </c>
      <c r="C8052" s="25" t="s">
        <v>26175</v>
      </c>
      <c r="D8052" s="25" t="s">
        <v>26232</v>
      </c>
      <c r="E8052" s="25" t="s">
        <v>26306</v>
      </c>
      <c r="F8052" s="9" t="str">
        <f t="shared" si="118"/>
        <v>structure with developmental contribution from neural crest</v>
      </c>
      <c r="G8052" s="9" t="s">
        <v>5090</v>
      </c>
      <c r="H8052" s="9" t="s">
        <v>25609</v>
      </c>
      <c r="I8052" s="9" t="s">
        <v>14440</v>
      </c>
      <c r="J8052" s="9" t="s">
        <v>14441</v>
      </c>
      <c r="K8052" s="6" t="s">
        <v>15174</v>
      </c>
      <c r="L8052" s="13">
        <v>10034</v>
      </c>
      <c r="M8052" t="str">
        <f>VLOOKUP(L8052,[1]NonHumanPrimate!$B$2:$C$4000,2,FALSE)</f>
        <v>V14Cb</v>
      </c>
    </row>
    <row r="8053" spans="2:13" x14ac:dyDescent="0.25">
      <c r="B8053" s="31" t="s">
        <v>26303</v>
      </c>
      <c r="C8053" s="25" t="s">
        <v>26175</v>
      </c>
      <c r="D8053" s="25" t="s">
        <v>26232</v>
      </c>
      <c r="E8053" s="25" t="s">
        <v>26306</v>
      </c>
      <c r="F8053" s="9" t="str">
        <f t="shared" si="118"/>
        <v>structure with developmental contribution from neural crest</v>
      </c>
      <c r="G8053" s="9" t="s">
        <v>5090</v>
      </c>
      <c r="H8053" s="9" t="s">
        <v>22687</v>
      </c>
      <c r="I8053" s="9" t="s">
        <v>14442</v>
      </c>
      <c r="J8053" s="9" t="s">
        <v>14443</v>
      </c>
      <c r="K8053" s="6" t="s">
        <v>15174</v>
      </c>
      <c r="L8053" s="13">
        <v>10035</v>
      </c>
      <c r="M8053" t="str">
        <f>VLOOKUP(L8053,[1]NonHumanPrimate!$B$2:$C$4000,2,FALSE)</f>
        <v>V1-5</v>
      </c>
    </row>
    <row r="8054" spans="2:13" x14ac:dyDescent="0.25">
      <c r="B8054" s="31" t="s">
        <v>26303</v>
      </c>
      <c r="C8054" s="25" t="s">
        <v>26175</v>
      </c>
      <c r="D8054" s="25" t="s">
        <v>26232</v>
      </c>
      <c r="E8054" s="25" t="s">
        <v>26306</v>
      </c>
      <c r="F8054" s="9" t="str">
        <f t="shared" si="118"/>
        <v>structure with developmental contribution from neural crest</v>
      </c>
      <c r="G8054" s="9" t="s">
        <v>5090</v>
      </c>
      <c r="H8054" s="9" t="s">
        <v>22688</v>
      </c>
      <c r="I8054" s="9" t="s">
        <v>14444</v>
      </c>
      <c r="J8054" s="9" t="s">
        <v>14445</v>
      </c>
      <c r="K8054" s="6" t="s">
        <v>15174</v>
      </c>
      <c r="L8054" s="13">
        <v>10036</v>
      </c>
      <c r="M8054" t="str">
        <f>VLOOKUP(L8054,[1]NonHumanPrimate!$B$2:$C$4000,2,FALSE)</f>
        <v>V1-6</v>
      </c>
    </row>
    <row r="8055" spans="2:13" x14ac:dyDescent="0.25">
      <c r="B8055" s="31" t="s">
        <v>26303</v>
      </c>
      <c r="C8055" s="25" t="s">
        <v>26175</v>
      </c>
      <c r="D8055" s="25" t="s">
        <v>26232</v>
      </c>
      <c r="E8055" s="25"/>
      <c r="F8055" s="9" t="str">
        <f t="shared" ref="F8055:F8118" si="119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8055" s="9" t="s">
        <v>5090</v>
      </c>
      <c r="H8055" s="9" t="s">
        <v>25673</v>
      </c>
      <c r="I8055" s="9" t="s">
        <v>14446</v>
      </c>
      <c r="J8055" s="9" t="s">
        <v>14447</v>
      </c>
      <c r="K8055" s="6" t="s">
        <v>15174</v>
      </c>
      <c r="L8055" s="13">
        <v>10038</v>
      </c>
      <c r="M8055" t="str">
        <f>VLOOKUP(L8055,[1]NonHumanPrimate!$B$2:$C$4000,2,FALSE)</f>
        <v>V1wm</v>
      </c>
    </row>
    <row r="8056" spans="2:13" x14ac:dyDescent="0.25">
      <c r="B8056" s="31" t="s">
        <v>26303</v>
      </c>
      <c r="C8056" s="25" t="s">
        <v>25745</v>
      </c>
      <c r="D8056" s="25" t="s">
        <v>26232</v>
      </c>
      <c r="E8056" s="25" t="s">
        <v>26306</v>
      </c>
      <c r="F8056" s="9" t="str">
        <f t="shared" si="119"/>
        <v>structure with developmental contribution from neural crest</v>
      </c>
      <c r="G8056" s="9" t="s">
        <v>5090</v>
      </c>
      <c r="H8056" s="9" t="s">
        <v>22692</v>
      </c>
      <c r="I8056" s="9" t="s">
        <v>14448</v>
      </c>
      <c r="J8056" s="9" t="s">
        <v>14449</v>
      </c>
      <c r="K8056" s="6" t="s">
        <v>15174</v>
      </c>
      <c r="L8056" s="13">
        <v>10040</v>
      </c>
      <c r="M8056" t="str">
        <f>VLOOKUP(L8056,[1]NonHumanPrimate!$B$2:$C$4000,2,FALSE)</f>
        <v>V2-1</v>
      </c>
    </row>
    <row r="8057" spans="2:13" x14ac:dyDescent="0.25">
      <c r="B8057" s="31" t="s">
        <v>26303</v>
      </c>
      <c r="C8057" s="25" t="s">
        <v>25745</v>
      </c>
      <c r="D8057" s="25" t="s">
        <v>26232</v>
      </c>
      <c r="E8057" s="25" t="s">
        <v>26306</v>
      </c>
      <c r="F8057" s="9" t="str">
        <f t="shared" si="119"/>
        <v>structure with developmental contribution from neural crest</v>
      </c>
      <c r="G8057" s="9" t="s">
        <v>5090</v>
      </c>
      <c r="H8057" s="9" t="s">
        <v>22693</v>
      </c>
      <c r="I8057" s="9" t="s">
        <v>14450</v>
      </c>
      <c r="J8057" s="9" t="s">
        <v>14451</v>
      </c>
      <c r="K8057" s="6" t="s">
        <v>15174</v>
      </c>
      <c r="L8057" s="13">
        <v>10041</v>
      </c>
      <c r="M8057" t="str">
        <f>VLOOKUP(L8057,[1]NonHumanPrimate!$B$2:$C$4000,2,FALSE)</f>
        <v>V2-2</v>
      </c>
    </row>
    <row r="8058" spans="2:13" x14ac:dyDescent="0.25">
      <c r="B8058" s="31" t="s">
        <v>26303</v>
      </c>
      <c r="C8058" s="25" t="s">
        <v>25745</v>
      </c>
      <c r="D8058" s="25" t="s">
        <v>26232</v>
      </c>
      <c r="E8058" s="25" t="s">
        <v>26306</v>
      </c>
      <c r="F8058" s="9" t="str">
        <f t="shared" si="119"/>
        <v>structure with developmental contribution from neural crest</v>
      </c>
      <c r="G8058" s="9" t="s">
        <v>5090</v>
      </c>
      <c r="H8058" s="9" t="s">
        <v>22694</v>
      </c>
      <c r="I8058" s="9" t="s">
        <v>14452</v>
      </c>
      <c r="J8058" s="9" t="s">
        <v>14453</v>
      </c>
      <c r="K8058" s="6" t="s">
        <v>15174</v>
      </c>
      <c r="L8058" s="13">
        <v>10042</v>
      </c>
      <c r="M8058" t="str">
        <f>VLOOKUP(L8058,[1]NonHumanPrimate!$B$2:$C$4000,2,FALSE)</f>
        <v>V2-3</v>
      </c>
    </row>
    <row r="8059" spans="2:13" x14ac:dyDescent="0.25">
      <c r="B8059" s="31" t="s">
        <v>26303</v>
      </c>
      <c r="C8059" s="25" t="s">
        <v>25745</v>
      </c>
      <c r="D8059" s="25" t="s">
        <v>26232</v>
      </c>
      <c r="E8059" s="25" t="s">
        <v>26306</v>
      </c>
      <c r="F8059" s="9" t="str">
        <f t="shared" si="119"/>
        <v>structure with developmental contribution from neural crest</v>
      </c>
      <c r="G8059" s="9" t="s">
        <v>5090</v>
      </c>
      <c r="H8059" s="9" t="s">
        <v>22695</v>
      </c>
      <c r="I8059" s="9" t="s">
        <v>14454</v>
      </c>
      <c r="J8059" s="9" t="s">
        <v>14455</v>
      </c>
      <c r="K8059" s="6" t="s">
        <v>15174</v>
      </c>
      <c r="L8059" s="13">
        <v>10043</v>
      </c>
      <c r="M8059" t="str">
        <f>VLOOKUP(L8059,[1]NonHumanPrimate!$B$2:$C$4000,2,FALSE)</f>
        <v>V2-4</v>
      </c>
    </row>
    <row r="8060" spans="2:13" x14ac:dyDescent="0.25">
      <c r="B8060" s="31" t="s">
        <v>26303</v>
      </c>
      <c r="C8060" s="25" t="s">
        <v>25745</v>
      </c>
      <c r="D8060" s="25" t="s">
        <v>26232</v>
      </c>
      <c r="E8060" s="25" t="s">
        <v>26306</v>
      </c>
      <c r="F8060" s="9" t="str">
        <f t="shared" si="119"/>
        <v>structure with developmental contribution from neural crest</v>
      </c>
      <c r="G8060" s="9" t="s">
        <v>5090</v>
      </c>
      <c r="H8060" s="9" t="s">
        <v>25616</v>
      </c>
      <c r="I8060" s="9" t="s">
        <v>14456</v>
      </c>
      <c r="J8060" s="9" t="s">
        <v>14457</v>
      </c>
      <c r="K8060" s="6" t="s">
        <v>15174</v>
      </c>
      <c r="L8060" s="13">
        <v>10048</v>
      </c>
      <c r="M8060" t="str">
        <f>VLOOKUP(L8060,[1]NonHumanPrimate!$B$2:$C$4000,2,FALSE)</f>
        <v>V2_L5</v>
      </c>
    </row>
    <row r="8061" spans="2:13" x14ac:dyDescent="0.25">
      <c r="B8061" s="31" t="s">
        <v>26303</v>
      </c>
      <c r="C8061" s="25" t="s">
        <v>25745</v>
      </c>
      <c r="D8061" s="25" t="s">
        <v>26232</v>
      </c>
      <c r="E8061" s="25" t="s">
        <v>26306</v>
      </c>
      <c r="F8061" s="9" t="str">
        <f t="shared" si="119"/>
        <v>structure with developmental contribution from neural crest</v>
      </c>
      <c r="G8061" s="9" t="s">
        <v>5090</v>
      </c>
      <c r="H8061" s="9" t="s">
        <v>22697</v>
      </c>
      <c r="I8061" s="9" t="s">
        <v>14458</v>
      </c>
      <c r="J8061" s="9" t="s">
        <v>14459</v>
      </c>
      <c r="K8061" s="6" t="s">
        <v>15174</v>
      </c>
      <c r="L8061" s="13">
        <v>10049</v>
      </c>
      <c r="M8061" t="str">
        <f>VLOOKUP(L8061,[1]NonHumanPrimate!$B$2:$C$4000,2,FALSE)</f>
        <v>V2-6</v>
      </c>
    </row>
    <row r="8062" spans="2:13" x14ac:dyDescent="0.25">
      <c r="B8062" s="31" t="s">
        <v>26299</v>
      </c>
      <c r="C8062" s="25" t="s">
        <v>25745</v>
      </c>
      <c r="D8062" s="25" t="s">
        <v>26232</v>
      </c>
      <c r="E8062" s="25"/>
      <c r="F8062" s="9" t="str">
        <f t="shared" si="119"/>
        <v>structure with developmental contribution from neural crest</v>
      </c>
      <c r="G8062" s="9" t="s">
        <v>5090</v>
      </c>
      <c r="H8062" s="9" t="s">
        <v>25672</v>
      </c>
      <c r="I8062" s="9" t="s">
        <v>14460</v>
      </c>
      <c r="J8062" s="9" t="s">
        <v>14461</v>
      </c>
      <c r="K8062" s="6" t="s">
        <v>15174</v>
      </c>
      <c r="L8062" s="13">
        <v>10051</v>
      </c>
      <c r="M8062" t="str">
        <f>VLOOKUP(L8062,[1]NonHumanPrimate!$B$2:$C$4000,2,FALSE)</f>
        <v>V2wm</v>
      </c>
    </row>
    <row r="8063" spans="2:13" x14ac:dyDescent="0.25">
      <c r="B8063" s="31" t="s">
        <v>26303</v>
      </c>
      <c r="C8063" s="20"/>
      <c r="D8063" s="25" t="s">
        <v>26232</v>
      </c>
      <c r="E8063" s="25" t="s">
        <v>26309</v>
      </c>
      <c r="F8063" s="9" t="str">
        <f t="shared" si="119"/>
        <v>structure with developmental contribution from neural crest</v>
      </c>
      <c r="G8063" s="9" t="s">
        <v>5090</v>
      </c>
      <c r="H8063" s="9" t="s">
        <v>19689</v>
      </c>
      <c r="I8063" s="9" t="s">
        <v>5309</v>
      </c>
      <c r="J8063" s="9" t="s">
        <v>14462</v>
      </c>
      <c r="K8063" s="6" t="s">
        <v>15174</v>
      </c>
      <c r="L8063" s="13">
        <v>10053</v>
      </c>
      <c r="M8063" t="str">
        <f>VLOOKUP(L8063,[1]NonHumanPrimate!$B$2:$C$4000,2,FALSE)</f>
        <v>ProS</v>
      </c>
    </row>
    <row r="8064" spans="2:13" x14ac:dyDescent="0.25">
      <c r="B8064" s="31" t="s">
        <v>26303</v>
      </c>
      <c r="C8064" s="25" t="s">
        <v>4116</v>
      </c>
      <c r="D8064" s="25" t="s">
        <v>26232</v>
      </c>
      <c r="E8064" s="25"/>
      <c r="F8064" s="9" t="str">
        <f t="shared" si="119"/>
        <v>structure with developmental contribution from neural crest</v>
      </c>
      <c r="G8064" s="9" t="s">
        <v>5090</v>
      </c>
      <c r="H8064" s="9" t="s">
        <v>15970</v>
      </c>
      <c r="I8064" s="9" t="s">
        <v>4114</v>
      </c>
      <c r="J8064" s="9" t="s">
        <v>14463</v>
      </c>
      <c r="K8064" s="6" t="s">
        <v>15174</v>
      </c>
      <c r="L8064" s="13">
        <v>10055</v>
      </c>
      <c r="M8064" t="str">
        <f>VLOOKUP(L8064,[1]NonHumanPrimate!$B$2:$C$4000,2,FALSE)</f>
        <v>PrS</v>
      </c>
    </row>
    <row r="8065" spans="2:13" x14ac:dyDescent="0.25">
      <c r="B8065" s="31" t="s">
        <v>26303</v>
      </c>
      <c r="C8065" s="25" t="s">
        <v>25751</v>
      </c>
      <c r="D8065" s="25" t="s">
        <v>26232</v>
      </c>
      <c r="E8065" s="25"/>
      <c r="F8065" s="9" t="str">
        <f t="shared" si="119"/>
        <v>structure with developmental contribution from neural crest</v>
      </c>
      <c r="G8065" s="9" t="s">
        <v>5090</v>
      </c>
      <c r="H8065" s="9" t="s">
        <v>25690</v>
      </c>
      <c r="I8065" s="9" t="s">
        <v>62</v>
      </c>
      <c r="J8065" s="9" t="s">
        <v>63</v>
      </c>
      <c r="K8065" s="6" t="s">
        <v>15174</v>
      </c>
      <c r="L8065" s="13">
        <v>10059</v>
      </c>
      <c r="M8065" t="str">
        <f>VLOOKUP(L8065,[1]NonHumanPrimate!$B$2:$C$4000,2,FALSE)</f>
        <v>CA1or</v>
      </c>
    </row>
    <row r="8066" spans="2:13" x14ac:dyDescent="0.25">
      <c r="B8066" s="31" t="s">
        <v>26303</v>
      </c>
      <c r="C8066" s="35" t="s">
        <v>26180</v>
      </c>
      <c r="D8066" s="25" t="s">
        <v>26232</v>
      </c>
      <c r="E8066" s="25"/>
      <c r="F8066" s="9" t="str">
        <f t="shared" si="119"/>
        <v>structure with developmental contribution from neural crest</v>
      </c>
      <c r="G8066" s="9" t="s">
        <v>5090</v>
      </c>
      <c r="H8066" s="9" t="s">
        <v>25689</v>
      </c>
      <c r="I8066" s="9" t="s">
        <v>4224</v>
      </c>
      <c r="J8066" s="9" t="s">
        <v>4225</v>
      </c>
      <c r="K8066" s="6" t="s">
        <v>15174</v>
      </c>
      <c r="L8066" s="13">
        <v>10060</v>
      </c>
      <c r="M8066" t="str">
        <f>VLOOKUP(L8066,[1]NonHumanPrimate!$B$2:$C$4000,2,FALSE)</f>
        <v>CA1py</v>
      </c>
    </row>
    <row r="8067" spans="2:13" x14ac:dyDescent="0.25">
      <c r="B8067" s="31" t="s">
        <v>26303</v>
      </c>
      <c r="C8067" s="20" t="s">
        <v>25752</v>
      </c>
      <c r="D8067" s="25" t="s">
        <v>26232</v>
      </c>
      <c r="E8067" s="25"/>
      <c r="F8067" s="9" t="str">
        <f t="shared" si="119"/>
        <v>structure with developmental contribution from neural crest</v>
      </c>
      <c r="G8067" s="9" t="s">
        <v>5090</v>
      </c>
      <c r="H8067" s="9" t="s">
        <v>25687</v>
      </c>
      <c r="I8067" s="9" t="s">
        <v>69</v>
      </c>
      <c r="J8067" s="9" t="s">
        <v>70</v>
      </c>
      <c r="K8067" s="6" t="s">
        <v>15174</v>
      </c>
      <c r="L8067" s="13">
        <v>10061</v>
      </c>
      <c r="M8067" t="str">
        <f>VLOOKUP(L8067,[1]NonHumanPrimate!$B$2:$C$4000,2,FALSE)</f>
        <v>CA1ra</v>
      </c>
    </row>
    <row r="8068" spans="2:13" x14ac:dyDescent="0.25">
      <c r="B8068" s="31" t="s">
        <v>26303</v>
      </c>
      <c r="C8068" s="20" t="s">
        <v>25750</v>
      </c>
      <c r="D8068" s="25" t="s">
        <v>26232</v>
      </c>
      <c r="E8068" s="25" t="s">
        <v>26306</v>
      </c>
      <c r="F8068" s="9" t="str">
        <f t="shared" si="119"/>
        <v>structure with developmental contribution from neural crest</v>
      </c>
      <c r="G8068" s="9" t="s">
        <v>5090</v>
      </c>
      <c r="H8068" s="9" t="s">
        <v>25686</v>
      </c>
      <c r="I8068" s="9" t="s">
        <v>55</v>
      </c>
      <c r="J8068" s="9" t="s">
        <v>56</v>
      </c>
      <c r="K8068" s="6" t="s">
        <v>15174</v>
      </c>
      <c r="L8068" s="13">
        <v>10062</v>
      </c>
      <c r="M8068" t="str">
        <f>VLOOKUP(L8068,[1]NonHumanPrimate!$B$2:$C$4000,2,FALSE)</f>
        <v>CA1lm</v>
      </c>
    </row>
    <row r="8069" spans="2:13" x14ac:dyDescent="0.25">
      <c r="B8069" s="31" t="s">
        <v>26303</v>
      </c>
      <c r="C8069" s="25" t="s">
        <v>25755</v>
      </c>
      <c r="D8069" s="25" t="s">
        <v>26232</v>
      </c>
      <c r="E8069" s="25"/>
      <c r="F8069" s="9" t="str">
        <f t="shared" si="119"/>
        <v>structure with developmental contribution from neural crest</v>
      </c>
      <c r="G8069" s="9" t="s">
        <v>5090</v>
      </c>
      <c r="H8069" s="9" t="s">
        <v>25699</v>
      </c>
      <c r="I8069" s="9" t="s">
        <v>94</v>
      </c>
      <c r="J8069" s="9" t="s">
        <v>95</v>
      </c>
      <c r="K8069" s="6" t="s">
        <v>15174</v>
      </c>
      <c r="L8069" s="13">
        <v>10064</v>
      </c>
      <c r="M8069" t="str">
        <f>VLOOKUP(L8069,[1]NonHumanPrimate!$B$2:$C$4000,2,FALSE)</f>
        <v>CA2or</v>
      </c>
    </row>
    <row r="8070" spans="2:13" x14ac:dyDescent="0.25">
      <c r="B8070" s="31" t="s">
        <v>26303</v>
      </c>
      <c r="C8070" s="35" t="s">
        <v>26181</v>
      </c>
      <c r="D8070" s="25" t="s">
        <v>26232</v>
      </c>
      <c r="E8070" s="25"/>
      <c r="F8070" s="9" t="str">
        <f t="shared" si="119"/>
        <v>structure with developmental contribution from neural crest</v>
      </c>
      <c r="G8070" s="9" t="s">
        <v>5090</v>
      </c>
      <c r="H8070" s="9" t="s">
        <v>25698</v>
      </c>
      <c r="I8070" s="9" t="s">
        <v>4229</v>
      </c>
      <c r="J8070" s="9" t="s">
        <v>4230</v>
      </c>
      <c r="K8070" s="6" t="s">
        <v>15174</v>
      </c>
      <c r="L8070" s="13">
        <v>10065</v>
      </c>
      <c r="M8070" t="str">
        <f>VLOOKUP(L8070,[1]NonHumanPrimate!$B$2:$C$4000,2,FALSE)</f>
        <v>CA2py</v>
      </c>
    </row>
    <row r="8071" spans="2:13" x14ac:dyDescent="0.25">
      <c r="B8071" s="31" t="s">
        <v>26303</v>
      </c>
      <c r="C8071" s="20" t="s">
        <v>25756</v>
      </c>
      <c r="D8071" s="25" t="s">
        <v>26232</v>
      </c>
      <c r="E8071" s="25"/>
      <c r="F8071" s="9" t="str">
        <f t="shared" si="119"/>
        <v>structure with developmental contribution from neural crest</v>
      </c>
      <c r="G8071" s="9" t="s">
        <v>5090</v>
      </c>
      <c r="H8071" s="9" t="s">
        <v>25696</v>
      </c>
      <c r="I8071" s="9" t="s">
        <v>101</v>
      </c>
      <c r="J8071" s="9" t="s">
        <v>102</v>
      </c>
      <c r="K8071" s="6" t="s">
        <v>15174</v>
      </c>
      <c r="L8071" s="13">
        <v>10066</v>
      </c>
      <c r="M8071" t="str">
        <f>VLOOKUP(L8071,[1]NonHumanPrimate!$B$2:$C$4000,2,FALSE)</f>
        <v>CA2ra</v>
      </c>
    </row>
    <row r="8072" spans="2:13" x14ac:dyDescent="0.25">
      <c r="B8072" s="31" t="s">
        <v>26303</v>
      </c>
      <c r="C8072" s="20" t="s">
        <v>25754</v>
      </c>
      <c r="D8072" s="25" t="s">
        <v>26232</v>
      </c>
      <c r="E8072" s="25" t="s">
        <v>26306</v>
      </c>
      <c r="F8072" s="9" t="str">
        <f t="shared" si="119"/>
        <v>structure with developmental contribution from neural crest</v>
      </c>
      <c r="G8072" s="9" t="s">
        <v>5090</v>
      </c>
      <c r="H8072" s="9" t="s">
        <v>25695</v>
      </c>
      <c r="I8072" s="9" t="s">
        <v>87</v>
      </c>
      <c r="J8072" s="9" t="s">
        <v>88</v>
      </c>
      <c r="K8072" s="6" t="s">
        <v>15174</v>
      </c>
      <c r="L8072" s="13">
        <v>10067</v>
      </c>
      <c r="M8072" t="str">
        <f>VLOOKUP(L8072,[1]NonHumanPrimate!$B$2:$C$4000,2,FALSE)</f>
        <v>CA2lm</v>
      </c>
    </row>
    <row r="8073" spans="2:13" x14ac:dyDescent="0.25">
      <c r="B8073" s="31" t="s">
        <v>26303</v>
      </c>
      <c r="C8073" s="25" t="s">
        <v>25760</v>
      </c>
      <c r="D8073" s="25" t="s">
        <v>26232</v>
      </c>
      <c r="E8073" s="25"/>
      <c r="F8073" s="9" t="str">
        <f t="shared" si="119"/>
        <v>structure with developmental contribution from neural crest</v>
      </c>
      <c r="G8073" s="9" t="s">
        <v>5090</v>
      </c>
      <c r="H8073" s="9" t="s">
        <v>25705</v>
      </c>
      <c r="I8073" s="9" t="s">
        <v>133</v>
      </c>
      <c r="J8073" s="9" t="s">
        <v>134</v>
      </c>
      <c r="K8073" s="6" t="s">
        <v>15174</v>
      </c>
      <c r="L8073" s="13">
        <v>10069</v>
      </c>
      <c r="M8073" t="str">
        <f>VLOOKUP(L8073,[1]NonHumanPrimate!$B$2:$C$4000,2,FALSE)</f>
        <v>CA3or</v>
      </c>
    </row>
    <row r="8074" spans="2:13" x14ac:dyDescent="0.25">
      <c r="B8074" s="31" t="s">
        <v>26303</v>
      </c>
      <c r="C8074" s="35" t="s">
        <v>26182</v>
      </c>
      <c r="D8074" s="25" t="s">
        <v>26232</v>
      </c>
      <c r="E8074" s="25"/>
      <c r="F8074" s="9" t="str">
        <f t="shared" si="119"/>
        <v>structure with developmental contribution from neural crest</v>
      </c>
      <c r="G8074" s="9" t="s">
        <v>5090</v>
      </c>
      <c r="H8074" s="9" t="s">
        <v>25704</v>
      </c>
      <c r="I8074" s="9" t="s">
        <v>4234</v>
      </c>
      <c r="J8074" s="9" t="s">
        <v>4235</v>
      </c>
      <c r="K8074" s="6" t="s">
        <v>15174</v>
      </c>
      <c r="L8074" s="13">
        <v>10070</v>
      </c>
      <c r="M8074" t="str">
        <f>VLOOKUP(L8074,[1]NonHumanPrimate!$B$2:$C$4000,2,FALSE)</f>
        <v>CA3py</v>
      </c>
    </row>
    <row r="8075" spans="2:13" x14ac:dyDescent="0.25">
      <c r="B8075" s="31" t="s">
        <v>26303</v>
      </c>
      <c r="C8075" s="20" t="s">
        <v>25761</v>
      </c>
      <c r="D8075" s="25" t="s">
        <v>26232</v>
      </c>
      <c r="E8075" s="25"/>
      <c r="F8075" s="9" t="str">
        <f t="shared" si="119"/>
        <v>structure with developmental contribution from neural crest</v>
      </c>
      <c r="G8075" s="9" t="s">
        <v>5090</v>
      </c>
      <c r="H8075" s="9" t="s">
        <v>25702</v>
      </c>
      <c r="I8075" s="9" t="s">
        <v>140</v>
      </c>
      <c r="J8075" s="9" t="s">
        <v>141</v>
      </c>
      <c r="K8075" s="6" t="s">
        <v>15174</v>
      </c>
      <c r="L8075" s="13">
        <v>10072</v>
      </c>
      <c r="M8075" t="str">
        <f>VLOOKUP(L8075,[1]NonHumanPrimate!$B$2:$C$4000,2,FALSE)</f>
        <v>CA3ra</v>
      </c>
    </row>
    <row r="8076" spans="2:13" x14ac:dyDescent="0.25">
      <c r="B8076" s="31" t="s">
        <v>26303</v>
      </c>
      <c r="C8076" s="20" t="s">
        <v>25758</v>
      </c>
      <c r="D8076" s="25" t="s">
        <v>26232</v>
      </c>
      <c r="E8076" s="25" t="s">
        <v>26306</v>
      </c>
      <c r="F8076" s="9" t="str">
        <f t="shared" si="119"/>
        <v>structure with developmental contribution from neural crest</v>
      </c>
      <c r="G8076" s="9" t="s">
        <v>5090</v>
      </c>
      <c r="H8076" s="9" t="s">
        <v>25701</v>
      </c>
      <c r="I8076" s="9" t="s">
        <v>119</v>
      </c>
      <c r="J8076" s="9" t="s">
        <v>120</v>
      </c>
      <c r="K8076" s="6" t="s">
        <v>15174</v>
      </c>
      <c r="L8076" s="13">
        <v>10073</v>
      </c>
      <c r="M8076" t="str">
        <f>VLOOKUP(L8076,[1]NonHumanPrimate!$B$2:$C$4000,2,FALSE)</f>
        <v>CA3lm</v>
      </c>
    </row>
    <row r="8077" spans="2:13" x14ac:dyDescent="0.25">
      <c r="B8077" s="31" t="s">
        <v>26303</v>
      </c>
      <c r="C8077" s="20" t="s">
        <v>25901</v>
      </c>
      <c r="D8077" s="25" t="s">
        <v>26232</v>
      </c>
      <c r="E8077" s="25"/>
      <c r="F8077" s="9" t="str">
        <f t="shared" si="119"/>
        <v>structure with developmental contribution from neural crest</v>
      </c>
      <c r="G8077" s="9" t="s">
        <v>5090</v>
      </c>
      <c r="H8077" s="9" t="s">
        <v>15915</v>
      </c>
      <c r="I8077" s="9" t="s">
        <v>14464</v>
      </c>
      <c r="J8077" s="9" t="s">
        <v>14465</v>
      </c>
      <c r="K8077" s="6" t="s">
        <v>15174</v>
      </c>
      <c r="L8077" s="13">
        <v>10075</v>
      </c>
      <c r="M8077" t="str">
        <f>VLOOKUP(L8077,[1]NonHumanPrimate!$B$2:$C$4000,2,FALSE)</f>
        <v>DG</v>
      </c>
    </row>
    <row r="8078" spans="2:13" x14ac:dyDescent="0.25">
      <c r="B8078" s="31" t="s">
        <v>26303</v>
      </c>
      <c r="C8078" s="25" t="s">
        <v>25900</v>
      </c>
      <c r="D8078" s="25" t="s">
        <v>26232</v>
      </c>
      <c r="E8078" s="25" t="s">
        <v>26306</v>
      </c>
      <c r="F8078" s="9" t="str">
        <f t="shared" si="119"/>
        <v>structure with developmental contribution from neural crest</v>
      </c>
      <c r="G8078" s="9" t="s">
        <v>5090</v>
      </c>
      <c r="H8078" s="9" t="s">
        <v>25676</v>
      </c>
      <c r="I8078" s="9" t="s">
        <v>14466</v>
      </c>
      <c r="J8078" s="9" t="s">
        <v>14467</v>
      </c>
      <c r="K8078" s="6" t="s">
        <v>15174</v>
      </c>
      <c r="L8078" s="13">
        <v>10076</v>
      </c>
      <c r="M8078" t="str">
        <f>VLOOKUP(L8078,[1]NonHumanPrimate!$B$2:$C$4000,2,FALSE)</f>
        <v>DGmo</v>
      </c>
    </row>
    <row r="8079" spans="2:13" x14ac:dyDescent="0.25">
      <c r="B8079" s="31" t="s">
        <v>26303</v>
      </c>
      <c r="C8079" s="25" t="s">
        <v>25899</v>
      </c>
      <c r="D8079" s="25" t="s">
        <v>26232</v>
      </c>
      <c r="E8079" s="25"/>
      <c r="F8079" s="9" t="str">
        <f t="shared" si="119"/>
        <v>structure with developmental contribution from neural crest</v>
      </c>
      <c r="G8079" s="9" t="s">
        <v>5090</v>
      </c>
      <c r="H8079" s="9" t="s">
        <v>25678</v>
      </c>
      <c r="I8079" s="9" t="s">
        <v>14468</v>
      </c>
      <c r="J8079" s="9" t="s">
        <v>14469</v>
      </c>
      <c r="K8079" s="6" t="s">
        <v>15174</v>
      </c>
      <c r="L8079" s="13">
        <v>10077</v>
      </c>
      <c r="M8079" t="str">
        <f>VLOOKUP(L8079,[1]NonHumanPrimate!$B$2:$C$4000,2,FALSE)</f>
        <v>DGgr</v>
      </c>
    </row>
    <row r="8080" spans="2:13" x14ac:dyDescent="0.25">
      <c r="B8080" s="31" t="s">
        <v>26303</v>
      </c>
      <c r="C8080" s="25" t="s">
        <v>25903</v>
      </c>
      <c r="D8080" s="25" t="s">
        <v>26232</v>
      </c>
      <c r="E8080" s="25"/>
      <c r="F8080" s="9" t="str">
        <f t="shared" si="119"/>
        <v>structure with developmental contribution from neural crest</v>
      </c>
      <c r="G8080" s="9" t="s">
        <v>5090</v>
      </c>
      <c r="H8080" s="9" t="s">
        <v>25680</v>
      </c>
      <c r="I8080" s="9" t="s">
        <v>14470</v>
      </c>
      <c r="J8080" s="9" t="s">
        <v>14471</v>
      </c>
      <c r="K8080" s="6" t="s">
        <v>15174</v>
      </c>
      <c r="L8080" s="13">
        <v>10078</v>
      </c>
      <c r="M8080" t="str">
        <f>VLOOKUP(L8080,[1]NonHumanPrimate!$B$2:$C$4000,2,FALSE)</f>
        <v>DGsg</v>
      </c>
    </row>
    <row r="8081" spans="2:13" x14ac:dyDescent="0.25">
      <c r="B8081" s="31" t="s">
        <v>26303</v>
      </c>
      <c r="C8081" s="25" t="s">
        <v>25902</v>
      </c>
      <c r="D8081" s="25" t="s">
        <v>26232</v>
      </c>
      <c r="E8081" s="25"/>
      <c r="F8081" s="9" t="str">
        <f t="shared" si="119"/>
        <v>structure with developmental contribution from neural crest</v>
      </c>
      <c r="G8081" s="9" t="s">
        <v>5090</v>
      </c>
      <c r="H8081" s="9" t="s">
        <v>25682</v>
      </c>
      <c r="I8081" s="9" t="s">
        <v>14472</v>
      </c>
      <c r="J8081" s="9" t="s">
        <v>14473</v>
      </c>
      <c r="K8081" s="6" t="s">
        <v>15174</v>
      </c>
      <c r="L8081" s="13">
        <v>10079</v>
      </c>
      <c r="M8081" t="str">
        <f>VLOOKUP(L8081,[1]NonHumanPrimate!$B$2:$C$4000,2,FALSE)</f>
        <v>DGpf</v>
      </c>
    </row>
    <row r="8082" spans="2:13" x14ac:dyDescent="0.25">
      <c r="B8082" s="31" t="s">
        <v>26303</v>
      </c>
      <c r="C8082" s="9" t="s">
        <v>1200</v>
      </c>
      <c r="D8082" s="25" t="s">
        <v>26232</v>
      </c>
      <c r="E8082" s="25"/>
      <c r="F8082" s="9" t="str">
        <f t="shared" si="119"/>
        <v>structure with developmental contribution from neural crest</v>
      </c>
      <c r="G8082" s="9" t="s">
        <v>5090</v>
      </c>
      <c r="H8082" s="9" t="s">
        <v>19740</v>
      </c>
      <c r="I8082" s="9" t="s">
        <v>1200</v>
      </c>
      <c r="J8082" s="9" t="s">
        <v>5089</v>
      </c>
      <c r="K8082" s="6" t="s">
        <v>15174</v>
      </c>
      <c r="L8082" s="13">
        <v>10080</v>
      </c>
      <c r="M8082" t="str">
        <f>VLOOKUP(L8082,[1]NonHumanPrimate!$B$2:$C$4000,2,FALSE)</f>
        <v>STR</v>
      </c>
    </row>
    <row r="8083" spans="2:13" x14ac:dyDescent="0.25">
      <c r="B8083" s="31" t="s">
        <v>26303</v>
      </c>
      <c r="C8083" s="9" t="s">
        <v>1605</v>
      </c>
      <c r="D8083" s="25" t="s">
        <v>26232</v>
      </c>
      <c r="E8083" s="25"/>
      <c r="F8083" s="9" t="str">
        <f t="shared" si="119"/>
        <v>structure with developmental contribution from neural crest</v>
      </c>
      <c r="G8083" s="9" t="s">
        <v>5090</v>
      </c>
      <c r="H8083" s="9" t="s">
        <v>25734</v>
      </c>
      <c r="I8083" s="9" t="s">
        <v>1605</v>
      </c>
      <c r="J8083" s="9" t="s">
        <v>1606</v>
      </c>
      <c r="K8083" s="6" t="s">
        <v>15174</v>
      </c>
      <c r="L8083" s="13">
        <v>10081</v>
      </c>
      <c r="M8083" t="str">
        <f>VLOOKUP(L8083,[1]NonHumanPrimate!$B$2:$C$4000,2,FALSE)</f>
        <v>dSTR</v>
      </c>
    </row>
    <row r="8084" spans="2:13" x14ac:dyDescent="0.25">
      <c r="B8084" s="31" t="s">
        <v>26303</v>
      </c>
      <c r="C8084" s="25" t="s">
        <v>902</v>
      </c>
      <c r="D8084" s="25" t="s">
        <v>26232</v>
      </c>
      <c r="E8084" s="25"/>
      <c r="F8084" s="9" t="str">
        <f t="shared" si="119"/>
        <v>structure with developmental contribution from neural crest</v>
      </c>
      <c r="G8084" s="9" t="s">
        <v>5090</v>
      </c>
      <c r="H8084" s="9" t="s">
        <v>23241</v>
      </c>
      <c r="I8084" s="9" t="s">
        <v>902</v>
      </c>
      <c r="J8084" s="9" t="s">
        <v>906</v>
      </c>
      <c r="K8084" s="6" t="s">
        <v>15174</v>
      </c>
      <c r="L8084" s="13">
        <v>10082</v>
      </c>
      <c r="M8084" t="str">
        <f>VLOOKUP(L8084,[1]NonHumanPrimate!$B$2:$C$4000,2,FALSE)</f>
        <v>Ca</v>
      </c>
    </row>
    <row r="8085" spans="2:13" x14ac:dyDescent="0.25">
      <c r="B8085" s="31" t="s">
        <v>26303</v>
      </c>
      <c r="C8085" s="25" t="s">
        <v>4204</v>
      </c>
      <c r="D8085" s="25" t="s">
        <v>26232</v>
      </c>
      <c r="E8085" s="25"/>
      <c r="F8085" s="9" t="str">
        <f t="shared" si="119"/>
        <v>structure with developmental contribution from neural crest</v>
      </c>
      <c r="G8085" s="9" t="s">
        <v>5090</v>
      </c>
      <c r="H8085" s="9" t="s">
        <v>23250</v>
      </c>
      <c r="I8085" s="9" t="s">
        <v>4204</v>
      </c>
      <c r="J8085" s="9" t="s">
        <v>4208</v>
      </c>
      <c r="K8085" s="6" t="s">
        <v>15174</v>
      </c>
      <c r="L8085" s="13">
        <v>10086</v>
      </c>
      <c r="M8085" t="str">
        <f>VLOOKUP(L8085,[1]NonHumanPrimate!$B$2:$C$4000,2,FALSE)</f>
        <v>Pu</v>
      </c>
    </row>
    <row r="8086" spans="2:13" x14ac:dyDescent="0.25">
      <c r="B8086" s="31" t="s">
        <v>26303</v>
      </c>
      <c r="C8086" s="9" t="s">
        <v>1198</v>
      </c>
      <c r="D8086" s="25" t="s">
        <v>26232</v>
      </c>
      <c r="E8086" s="25"/>
      <c r="F8086" s="9" t="str">
        <f t="shared" si="119"/>
        <v>structure with developmental contribution from neural crest</v>
      </c>
      <c r="G8086" s="9" t="s">
        <v>5090</v>
      </c>
      <c r="H8086" s="9" t="s">
        <v>25735</v>
      </c>
      <c r="I8086" s="9" t="s">
        <v>1198</v>
      </c>
      <c r="J8086" s="9" t="s">
        <v>14474</v>
      </c>
      <c r="K8086" s="6" t="s">
        <v>15174</v>
      </c>
      <c r="L8086" s="13">
        <v>10091</v>
      </c>
      <c r="M8086" t="str">
        <f>VLOOKUP(L8086,[1]NonHumanPrimate!$B$2:$C$4000,2,FALSE)</f>
        <v>vSTR</v>
      </c>
    </row>
    <row r="8087" spans="2:13" x14ac:dyDescent="0.25">
      <c r="B8087" s="31" t="s">
        <v>26303</v>
      </c>
      <c r="C8087" s="25" t="s">
        <v>3239</v>
      </c>
      <c r="D8087" s="25" t="s">
        <v>26232</v>
      </c>
      <c r="E8087" s="25"/>
      <c r="F8087" s="9" t="str">
        <f t="shared" si="119"/>
        <v>structure with developmental contribution from neural crest</v>
      </c>
      <c r="G8087" s="9" t="s">
        <v>5090</v>
      </c>
      <c r="H8087" s="9" t="s">
        <v>23259</v>
      </c>
      <c r="I8087" s="9" t="s">
        <v>3239</v>
      </c>
      <c r="J8087" s="9" t="s">
        <v>3243</v>
      </c>
      <c r="K8087" s="6" t="s">
        <v>15174</v>
      </c>
      <c r="L8087" s="13">
        <v>10092</v>
      </c>
      <c r="M8087" t="str">
        <f>VLOOKUP(L8087,[1]NonHumanPrimate!$B$2:$C$4000,2,FALSE)</f>
        <v>NAC</v>
      </c>
    </row>
    <row r="8088" spans="2:13" x14ac:dyDescent="0.25">
      <c r="B8088" s="31" t="s">
        <v>26303</v>
      </c>
      <c r="C8088" s="25" t="s">
        <v>25983</v>
      </c>
      <c r="D8088" s="25" t="s">
        <v>26232</v>
      </c>
      <c r="E8088" s="25"/>
      <c r="F8088" s="9" t="str">
        <f t="shared" si="119"/>
        <v>structure with developmental contribution from neural crest</v>
      </c>
      <c r="G8088" s="9" t="s">
        <v>5090</v>
      </c>
      <c r="H8088" s="9" t="s">
        <v>23292</v>
      </c>
      <c r="I8088" s="9" t="s">
        <v>2542</v>
      </c>
      <c r="J8088" s="9" t="s">
        <v>2547</v>
      </c>
      <c r="K8088" s="6" t="s">
        <v>15174</v>
      </c>
      <c r="L8088" s="13">
        <v>10095</v>
      </c>
      <c r="M8088" t="str">
        <f>VLOOKUP(L8088,[1]NonHumanPrimate!$B$2:$C$4000,2,FALSE)</f>
        <v>IsCj</v>
      </c>
    </row>
    <row r="8089" spans="2:13" x14ac:dyDescent="0.25">
      <c r="B8089" s="31" t="s">
        <v>26303</v>
      </c>
      <c r="C8089" s="25" t="s">
        <v>3471</v>
      </c>
      <c r="D8089" s="25" t="s">
        <v>26232</v>
      </c>
      <c r="E8089" s="25"/>
      <c r="F8089" s="9" t="str">
        <f t="shared" si="119"/>
        <v>structure with developmental contribution from neural crest</v>
      </c>
      <c r="G8089" s="9" t="s">
        <v>5090</v>
      </c>
      <c r="H8089" s="9" t="s">
        <v>15418</v>
      </c>
      <c r="I8089" s="9" t="s">
        <v>3471</v>
      </c>
      <c r="J8089" s="9" t="s">
        <v>3476</v>
      </c>
      <c r="K8089" s="6" t="s">
        <v>15174</v>
      </c>
      <c r="L8089" s="13">
        <v>10096</v>
      </c>
      <c r="M8089" t="str">
        <f>VLOOKUP(L8089,[1]NonHumanPrimate!$B$2:$C$4000,2,FALSE)</f>
        <v>Tu</v>
      </c>
    </row>
    <row r="8090" spans="2:13" x14ac:dyDescent="0.25">
      <c r="B8090" s="31" t="s">
        <v>26303</v>
      </c>
      <c r="C8090" s="25" t="s">
        <v>2082</v>
      </c>
      <c r="D8090" s="25" t="s">
        <v>26232</v>
      </c>
      <c r="E8090" s="25"/>
      <c r="F8090" s="9" t="str">
        <f t="shared" si="119"/>
        <v>structure with developmental contribution from neural crest</v>
      </c>
      <c r="G8090" s="9" t="s">
        <v>5090</v>
      </c>
      <c r="H8090" s="9" t="s">
        <v>23267</v>
      </c>
      <c r="I8090" s="9" t="s">
        <v>2082</v>
      </c>
      <c r="J8090" s="9" t="s">
        <v>2085</v>
      </c>
      <c r="K8090" s="6" t="s">
        <v>15174</v>
      </c>
      <c r="L8090" s="13">
        <v>10097</v>
      </c>
      <c r="M8090" t="str">
        <f>VLOOKUP(L8090,[1]NonHumanPrimate!$B$2:$C$4000,2,FALSE)</f>
        <v>GP</v>
      </c>
    </row>
    <row r="8091" spans="2:13" x14ac:dyDescent="0.25">
      <c r="B8091" s="31" t="s">
        <v>26303</v>
      </c>
      <c r="C8091" s="25" t="s">
        <v>26022</v>
      </c>
      <c r="D8091" s="25" t="s">
        <v>26232</v>
      </c>
      <c r="E8091" s="25"/>
      <c r="F8091" s="9" t="str">
        <f t="shared" si="119"/>
        <v>structure with developmental contribution from neural crest</v>
      </c>
      <c r="G8091" s="9" t="s">
        <v>5090</v>
      </c>
      <c r="H8091" s="9" t="s">
        <v>19818</v>
      </c>
      <c r="I8091" s="9" t="s">
        <v>2911</v>
      </c>
      <c r="J8091" s="9" t="s">
        <v>2918</v>
      </c>
      <c r="K8091" s="6" t="s">
        <v>15174</v>
      </c>
      <c r="L8091" s="13">
        <v>10098</v>
      </c>
      <c r="M8091" t="str">
        <f>VLOOKUP(L8091,[1]NonHumanPrimate!$B$2:$C$4000,2,FALSE)</f>
        <v>GPi</v>
      </c>
    </row>
    <row r="8092" spans="2:13" x14ac:dyDescent="0.25">
      <c r="B8092" s="31" t="s">
        <v>26303</v>
      </c>
      <c r="C8092" s="25" t="s">
        <v>25989</v>
      </c>
      <c r="D8092" s="25" t="s">
        <v>26232</v>
      </c>
      <c r="E8092" s="25"/>
      <c r="F8092" s="9" t="str">
        <f t="shared" si="119"/>
        <v>structure with developmental contribution from neural crest</v>
      </c>
      <c r="G8092" s="9" t="s">
        <v>5090</v>
      </c>
      <c r="H8092" s="9" t="s">
        <v>19816</v>
      </c>
      <c r="I8092" s="9" t="s">
        <v>2596</v>
      </c>
      <c r="J8092" s="9" t="s">
        <v>2597</v>
      </c>
      <c r="K8092" s="6" t="s">
        <v>15174</v>
      </c>
      <c r="L8092" s="13">
        <v>10099</v>
      </c>
      <c r="M8092" t="str">
        <f>VLOOKUP(L8092,[1]NonHumanPrimate!$B$2:$C$4000,2,FALSE)</f>
        <v>GPe</v>
      </c>
    </row>
    <row r="8093" spans="2:13" x14ac:dyDescent="0.25">
      <c r="B8093" s="31" t="s">
        <v>26303</v>
      </c>
      <c r="C8093" s="25" t="s">
        <v>306</v>
      </c>
      <c r="D8093" s="25" t="s">
        <v>26232</v>
      </c>
      <c r="E8093" s="25"/>
      <c r="F8093" s="9" t="str">
        <f t="shared" si="119"/>
        <v>structure with developmental contribution from neural crest</v>
      </c>
      <c r="G8093" s="9" t="s">
        <v>5090</v>
      </c>
      <c r="H8093" s="9" t="s">
        <v>25718</v>
      </c>
      <c r="I8093" s="9" t="s">
        <v>306</v>
      </c>
      <c r="J8093" s="9" t="s">
        <v>313</v>
      </c>
      <c r="K8093" s="6" t="s">
        <v>15174</v>
      </c>
      <c r="L8093" s="13">
        <v>10103</v>
      </c>
      <c r="M8093" t="str">
        <f>VLOOKUP(L8093,[1]NonHumanPrimate!$B$2:$C$4000,2,FALSE)</f>
        <v>AA</v>
      </c>
    </row>
    <row r="8094" spans="2:13" x14ac:dyDescent="0.25">
      <c r="B8094" s="31" t="s">
        <v>26303</v>
      </c>
      <c r="C8094" s="25" t="s">
        <v>25804</v>
      </c>
      <c r="D8094" s="25" t="s">
        <v>26232</v>
      </c>
      <c r="E8094" s="25"/>
      <c r="F8094" s="9" t="str">
        <f t="shared" si="119"/>
        <v>structure with developmental contribution from neural crest</v>
      </c>
      <c r="G8094" s="9" t="s">
        <v>5090</v>
      </c>
      <c r="H8094" s="9" t="s">
        <v>20340</v>
      </c>
      <c r="I8094" s="9" t="s">
        <v>14475</v>
      </c>
      <c r="J8094" s="9" t="s">
        <v>14476</v>
      </c>
      <c r="K8094" s="6" t="s">
        <v>15174</v>
      </c>
      <c r="L8094" s="13">
        <v>10106</v>
      </c>
      <c r="M8094" t="str">
        <f>VLOOKUP(L8094,[1]NonHumanPrimate!$B$2:$C$4000,2,FALSE)</f>
        <v>B</v>
      </c>
    </row>
    <row r="8095" spans="2:13" x14ac:dyDescent="0.25">
      <c r="B8095" s="31" t="s">
        <v>26303</v>
      </c>
      <c r="C8095" s="25" t="s">
        <v>25804</v>
      </c>
      <c r="D8095" s="25" t="s">
        <v>26232</v>
      </c>
      <c r="E8095" s="25"/>
      <c r="F8095" s="9" t="str">
        <f t="shared" si="119"/>
        <v>structure with developmental contribution from neural crest</v>
      </c>
      <c r="G8095" s="9" t="s">
        <v>5090</v>
      </c>
      <c r="H8095" s="9" t="s">
        <v>15345</v>
      </c>
      <c r="I8095" s="9" t="s">
        <v>14477</v>
      </c>
      <c r="J8095" s="9" t="s">
        <v>14478</v>
      </c>
      <c r="K8095" s="6" t="s">
        <v>15174</v>
      </c>
      <c r="L8095" s="13">
        <v>10107</v>
      </c>
      <c r="M8095" t="str">
        <f>VLOOKUP(L8095,[1]NonHumanPrimate!$B$2:$C$4000,2,FALSE)</f>
        <v>Bi</v>
      </c>
    </row>
    <row r="8096" spans="2:13" x14ac:dyDescent="0.25">
      <c r="B8096" s="31" t="s">
        <v>26303</v>
      </c>
      <c r="C8096" s="25" t="s">
        <v>25804</v>
      </c>
      <c r="D8096" s="25" t="s">
        <v>26232</v>
      </c>
      <c r="E8096" s="25"/>
      <c r="F8096" s="9" t="str">
        <f t="shared" si="119"/>
        <v>structure with developmental contribution from neural crest</v>
      </c>
      <c r="G8096" s="9" t="s">
        <v>5090</v>
      </c>
      <c r="H8096" s="9" t="s">
        <v>25728</v>
      </c>
      <c r="I8096" s="9" t="s">
        <v>14479</v>
      </c>
      <c r="J8096" s="9" t="s">
        <v>14480</v>
      </c>
      <c r="K8096" s="6" t="s">
        <v>15174</v>
      </c>
      <c r="L8096" s="13">
        <v>10108</v>
      </c>
      <c r="M8096" t="str">
        <f>VLOOKUP(L8096,[1]NonHumanPrimate!$B$2:$C$4000,2,FALSE)</f>
        <v>Bd</v>
      </c>
    </row>
    <row r="8097" spans="2:13" x14ac:dyDescent="0.25">
      <c r="B8097" s="31" t="s">
        <v>26303</v>
      </c>
      <c r="C8097" s="25" t="s">
        <v>25804</v>
      </c>
      <c r="D8097" s="25" t="s">
        <v>26232</v>
      </c>
      <c r="E8097" s="25"/>
      <c r="F8097" s="9" t="str">
        <f t="shared" si="119"/>
        <v>structure with developmental contribution from neural crest</v>
      </c>
      <c r="G8097" s="9" t="s">
        <v>5090</v>
      </c>
      <c r="H8097" s="9" t="s">
        <v>25729</v>
      </c>
      <c r="I8097" s="9" t="s">
        <v>14481</v>
      </c>
      <c r="J8097" s="9" t="s">
        <v>14482</v>
      </c>
      <c r="K8097" s="6" t="s">
        <v>15174</v>
      </c>
      <c r="L8097" s="13">
        <v>10109</v>
      </c>
      <c r="M8097" t="str">
        <f>VLOOKUP(L8097,[1]NonHumanPrimate!$B$2:$C$4000,2,FALSE)</f>
        <v>Bv</v>
      </c>
    </row>
    <row r="8098" spans="2:13" x14ac:dyDescent="0.25">
      <c r="B8098" s="31" t="s">
        <v>26303</v>
      </c>
      <c r="C8098" s="25" t="s">
        <v>25765</v>
      </c>
      <c r="D8098" s="25" t="s">
        <v>26232</v>
      </c>
      <c r="E8098" s="25"/>
      <c r="F8098" s="9" t="str">
        <f t="shared" si="119"/>
        <v>structure with developmental contribution from neural crest</v>
      </c>
      <c r="G8098" s="9" t="s">
        <v>5090</v>
      </c>
      <c r="H8098" s="9" t="s">
        <v>25730</v>
      </c>
      <c r="I8098" s="9" t="s">
        <v>14483</v>
      </c>
      <c r="J8098" s="9" t="s">
        <v>14484</v>
      </c>
      <c r="K8098" s="6" t="s">
        <v>15174</v>
      </c>
      <c r="L8098" s="13">
        <v>10110</v>
      </c>
      <c r="M8098" t="str">
        <f>VLOOKUP(L8098,[1]NonHumanPrimate!$B$2:$C$4000,2,FALSE)</f>
        <v>AB</v>
      </c>
    </row>
    <row r="8099" spans="2:13" x14ac:dyDescent="0.25">
      <c r="B8099" s="31" t="s">
        <v>26303</v>
      </c>
      <c r="C8099" s="25" t="s">
        <v>25765</v>
      </c>
      <c r="D8099" s="25" t="s">
        <v>26232</v>
      </c>
      <c r="E8099" s="25"/>
      <c r="F8099" s="9" t="str">
        <f t="shared" si="119"/>
        <v>structure with developmental contribution from neural crest</v>
      </c>
      <c r="G8099" s="9" t="s">
        <v>5090</v>
      </c>
      <c r="H8099" s="9" t="s">
        <v>25731</v>
      </c>
      <c r="I8099" s="9" t="s">
        <v>14485</v>
      </c>
      <c r="J8099" s="9" t="s">
        <v>14486</v>
      </c>
      <c r="K8099" s="6" t="s">
        <v>15174</v>
      </c>
      <c r="L8099" s="13">
        <v>10111</v>
      </c>
      <c r="M8099" t="str">
        <f>VLOOKUP(L8099,[1]NonHumanPrimate!$B$2:$C$4000,2,FALSE)</f>
        <v>ABd</v>
      </c>
    </row>
    <row r="8100" spans="2:13" x14ac:dyDescent="0.25">
      <c r="B8100" s="31" t="s">
        <v>26303</v>
      </c>
      <c r="C8100" s="25" t="s">
        <v>25765</v>
      </c>
      <c r="D8100" s="25" t="s">
        <v>26232</v>
      </c>
      <c r="E8100" s="25"/>
      <c r="F8100" s="9" t="str">
        <f t="shared" si="119"/>
        <v>structure with developmental contribution from neural crest</v>
      </c>
      <c r="G8100" s="9" t="s">
        <v>5090</v>
      </c>
      <c r="H8100" s="9" t="s">
        <v>25732</v>
      </c>
      <c r="I8100" s="9" t="s">
        <v>14487</v>
      </c>
      <c r="J8100" s="9" t="s">
        <v>14488</v>
      </c>
      <c r="K8100" s="6" t="s">
        <v>15174</v>
      </c>
      <c r="L8100" s="13">
        <v>10112</v>
      </c>
      <c r="M8100" t="str">
        <f>VLOOKUP(L8100,[1]NonHumanPrimate!$B$2:$C$4000,2,FALSE)</f>
        <v>ABv</v>
      </c>
    </row>
    <row r="8101" spans="2:13" x14ac:dyDescent="0.25">
      <c r="B8101" s="31" t="s">
        <v>26303</v>
      </c>
      <c r="C8101" s="25" t="s">
        <v>2559</v>
      </c>
      <c r="D8101" s="25" t="s">
        <v>26232</v>
      </c>
      <c r="E8101" s="25"/>
      <c r="F8101" s="9" t="str">
        <f t="shared" si="119"/>
        <v>structure with developmental contribution from neural crest</v>
      </c>
      <c r="G8101" s="9" t="s">
        <v>5090</v>
      </c>
      <c r="H8101" s="9" t="s">
        <v>24355</v>
      </c>
      <c r="I8101" s="9" t="s">
        <v>2557</v>
      </c>
      <c r="J8101" s="9" t="s">
        <v>2564</v>
      </c>
      <c r="K8101" s="6" t="s">
        <v>15174</v>
      </c>
      <c r="L8101" s="13">
        <v>10116</v>
      </c>
      <c r="M8101" t="str">
        <f>VLOOKUP(L8101,[1]NonHumanPrimate!$B$2:$C$4000,2,FALSE)</f>
        <v>L</v>
      </c>
    </row>
    <row r="8102" spans="2:13" x14ac:dyDescent="0.25">
      <c r="B8102" s="31" t="s">
        <v>26303</v>
      </c>
      <c r="C8102" s="25" t="s">
        <v>2559</v>
      </c>
      <c r="D8102" s="25" t="s">
        <v>26232</v>
      </c>
      <c r="E8102" s="25"/>
      <c r="F8102" s="9" t="str">
        <f t="shared" si="119"/>
        <v>structure with developmental contribution from neural crest</v>
      </c>
      <c r="G8102" s="9" t="s">
        <v>5090</v>
      </c>
      <c r="H8102" s="9" t="s">
        <v>25724</v>
      </c>
      <c r="I8102" s="9" t="s">
        <v>14489</v>
      </c>
      <c r="J8102" s="9" t="s">
        <v>14490</v>
      </c>
      <c r="K8102" s="6" t="s">
        <v>15174</v>
      </c>
      <c r="L8102" s="13">
        <v>10117</v>
      </c>
      <c r="M8102" t="str">
        <f>VLOOKUP(L8102,[1]NonHumanPrimate!$B$2:$C$4000,2,FALSE)</f>
        <v>Ldl</v>
      </c>
    </row>
    <row r="8103" spans="2:13" x14ac:dyDescent="0.25">
      <c r="B8103" s="31" t="s">
        <v>26303</v>
      </c>
      <c r="C8103" s="25" t="s">
        <v>2559</v>
      </c>
      <c r="D8103" s="25" t="s">
        <v>26232</v>
      </c>
      <c r="E8103" s="25"/>
      <c r="F8103" s="9" t="str">
        <f t="shared" si="119"/>
        <v>structure with developmental contribution from neural crest</v>
      </c>
      <c r="G8103" s="9" t="s">
        <v>5090</v>
      </c>
      <c r="H8103" s="9" t="s">
        <v>25725</v>
      </c>
      <c r="I8103" s="9" t="s">
        <v>14491</v>
      </c>
      <c r="J8103" s="9" t="s">
        <v>14492</v>
      </c>
      <c r="K8103" s="6" t="s">
        <v>15174</v>
      </c>
      <c r="L8103" s="13">
        <v>10118</v>
      </c>
      <c r="M8103" t="str">
        <f>VLOOKUP(L8103,[1]NonHumanPrimate!$B$2:$C$4000,2,FALSE)</f>
        <v>Ldm</v>
      </c>
    </row>
    <row r="8104" spans="2:13" x14ac:dyDescent="0.25">
      <c r="B8104" s="31" t="s">
        <v>26303</v>
      </c>
      <c r="C8104" s="25" t="s">
        <v>2559</v>
      </c>
      <c r="D8104" s="25" t="s">
        <v>26232</v>
      </c>
      <c r="E8104" s="25"/>
      <c r="F8104" s="9" t="str">
        <f t="shared" si="119"/>
        <v>structure with developmental contribution from neural crest</v>
      </c>
      <c r="G8104" s="9" t="s">
        <v>5090</v>
      </c>
      <c r="H8104" s="9" t="s">
        <v>25726</v>
      </c>
      <c r="I8104" s="9" t="s">
        <v>14493</v>
      </c>
      <c r="J8104" s="9" t="s">
        <v>14494</v>
      </c>
      <c r="K8104" s="6" t="s">
        <v>15174</v>
      </c>
      <c r="L8104" s="13">
        <v>10119</v>
      </c>
      <c r="M8104" t="str">
        <f>VLOOKUP(L8104,[1]NonHumanPrimate!$B$2:$C$4000,2,FALSE)</f>
        <v>Lvl</v>
      </c>
    </row>
    <row r="8105" spans="2:13" x14ac:dyDescent="0.25">
      <c r="B8105" s="31" t="s">
        <v>26303</v>
      </c>
      <c r="C8105" s="25" t="s">
        <v>2559</v>
      </c>
      <c r="D8105" s="25" t="s">
        <v>26232</v>
      </c>
      <c r="E8105" s="25"/>
      <c r="F8105" s="9" t="str">
        <f t="shared" si="119"/>
        <v>structure with developmental contribution from neural crest</v>
      </c>
      <c r="G8105" s="9" t="s">
        <v>5090</v>
      </c>
      <c r="H8105" s="9" t="s">
        <v>25727</v>
      </c>
      <c r="I8105" s="9" t="s">
        <v>14495</v>
      </c>
      <c r="J8105" s="9" t="s">
        <v>14496</v>
      </c>
      <c r="K8105" s="6" t="s">
        <v>15174</v>
      </c>
      <c r="L8105" s="13">
        <v>10120</v>
      </c>
      <c r="M8105" t="str">
        <f>VLOOKUP(L8105,[1]NonHumanPrimate!$B$2:$C$4000,2,FALSE)</f>
        <v>Lvm</v>
      </c>
    </row>
    <row r="8106" spans="2:13" x14ac:dyDescent="0.25">
      <c r="B8106" s="31" t="s">
        <v>26303</v>
      </c>
      <c r="C8106" s="25" t="s">
        <v>920</v>
      </c>
      <c r="D8106" s="25" t="s">
        <v>26232</v>
      </c>
      <c r="E8106" s="25"/>
      <c r="F8106" s="9" t="str">
        <f t="shared" si="119"/>
        <v>structure with developmental contribution from neural crest</v>
      </c>
      <c r="G8106" s="9" t="s">
        <v>5090</v>
      </c>
      <c r="H8106" s="9" t="s">
        <v>25719</v>
      </c>
      <c r="I8106" s="9" t="s">
        <v>920</v>
      </c>
      <c r="J8106" s="9" t="s">
        <v>921</v>
      </c>
      <c r="K8106" s="6" t="s">
        <v>15174</v>
      </c>
      <c r="L8106" s="13">
        <v>10121</v>
      </c>
      <c r="M8106" t="str">
        <f>VLOOKUP(L8106,[1]NonHumanPrimate!$B$2:$C$4000,2,FALSE)</f>
        <v>CE</v>
      </c>
    </row>
    <row r="8107" spans="2:13" x14ac:dyDescent="0.25">
      <c r="B8107" s="31" t="s">
        <v>26303</v>
      </c>
      <c r="C8107" s="25" t="s">
        <v>920</v>
      </c>
      <c r="D8107" s="25" t="s">
        <v>26232</v>
      </c>
      <c r="E8107" s="25"/>
      <c r="F8107" s="9" t="str">
        <f t="shared" si="119"/>
        <v>structure with developmental contribution from neural crest</v>
      </c>
      <c r="G8107" s="9" t="s">
        <v>5090</v>
      </c>
      <c r="H8107" s="9" t="s">
        <v>23156</v>
      </c>
      <c r="I8107" s="9" t="s">
        <v>14497</v>
      </c>
      <c r="J8107" s="9" t="s">
        <v>14498</v>
      </c>
      <c r="K8107" s="6" t="s">
        <v>15174</v>
      </c>
      <c r="L8107" s="13">
        <v>10123</v>
      </c>
      <c r="M8107" t="str">
        <f>VLOOKUP(L8107,[1]NonHumanPrimate!$B$2:$C$4000,2,FALSE)</f>
        <v>CEl</v>
      </c>
    </row>
    <row r="8108" spans="2:13" x14ac:dyDescent="0.25">
      <c r="B8108" s="31" t="s">
        <v>26303</v>
      </c>
      <c r="C8108" s="25" t="s">
        <v>920</v>
      </c>
      <c r="D8108" s="25" t="s">
        <v>26232</v>
      </c>
      <c r="E8108" s="25"/>
      <c r="F8108" s="9" t="str">
        <f t="shared" si="119"/>
        <v>structure with developmental contribution from neural crest</v>
      </c>
      <c r="G8108" s="9" t="s">
        <v>5090</v>
      </c>
      <c r="H8108" s="9" t="s">
        <v>23153</v>
      </c>
      <c r="I8108" s="9" t="s">
        <v>14499</v>
      </c>
      <c r="J8108" s="9" t="s">
        <v>14500</v>
      </c>
      <c r="K8108" s="6" t="s">
        <v>15174</v>
      </c>
      <c r="L8108" s="13">
        <v>10124</v>
      </c>
      <c r="M8108" t="str">
        <f>VLOOKUP(L8108,[1]NonHumanPrimate!$B$2:$C$4000,2,FALSE)</f>
        <v>CEm</v>
      </c>
    </row>
    <row r="8109" spans="2:13" x14ac:dyDescent="0.25">
      <c r="B8109" s="31" t="s">
        <v>26303</v>
      </c>
      <c r="C8109" s="25" t="s">
        <v>26018</v>
      </c>
      <c r="D8109" s="25" t="s">
        <v>26232</v>
      </c>
      <c r="E8109" s="25"/>
      <c r="F8109" s="9" t="str">
        <f t="shared" si="119"/>
        <v>structure with developmental contribution from neural crest</v>
      </c>
      <c r="G8109" s="9" t="s">
        <v>5090</v>
      </c>
      <c r="H8109" s="9" t="s">
        <v>23169</v>
      </c>
      <c r="I8109" s="9" t="s">
        <v>3047</v>
      </c>
      <c r="J8109" s="9" t="s">
        <v>3048</v>
      </c>
      <c r="K8109" s="6" t="s">
        <v>15174</v>
      </c>
      <c r="L8109" s="13">
        <v>10125</v>
      </c>
      <c r="M8109" t="str">
        <f>VLOOKUP(L8109,[1]NonHumanPrimate!$B$2:$C$4000,2,FALSE)</f>
        <v>Me</v>
      </c>
    </row>
    <row r="8110" spans="2:13" x14ac:dyDescent="0.25">
      <c r="B8110" s="31" t="s">
        <v>26303</v>
      </c>
      <c r="C8110" s="20"/>
      <c r="D8110" s="25" t="s">
        <v>26232</v>
      </c>
      <c r="E8110" s="25" t="s">
        <v>26309</v>
      </c>
      <c r="F8110" s="9" t="str">
        <f t="shared" si="119"/>
        <v>structure with developmental contribution from neural crest</v>
      </c>
      <c r="G8110" s="9" t="s">
        <v>5090</v>
      </c>
      <c r="H8110" s="9" t="s">
        <v>19111</v>
      </c>
      <c r="I8110" s="9" t="s">
        <v>5352</v>
      </c>
      <c r="J8110" s="9" t="s">
        <v>14501</v>
      </c>
      <c r="K8110" s="6" t="s">
        <v>15174</v>
      </c>
      <c r="L8110" s="13">
        <v>10128</v>
      </c>
      <c r="M8110" t="str">
        <f>VLOOKUP(L8110,[1]NonHumanPrimate!$B$2:$C$4000,2,FALSE)</f>
        <v>PL</v>
      </c>
    </row>
    <row r="8111" spans="2:13" x14ac:dyDescent="0.25">
      <c r="B8111" s="31" t="s">
        <v>26303</v>
      </c>
      <c r="C8111" s="25" t="s">
        <v>2448</v>
      </c>
      <c r="D8111" s="25" t="s">
        <v>26232</v>
      </c>
      <c r="E8111" s="25"/>
      <c r="F8111" s="9" t="str">
        <f t="shared" si="119"/>
        <v>structure with developmental contribution from neural crest</v>
      </c>
      <c r="G8111" s="9" t="s">
        <v>5090</v>
      </c>
      <c r="H8111" s="9" t="s">
        <v>23206</v>
      </c>
      <c r="I8111" s="9" t="s">
        <v>2454</v>
      </c>
      <c r="J8111" s="9" t="s">
        <v>2455</v>
      </c>
      <c r="K8111" s="6" t="s">
        <v>15174</v>
      </c>
      <c r="L8111" s="13">
        <v>10132</v>
      </c>
      <c r="M8111" t="str">
        <f>VLOOKUP(L8111,[1]NonHumanPrimate!$B$2:$C$4000,2,FALSE)</f>
        <v>INA</v>
      </c>
    </row>
    <row r="8112" spans="2:13" x14ac:dyDescent="0.25">
      <c r="B8112" s="31" t="s">
        <v>26299</v>
      </c>
      <c r="C8112" s="25" t="s">
        <v>25883</v>
      </c>
      <c r="D8112" s="25" t="s">
        <v>26232</v>
      </c>
      <c r="E8112" s="25"/>
      <c r="F8112" s="9" t="str">
        <f t="shared" si="119"/>
        <v>structure with developmental contribution from neural crest</v>
      </c>
      <c r="G8112" s="9" t="s">
        <v>5090</v>
      </c>
      <c r="H8112" s="9" t="s">
        <v>25721</v>
      </c>
      <c r="I8112" s="9" t="s">
        <v>14502</v>
      </c>
      <c r="J8112" s="9" t="s">
        <v>14503</v>
      </c>
      <c r="K8112" s="6" t="s">
        <v>15174</v>
      </c>
      <c r="L8112" s="13">
        <v>10134</v>
      </c>
      <c r="M8112" t="str">
        <f>VLOOKUP(L8112,[1]NonHumanPrimate!$B$2:$C$4000,2,FALSE)</f>
        <v>rPAC</v>
      </c>
    </row>
    <row r="8113" spans="2:13" x14ac:dyDescent="0.25">
      <c r="B8113" s="31" t="s">
        <v>26303</v>
      </c>
      <c r="C8113" s="25" t="s">
        <v>237</v>
      </c>
      <c r="D8113" s="25" t="s">
        <v>26232</v>
      </c>
      <c r="E8113" s="25"/>
      <c r="F8113" s="9" t="str">
        <f t="shared" si="119"/>
        <v>structure with developmental contribution from neural crest</v>
      </c>
      <c r="G8113" s="9" t="s">
        <v>5090</v>
      </c>
      <c r="H8113" s="9" t="s">
        <v>20037</v>
      </c>
      <c r="I8113" s="9" t="s">
        <v>237</v>
      </c>
      <c r="J8113" s="9" t="s">
        <v>242</v>
      </c>
      <c r="K8113" s="6" t="s">
        <v>15174</v>
      </c>
      <c r="L8113" s="13">
        <v>10135</v>
      </c>
      <c r="M8113" t="str">
        <f>VLOOKUP(L8113,[1]NonHumanPrimate!$B$2:$C$4000,2,FALSE)</f>
        <v>AHA</v>
      </c>
    </row>
    <row r="8114" spans="2:13" x14ac:dyDescent="0.25">
      <c r="B8114" s="31" t="s">
        <v>26303</v>
      </c>
      <c r="C8114" s="20"/>
      <c r="D8114" s="25" t="s">
        <v>26232</v>
      </c>
      <c r="E8114" s="25" t="s">
        <v>26309</v>
      </c>
      <c r="F8114" s="9" t="str">
        <f t="shared" si="119"/>
        <v>structure with developmental contribution from neural crest</v>
      </c>
      <c r="G8114" s="9" t="s">
        <v>5090</v>
      </c>
      <c r="H8114" s="9" t="s">
        <v>23207</v>
      </c>
      <c r="I8114" s="9" t="s">
        <v>14504</v>
      </c>
      <c r="J8114" s="9" t="s">
        <v>14505</v>
      </c>
      <c r="K8114" s="6" t="s">
        <v>15174</v>
      </c>
      <c r="L8114" s="13">
        <v>10139</v>
      </c>
      <c r="M8114" t="str">
        <f>VLOOKUP(L8114,[1]NonHumanPrimate!$B$2:$C$4000,2,FALSE)</f>
        <v>IMG</v>
      </c>
    </row>
    <row r="8115" spans="2:13" x14ac:dyDescent="0.25">
      <c r="B8115" s="31" t="s">
        <v>26303</v>
      </c>
      <c r="C8115" s="20"/>
      <c r="D8115" s="25" t="s">
        <v>26185</v>
      </c>
      <c r="E8115" s="25" t="s">
        <v>26300</v>
      </c>
      <c r="F8115" s="9" t="str">
        <f t="shared" si="119"/>
        <v>structure with developmental contribution from neural crest</v>
      </c>
      <c r="G8115" s="9" t="s">
        <v>5090</v>
      </c>
      <c r="H8115" s="9" t="s">
        <v>23286</v>
      </c>
      <c r="I8115" s="9" t="s">
        <v>542</v>
      </c>
      <c r="J8115" s="9" t="s">
        <v>546</v>
      </c>
      <c r="K8115" s="6" t="s">
        <v>15174</v>
      </c>
      <c r="L8115" s="13">
        <v>10141</v>
      </c>
      <c r="M8115" t="str">
        <f>VLOOKUP(L8115,[1]NonHumanPrimate!$B$2:$C$4000,2,FALSE)</f>
        <v>BNM</v>
      </c>
    </row>
    <row r="8116" spans="2:13" x14ac:dyDescent="0.25">
      <c r="B8116" s="31" t="s">
        <v>26303</v>
      </c>
      <c r="C8116" s="25" t="s">
        <v>1180</v>
      </c>
      <c r="D8116" s="25" t="s">
        <v>26232</v>
      </c>
      <c r="E8116" s="25"/>
      <c r="F8116" s="9" t="str">
        <f t="shared" si="119"/>
        <v>structure with developmental contribution from neural crest</v>
      </c>
      <c r="G8116" s="9" t="s">
        <v>5090</v>
      </c>
      <c r="H8116" s="9" t="s">
        <v>22077</v>
      </c>
      <c r="I8116" s="9" t="s">
        <v>1180</v>
      </c>
      <c r="J8116" s="9" t="s">
        <v>1184</v>
      </c>
      <c r="K8116" s="6" t="s">
        <v>15174</v>
      </c>
      <c r="L8116" s="13">
        <v>128011354</v>
      </c>
      <c r="M8116" t="str">
        <f>VLOOKUP(L8116,[1]NonHumanPrimate!$B$2:$C$4000,2,FALSE)</f>
        <v>Cx</v>
      </c>
    </row>
    <row r="8117" spans="2:13" x14ac:dyDescent="0.25">
      <c r="B8117" s="31" t="s">
        <v>26303</v>
      </c>
      <c r="C8117" s="25" t="s">
        <v>1636</v>
      </c>
      <c r="D8117" s="25" t="s">
        <v>26232</v>
      </c>
      <c r="E8117" s="25" t="s">
        <v>26306</v>
      </c>
      <c r="F8117" s="9" t="str">
        <f t="shared" si="119"/>
        <v>structure with developmental contribution from neural crest</v>
      </c>
      <c r="G8117" s="9" t="s">
        <v>5090</v>
      </c>
      <c r="H8117" s="9" t="s">
        <v>25574</v>
      </c>
      <c r="I8117" s="9" t="s">
        <v>14506</v>
      </c>
      <c r="J8117" s="9" t="s">
        <v>14507</v>
      </c>
      <c r="K8117" s="6" t="s">
        <v>15174</v>
      </c>
      <c r="L8117" s="13">
        <v>128011368</v>
      </c>
      <c r="M8117" t="str">
        <f>VLOOKUP(L8117,[1]NonHumanPrimate!$B$2:$C$4000,2,FALSE)</f>
        <v>dlPFsg</v>
      </c>
    </row>
    <row r="8118" spans="2:13" x14ac:dyDescent="0.25">
      <c r="B8118" s="31" t="s">
        <v>26303</v>
      </c>
      <c r="C8118" s="25" t="s">
        <v>1636</v>
      </c>
      <c r="D8118" s="25" t="s">
        <v>26232</v>
      </c>
      <c r="E8118" s="25" t="s">
        <v>26306</v>
      </c>
      <c r="F8118" s="9" t="str">
        <f t="shared" si="119"/>
        <v>structure with developmental contribution from neural crest</v>
      </c>
      <c r="G8118" s="9" t="s">
        <v>5090</v>
      </c>
      <c r="H8118" s="9" t="s">
        <v>25577</v>
      </c>
      <c r="I8118" s="9" t="s">
        <v>14508</v>
      </c>
      <c r="J8118" s="9" t="s">
        <v>14509</v>
      </c>
      <c r="K8118" s="6" t="s">
        <v>15174</v>
      </c>
      <c r="L8118" s="13">
        <v>128011372</v>
      </c>
      <c r="M8118" t="str">
        <f>VLOOKUP(L8118,[1]NonHumanPrimate!$B$2:$C$4000,2,FALSE)</f>
        <v>dlPFmz</v>
      </c>
    </row>
    <row r="8119" spans="2:13" x14ac:dyDescent="0.25">
      <c r="B8119" s="31" t="s">
        <v>26303</v>
      </c>
      <c r="C8119" s="25" t="s">
        <v>1636</v>
      </c>
      <c r="D8119" s="25" t="s">
        <v>26232</v>
      </c>
      <c r="E8119" s="25" t="s">
        <v>26306</v>
      </c>
      <c r="F8119" s="9" t="str">
        <f t="shared" ref="F8119:F8182" si="120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8119" s="9" t="s">
        <v>5090</v>
      </c>
      <c r="H8119" s="9" t="s">
        <v>25626</v>
      </c>
      <c r="I8119" s="9" t="s">
        <v>14510</v>
      </c>
      <c r="J8119" s="9" t="s">
        <v>14511</v>
      </c>
      <c r="K8119" s="6" t="s">
        <v>15174</v>
      </c>
      <c r="L8119" s="13">
        <v>128011378</v>
      </c>
      <c r="M8119" t="str">
        <f>VLOOKUP(L8119,[1]NonHumanPrimate!$B$2:$C$4000,2,FALSE)</f>
        <v>dlPFcp</v>
      </c>
    </row>
    <row r="8120" spans="2:13" x14ac:dyDescent="0.25">
      <c r="B8120" s="31" t="s">
        <v>26299</v>
      </c>
      <c r="C8120" s="25" t="s">
        <v>25861</v>
      </c>
      <c r="D8120" s="25" t="s">
        <v>26232</v>
      </c>
      <c r="E8120" s="25" t="s">
        <v>26306</v>
      </c>
      <c r="F8120" s="9" t="str">
        <f t="shared" si="120"/>
        <v>structure with developmental contribution from neural crest</v>
      </c>
      <c r="G8120" s="9" t="s">
        <v>5090</v>
      </c>
      <c r="H8120" s="9" t="s">
        <v>25576</v>
      </c>
      <c r="I8120" s="9" t="s">
        <v>14512</v>
      </c>
      <c r="J8120" s="9" t="s">
        <v>14513</v>
      </c>
      <c r="K8120" s="6" t="s">
        <v>15174</v>
      </c>
      <c r="L8120" s="13">
        <v>128011614</v>
      </c>
      <c r="M8120" t="str">
        <f>VLOOKUP(L8120,[1]NonHumanPrimate!$B$2:$C$4000,2,FALSE)</f>
        <v>rCGmz</v>
      </c>
    </row>
    <row r="8121" spans="2:13" x14ac:dyDescent="0.25">
      <c r="B8121" s="31" t="s">
        <v>26299</v>
      </c>
      <c r="C8121" s="25" t="s">
        <v>1242</v>
      </c>
      <c r="D8121" s="25" t="s">
        <v>26232</v>
      </c>
      <c r="E8121" s="25" t="s">
        <v>26306</v>
      </c>
      <c r="F8121" s="9" t="str">
        <f t="shared" si="120"/>
        <v>structure with developmental contribution from neural crest</v>
      </c>
      <c r="G8121" s="9" t="s">
        <v>5090</v>
      </c>
      <c r="H8121" s="9" t="s">
        <v>25599</v>
      </c>
      <c r="I8121" s="9" t="s">
        <v>14514</v>
      </c>
      <c r="J8121" s="9" t="s">
        <v>14515</v>
      </c>
      <c r="K8121" s="6" t="s">
        <v>15174</v>
      </c>
      <c r="L8121" s="13">
        <v>128011624</v>
      </c>
      <c r="M8121" t="str">
        <f>VLOOKUP(L8121,[1]NonHumanPrimate!$B$2:$C$4000,2,FALSE)</f>
        <v>rCGcpo</v>
      </c>
    </row>
    <row r="8122" spans="2:13" x14ac:dyDescent="0.25">
      <c r="B8122" s="31" t="s">
        <v>26299</v>
      </c>
      <c r="C8122" s="25" t="s">
        <v>1242</v>
      </c>
      <c r="D8122" s="25" t="s">
        <v>26232</v>
      </c>
      <c r="E8122" s="25" t="s">
        <v>26306</v>
      </c>
      <c r="F8122" s="9" t="str">
        <f t="shared" si="120"/>
        <v>structure with developmental contribution from neural crest</v>
      </c>
      <c r="G8122" s="9" t="s">
        <v>5090</v>
      </c>
      <c r="H8122" s="9" t="s">
        <v>25625</v>
      </c>
      <c r="I8122" s="9" t="s">
        <v>14516</v>
      </c>
      <c r="J8122" s="9" t="s">
        <v>14517</v>
      </c>
      <c r="K8122" s="6" t="s">
        <v>15174</v>
      </c>
      <c r="L8122" s="13">
        <v>128011638</v>
      </c>
      <c r="M8122" t="str">
        <f>VLOOKUP(L8122,[1]NonHumanPrimate!$B$2:$C$4000,2,FALSE)</f>
        <v>rCGcpi</v>
      </c>
    </row>
    <row r="8123" spans="2:13" x14ac:dyDescent="0.25">
      <c r="B8123" s="31" t="s">
        <v>26299</v>
      </c>
      <c r="C8123" s="25" t="s">
        <v>1242</v>
      </c>
      <c r="D8123" s="25" t="s">
        <v>26232</v>
      </c>
      <c r="E8123" s="25" t="s">
        <v>26306</v>
      </c>
      <c r="F8123" s="9" t="str">
        <f t="shared" si="120"/>
        <v>structure with developmental contribution from neural crest</v>
      </c>
      <c r="G8123" s="9" t="s">
        <v>5090</v>
      </c>
      <c r="H8123" s="9" t="s">
        <v>25629</v>
      </c>
      <c r="I8123" s="9" t="s">
        <v>14518</v>
      </c>
      <c r="J8123" s="9" t="s">
        <v>14519</v>
      </c>
      <c r="K8123" s="6" t="s">
        <v>15174</v>
      </c>
      <c r="L8123" s="13">
        <v>128011646</v>
      </c>
      <c r="M8123" t="str">
        <f>VLOOKUP(L8123,[1]NonHumanPrimate!$B$2:$C$4000,2,FALSE)</f>
        <v>rCGsp</v>
      </c>
    </row>
    <row r="8124" spans="2:13" x14ac:dyDescent="0.25">
      <c r="B8124" s="31" t="s">
        <v>26299</v>
      </c>
      <c r="C8124" s="25" t="s">
        <v>1242</v>
      </c>
      <c r="D8124" s="25" t="s">
        <v>26232</v>
      </c>
      <c r="E8124" s="25" t="s">
        <v>26306</v>
      </c>
      <c r="F8124" s="9" t="str">
        <f t="shared" si="120"/>
        <v>structure with developmental contribution from neural crest</v>
      </c>
      <c r="G8124" s="9" t="s">
        <v>5090</v>
      </c>
      <c r="H8124" s="9" t="s">
        <v>25642</v>
      </c>
      <c r="I8124" s="9" t="s">
        <v>14520</v>
      </c>
      <c r="J8124" s="9" t="s">
        <v>14521</v>
      </c>
      <c r="K8124" s="6" t="s">
        <v>15174</v>
      </c>
      <c r="L8124" s="13">
        <v>128011654</v>
      </c>
      <c r="M8124" t="str">
        <f>VLOOKUP(L8124,[1]NonHumanPrimate!$B$2:$C$4000,2,FALSE)</f>
        <v>rCGsz</v>
      </c>
    </row>
    <row r="8125" spans="2:13" x14ac:dyDescent="0.25">
      <c r="B8125" s="31" t="s">
        <v>26299</v>
      </c>
      <c r="C8125" s="25" t="s">
        <v>1242</v>
      </c>
      <c r="D8125" s="25" t="s">
        <v>26232</v>
      </c>
      <c r="E8125" s="25" t="s">
        <v>26306</v>
      </c>
      <c r="F8125" s="9" t="str">
        <f t="shared" si="120"/>
        <v>structure with developmental contribution from neural crest</v>
      </c>
      <c r="G8125" s="9" t="s">
        <v>5090</v>
      </c>
      <c r="H8125" s="9" t="s">
        <v>25646</v>
      </c>
      <c r="I8125" s="9" t="s">
        <v>14522</v>
      </c>
      <c r="J8125" s="9" t="s">
        <v>14523</v>
      </c>
      <c r="K8125" s="6" t="s">
        <v>15174</v>
      </c>
      <c r="L8125" s="13">
        <v>128011658</v>
      </c>
      <c r="M8125" t="str">
        <f>VLOOKUP(L8125,[1]NonHumanPrimate!$B$2:$C$4000,2,FALSE)</f>
        <v>rCGszo</v>
      </c>
    </row>
    <row r="8126" spans="2:13" x14ac:dyDescent="0.25">
      <c r="B8126" s="31" t="s">
        <v>26299</v>
      </c>
      <c r="C8126" s="25" t="s">
        <v>1242</v>
      </c>
      <c r="D8126" s="25" t="s">
        <v>26232</v>
      </c>
      <c r="E8126" s="25" t="s">
        <v>26306</v>
      </c>
      <c r="F8126" s="9" t="str">
        <f t="shared" si="120"/>
        <v>structure with developmental contribution from neural crest</v>
      </c>
      <c r="G8126" s="9" t="s">
        <v>5090</v>
      </c>
      <c r="H8126" s="9" t="s">
        <v>25654</v>
      </c>
      <c r="I8126" s="9" t="s">
        <v>14524</v>
      </c>
      <c r="J8126" s="9" t="s">
        <v>14525</v>
      </c>
      <c r="K8126" s="6" t="s">
        <v>15174</v>
      </c>
      <c r="L8126" s="13">
        <v>128011662</v>
      </c>
      <c r="M8126" t="str">
        <f>VLOOKUP(L8126,[1]NonHumanPrimate!$B$2:$C$4000,2,FALSE)</f>
        <v>rCGszi</v>
      </c>
    </row>
    <row r="8127" spans="2:13" x14ac:dyDescent="0.25">
      <c r="B8127" s="31" t="s">
        <v>26299</v>
      </c>
      <c r="C8127" s="25" t="s">
        <v>1242</v>
      </c>
      <c r="D8127" s="25" t="s">
        <v>26232</v>
      </c>
      <c r="E8127" s="25" t="s">
        <v>26306</v>
      </c>
      <c r="F8127" s="9" t="str">
        <f t="shared" si="120"/>
        <v>structure with developmental contribution from neural crest</v>
      </c>
      <c r="G8127" s="9" t="s">
        <v>5090</v>
      </c>
      <c r="H8127" s="9" t="s">
        <v>25665</v>
      </c>
      <c r="I8127" s="9" t="s">
        <v>14526</v>
      </c>
      <c r="J8127" s="9" t="s">
        <v>14527</v>
      </c>
      <c r="K8127" s="6" t="s">
        <v>15174</v>
      </c>
      <c r="L8127" s="13">
        <v>128011666</v>
      </c>
      <c r="M8127" t="str">
        <f>VLOOKUP(L8127,[1]NonHumanPrimate!$B$2:$C$4000,2,FALSE)</f>
        <v>rCGvz</v>
      </c>
    </row>
    <row r="8128" spans="2:13" x14ac:dyDescent="0.25">
      <c r="B8128" s="31" t="s">
        <v>26299</v>
      </c>
      <c r="C8128" s="25" t="s">
        <v>1242</v>
      </c>
      <c r="D8128" s="25" t="s">
        <v>26232</v>
      </c>
      <c r="E8128" s="25" t="s">
        <v>26306</v>
      </c>
      <c r="F8128" s="9" t="str">
        <f t="shared" si="120"/>
        <v>structure with developmental contribution from neural crest</v>
      </c>
      <c r="G8128" s="9" t="s">
        <v>5090</v>
      </c>
      <c r="H8128" s="9" t="s">
        <v>25658</v>
      </c>
      <c r="I8128" s="9" t="s">
        <v>14528</v>
      </c>
      <c r="J8128" s="9" t="s">
        <v>14529</v>
      </c>
      <c r="K8128" s="6" t="s">
        <v>15174</v>
      </c>
      <c r="L8128" s="13">
        <v>128011670</v>
      </c>
      <c r="M8128" t="str">
        <f>VLOOKUP(L8128,[1]NonHumanPrimate!$B$2:$C$4000,2,FALSE)</f>
        <v>rCGvzo</v>
      </c>
    </row>
    <row r="8129" spans="2:13" x14ac:dyDescent="0.25">
      <c r="B8129" s="31" t="s">
        <v>26299</v>
      </c>
      <c r="C8129" s="25" t="s">
        <v>1242</v>
      </c>
      <c r="D8129" s="25" t="s">
        <v>26232</v>
      </c>
      <c r="E8129" s="25" t="s">
        <v>26306</v>
      </c>
      <c r="F8129" s="9" t="str">
        <f t="shared" si="120"/>
        <v>structure with developmental contribution from neural crest</v>
      </c>
      <c r="G8129" s="9" t="s">
        <v>5090</v>
      </c>
      <c r="H8129" s="9" t="s">
        <v>25662</v>
      </c>
      <c r="I8129" s="9" t="s">
        <v>14530</v>
      </c>
      <c r="J8129" s="9" t="s">
        <v>14531</v>
      </c>
      <c r="K8129" s="6" t="s">
        <v>15174</v>
      </c>
      <c r="L8129" s="13">
        <v>128011674</v>
      </c>
      <c r="M8129" t="str">
        <f>VLOOKUP(L8129,[1]NonHumanPrimate!$B$2:$C$4000,2,FALSE)</f>
        <v>rCGvzi</v>
      </c>
    </row>
    <row r="8130" spans="2:13" x14ac:dyDescent="0.25">
      <c r="B8130" s="31" t="s">
        <v>26303</v>
      </c>
      <c r="C8130" s="25" t="s">
        <v>26173</v>
      </c>
      <c r="D8130" s="25" t="s">
        <v>26232</v>
      </c>
      <c r="E8130" s="25" t="s">
        <v>26306</v>
      </c>
      <c r="F8130" s="9" t="str">
        <f t="shared" si="120"/>
        <v>structure with developmental contribution from neural crest</v>
      </c>
      <c r="G8130" s="9" t="s">
        <v>5090</v>
      </c>
      <c r="H8130" s="9" t="s">
        <v>25578</v>
      </c>
      <c r="I8130" s="9" t="s">
        <v>14532</v>
      </c>
      <c r="J8130" s="9" t="s">
        <v>14533</v>
      </c>
      <c r="K8130" s="6" t="s">
        <v>15174</v>
      </c>
      <c r="L8130" s="13">
        <v>128011776</v>
      </c>
      <c r="M8130" t="str">
        <f>VLOOKUP(L8130,[1]NonHumanPrimate!$B$2:$C$4000,2,FALSE)</f>
        <v>S1mz</v>
      </c>
    </row>
    <row r="8131" spans="2:13" x14ac:dyDescent="0.25">
      <c r="B8131" s="31" t="s">
        <v>26303</v>
      </c>
      <c r="C8131" s="25" t="s">
        <v>26173</v>
      </c>
      <c r="D8131" s="25" t="s">
        <v>26232</v>
      </c>
      <c r="E8131" s="25" t="s">
        <v>26306</v>
      </c>
      <c r="F8131" s="9" t="str">
        <f t="shared" si="120"/>
        <v>structure with developmental contribution from neural crest</v>
      </c>
      <c r="G8131" s="9" t="s">
        <v>5090</v>
      </c>
      <c r="H8131" s="9" t="s">
        <v>25600</v>
      </c>
      <c r="I8131" s="9" t="s">
        <v>14534</v>
      </c>
      <c r="J8131" s="9" t="s">
        <v>14535</v>
      </c>
      <c r="K8131" s="6" t="s">
        <v>15174</v>
      </c>
      <c r="L8131" s="13">
        <v>128011788</v>
      </c>
      <c r="M8131" t="str">
        <f>VLOOKUP(L8131,[1]NonHumanPrimate!$B$2:$C$4000,2,FALSE)</f>
        <v>S1cpo</v>
      </c>
    </row>
    <row r="8132" spans="2:13" x14ac:dyDescent="0.25">
      <c r="B8132" s="31" t="s">
        <v>26303</v>
      </c>
      <c r="C8132" s="25" t="s">
        <v>26173</v>
      </c>
      <c r="D8132" s="25" t="s">
        <v>26232</v>
      </c>
      <c r="E8132" s="25" t="s">
        <v>26306</v>
      </c>
      <c r="F8132" s="9" t="str">
        <f t="shared" si="120"/>
        <v>structure with developmental contribution from neural crest</v>
      </c>
      <c r="G8132" s="9" t="s">
        <v>5090</v>
      </c>
      <c r="H8132" s="9" t="s">
        <v>25589</v>
      </c>
      <c r="I8132" s="9" t="s">
        <v>14536</v>
      </c>
      <c r="J8132" s="9" t="s">
        <v>14537</v>
      </c>
      <c r="K8132" s="6" t="s">
        <v>15174</v>
      </c>
      <c r="L8132" s="13">
        <v>128011796</v>
      </c>
      <c r="M8132" t="str">
        <f>VLOOKUP(L8132,[1]NonHumanPrimate!$B$2:$C$4000,2,FALSE)</f>
        <v>S1-2</v>
      </c>
    </row>
    <row r="8133" spans="2:13" x14ac:dyDescent="0.25">
      <c r="B8133" s="31" t="s">
        <v>26303</v>
      </c>
      <c r="C8133" s="25" t="s">
        <v>26173</v>
      </c>
      <c r="D8133" s="25" t="s">
        <v>26232</v>
      </c>
      <c r="E8133" s="25" t="s">
        <v>26306</v>
      </c>
      <c r="F8133" s="9" t="str">
        <f t="shared" si="120"/>
        <v>structure with developmental contribution from neural crest</v>
      </c>
      <c r="G8133" s="9" t="s">
        <v>5090</v>
      </c>
      <c r="H8133" s="9" t="s">
        <v>25597</v>
      </c>
      <c r="I8133" s="9" t="s">
        <v>14538</v>
      </c>
      <c r="J8133" s="9" t="s">
        <v>14539</v>
      </c>
      <c r="K8133" s="6" t="s">
        <v>15174</v>
      </c>
      <c r="L8133" s="13">
        <v>128011800</v>
      </c>
      <c r="M8133" t="str">
        <f>VLOOKUP(L8133,[1]NonHumanPrimate!$B$2:$C$4000,2,FALSE)</f>
        <v>S1-3</v>
      </c>
    </row>
    <row r="8134" spans="2:13" x14ac:dyDescent="0.25">
      <c r="B8134" s="31" t="s">
        <v>26303</v>
      </c>
      <c r="C8134" s="25" t="s">
        <v>26173</v>
      </c>
      <c r="D8134" s="25" t="s">
        <v>26232</v>
      </c>
      <c r="E8134" s="25" t="s">
        <v>26306</v>
      </c>
      <c r="F8134" s="9" t="str">
        <f t="shared" si="120"/>
        <v>structure with developmental contribution from neural crest</v>
      </c>
      <c r="G8134" s="9" t="s">
        <v>5090</v>
      </c>
      <c r="H8134" s="9" t="s">
        <v>25607</v>
      </c>
      <c r="I8134" s="9" t="s">
        <v>14540</v>
      </c>
      <c r="J8134" s="9" t="s">
        <v>14541</v>
      </c>
      <c r="K8134" s="6" t="s">
        <v>15174</v>
      </c>
      <c r="L8134" s="13">
        <v>128011804</v>
      </c>
      <c r="M8134" t="str">
        <f>VLOOKUP(L8134,[1]NonHumanPrimate!$B$2:$C$4000,2,FALSE)</f>
        <v>S1-4</v>
      </c>
    </row>
    <row r="8135" spans="2:13" x14ac:dyDescent="0.25">
      <c r="B8135" s="31" t="s">
        <v>26303</v>
      </c>
      <c r="C8135" s="25" t="s">
        <v>26173</v>
      </c>
      <c r="D8135" s="25" t="s">
        <v>26232</v>
      </c>
      <c r="E8135" s="25" t="s">
        <v>26306</v>
      </c>
      <c r="F8135" s="9" t="str">
        <f t="shared" si="120"/>
        <v>structure with developmental contribution from neural crest</v>
      </c>
      <c r="G8135" s="9" t="s">
        <v>5090</v>
      </c>
      <c r="H8135" s="9" t="s">
        <v>25627</v>
      </c>
      <c r="I8135" s="9" t="s">
        <v>14542</v>
      </c>
      <c r="J8135" s="9" t="s">
        <v>14543</v>
      </c>
      <c r="K8135" s="6" t="s">
        <v>15174</v>
      </c>
      <c r="L8135" s="13">
        <v>128011808</v>
      </c>
      <c r="M8135" t="str">
        <f>VLOOKUP(L8135,[1]NonHumanPrimate!$B$2:$C$4000,2,FALSE)</f>
        <v>S1-cpi</v>
      </c>
    </row>
    <row r="8136" spans="2:13" x14ac:dyDescent="0.25">
      <c r="B8136" s="31" t="s">
        <v>26303</v>
      </c>
      <c r="C8136" s="25" t="s">
        <v>26173</v>
      </c>
      <c r="D8136" s="25" t="s">
        <v>26232</v>
      </c>
      <c r="E8136" s="25" t="s">
        <v>26306</v>
      </c>
      <c r="F8136" s="9" t="str">
        <f t="shared" si="120"/>
        <v>structure with developmental contribution from neural crest</v>
      </c>
      <c r="G8136" s="9" t="s">
        <v>5090</v>
      </c>
      <c r="H8136" s="9" t="s">
        <v>25615</v>
      </c>
      <c r="I8136" s="9" t="s">
        <v>14544</v>
      </c>
      <c r="J8136" s="9" t="s">
        <v>14545</v>
      </c>
      <c r="K8136" s="6" t="s">
        <v>15174</v>
      </c>
      <c r="L8136" s="13">
        <v>128011812</v>
      </c>
      <c r="M8136" t="str">
        <f>VLOOKUP(L8136,[1]NonHumanPrimate!$B$2:$C$4000,2,FALSE)</f>
        <v>S1-5</v>
      </c>
    </row>
    <row r="8137" spans="2:13" x14ac:dyDescent="0.25">
      <c r="B8137" s="31" t="s">
        <v>26303</v>
      </c>
      <c r="C8137" s="25" t="s">
        <v>26173</v>
      </c>
      <c r="D8137" s="25" t="s">
        <v>26232</v>
      </c>
      <c r="E8137" s="25" t="s">
        <v>26306</v>
      </c>
      <c r="F8137" s="9" t="str">
        <f t="shared" si="120"/>
        <v>structure with developmental contribution from neural crest</v>
      </c>
      <c r="G8137" s="9" t="s">
        <v>5090</v>
      </c>
      <c r="H8137" s="9" t="s">
        <v>25622</v>
      </c>
      <c r="I8137" s="9" t="s">
        <v>14546</v>
      </c>
      <c r="J8137" s="9" t="s">
        <v>14547</v>
      </c>
      <c r="K8137" s="6" t="s">
        <v>15174</v>
      </c>
      <c r="L8137" s="13">
        <v>128011816</v>
      </c>
      <c r="M8137" t="str">
        <f>VLOOKUP(L8137,[1]NonHumanPrimate!$B$2:$C$4000,2,FALSE)</f>
        <v>S1-6</v>
      </c>
    </row>
    <row r="8138" spans="2:13" x14ac:dyDescent="0.25">
      <c r="B8138" s="31" t="s">
        <v>26303</v>
      </c>
      <c r="C8138" s="25" t="s">
        <v>26173</v>
      </c>
      <c r="D8138" s="25" t="s">
        <v>26232</v>
      </c>
      <c r="E8138" s="25" t="s">
        <v>26306</v>
      </c>
      <c r="F8138" s="9" t="str">
        <f t="shared" si="120"/>
        <v>structure with developmental contribution from neural crest</v>
      </c>
      <c r="G8138" s="9" t="s">
        <v>5090</v>
      </c>
      <c r="H8138" s="9" t="s">
        <v>25630</v>
      </c>
      <c r="I8138" s="9" t="s">
        <v>14548</v>
      </c>
      <c r="J8138" s="9" t="s">
        <v>14549</v>
      </c>
      <c r="K8138" s="6" t="s">
        <v>15174</v>
      </c>
      <c r="L8138" s="13">
        <v>128011820</v>
      </c>
      <c r="M8138" t="str">
        <f>VLOOKUP(L8138,[1]NonHumanPrimate!$B$2:$C$4000,2,FALSE)</f>
        <v>S1sp</v>
      </c>
    </row>
    <row r="8139" spans="2:13" x14ac:dyDescent="0.25">
      <c r="B8139" s="31" t="s">
        <v>26303</v>
      </c>
      <c r="C8139" s="25" t="s">
        <v>26173</v>
      </c>
      <c r="D8139" s="25" t="s">
        <v>26232</v>
      </c>
      <c r="E8139" s="25" t="s">
        <v>26306</v>
      </c>
      <c r="F8139" s="9" t="str">
        <f t="shared" si="120"/>
        <v>structure with developmental contribution from neural crest</v>
      </c>
      <c r="G8139" s="9" t="s">
        <v>5090</v>
      </c>
      <c r="H8139" s="9" t="s">
        <v>25643</v>
      </c>
      <c r="I8139" s="9" t="s">
        <v>14550</v>
      </c>
      <c r="J8139" s="9" t="s">
        <v>14551</v>
      </c>
      <c r="K8139" s="6" t="s">
        <v>15174</v>
      </c>
      <c r="L8139" s="13">
        <v>128011828</v>
      </c>
      <c r="M8139" t="str">
        <f>VLOOKUP(L8139,[1]NonHumanPrimate!$B$2:$C$4000,2,FALSE)</f>
        <v>S1sz</v>
      </c>
    </row>
    <row r="8140" spans="2:13" x14ac:dyDescent="0.25">
      <c r="B8140" s="31" t="s">
        <v>26303</v>
      </c>
      <c r="C8140" s="25" t="s">
        <v>26173</v>
      </c>
      <c r="D8140" s="25" t="s">
        <v>26232</v>
      </c>
      <c r="E8140" s="25" t="s">
        <v>26306</v>
      </c>
      <c r="F8140" s="9" t="str">
        <f t="shared" si="120"/>
        <v>structure with developmental contribution from neural crest</v>
      </c>
      <c r="G8140" s="9" t="s">
        <v>5090</v>
      </c>
      <c r="H8140" s="9" t="s">
        <v>25647</v>
      </c>
      <c r="I8140" s="9" t="s">
        <v>14552</v>
      </c>
      <c r="J8140" s="9" t="s">
        <v>14553</v>
      </c>
      <c r="K8140" s="6" t="s">
        <v>15174</v>
      </c>
      <c r="L8140" s="13">
        <v>128011832</v>
      </c>
      <c r="M8140" t="str">
        <f>VLOOKUP(L8140,[1]NonHumanPrimate!$B$2:$C$4000,2,FALSE)</f>
        <v>S1szo</v>
      </c>
    </row>
    <row r="8141" spans="2:13" x14ac:dyDescent="0.25">
      <c r="B8141" s="31" t="s">
        <v>26303</v>
      </c>
      <c r="C8141" s="25" t="s">
        <v>26173</v>
      </c>
      <c r="D8141" s="25" t="s">
        <v>26232</v>
      </c>
      <c r="E8141" s="25" t="s">
        <v>26306</v>
      </c>
      <c r="F8141" s="9" t="str">
        <f t="shared" si="120"/>
        <v>structure with developmental contribution from neural crest</v>
      </c>
      <c r="G8141" s="9" t="s">
        <v>5090</v>
      </c>
      <c r="H8141" s="9" t="s">
        <v>25655</v>
      </c>
      <c r="I8141" s="9" t="s">
        <v>14554</v>
      </c>
      <c r="J8141" s="9" t="s">
        <v>14555</v>
      </c>
      <c r="K8141" s="6" t="s">
        <v>15174</v>
      </c>
      <c r="L8141" s="13">
        <v>128011836</v>
      </c>
      <c r="M8141" t="str">
        <f>VLOOKUP(L8141,[1]NonHumanPrimate!$B$2:$C$4000,2,FALSE)</f>
        <v>S1szi</v>
      </c>
    </row>
    <row r="8142" spans="2:13" x14ac:dyDescent="0.25">
      <c r="B8142" s="31" t="s">
        <v>26303</v>
      </c>
      <c r="C8142" s="25" t="s">
        <v>26173</v>
      </c>
      <c r="D8142" s="25" t="s">
        <v>26232</v>
      </c>
      <c r="E8142" s="25" t="s">
        <v>26306</v>
      </c>
      <c r="F8142" s="9" t="str">
        <f t="shared" si="120"/>
        <v>structure with developmental contribution from neural crest</v>
      </c>
      <c r="G8142" s="9" t="s">
        <v>5090</v>
      </c>
      <c r="H8142" s="9" t="s">
        <v>25666</v>
      </c>
      <c r="I8142" s="9" t="s">
        <v>14556</v>
      </c>
      <c r="J8142" s="9" t="s">
        <v>14557</v>
      </c>
      <c r="K8142" s="6" t="s">
        <v>15174</v>
      </c>
      <c r="L8142" s="13">
        <v>128011840</v>
      </c>
      <c r="M8142" t="str">
        <f>VLOOKUP(L8142,[1]NonHumanPrimate!$B$2:$C$4000,2,FALSE)</f>
        <v>S1vz</v>
      </c>
    </row>
    <row r="8143" spans="2:13" x14ac:dyDescent="0.25">
      <c r="B8143" s="31" t="s">
        <v>26303</v>
      </c>
      <c r="C8143" s="25" t="s">
        <v>26173</v>
      </c>
      <c r="D8143" s="25" t="s">
        <v>26232</v>
      </c>
      <c r="E8143" s="25" t="s">
        <v>26306</v>
      </c>
      <c r="F8143" s="9" t="str">
        <f t="shared" si="120"/>
        <v>structure with developmental contribution from neural crest</v>
      </c>
      <c r="G8143" s="9" t="s">
        <v>5090</v>
      </c>
      <c r="H8143" s="9" t="s">
        <v>25659</v>
      </c>
      <c r="I8143" s="9" t="s">
        <v>14558</v>
      </c>
      <c r="J8143" s="9" t="s">
        <v>14559</v>
      </c>
      <c r="K8143" s="6" t="s">
        <v>15174</v>
      </c>
      <c r="L8143" s="13">
        <v>128011844</v>
      </c>
      <c r="M8143" t="str">
        <f>VLOOKUP(L8143,[1]NonHumanPrimate!$B$2:$C$4000,2,FALSE)</f>
        <v>S1vzo</v>
      </c>
    </row>
    <row r="8144" spans="2:13" x14ac:dyDescent="0.25">
      <c r="B8144" s="31" t="s">
        <v>26303</v>
      </c>
      <c r="C8144" s="25" t="s">
        <v>26173</v>
      </c>
      <c r="D8144" s="25" t="s">
        <v>26232</v>
      </c>
      <c r="E8144" s="25" t="s">
        <v>26306</v>
      </c>
      <c r="F8144" s="9" t="str">
        <f t="shared" si="120"/>
        <v>structure with developmental contribution from neural crest</v>
      </c>
      <c r="G8144" s="9" t="s">
        <v>5090</v>
      </c>
      <c r="H8144" s="9" t="s">
        <v>25663</v>
      </c>
      <c r="I8144" s="9" t="s">
        <v>14560</v>
      </c>
      <c r="J8144" s="9" t="s">
        <v>14561</v>
      </c>
      <c r="K8144" s="6" t="s">
        <v>15174</v>
      </c>
      <c r="L8144" s="13">
        <v>128011848</v>
      </c>
      <c r="M8144" t="str">
        <f>VLOOKUP(L8144,[1]NonHumanPrimate!$B$2:$C$4000,2,FALSE)</f>
        <v>S1vzi</v>
      </c>
    </row>
    <row r="8145" spans="2:13" x14ac:dyDescent="0.25">
      <c r="B8145" s="31" t="s">
        <v>26303</v>
      </c>
      <c r="C8145" s="25" t="s">
        <v>25987</v>
      </c>
      <c r="D8145" s="25" t="s">
        <v>26232</v>
      </c>
      <c r="E8145" s="25" t="s">
        <v>26306</v>
      </c>
      <c r="F8145" s="9" t="str">
        <f t="shared" si="120"/>
        <v>structure with developmental contribution from neural crest</v>
      </c>
      <c r="G8145" s="9" t="s">
        <v>5090</v>
      </c>
      <c r="H8145" s="9" t="s">
        <v>25712</v>
      </c>
      <c r="I8145" s="9" t="s">
        <v>14562</v>
      </c>
      <c r="J8145" s="9" t="s">
        <v>14563</v>
      </c>
      <c r="K8145" s="6" t="s">
        <v>15174</v>
      </c>
      <c r="L8145" s="13">
        <v>128011900</v>
      </c>
      <c r="M8145" t="str">
        <f>VLOOKUP(L8145,[1]NonHumanPrimate!$B$2:$C$4000,2,FALSE)</f>
        <v>LEC2</v>
      </c>
    </row>
    <row r="8146" spans="2:13" x14ac:dyDescent="0.25">
      <c r="B8146" s="31" t="s">
        <v>26303</v>
      </c>
      <c r="C8146" s="25" t="s">
        <v>26020</v>
      </c>
      <c r="D8146" s="25" t="s">
        <v>26232</v>
      </c>
      <c r="E8146" s="25" t="s">
        <v>26306</v>
      </c>
      <c r="F8146" s="9" t="str">
        <f t="shared" si="120"/>
        <v>structure with developmental contribution from neural crest</v>
      </c>
      <c r="G8146" s="9" t="s">
        <v>5090</v>
      </c>
      <c r="H8146" s="9" t="s">
        <v>25713</v>
      </c>
      <c r="I8146" s="9" t="s">
        <v>14564</v>
      </c>
      <c r="J8146" s="9" t="s">
        <v>14565</v>
      </c>
      <c r="K8146" s="6" t="s">
        <v>15174</v>
      </c>
      <c r="L8146" s="13">
        <v>128011960</v>
      </c>
      <c r="M8146" t="str">
        <f>VLOOKUP(L8146,[1]NonHumanPrimate!$B$2:$C$4000,2,FALSE)</f>
        <v>MEC2</v>
      </c>
    </row>
    <row r="8147" spans="2:13" x14ac:dyDescent="0.25">
      <c r="B8147" s="31" t="s">
        <v>26299</v>
      </c>
      <c r="C8147" s="25" t="s">
        <v>3815</v>
      </c>
      <c r="D8147" s="25" t="s">
        <v>26232</v>
      </c>
      <c r="E8147" s="25"/>
      <c r="F8147" s="9" t="str">
        <f t="shared" si="120"/>
        <v>structure with developmental contribution from neural crest</v>
      </c>
      <c r="G8147" s="9" t="s">
        <v>5090</v>
      </c>
      <c r="H8147" s="9" t="s">
        <v>25715</v>
      </c>
      <c r="I8147" s="9" t="s">
        <v>14566</v>
      </c>
      <c r="J8147" s="9" t="s">
        <v>14567</v>
      </c>
      <c r="K8147" s="6" t="s">
        <v>15174</v>
      </c>
      <c r="L8147" s="13">
        <v>128012084</v>
      </c>
      <c r="M8147" t="str">
        <f>VLOOKUP(L8147,[1]NonHumanPrimate!$B$2:$C$4000,2,FALSE)</f>
        <v>MPC</v>
      </c>
    </row>
    <row r="8148" spans="2:13" x14ac:dyDescent="0.25">
      <c r="B8148" s="31" t="s">
        <v>26299</v>
      </c>
      <c r="C8148" s="25" t="s">
        <v>3815</v>
      </c>
      <c r="D8148" s="25" t="s">
        <v>26232</v>
      </c>
      <c r="E8148" s="25" t="s">
        <v>26306</v>
      </c>
      <c r="F8148" s="9" t="str">
        <f t="shared" si="120"/>
        <v>structure with developmental contribution from neural crest</v>
      </c>
      <c r="G8148" s="9" t="s">
        <v>5090</v>
      </c>
      <c r="H8148" s="9" t="s">
        <v>25716</v>
      </c>
      <c r="I8148" s="9" t="s">
        <v>14568</v>
      </c>
      <c r="J8148" s="9" t="s">
        <v>14569</v>
      </c>
      <c r="K8148" s="6" t="s">
        <v>15174</v>
      </c>
      <c r="L8148" s="13">
        <v>128012120</v>
      </c>
      <c r="M8148" t="str">
        <f>VLOOKUP(L8148,[1]NonHumanPrimate!$B$2:$C$4000,2,FALSE)</f>
        <v>MPC5</v>
      </c>
    </row>
    <row r="8149" spans="2:13" x14ac:dyDescent="0.25">
      <c r="B8149" s="31" t="s">
        <v>25743</v>
      </c>
      <c r="C8149" s="20" t="s">
        <v>25748</v>
      </c>
      <c r="D8149" s="25" t="s">
        <v>26232</v>
      </c>
      <c r="E8149" s="25"/>
      <c r="F8149" s="9" t="str">
        <f t="shared" si="120"/>
        <v>structure with developmental contribution from neural crest</v>
      </c>
      <c r="G8149" s="9" t="s">
        <v>5090</v>
      </c>
      <c r="H8149" s="9" t="s">
        <v>25714</v>
      </c>
      <c r="I8149" s="9" t="s">
        <v>14570</v>
      </c>
      <c r="J8149" s="9" t="s">
        <v>14571</v>
      </c>
      <c r="K8149" s="6" t="s">
        <v>15174</v>
      </c>
      <c r="L8149" s="13">
        <v>128012144</v>
      </c>
      <c r="M8149" t="str">
        <f>VLOOKUP(L8149,[1]NonHumanPrimate!$B$2:$C$4000,2,FALSE)</f>
        <v>LPC</v>
      </c>
    </row>
    <row r="8150" spans="2:13" x14ac:dyDescent="0.25">
      <c r="B8150" s="31" t="s">
        <v>26303</v>
      </c>
      <c r="C8150" s="20"/>
      <c r="D8150" s="25" t="s">
        <v>26185</v>
      </c>
      <c r="E8150" s="25" t="s">
        <v>26300</v>
      </c>
      <c r="F8150" s="9" t="str">
        <f t="shared" si="120"/>
        <v>structure with developmental contribution from neural crest</v>
      </c>
      <c r="G8150" s="9" t="s">
        <v>5090</v>
      </c>
      <c r="H8150" s="9" t="s">
        <v>25675</v>
      </c>
      <c r="I8150" s="9" t="s">
        <v>14572</v>
      </c>
      <c r="J8150" s="9" t="s">
        <v>14573</v>
      </c>
      <c r="K8150" s="6" t="s">
        <v>15174</v>
      </c>
      <c r="L8150" s="13">
        <v>128012220</v>
      </c>
      <c r="M8150" t="str">
        <f>VLOOKUP(L8150,[1]NonHumanPrimate!$B$2:$C$4000,2,FALSE)</f>
        <v>DGmz</v>
      </c>
    </row>
    <row r="8151" spans="2:13" x14ac:dyDescent="0.25">
      <c r="B8151" s="31" t="s">
        <v>26303</v>
      </c>
      <c r="C8151" s="25" t="s">
        <v>25899</v>
      </c>
      <c r="D8151" s="25" t="s">
        <v>26232</v>
      </c>
      <c r="E8151" s="25"/>
      <c r="F8151" s="9" t="str">
        <f t="shared" si="120"/>
        <v>structure with developmental contribution from neural crest</v>
      </c>
      <c r="G8151" s="9" t="s">
        <v>5090</v>
      </c>
      <c r="H8151" s="9" t="s">
        <v>25677</v>
      </c>
      <c r="I8151" s="9" t="s">
        <v>14574</v>
      </c>
      <c r="J8151" s="9" t="s">
        <v>14575</v>
      </c>
      <c r="K8151" s="6" t="s">
        <v>15174</v>
      </c>
      <c r="L8151" s="13">
        <v>128012226</v>
      </c>
      <c r="M8151" t="str">
        <f>VLOOKUP(L8151,[1]NonHumanPrimate!$B$2:$C$4000,2,FALSE)</f>
        <v>DGgra</v>
      </c>
    </row>
    <row r="8152" spans="2:13" x14ac:dyDescent="0.25">
      <c r="B8152" s="31" t="s">
        <v>26303</v>
      </c>
      <c r="C8152" s="25" t="s">
        <v>25903</v>
      </c>
      <c r="D8152" s="25" t="s">
        <v>26232</v>
      </c>
      <c r="E8152" s="25"/>
      <c r="F8152" s="9" t="str">
        <f t="shared" si="120"/>
        <v>structure with developmental contribution from neural crest</v>
      </c>
      <c r="G8152" s="9" t="s">
        <v>5090</v>
      </c>
      <c r="H8152" s="9" t="s">
        <v>25679</v>
      </c>
      <c r="I8152" s="9" t="s">
        <v>14576</v>
      </c>
      <c r="J8152" s="9" t="s">
        <v>14577</v>
      </c>
      <c r="K8152" s="6" t="s">
        <v>15174</v>
      </c>
      <c r="L8152" s="13">
        <v>128012232</v>
      </c>
      <c r="M8152" t="str">
        <f>VLOOKUP(L8152,[1]NonHumanPrimate!$B$2:$C$4000,2,FALSE)</f>
        <v>DGsga</v>
      </c>
    </row>
    <row r="8153" spans="2:13" x14ac:dyDescent="0.25">
      <c r="B8153" s="31" t="s">
        <v>26303</v>
      </c>
      <c r="C8153" s="25" t="s">
        <v>25902</v>
      </c>
      <c r="D8153" s="25" t="s">
        <v>26232</v>
      </c>
      <c r="E8153" s="25"/>
      <c r="F8153" s="9" t="str">
        <f t="shared" si="120"/>
        <v>structure with developmental contribution from neural crest</v>
      </c>
      <c r="G8153" s="9" t="s">
        <v>5090</v>
      </c>
      <c r="H8153" s="9" t="s">
        <v>25681</v>
      </c>
      <c r="I8153" s="9" t="s">
        <v>14578</v>
      </c>
      <c r="J8153" s="9" t="s">
        <v>14579</v>
      </c>
      <c r="K8153" s="6" t="s">
        <v>15174</v>
      </c>
      <c r="L8153" s="13">
        <v>128012238</v>
      </c>
      <c r="M8153" t="str">
        <f>VLOOKUP(L8153,[1]NonHumanPrimate!$B$2:$C$4000,2,FALSE)</f>
        <v>DGpfa</v>
      </c>
    </row>
    <row r="8154" spans="2:13" x14ac:dyDescent="0.25">
      <c r="B8154" s="31" t="s">
        <v>26303</v>
      </c>
      <c r="C8154" s="25" t="s">
        <v>25749</v>
      </c>
      <c r="D8154" s="25" t="s">
        <v>26185</v>
      </c>
      <c r="E8154" s="25" t="s">
        <v>26306</v>
      </c>
      <c r="F8154" s="9" t="str">
        <f t="shared" si="120"/>
        <v>structure with developmental contribution from neural crest</v>
      </c>
      <c r="G8154" s="9" t="s">
        <v>5090</v>
      </c>
      <c r="H8154" s="9" t="s">
        <v>25685</v>
      </c>
      <c r="I8154" s="9" t="s">
        <v>14580</v>
      </c>
      <c r="J8154" s="9" t="s">
        <v>14581</v>
      </c>
      <c r="K8154" s="6" t="s">
        <v>15174</v>
      </c>
      <c r="L8154" s="13">
        <v>128012250</v>
      </c>
      <c r="M8154" t="str">
        <f>VLOOKUP(L8154,[1]NonHumanPrimate!$B$2:$C$4000,2,FALSE)</f>
        <v>CA1mz</v>
      </c>
    </row>
    <row r="8155" spans="2:13" x14ac:dyDescent="0.25">
      <c r="B8155" s="31" t="s">
        <v>26303</v>
      </c>
      <c r="C8155" s="25" t="s">
        <v>25749</v>
      </c>
      <c r="D8155" s="25" t="s">
        <v>26232</v>
      </c>
      <c r="E8155" s="25" t="s">
        <v>26306</v>
      </c>
      <c r="F8155" s="9" t="str">
        <f t="shared" si="120"/>
        <v>structure with developmental contribution from neural crest</v>
      </c>
      <c r="G8155" s="9" t="s">
        <v>5090</v>
      </c>
      <c r="H8155" s="9" t="s">
        <v>25688</v>
      </c>
      <c r="I8155" s="9" t="s">
        <v>14582</v>
      </c>
      <c r="J8155" s="9" t="s">
        <v>14583</v>
      </c>
      <c r="K8155" s="6" t="s">
        <v>15174</v>
      </c>
      <c r="L8155" s="13">
        <v>128012258</v>
      </c>
      <c r="M8155" t="str">
        <f>VLOOKUP(L8155,[1]NonHumanPrimate!$B$2:$C$4000,2,FALSE)</f>
        <v>CA1cp</v>
      </c>
    </row>
    <row r="8156" spans="2:13" x14ac:dyDescent="0.25">
      <c r="B8156" s="31" t="s">
        <v>26303</v>
      </c>
      <c r="C8156" s="25" t="s">
        <v>25749</v>
      </c>
      <c r="D8156" s="25" t="s">
        <v>26232</v>
      </c>
      <c r="E8156" s="25" t="s">
        <v>26306</v>
      </c>
      <c r="F8156" s="9" t="str">
        <f t="shared" si="120"/>
        <v>structure with developmental contribution from neural crest</v>
      </c>
      <c r="G8156" s="9" t="s">
        <v>5090</v>
      </c>
      <c r="H8156" s="9" t="s">
        <v>15932</v>
      </c>
      <c r="I8156" s="9" t="s">
        <v>14584</v>
      </c>
      <c r="J8156" s="9" t="s">
        <v>14585</v>
      </c>
      <c r="K8156" s="6" t="s">
        <v>15174</v>
      </c>
      <c r="L8156" s="13">
        <v>128012264</v>
      </c>
      <c r="M8156" t="str">
        <f>VLOOKUP(L8156,[1]NonHumanPrimate!$B$2:$C$4000,2,FALSE)</f>
        <v>CA1sp</v>
      </c>
    </row>
    <row r="8157" spans="2:13" x14ac:dyDescent="0.25">
      <c r="B8157" s="31" t="s">
        <v>26303</v>
      </c>
      <c r="C8157" s="25" t="s">
        <v>25749</v>
      </c>
      <c r="D8157" s="25" t="s">
        <v>26232</v>
      </c>
      <c r="E8157" s="25" t="s">
        <v>26306</v>
      </c>
      <c r="F8157" s="9" t="str">
        <f t="shared" si="120"/>
        <v>structure with developmental contribution from neural crest</v>
      </c>
      <c r="G8157" s="9" t="s">
        <v>5090</v>
      </c>
      <c r="H8157" s="9" t="s">
        <v>25691</v>
      </c>
      <c r="I8157" s="9" t="s">
        <v>14586</v>
      </c>
      <c r="J8157" s="9" t="s">
        <v>14587</v>
      </c>
      <c r="K8157" s="6" t="s">
        <v>15174</v>
      </c>
      <c r="L8157" s="13">
        <v>128012270</v>
      </c>
      <c r="M8157" t="str">
        <f>VLOOKUP(L8157,[1]NonHumanPrimate!$B$2:$C$4000,2,FALSE)</f>
        <v>CA1iz</v>
      </c>
    </row>
    <row r="8158" spans="2:13" x14ac:dyDescent="0.25">
      <c r="B8158" s="31" t="s">
        <v>26303</v>
      </c>
      <c r="C8158" s="25" t="s">
        <v>25749</v>
      </c>
      <c r="D8158" s="25" t="s">
        <v>26232</v>
      </c>
      <c r="E8158" s="25" t="s">
        <v>26306</v>
      </c>
      <c r="F8158" s="9" t="str">
        <f t="shared" si="120"/>
        <v>structure with developmental contribution from neural crest</v>
      </c>
      <c r="G8158" s="9" t="s">
        <v>5090</v>
      </c>
      <c r="H8158" s="9" t="s">
        <v>25692</v>
      </c>
      <c r="I8158" s="9" t="s">
        <v>14588</v>
      </c>
      <c r="J8158" s="9" t="s">
        <v>14589</v>
      </c>
      <c r="K8158" s="6" t="s">
        <v>15174</v>
      </c>
      <c r="L8158" s="13">
        <v>128012274</v>
      </c>
      <c r="M8158" t="str">
        <f>VLOOKUP(L8158,[1]NonHumanPrimate!$B$2:$C$4000,2,FALSE)</f>
        <v>CA1szi</v>
      </c>
    </row>
    <row r="8159" spans="2:13" x14ac:dyDescent="0.25">
      <c r="B8159" s="31" t="s">
        <v>26303</v>
      </c>
      <c r="C8159" s="25" t="s">
        <v>25749</v>
      </c>
      <c r="D8159" s="25" t="s">
        <v>26232</v>
      </c>
      <c r="E8159" s="25" t="s">
        <v>26306</v>
      </c>
      <c r="F8159" s="9" t="str">
        <f t="shared" si="120"/>
        <v>structure with developmental contribution from neural crest</v>
      </c>
      <c r="G8159" s="9" t="s">
        <v>5090</v>
      </c>
      <c r="H8159" s="9" t="s">
        <v>25693</v>
      </c>
      <c r="I8159" s="9" t="s">
        <v>14590</v>
      </c>
      <c r="J8159" s="9" t="s">
        <v>14591</v>
      </c>
      <c r="K8159" s="6" t="s">
        <v>15174</v>
      </c>
      <c r="L8159" s="13">
        <v>128012278</v>
      </c>
      <c r="M8159" t="str">
        <f>VLOOKUP(L8159,[1]NonHumanPrimate!$B$2:$C$4000,2,FALSE)</f>
        <v>CA1vz</v>
      </c>
    </row>
    <row r="8160" spans="2:13" x14ac:dyDescent="0.25">
      <c r="B8160" s="31" t="s">
        <v>26303</v>
      </c>
      <c r="C8160" s="20"/>
      <c r="D8160" s="25" t="s">
        <v>26185</v>
      </c>
      <c r="E8160" s="25" t="s">
        <v>26306</v>
      </c>
      <c r="F8160" s="9" t="str">
        <f t="shared" si="120"/>
        <v>structure with developmental contribution from neural crest</v>
      </c>
      <c r="G8160" s="9" t="s">
        <v>5090</v>
      </c>
      <c r="H8160" s="9" t="s">
        <v>25694</v>
      </c>
      <c r="I8160" s="9" t="s">
        <v>14592</v>
      </c>
      <c r="J8160" s="9" t="s">
        <v>14593</v>
      </c>
      <c r="K8160" s="6" t="s">
        <v>15174</v>
      </c>
      <c r="L8160" s="13">
        <v>128012284</v>
      </c>
      <c r="M8160" t="str">
        <f>VLOOKUP(L8160,[1]NonHumanPrimate!$B$2:$C$4000,2,FALSE)</f>
        <v>CA2mz</v>
      </c>
    </row>
    <row r="8161" spans="2:13" x14ac:dyDescent="0.25">
      <c r="B8161" s="31" t="s">
        <v>26303</v>
      </c>
      <c r="C8161" s="25" t="s">
        <v>25753</v>
      </c>
      <c r="D8161" s="25" t="s">
        <v>26232</v>
      </c>
      <c r="E8161" s="25" t="s">
        <v>26306</v>
      </c>
      <c r="F8161" s="9" t="str">
        <f t="shared" si="120"/>
        <v>structure with developmental contribution from neural crest</v>
      </c>
      <c r="G8161" s="9" t="s">
        <v>5090</v>
      </c>
      <c r="H8161" s="9" t="s">
        <v>25697</v>
      </c>
      <c r="I8161" s="9" t="s">
        <v>14594</v>
      </c>
      <c r="J8161" s="9" t="s">
        <v>14595</v>
      </c>
      <c r="K8161" s="6" t="s">
        <v>15174</v>
      </c>
      <c r="L8161" s="13">
        <v>128012292</v>
      </c>
      <c r="M8161" t="str">
        <f>VLOOKUP(L8161,[1]NonHumanPrimate!$B$2:$C$4000,2,FALSE)</f>
        <v>CA2cp</v>
      </c>
    </row>
    <row r="8162" spans="2:13" x14ac:dyDescent="0.25">
      <c r="B8162" s="31" t="s">
        <v>26303</v>
      </c>
      <c r="C8162" s="25" t="s">
        <v>25753</v>
      </c>
      <c r="D8162" s="25" t="s">
        <v>26232</v>
      </c>
      <c r="E8162" s="25" t="s">
        <v>26306</v>
      </c>
      <c r="F8162" s="9" t="str">
        <f t="shared" si="120"/>
        <v>structure with developmental contribution from neural crest</v>
      </c>
      <c r="G8162" s="9" t="s">
        <v>5090</v>
      </c>
      <c r="H8162" s="9" t="s">
        <v>15938</v>
      </c>
      <c r="I8162" s="9" t="s">
        <v>14596</v>
      </c>
      <c r="J8162" s="9" t="s">
        <v>14597</v>
      </c>
      <c r="K8162" s="6" t="s">
        <v>15174</v>
      </c>
      <c r="L8162" s="13">
        <v>128012298</v>
      </c>
      <c r="M8162" t="str">
        <f>VLOOKUP(L8162,[1]NonHumanPrimate!$B$2:$C$4000,2,FALSE)</f>
        <v>CA2sp</v>
      </c>
    </row>
    <row r="8163" spans="2:13" x14ac:dyDescent="0.25">
      <c r="B8163" s="31" t="s">
        <v>26303</v>
      </c>
      <c r="C8163" s="25" t="s">
        <v>25757</v>
      </c>
      <c r="D8163" s="25" t="s">
        <v>26185</v>
      </c>
      <c r="E8163" s="25" t="s">
        <v>26300</v>
      </c>
      <c r="F8163" s="9" t="str">
        <f t="shared" si="120"/>
        <v>structure with developmental contribution from neural crest</v>
      </c>
      <c r="G8163" s="9" t="s">
        <v>5090</v>
      </c>
      <c r="H8163" s="9" t="s">
        <v>25700</v>
      </c>
      <c r="I8163" s="9" t="s">
        <v>14598</v>
      </c>
      <c r="J8163" s="9" t="s">
        <v>14599</v>
      </c>
      <c r="K8163" s="6" t="s">
        <v>15174</v>
      </c>
      <c r="L8163" s="13">
        <v>128012318</v>
      </c>
      <c r="M8163" t="str">
        <f>VLOOKUP(L8163,[1]NonHumanPrimate!$B$2:$C$4000,2,FALSE)</f>
        <v>CA3mz</v>
      </c>
    </row>
    <row r="8164" spans="2:13" x14ac:dyDescent="0.25">
      <c r="B8164" s="31" t="s">
        <v>26303</v>
      </c>
      <c r="C8164" s="25" t="s">
        <v>25757</v>
      </c>
      <c r="D8164" s="25" t="s">
        <v>26232</v>
      </c>
      <c r="E8164" s="25" t="s">
        <v>26306</v>
      </c>
      <c r="F8164" s="9" t="str">
        <f t="shared" si="120"/>
        <v>structure with developmental contribution from neural crest</v>
      </c>
      <c r="G8164" s="9" t="s">
        <v>5090</v>
      </c>
      <c r="H8164" s="9" t="s">
        <v>25703</v>
      </c>
      <c r="I8164" s="9" t="s">
        <v>14600</v>
      </c>
      <c r="J8164" s="9" t="s">
        <v>14601</v>
      </c>
      <c r="K8164" s="6" t="s">
        <v>15174</v>
      </c>
      <c r="L8164" s="13">
        <v>128012326</v>
      </c>
      <c r="M8164" t="str">
        <f>VLOOKUP(L8164,[1]NonHumanPrimate!$B$2:$C$4000,2,FALSE)</f>
        <v>CA3cp</v>
      </c>
    </row>
    <row r="8165" spans="2:13" x14ac:dyDescent="0.25">
      <c r="B8165" s="31" t="s">
        <v>26303</v>
      </c>
      <c r="C8165" s="25" t="s">
        <v>25757</v>
      </c>
      <c r="D8165" s="25" t="s">
        <v>26232</v>
      </c>
      <c r="E8165" s="25" t="s">
        <v>26306</v>
      </c>
      <c r="F8165" s="9" t="str">
        <f t="shared" si="120"/>
        <v>structure with developmental contribution from neural crest</v>
      </c>
      <c r="G8165" s="9" t="s">
        <v>5090</v>
      </c>
      <c r="H8165" s="9" t="s">
        <v>15942</v>
      </c>
      <c r="I8165" s="9" t="s">
        <v>14602</v>
      </c>
      <c r="J8165" s="9" t="s">
        <v>14603</v>
      </c>
      <c r="K8165" s="6" t="s">
        <v>15174</v>
      </c>
      <c r="L8165" s="13">
        <v>128012332</v>
      </c>
      <c r="M8165" t="str">
        <f>VLOOKUP(L8165,[1]NonHumanPrimate!$B$2:$C$4000,2,FALSE)</f>
        <v>CA3sp</v>
      </c>
    </row>
    <row r="8166" spans="2:13" x14ac:dyDescent="0.25">
      <c r="B8166" s="31" t="s">
        <v>26303</v>
      </c>
      <c r="C8166" s="20"/>
      <c r="D8166" s="25" t="s">
        <v>26232</v>
      </c>
      <c r="E8166" s="25" t="s">
        <v>26300</v>
      </c>
      <c r="F8166" s="9" t="str">
        <f t="shared" si="120"/>
        <v>structure with developmental contribution from neural crest</v>
      </c>
      <c r="G8166" s="9" t="s">
        <v>5090</v>
      </c>
      <c r="H8166" s="9" t="s">
        <v>25708</v>
      </c>
      <c r="I8166" s="9" t="s">
        <v>14604</v>
      </c>
      <c r="J8166" s="9" t="s">
        <v>14605</v>
      </c>
      <c r="K8166" s="6" t="s">
        <v>15174</v>
      </c>
      <c r="L8166" s="13">
        <v>128012368</v>
      </c>
      <c r="M8166" t="str">
        <f>VLOOKUP(L8166,[1]NonHumanPrimate!$B$2:$C$4000,2,FALSE)</f>
        <v>Scp</v>
      </c>
    </row>
    <row r="8167" spans="2:13" x14ac:dyDescent="0.25">
      <c r="B8167" s="31" t="s">
        <v>26303</v>
      </c>
      <c r="C8167" s="20"/>
      <c r="D8167" s="25" t="s">
        <v>26185</v>
      </c>
      <c r="E8167" s="25" t="s">
        <v>26300</v>
      </c>
      <c r="F8167" s="9" t="str">
        <f t="shared" si="120"/>
        <v>structure with developmental contribution from neural crest</v>
      </c>
      <c r="G8167" s="9" t="s">
        <v>5090</v>
      </c>
      <c r="H8167" s="9" t="s">
        <v>25709</v>
      </c>
      <c r="I8167" s="9" t="s">
        <v>14606</v>
      </c>
      <c r="J8167" s="9" t="s">
        <v>14607</v>
      </c>
      <c r="K8167" s="6" t="s">
        <v>15174</v>
      </c>
      <c r="L8167" s="13">
        <v>128012372</v>
      </c>
      <c r="M8167" t="str">
        <f>VLOOKUP(L8167,[1]NonHumanPrimate!$B$2:$C$4000,2,FALSE)</f>
        <v>Spy</v>
      </c>
    </row>
    <row r="8168" spans="2:13" x14ac:dyDescent="0.25">
      <c r="B8168" s="31" t="s">
        <v>26303</v>
      </c>
      <c r="C8168" s="25" t="s">
        <v>4116</v>
      </c>
      <c r="D8168" s="25" t="s">
        <v>26232</v>
      </c>
      <c r="E8168" s="25"/>
      <c r="F8168" s="9" t="str">
        <f t="shared" si="120"/>
        <v>structure with developmental contribution from neural crest</v>
      </c>
      <c r="G8168" s="9" t="s">
        <v>5090</v>
      </c>
      <c r="H8168" s="9" t="s">
        <v>22958</v>
      </c>
      <c r="I8168" s="9" t="s">
        <v>14608</v>
      </c>
      <c r="J8168" s="9" t="s">
        <v>14609</v>
      </c>
      <c r="K8168" s="6" t="s">
        <v>15174</v>
      </c>
      <c r="L8168" s="13">
        <v>128012400</v>
      </c>
      <c r="M8168" t="str">
        <f>VLOOKUP(L8168,[1]NonHumanPrimate!$B$2:$C$4000,2,FALSE)</f>
        <v>PrSr</v>
      </c>
    </row>
    <row r="8169" spans="2:13" x14ac:dyDescent="0.25">
      <c r="B8169" s="31" t="s">
        <v>26299</v>
      </c>
      <c r="C8169" s="25" t="s">
        <v>4051</v>
      </c>
      <c r="D8169" s="25" t="s">
        <v>26232</v>
      </c>
      <c r="E8169" s="25"/>
      <c r="F8169" s="9" t="str">
        <f t="shared" si="120"/>
        <v>structure with developmental contribution from neural crest</v>
      </c>
      <c r="G8169" s="9" t="s">
        <v>5090</v>
      </c>
      <c r="H8169" s="9" t="s">
        <v>22967</v>
      </c>
      <c r="I8169" s="9" t="s">
        <v>14610</v>
      </c>
      <c r="J8169" s="9" t="s">
        <v>14611</v>
      </c>
      <c r="K8169" s="6" t="s">
        <v>15174</v>
      </c>
      <c r="L8169" s="13">
        <v>128012404</v>
      </c>
      <c r="M8169" t="str">
        <f>VLOOKUP(L8169,[1]NonHumanPrimate!$B$2:$C$4000,2,FALSE)</f>
        <v>PrSc</v>
      </c>
    </row>
    <row r="8170" spans="2:13" x14ac:dyDescent="0.25">
      <c r="B8170" s="31" t="s">
        <v>26303</v>
      </c>
      <c r="C8170" s="25" t="s">
        <v>26175</v>
      </c>
      <c r="D8170" s="25" t="s">
        <v>26232</v>
      </c>
      <c r="E8170" s="25" t="s">
        <v>26306</v>
      </c>
      <c r="F8170" s="9" t="str">
        <f t="shared" si="120"/>
        <v>structure with developmental contribution from neural crest</v>
      </c>
      <c r="G8170" s="9" t="s">
        <v>5090</v>
      </c>
      <c r="H8170" s="9" t="s">
        <v>25575</v>
      </c>
      <c r="I8170" s="9" t="s">
        <v>14612</v>
      </c>
      <c r="J8170" s="9" t="s">
        <v>14613</v>
      </c>
      <c r="K8170" s="6" t="s">
        <v>15174</v>
      </c>
      <c r="L8170" s="13">
        <v>128012418</v>
      </c>
      <c r="M8170" t="str">
        <f>VLOOKUP(L8170,[1]NonHumanPrimate!$B$2:$C$4000,2,FALSE)</f>
        <v>V1sg</v>
      </c>
    </row>
    <row r="8171" spans="2:13" x14ac:dyDescent="0.25">
      <c r="B8171" s="31" t="s">
        <v>26303</v>
      </c>
      <c r="C8171" s="25" t="s">
        <v>26175</v>
      </c>
      <c r="D8171" s="25" t="s">
        <v>26232</v>
      </c>
      <c r="E8171" s="25" t="s">
        <v>26306</v>
      </c>
      <c r="F8171" s="9" t="str">
        <f t="shared" si="120"/>
        <v>structure with developmental contribution from neural crest</v>
      </c>
      <c r="G8171" s="9" t="s">
        <v>5090</v>
      </c>
      <c r="H8171" s="9" t="s">
        <v>25579</v>
      </c>
      <c r="I8171" s="9" t="s">
        <v>14614</v>
      </c>
      <c r="J8171" s="9" t="s">
        <v>14615</v>
      </c>
      <c r="K8171" s="6" t="s">
        <v>15174</v>
      </c>
      <c r="L8171" s="13">
        <v>128012422</v>
      </c>
      <c r="M8171" t="str">
        <f>VLOOKUP(L8171,[1]NonHumanPrimate!$B$2:$C$4000,2,FALSE)</f>
        <v>V1mz</v>
      </c>
    </row>
    <row r="8172" spans="2:13" x14ac:dyDescent="0.25">
      <c r="B8172" s="31" t="s">
        <v>26303</v>
      </c>
      <c r="C8172" s="25" t="s">
        <v>26175</v>
      </c>
      <c r="D8172" s="25" t="s">
        <v>26232</v>
      </c>
      <c r="E8172" s="25" t="s">
        <v>26306</v>
      </c>
      <c r="F8172" s="9" t="str">
        <f t="shared" si="120"/>
        <v>structure with developmental contribution from neural crest</v>
      </c>
      <c r="G8172" s="9" t="s">
        <v>5090</v>
      </c>
      <c r="H8172" s="9" t="s">
        <v>25623</v>
      </c>
      <c r="I8172" s="9" t="s">
        <v>14616</v>
      </c>
      <c r="J8172" s="9" t="s">
        <v>14617</v>
      </c>
      <c r="K8172" s="6" t="s">
        <v>15174</v>
      </c>
      <c r="L8172" s="13">
        <v>128012428</v>
      </c>
      <c r="M8172" t="str">
        <f>VLOOKUP(L8172,[1]NonHumanPrimate!$B$2:$C$4000,2,FALSE)</f>
        <v>V1cp</v>
      </c>
    </row>
    <row r="8173" spans="2:13" x14ac:dyDescent="0.25">
      <c r="B8173" s="31" t="s">
        <v>26303</v>
      </c>
      <c r="C8173" s="25" t="s">
        <v>26175</v>
      </c>
      <c r="D8173" s="25" t="s">
        <v>26232</v>
      </c>
      <c r="E8173" s="25" t="s">
        <v>26306</v>
      </c>
      <c r="F8173" s="9" t="str">
        <f t="shared" si="120"/>
        <v>structure with developmental contribution from neural crest</v>
      </c>
      <c r="G8173" s="9" t="s">
        <v>5090</v>
      </c>
      <c r="H8173" s="9" t="s">
        <v>25601</v>
      </c>
      <c r="I8173" s="9" t="s">
        <v>14618</v>
      </c>
      <c r="J8173" s="9" t="s">
        <v>14619</v>
      </c>
      <c r="K8173" s="6" t="s">
        <v>15174</v>
      </c>
      <c r="L8173" s="13">
        <v>128012432</v>
      </c>
      <c r="M8173" t="str">
        <f>VLOOKUP(L8173,[1]NonHumanPrimate!$B$2:$C$4000,2,FALSE)</f>
        <v>V1cpo</v>
      </c>
    </row>
    <row r="8174" spans="2:13" x14ac:dyDescent="0.25">
      <c r="B8174" s="31" t="s">
        <v>26303</v>
      </c>
      <c r="C8174" s="25" t="s">
        <v>26175</v>
      </c>
      <c r="D8174" s="25" t="s">
        <v>26232</v>
      </c>
      <c r="E8174" s="25" t="s">
        <v>26306</v>
      </c>
      <c r="F8174" s="9" t="str">
        <f t="shared" si="120"/>
        <v>structure with developmental contribution from neural crest</v>
      </c>
      <c r="G8174" s="9" t="s">
        <v>5090</v>
      </c>
      <c r="H8174" s="9" t="s">
        <v>25591</v>
      </c>
      <c r="I8174" s="9" t="s">
        <v>14620</v>
      </c>
      <c r="J8174" s="9" t="s">
        <v>14621</v>
      </c>
      <c r="K8174" s="6" t="s">
        <v>15174</v>
      </c>
      <c r="L8174" s="13">
        <v>128012436</v>
      </c>
      <c r="M8174" t="str">
        <f>VLOOKUP(L8174,[1]NonHumanPrimate!$B$2:$C$4000,2,FALSE)</f>
        <v>V1-2/3</v>
      </c>
    </row>
    <row r="8175" spans="2:13" x14ac:dyDescent="0.25">
      <c r="B8175" s="31" t="s">
        <v>26303</v>
      </c>
      <c r="C8175" s="25" t="s">
        <v>26175</v>
      </c>
      <c r="D8175" s="25" t="s">
        <v>26232</v>
      </c>
      <c r="E8175" s="25" t="s">
        <v>26306</v>
      </c>
      <c r="F8175" s="9" t="str">
        <f t="shared" si="120"/>
        <v>structure with developmental contribution from neural crest</v>
      </c>
      <c r="G8175" s="9" t="s">
        <v>5090</v>
      </c>
      <c r="H8175" s="9" t="s">
        <v>25628</v>
      </c>
      <c r="I8175" s="9" t="s">
        <v>14622</v>
      </c>
      <c r="J8175" s="9" t="s">
        <v>14623</v>
      </c>
      <c r="K8175" s="6" t="s">
        <v>15174</v>
      </c>
      <c r="L8175" s="13">
        <v>128012458</v>
      </c>
      <c r="M8175" t="str">
        <f>VLOOKUP(L8175,[1]NonHumanPrimate!$B$2:$C$4000,2,FALSE)</f>
        <v>V1cpi</v>
      </c>
    </row>
    <row r="8176" spans="2:13" x14ac:dyDescent="0.25">
      <c r="B8176" s="31" t="s">
        <v>26303</v>
      </c>
      <c r="C8176" s="25" t="s">
        <v>26175</v>
      </c>
      <c r="D8176" s="25" t="s">
        <v>26232</v>
      </c>
      <c r="E8176" s="25" t="s">
        <v>26306</v>
      </c>
      <c r="F8176" s="9" t="str">
        <f t="shared" si="120"/>
        <v>structure with developmental contribution from neural crest</v>
      </c>
      <c r="G8176" s="9" t="s">
        <v>5090</v>
      </c>
      <c r="H8176" s="9" t="s">
        <v>25631</v>
      </c>
      <c r="I8176" s="9" t="s">
        <v>14624</v>
      </c>
      <c r="J8176" s="9" t="s">
        <v>14625</v>
      </c>
      <c r="K8176" s="6" t="s">
        <v>15174</v>
      </c>
      <c r="L8176" s="13">
        <v>128012466</v>
      </c>
      <c r="M8176" t="str">
        <f>VLOOKUP(L8176,[1]NonHumanPrimate!$B$2:$C$4000,2,FALSE)</f>
        <v>V1sp</v>
      </c>
    </row>
    <row r="8177" spans="2:13" x14ac:dyDescent="0.25">
      <c r="B8177" s="31" t="s">
        <v>26303</v>
      </c>
      <c r="C8177" s="25" t="s">
        <v>26175</v>
      </c>
      <c r="D8177" s="25" t="s">
        <v>26232</v>
      </c>
      <c r="E8177" s="25" t="s">
        <v>26306</v>
      </c>
      <c r="F8177" s="9" t="str">
        <f t="shared" si="120"/>
        <v>structure with developmental contribution from neural crest</v>
      </c>
      <c r="G8177" s="9" t="s">
        <v>5090</v>
      </c>
      <c r="H8177" s="9" t="s">
        <v>25644</v>
      </c>
      <c r="I8177" s="9" t="s">
        <v>14626</v>
      </c>
      <c r="J8177" s="9" t="s">
        <v>14627</v>
      </c>
      <c r="K8177" s="6" t="s">
        <v>15174</v>
      </c>
      <c r="L8177" s="13">
        <v>128012478</v>
      </c>
      <c r="M8177" t="str">
        <f>VLOOKUP(L8177,[1]NonHumanPrimate!$B$2:$C$4000,2,FALSE)</f>
        <v>V1sz</v>
      </c>
    </row>
    <row r="8178" spans="2:13" x14ac:dyDescent="0.25">
      <c r="B8178" s="31" t="s">
        <v>26303</v>
      </c>
      <c r="C8178" s="25" t="s">
        <v>26175</v>
      </c>
      <c r="D8178" s="25" t="s">
        <v>26232</v>
      </c>
      <c r="E8178" s="25" t="s">
        <v>26306</v>
      </c>
      <c r="F8178" s="9" t="str">
        <f t="shared" si="120"/>
        <v>structure with developmental contribution from neural crest</v>
      </c>
      <c r="G8178" s="9" t="s">
        <v>5090</v>
      </c>
      <c r="H8178" s="9" t="s">
        <v>25648</v>
      </c>
      <c r="I8178" s="9" t="s">
        <v>14628</v>
      </c>
      <c r="J8178" s="9" t="s">
        <v>14629</v>
      </c>
      <c r="K8178" s="6" t="s">
        <v>15174</v>
      </c>
      <c r="L8178" s="13">
        <v>128012482</v>
      </c>
      <c r="M8178" t="str">
        <f>VLOOKUP(L8178,[1]NonHumanPrimate!$B$2:$C$4000,2,FALSE)</f>
        <v>V1szo</v>
      </c>
    </row>
    <row r="8179" spans="2:13" x14ac:dyDescent="0.25">
      <c r="B8179" s="31" t="s">
        <v>26303</v>
      </c>
      <c r="C8179" s="25" t="s">
        <v>26175</v>
      </c>
      <c r="D8179" s="25" t="s">
        <v>26232</v>
      </c>
      <c r="E8179" s="25" t="s">
        <v>26306</v>
      </c>
      <c r="F8179" s="9" t="str">
        <f t="shared" si="120"/>
        <v>structure with developmental contribution from neural crest</v>
      </c>
      <c r="G8179" s="9" t="s">
        <v>5090</v>
      </c>
      <c r="H8179" s="9" t="s">
        <v>25656</v>
      </c>
      <c r="I8179" s="9" t="s">
        <v>14630</v>
      </c>
      <c r="J8179" s="9" t="s">
        <v>14631</v>
      </c>
      <c r="K8179" s="6" t="s">
        <v>15174</v>
      </c>
      <c r="L8179" s="13">
        <v>128012486</v>
      </c>
      <c r="M8179" t="str">
        <f>VLOOKUP(L8179,[1]NonHumanPrimate!$B$2:$C$4000,2,FALSE)</f>
        <v>V1szi</v>
      </c>
    </row>
    <row r="8180" spans="2:13" x14ac:dyDescent="0.25">
      <c r="B8180" s="31" t="s">
        <v>26303</v>
      </c>
      <c r="C8180" s="25" t="s">
        <v>26175</v>
      </c>
      <c r="D8180" s="25" t="s">
        <v>26232</v>
      </c>
      <c r="E8180" s="25" t="s">
        <v>26306</v>
      </c>
      <c r="F8180" s="9" t="str">
        <f t="shared" si="120"/>
        <v>structure with developmental contribution from neural crest</v>
      </c>
      <c r="G8180" s="9" t="s">
        <v>5090</v>
      </c>
      <c r="H8180" s="9" t="s">
        <v>25667</v>
      </c>
      <c r="I8180" s="9" t="s">
        <v>14632</v>
      </c>
      <c r="J8180" s="9" t="s">
        <v>14633</v>
      </c>
      <c r="K8180" s="6" t="s">
        <v>15174</v>
      </c>
      <c r="L8180" s="13">
        <v>128012490</v>
      </c>
      <c r="M8180" t="str">
        <f>VLOOKUP(L8180,[1]NonHumanPrimate!$B$2:$C$4000,2,FALSE)</f>
        <v>V1vz</v>
      </c>
    </row>
    <row r="8181" spans="2:13" x14ac:dyDescent="0.25">
      <c r="B8181" s="31" t="s">
        <v>26303</v>
      </c>
      <c r="C8181" s="25" t="s">
        <v>26175</v>
      </c>
      <c r="D8181" s="25" t="s">
        <v>26232</v>
      </c>
      <c r="E8181" s="25" t="s">
        <v>26306</v>
      </c>
      <c r="F8181" s="9" t="str">
        <f t="shared" si="120"/>
        <v>structure with developmental contribution from neural crest</v>
      </c>
      <c r="G8181" s="9" t="s">
        <v>5090</v>
      </c>
      <c r="H8181" s="9" t="s">
        <v>25660</v>
      </c>
      <c r="I8181" s="9" t="s">
        <v>14634</v>
      </c>
      <c r="J8181" s="9" t="s">
        <v>14635</v>
      </c>
      <c r="K8181" s="6" t="s">
        <v>15174</v>
      </c>
      <c r="L8181" s="13">
        <v>128012494</v>
      </c>
      <c r="M8181" t="str">
        <f>VLOOKUP(L8181,[1]NonHumanPrimate!$B$2:$C$4000,2,FALSE)</f>
        <v>V1vzo</v>
      </c>
    </row>
    <row r="8182" spans="2:13" x14ac:dyDescent="0.25">
      <c r="B8182" s="31" t="s">
        <v>26303</v>
      </c>
      <c r="C8182" s="25" t="s">
        <v>26175</v>
      </c>
      <c r="D8182" s="25" t="s">
        <v>26232</v>
      </c>
      <c r="E8182" s="25" t="s">
        <v>26306</v>
      </c>
      <c r="F8182" s="9" t="str">
        <f t="shared" si="120"/>
        <v>structure with developmental contribution from neural crest</v>
      </c>
      <c r="G8182" s="9" t="s">
        <v>5090</v>
      </c>
      <c r="H8182" s="9" t="s">
        <v>25664</v>
      </c>
      <c r="I8182" s="9" t="s">
        <v>14636</v>
      </c>
      <c r="J8182" s="9" t="s">
        <v>14637</v>
      </c>
      <c r="K8182" s="6" t="s">
        <v>15174</v>
      </c>
      <c r="L8182" s="13">
        <v>128012498</v>
      </c>
      <c r="M8182" t="str">
        <f>VLOOKUP(L8182,[1]NonHumanPrimate!$B$2:$C$4000,2,FALSE)</f>
        <v>V1vzi</v>
      </c>
    </row>
    <row r="8183" spans="2:13" x14ac:dyDescent="0.25">
      <c r="B8183" s="31" t="s">
        <v>26303</v>
      </c>
      <c r="C8183" s="25" t="s">
        <v>4911</v>
      </c>
      <c r="D8183" s="25" t="s">
        <v>26232</v>
      </c>
      <c r="E8183" s="25"/>
      <c r="F8183" s="9" t="str">
        <f t="shared" ref="F8183:F8236" si="121">HYPERLINK("https://www.ebi.ac.uk/ols/ontologies/uberon/terms?iri=http://purl.obolibrary.org/obo/UBERON_0010314","structure with developmental contribution from neural crest")</f>
        <v>structure with developmental contribution from neural crest</v>
      </c>
      <c r="G8183" s="9" t="s">
        <v>5090</v>
      </c>
      <c r="H8183" s="9" t="s">
        <v>25668</v>
      </c>
      <c r="I8183" s="9" t="s">
        <v>14638</v>
      </c>
      <c r="J8183" s="9" t="s">
        <v>14639</v>
      </c>
      <c r="K8183" s="6" t="s">
        <v>15174</v>
      </c>
      <c r="L8183" s="13">
        <v>128012588</v>
      </c>
      <c r="M8183" t="str">
        <f>VLOOKUP(L8183,[1]NonHumanPrimate!$B$2:$C$4000,2,FALSE)</f>
        <v>RMSvz</v>
      </c>
    </row>
    <row r="8184" spans="2:13" x14ac:dyDescent="0.25">
      <c r="B8184" s="31" t="s">
        <v>26303</v>
      </c>
      <c r="C8184" s="20"/>
      <c r="D8184" s="25" t="s">
        <v>26185</v>
      </c>
      <c r="E8184" s="25" t="s">
        <v>26300</v>
      </c>
      <c r="F8184" s="9" t="str">
        <f t="shared" si="121"/>
        <v>structure with developmental contribution from neural crest</v>
      </c>
      <c r="G8184" s="9" t="s">
        <v>5090</v>
      </c>
      <c r="H8184" s="9" t="s">
        <v>24840</v>
      </c>
      <c r="I8184" s="9" t="s">
        <v>1285</v>
      </c>
      <c r="J8184" s="9" t="s">
        <v>1291</v>
      </c>
      <c r="K8184" s="6" t="s">
        <v>15174</v>
      </c>
      <c r="L8184" s="13">
        <v>128012596</v>
      </c>
      <c r="M8184" t="str">
        <f>VLOOKUP(L8184,[1]NonHumanPrimate!$B$2:$C$4000,2,FALSE)</f>
        <v>CxN</v>
      </c>
    </row>
    <row r="8185" spans="2:13" x14ac:dyDescent="0.25">
      <c r="B8185" s="31" t="s">
        <v>26303</v>
      </c>
      <c r="C8185" s="25" t="s">
        <v>25890</v>
      </c>
      <c r="D8185" s="25" t="s">
        <v>26232</v>
      </c>
      <c r="E8185" s="25"/>
      <c r="F8185" s="9" t="str">
        <f t="shared" si="121"/>
        <v>structure with developmental contribution from neural crest</v>
      </c>
      <c r="G8185" s="9" t="s">
        <v>5090</v>
      </c>
      <c r="H8185" s="9" t="s">
        <v>16405</v>
      </c>
      <c r="I8185" s="9" t="s">
        <v>965</v>
      </c>
      <c r="J8185" s="9" t="s">
        <v>966</v>
      </c>
      <c r="K8185" s="6" t="s">
        <v>15174</v>
      </c>
      <c r="L8185" s="13">
        <v>128012616</v>
      </c>
      <c r="M8185" t="str">
        <f>VLOOKUP(L8185,[1]NonHumanPrimate!$B$2:$C$4000,2,FALSE)</f>
        <v>CM</v>
      </c>
    </row>
    <row r="8186" spans="2:13" x14ac:dyDescent="0.25">
      <c r="B8186" s="31" t="s">
        <v>26299</v>
      </c>
      <c r="C8186" s="25" t="s">
        <v>26116</v>
      </c>
      <c r="D8186" s="25" t="s">
        <v>26232</v>
      </c>
      <c r="E8186" s="25"/>
      <c r="F8186" s="9" t="str">
        <f t="shared" si="121"/>
        <v>structure with developmental contribution from neural crest</v>
      </c>
      <c r="G8186" s="9" t="s">
        <v>5090</v>
      </c>
      <c r="H8186" s="9" t="s">
        <v>25720</v>
      </c>
      <c r="I8186" s="9" t="s">
        <v>14640</v>
      </c>
      <c r="J8186" s="9" t="s">
        <v>14641</v>
      </c>
      <c r="K8186" s="6" t="s">
        <v>15174</v>
      </c>
      <c r="L8186" s="13">
        <v>128012620</v>
      </c>
      <c r="M8186" t="str">
        <f>VLOOKUP(L8186,[1]NonHumanPrimate!$B$2:$C$4000,2,FALSE)</f>
        <v>PAC</v>
      </c>
    </row>
    <row r="8187" spans="2:13" x14ac:dyDescent="0.25">
      <c r="B8187" s="31" t="s">
        <v>26299</v>
      </c>
      <c r="C8187" s="25" t="s">
        <v>26116</v>
      </c>
      <c r="D8187" s="25" t="s">
        <v>26232</v>
      </c>
      <c r="E8187" s="25"/>
      <c r="F8187" s="9" t="str">
        <f t="shared" si="121"/>
        <v>structure with developmental contribution from neural crest</v>
      </c>
      <c r="G8187" s="9" t="s">
        <v>5090</v>
      </c>
      <c r="H8187" s="9" t="s">
        <v>25722</v>
      </c>
      <c r="I8187" s="9" t="s">
        <v>14642</v>
      </c>
      <c r="J8187" s="9" t="s">
        <v>14643</v>
      </c>
      <c r="K8187" s="6" t="s">
        <v>15174</v>
      </c>
      <c r="L8187" s="13">
        <v>128012634</v>
      </c>
      <c r="M8187" t="str">
        <f>VLOOKUP(L8187,[1]NonHumanPrimate!$B$2:$C$4000,2,FALSE)</f>
        <v>cPAC</v>
      </c>
    </row>
    <row r="8188" spans="2:13" x14ac:dyDescent="0.25">
      <c r="B8188" s="31" t="s">
        <v>26299</v>
      </c>
      <c r="C8188" s="25" t="s">
        <v>26116</v>
      </c>
      <c r="D8188" s="25" t="s">
        <v>26232</v>
      </c>
      <c r="E8188" s="25"/>
      <c r="F8188" s="9" t="str">
        <f t="shared" si="121"/>
        <v>structure with developmental contribution from neural crest</v>
      </c>
      <c r="G8188" s="9" t="s">
        <v>5090</v>
      </c>
      <c r="H8188" s="9" t="s">
        <v>25723</v>
      </c>
      <c r="I8188" s="9" t="s">
        <v>14644</v>
      </c>
      <c r="J8188" s="9" t="s">
        <v>14645</v>
      </c>
      <c r="K8188" s="6" t="s">
        <v>15174</v>
      </c>
      <c r="L8188" s="13">
        <v>128012638</v>
      </c>
      <c r="M8188" t="str">
        <f>VLOOKUP(L8188,[1]NonHumanPrimate!$B$2:$C$4000,2,FALSE)</f>
        <v>cPACd</v>
      </c>
    </row>
    <row r="8189" spans="2:13" x14ac:dyDescent="0.25">
      <c r="B8189" s="31" t="s">
        <v>26303</v>
      </c>
      <c r="C8189" s="25" t="s">
        <v>25804</v>
      </c>
      <c r="D8189" s="25" t="s">
        <v>26232</v>
      </c>
      <c r="E8189" s="25"/>
      <c r="F8189" s="9" t="str">
        <f t="shared" si="121"/>
        <v>structure with developmental contribution from neural crest</v>
      </c>
      <c r="G8189" s="9" t="s">
        <v>5090</v>
      </c>
      <c r="H8189" s="9" t="s">
        <v>23178</v>
      </c>
      <c r="I8189" s="9" t="s">
        <v>558</v>
      </c>
      <c r="J8189" s="9" t="s">
        <v>559</v>
      </c>
      <c r="K8189" s="6" t="s">
        <v>15174</v>
      </c>
      <c r="L8189" s="13">
        <v>128012678</v>
      </c>
      <c r="M8189" t="str">
        <f>VLOOKUP(L8189,[1]NonHumanPrimate!$B$2:$C$4000,2,FALSE)</f>
        <v>BLN</v>
      </c>
    </row>
    <row r="8190" spans="2:13" x14ac:dyDescent="0.25">
      <c r="B8190" s="31" t="s">
        <v>25743</v>
      </c>
      <c r="C8190" s="20"/>
      <c r="D8190" s="25" t="s">
        <v>26232</v>
      </c>
      <c r="E8190" s="25"/>
      <c r="F8190" s="9" t="str">
        <f t="shared" si="121"/>
        <v>structure with developmental contribution from neural crest</v>
      </c>
      <c r="G8190" s="9" t="s">
        <v>5090</v>
      </c>
      <c r="H8190" s="9" t="s">
        <v>22020</v>
      </c>
      <c r="I8190" s="9" t="s">
        <v>2054</v>
      </c>
      <c r="J8190" s="9" t="s">
        <v>2055</v>
      </c>
      <c r="K8190" s="6" t="s">
        <v>15174</v>
      </c>
      <c r="L8190" s="13">
        <v>128012818</v>
      </c>
      <c r="M8190" t="str">
        <f>VLOOKUP(L8190,[1]NonHumanPrimate!$B$2:$C$4000,2,FALSE)</f>
        <v>GE</v>
      </c>
    </row>
    <row r="8191" spans="2:13" x14ac:dyDescent="0.25">
      <c r="B8191" s="31" t="s">
        <v>26303</v>
      </c>
      <c r="C8191" s="25" t="s">
        <v>2585</v>
      </c>
      <c r="D8191" s="25" t="s">
        <v>26232</v>
      </c>
      <c r="E8191" s="25"/>
      <c r="F8191" s="9" t="str">
        <f t="shared" si="121"/>
        <v>structure with developmental contribution from neural crest</v>
      </c>
      <c r="G8191" s="9" t="s">
        <v>5090</v>
      </c>
      <c r="H8191" s="9" t="s">
        <v>22023</v>
      </c>
      <c r="I8191" s="9" t="s">
        <v>2585</v>
      </c>
      <c r="J8191" s="9" t="s">
        <v>2587</v>
      </c>
      <c r="K8191" s="6" t="s">
        <v>15174</v>
      </c>
      <c r="L8191" s="13">
        <v>128012822</v>
      </c>
      <c r="M8191" t="str">
        <f>VLOOKUP(L8191,[1]NonHumanPrimate!$B$2:$C$4000,2,FALSE)</f>
        <v>LGE</v>
      </c>
    </row>
    <row r="8192" spans="2:13" x14ac:dyDescent="0.25">
      <c r="B8192" s="31" t="s">
        <v>26303</v>
      </c>
      <c r="C8192" s="25" t="s">
        <v>2899</v>
      </c>
      <c r="D8192" s="25" t="s">
        <v>26232</v>
      </c>
      <c r="E8192" s="25"/>
      <c r="F8192" s="9" t="str">
        <f t="shared" si="121"/>
        <v>structure with developmental contribution from neural crest</v>
      </c>
      <c r="G8192" s="9" t="s">
        <v>5090</v>
      </c>
      <c r="H8192" s="9" t="s">
        <v>22030</v>
      </c>
      <c r="I8192" s="9" t="s">
        <v>2899</v>
      </c>
      <c r="J8192" s="9" t="s">
        <v>2901</v>
      </c>
      <c r="K8192" s="6" t="s">
        <v>15174</v>
      </c>
      <c r="L8192" s="13">
        <v>128012834</v>
      </c>
      <c r="M8192" t="str">
        <f>VLOOKUP(L8192,[1]NonHumanPrimate!$B$2:$C$4000,2,FALSE)</f>
        <v>MGE</v>
      </c>
    </row>
    <row r="8193" spans="2:13" x14ac:dyDescent="0.25">
      <c r="B8193" s="31" t="s">
        <v>26303</v>
      </c>
      <c r="C8193" s="25" t="s">
        <v>875</v>
      </c>
      <c r="D8193" s="25" t="s">
        <v>26232</v>
      </c>
      <c r="E8193" s="25"/>
      <c r="F8193" s="9" t="str">
        <f t="shared" si="121"/>
        <v>structure with developmental contribution from neural crest</v>
      </c>
      <c r="G8193" s="9" t="s">
        <v>5090</v>
      </c>
      <c r="H8193" s="9" t="s">
        <v>22035</v>
      </c>
      <c r="I8193" s="9" t="s">
        <v>875</v>
      </c>
      <c r="J8193" s="9" t="s">
        <v>877</v>
      </c>
      <c r="K8193" s="6" t="s">
        <v>15174</v>
      </c>
      <c r="L8193" s="13">
        <v>128012846</v>
      </c>
      <c r="M8193" t="str">
        <f>VLOOKUP(L8193,[1]NonHumanPrimate!$B$2:$C$4000,2,FALSE)</f>
        <v>CGE</v>
      </c>
    </row>
    <row r="8194" spans="2:13" x14ac:dyDescent="0.25">
      <c r="B8194" s="31" t="s">
        <v>26303</v>
      </c>
      <c r="C8194" s="25" t="s">
        <v>4976</v>
      </c>
      <c r="D8194" s="25" t="s">
        <v>26232</v>
      </c>
      <c r="E8194" s="25"/>
      <c r="F8194" s="9" t="str">
        <f t="shared" si="121"/>
        <v>structure with developmental contribution from neural crest</v>
      </c>
      <c r="G8194" s="9" t="s">
        <v>5090</v>
      </c>
      <c r="H8194" s="9" t="s">
        <v>23266</v>
      </c>
      <c r="I8194" s="9" t="s">
        <v>14646</v>
      </c>
      <c r="J8194" s="9" t="s">
        <v>14647</v>
      </c>
      <c r="K8194" s="6" t="s">
        <v>15174</v>
      </c>
      <c r="L8194" s="13">
        <v>128012920</v>
      </c>
      <c r="M8194" t="str">
        <f>VLOOKUP(L8194,[1]NonHumanPrimate!$B$2:$C$4000,2,FALSE)</f>
        <v>NACsm</v>
      </c>
    </row>
    <row r="8195" spans="2:13" x14ac:dyDescent="0.25">
      <c r="B8195" s="31" t="s">
        <v>26303</v>
      </c>
      <c r="C8195" s="25" t="s">
        <v>25982</v>
      </c>
      <c r="D8195" s="25" t="s">
        <v>26232</v>
      </c>
      <c r="E8195" s="25"/>
      <c r="F8195" s="9" t="str">
        <f t="shared" si="121"/>
        <v>structure with developmental contribution from neural crest</v>
      </c>
      <c r="G8195" s="9" t="s">
        <v>5090</v>
      </c>
      <c r="H8195" s="9" t="s">
        <v>23293</v>
      </c>
      <c r="I8195" s="9" t="s">
        <v>14648</v>
      </c>
      <c r="J8195" s="9" t="s">
        <v>14649</v>
      </c>
      <c r="K8195" s="6" t="s">
        <v>15174</v>
      </c>
      <c r="L8195" s="13">
        <v>128012926</v>
      </c>
      <c r="M8195" t="str">
        <f>VLOOKUP(L8195,[1]NonHumanPrimate!$B$2:$C$4000,2,FALSE)</f>
        <v>IsCjm</v>
      </c>
    </row>
    <row r="8196" spans="2:13" x14ac:dyDescent="0.25">
      <c r="B8196" s="31" t="s">
        <v>26303</v>
      </c>
      <c r="C8196" s="25" t="s">
        <v>25876</v>
      </c>
      <c r="D8196" s="25" t="s">
        <v>26232</v>
      </c>
      <c r="E8196" s="25"/>
      <c r="F8196" s="9" t="str">
        <f t="shared" si="121"/>
        <v>structure with developmental contribution from neural crest</v>
      </c>
      <c r="G8196" s="9" t="s">
        <v>5090</v>
      </c>
      <c r="H8196" s="9" t="s">
        <v>23272</v>
      </c>
      <c r="I8196" s="9" t="s">
        <v>1268</v>
      </c>
      <c r="J8196" s="9" t="s">
        <v>1273</v>
      </c>
      <c r="K8196" s="6" t="s">
        <v>15174</v>
      </c>
      <c r="L8196" s="13">
        <v>128012960</v>
      </c>
      <c r="M8196" t="str">
        <f>VLOOKUP(L8196,[1]NonHumanPrimate!$B$2:$C$4000,2,FALSE)</f>
        <v>Cla</v>
      </c>
    </row>
    <row r="8197" spans="2:13" x14ac:dyDescent="0.25">
      <c r="B8197" s="31" t="s">
        <v>26303</v>
      </c>
      <c r="C8197" s="25" t="s">
        <v>534</v>
      </c>
      <c r="D8197" s="25" t="s">
        <v>26232</v>
      </c>
      <c r="E8197" s="25"/>
      <c r="F8197" s="9" t="str">
        <f t="shared" si="121"/>
        <v>structure with developmental contribution from neural crest</v>
      </c>
      <c r="G8197" s="9" t="s">
        <v>5090</v>
      </c>
      <c r="H8197" s="9" t="s">
        <v>23276</v>
      </c>
      <c r="I8197" s="9" t="s">
        <v>534</v>
      </c>
      <c r="J8197" s="9" t="s">
        <v>537</v>
      </c>
      <c r="K8197" s="6" t="s">
        <v>15174</v>
      </c>
      <c r="L8197" s="13">
        <v>128012976</v>
      </c>
      <c r="M8197" t="str">
        <f>VLOOKUP(L8197,[1]NonHumanPrimate!$B$2:$C$4000,2,FALSE)</f>
        <v>BF</v>
      </c>
    </row>
    <row r="8198" spans="2:13" x14ac:dyDescent="0.25">
      <c r="B8198" s="31" t="s">
        <v>26303</v>
      </c>
      <c r="C8198" s="25" t="s">
        <v>1636</v>
      </c>
      <c r="D8198" s="25" t="s">
        <v>26232</v>
      </c>
      <c r="E8198" s="25"/>
      <c r="F8198" s="9" t="str">
        <f t="shared" si="121"/>
        <v>structure with developmental contribution from neural crest</v>
      </c>
      <c r="G8198" s="9" t="s">
        <v>5090</v>
      </c>
      <c r="H8198" s="9" t="s">
        <v>25569</v>
      </c>
      <c r="I8198" s="9" t="s">
        <v>14650</v>
      </c>
      <c r="J8198" s="9" t="s">
        <v>14651</v>
      </c>
      <c r="K8198" s="6" t="s">
        <v>15174</v>
      </c>
      <c r="L8198" s="13">
        <v>12984</v>
      </c>
      <c r="M8198" t="str">
        <f>VLOOKUP(L8198,[1]NonHumanPrimate!$B$2:$C$4000,2,FALSE)</f>
        <v>dlPF</v>
      </c>
    </row>
    <row r="8199" spans="2:13" x14ac:dyDescent="0.25">
      <c r="B8199" s="31" t="s">
        <v>26299</v>
      </c>
      <c r="C8199" s="25" t="s">
        <v>1242</v>
      </c>
      <c r="D8199" s="25" t="s">
        <v>26232</v>
      </c>
      <c r="E8199" s="25" t="s">
        <v>26306</v>
      </c>
      <c r="F8199" s="9" t="str">
        <f t="shared" si="121"/>
        <v>structure with developmental contribution from neural crest</v>
      </c>
      <c r="G8199" s="9" t="s">
        <v>5090</v>
      </c>
      <c r="H8199" s="9" t="s">
        <v>25639</v>
      </c>
      <c r="I8199" s="9" t="s">
        <v>14652</v>
      </c>
      <c r="J8199" s="9" t="s">
        <v>14653</v>
      </c>
      <c r="K8199" s="6" t="s">
        <v>15174</v>
      </c>
      <c r="L8199" s="13">
        <v>159658800</v>
      </c>
      <c r="M8199" t="str">
        <f>VLOOKUP(L8199,[1]NonHumanPrimate!$B$2:$C$4000,2,FALSE)</f>
        <v>rCGofz</v>
      </c>
    </row>
    <row r="8200" spans="2:13" x14ac:dyDescent="0.25">
      <c r="B8200" s="31" t="s">
        <v>26299</v>
      </c>
      <c r="C8200" s="25" t="s">
        <v>1242</v>
      </c>
      <c r="D8200" s="25" t="s">
        <v>26232</v>
      </c>
      <c r="E8200" s="25" t="s">
        <v>26306</v>
      </c>
      <c r="F8200" s="9" t="str">
        <f t="shared" si="121"/>
        <v>structure with developmental contribution from neural crest</v>
      </c>
      <c r="G8200" s="9" t="s">
        <v>5090</v>
      </c>
      <c r="H8200" s="9" t="s">
        <v>25650</v>
      </c>
      <c r="I8200" s="9" t="s">
        <v>14654</v>
      </c>
      <c r="J8200" s="9" t="s">
        <v>14655</v>
      </c>
      <c r="K8200" s="6" t="s">
        <v>15174</v>
      </c>
      <c r="L8200" s="13">
        <v>159658804</v>
      </c>
      <c r="M8200" t="str">
        <f>VLOOKUP(L8200,[1]NonHumanPrimate!$B$2:$C$4000,2,FALSE)</f>
        <v>rCGifz</v>
      </c>
    </row>
    <row r="8201" spans="2:13" x14ac:dyDescent="0.25">
      <c r="B8201" s="31" t="s">
        <v>26303</v>
      </c>
      <c r="C8201" s="25" t="s">
        <v>26173</v>
      </c>
      <c r="D8201" s="25" t="s">
        <v>26232</v>
      </c>
      <c r="E8201" s="25" t="s">
        <v>26306</v>
      </c>
      <c r="F8201" s="9" t="str">
        <f t="shared" si="121"/>
        <v>structure with developmental contribution from neural crest</v>
      </c>
      <c r="G8201" s="9" t="s">
        <v>5090</v>
      </c>
      <c r="H8201" s="9" t="s">
        <v>25640</v>
      </c>
      <c r="I8201" s="9" t="s">
        <v>14656</v>
      </c>
      <c r="J8201" s="9" t="s">
        <v>14657</v>
      </c>
      <c r="K8201" s="6" t="s">
        <v>15174</v>
      </c>
      <c r="L8201" s="13">
        <v>159658808</v>
      </c>
      <c r="M8201" t="str">
        <f>VLOOKUP(L8201,[1]NonHumanPrimate!$B$2:$C$4000,2,FALSE)</f>
        <v>S1ofz</v>
      </c>
    </row>
    <row r="8202" spans="2:13" x14ac:dyDescent="0.25">
      <c r="B8202" s="31" t="s">
        <v>26303</v>
      </c>
      <c r="C8202" s="25" t="s">
        <v>26173</v>
      </c>
      <c r="D8202" s="25" t="s">
        <v>26232</v>
      </c>
      <c r="E8202" s="25" t="s">
        <v>26306</v>
      </c>
      <c r="F8202" s="9" t="str">
        <f t="shared" si="121"/>
        <v>structure with developmental contribution from neural crest</v>
      </c>
      <c r="G8202" s="9" t="s">
        <v>5090</v>
      </c>
      <c r="H8202" s="9" t="s">
        <v>25651</v>
      </c>
      <c r="I8202" s="9" t="s">
        <v>14658</v>
      </c>
      <c r="J8202" s="9" t="s">
        <v>14659</v>
      </c>
      <c r="K8202" s="6" t="s">
        <v>15174</v>
      </c>
      <c r="L8202" s="13">
        <v>159658816</v>
      </c>
      <c r="M8202" t="str">
        <f>VLOOKUP(L8202,[1]NonHumanPrimate!$B$2:$C$4000,2,FALSE)</f>
        <v>S1ifz</v>
      </c>
    </row>
    <row r="8203" spans="2:13" x14ac:dyDescent="0.25">
      <c r="B8203" s="31" t="s">
        <v>26303</v>
      </c>
      <c r="C8203" s="20"/>
      <c r="D8203" s="25" t="s">
        <v>26232</v>
      </c>
      <c r="E8203" s="25" t="s">
        <v>26300</v>
      </c>
      <c r="F8203" s="9" t="str">
        <f t="shared" si="121"/>
        <v>structure with developmental contribution from neural crest</v>
      </c>
      <c r="G8203" s="9" t="s">
        <v>5090</v>
      </c>
      <c r="H8203" s="9" t="s">
        <v>25683</v>
      </c>
      <c r="I8203" s="9" t="s">
        <v>14660</v>
      </c>
      <c r="J8203" s="9" t="s">
        <v>14661</v>
      </c>
      <c r="K8203" s="6" t="s">
        <v>15174</v>
      </c>
      <c r="L8203" s="13">
        <v>159658820</v>
      </c>
      <c r="M8203" t="str">
        <f>VLOOKUP(L8203,[1]NonHumanPrimate!$B$2:$C$4000,2,FALSE)</f>
        <v>DMS</v>
      </c>
    </row>
    <row r="8204" spans="2:13" x14ac:dyDescent="0.25">
      <c r="B8204" s="31" t="s">
        <v>26303</v>
      </c>
      <c r="C8204" s="20"/>
      <c r="D8204" s="25" t="s">
        <v>26232</v>
      </c>
      <c r="E8204" s="25" t="s">
        <v>26300</v>
      </c>
      <c r="F8204" s="9" t="str">
        <f t="shared" si="121"/>
        <v>structure with developmental contribution from neural crest</v>
      </c>
      <c r="G8204" s="9" t="s">
        <v>5090</v>
      </c>
      <c r="H8204" s="9" t="s">
        <v>25710</v>
      </c>
      <c r="I8204" s="9" t="s">
        <v>14662</v>
      </c>
      <c r="J8204" s="9" t="s">
        <v>14663</v>
      </c>
      <c r="K8204" s="6" t="s">
        <v>15174</v>
      </c>
      <c r="L8204" s="13">
        <v>159658824</v>
      </c>
      <c r="M8204" t="str">
        <f>VLOOKUP(L8204,[1]NonHumanPrimate!$B$2:$C$4000,2,FALSE)</f>
        <v>Hem</v>
      </c>
    </row>
    <row r="8205" spans="2:13" x14ac:dyDescent="0.25">
      <c r="B8205" s="31" t="s">
        <v>26303</v>
      </c>
      <c r="C8205" s="25" t="s">
        <v>26175</v>
      </c>
      <c r="D8205" s="25" t="s">
        <v>26232</v>
      </c>
      <c r="E8205" s="25" t="s">
        <v>26306</v>
      </c>
      <c r="F8205" s="9" t="str">
        <f t="shared" si="121"/>
        <v>structure with developmental contribution from neural crest</v>
      </c>
      <c r="G8205" s="9" t="s">
        <v>5090</v>
      </c>
      <c r="H8205" s="9" t="s">
        <v>25641</v>
      </c>
      <c r="I8205" s="9" t="s">
        <v>14664</v>
      </c>
      <c r="J8205" s="9" t="s">
        <v>14665</v>
      </c>
      <c r="K8205" s="6" t="s">
        <v>15174</v>
      </c>
      <c r="L8205" s="13">
        <v>159658836</v>
      </c>
      <c r="M8205" t="str">
        <f>VLOOKUP(L8205,[1]NonHumanPrimate!$B$2:$C$4000,2,FALSE)</f>
        <v>V1ofz</v>
      </c>
    </row>
    <row r="8206" spans="2:13" x14ac:dyDescent="0.25">
      <c r="B8206" s="31" t="s">
        <v>26303</v>
      </c>
      <c r="C8206" s="25" t="s">
        <v>26175</v>
      </c>
      <c r="D8206" s="25" t="s">
        <v>26232</v>
      </c>
      <c r="E8206" s="25" t="s">
        <v>26306</v>
      </c>
      <c r="F8206" s="9" t="str">
        <f t="shared" si="121"/>
        <v>structure with developmental contribution from neural crest</v>
      </c>
      <c r="G8206" s="9" t="s">
        <v>5090</v>
      </c>
      <c r="H8206" s="9" t="s">
        <v>25637</v>
      </c>
      <c r="I8206" s="9" t="s">
        <v>14666</v>
      </c>
      <c r="J8206" s="9" t="s">
        <v>14667</v>
      </c>
      <c r="K8206" s="6" t="s">
        <v>15174</v>
      </c>
      <c r="L8206" s="13">
        <v>159658840</v>
      </c>
      <c r="M8206" t="str">
        <f>VLOOKUP(L8206,[1]NonHumanPrimate!$B$2:$C$4000,2,FALSE)</f>
        <v>V1tmz</v>
      </c>
    </row>
    <row r="8207" spans="2:13" x14ac:dyDescent="0.25">
      <c r="B8207" s="31" t="s">
        <v>26303</v>
      </c>
      <c r="C8207" s="20"/>
      <c r="D8207" s="25" t="s">
        <v>26232</v>
      </c>
      <c r="E8207" s="25" t="s">
        <v>26306</v>
      </c>
      <c r="F8207" s="9" t="str">
        <f t="shared" si="121"/>
        <v>structure with developmental contribution from neural crest</v>
      </c>
      <c r="G8207" s="9" t="s">
        <v>5090</v>
      </c>
      <c r="H8207" s="9" t="s">
        <v>25652</v>
      </c>
      <c r="I8207" s="9" t="s">
        <v>14668</v>
      </c>
      <c r="J8207" s="9" t="s">
        <v>14669</v>
      </c>
      <c r="K8207" s="6" t="s">
        <v>15174</v>
      </c>
      <c r="L8207" s="13">
        <v>159658844</v>
      </c>
      <c r="M8207" t="str">
        <f>VLOOKUP(L8207,[1]NonHumanPrimate!$B$2:$C$4000,2,FALSE)</f>
        <v>V1ifz</v>
      </c>
    </row>
    <row r="8208" spans="2:13" x14ac:dyDescent="0.25">
      <c r="B8208" s="31" t="s">
        <v>26299</v>
      </c>
      <c r="C8208" s="25" t="s">
        <v>2585</v>
      </c>
      <c r="D8208" s="25" t="s">
        <v>26232</v>
      </c>
      <c r="E8208" s="25"/>
      <c r="F8208" s="9" t="str">
        <f t="shared" si="121"/>
        <v>structure with developmental contribution from neural crest</v>
      </c>
      <c r="G8208" s="9" t="s">
        <v>5090</v>
      </c>
      <c r="H8208" s="9" t="s">
        <v>25733</v>
      </c>
      <c r="I8208" s="9" t="s">
        <v>14670</v>
      </c>
      <c r="J8208" s="9" t="s">
        <v>14671</v>
      </c>
      <c r="K8208" s="6" t="s">
        <v>15174</v>
      </c>
      <c r="L8208" s="13">
        <v>159658852</v>
      </c>
      <c r="M8208" t="str">
        <f>VLOOKUP(L8208,[1]NonHumanPrimate!$B$2:$C$4000,2,FALSE)</f>
        <v>LGEcx</v>
      </c>
    </row>
    <row r="8209" spans="2:13" x14ac:dyDescent="0.25">
      <c r="B8209" s="31" t="s">
        <v>26303</v>
      </c>
      <c r="C8209" s="20"/>
      <c r="D8209" s="25" t="s">
        <v>26232</v>
      </c>
      <c r="E8209" s="25" t="s">
        <v>26300</v>
      </c>
      <c r="F8209" s="9" t="str">
        <f t="shared" si="121"/>
        <v>structure with developmental contribution from neural crest</v>
      </c>
      <c r="G8209" s="9" t="s">
        <v>5090</v>
      </c>
      <c r="H8209" s="9" t="s">
        <v>16486</v>
      </c>
      <c r="I8209" s="9" t="s">
        <v>14672</v>
      </c>
      <c r="J8209" s="9" t="s">
        <v>14673</v>
      </c>
      <c r="K8209" s="6" t="s">
        <v>15174</v>
      </c>
      <c r="L8209" s="13">
        <v>294021766</v>
      </c>
      <c r="M8209" t="str">
        <f>VLOOKUP(L8209,[1]NonHumanPrimate!$B$2:$C$4000,2,FALSE)</f>
        <v>SG</v>
      </c>
    </row>
    <row r="8210" spans="2:13" x14ac:dyDescent="0.25">
      <c r="B8210" s="31" t="s">
        <v>26303</v>
      </c>
      <c r="C8210" s="25" t="s">
        <v>25813</v>
      </c>
      <c r="D8210" s="25" t="s">
        <v>26232</v>
      </c>
      <c r="E8210" s="25"/>
      <c r="F8210" s="9" t="str">
        <f t="shared" si="121"/>
        <v>structure with developmental contribution from neural crest</v>
      </c>
      <c r="G8210" s="9" t="s">
        <v>5090</v>
      </c>
      <c r="H8210" s="9" t="s">
        <v>21127</v>
      </c>
      <c r="I8210" s="9" t="s">
        <v>624</v>
      </c>
      <c r="J8210" s="9" t="s">
        <v>1186</v>
      </c>
      <c r="K8210" s="6" t="s">
        <v>15174</v>
      </c>
      <c r="L8210" s="13">
        <v>294021774</v>
      </c>
      <c r="M8210" t="str">
        <f>VLOOKUP(L8210,[1]NonHumanPrimate!$B$2:$C$4000,2,FALSE)</f>
        <v>MZ</v>
      </c>
    </row>
    <row r="8211" spans="2:13" x14ac:dyDescent="0.25">
      <c r="B8211" s="31" t="s">
        <v>25743</v>
      </c>
      <c r="C8211" s="20"/>
      <c r="D8211" s="25" t="s">
        <v>26232</v>
      </c>
      <c r="E8211" s="25"/>
      <c r="F8211" s="9" t="str">
        <f t="shared" si="121"/>
        <v>structure with developmental contribution from neural crest</v>
      </c>
      <c r="G8211" s="9" t="s">
        <v>5090</v>
      </c>
      <c r="H8211" s="9" t="s">
        <v>25580</v>
      </c>
      <c r="I8211" s="9" t="s">
        <v>1329</v>
      </c>
      <c r="J8211" s="9" t="s">
        <v>1330</v>
      </c>
      <c r="K8211" s="6" t="s">
        <v>15174</v>
      </c>
      <c r="L8211" s="13">
        <v>294021786</v>
      </c>
      <c r="M8211" t="str">
        <f>VLOOKUP(L8211,[1]NonHumanPrimate!$B$2:$C$4000,2,FALSE)</f>
        <v>L1</v>
      </c>
    </row>
    <row r="8212" spans="2:13" x14ac:dyDescent="0.25">
      <c r="B8212" s="31" t="s">
        <v>25743</v>
      </c>
      <c r="C8212" s="20"/>
      <c r="D8212" s="25" t="s">
        <v>26232</v>
      </c>
      <c r="E8212" s="25"/>
      <c r="F8212" s="9" t="str">
        <f t="shared" si="121"/>
        <v>structure with developmental contribution from neural crest</v>
      </c>
      <c r="G8212" s="9" t="s">
        <v>5090</v>
      </c>
      <c r="H8212" s="9" t="s">
        <v>25584</v>
      </c>
      <c r="I8212" s="9" t="s">
        <v>1332</v>
      </c>
      <c r="J8212" s="9" t="s">
        <v>1333</v>
      </c>
      <c r="K8212" s="6" t="s">
        <v>15174</v>
      </c>
      <c r="L8212" s="13">
        <v>294021800</v>
      </c>
      <c r="M8212" t="str">
        <f>VLOOKUP(L8212,[1]NonHumanPrimate!$B$2:$C$4000,2,FALSE)</f>
        <v>L2</v>
      </c>
    </row>
    <row r="8213" spans="2:13" x14ac:dyDescent="0.25">
      <c r="B8213" s="31" t="s">
        <v>25743</v>
      </c>
      <c r="C8213" s="20"/>
      <c r="D8213" s="25" t="s">
        <v>26232</v>
      </c>
      <c r="E8213" s="25"/>
      <c r="F8213" s="9" t="str">
        <f t="shared" si="121"/>
        <v>structure with developmental contribution from neural crest</v>
      </c>
      <c r="G8213" s="9" t="s">
        <v>5090</v>
      </c>
      <c r="H8213" s="9" t="s">
        <v>25590</v>
      </c>
      <c r="I8213" s="9" t="s">
        <v>14674</v>
      </c>
      <c r="J8213" s="9" t="s">
        <v>14675</v>
      </c>
      <c r="K8213" s="6" t="s">
        <v>15174</v>
      </c>
      <c r="L8213" s="13">
        <v>294021818</v>
      </c>
      <c r="M8213" t="str">
        <f>VLOOKUP(L8213,[1]NonHumanPrimate!$B$2:$C$4000,2,FALSE)</f>
        <v>L2/3</v>
      </c>
    </row>
    <row r="8214" spans="2:13" x14ac:dyDescent="0.25">
      <c r="B8214" s="31" t="s">
        <v>25743</v>
      </c>
      <c r="C8214" s="20"/>
      <c r="D8214" s="25" t="s">
        <v>26232</v>
      </c>
      <c r="E8214" s="25"/>
      <c r="F8214" s="9" t="str">
        <f t="shared" si="121"/>
        <v>structure with developmental contribution from neural crest</v>
      </c>
      <c r="G8214" s="9" t="s">
        <v>5090</v>
      </c>
      <c r="H8214" s="9" t="s">
        <v>25592</v>
      </c>
      <c r="I8214" s="9" t="s">
        <v>1335</v>
      </c>
      <c r="J8214" s="9" t="s">
        <v>1336</v>
      </c>
      <c r="K8214" s="6" t="s">
        <v>15174</v>
      </c>
      <c r="L8214" s="13">
        <v>294021824</v>
      </c>
      <c r="M8214" t="str">
        <f>VLOOKUP(L8214,[1]NonHumanPrimate!$B$2:$C$4000,2,FALSE)</f>
        <v>L3</v>
      </c>
    </row>
    <row r="8215" spans="2:13" x14ac:dyDescent="0.25">
      <c r="B8215" s="31" t="s">
        <v>26303</v>
      </c>
      <c r="C8215" s="25" t="s">
        <v>1347</v>
      </c>
      <c r="D8215" s="25" t="s">
        <v>26232</v>
      </c>
      <c r="E8215" s="25" t="s">
        <v>26306</v>
      </c>
      <c r="F8215" s="9" t="str">
        <f t="shared" si="121"/>
        <v>structure with developmental contribution from neural crest</v>
      </c>
      <c r="G8215" s="9" t="s">
        <v>5090</v>
      </c>
      <c r="H8215" s="9" t="s">
        <v>25598</v>
      </c>
      <c r="I8215" s="9" t="s">
        <v>14676</v>
      </c>
      <c r="J8215" s="9" t="s">
        <v>14677</v>
      </c>
      <c r="K8215" s="6" t="s">
        <v>15174</v>
      </c>
      <c r="L8215" s="13">
        <v>294021842</v>
      </c>
      <c r="M8215" t="str">
        <f>VLOOKUP(L8215,[1]NonHumanPrimate!$B$2:$C$4000,2,FALSE)</f>
        <v>CPo</v>
      </c>
    </row>
    <row r="8216" spans="2:13" x14ac:dyDescent="0.25">
      <c r="B8216" s="31" t="s">
        <v>25743</v>
      </c>
      <c r="C8216" s="20"/>
      <c r="D8216" s="25" t="s">
        <v>26232</v>
      </c>
      <c r="E8216" s="25"/>
      <c r="F8216" s="9" t="str">
        <f t="shared" si="121"/>
        <v>structure with developmental contribution from neural crest</v>
      </c>
      <c r="G8216" s="9" t="s">
        <v>5090</v>
      </c>
      <c r="H8216" s="9" t="s">
        <v>25602</v>
      </c>
      <c r="I8216" s="9" t="s">
        <v>1338</v>
      </c>
      <c r="J8216" s="9" t="s">
        <v>1339</v>
      </c>
      <c r="K8216" s="6" t="s">
        <v>15174</v>
      </c>
      <c r="L8216" s="13">
        <v>294021852</v>
      </c>
      <c r="M8216" t="str">
        <f>VLOOKUP(L8216,[1]NonHumanPrimate!$B$2:$C$4000,2,FALSE)</f>
        <v>L4</v>
      </c>
    </row>
    <row r="8217" spans="2:13" x14ac:dyDescent="0.25">
      <c r="B8217" s="31" t="s">
        <v>25743</v>
      </c>
      <c r="C8217" s="20"/>
      <c r="D8217" s="25" t="s">
        <v>26232</v>
      </c>
      <c r="E8217" s="25"/>
      <c r="F8217" s="9" t="str">
        <f t="shared" si="121"/>
        <v>structure with developmental contribution from neural crest</v>
      </c>
      <c r="G8217" s="9" t="s">
        <v>5090</v>
      </c>
      <c r="H8217" s="9" t="s">
        <v>25610</v>
      </c>
      <c r="I8217" s="9" t="s">
        <v>1341</v>
      </c>
      <c r="J8217" s="9" t="s">
        <v>1342</v>
      </c>
      <c r="K8217" s="6" t="s">
        <v>15174</v>
      </c>
      <c r="L8217" s="13">
        <v>294021878</v>
      </c>
      <c r="M8217" t="str">
        <f>VLOOKUP(L8217,[1]NonHumanPrimate!$B$2:$C$4000,2,FALSE)</f>
        <v>L5</v>
      </c>
    </row>
    <row r="8218" spans="2:13" x14ac:dyDescent="0.25">
      <c r="B8218" s="31" t="s">
        <v>25743</v>
      </c>
      <c r="C8218" s="20"/>
      <c r="D8218" s="25" t="s">
        <v>26232</v>
      </c>
      <c r="E8218" s="25"/>
      <c r="F8218" s="9" t="str">
        <f t="shared" si="121"/>
        <v>structure with developmental contribution from neural crest</v>
      </c>
      <c r="G8218" s="9" t="s">
        <v>5090</v>
      </c>
      <c r="H8218" s="9" t="s">
        <v>25617</v>
      </c>
      <c r="I8218" s="9" t="s">
        <v>1344</v>
      </c>
      <c r="J8218" s="9" t="s">
        <v>1345</v>
      </c>
      <c r="K8218" s="6" t="s">
        <v>15174</v>
      </c>
      <c r="L8218" s="13">
        <v>294021896</v>
      </c>
      <c r="M8218" t="str">
        <f>VLOOKUP(L8218,[1]NonHumanPrimate!$B$2:$C$4000,2,FALSE)</f>
        <v>L6</v>
      </c>
    </row>
    <row r="8219" spans="2:13" x14ac:dyDescent="0.25">
      <c r="B8219" s="31" t="s">
        <v>26303</v>
      </c>
      <c r="C8219" s="25" t="s">
        <v>1347</v>
      </c>
      <c r="D8219" s="25" t="s">
        <v>26232</v>
      </c>
      <c r="E8219" s="25"/>
      <c r="F8219" s="9" t="str">
        <f t="shared" si="121"/>
        <v>structure with developmental contribution from neural crest</v>
      </c>
      <c r="G8219" s="9" t="s">
        <v>5090</v>
      </c>
      <c r="H8219" s="9" t="s">
        <v>19744</v>
      </c>
      <c r="I8219" s="9" t="s">
        <v>1347</v>
      </c>
      <c r="J8219" s="9" t="s">
        <v>1350</v>
      </c>
      <c r="K8219" s="6" t="s">
        <v>15174</v>
      </c>
      <c r="L8219" s="13">
        <v>294021914</v>
      </c>
      <c r="M8219" t="str">
        <f>VLOOKUP(L8219,[1]NonHumanPrimate!$B$2:$C$4000,2,FALSE)</f>
        <v>CP</v>
      </c>
    </row>
    <row r="8220" spans="2:13" x14ac:dyDescent="0.25">
      <c r="B8220" s="31" t="s">
        <v>26303</v>
      </c>
      <c r="C8220" s="25" t="s">
        <v>1347</v>
      </c>
      <c r="D8220" s="25" t="s">
        <v>26232</v>
      </c>
      <c r="E8220" s="25"/>
      <c r="F8220" s="9" t="str">
        <f t="shared" si="121"/>
        <v>structure with developmental contribution from neural crest</v>
      </c>
      <c r="G8220" s="9" t="s">
        <v>5090</v>
      </c>
      <c r="H8220" s="9" t="s">
        <v>25624</v>
      </c>
      <c r="I8220" s="9" t="s">
        <v>14678</v>
      </c>
      <c r="J8220" s="9" t="s">
        <v>14679</v>
      </c>
      <c r="K8220" s="6" t="s">
        <v>15174</v>
      </c>
      <c r="L8220" s="13">
        <v>294021920</v>
      </c>
      <c r="M8220" t="str">
        <f>VLOOKUP(L8220,[1]NonHumanPrimate!$B$2:$C$4000,2,FALSE)</f>
        <v>CPi</v>
      </c>
    </row>
    <row r="8221" spans="2:13" x14ac:dyDescent="0.25">
      <c r="B8221" s="31" t="s">
        <v>26303</v>
      </c>
      <c r="C8221" s="25" t="s">
        <v>14107</v>
      </c>
      <c r="D8221" s="25" t="s">
        <v>26232</v>
      </c>
      <c r="E8221" s="25"/>
      <c r="F8221" s="9" t="str">
        <f t="shared" si="121"/>
        <v>structure with developmental contribution from neural crest</v>
      </c>
      <c r="G8221" s="9" t="s">
        <v>5090</v>
      </c>
      <c r="H8221" s="9" t="s">
        <v>15193</v>
      </c>
      <c r="I8221" s="9" t="s">
        <v>1354</v>
      </c>
      <c r="J8221" s="9" t="s">
        <v>1355</v>
      </c>
      <c r="K8221" s="6" t="s">
        <v>15174</v>
      </c>
      <c r="L8221" s="13">
        <v>294021932</v>
      </c>
      <c r="M8221" t="str">
        <f>VLOOKUP(L8221,[1]NonHumanPrimate!$B$2:$C$4000,2,FALSE)</f>
        <v>SP</v>
      </c>
    </row>
    <row r="8222" spans="2:13" x14ac:dyDescent="0.25">
      <c r="B8222" s="31" t="s">
        <v>26303</v>
      </c>
      <c r="C8222" s="20"/>
      <c r="D8222" s="25" t="s">
        <v>26232</v>
      </c>
      <c r="E8222" s="25" t="s">
        <v>26300</v>
      </c>
      <c r="F8222" s="9" t="str">
        <f t="shared" si="121"/>
        <v>structure with developmental contribution from neural crest</v>
      </c>
      <c r="G8222" s="9" t="s">
        <v>5090</v>
      </c>
      <c r="H8222" s="9" t="s">
        <v>25636</v>
      </c>
      <c r="I8222" s="9" t="s">
        <v>14680</v>
      </c>
      <c r="J8222" s="9" t="s">
        <v>14681</v>
      </c>
      <c r="K8222" s="6" t="s">
        <v>15174</v>
      </c>
      <c r="L8222" s="13">
        <v>294021954</v>
      </c>
      <c r="M8222" t="str">
        <f>VLOOKUP(L8222,[1]NonHumanPrimate!$B$2:$C$4000,2,FALSE)</f>
        <v>TMZ</v>
      </c>
    </row>
    <row r="8223" spans="2:13" x14ac:dyDescent="0.25">
      <c r="B8223" s="31" t="s">
        <v>26303</v>
      </c>
      <c r="C8223" s="20"/>
      <c r="D8223" s="25" t="s">
        <v>26232</v>
      </c>
      <c r="E8223" s="25" t="s">
        <v>26300</v>
      </c>
      <c r="F8223" s="9" t="str">
        <f t="shared" si="121"/>
        <v>structure with developmental contribution from neural crest</v>
      </c>
      <c r="G8223" s="9" t="s">
        <v>5090</v>
      </c>
      <c r="H8223" s="9" t="s">
        <v>25638</v>
      </c>
      <c r="I8223" s="9" t="s">
        <v>14682</v>
      </c>
      <c r="J8223" s="9" t="s">
        <v>14683</v>
      </c>
      <c r="K8223" s="6" t="s">
        <v>15174</v>
      </c>
      <c r="L8223" s="13">
        <v>294021960</v>
      </c>
      <c r="M8223" t="str">
        <f>VLOOKUP(L8223,[1]NonHumanPrimate!$B$2:$C$4000,2,FALSE)</f>
        <v>OFZ</v>
      </c>
    </row>
    <row r="8224" spans="2:13" x14ac:dyDescent="0.25">
      <c r="B8224" s="31" t="s">
        <v>26303</v>
      </c>
      <c r="C8224" s="25" t="s">
        <v>14738</v>
      </c>
      <c r="D8224" s="25" t="s">
        <v>26232</v>
      </c>
      <c r="E8224" s="25"/>
      <c r="F8224" s="9" t="str">
        <f t="shared" si="121"/>
        <v>structure with developmental contribution from neural crest</v>
      </c>
      <c r="G8224" s="9" t="s">
        <v>5090</v>
      </c>
      <c r="H8224" s="9" t="s">
        <v>21586</v>
      </c>
      <c r="I8224" s="9" t="s">
        <v>1188</v>
      </c>
      <c r="J8224" s="9" t="s">
        <v>1189</v>
      </c>
      <c r="K8224" s="6" t="s">
        <v>15174</v>
      </c>
      <c r="L8224" s="13">
        <v>294021970</v>
      </c>
      <c r="M8224" t="str">
        <f>VLOOKUP(L8224,[1]NonHumanPrimate!$B$2:$C$4000,2,FALSE)</f>
        <v>SZ</v>
      </c>
    </row>
    <row r="8225" spans="2:13" x14ac:dyDescent="0.25">
      <c r="B8225" s="31" t="s">
        <v>26303</v>
      </c>
      <c r="C8225" s="25" t="s">
        <v>14738</v>
      </c>
      <c r="D8225" s="25" t="s">
        <v>26232</v>
      </c>
      <c r="E8225" s="25"/>
      <c r="F8225" s="9" t="str">
        <f t="shared" si="121"/>
        <v>structure with developmental contribution from neural crest</v>
      </c>
      <c r="G8225" s="9" t="s">
        <v>5090</v>
      </c>
      <c r="H8225" s="9" t="s">
        <v>25645</v>
      </c>
      <c r="I8225" s="9" t="s">
        <v>14684</v>
      </c>
      <c r="J8225" s="9" t="s">
        <v>14685</v>
      </c>
      <c r="K8225" s="6" t="s">
        <v>15174</v>
      </c>
      <c r="L8225" s="13">
        <v>294021980</v>
      </c>
      <c r="M8225" t="str">
        <f>VLOOKUP(L8225,[1]NonHumanPrimate!$B$2:$C$4000,2,FALSE)</f>
        <v>SZo</v>
      </c>
    </row>
    <row r="8226" spans="2:13" x14ac:dyDescent="0.25">
      <c r="B8226" s="31" t="s">
        <v>26303</v>
      </c>
      <c r="C8226" s="20"/>
      <c r="D8226" s="25" t="s">
        <v>26232</v>
      </c>
      <c r="E8226" s="25" t="s">
        <v>26300</v>
      </c>
      <c r="F8226" s="9" t="str">
        <f t="shared" si="121"/>
        <v>structure with developmental contribution from neural crest</v>
      </c>
      <c r="G8226" s="9" t="s">
        <v>5090</v>
      </c>
      <c r="H8226" s="9" t="s">
        <v>25649</v>
      </c>
      <c r="I8226" s="9" t="s">
        <v>14686</v>
      </c>
      <c r="J8226" s="9" t="s">
        <v>14687</v>
      </c>
      <c r="K8226" s="6" t="s">
        <v>15174</v>
      </c>
      <c r="L8226" s="13">
        <v>294021990</v>
      </c>
      <c r="M8226" t="str">
        <f>VLOOKUP(L8226,[1]NonHumanPrimate!$B$2:$C$4000,2,FALSE)</f>
        <v>IFZ</v>
      </c>
    </row>
    <row r="8227" spans="2:13" x14ac:dyDescent="0.25">
      <c r="B8227" s="31" t="s">
        <v>26303</v>
      </c>
      <c r="C8227" s="25" t="s">
        <v>14738</v>
      </c>
      <c r="D8227" s="25" t="s">
        <v>26232</v>
      </c>
      <c r="E8227" s="25"/>
      <c r="F8227" s="9" t="str">
        <f t="shared" si="121"/>
        <v>structure with developmental contribution from neural crest</v>
      </c>
      <c r="G8227" s="9" t="s">
        <v>5090</v>
      </c>
      <c r="H8227" s="9" t="s">
        <v>25653</v>
      </c>
      <c r="I8227" s="9" t="s">
        <v>14688</v>
      </c>
      <c r="J8227" s="9" t="s">
        <v>14689</v>
      </c>
      <c r="K8227" s="6" t="s">
        <v>15174</v>
      </c>
      <c r="L8227" s="13">
        <v>294022000</v>
      </c>
      <c r="M8227" t="str">
        <f>VLOOKUP(L8227,[1]NonHumanPrimate!$B$2:$C$4000,2,FALSE)</f>
        <v>SZi</v>
      </c>
    </row>
    <row r="8228" spans="2:13" x14ac:dyDescent="0.25">
      <c r="B8228" s="31" t="s">
        <v>26303</v>
      </c>
      <c r="C8228" s="25" t="s">
        <v>14694</v>
      </c>
      <c r="D8228" s="25" t="s">
        <v>26232</v>
      </c>
      <c r="E8228" s="25"/>
      <c r="F8228" s="9" t="str">
        <f t="shared" si="121"/>
        <v>structure with developmental contribution from neural crest</v>
      </c>
      <c r="G8228" s="9" t="s">
        <v>5090</v>
      </c>
      <c r="H8228" s="9" t="s">
        <v>25657</v>
      </c>
      <c r="I8228" s="9" t="s">
        <v>14690</v>
      </c>
      <c r="J8228" s="9" t="s">
        <v>14691</v>
      </c>
      <c r="K8228" s="6" t="s">
        <v>15174</v>
      </c>
      <c r="L8228" s="13">
        <v>294022010</v>
      </c>
      <c r="M8228" t="str">
        <f>VLOOKUP(L8228,[1]NonHumanPrimate!$B$2:$C$4000,2,FALSE)</f>
        <v>VZo</v>
      </c>
    </row>
    <row r="8229" spans="2:13" x14ac:dyDescent="0.25">
      <c r="B8229" s="31" t="s">
        <v>26303</v>
      </c>
      <c r="C8229" s="25" t="s">
        <v>14694</v>
      </c>
      <c r="D8229" s="25" t="s">
        <v>26232</v>
      </c>
      <c r="E8229" s="25"/>
      <c r="F8229" s="9" t="str">
        <f t="shared" si="121"/>
        <v>structure with developmental contribution from neural crest</v>
      </c>
      <c r="G8229" s="9" t="s">
        <v>5090</v>
      </c>
      <c r="H8229" s="9" t="s">
        <v>25661</v>
      </c>
      <c r="I8229" s="9" t="s">
        <v>14692</v>
      </c>
      <c r="J8229" s="9" t="s">
        <v>14693</v>
      </c>
      <c r="K8229" s="6" t="s">
        <v>15174</v>
      </c>
      <c r="L8229" s="13">
        <v>294022020</v>
      </c>
      <c r="M8229" t="str">
        <f>VLOOKUP(L8229,[1]NonHumanPrimate!$B$2:$C$4000,2,FALSE)</f>
        <v>VZi</v>
      </c>
    </row>
    <row r="8230" spans="2:13" x14ac:dyDescent="0.25">
      <c r="B8230" s="31" t="s">
        <v>26303</v>
      </c>
      <c r="C8230" s="25" t="s">
        <v>14694</v>
      </c>
      <c r="D8230" s="25" t="s">
        <v>26232</v>
      </c>
      <c r="E8230" s="25"/>
      <c r="F8230" s="9" t="str">
        <f t="shared" si="121"/>
        <v>structure with developmental contribution from neural crest</v>
      </c>
      <c r="G8230" s="9" t="s">
        <v>5090</v>
      </c>
      <c r="H8230" s="9" t="s">
        <v>21867</v>
      </c>
      <c r="I8230" s="9" t="s">
        <v>14694</v>
      </c>
      <c r="J8230" s="9" t="s">
        <v>14695</v>
      </c>
      <c r="K8230" s="6" t="s">
        <v>15174</v>
      </c>
      <c r="L8230" s="13">
        <v>294022030</v>
      </c>
      <c r="M8230" t="str">
        <f>VLOOKUP(L8230,[1]NonHumanPrimate!$B$2:$C$4000,2,FALSE)</f>
        <v>VZ</v>
      </c>
    </row>
    <row r="8231" spans="2:13" x14ac:dyDescent="0.25">
      <c r="B8231" s="31" t="s">
        <v>26303</v>
      </c>
      <c r="C8231" s="25" t="s">
        <v>25865</v>
      </c>
      <c r="D8231" s="25" t="s">
        <v>26232</v>
      </c>
      <c r="E8231" s="25"/>
      <c r="F8231" s="9" t="str">
        <f t="shared" si="121"/>
        <v>structure with developmental contribution from neural crest</v>
      </c>
      <c r="G8231" s="9" t="s">
        <v>5090</v>
      </c>
      <c r="H8231" s="9" t="s">
        <v>25473</v>
      </c>
      <c r="I8231" s="9" t="s">
        <v>632</v>
      </c>
      <c r="J8231" s="9" t="s">
        <v>1207</v>
      </c>
      <c r="K8231" s="6" t="s">
        <v>15174</v>
      </c>
      <c r="L8231" s="13">
        <v>294022044</v>
      </c>
      <c r="M8231" t="str">
        <f>VLOOKUP(L8231,[1]NonHumanPrimate!$B$2:$C$4000,2,FALSE)</f>
        <v>WM</v>
      </c>
    </row>
    <row r="8232" spans="2:13" x14ac:dyDescent="0.25">
      <c r="B8232" s="31" t="s">
        <v>26299</v>
      </c>
      <c r="C8232" s="25" t="s">
        <v>3152</v>
      </c>
      <c r="D8232" s="25" t="s">
        <v>26232</v>
      </c>
      <c r="E8232" s="25"/>
      <c r="F8232" s="9" t="str">
        <f t="shared" si="121"/>
        <v>structure with developmental contribution from neural crest</v>
      </c>
      <c r="G8232" s="9" t="s">
        <v>5090</v>
      </c>
      <c r="H8232" s="9" t="s">
        <v>22786</v>
      </c>
      <c r="I8232" s="9" t="s">
        <v>14696</v>
      </c>
      <c r="J8232" s="9" t="s">
        <v>14697</v>
      </c>
      <c r="K8232" s="6" t="s">
        <v>15174</v>
      </c>
      <c r="L8232" s="13">
        <v>4000</v>
      </c>
      <c r="M8232" t="str">
        <f>VLOOKUP(L8232,[1]NonHumanPrimate!$B$2:$C$4000,2,FALSE)</f>
        <v>MFC</v>
      </c>
    </row>
    <row r="8233" spans="2:13" x14ac:dyDescent="0.25">
      <c r="B8233" s="31" t="s">
        <v>26303</v>
      </c>
      <c r="C8233" s="25" t="s">
        <v>25805</v>
      </c>
      <c r="D8233" s="25" t="s">
        <v>26232</v>
      </c>
      <c r="E8233" s="25"/>
      <c r="F8233" s="9" t="str">
        <f t="shared" si="121"/>
        <v>structure with developmental contribution from neural crest</v>
      </c>
      <c r="G8233" s="9" t="s">
        <v>5090</v>
      </c>
      <c r="H8233" s="9" t="s">
        <v>23240</v>
      </c>
      <c r="I8233" s="9" t="s">
        <v>539</v>
      </c>
      <c r="J8233" s="9" t="s">
        <v>1292</v>
      </c>
      <c r="K8233" s="6" t="s">
        <v>15174</v>
      </c>
      <c r="L8233" s="13">
        <v>4001</v>
      </c>
      <c r="M8233" t="str">
        <f>VLOOKUP(L8233,[1]NonHumanPrimate!$B$2:$C$4000,2,FALSE)</f>
        <v>BN</v>
      </c>
    </row>
    <row r="8234" spans="2:13" x14ac:dyDescent="0.25">
      <c r="B8234" s="31" t="s">
        <v>26303</v>
      </c>
      <c r="C8234" s="25" t="s">
        <v>233</v>
      </c>
      <c r="D8234" s="25" t="s">
        <v>26232</v>
      </c>
      <c r="E8234" s="25"/>
      <c r="F8234" s="9" t="str">
        <f t="shared" si="121"/>
        <v>structure with developmental contribution from neural crest</v>
      </c>
      <c r="G8234" s="9" t="s">
        <v>5090</v>
      </c>
      <c r="H8234" s="9" t="s">
        <v>25717</v>
      </c>
      <c r="I8234" s="9" t="s">
        <v>231</v>
      </c>
      <c r="J8234" s="9" t="s">
        <v>235</v>
      </c>
      <c r="K8234" s="6" t="s">
        <v>15174</v>
      </c>
      <c r="L8234" s="13">
        <v>4002</v>
      </c>
      <c r="M8234" t="str">
        <f>VLOOKUP(L8234,[1]NonHumanPrimate!$B$2:$C$4000,2,FALSE)</f>
        <v>Amy</v>
      </c>
    </row>
    <row r="8235" spans="2:13" x14ac:dyDescent="0.25">
      <c r="B8235" s="31" t="s">
        <v>26303</v>
      </c>
      <c r="C8235" s="25" t="s">
        <v>3376</v>
      </c>
      <c r="D8235" s="25" t="s">
        <v>26232</v>
      </c>
      <c r="E8235" s="25"/>
      <c r="F8235" s="9" t="str">
        <f t="shared" si="121"/>
        <v>structure with developmental contribution from neural crest</v>
      </c>
      <c r="G8235" s="9" t="s">
        <v>5090</v>
      </c>
      <c r="H8235" s="9" t="s">
        <v>22669</v>
      </c>
      <c r="I8235" s="9" t="s">
        <v>3376</v>
      </c>
      <c r="J8235" s="9" t="s">
        <v>3378</v>
      </c>
      <c r="K8235" s="6" t="s">
        <v>15174</v>
      </c>
      <c r="L8235" s="13">
        <v>4004</v>
      </c>
      <c r="M8235" t="str">
        <f>VLOOKUP(L8235,[1]NonHumanPrimate!$B$2:$C$4000,2,FALSE)</f>
        <v>Ocx</v>
      </c>
    </row>
    <row r="8236" spans="2:13" x14ac:dyDescent="0.25">
      <c r="B8236" s="31" t="s">
        <v>26299</v>
      </c>
      <c r="C8236" s="25" t="s">
        <v>1242</v>
      </c>
      <c r="D8236" s="25" t="s">
        <v>26232</v>
      </c>
      <c r="E8236" s="25" t="s">
        <v>26306</v>
      </c>
      <c r="F8236" s="9" t="str">
        <f t="shared" si="121"/>
        <v>structure with developmental contribution from neural crest</v>
      </c>
      <c r="G8236" s="9" t="s">
        <v>5090</v>
      </c>
      <c r="H8236" s="9" t="s">
        <v>25572</v>
      </c>
      <c r="I8236" s="9" t="s">
        <v>14698</v>
      </c>
      <c r="J8236" s="9" t="s">
        <v>14699</v>
      </c>
      <c r="K8236" s="6" t="s">
        <v>15174</v>
      </c>
      <c r="L8236" s="13">
        <v>9999</v>
      </c>
      <c r="M8236" t="str">
        <f>VLOOKUP(L8236,[1]NonHumanPrimate!$B$2:$C$4000,2,FALSE)</f>
        <v>rCG</v>
      </c>
    </row>
    <row r="8237" spans="2:13" x14ac:dyDescent="0.25">
      <c r="B8237" s="31" t="s">
        <v>25743</v>
      </c>
      <c r="C8237" s="20"/>
      <c r="D8237" s="25" t="s">
        <v>642</v>
      </c>
      <c r="E8237" s="25"/>
      <c r="F8237" s="9" t="str">
        <f>HYPERLINK("https://www.ebi.ac.uk/ols/ontologies/uberon/terms?iri=http://purl.obolibrary.org/obo/UBERON_0006119","subbrachial nucleus")</f>
        <v>subbrachial nucleus</v>
      </c>
      <c r="G8237" s="9" t="s">
        <v>14700</v>
      </c>
      <c r="H8237" s="9" t="s">
        <v>24051</v>
      </c>
      <c r="I8237" s="9" t="s">
        <v>642</v>
      </c>
      <c r="J8237" s="9" t="s">
        <v>643</v>
      </c>
      <c r="K8237" s="4" t="s">
        <v>15175</v>
      </c>
      <c r="L8237" s="13">
        <v>12290</v>
      </c>
      <c r="M8237" t="str">
        <f>VLOOKUP(L8237,[1]Human_BrainSpan!$B$2:$C$4000,2,FALSE)</f>
        <v>SubB</v>
      </c>
    </row>
    <row r="8238" spans="2:13" x14ac:dyDescent="0.25">
      <c r="B8238" s="31" t="s">
        <v>25743</v>
      </c>
      <c r="C8238" s="20"/>
      <c r="D8238" s="25" t="s">
        <v>14704</v>
      </c>
      <c r="E8238" s="25"/>
      <c r="F8238" s="9" t="str">
        <f>HYPERLINK("https://www.ebi.ac.uk/ols/ontologies/uberon/terms?iri=http://purl.obolibrary.org/obo/UBERON_0022250","subcallosal fasciculus")</f>
        <v>subcallosal fasciculus</v>
      </c>
      <c r="G8238" s="9" t="s">
        <v>14701</v>
      </c>
      <c r="H8238" s="9" t="s">
        <v>23621</v>
      </c>
      <c r="I8238" s="9" t="s">
        <v>14702</v>
      </c>
      <c r="J8238" s="9" t="s">
        <v>14703</v>
      </c>
      <c r="K8238" s="4" t="s">
        <v>15175</v>
      </c>
      <c r="L8238" s="13">
        <v>12071</v>
      </c>
      <c r="M8238" t="str">
        <f>VLOOKUP(L8238,[1]Human_BrainSpan!$B$2:$C$4000,2,FALSE)</f>
        <v>offs</v>
      </c>
    </row>
    <row r="8239" spans="2:13" x14ac:dyDescent="0.25">
      <c r="B8239" s="31" t="s">
        <v>25743</v>
      </c>
      <c r="C8239" s="20"/>
      <c r="D8239" s="25" t="s">
        <v>14704</v>
      </c>
      <c r="E8239" s="25"/>
      <c r="F8239" s="9" t="str">
        <f>HYPERLINK("https://www.ebi.ac.uk/ols/ontologies/uberon/terms?iri=http://purl.obolibrary.org/obo/UBERON_0022250","subcallosal fasciculus")</f>
        <v>subcallosal fasciculus</v>
      </c>
      <c r="G8239" s="9" t="s">
        <v>14701</v>
      </c>
      <c r="H8239" s="9" t="s">
        <v>23648</v>
      </c>
      <c r="I8239" s="9" t="s">
        <v>14704</v>
      </c>
      <c r="J8239" s="9" t="s">
        <v>14705</v>
      </c>
      <c r="K8239" s="7" t="s">
        <v>15171</v>
      </c>
      <c r="L8239" s="13">
        <v>265505338</v>
      </c>
      <c r="M8239" t="str">
        <f>VLOOKUP(L8239,[1]HBA!$B$2:$C$4000,2,FALSE)</f>
        <v>scf</v>
      </c>
    </row>
    <row r="8240" spans="2:13" x14ac:dyDescent="0.25">
      <c r="B8240" s="31" t="s">
        <v>25743</v>
      </c>
      <c r="C8240" s="20"/>
      <c r="D8240" s="25" t="s">
        <v>2079</v>
      </c>
      <c r="E8240" s="25"/>
      <c r="F8240" s="9" t="str">
        <f>HYPERLINK("https://www.ebi.ac.uk/ols/ontologies/uberon/terms?iri=http://purl.obolibrary.org/obo/UBERON_0002139","subcommissural organ")</f>
        <v>subcommissural organ</v>
      </c>
      <c r="G8240" s="9" t="s">
        <v>14706</v>
      </c>
      <c r="H8240" s="9" t="s">
        <v>16611</v>
      </c>
      <c r="I8240" s="9" t="s">
        <v>2079</v>
      </c>
      <c r="J8240" s="9" t="s">
        <v>14707</v>
      </c>
      <c r="K8240" s="4" t="s">
        <v>15175</v>
      </c>
      <c r="L8240" s="13">
        <v>12101</v>
      </c>
      <c r="M8240" t="str">
        <f>VLOOKUP(L8240,[1]Human_BrainSpan!$B$2:$C$4000,2,FALSE)</f>
        <v>SCO</v>
      </c>
    </row>
    <row r="8241" spans="2:13" x14ac:dyDescent="0.25">
      <c r="B8241" s="31" t="s">
        <v>25743</v>
      </c>
      <c r="C8241" s="20"/>
      <c r="D8241" s="25" t="s">
        <v>2079</v>
      </c>
      <c r="E8241" s="25"/>
      <c r="F8241" s="9" t="str">
        <f>HYPERLINK("https://www.ebi.ac.uk/ols/ontologies/uberon/terms?iri=http://purl.obolibrary.org/obo/UBERON_0002139","subcommissural organ")</f>
        <v>subcommissural organ</v>
      </c>
      <c r="G8241" s="9" t="s">
        <v>14706</v>
      </c>
      <c r="H8241" s="9" t="s">
        <v>16611</v>
      </c>
      <c r="I8241" s="9" t="s">
        <v>2079</v>
      </c>
      <c r="J8241" s="9" t="s">
        <v>2080</v>
      </c>
      <c r="K8241" s="5" t="s">
        <v>15173</v>
      </c>
      <c r="L8241" s="13">
        <v>16514</v>
      </c>
      <c r="M8241" t="str">
        <f>VLOOKUP(L8241,[1]DevMouse!$B$2:$C$2693,2,FALSE)</f>
        <v>SCO</v>
      </c>
    </row>
    <row r="8242" spans="2:13" x14ac:dyDescent="0.25">
      <c r="B8242" s="31" t="s">
        <v>25743</v>
      </c>
      <c r="C8242" s="20"/>
      <c r="D8242" s="25" t="s">
        <v>2079</v>
      </c>
      <c r="E8242" s="25"/>
      <c r="F8242" s="9" t="str">
        <f>HYPERLINK("https://www.ebi.ac.uk/ols/ontologies/uberon/terms?iri=http://purl.obolibrary.org/obo/UBERON_0002139","subcommissural organ")</f>
        <v>subcommissural organ</v>
      </c>
      <c r="G8242" s="9" t="s">
        <v>14706</v>
      </c>
      <c r="H8242" s="9" t="s">
        <v>16611</v>
      </c>
      <c r="I8242" s="9" t="s">
        <v>2079</v>
      </c>
      <c r="J8242" s="9" t="s">
        <v>14708</v>
      </c>
      <c r="K8242" s="7" t="s">
        <v>15171</v>
      </c>
      <c r="L8242" s="13">
        <v>9489</v>
      </c>
      <c r="M8242" t="str">
        <f>VLOOKUP(L8242,[1]HBA!$B$2:$C$4000,2,FALSE)</f>
        <v>SCO</v>
      </c>
    </row>
    <row r="8243" spans="2:13" x14ac:dyDescent="0.25">
      <c r="B8243" s="31" t="s">
        <v>25743</v>
      </c>
      <c r="C8243" s="20"/>
      <c r="D8243" s="25" t="s">
        <v>14710</v>
      </c>
      <c r="E8243" s="25"/>
      <c r="F8243" s="9" t="str">
        <f>HYPERLINK("https://www.ebi.ac.uk/ols/ontologies/uberon/terms?iri=http://purl.obolibrary.org/obo/UBERON_0002700","subcuneiform nucleus")</f>
        <v>subcuneiform nucleus</v>
      </c>
      <c r="G8243" s="9" t="s">
        <v>14709</v>
      </c>
      <c r="H8243" s="9" t="s">
        <v>23995</v>
      </c>
      <c r="I8243" s="9" t="s">
        <v>14710</v>
      </c>
      <c r="J8243" s="9" t="s">
        <v>14711</v>
      </c>
      <c r="K8243" s="4" t="s">
        <v>15175</v>
      </c>
      <c r="L8243" s="13">
        <v>12246</v>
      </c>
      <c r="M8243" t="str">
        <f>VLOOKUP(L8243,[1]Human_BrainSpan!$B$2:$C$4000,2,FALSE)</f>
        <v>SubCn</v>
      </c>
    </row>
    <row r="8244" spans="2:13" x14ac:dyDescent="0.25">
      <c r="B8244" s="31" t="s">
        <v>25743</v>
      </c>
      <c r="C8244" s="20"/>
      <c r="D8244" s="25" t="s">
        <v>14710</v>
      </c>
      <c r="E8244" s="25"/>
      <c r="F8244" s="9" t="str">
        <f>HYPERLINK("https://www.ebi.ac.uk/ols/ontologies/uberon/terms?iri=http://purl.obolibrary.org/obo/UBERON_0002700","subcuneiform nucleus")</f>
        <v>subcuneiform nucleus</v>
      </c>
      <c r="G8244" s="9" t="s">
        <v>14709</v>
      </c>
      <c r="H8244" s="9" t="s">
        <v>17180</v>
      </c>
      <c r="I8244" s="9" t="s">
        <v>14710</v>
      </c>
      <c r="J8244" s="9" t="s">
        <v>14712</v>
      </c>
      <c r="K8244" s="5" t="s">
        <v>15173</v>
      </c>
      <c r="L8244" s="13">
        <v>16787</v>
      </c>
      <c r="M8244" t="str">
        <f>VLOOKUP(L8244,[1]DevMouse!$B$2:$C$2693,2,FALSE)</f>
        <v>SCnF</v>
      </c>
    </row>
    <row r="8245" spans="2:13" x14ac:dyDescent="0.25">
      <c r="B8245" s="31" t="s">
        <v>25743</v>
      </c>
      <c r="C8245" s="20"/>
      <c r="D8245" s="25" t="s">
        <v>14710</v>
      </c>
      <c r="E8245" s="25"/>
      <c r="F8245" s="9" t="str">
        <f>HYPERLINK("https://www.ebi.ac.uk/ols/ontologies/uberon/terms?iri=http://purl.obolibrary.org/obo/UBERON_0002700","subcuneiform nucleus")</f>
        <v>subcuneiform nucleus</v>
      </c>
      <c r="G8245" s="9" t="s">
        <v>14709</v>
      </c>
      <c r="H8245" s="9" t="s">
        <v>23995</v>
      </c>
      <c r="I8245" s="9" t="s">
        <v>14713</v>
      </c>
      <c r="J8245" s="9" t="s">
        <v>14714</v>
      </c>
      <c r="K8245" s="7" t="s">
        <v>15171</v>
      </c>
      <c r="L8245" s="13">
        <v>9022</v>
      </c>
      <c r="M8245" t="str">
        <f>VLOOKUP(L8245,[1]HBA!$B$2:$C$4000,2,FALSE)</f>
        <v>SubCn</v>
      </c>
    </row>
    <row r="8246" spans="2:13" x14ac:dyDescent="0.25">
      <c r="B8246" s="31" t="s">
        <v>25743</v>
      </c>
      <c r="C8246" s="20"/>
      <c r="D8246" s="25" t="s">
        <v>14716</v>
      </c>
      <c r="E8246" s="25"/>
      <c r="F8246" s="9" t="str">
        <f>HYPERLINK("https://www.ebi.ac.uk/ols/ontologies/uberon/terms?iri=http://purl.obolibrary.org/obo/UBERON_0002219","subfornical organ")</f>
        <v>subfornical organ</v>
      </c>
      <c r="G8246" s="9" t="s">
        <v>14715</v>
      </c>
      <c r="H8246" s="9" t="s">
        <v>20068</v>
      </c>
      <c r="I8246" s="9" t="s">
        <v>14716</v>
      </c>
      <c r="J8246" s="9" t="s">
        <v>14717</v>
      </c>
      <c r="K8246" s="4" t="s">
        <v>15175</v>
      </c>
      <c r="L8246" s="13">
        <v>12104</v>
      </c>
      <c r="M8246" t="str">
        <f>VLOOKUP(L8246,[1]Human_BrainSpan!$B$2:$C$4000,2,FALSE)</f>
        <v>SFO</v>
      </c>
    </row>
    <row r="8247" spans="2:13" x14ac:dyDescent="0.25">
      <c r="B8247" s="31" t="s">
        <v>25743</v>
      </c>
      <c r="C8247" s="20"/>
      <c r="D8247" s="25" t="s">
        <v>14716</v>
      </c>
      <c r="E8247" s="25"/>
      <c r="F8247" s="9" t="str">
        <f>HYPERLINK("https://www.ebi.ac.uk/ols/ontologies/uberon/terms?iri=http://purl.obolibrary.org/obo/UBERON_0002219","subfornical organ")</f>
        <v>subfornical organ</v>
      </c>
      <c r="G8247" s="9" t="s">
        <v>14715</v>
      </c>
      <c r="H8247" s="9" t="s">
        <v>20068</v>
      </c>
      <c r="I8247" s="9" t="s">
        <v>14716</v>
      </c>
      <c r="J8247" s="9" t="s">
        <v>14718</v>
      </c>
      <c r="K8247" s="3" t="s">
        <v>15176</v>
      </c>
      <c r="L8247" s="13">
        <v>338</v>
      </c>
      <c r="M8247" t="str">
        <f>VLOOKUP(L8247,[1]Mouse_ARA!$B$2:$C$1328,2,FALSE)</f>
        <v>SFO</v>
      </c>
    </row>
    <row r="8248" spans="2:13" x14ac:dyDescent="0.25">
      <c r="B8248" s="31" t="s">
        <v>25743</v>
      </c>
      <c r="C8248" s="20"/>
      <c r="D8248" s="25" t="s">
        <v>14722</v>
      </c>
      <c r="E8248" s="25"/>
      <c r="F8248" s="9" t="str">
        <f t="shared" ref="F8248:F8254" si="122">HYPERLINK("https://www.ebi.ac.uk/ols/ontologies/uberon/terms?iri=http://purl.obolibrary.org/obo/UBERON_0002191","subiculum")</f>
        <v>subiculum</v>
      </c>
      <c r="G8248" s="9" t="s">
        <v>14719</v>
      </c>
      <c r="H8248" s="9" t="s">
        <v>23095</v>
      </c>
      <c r="I8248" s="9" t="s">
        <v>14720</v>
      </c>
      <c r="J8248" s="9" t="s">
        <v>14721</v>
      </c>
      <c r="K8248" s="4" t="s">
        <v>15175</v>
      </c>
      <c r="L8248" s="13">
        <v>10301</v>
      </c>
      <c r="M8248" t="str">
        <f>VLOOKUP(L8248,[1]Human_BrainSpan!$B$2:$C$4000,2,FALSE)</f>
        <v>Sub</v>
      </c>
    </row>
    <row r="8249" spans="2:13" x14ac:dyDescent="0.25">
      <c r="B8249" s="31" t="s">
        <v>25743</v>
      </c>
      <c r="C8249" s="20"/>
      <c r="D8249" s="25" t="s">
        <v>14722</v>
      </c>
      <c r="E8249" s="25"/>
      <c r="F8249" s="9" t="str">
        <f t="shared" si="122"/>
        <v>subiculum</v>
      </c>
      <c r="G8249" s="9" t="s">
        <v>14719</v>
      </c>
      <c r="H8249" s="9" t="s">
        <v>15962</v>
      </c>
      <c r="I8249" s="9" t="s">
        <v>14722</v>
      </c>
      <c r="J8249" s="9" t="s">
        <v>14723</v>
      </c>
      <c r="K8249" s="4" t="s">
        <v>15175</v>
      </c>
      <c r="L8249" s="13">
        <v>10302</v>
      </c>
      <c r="M8249" t="str">
        <f>VLOOKUP(L8249,[1]Human_BrainSpan!$B$2:$C$4000,2,FALSE)</f>
        <v>S</v>
      </c>
    </row>
    <row r="8250" spans="2:13" x14ac:dyDescent="0.25">
      <c r="B8250" s="31" t="s">
        <v>25743</v>
      </c>
      <c r="C8250" s="20"/>
      <c r="D8250" s="25" t="s">
        <v>14722</v>
      </c>
      <c r="E8250" s="25"/>
      <c r="F8250" s="9" t="str">
        <f t="shared" si="122"/>
        <v>subiculum</v>
      </c>
      <c r="G8250" s="9" t="s">
        <v>14719</v>
      </c>
      <c r="H8250" s="9" t="s">
        <v>15962</v>
      </c>
      <c r="I8250" s="9" t="s">
        <v>14722</v>
      </c>
      <c r="J8250" s="9" t="s">
        <v>14724</v>
      </c>
      <c r="K8250" s="5" t="s">
        <v>15173</v>
      </c>
      <c r="L8250" s="13">
        <v>16163</v>
      </c>
      <c r="M8250" t="str">
        <f>VLOOKUP(L8250,[1]DevMouse!$B$2:$C$2693,2,FALSE)</f>
        <v>S</v>
      </c>
    </row>
    <row r="8251" spans="2:13" x14ac:dyDescent="0.25">
      <c r="B8251" s="31" t="s">
        <v>25743</v>
      </c>
      <c r="C8251" s="20"/>
      <c r="D8251" s="25" t="s">
        <v>14722</v>
      </c>
      <c r="E8251" s="25"/>
      <c r="F8251" s="9" t="str">
        <f t="shared" si="122"/>
        <v>subiculum</v>
      </c>
      <c r="G8251" s="9" t="s">
        <v>14719</v>
      </c>
      <c r="H8251" s="9" t="s">
        <v>15962</v>
      </c>
      <c r="I8251" s="9" t="s">
        <v>14722</v>
      </c>
      <c r="J8251" s="9" t="s">
        <v>14725</v>
      </c>
      <c r="K8251" s="7" t="s">
        <v>15171</v>
      </c>
      <c r="L8251" s="13">
        <v>12896</v>
      </c>
      <c r="M8251" t="str">
        <f>VLOOKUP(L8251,[1]HBA!$B$2:$C$4000,2,FALSE)</f>
        <v>S</v>
      </c>
    </row>
    <row r="8252" spans="2:13" x14ac:dyDescent="0.25">
      <c r="B8252" s="31" t="s">
        <v>25743</v>
      </c>
      <c r="C8252" s="20"/>
      <c r="D8252" s="25" t="s">
        <v>14722</v>
      </c>
      <c r="E8252" s="25"/>
      <c r="F8252" s="9" t="str">
        <f t="shared" si="122"/>
        <v>subiculum</v>
      </c>
      <c r="G8252" s="9" t="s">
        <v>14719</v>
      </c>
      <c r="H8252" s="9" t="s">
        <v>19671</v>
      </c>
      <c r="I8252" s="9" t="s">
        <v>14722</v>
      </c>
      <c r="J8252" s="9" t="s">
        <v>14726</v>
      </c>
      <c r="K8252" s="3" t="s">
        <v>15176</v>
      </c>
      <c r="L8252" s="13">
        <v>502</v>
      </c>
      <c r="M8252" t="str">
        <f>VLOOKUP(L8252,[1]Mouse_ARA!$B$2:$C$1328,2,FALSE)</f>
        <v>SUB</v>
      </c>
    </row>
    <row r="8253" spans="2:13" x14ac:dyDescent="0.25">
      <c r="B8253" s="31" t="s">
        <v>25743</v>
      </c>
      <c r="C8253" s="20"/>
      <c r="D8253" s="25" t="s">
        <v>14722</v>
      </c>
      <c r="E8253" s="25"/>
      <c r="F8253" s="9" t="str">
        <f t="shared" si="122"/>
        <v>subiculum</v>
      </c>
      <c r="G8253" s="9" t="s">
        <v>14719</v>
      </c>
      <c r="H8253" s="9" t="s">
        <v>15962</v>
      </c>
      <c r="I8253" s="9" t="s">
        <v>14722</v>
      </c>
      <c r="J8253" s="9" t="s">
        <v>14727</v>
      </c>
      <c r="K8253" s="6" t="s">
        <v>15174</v>
      </c>
      <c r="L8253" s="13">
        <v>10054</v>
      </c>
      <c r="M8253" t="str">
        <f>VLOOKUP(L8253,[1]NonHumanPrimate!$B$2:$C$4000,2,FALSE)</f>
        <v>S</v>
      </c>
    </row>
    <row r="8254" spans="2:13" x14ac:dyDescent="0.25">
      <c r="B8254" s="31" t="s">
        <v>25743</v>
      </c>
      <c r="C8254" s="20"/>
      <c r="D8254" s="25" t="s">
        <v>14722</v>
      </c>
      <c r="E8254" s="25"/>
      <c r="F8254" s="9" t="str">
        <f t="shared" si="122"/>
        <v>subiculum</v>
      </c>
      <c r="G8254" s="9" t="s">
        <v>14719</v>
      </c>
      <c r="H8254" s="9" t="s">
        <v>25707</v>
      </c>
      <c r="I8254" s="9" t="s">
        <v>14720</v>
      </c>
      <c r="J8254" s="9" t="s">
        <v>14728</v>
      </c>
      <c r="K8254" s="6" t="s">
        <v>15174</v>
      </c>
      <c r="L8254" s="13">
        <v>128012354</v>
      </c>
      <c r="M8254" t="str">
        <f>VLOOKUP(L8254,[1]NonHumanPrimate!$B$2:$C$4000,2,FALSE)</f>
        <v>SCx</v>
      </c>
    </row>
    <row r="8255" spans="2:13" x14ac:dyDescent="0.25">
      <c r="B8255" s="31" t="s">
        <v>25743</v>
      </c>
      <c r="C8255" s="20"/>
      <c r="D8255" s="25" t="s">
        <v>14730</v>
      </c>
      <c r="E8255" s="25"/>
      <c r="F8255" s="9" t="str">
        <f>HYPERLINK("https://www.ebi.ac.uk/ols/ontologies/uberon/terms?iri=http://purl.obolibrary.org/obo/UBERON_0002578","sublentiform nucleus")</f>
        <v>sublentiform nucleus</v>
      </c>
      <c r="G8255" s="9" t="s">
        <v>14729</v>
      </c>
      <c r="H8255" s="9" t="s">
        <v>25331</v>
      </c>
      <c r="I8255" s="9" t="s">
        <v>14730</v>
      </c>
      <c r="J8255" s="9" t="s">
        <v>14731</v>
      </c>
      <c r="K8255" s="7" t="s">
        <v>15171</v>
      </c>
      <c r="L8255" s="13">
        <v>9092</v>
      </c>
      <c r="M8255" t="str">
        <f>VLOOKUP(L8255,[1]HBA!$B$2:$C$4000,2,FALSE)</f>
        <v>SLn</v>
      </c>
    </row>
    <row r="8256" spans="2:13" x14ac:dyDescent="0.25">
      <c r="B8256" s="31" t="s">
        <v>25743</v>
      </c>
      <c r="C8256" s="20"/>
      <c r="D8256" s="25" t="s">
        <v>26233</v>
      </c>
      <c r="E8256" s="25"/>
      <c r="F8256" s="9" t="str">
        <f>HYPERLINK("https://www.ebi.ac.uk/ols/ontologies/uberon/terms?iri=http://purl.obolibrary.org/obo/UBERON_0002881","sublingual nucleus")</f>
        <v>sublingual nucleus</v>
      </c>
      <c r="G8256" s="9" t="s">
        <v>14732</v>
      </c>
      <c r="H8256" s="9" t="s">
        <v>24487</v>
      </c>
      <c r="I8256" s="9" t="s">
        <v>7627</v>
      </c>
      <c r="J8256" s="9" t="s">
        <v>7628</v>
      </c>
      <c r="K8256" s="4" t="s">
        <v>15175</v>
      </c>
      <c r="L8256" s="13">
        <v>12654</v>
      </c>
      <c r="M8256" t="str">
        <f>VLOOKUP(L8256,[1]Human_BrainSpan!$B$2:$C$4000,2,FALSE)</f>
        <v>Ro</v>
      </c>
    </row>
    <row r="8257" spans="2:13" x14ac:dyDescent="0.25">
      <c r="B8257" s="31" t="s">
        <v>25743</v>
      </c>
      <c r="C8257" s="20"/>
      <c r="D8257" s="25" t="s">
        <v>26233</v>
      </c>
      <c r="E8257" s="25"/>
      <c r="F8257" s="9" t="str">
        <f>HYPERLINK("https://www.ebi.ac.uk/ols/ontologies/uberon/terms?iri=http://purl.obolibrary.org/obo/UBERON_0002881","sublingual nucleus")</f>
        <v>sublingual nucleus</v>
      </c>
      <c r="G8257" s="9" t="s">
        <v>14732</v>
      </c>
      <c r="H8257" s="9" t="s">
        <v>24487</v>
      </c>
      <c r="I8257" s="9" t="s">
        <v>7627</v>
      </c>
      <c r="J8257" s="9" t="s">
        <v>13227</v>
      </c>
      <c r="K8257" s="7" t="s">
        <v>15171</v>
      </c>
      <c r="L8257" s="13">
        <v>9627</v>
      </c>
      <c r="M8257" t="str">
        <f>VLOOKUP(L8257,[1]HBA!$B$2:$C$4000,2,FALSE)</f>
        <v>Ro</v>
      </c>
    </row>
    <row r="8258" spans="2:13" x14ac:dyDescent="0.25">
      <c r="B8258" s="31" t="s">
        <v>25743</v>
      </c>
      <c r="C8258" s="20"/>
      <c r="D8258" s="25" t="s">
        <v>26233</v>
      </c>
      <c r="E8258" s="25"/>
      <c r="F8258" s="9" t="str">
        <f>HYPERLINK("https://www.ebi.ac.uk/ols/ontologies/uberon/terms?iri=http://purl.obolibrary.org/obo/UBERON_0002881","sublingual nucleus")</f>
        <v>sublingual nucleus</v>
      </c>
      <c r="G8258" s="9" t="s">
        <v>14732</v>
      </c>
      <c r="H8258" s="9" t="s">
        <v>20510</v>
      </c>
      <c r="I8258" s="9" t="s">
        <v>7627</v>
      </c>
      <c r="J8258" s="9" t="s">
        <v>13541</v>
      </c>
      <c r="K8258" s="3" t="s">
        <v>15176</v>
      </c>
      <c r="L8258" s="13">
        <v>177</v>
      </c>
      <c r="M8258" t="str">
        <f>VLOOKUP(L8258,[1]Mouse_ARA!$B$2:$C$1328,2,FALSE)</f>
        <v>NR</v>
      </c>
    </row>
    <row r="8259" spans="2:13" x14ac:dyDescent="0.25">
      <c r="B8259" s="31" t="s">
        <v>25743</v>
      </c>
      <c r="C8259" s="20"/>
      <c r="D8259" s="25" t="s">
        <v>26234</v>
      </c>
      <c r="E8259" s="25"/>
      <c r="F8259" s="9" t="str">
        <f>HYPERLINK("https://www.ebi.ac.uk/ols/ontologies/uberon/terms?iri=http://purl.obolibrary.org/obo/UBERON_0003031","submedial nucleus of thalamus")</f>
        <v>submedial nucleus of thalamus</v>
      </c>
      <c r="G8259" s="9" t="s">
        <v>14733</v>
      </c>
      <c r="H8259" s="9" t="s">
        <v>16443</v>
      </c>
      <c r="I8259" s="9" t="s">
        <v>682</v>
      </c>
      <c r="J8259" s="9" t="s">
        <v>683</v>
      </c>
      <c r="K8259" s="5" t="s">
        <v>15173</v>
      </c>
      <c r="L8259" s="13">
        <v>16426</v>
      </c>
      <c r="M8259" t="str">
        <f>VLOOKUP(L8259,[1]DevMouse!$B$2:$C$2693,2,FALSE)</f>
        <v>SubM</v>
      </c>
    </row>
    <row r="8260" spans="2:13" x14ac:dyDescent="0.25">
      <c r="B8260" s="31" t="s">
        <v>25743</v>
      </c>
      <c r="C8260" s="20"/>
      <c r="D8260" s="25" t="s">
        <v>26234</v>
      </c>
      <c r="E8260" s="25"/>
      <c r="F8260" s="9" t="str">
        <f>HYPERLINK("https://www.ebi.ac.uk/ols/ontologies/uberon/terms?iri=http://purl.obolibrary.org/obo/UBERON_0003031","submedial nucleus of thalamus")</f>
        <v>submedial nucleus of thalamus</v>
      </c>
      <c r="G8260" s="9" t="s">
        <v>14733</v>
      </c>
      <c r="H8260" s="9" t="s">
        <v>15964</v>
      </c>
      <c r="I8260" s="9" t="s">
        <v>14734</v>
      </c>
      <c r="J8260" s="9" t="s">
        <v>14735</v>
      </c>
      <c r="K8260" s="7" t="s">
        <v>15171</v>
      </c>
      <c r="L8260" s="13">
        <v>4406</v>
      </c>
      <c r="M8260" t="str">
        <f>VLOOKUP(L8260,[1]HBA!$B$2:$C$4000,2,FALSE)</f>
        <v>Sm</v>
      </c>
    </row>
    <row r="8261" spans="2:13" x14ac:dyDescent="0.25">
      <c r="B8261" s="31" t="s">
        <v>25743</v>
      </c>
      <c r="C8261" s="20"/>
      <c r="D8261" s="25" t="s">
        <v>26234</v>
      </c>
      <c r="E8261" s="25"/>
      <c r="F8261" s="9" t="str">
        <f>HYPERLINK("https://www.ebi.ac.uk/ols/ontologies/uberon/terms?iri=http://purl.obolibrary.org/obo/UBERON_0003031","submedial nucleus of thalamus")</f>
        <v>submedial nucleus of thalamus</v>
      </c>
      <c r="G8261" s="9" t="s">
        <v>14733</v>
      </c>
      <c r="H8261" s="9" t="s">
        <v>16194</v>
      </c>
      <c r="I8261" s="9" t="s">
        <v>777</v>
      </c>
      <c r="J8261" s="9" t="s">
        <v>778</v>
      </c>
      <c r="K8261" s="3" t="s">
        <v>15176</v>
      </c>
      <c r="L8261" s="13">
        <v>366</v>
      </c>
      <c r="M8261" t="str">
        <f>VLOOKUP(L8261,[1]Mouse_ARA!$B$2:$C$1328,2,FALSE)</f>
        <v>SMT</v>
      </c>
    </row>
    <row r="8262" spans="2:13" x14ac:dyDescent="0.25">
      <c r="B8262" s="31" t="s">
        <v>25743</v>
      </c>
      <c r="C8262" s="20"/>
      <c r="D8262" s="25" t="s">
        <v>782</v>
      </c>
      <c r="E8262" s="25"/>
      <c r="F8262" s="9" t="str">
        <f>HYPERLINK("https://www.ebi.ac.uk/ols/ontologies/uberon/terms?iri=http://purl.obolibrary.org/obo/UBERON_0016641","subparafascicular nucleus")</f>
        <v>subparafascicular nucleus</v>
      </c>
      <c r="G8262" s="9" t="s">
        <v>14736</v>
      </c>
      <c r="H8262" s="9" t="s">
        <v>23397</v>
      </c>
      <c r="I8262" s="9" t="s">
        <v>3279</v>
      </c>
      <c r="J8262" s="9" t="s">
        <v>3280</v>
      </c>
      <c r="K8262" s="4" t="s">
        <v>15175</v>
      </c>
      <c r="L8262" s="13">
        <v>13054</v>
      </c>
      <c r="M8262" t="str">
        <f>VLOOKUP(L8262,[1]Human_BrainSpan!$B$2:$C$4000,2,FALSE)</f>
        <v>SPf</v>
      </c>
    </row>
    <row r="8263" spans="2:13" x14ac:dyDescent="0.25">
      <c r="B8263" s="31" t="s">
        <v>25743</v>
      </c>
      <c r="C8263" s="20"/>
      <c r="D8263" s="25" t="s">
        <v>782</v>
      </c>
      <c r="E8263" s="25"/>
      <c r="F8263" s="9" t="str">
        <f>HYPERLINK("https://www.ebi.ac.uk/ols/ontologies/uberon/terms?iri=http://purl.obolibrary.org/obo/UBERON_0016641","subparafascicular nucleus")</f>
        <v>subparafascicular nucleus</v>
      </c>
      <c r="G8263" s="9" t="s">
        <v>14736</v>
      </c>
      <c r="H8263" s="9" t="s">
        <v>19893</v>
      </c>
      <c r="I8263" s="9" t="s">
        <v>782</v>
      </c>
      <c r="J8263" s="9" t="s">
        <v>783</v>
      </c>
      <c r="K8263" s="3" t="s">
        <v>15176</v>
      </c>
      <c r="L8263" s="13">
        <v>406</v>
      </c>
      <c r="M8263" t="str">
        <f>VLOOKUP(L8263,[1]Mouse_ARA!$B$2:$C$1328,2,FALSE)</f>
        <v>SPF</v>
      </c>
    </row>
    <row r="8264" spans="2:13" x14ac:dyDescent="0.25">
      <c r="B8264" s="31" t="s">
        <v>25743</v>
      </c>
      <c r="C8264" s="20"/>
      <c r="D8264" s="25" t="s">
        <v>14738</v>
      </c>
      <c r="E8264" s="25"/>
      <c r="F8264" s="9" t="str">
        <f>HYPERLINK("https://www.ebi.ac.uk/ols/ontologies/uberon/terms?iri=http://purl.obolibrary.org/obo/UBERON_0007626","subparaventricular zone")</f>
        <v>subparaventricular zone</v>
      </c>
      <c r="G8264" s="9" t="s">
        <v>14737</v>
      </c>
      <c r="H8264" s="9" t="s">
        <v>23485</v>
      </c>
      <c r="I8264" s="9" t="s">
        <v>14738</v>
      </c>
      <c r="J8264" s="9" t="s">
        <v>14739</v>
      </c>
      <c r="K8264" s="4" t="s">
        <v>15175</v>
      </c>
      <c r="L8264" s="13">
        <v>266441555</v>
      </c>
      <c r="M8264" t="str">
        <f>VLOOKUP(L8264,[1]Human_BrainSpan!$B$2:$C$4000,2,FALSE)</f>
        <v>SPZ</v>
      </c>
    </row>
    <row r="8265" spans="2:13" x14ac:dyDescent="0.25">
      <c r="B8265" s="31" t="s">
        <v>25743</v>
      </c>
      <c r="C8265" s="20"/>
      <c r="D8265" s="25" t="s">
        <v>14738</v>
      </c>
      <c r="E8265" s="25"/>
      <c r="F8265" s="9" t="str">
        <f>HYPERLINK("https://www.ebi.ac.uk/ols/ontologies/uberon/terms?iri=http://purl.obolibrary.org/obo/UBERON_0007626","subparaventricular zone")</f>
        <v>subparaventricular zone</v>
      </c>
      <c r="G8265" s="9" t="s">
        <v>14737</v>
      </c>
      <c r="H8265" s="9" t="s">
        <v>23485</v>
      </c>
      <c r="I8265" s="9" t="s">
        <v>14740</v>
      </c>
      <c r="J8265" s="9" t="s">
        <v>14741</v>
      </c>
      <c r="K8265" s="7" t="s">
        <v>15171</v>
      </c>
      <c r="L8265" s="13">
        <v>4574</v>
      </c>
      <c r="M8265" t="str">
        <f>VLOOKUP(L8265,[1]HBA!$B$2:$C$4000,2,FALSE)</f>
        <v>SPZ</v>
      </c>
    </row>
    <row r="8266" spans="2:13" x14ac:dyDescent="0.25">
      <c r="B8266" s="31" t="s">
        <v>25743</v>
      </c>
      <c r="C8266" s="20"/>
      <c r="D8266" s="25" t="s">
        <v>14738</v>
      </c>
      <c r="E8266" s="25"/>
      <c r="F8266" s="9" t="str">
        <f>HYPERLINK("https://www.ebi.ac.uk/ols/ontologies/uberon/terms?iri=http://purl.obolibrary.org/obo/UBERON_0007626","subparaventricular zone")</f>
        <v>subparaventricular zone</v>
      </c>
      <c r="G8266" s="9" t="s">
        <v>14737</v>
      </c>
      <c r="H8266" s="9" t="s">
        <v>20065</v>
      </c>
      <c r="I8266" s="9" t="s">
        <v>14738</v>
      </c>
      <c r="J8266" s="9" t="s">
        <v>14742</v>
      </c>
      <c r="K8266" s="3" t="s">
        <v>15176</v>
      </c>
      <c r="L8266" s="13">
        <v>347</v>
      </c>
      <c r="M8266" t="str">
        <f>VLOOKUP(L8266,[1]Mouse_ARA!$B$2:$C$1328,2,FALSE)</f>
        <v>SBPV</v>
      </c>
    </row>
    <row r="8267" spans="2:13" x14ac:dyDescent="0.25">
      <c r="B8267" s="31" t="s">
        <v>25743</v>
      </c>
      <c r="C8267" s="20"/>
      <c r="D8267" s="25" t="s">
        <v>14744</v>
      </c>
      <c r="E8267" s="25"/>
      <c r="F8267" s="9" t="str">
        <f>HYPERLINK("https://www.ebi.ac.uk/ols/ontologies/uberon/terms?iri=http://purl.obolibrary.org/obo/UBERON_0002908","subparietal sulcus")</f>
        <v>subparietal sulcus</v>
      </c>
      <c r="G8267" s="9" t="s">
        <v>14743</v>
      </c>
      <c r="H8267" s="9" t="s">
        <v>25544</v>
      </c>
      <c r="I8267" s="9" t="s">
        <v>14744</v>
      </c>
      <c r="J8267" s="9" t="s">
        <v>14745</v>
      </c>
      <c r="K8267" s="7" t="s">
        <v>15171</v>
      </c>
      <c r="L8267" s="13">
        <v>9376</v>
      </c>
      <c r="M8267" t="str">
        <f>VLOOKUP(L8267,[1]HBA!$B$2:$C$4000,2,FALSE)</f>
        <v>sbps</v>
      </c>
    </row>
    <row r="8268" spans="2:13" x14ac:dyDescent="0.25">
      <c r="B8268" s="31" t="s">
        <v>25743</v>
      </c>
      <c r="C8268" s="20"/>
      <c r="D8268" s="25" t="s">
        <v>7966</v>
      </c>
      <c r="E8268" s="25"/>
      <c r="F8268" s="9" t="str">
        <f>HYPERLINK("https://www.ebi.ac.uk/ols/ontologies/uberon/terms?iri=http://purl.obolibrary.org/obo/UBERON_0003017","substantia innominata")</f>
        <v>substantia innominata</v>
      </c>
      <c r="G8268" s="9" t="s">
        <v>14746</v>
      </c>
      <c r="H8268" s="9" t="s">
        <v>19822</v>
      </c>
      <c r="I8268" s="9" t="s">
        <v>7966</v>
      </c>
      <c r="J8268" s="9" t="s">
        <v>7967</v>
      </c>
      <c r="K8268" s="4" t="s">
        <v>15175</v>
      </c>
      <c r="L8268" s="13">
        <v>13034</v>
      </c>
      <c r="M8268" t="str">
        <f>VLOOKUP(L8268,[1]Human_BrainSpan!$B$2:$C$4000,2,FALSE)</f>
        <v>SI</v>
      </c>
    </row>
    <row r="8269" spans="2:13" x14ac:dyDescent="0.25">
      <c r="B8269" s="31" t="s">
        <v>25743</v>
      </c>
      <c r="C8269" s="20"/>
      <c r="D8269" s="25" t="s">
        <v>7966</v>
      </c>
      <c r="E8269" s="25"/>
      <c r="F8269" s="9" t="str">
        <f>HYPERLINK("https://www.ebi.ac.uk/ols/ontologies/uberon/terms?iri=http://purl.obolibrary.org/obo/UBERON_0003017","substantia innominata")</f>
        <v>substantia innominata</v>
      </c>
      <c r="G8269" s="9" t="s">
        <v>14746</v>
      </c>
      <c r="H8269" s="9" t="s">
        <v>19822</v>
      </c>
      <c r="I8269" s="9" t="s">
        <v>7966</v>
      </c>
      <c r="J8269" s="9" t="s">
        <v>11663</v>
      </c>
      <c r="K8269" s="7" t="s">
        <v>15171</v>
      </c>
      <c r="L8269" s="13">
        <v>13003</v>
      </c>
      <c r="M8269" t="str">
        <f>VLOOKUP(L8269,[1]HBA!$B$2:$C$4000,2,FALSE)</f>
        <v>SI</v>
      </c>
    </row>
    <row r="8270" spans="2:13" x14ac:dyDescent="0.25">
      <c r="B8270" s="31" t="s">
        <v>25743</v>
      </c>
      <c r="C8270" s="20"/>
      <c r="D8270" s="25" t="s">
        <v>7966</v>
      </c>
      <c r="E8270" s="25"/>
      <c r="F8270" s="9" t="str">
        <f>HYPERLINK("https://www.ebi.ac.uk/ols/ontologies/uberon/terms?iri=http://purl.obolibrary.org/obo/UBERON_0003017","substantia innominata")</f>
        <v>substantia innominata</v>
      </c>
      <c r="G8270" s="9" t="s">
        <v>14746</v>
      </c>
      <c r="H8270" s="9" t="s">
        <v>19822</v>
      </c>
      <c r="I8270" s="9" t="s">
        <v>7966</v>
      </c>
      <c r="J8270" s="9" t="s">
        <v>13755</v>
      </c>
      <c r="K8270" s="3" t="s">
        <v>15176</v>
      </c>
      <c r="L8270" s="13">
        <v>342</v>
      </c>
      <c r="M8270" t="str">
        <f>VLOOKUP(L8270,[1]Mouse_ARA!$B$2:$C$1328,2,FALSE)</f>
        <v>SI</v>
      </c>
    </row>
    <row r="8271" spans="2:13" x14ac:dyDescent="0.25">
      <c r="B8271" s="31" t="s">
        <v>25743</v>
      </c>
      <c r="C8271" s="20"/>
      <c r="D8271" s="25" t="s">
        <v>638</v>
      </c>
      <c r="E8271" s="25"/>
      <c r="F8271" s="9" t="str">
        <f>HYPERLINK("https://www.ebi.ac.uk/ols/ontologies/uberon/terms?iri=http://purl.obolibrary.org/obo/UBERON_0002038","substantia nigra")</f>
        <v>substantia nigra</v>
      </c>
      <c r="G8271" s="9" t="s">
        <v>14747</v>
      </c>
      <c r="H8271" s="9" t="s">
        <v>24000</v>
      </c>
      <c r="I8271" s="9" t="s">
        <v>638</v>
      </c>
      <c r="J8271" s="9" t="s">
        <v>639</v>
      </c>
      <c r="K8271" s="4" t="s">
        <v>15175</v>
      </c>
      <c r="L8271" s="13">
        <v>12251</v>
      </c>
      <c r="M8271" t="str">
        <f>VLOOKUP(L8271,[1]Human_BrainSpan!$B$2:$C$4000,2,FALSE)</f>
        <v>SN</v>
      </c>
    </row>
    <row r="8272" spans="2:13" x14ac:dyDescent="0.25">
      <c r="B8272" s="31" t="s">
        <v>25743</v>
      </c>
      <c r="C8272" s="20"/>
      <c r="D8272" s="25" t="s">
        <v>638</v>
      </c>
      <c r="E8272" s="25"/>
      <c r="F8272" s="9" t="str">
        <f>HYPERLINK("https://www.ebi.ac.uk/ols/ontologies/uberon/terms?iri=http://purl.obolibrary.org/obo/UBERON_0002038","substantia nigra")</f>
        <v>substantia nigra</v>
      </c>
      <c r="G8272" s="9" t="s">
        <v>14747</v>
      </c>
      <c r="H8272" s="9" t="s">
        <v>24000</v>
      </c>
      <c r="I8272" s="9" t="s">
        <v>638</v>
      </c>
      <c r="J8272" s="9" t="s">
        <v>720</v>
      </c>
      <c r="K8272" s="7" t="s">
        <v>15171</v>
      </c>
      <c r="L8272" s="13">
        <v>9072</v>
      </c>
      <c r="M8272" t="str">
        <f>VLOOKUP(L8272,[1]HBA!$B$2:$C$4000,2,FALSE)</f>
        <v>SN</v>
      </c>
    </row>
    <row r="8273" spans="2:13" x14ac:dyDescent="0.25">
      <c r="B8273" s="31" t="s">
        <v>25743</v>
      </c>
      <c r="C8273" s="20"/>
      <c r="D8273" s="25" t="s">
        <v>26235</v>
      </c>
      <c r="E8273" s="25"/>
      <c r="F8273" s="9" t="str">
        <f>HYPERLINK("https://www.ebi.ac.uk/ols/ontologies/uberon/terms?iri=http://purl.obolibrary.org/obo/UBERON_0001965","substantia nigra pars compacta")</f>
        <v>substantia nigra pars compacta</v>
      </c>
      <c r="G8273" s="9" t="s">
        <v>14748</v>
      </c>
      <c r="H8273" s="9" t="s">
        <v>24001</v>
      </c>
      <c r="I8273" s="9" t="s">
        <v>14749</v>
      </c>
      <c r="J8273" s="9" t="s">
        <v>14750</v>
      </c>
      <c r="K8273" s="4" t="s">
        <v>15175</v>
      </c>
      <c r="L8273" s="13">
        <v>12252</v>
      </c>
      <c r="M8273" t="str">
        <f>VLOOKUP(L8273,[1]Human_BrainSpan!$B$2:$C$4000,2,FALSE)</f>
        <v>SNC</v>
      </c>
    </row>
    <row r="8274" spans="2:13" x14ac:dyDescent="0.25">
      <c r="B8274" s="31" t="s">
        <v>25743</v>
      </c>
      <c r="C8274" s="20"/>
      <c r="D8274" s="25" t="s">
        <v>26235</v>
      </c>
      <c r="E8274" s="25"/>
      <c r="F8274" s="9" t="str">
        <f>HYPERLINK("https://www.ebi.ac.uk/ols/ontologies/uberon/terms?iri=http://purl.obolibrary.org/obo/UBERON_0001965","substantia nigra pars compacta")</f>
        <v>substantia nigra pars compacta</v>
      </c>
      <c r="G8274" s="9" t="s">
        <v>14748</v>
      </c>
      <c r="H8274" s="9" t="s">
        <v>24001</v>
      </c>
      <c r="I8274" s="9" t="s">
        <v>14751</v>
      </c>
      <c r="J8274" s="9" t="s">
        <v>14752</v>
      </c>
      <c r="K8274" s="7" t="s">
        <v>15171</v>
      </c>
      <c r="L8274" s="13">
        <v>9074</v>
      </c>
      <c r="M8274" t="str">
        <f>VLOOKUP(L8274,[1]HBA!$B$2:$C$4000,2,FALSE)</f>
        <v>SNC</v>
      </c>
    </row>
    <row r="8275" spans="2:13" x14ac:dyDescent="0.25">
      <c r="B8275" s="31" t="s">
        <v>25743</v>
      </c>
      <c r="C8275" s="20"/>
      <c r="D8275" s="25" t="s">
        <v>26235</v>
      </c>
      <c r="E8275" s="25"/>
      <c r="F8275" s="9" t="str">
        <f>HYPERLINK("https://www.ebi.ac.uk/ols/ontologies/uberon/terms?iri=http://purl.obolibrary.org/obo/UBERON_0001965","substantia nigra pars compacta")</f>
        <v>substantia nigra pars compacta</v>
      </c>
      <c r="G8275" s="9" t="s">
        <v>14748</v>
      </c>
      <c r="H8275" s="9" t="s">
        <v>20269</v>
      </c>
      <c r="I8275" s="9" t="s">
        <v>14749</v>
      </c>
      <c r="J8275" s="9" t="s">
        <v>14753</v>
      </c>
      <c r="K8275" s="3" t="s">
        <v>15176</v>
      </c>
      <c r="L8275" s="13">
        <v>374</v>
      </c>
      <c r="M8275" t="str">
        <f>VLOOKUP(L8275,[1]Mouse_ARA!$B$2:$C$1328,2,FALSE)</f>
        <v>SNc</v>
      </c>
    </row>
    <row r="8276" spans="2:13" x14ac:dyDescent="0.25">
      <c r="B8276" s="31" t="s">
        <v>25743</v>
      </c>
      <c r="C8276" s="20"/>
      <c r="D8276" s="25" t="s">
        <v>26236</v>
      </c>
      <c r="E8276" s="25"/>
      <c r="F8276" s="9" t="str">
        <f>HYPERLINK("https://www.ebi.ac.uk/ols/ontologies/uberon/terms?iri=http://purl.obolibrary.org/obo/UBERON_0002995","substantia nigra pars lateralis")</f>
        <v>substantia nigra pars lateralis</v>
      </c>
      <c r="G8276" s="9" t="s">
        <v>14754</v>
      </c>
      <c r="H8276" s="9" t="s">
        <v>24008</v>
      </c>
      <c r="I8276" s="9" t="s">
        <v>14755</v>
      </c>
      <c r="J8276" s="9" t="s">
        <v>14756</v>
      </c>
      <c r="K8276" s="4" t="s">
        <v>15175</v>
      </c>
      <c r="L8276" s="13">
        <v>12257</v>
      </c>
      <c r="M8276" t="str">
        <f>VLOOKUP(L8276,[1]Human_BrainSpan!$B$2:$C$4000,2,FALSE)</f>
        <v>SNL</v>
      </c>
    </row>
    <row r="8277" spans="2:13" x14ac:dyDescent="0.25">
      <c r="B8277" s="31" t="s">
        <v>25743</v>
      </c>
      <c r="C8277" s="20"/>
      <c r="D8277" s="25" t="s">
        <v>26236</v>
      </c>
      <c r="E8277" s="25"/>
      <c r="F8277" s="9" t="str">
        <f>HYPERLINK("https://www.ebi.ac.uk/ols/ontologies/uberon/terms?iri=http://purl.obolibrary.org/obo/UBERON_0002995","substantia nigra pars lateralis")</f>
        <v>substantia nigra pars lateralis</v>
      </c>
      <c r="G8277" s="9" t="s">
        <v>14754</v>
      </c>
      <c r="H8277" s="9" t="s">
        <v>20265</v>
      </c>
      <c r="I8277" s="9" t="s">
        <v>14755</v>
      </c>
      <c r="J8277" s="9" t="s">
        <v>14757</v>
      </c>
      <c r="K8277" s="3" t="s">
        <v>15176</v>
      </c>
      <c r="L8277" s="13">
        <v>615</v>
      </c>
      <c r="M8277" t="str">
        <f>VLOOKUP(L8277,[1]Mouse_ARA!$B$2:$C$1328,2,FALSE)</f>
        <v>SNl</v>
      </c>
    </row>
    <row r="8278" spans="2:13" x14ac:dyDescent="0.25">
      <c r="B8278" s="31" t="s">
        <v>25743</v>
      </c>
      <c r="C8278" s="20"/>
      <c r="D8278" s="25" t="s">
        <v>26237</v>
      </c>
      <c r="E8278" s="25"/>
      <c r="F8278" s="9" t="str">
        <f>HYPERLINK("https://www.ebi.ac.uk/ols/ontologies/uberon/terms?iri=http://purl.obolibrary.org/obo/UBERON_0001966","substantia nigra pars reticulata")</f>
        <v>substantia nigra pars reticulata</v>
      </c>
      <c r="G8278" s="9" t="s">
        <v>14758</v>
      </c>
      <c r="H8278" s="9" t="s">
        <v>24009</v>
      </c>
      <c r="I8278" s="9" t="s">
        <v>14759</v>
      </c>
      <c r="J8278" s="9" t="s">
        <v>14760</v>
      </c>
      <c r="K8278" s="4" t="s">
        <v>15175</v>
      </c>
      <c r="L8278" s="13">
        <v>12259</v>
      </c>
      <c r="M8278" t="str">
        <f>VLOOKUP(L8278,[1]Human_BrainSpan!$B$2:$C$4000,2,FALSE)</f>
        <v>SNR</v>
      </c>
    </row>
    <row r="8279" spans="2:13" x14ac:dyDescent="0.25">
      <c r="B8279" s="31" t="s">
        <v>25743</v>
      </c>
      <c r="C8279" s="20"/>
      <c r="D8279" s="25" t="s">
        <v>26237</v>
      </c>
      <c r="E8279" s="25"/>
      <c r="F8279" s="9" t="str">
        <f>HYPERLINK("https://www.ebi.ac.uk/ols/ontologies/uberon/terms?iri=http://purl.obolibrary.org/obo/UBERON_0001966","substantia nigra pars reticulata")</f>
        <v>substantia nigra pars reticulata</v>
      </c>
      <c r="G8279" s="9" t="s">
        <v>14758</v>
      </c>
      <c r="H8279" s="9" t="s">
        <v>24009</v>
      </c>
      <c r="I8279" s="9" t="s">
        <v>14761</v>
      </c>
      <c r="J8279" s="9" t="s">
        <v>14762</v>
      </c>
      <c r="K8279" s="7" t="s">
        <v>15171</v>
      </c>
      <c r="L8279" s="13">
        <v>9075</v>
      </c>
      <c r="M8279" t="str">
        <f>VLOOKUP(L8279,[1]HBA!$B$2:$C$4000,2,FALSE)</f>
        <v>SNR</v>
      </c>
    </row>
    <row r="8280" spans="2:13" x14ac:dyDescent="0.25">
      <c r="B8280" s="31" t="s">
        <v>25743</v>
      </c>
      <c r="C8280" s="20"/>
      <c r="D8280" s="25" t="s">
        <v>26237</v>
      </c>
      <c r="E8280" s="25"/>
      <c r="F8280" s="9" t="str">
        <f>HYPERLINK("https://www.ebi.ac.uk/ols/ontologies/uberon/terms?iri=http://purl.obolibrary.org/obo/UBERON_0001966","substantia nigra pars reticulata")</f>
        <v>substantia nigra pars reticulata</v>
      </c>
      <c r="G8280" s="9" t="s">
        <v>14758</v>
      </c>
      <c r="H8280" s="9" t="s">
        <v>20189</v>
      </c>
      <c r="I8280" s="9" t="s">
        <v>14759</v>
      </c>
      <c r="J8280" s="9" t="s">
        <v>14763</v>
      </c>
      <c r="K8280" s="3" t="s">
        <v>15176</v>
      </c>
      <c r="L8280" s="13">
        <v>381</v>
      </c>
      <c r="M8280" t="str">
        <f>VLOOKUP(L8280,[1]Mouse_ARA!$B$2:$C$1328,2,FALSE)</f>
        <v>SNr</v>
      </c>
    </row>
    <row r="8281" spans="2:13" x14ac:dyDescent="0.25">
      <c r="B8281" s="31" t="s">
        <v>25743</v>
      </c>
      <c r="C8281" s="20"/>
      <c r="D8281" s="25" t="s">
        <v>1213</v>
      </c>
      <c r="E8281" s="25"/>
      <c r="F8281" s="9" t="str">
        <f>HYPERLINK("https://www.ebi.ac.uk/ols/ontologies/uberon/terms?iri=http://purl.obolibrary.org/obo/UBERON_0022256","subthalamic fasciculus")</f>
        <v>subthalamic fasciculus</v>
      </c>
      <c r="G8281" s="9" t="s">
        <v>14764</v>
      </c>
      <c r="H8281" s="9" t="s">
        <v>23649</v>
      </c>
      <c r="I8281" s="9" t="s">
        <v>1213</v>
      </c>
      <c r="J8281" s="9" t="s">
        <v>1214</v>
      </c>
      <c r="K8281" s="4" t="s">
        <v>15175</v>
      </c>
      <c r="L8281" s="13">
        <v>12089</v>
      </c>
      <c r="M8281" t="str">
        <f>VLOOKUP(L8281,[1]Human_BrainSpan!$B$2:$C$4000,2,FALSE)</f>
        <v>sthf</v>
      </c>
    </row>
    <row r="8282" spans="2:13" x14ac:dyDescent="0.25">
      <c r="B8282" s="31" t="s">
        <v>25743</v>
      </c>
      <c r="C8282" s="20"/>
      <c r="D8282" s="25" t="s">
        <v>1213</v>
      </c>
      <c r="E8282" s="25"/>
      <c r="F8282" s="9" t="str">
        <f>HYPERLINK("https://www.ebi.ac.uk/ols/ontologies/uberon/terms?iri=http://purl.obolibrary.org/obo/UBERON_0022256","subthalamic fasciculus")</f>
        <v>subthalamic fasciculus</v>
      </c>
      <c r="G8282" s="9" t="s">
        <v>14764</v>
      </c>
      <c r="H8282" s="9" t="s">
        <v>23649</v>
      </c>
      <c r="I8282" s="9" t="s">
        <v>1213</v>
      </c>
      <c r="J8282" s="9" t="s">
        <v>1216</v>
      </c>
      <c r="K8282" s="7" t="s">
        <v>15171</v>
      </c>
      <c r="L8282" s="13">
        <v>265505350</v>
      </c>
      <c r="M8282" t="str">
        <f>VLOOKUP(L8282,[1]HBA!$B$2:$C$4000,2,FALSE)</f>
        <v>sthf</v>
      </c>
    </row>
    <row r="8283" spans="2:13" x14ac:dyDescent="0.25">
      <c r="B8283" s="31" t="s">
        <v>25743</v>
      </c>
      <c r="C8283" s="20"/>
      <c r="D8283" s="25" t="s">
        <v>1213</v>
      </c>
      <c r="E8283" s="25"/>
      <c r="F8283" s="9" t="str">
        <f>HYPERLINK("https://www.ebi.ac.uk/ols/ontologies/uberon/terms?iri=http://purl.obolibrary.org/obo/UBERON_0022256","subthalamic fasciculus")</f>
        <v>subthalamic fasciculus</v>
      </c>
      <c r="G8283" s="9" t="s">
        <v>14764</v>
      </c>
      <c r="H8283" s="9" t="s">
        <v>20859</v>
      </c>
      <c r="I8283" s="9" t="s">
        <v>14765</v>
      </c>
      <c r="J8283" s="9" t="s">
        <v>14766</v>
      </c>
      <c r="K8283" s="3" t="s">
        <v>15176</v>
      </c>
      <c r="L8283" s="13">
        <v>317</v>
      </c>
      <c r="M8283" t="str">
        <f>VLOOKUP(L8283,[1]Mouse_ARA!$B$2:$C$1328,2,FALSE)</f>
        <v>stf</v>
      </c>
    </row>
    <row r="8284" spans="2:13" x14ac:dyDescent="0.25">
      <c r="B8284" s="31" t="s">
        <v>25743</v>
      </c>
      <c r="C8284" s="20"/>
      <c r="D8284" s="25" t="s">
        <v>788</v>
      </c>
      <c r="E8284" s="25"/>
      <c r="F8284" s="9" t="str">
        <f>HYPERLINK("https://www.ebi.ac.uk/ols/ontologies/uberon/terms?iri=http://purl.obolibrary.org/obo/UBERON_0001906","subthalamic nucleus")</f>
        <v>subthalamic nucleus</v>
      </c>
      <c r="G8284" s="9" t="s">
        <v>14767</v>
      </c>
      <c r="H8284" s="9" t="s">
        <v>23437</v>
      </c>
      <c r="I8284" s="9" t="s">
        <v>788</v>
      </c>
      <c r="J8284" s="9" t="s">
        <v>14768</v>
      </c>
      <c r="K8284" s="4" t="s">
        <v>15175</v>
      </c>
      <c r="L8284" s="13">
        <v>10466</v>
      </c>
      <c r="M8284" t="str">
        <f>VLOOKUP(L8284,[1]Human_BrainSpan!$B$2:$C$4000,2,FALSE)</f>
        <v>STH</v>
      </c>
    </row>
    <row r="8285" spans="2:13" x14ac:dyDescent="0.25">
      <c r="B8285" s="31" t="s">
        <v>25743</v>
      </c>
      <c r="C8285" s="20"/>
      <c r="D8285" s="25" t="s">
        <v>788</v>
      </c>
      <c r="E8285" s="25"/>
      <c r="F8285" s="9" t="str">
        <f>HYPERLINK("https://www.ebi.ac.uk/ols/ontologies/uberon/terms?iri=http://purl.obolibrary.org/obo/UBERON_0001906","subthalamic nucleus")</f>
        <v>subthalamic nucleus</v>
      </c>
      <c r="G8285" s="9" t="s">
        <v>14767</v>
      </c>
      <c r="H8285" s="9" t="s">
        <v>25078</v>
      </c>
      <c r="I8285" s="9" t="s">
        <v>14769</v>
      </c>
      <c r="J8285" s="9" t="s">
        <v>14770</v>
      </c>
      <c r="K8285" s="7" t="s">
        <v>15171</v>
      </c>
      <c r="L8285" s="13">
        <v>4518</v>
      </c>
      <c r="M8285" t="str">
        <f>VLOOKUP(L8285,[1]HBA!$B$2:$C$4000,2,FALSE)</f>
        <v>Sb</v>
      </c>
    </row>
    <row r="8286" spans="2:13" x14ac:dyDescent="0.25">
      <c r="B8286" s="31" t="s">
        <v>25743</v>
      </c>
      <c r="C8286" s="20"/>
      <c r="D8286" s="25" t="s">
        <v>788</v>
      </c>
      <c r="E8286" s="25"/>
      <c r="F8286" s="9" t="str">
        <f>HYPERLINK("https://www.ebi.ac.uk/ols/ontologies/uberon/terms?iri=http://purl.obolibrary.org/obo/UBERON_0001906","subthalamic nucleus")</f>
        <v>subthalamic nucleus</v>
      </c>
      <c r="G8286" s="9" t="s">
        <v>14767</v>
      </c>
      <c r="H8286" s="9" t="s">
        <v>20151</v>
      </c>
      <c r="I8286" s="9" t="s">
        <v>788</v>
      </c>
      <c r="J8286" s="9" t="s">
        <v>789</v>
      </c>
      <c r="K8286" s="3" t="s">
        <v>15176</v>
      </c>
      <c r="L8286" s="13">
        <v>470</v>
      </c>
      <c r="M8286" t="str">
        <f>VLOOKUP(L8286,[1]Mouse_ARA!$B$2:$C$1328,2,FALSE)</f>
        <v>STN</v>
      </c>
    </row>
    <row r="8287" spans="2:13" x14ac:dyDescent="0.25">
      <c r="B8287" s="31" t="s">
        <v>25743</v>
      </c>
      <c r="C8287" s="20"/>
      <c r="D8287" s="25" t="s">
        <v>26238</v>
      </c>
      <c r="E8287" s="25"/>
      <c r="F8287" s="9" t="str">
        <f>HYPERLINK("https://www.ebi.ac.uk/ols/ontologies/uberon/terms?iri=http://purl.obolibrary.org/obo/UBERON_0009573","sulcus limitans of fourth ventricle")</f>
        <v>sulcus limitans of fourth ventricle</v>
      </c>
      <c r="G8287" s="9" t="s">
        <v>14771</v>
      </c>
      <c r="H8287" s="9" t="s">
        <v>24719</v>
      </c>
      <c r="I8287" s="9" t="s">
        <v>7848</v>
      </c>
      <c r="J8287" s="9" t="s">
        <v>7849</v>
      </c>
      <c r="K8287" s="4" t="s">
        <v>15175</v>
      </c>
      <c r="L8287" s="13">
        <v>12823</v>
      </c>
      <c r="M8287" t="str">
        <f>VLOOKUP(L8287,[1]Human_BrainSpan!$B$2:$C$4000,2,FALSE)</f>
        <v>SulL</v>
      </c>
    </row>
    <row r="8288" spans="2:13" x14ac:dyDescent="0.25">
      <c r="B8288" s="31" t="s">
        <v>26303</v>
      </c>
      <c r="C8288" s="20"/>
      <c r="D8288" s="25" t="s">
        <v>26239</v>
      </c>
      <c r="E8288" s="25" t="s">
        <v>26300</v>
      </c>
      <c r="F8288" s="9" t="str">
        <f>HYPERLINK("https://www.ebi.ac.uk/ols/ontologies/uberon/terms?iri=http://purl.obolibrary.org/obo/UBERON_0013118","sulcus of brain")</f>
        <v>sulcus of brain</v>
      </c>
      <c r="G8288" s="9" t="s">
        <v>14772</v>
      </c>
      <c r="H8288" s="9" t="s">
        <v>23690</v>
      </c>
      <c r="I8288" s="9" t="s">
        <v>14773</v>
      </c>
      <c r="J8288" s="9" t="s">
        <v>14774</v>
      </c>
      <c r="K8288" s="4" t="s">
        <v>15175</v>
      </c>
      <c r="L8288" s="13">
        <v>10610</v>
      </c>
      <c r="M8288" t="str">
        <f>VLOOKUP(L8288,[1]Human_BrainSpan!$B$2:$C$4000,2,FALSE)</f>
        <v>CeS</v>
      </c>
    </row>
    <row r="8289" spans="2:13" x14ac:dyDescent="0.25">
      <c r="B8289" s="31" t="s">
        <v>25743</v>
      </c>
      <c r="C8289" s="20"/>
      <c r="D8289" s="25" t="s">
        <v>26239</v>
      </c>
      <c r="E8289" s="25"/>
      <c r="F8289" s="9" t="str">
        <f>HYPERLINK("https://www.ebi.ac.uk/ols/ontologies/uberon/terms?iri=http://purl.obolibrary.org/obo/UBERON_0013118","sulcus of brain")</f>
        <v>sulcus of brain</v>
      </c>
      <c r="G8289" s="9" t="s">
        <v>14772</v>
      </c>
      <c r="H8289" s="9" t="s">
        <v>17787</v>
      </c>
      <c r="I8289" s="9" t="s">
        <v>14775</v>
      </c>
      <c r="J8289" s="9" t="s">
        <v>14776</v>
      </c>
      <c r="K8289" s="7" t="s">
        <v>15171</v>
      </c>
      <c r="L8289" s="13">
        <v>9352</v>
      </c>
      <c r="M8289" t="str">
        <f>VLOOKUP(L8289,[1]HBA!$B$2:$C$4000,2,FALSE)</f>
        <v>SS</v>
      </c>
    </row>
    <row r="8290" spans="2:13" x14ac:dyDescent="0.25">
      <c r="B8290" s="31" t="s">
        <v>25743</v>
      </c>
      <c r="C8290" s="20"/>
      <c r="D8290" s="25" t="s">
        <v>26240</v>
      </c>
      <c r="E8290" s="25"/>
      <c r="F8290" s="9" t="str">
        <f>HYPERLINK("https://www.ebi.ac.uk/ols/ontologies/uberon/terms?iri=http://purl.obolibrary.org/obo/UBERON_0034674","sulcus of limbic lobe")</f>
        <v>sulcus of limbic lobe</v>
      </c>
      <c r="G8290" s="9" t="s">
        <v>14777</v>
      </c>
      <c r="H8290" s="9" t="s">
        <v>25533</v>
      </c>
      <c r="I8290" s="9" t="s">
        <v>13020</v>
      </c>
      <c r="J8290" s="9" t="s">
        <v>13021</v>
      </c>
      <c r="K8290" s="7" t="s">
        <v>15171</v>
      </c>
      <c r="L8290" s="13">
        <v>9393</v>
      </c>
      <c r="M8290" t="str">
        <f>VLOOKUP(L8290,[1]HBA!$B$2:$C$4000,2,FALSE)</f>
        <v>LLs</v>
      </c>
    </row>
    <row r="8291" spans="2:13" x14ac:dyDescent="0.25">
      <c r="B8291" s="31" t="s">
        <v>25743</v>
      </c>
      <c r="C8291" s="20"/>
      <c r="D8291" s="25" t="s">
        <v>26241</v>
      </c>
      <c r="E8291" s="25"/>
      <c r="F8291" s="9" t="str">
        <f>HYPERLINK("https://www.ebi.ac.uk/ols/ontologies/uberon/terms?iri=http://purl.obolibrary.org/obo/UBERON_0035927","sulcus of parietal lobe")</f>
        <v>sulcus of parietal lobe</v>
      </c>
      <c r="G8291" s="9" t="s">
        <v>14778</v>
      </c>
      <c r="H8291" s="9" t="s">
        <v>25540</v>
      </c>
      <c r="I8291" s="9" t="s">
        <v>13006</v>
      </c>
      <c r="J8291" s="9" t="s">
        <v>13007</v>
      </c>
      <c r="K8291" s="7" t="s">
        <v>15171</v>
      </c>
      <c r="L8291" s="13">
        <v>9370</v>
      </c>
      <c r="M8291" t="str">
        <f>VLOOKUP(L8291,[1]HBA!$B$2:$C$4000,2,FALSE)</f>
        <v>PLs</v>
      </c>
    </row>
    <row r="8292" spans="2:13" x14ac:dyDescent="0.25">
      <c r="B8292" s="31" t="s">
        <v>25743</v>
      </c>
      <c r="C8292" s="20"/>
      <c r="D8292" s="25" t="s">
        <v>14780</v>
      </c>
      <c r="E8292" s="25"/>
      <c r="F8292" s="9" t="str">
        <f>HYPERLINK("https://www.ebi.ac.uk/ols/ontologies/uberon/terms?iri=http://purl.obolibrary.org/obo/UBERON_0006791","superficial layer of superior colliculus")</f>
        <v>superficial layer of superior colliculus</v>
      </c>
      <c r="G8292" s="9" t="s">
        <v>14779</v>
      </c>
      <c r="H8292" s="9" t="s">
        <v>24053</v>
      </c>
      <c r="I8292" s="9" t="s">
        <v>14780</v>
      </c>
      <c r="J8292" s="9" t="s">
        <v>14781</v>
      </c>
      <c r="K8292" s="4" t="s">
        <v>15175</v>
      </c>
      <c r="L8292" s="13">
        <v>12293</v>
      </c>
      <c r="M8292" t="str">
        <f>VLOOKUP(L8292,[1]Human_BrainSpan!$B$2:$C$4000,2,FALSE)</f>
        <v>SCS</v>
      </c>
    </row>
    <row r="8293" spans="2:13" x14ac:dyDescent="0.25">
      <c r="B8293" s="31" t="s">
        <v>25743</v>
      </c>
      <c r="C8293" s="20"/>
      <c r="D8293" s="25" t="s">
        <v>14783</v>
      </c>
      <c r="E8293" s="25"/>
      <c r="F8293" s="9" t="str">
        <f>HYPERLINK("https://www.ebi.ac.uk/ols/ontologies/uberon/terms?iri=http://purl.obolibrary.org/obo/UBERON_0006779","superficial white layer of superior colliculus")</f>
        <v>superficial white layer of superior colliculus</v>
      </c>
      <c r="G8293" s="9" t="s">
        <v>14782</v>
      </c>
      <c r="H8293" s="9" t="s">
        <v>24057</v>
      </c>
      <c r="I8293" s="9" t="s">
        <v>14783</v>
      </c>
      <c r="J8293" s="9" t="s">
        <v>14784</v>
      </c>
      <c r="K8293" s="4" t="s">
        <v>15175</v>
      </c>
      <c r="L8293" s="13">
        <v>12296</v>
      </c>
      <c r="M8293" t="str">
        <f>VLOOKUP(L8293,[1]Human_BrainSpan!$B$2:$C$4000,2,FALSE)</f>
        <v>SCSw</v>
      </c>
    </row>
    <row r="8294" spans="2:13" x14ac:dyDescent="0.25">
      <c r="B8294" s="31" t="s">
        <v>25743</v>
      </c>
      <c r="C8294" s="20"/>
      <c r="D8294" s="25" t="s">
        <v>14783</v>
      </c>
      <c r="E8294" s="25"/>
      <c r="F8294" s="9" t="str">
        <f>HYPERLINK("https://www.ebi.ac.uk/ols/ontologies/uberon/terms?iri=http://purl.obolibrary.org/obo/UBERON_0006779","superficial white layer of superior colliculus")</f>
        <v>superficial white layer of superior colliculus</v>
      </c>
      <c r="G8294" s="9" t="s">
        <v>14782</v>
      </c>
      <c r="H8294" s="9" t="s">
        <v>25217</v>
      </c>
      <c r="I8294" s="9" t="s">
        <v>14785</v>
      </c>
      <c r="J8294" s="9" t="s">
        <v>14786</v>
      </c>
      <c r="K8294" s="7" t="s">
        <v>15171</v>
      </c>
      <c r="L8294" s="13">
        <v>9122</v>
      </c>
      <c r="M8294" t="str">
        <f>VLOOKUP(L8294,[1]HBA!$B$2:$C$4000,2,FALSE)</f>
        <v>SuWh</v>
      </c>
    </row>
    <row r="8295" spans="2:13" x14ac:dyDescent="0.25">
      <c r="B8295" s="31" t="s">
        <v>25743</v>
      </c>
      <c r="C8295" s="20"/>
      <c r="D8295" s="25" t="s">
        <v>14783</v>
      </c>
      <c r="E8295" s="25"/>
      <c r="F8295" s="9" t="str">
        <f>HYPERLINK("https://www.ebi.ac.uk/ols/ontologies/uberon/terms?iri=http://purl.obolibrary.org/obo/UBERON_0006779","superficial white layer of superior colliculus")</f>
        <v>superficial white layer of superior colliculus</v>
      </c>
      <c r="G8295" s="9" t="s">
        <v>14782</v>
      </c>
      <c r="H8295" s="9" t="s">
        <v>20166</v>
      </c>
      <c r="I8295" s="9" t="s">
        <v>14787</v>
      </c>
      <c r="J8295" s="9" t="s">
        <v>14788</v>
      </c>
      <c r="K8295" s="3" t="s">
        <v>15176</v>
      </c>
      <c r="L8295" s="13">
        <v>851</v>
      </c>
      <c r="M8295" t="str">
        <f>VLOOKUP(L8295,[1]Mouse_ARA!$B$2:$C$1328,2,FALSE)</f>
        <v>SCop</v>
      </c>
    </row>
    <row r="8296" spans="2:13" x14ac:dyDescent="0.25">
      <c r="B8296" s="37" t="s">
        <v>25743</v>
      </c>
      <c r="C8296" s="20"/>
      <c r="D8296" s="25" t="s">
        <v>12936</v>
      </c>
      <c r="E8296" s="25"/>
      <c r="F8296" s="9" t="str">
        <f>HYPERLINK("https://www.ebi.ac.uk/ols/ontologies/uberon/terms?iri=http://purl.obolibrary.org/obo/UBERON_0002150","superior cerebellar peduncle")</f>
        <v>superior cerebellar peduncle</v>
      </c>
      <c r="G8296" s="9" t="s">
        <v>14789</v>
      </c>
      <c r="H8296" s="9" t="s">
        <v>18495</v>
      </c>
      <c r="I8296" s="9" t="s">
        <v>14790</v>
      </c>
      <c r="J8296" s="9" t="s">
        <v>14791</v>
      </c>
      <c r="K8296" s="4" t="s">
        <v>15175</v>
      </c>
      <c r="L8296" s="13">
        <v>12354</v>
      </c>
      <c r="M8296" t="str">
        <f>VLOOKUP(L8296,[1]Human_BrainSpan!$B$2:$C$4000,2,FALSE)</f>
        <v>scp</v>
      </c>
    </row>
    <row r="8297" spans="2:13" x14ac:dyDescent="0.25">
      <c r="B8297" s="37" t="s">
        <v>25743</v>
      </c>
      <c r="C8297" s="20"/>
      <c r="D8297" s="25" t="s">
        <v>12936</v>
      </c>
      <c r="E8297" s="25"/>
      <c r="F8297" s="9" t="str">
        <f>HYPERLINK("https://www.ebi.ac.uk/ols/ontologies/uberon/terms?iri=http://purl.obolibrary.org/obo/UBERON_0002150","superior cerebellar peduncle")</f>
        <v>superior cerebellar peduncle</v>
      </c>
      <c r="G8297" s="9" t="s">
        <v>14789</v>
      </c>
      <c r="H8297" s="9" t="s">
        <v>18495</v>
      </c>
      <c r="I8297" s="9" t="s">
        <v>12936</v>
      </c>
      <c r="J8297" s="9" t="s">
        <v>14792</v>
      </c>
      <c r="K8297" s="5" t="s">
        <v>15173</v>
      </c>
      <c r="L8297" s="13">
        <v>17793</v>
      </c>
      <c r="M8297" t="str">
        <f>VLOOKUP(L8297,[1]DevMouse!$B$2:$C$2693,2,FALSE)</f>
        <v>scp</v>
      </c>
    </row>
    <row r="8298" spans="2:13" x14ac:dyDescent="0.25">
      <c r="B8298" s="37" t="s">
        <v>25743</v>
      </c>
      <c r="C8298" s="20"/>
      <c r="D8298" s="25" t="s">
        <v>12936</v>
      </c>
      <c r="E8298" s="25"/>
      <c r="F8298" s="9" t="str">
        <f>HYPERLINK("https://www.ebi.ac.uk/ols/ontologies/uberon/terms?iri=http://purl.obolibrary.org/obo/UBERON_0002150","superior cerebellar peduncle")</f>
        <v>superior cerebellar peduncle</v>
      </c>
      <c r="G8298" s="9" t="s">
        <v>14789</v>
      </c>
      <c r="H8298" s="9" t="s">
        <v>18495</v>
      </c>
      <c r="I8298" s="9" t="s">
        <v>14793</v>
      </c>
      <c r="J8298" s="9" t="s">
        <v>14794</v>
      </c>
      <c r="K8298" s="7" t="s">
        <v>15171</v>
      </c>
      <c r="L8298" s="13">
        <v>9297</v>
      </c>
      <c r="M8298" t="str">
        <f>VLOOKUP(L8298,[1]HBA!$B$2:$C$4000,2,FALSE)</f>
        <v>scp</v>
      </c>
    </row>
    <row r="8299" spans="2:13" x14ac:dyDescent="0.25">
      <c r="B8299" s="31" t="s">
        <v>25743</v>
      </c>
      <c r="C8299" s="20"/>
      <c r="D8299" s="25" t="s">
        <v>12936</v>
      </c>
      <c r="E8299" s="25"/>
      <c r="F8299" s="9" t="str">
        <f>HYPERLINK("https://www.ebi.ac.uk/ols/ontologies/uberon/terms?iri=http://purl.obolibrary.org/obo/UBERON_0002150","superior cerebellar peduncle")</f>
        <v>superior cerebellar peduncle</v>
      </c>
      <c r="G8299" s="9" t="s">
        <v>14789</v>
      </c>
      <c r="H8299" s="9" t="s">
        <v>18495</v>
      </c>
      <c r="I8299" s="9" t="s">
        <v>14795</v>
      </c>
      <c r="J8299" s="9" t="s">
        <v>14796</v>
      </c>
      <c r="K8299" s="3" t="s">
        <v>15176</v>
      </c>
      <c r="L8299" s="13">
        <v>326</v>
      </c>
      <c r="M8299" t="str">
        <f>VLOOKUP(L8299,[1]Mouse_ARA!$B$2:$C$1328,2,FALSE)</f>
        <v>scp</v>
      </c>
    </row>
    <row r="8300" spans="2:13" x14ac:dyDescent="0.25">
      <c r="B8300" s="31" t="s">
        <v>25743</v>
      </c>
      <c r="C8300" s="20"/>
      <c r="D8300" s="25" t="s">
        <v>14798</v>
      </c>
      <c r="E8300" s="25"/>
      <c r="F8300" s="9" t="str">
        <f>HYPERLINK("https://www.ebi.ac.uk/ols/ontologies/uberon/terms?iri=http://purl.obolibrary.org/obo/UBERON_0001945","superior colliculus")</f>
        <v>superior colliculus</v>
      </c>
      <c r="G8300" s="9" t="s">
        <v>14797</v>
      </c>
      <c r="H8300" s="9" t="s">
        <v>16951</v>
      </c>
      <c r="I8300" s="9" t="s">
        <v>14798</v>
      </c>
      <c r="J8300" s="9" t="s">
        <v>14799</v>
      </c>
      <c r="K8300" s="4" t="s">
        <v>15175</v>
      </c>
      <c r="L8300" s="13">
        <v>12292</v>
      </c>
      <c r="M8300" t="str">
        <f>VLOOKUP(L8300,[1]Human_BrainSpan!$B$2:$C$4000,2,FALSE)</f>
        <v>SC</v>
      </c>
    </row>
    <row r="8301" spans="2:13" x14ac:dyDescent="0.25">
      <c r="B8301" s="31" t="s">
        <v>25743</v>
      </c>
      <c r="C8301" s="20"/>
      <c r="D8301" s="25" t="s">
        <v>14798</v>
      </c>
      <c r="E8301" s="25"/>
      <c r="F8301" s="9" t="str">
        <f>HYPERLINK("https://www.ebi.ac.uk/ols/ontologies/uberon/terms?iri=http://purl.obolibrary.org/obo/UBERON_0001945","superior colliculus")</f>
        <v>superior colliculus</v>
      </c>
      <c r="G8301" s="9" t="s">
        <v>14797</v>
      </c>
      <c r="H8301" s="9" t="s">
        <v>16951</v>
      </c>
      <c r="I8301" s="9" t="s">
        <v>14800</v>
      </c>
      <c r="J8301" s="9" t="s">
        <v>14801</v>
      </c>
      <c r="K8301" s="5" t="s">
        <v>15173</v>
      </c>
      <c r="L8301" s="13">
        <v>16678</v>
      </c>
      <c r="M8301" t="str">
        <f>VLOOKUP(L8301,[1]DevMouse!$B$2:$C$2693,2,FALSE)</f>
        <v>SC</v>
      </c>
    </row>
    <row r="8302" spans="2:13" x14ac:dyDescent="0.25">
      <c r="B8302" s="31" t="s">
        <v>25743</v>
      </c>
      <c r="C8302" s="20"/>
      <c r="D8302" s="25" t="s">
        <v>14798</v>
      </c>
      <c r="E8302" s="25"/>
      <c r="F8302" s="9" t="str">
        <f>HYPERLINK("https://www.ebi.ac.uk/ols/ontologies/uberon/terms?iri=http://purl.obolibrary.org/obo/UBERON_0001945","superior colliculus")</f>
        <v>superior colliculus</v>
      </c>
      <c r="G8302" s="9" t="s">
        <v>14797</v>
      </c>
      <c r="H8302" s="9" t="s">
        <v>16951</v>
      </c>
      <c r="I8302" s="9" t="s">
        <v>14798</v>
      </c>
      <c r="J8302" s="9" t="s">
        <v>14802</v>
      </c>
      <c r="K8302" s="7" t="s">
        <v>15171</v>
      </c>
      <c r="L8302" s="13">
        <v>9114</v>
      </c>
      <c r="M8302" t="str">
        <f>VLOOKUP(L8302,[1]HBA!$B$2:$C$4000,2,FALSE)</f>
        <v>SC</v>
      </c>
    </row>
    <row r="8303" spans="2:13" x14ac:dyDescent="0.25">
      <c r="B8303" s="31" t="s">
        <v>25743</v>
      </c>
      <c r="C8303" s="20"/>
      <c r="D8303" s="25" t="s">
        <v>26242</v>
      </c>
      <c r="E8303" s="25"/>
      <c r="F8303" s="9" t="str">
        <f>HYPERLINK("https://www.ebi.ac.uk/ols/ontologies/uberon/terms?iri=http://purl.obolibrary.org/obo/UBERON_0006120","superior colliculus superficial gray layer")</f>
        <v>superior colliculus superficial gray layer</v>
      </c>
      <c r="G8303" s="9" t="s">
        <v>14803</v>
      </c>
      <c r="H8303" s="9" t="s">
        <v>24056</v>
      </c>
      <c r="I8303" s="9" t="s">
        <v>14804</v>
      </c>
      <c r="J8303" s="9" t="s">
        <v>14805</v>
      </c>
      <c r="K8303" s="4" t="s">
        <v>15175</v>
      </c>
      <c r="L8303" s="13">
        <v>12295</v>
      </c>
      <c r="M8303" t="str">
        <f>VLOOKUP(L8303,[1]Human_BrainSpan!$B$2:$C$4000,2,FALSE)</f>
        <v>SCSg</v>
      </c>
    </row>
    <row r="8304" spans="2:13" x14ac:dyDescent="0.25">
      <c r="B8304" s="31" t="s">
        <v>25743</v>
      </c>
      <c r="C8304" s="20"/>
      <c r="D8304" s="25" t="s">
        <v>26242</v>
      </c>
      <c r="E8304" s="25"/>
      <c r="F8304" s="9" t="str">
        <f>HYPERLINK("https://www.ebi.ac.uk/ols/ontologies/uberon/terms?iri=http://purl.obolibrary.org/obo/UBERON_0006120","superior colliculus superficial gray layer")</f>
        <v>superior colliculus superficial gray layer</v>
      </c>
      <c r="G8304" s="9" t="s">
        <v>14803</v>
      </c>
      <c r="H8304" s="9" t="s">
        <v>16974</v>
      </c>
      <c r="I8304" s="9" t="s">
        <v>14806</v>
      </c>
      <c r="J8304" s="9" t="s">
        <v>14807</v>
      </c>
      <c r="K8304" s="7" t="s">
        <v>15171</v>
      </c>
      <c r="L8304" s="13">
        <v>9121</v>
      </c>
      <c r="M8304" t="str">
        <f>VLOOKUP(L8304,[1]HBA!$B$2:$C$4000,2,FALSE)</f>
        <v>SuG</v>
      </c>
    </row>
    <row r="8305" spans="2:13" x14ac:dyDescent="0.25">
      <c r="B8305" s="31" t="s">
        <v>25743</v>
      </c>
      <c r="C8305" s="20"/>
      <c r="D8305" s="25" t="s">
        <v>26242</v>
      </c>
      <c r="E8305" s="25"/>
      <c r="F8305" s="9" t="str">
        <f>HYPERLINK("https://www.ebi.ac.uk/ols/ontologies/uberon/terms?iri=http://purl.obolibrary.org/obo/UBERON_0006120","superior colliculus superficial gray layer")</f>
        <v>superior colliculus superficial gray layer</v>
      </c>
      <c r="G8305" s="9" t="s">
        <v>14803</v>
      </c>
      <c r="H8305" s="9" t="s">
        <v>20168</v>
      </c>
      <c r="I8305" s="9" t="s">
        <v>14808</v>
      </c>
      <c r="J8305" s="9" t="s">
        <v>14809</v>
      </c>
      <c r="K8305" s="3" t="s">
        <v>15176</v>
      </c>
      <c r="L8305" s="13">
        <v>842</v>
      </c>
      <c r="M8305" t="str">
        <f>VLOOKUP(L8305,[1]Mouse_ARA!$B$2:$C$1328,2,FALSE)</f>
        <v>SCsg</v>
      </c>
    </row>
    <row r="8306" spans="2:13" x14ac:dyDescent="0.25">
      <c r="B8306" s="31" t="s">
        <v>25743</v>
      </c>
      <c r="C8306" s="20"/>
      <c r="D8306" s="25" t="s">
        <v>26243</v>
      </c>
      <c r="E8306" s="25"/>
      <c r="F8306" s="9" t="str">
        <f>HYPERLINK("https://www.ebi.ac.uk/ols/ontologies/uberon/terms?iri=http://purl.obolibrary.org/obo/UBERON_0022426","superior corona radiata")</f>
        <v>superior corona radiata</v>
      </c>
      <c r="G8306" s="9" t="s">
        <v>14810</v>
      </c>
      <c r="H8306" s="9" t="s">
        <v>23562</v>
      </c>
      <c r="I8306" s="9" t="s">
        <v>14811</v>
      </c>
      <c r="J8306" s="9" t="s">
        <v>14812</v>
      </c>
      <c r="K8306" s="4" t="s">
        <v>15175</v>
      </c>
      <c r="L8306" s="13">
        <v>15542</v>
      </c>
      <c r="M8306" t="str">
        <f>VLOOKUP(L8306,[1]Human_BrainSpan!$B$2:$C$4000,2,FALSE)</f>
        <v>cor-s</v>
      </c>
    </row>
    <row r="8307" spans="2:13" x14ac:dyDescent="0.25">
      <c r="B8307" s="31" t="s">
        <v>25743</v>
      </c>
      <c r="C8307" s="20"/>
      <c r="D8307" s="25" t="s">
        <v>14814</v>
      </c>
      <c r="E8307" s="25"/>
      <c r="F8307" s="9" t="str">
        <f>HYPERLINK("https://www.ebi.ac.uk/ols/ontologies/uberon/terms?iri=http://purl.obolibrary.org/obo/UBERON_0002661","superior frontal gyrus")</f>
        <v>superior frontal gyrus</v>
      </c>
      <c r="G8307" s="9" t="s">
        <v>14813</v>
      </c>
      <c r="H8307" s="9" t="s">
        <v>23793</v>
      </c>
      <c r="I8307" s="9" t="s">
        <v>14814</v>
      </c>
      <c r="J8307" s="9" t="s">
        <v>14815</v>
      </c>
      <c r="K8307" s="4" t="s">
        <v>15175</v>
      </c>
      <c r="L8307" s="13">
        <v>12115</v>
      </c>
      <c r="M8307" t="str">
        <f>VLOOKUP(L8307,[1]Human_BrainSpan!$B$2:$C$4000,2,FALSE)</f>
        <v>SFG</v>
      </c>
    </row>
    <row r="8308" spans="2:13" x14ac:dyDescent="0.25">
      <c r="B8308" s="31" t="s">
        <v>25743</v>
      </c>
      <c r="C8308" s="20"/>
      <c r="D8308" s="25" t="s">
        <v>14814</v>
      </c>
      <c r="E8308" s="25"/>
      <c r="F8308" s="9" t="str">
        <f>HYPERLINK("https://www.ebi.ac.uk/ols/ontologies/uberon/terms?iri=http://purl.obolibrary.org/obo/UBERON_0002661","superior frontal gyrus")</f>
        <v>superior frontal gyrus</v>
      </c>
      <c r="G8308" s="9" t="s">
        <v>14813</v>
      </c>
      <c r="H8308" s="9" t="s">
        <v>23793</v>
      </c>
      <c r="I8308" s="9" t="s">
        <v>14814</v>
      </c>
      <c r="J8308" s="9" t="s">
        <v>14816</v>
      </c>
      <c r="K8308" s="7" t="s">
        <v>15171</v>
      </c>
      <c r="L8308" s="13">
        <v>4021</v>
      </c>
      <c r="M8308" t="str">
        <f>VLOOKUP(L8308,[1]HBA!$B$2:$C$4000,2,FALSE)</f>
        <v>SFG</v>
      </c>
    </row>
    <row r="8309" spans="2:13" x14ac:dyDescent="0.25">
      <c r="B8309" s="31" t="s">
        <v>25743</v>
      </c>
      <c r="C8309" s="20"/>
      <c r="D8309" s="25" t="s">
        <v>14818</v>
      </c>
      <c r="E8309" s="25"/>
      <c r="F8309" s="9" t="str">
        <f>HYPERLINK("https://www.ebi.ac.uk/ols/ontologies/uberon/terms?iri=http://purl.obolibrary.org/obo/UBERON_0002562","superior frontal sulcus")</f>
        <v>superior frontal sulcus</v>
      </c>
      <c r="G8309" s="9" t="s">
        <v>14817</v>
      </c>
      <c r="H8309" s="9" t="s">
        <v>23774</v>
      </c>
      <c r="I8309" s="9" t="s">
        <v>14818</v>
      </c>
      <c r="J8309" s="9" t="s">
        <v>14819</v>
      </c>
      <c r="K8309" s="4" t="s">
        <v>15175</v>
      </c>
      <c r="L8309" s="13">
        <v>10639</v>
      </c>
      <c r="M8309" t="str">
        <f>VLOOKUP(L8309,[1]Human_BrainSpan!$B$2:$C$4000,2,FALSE)</f>
        <v>sfs</v>
      </c>
    </row>
    <row r="8310" spans="2:13" x14ac:dyDescent="0.25">
      <c r="B8310" s="31" t="s">
        <v>25743</v>
      </c>
      <c r="C8310" s="20"/>
      <c r="D8310" s="25" t="s">
        <v>14818</v>
      </c>
      <c r="E8310" s="25"/>
      <c r="F8310" s="9" t="str">
        <f>HYPERLINK("https://www.ebi.ac.uk/ols/ontologies/uberon/terms?iri=http://purl.obolibrary.org/obo/UBERON_0002562","superior frontal sulcus")</f>
        <v>superior frontal sulcus</v>
      </c>
      <c r="G8310" s="9" t="s">
        <v>14817</v>
      </c>
      <c r="H8310" s="9" t="s">
        <v>25529</v>
      </c>
      <c r="I8310" s="9" t="s">
        <v>14818</v>
      </c>
      <c r="J8310" s="9" t="s">
        <v>14820</v>
      </c>
      <c r="K8310" s="7" t="s">
        <v>15171</v>
      </c>
      <c r="L8310" s="13">
        <v>9356</v>
      </c>
      <c r="M8310" t="str">
        <f>VLOOKUP(L8310,[1]HBA!$B$2:$C$4000,2,FALSE)</f>
        <v>sfrs</v>
      </c>
    </row>
    <row r="8311" spans="2:13" x14ac:dyDescent="0.25">
      <c r="B8311" s="31" t="s">
        <v>25743</v>
      </c>
      <c r="C8311" s="20"/>
      <c r="D8311" s="25" t="s">
        <v>5397</v>
      </c>
      <c r="E8311" s="25"/>
      <c r="F8311" s="9" t="str">
        <f>HYPERLINK("https://www.ebi.ac.uk/ols/ontologies/uberon/terms?iri=http://purl.obolibrary.org/obo/UBERON_0022246","superior longitudinal fasciculus")</f>
        <v>superior longitudinal fasciculus</v>
      </c>
      <c r="G8311" s="9" t="s">
        <v>14821</v>
      </c>
      <c r="H8311" s="9" t="s">
        <v>23651</v>
      </c>
      <c r="I8311" s="9" t="s">
        <v>5397</v>
      </c>
      <c r="J8311" s="9" t="s">
        <v>5398</v>
      </c>
      <c r="K8311" s="4" t="s">
        <v>15175</v>
      </c>
      <c r="L8311" s="13">
        <v>10592</v>
      </c>
      <c r="M8311" t="str">
        <f>VLOOKUP(L8311,[1]Human_BrainSpan!$B$2:$C$4000,2,FALSE)</f>
        <v>slf</v>
      </c>
    </row>
    <row r="8312" spans="2:13" x14ac:dyDescent="0.25">
      <c r="B8312" s="31" t="s">
        <v>25743</v>
      </c>
      <c r="C8312" s="20"/>
      <c r="D8312" s="25" t="s">
        <v>5397</v>
      </c>
      <c r="E8312" s="25"/>
      <c r="F8312" s="9" t="str">
        <f>HYPERLINK("https://www.ebi.ac.uk/ols/ontologies/uberon/terms?iri=http://purl.obolibrary.org/obo/UBERON_0022246","superior longitudinal fasciculus")</f>
        <v>superior longitudinal fasciculus</v>
      </c>
      <c r="G8312" s="9" t="s">
        <v>14821</v>
      </c>
      <c r="H8312" s="9" t="s">
        <v>23651</v>
      </c>
      <c r="I8312" s="9" t="s">
        <v>5397</v>
      </c>
      <c r="J8312" s="9" t="s">
        <v>12921</v>
      </c>
      <c r="K8312" s="7" t="s">
        <v>15171</v>
      </c>
      <c r="L8312" s="13">
        <v>9281</v>
      </c>
      <c r="M8312" t="str">
        <f>VLOOKUP(L8312,[1]HBA!$B$2:$C$4000,2,FALSE)</f>
        <v>slf</v>
      </c>
    </row>
    <row r="8313" spans="2:13" x14ac:dyDescent="0.25">
      <c r="B8313" s="31" t="s">
        <v>25743</v>
      </c>
      <c r="C8313" s="20"/>
      <c r="D8313" s="25" t="s">
        <v>14823</v>
      </c>
      <c r="E8313" s="25"/>
      <c r="F8313" s="9" t="str">
        <f>HYPERLINK("https://www.ebi.ac.uk/ols/ontologies/uberon/terms?iri=http://purl.obolibrary.org/obo/UBERON_0002948","superior occipital gyrus")</f>
        <v>superior occipital gyrus</v>
      </c>
      <c r="G8313" s="9" t="s">
        <v>14822</v>
      </c>
      <c r="H8313" s="9" t="s">
        <v>23842</v>
      </c>
      <c r="I8313" s="9" t="s">
        <v>14823</v>
      </c>
      <c r="J8313" s="9" t="s">
        <v>14824</v>
      </c>
      <c r="K8313" s="4" t="s">
        <v>15175</v>
      </c>
      <c r="L8313" s="13">
        <v>12154</v>
      </c>
      <c r="M8313" t="str">
        <f>VLOOKUP(L8313,[1]Human_BrainSpan!$B$2:$C$4000,2,FALSE)</f>
        <v>SOG</v>
      </c>
    </row>
    <row r="8314" spans="2:13" x14ac:dyDescent="0.25">
      <c r="B8314" s="31" t="s">
        <v>25743</v>
      </c>
      <c r="C8314" s="20"/>
      <c r="D8314" s="25" t="s">
        <v>14823</v>
      </c>
      <c r="E8314" s="25"/>
      <c r="F8314" s="9" t="str">
        <f>HYPERLINK("https://www.ebi.ac.uk/ols/ontologies/uberon/terms?iri=http://purl.obolibrary.org/obo/UBERON_0002948","superior occipital gyrus")</f>
        <v>superior occipital gyrus</v>
      </c>
      <c r="G8314" s="9" t="s">
        <v>14822</v>
      </c>
      <c r="H8314" s="9" t="s">
        <v>23842</v>
      </c>
      <c r="I8314" s="9" t="s">
        <v>14823</v>
      </c>
      <c r="J8314" s="9" t="s">
        <v>14825</v>
      </c>
      <c r="K8314" s="7" t="s">
        <v>15171</v>
      </c>
      <c r="L8314" s="13">
        <v>4212</v>
      </c>
      <c r="M8314" t="str">
        <f>VLOOKUP(L8314,[1]HBA!$B$2:$C$4000,2,FALSE)</f>
        <v>SOG</v>
      </c>
    </row>
    <row r="8315" spans="2:13" x14ac:dyDescent="0.25">
      <c r="B8315" s="31" t="s">
        <v>25743</v>
      </c>
      <c r="C8315" s="20"/>
      <c r="D8315" s="25" t="s">
        <v>13809</v>
      </c>
      <c r="E8315" s="25"/>
      <c r="F8315" s="9" t="str">
        <f>HYPERLINK("https://www.ebi.ac.uk/ols/ontologies/uberon/terms?iri=http://purl.obolibrary.org/obo/UBERON_0002128","superior olivary complex")</f>
        <v>superior olivary complex</v>
      </c>
      <c r="G8315" s="9" t="s">
        <v>14826</v>
      </c>
      <c r="H8315" s="9" t="s">
        <v>20331</v>
      </c>
      <c r="I8315" s="9" t="s">
        <v>13809</v>
      </c>
      <c r="J8315" s="9" t="s">
        <v>14827</v>
      </c>
      <c r="K8315" s="4" t="s">
        <v>15175</v>
      </c>
      <c r="L8315" s="13">
        <v>12462</v>
      </c>
      <c r="M8315" t="str">
        <f>VLOOKUP(L8315,[1]Human_BrainSpan!$B$2:$C$4000,2,FALSE)</f>
        <v>SOC</v>
      </c>
    </row>
    <row r="8316" spans="2:13" x14ac:dyDescent="0.25">
      <c r="B8316" s="31" t="s">
        <v>25743</v>
      </c>
      <c r="C8316" s="20"/>
      <c r="D8316" s="25" t="s">
        <v>13809</v>
      </c>
      <c r="E8316" s="25"/>
      <c r="F8316" s="9" t="str">
        <f>HYPERLINK("https://www.ebi.ac.uk/ols/ontologies/uberon/terms?iri=http://purl.obolibrary.org/obo/UBERON_0002128","superior olivary complex")</f>
        <v>superior olivary complex</v>
      </c>
      <c r="G8316" s="9" t="s">
        <v>14826</v>
      </c>
      <c r="H8316" s="9" t="s">
        <v>20331</v>
      </c>
      <c r="I8316" s="9" t="s">
        <v>13809</v>
      </c>
      <c r="J8316" s="9" t="s">
        <v>14828</v>
      </c>
      <c r="K8316" s="7" t="s">
        <v>15171</v>
      </c>
      <c r="L8316" s="13">
        <v>9177</v>
      </c>
      <c r="M8316" t="str">
        <f>VLOOKUP(L8316,[1]HBA!$B$2:$C$4000,2,FALSE)</f>
        <v>SOC</v>
      </c>
    </row>
    <row r="8317" spans="2:13" x14ac:dyDescent="0.25">
      <c r="B8317" s="31" t="s">
        <v>25743</v>
      </c>
      <c r="C8317" s="20"/>
      <c r="D8317" s="25" t="s">
        <v>13809</v>
      </c>
      <c r="E8317" s="25"/>
      <c r="F8317" s="9" t="str">
        <f>HYPERLINK("https://www.ebi.ac.uk/ols/ontologies/uberon/terms?iri=http://purl.obolibrary.org/obo/UBERON_0002128","superior olivary complex")</f>
        <v>superior olivary complex</v>
      </c>
      <c r="G8317" s="9" t="s">
        <v>14826</v>
      </c>
      <c r="H8317" s="9" t="s">
        <v>20331</v>
      </c>
      <c r="I8317" s="9" t="s">
        <v>13809</v>
      </c>
      <c r="J8317" s="9" t="s">
        <v>13810</v>
      </c>
      <c r="K8317" s="3" t="s">
        <v>15176</v>
      </c>
      <c r="L8317" s="13">
        <v>398</v>
      </c>
      <c r="M8317" t="str">
        <f>VLOOKUP(L8317,[1]Mouse_ARA!$B$2:$C$1328,2,FALSE)</f>
        <v>SOC</v>
      </c>
    </row>
    <row r="8318" spans="2:13" x14ac:dyDescent="0.25">
      <c r="B8318" s="31" t="s">
        <v>25743</v>
      </c>
      <c r="C8318" s="20"/>
      <c r="D8318" s="25" t="s">
        <v>26244</v>
      </c>
      <c r="E8318" s="25"/>
      <c r="F8318" s="9" t="str">
        <f>HYPERLINK("https://www.ebi.ac.uk/ols/ontologies/uberon/terms?iri=http://purl.obolibrary.org/obo/UBERON_0006094","superior parietal cortex")</f>
        <v>superior parietal cortex</v>
      </c>
      <c r="G8318" s="9" t="s">
        <v>14829</v>
      </c>
      <c r="H8318" s="9" t="s">
        <v>23816</v>
      </c>
      <c r="I8318" s="9" t="s">
        <v>14830</v>
      </c>
      <c r="J8318" s="9" t="s">
        <v>14831</v>
      </c>
      <c r="K8318" s="7" t="s">
        <v>15171</v>
      </c>
      <c r="L8318" s="13">
        <v>4096</v>
      </c>
      <c r="M8318" t="str">
        <f>VLOOKUP(L8318,[1]HBA!$B$2:$C$4000,2,FALSE)</f>
        <v>SPL</v>
      </c>
    </row>
    <row r="8319" spans="2:13" x14ac:dyDescent="0.25">
      <c r="B8319" s="31" t="s">
        <v>26302</v>
      </c>
      <c r="C8319" s="25" t="s">
        <v>3729</v>
      </c>
      <c r="D8319" s="25" t="s">
        <v>26245</v>
      </c>
      <c r="E8319" s="25"/>
      <c r="F8319" s="9" t="str">
        <f>HYPERLINK("https://www.ebi.ac.uk/ols/ontologies/uberon/terms?iri=http://purl.obolibrary.org/obo/UBERON_0002907","superior postcentral sulcus")</f>
        <v>superior postcentral sulcus</v>
      </c>
      <c r="G8319" s="9" t="s">
        <v>14832</v>
      </c>
      <c r="H8319" s="9" t="s">
        <v>22360</v>
      </c>
      <c r="I8319" s="9" t="s">
        <v>14833</v>
      </c>
      <c r="J8319" s="9" t="s">
        <v>14834</v>
      </c>
      <c r="K8319" s="4" t="s">
        <v>15175</v>
      </c>
      <c r="L8319" s="13">
        <v>10215</v>
      </c>
      <c r="M8319" t="str">
        <f>VLOOKUP(L8319,[1]Human_BrainSpan!$B$2:$C$4000,2,FALSE)</f>
        <v>SPC</v>
      </c>
    </row>
    <row r="8320" spans="2:13" x14ac:dyDescent="0.25">
      <c r="B8320" s="31" t="s">
        <v>26299</v>
      </c>
      <c r="C8320" s="20"/>
      <c r="D8320" s="25" t="s">
        <v>26246</v>
      </c>
      <c r="E8320" s="25"/>
      <c r="F8320" s="9" t="str">
        <f>HYPERLINK("https://www.ebi.ac.uk/ols/ontologies/uberon/terms?iri=http://purl.obolibrary.org/obo/UBERON_0002566","superior precentral sulcus")</f>
        <v>superior precentral sulcus</v>
      </c>
      <c r="G8320" s="9" t="s">
        <v>14835</v>
      </c>
      <c r="H8320" s="9" t="s">
        <v>23650</v>
      </c>
      <c r="I8320" s="9" t="s">
        <v>4436</v>
      </c>
      <c r="J8320" s="9" t="s">
        <v>4437</v>
      </c>
      <c r="K8320" s="7" t="s">
        <v>15171</v>
      </c>
      <c r="L8320" s="13">
        <v>265505362</v>
      </c>
      <c r="M8320" t="str">
        <f>VLOOKUP(L8320,[1]HBA!$B$2:$C$4000,2,FALSE)</f>
        <v>sprs</v>
      </c>
    </row>
    <row r="8321" spans="2:13" x14ac:dyDescent="0.25">
      <c r="B8321" s="31" t="s">
        <v>25743</v>
      </c>
      <c r="C8321" s="20"/>
      <c r="D8321" s="25" t="s">
        <v>14837</v>
      </c>
      <c r="E8321" s="25"/>
      <c r="F8321" s="9" t="str">
        <f>HYPERLINK("https://www.ebi.ac.uk/ols/ontologies/uberon/terms?iri=http://purl.obolibrary.org/obo/UBERON_0019279","superior rostral gyrus")</f>
        <v>superior rostral gyrus</v>
      </c>
      <c r="G8321" s="9" t="s">
        <v>14836</v>
      </c>
      <c r="H8321" s="9" t="s">
        <v>23809</v>
      </c>
      <c r="I8321" s="9" t="s">
        <v>14837</v>
      </c>
      <c r="J8321" s="9" t="s">
        <v>14838</v>
      </c>
      <c r="K8321" s="4" t="s">
        <v>15175</v>
      </c>
      <c r="L8321" s="13">
        <v>12129</v>
      </c>
      <c r="M8321" t="str">
        <f>VLOOKUP(L8321,[1]Human_BrainSpan!$B$2:$C$4000,2,FALSE)</f>
        <v>SRoG</v>
      </c>
    </row>
    <row r="8322" spans="2:13" x14ac:dyDescent="0.25">
      <c r="B8322" s="31" t="s">
        <v>25743</v>
      </c>
      <c r="C8322" s="20"/>
      <c r="D8322" s="25" t="s">
        <v>14837</v>
      </c>
      <c r="E8322" s="25"/>
      <c r="F8322" s="9" t="str">
        <f>HYPERLINK("https://www.ebi.ac.uk/ols/ontologies/uberon/terms?iri=http://purl.obolibrary.org/obo/UBERON_0019279","superior rostral gyrus")</f>
        <v>superior rostral gyrus</v>
      </c>
      <c r="G8322" s="9" t="s">
        <v>14836</v>
      </c>
      <c r="H8322" s="9" t="s">
        <v>23809</v>
      </c>
      <c r="I8322" s="9" t="s">
        <v>14837</v>
      </c>
      <c r="J8322" s="9" t="s">
        <v>14839</v>
      </c>
      <c r="K8322" s="7" t="s">
        <v>15171</v>
      </c>
      <c r="L8322" s="13">
        <v>4897</v>
      </c>
      <c r="M8322" t="str">
        <f>VLOOKUP(L8322,[1]HBA!$B$2:$C$4000,2,FALSE)</f>
        <v>SRoG</v>
      </c>
    </row>
    <row r="8323" spans="2:13" x14ac:dyDescent="0.25">
      <c r="B8323" s="31" t="s">
        <v>26303</v>
      </c>
      <c r="C8323" s="20"/>
      <c r="D8323" s="25" t="s">
        <v>14841</v>
      </c>
      <c r="E8323" s="25" t="s">
        <v>26309</v>
      </c>
      <c r="F8323" s="9" t="str">
        <f>HYPERLINK("https://www.ebi.ac.uk/ols/ontologies/uberon/terms?iri=http://purl.obolibrary.org/obo/UBERON_0002607","superior rostral sulcus")</f>
        <v>superior rostral sulcus</v>
      </c>
      <c r="G8323" s="9" t="s">
        <v>14840</v>
      </c>
      <c r="H8323" s="9" t="s">
        <v>23768</v>
      </c>
      <c r="I8323" s="9" t="s">
        <v>14841</v>
      </c>
      <c r="J8323" s="9" t="s">
        <v>14842</v>
      </c>
      <c r="K8323" s="4" t="s">
        <v>15175</v>
      </c>
      <c r="L8323" s="13">
        <v>146034840</v>
      </c>
      <c r="M8323" t="str">
        <f>VLOOKUP(L8323,[1]Human_BrainSpan!$B$2:$C$4000,2,FALSE)</f>
        <v>ros-s</v>
      </c>
    </row>
    <row r="8324" spans="2:13" x14ac:dyDescent="0.25">
      <c r="B8324" s="31" t="s">
        <v>26303</v>
      </c>
      <c r="C8324" s="20"/>
      <c r="D8324" s="25" t="s">
        <v>14841</v>
      </c>
      <c r="E8324" s="25" t="s">
        <v>26309</v>
      </c>
      <c r="F8324" s="9" t="str">
        <f>HYPERLINK("https://www.ebi.ac.uk/ols/ontologies/uberon/terms?iri=http://purl.obolibrary.org/obo/UBERON_0002607","superior rostral sulcus")</f>
        <v>superior rostral sulcus</v>
      </c>
      <c r="G8324" s="9" t="s">
        <v>14840</v>
      </c>
      <c r="H8324" s="9" t="s">
        <v>25530</v>
      </c>
      <c r="I8324" s="9" t="s">
        <v>14841</v>
      </c>
      <c r="J8324" s="9" t="s">
        <v>14843</v>
      </c>
      <c r="K8324" s="7" t="s">
        <v>15171</v>
      </c>
      <c r="L8324" s="13">
        <v>9366</v>
      </c>
      <c r="M8324" t="str">
        <f>VLOOKUP(L8324,[1]HBA!$B$2:$C$4000,2,FALSE)</f>
        <v>sros</v>
      </c>
    </row>
    <row r="8325" spans="2:13" x14ac:dyDescent="0.25">
      <c r="B8325" s="31" t="s">
        <v>25743</v>
      </c>
      <c r="C8325" s="20"/>
      <c r="D8325" s="25" t="s">
        <v>7365</v>
      </c>
      <c r="E8325" s="25"/>
      <c r="F8325" s="9" t="str">
        <f>HYPERLINK("https://www.ebi.ac.uk/ols/ontologies/uberon/terms?iri=http://purl.obolibrary.org/obo/UBERON_0002149","superior salivatory nucleus")</f>
        <v>superior salivatory nucleus</v>
      </c>
      <c r="G8325" s="9" t="s">
        <v>14844</v>
      </c>
      <c r="H8325" s="9" t="s">
        <v>24281</v>
      </c>
      <c r="I8325" s="9" t="s">
        <v>7365</v>
      </c>
      <c r="J8325" s="9" t="s">
        <v>7366</v>
      </c>
      <c r="K8325" s="4" t="s">
        <v>15175</v>
      </c>
      <c r="L8325" s="13">
        <v>12435</v>
      </c>
      <c r="M8325" t="str">
        <f>VLOOKUP(L8325,[1]Human_BrainSpan!$B$2:$C$4000,2,FALSE)</f>
        <v>SuSV</v>
      </c>
    </row>
    <row r="8326" spans="2:13" x14ac:dyDescent="0.25">
      <c r="B8326" s="31" t="s">
        <v>25743</v>
      </c>
      <c r="C8326" s="20"/>
      <c r="D8326" s="25" t="s">
        <v>7365</v>
      </c>
      <c r="E8326" s="25"/>
      <c r="F8326" s="9" t="str">
        <f>HYPERLINK("https://www.ebi.ac.uk/ols/ontologies/uberon/terms?iri=http://purl.obolibrary.org/obo/UBERON_0002149","superior salivatory nucleus")</f>
        <v>superior salivatory nucleus</v>
      </c>
      <c r="G8326" s="9" t="s">
        <v>14844</v>
      </c>
      <c r="H8326" s="9" t="s">
        <v>23120</v>
      </c>
      <c r="I8326" s="9" t="s">
        <v>7365</v>
      </c>
      <c r="J8326" s="9" t="s">
        <v>12828</v>
      </c>
      <c r="K8326" s="7" t="s">
        <v>15171</v>
      </c>
      <c r="L8326" s="13">
        <v>9194</v>
      </c>
      <c r="M8326" t="str">
        <f>VLOOKUP(L8326,[1]HBA!$B$2:$C$4000,2,FALSE)</f>
        <v>SuS</v>
      </c>
    </row>
    <row r="8327" spans="2:13" x14ac:dyDescent="0.25">
      <c r="B8327" s="31" t="s">
        <v>25743</v>
      </c>
      <c r="C8327" s="20"/>
      <c r="D8327" s="25" t="s">
        <v>7365</v>
      </c>
      <c r="E8327" s="25"/>
      <c r="F8327" s="9" t="str">
        <f>HYPERLINK("https://www.ebi.ac.uk/ols/ontologies/uberon/terms?iri=http://purl.obolibrary.org/obo/UBERON_0002149","superior salivatory nucleus")</f>
        <v>superior salivatory nucleus</v>
      </c>
      <c r="G8327" s="9" t="s">
        <v>14844</v>
      </c>
      <c r="H8327" s="9" t="s">
        <v>20355</v>
      </c>
      <c r="I8327" s="9" t="s">
        <v>7365</v>
      </c>
      <c r="J8327" s="9" t="s">
        <v>13873</v>
      </c>
      <c r="K8327" s="3" t="s">
        <v>15176</v>
      </c>
      <c r="L8327" s="13">
        <v>462</v>
      </c>
      <c r="M8327" t="str">
        <f>VLOOKUP(L8327,[1]Mouse_ARA!$B$2:$C$1328,2,FALSE)</f>
        <v>SSN</v>
      </c>
    </row>
    <row r="8328" spans="2:13" x14ac:dyDescent="0.25">
      <c r="B8328" s="31" t="s">
        <v>25743</v>
      </c>
      <c r="C8328" s="20"/>
      <c r="D8328" s="25" t="s">
        <v>14846</v>
      </c>
      <c r="E8328" s="25"/>
      <c r="F8328" s="9" t="str">
        <f>HYPERLINK("https://www.ebi.ac.uk/ols/ontologies/uberon/terms?iri=http://purl.obolibrary.org/obo/UBERON_0002769","superior temporal gyrus")</f>
        <v>superior temporal gyrus</v>
      </c>
      <c r="G8328" s="9" t="s">
        <v>14845</v>
      </c>
      <c r="H8328" s="9" t="s">
        <v>23823</v>
      </c>
      <c r="I8328" s="9" t="s">
        <v>14846</v>
      </c>
      <c r="J8328" s="9" t="s">
        <v>14847</v>
      </c>
      <c r="K8328" s="4" t="s">
        <v>15175</v>
      </c>
      <c r="L8328" s="13">
        <v>12140</v>
      </c>
      <c r="M8328" t="str">
        <f>VLOOKUP(L8328,[1]Human_BrainSpan!$B$2:$C$4000,2,FALSE)</f>
        <v>STG</v>
      </c>
    </row>
    <row r="8329" spans="2:13" x14ac:dyDescent="0.25">
      <c r="B8329" s="31" t="s">
        <v>25743</v>
      </c>
      <c r="C8329" s="20"/>
      <c r="D8329" s="25" t="s">
        <v>14846</v>
      </c>
      <c r="E8329" s="25"/>
      <c r="F8329" s="9" t="str">
        <f>HYPERLINK("https://www.ebi.ac.uk/ols/ontologies/uberon/terms?iri=http://purl.obolibrary.org/obo/UBERON_0002769","superior temporal gyrus")</f>
        <v>superior temporal gyrus</v>
      </c>
      <c r="G8329" s="9" t="s">
        <v>14845</v>
      </c>
      <c r="H8329" s="9" t="s">
        <v>23823</v>
      </c>
      <c r="I8329" s="9" t="s">
        <v>14846</v>
      </c>
      <c r="J8329" s="9" t="s">
        <v>14848</v>
      </c>
      <c r="K8329" s="7" t="s">
        <v>15171</v>
      </c>
      <c r="L8329" s="13">
        <v>4133</v>
      </c>
      <c r="M8329" t="str">
        <f>VLOOKUP(L8329,[1]HBA!$B$2:$C$4000,2,FALSE)</f>
        <v>STG</v>
      </c>
    </row>
    <row r="8330" spans="2:13" x14ac:dyDescent="0.25">
      <c r="B8330" s="31" t="s">
        <v>26303</v>
      </c>
      <c r="C8330" s="20"/>
      <c r="D8330" s="25" t="s">
        <v>14850</v>
      </c>
      <c r="E8330" s="25" t="s">
        <v>26309</v>
      </c>
      <c r="F8330" s="9" t="str">
        <f>HYPERLINK("https://www.ebi.ac.uk/ols/ontologies/uberon/terms?iri=http://purl.obolibrary.org/obo/UBERON_0002734","superior temporal sulcus")</f>
        <v>superior temporal sulcus</v>
      </c>
      <c r="G8330" s="9" t="s">
        <v>14849</v>
      </c>
      <c r="H8330" s="9" t="s">
        <v>23727</v>
      </c>
      <c r="I8330" s="9" t="s">
        <v>14850</v>
      </c>
      <c r="J8330" s="9" t="s">
        <v>14851</v>
      </c>
      <c r="K8330" s="4" t="s">
        <v>15175</v>
      </c>
      <c r="L8330" s="13">
        <v>10629</v>
      </c>
      <c r="M8330" t="str">
        <f>VLOOKUP(L8330,[1]Human_BrainSpan!$B$2:$C$4000,2,FALSE)</f>
        <v>sts</v>
      </c>
    </row>
    <row r="8331" spans="2:13" x14ac:dyDescent="0.25">
      <c r="B8331" s="31" t="s">
        <v>26303</v>
      </c>
      <c r="C8331" s="20"/>
      <c r="D8331" s="25" t="s">
        <v>14850</v>
      </c>
      <c r="E8331" s="25" t="s">
        <v>26309</v>
      </c>
      <c r="F8331" s="9" t="str">
        <f>HYPERLINK("https://www.ebi.ac.uk/ols/ontologies/uberon/terms?iri=http://purl.obolibrary.org/obo/UBERON_0002734","superior temporal sulcus")</f>
        <v>superior temporal sulcus</v>
      </c>
      <c r="G8331" s="9" t="s">
        <v>14849</v>
      </c>
      <c r="H8331" s="9" t="s">
        <v>23727</v>
      </c>
      <c r="I8331" s="9" t="s">
        <v>14850</v>
      </c>
      <c r="J8331" s="9" t="s">
        <v>14852</v>
      </c>
      <c r="K8331" s="7" t="s">
        <v>15171</v>
      </c>
      <c r="L8331" s="13">
        <v>9378</v>
      </c>
      <c r="M8331" t="str">
        <f>VLOOKUP(L8331,[1]HBA!$B$2:$C$4000,2,FALSE)</f>
        <v>sts</v>
      </c>
    </row>
    <row r="8332" spans="2:13" x14ac:dyDescent="0.25">
      <c r="B8332" s="31" t="s">
        <v>25743</v>
      </c>
      <c r="C8332" s="20"/>
      <c r="D8332" s="25" t="s">
        <v>7387</v>
      </c>
      <c r="E8332" s="25"/>
      <c r="F8332" s="9" t="str">
        <f>HYPERLINK("https://www.ebi.ac.uk/ols/ontologies/uberon/terms?iri=http://purl.obolibrary.org/obo/UBERON_0007227","superior vestibular nucleus")</f>
        <v>superior vestibular nucleus</v>
      </c>
      <c r="G8332" s="9" t="s">
        <v>14853</v>
      </c>
      <c r="H8332" s="9" t="s">
        <v>24298</v>
      </c>
      <c r="I8332" s="9" t="s">
        <v>7387</v>
      </c>
      <c r="J8332" s="9" t="s">
        <v>7388</v>
      </c>
      <c r="K8332" s="4" t="s">
        <v>15175</v>
      </c>
      <c r="L8332" s="13">
        <v>12452</v>
      </c>
      <c r="M8332" t="str">
        <f>VLOOKUP(L8332,[1]Human_BrainSpan!$B$2:$C$4000,2,FALSE)</f>
        <v>SuVe</v>
      </c>
    </row>
    <row r="8333" spans="2:13" x14ac:dyDescent="0.25">
      <c r="B8333" s="31" t="s">
        <v>25743</v>
      </c>
      <c r="C8333" s="20"/>
      <c r="D8333" s="25" t="s">
        <v>7387</v>
      </c>
      <c r="E8333" s="25"/>
      <c r="F8333" s="9" t="str">
        <f>HYPERLINK("https://www.ebi.ac.uk/ols/ontologies/uberon/terms?iri=http://purl.obolibrary.org/obo/UBERON_0007227","superior vestibular nucleus")</f>
        <v>superior vestibular nucleus</v>
      </c>
      <c r="G8333" s="9" t="s">
        <v>14853</v>
      </c>
      <c r="H8333" s="9" t="s">
        <v>24298</v>
      </c>
      <c r="I8333" s="9" t="s">
        <v>13338</v>
      </c>
      <c r="J8333" s="9" t="s">
        <v>13339</v>
      </c>
      <c r="K8333" s="7" t="s">
        <v>15171</v>
      </c>
      <c r="L8333" s="13">
        <v>9701</v>
      </c>
      <c r="M8333" t="str">
        <f>VLOOKUP(L8333,[1]HBA!$B$2:$C$4000,2,FALSE)</f>
        <v>SuVe</v>
      </c>
    </row>
    <row r="8334" spans="2:13" x14ac:dyDescent="0.25">
      <c r="B8334" s="31" t="s">
        <v>25743</v>
      </c>
      <c r="C8334" s="20"/>
      <c r="D8334" s="25" t="s">
        <v>7387</v>
      </c>
      <c r="E8334" s="25"/>
      <c r="F8334" s="9" t="str">
        <f>HYPERLINK("https://www.ebi.ac.uk/ols/ontologies/uberon/terms?iri=http://purl.obolibrary.org/obo/UBERON_0007227","superior vestibular nucleus")</f>
        <v>superior vestibular nucleus</v>
      </c>
      <c r="G8334" s="9" t="s">
        <v>14853</v>
      </c>
      <c r="H8334" s="9" t="s">
        <v>20530</v>
      </c>
      <c r="I8334" s="9" t="s">
        <v>7387</v>
      </c>
      <c r="J8334" s="9" t="s">
        <v>13590</v>
      </c>
      <c r="K8334" s="3" t="s">
        <v>15176</v>
      </c>
      <c r="L8334" s="13">
        <v>217</v>
      </c>
      <c r="M8334" t="str">
        <f>VLOOKUP(L8334,[1]Mouse_ARA!$B$2:$C$1328,2,FALSE)</f>
        <v>SUV</v>
      </c>
    </row>
    <row r="8335" spans="2:13" x14ac:dyDescent="0.25">
      <c r="B8335" s="31" t="s">
        <v>25743</v>
      </c>
      <c r="C8335" s="20"/>
      <c r="D8335" s="25" t="s">
        <v>654</v>
      </c>
      <c r="E8335" s="25"/>
      <c r="F8335" s="9" t="str">
        <f>HYPERLINK("https://www.ebi.ac.uk/ols/ontologies/uberon/terms?iri=http://purl.obolibrary.org/obo/UBERON_0002034","suprachiasmatic nucleus")</f>
        <v>suprachiasmatic nucleus</v>
      </c>
      <c r="G8335" s="9" t="s">
        <v>14854</v>
      </c>
      <c r="H8335" s="9" t="s">
        <v>23470</v>
      </c>
      <c r="I8335" s="9" t="s">
        <v>654</v>
      </c>
      <c r="J8335" s="9" t="s">
        <v>14855</v>
      </c>
      <c r="K8335" s="4" t="s">
        <v>15175</v>
      </c>
      <c r="L8335" s="13">
        <v>10480</v>
      </c>
      <c r="M8335" t="str">
        <f>VLOOKUP(L8335,[1]Human_BrainSpan!$B$2:$C$4000,2,FALSE)</f>
        <v>SCN</v>
      </c>
    </row>
    <row r="8336" spans="2:13" x14ac:dyDescent="0.25">
      <c r="B8336" s="31" t="s">
        <v>25743</v>
      </c>
      <c r="C8336" s="20"/>
      <c r="D8336" s="25" t="s">
        <v>654</v>
      </c>
      <c r="E8336" s="25"/>
      <c r="F8336" s="9" t="str">
        <f>HYPERLINK("https://www.ebi.ac.uk/ols/ontologies/uberon/terms?iri=http://purl.obolibrary.org/obo/UBERON_0002034","suprachiasmatic nucleus")</f>
        <v>suprachiasmatic nucleus</v>
      </c>
      <c r="G8336" s="9" t="s">
        <v>14854</v>
      </c>
      <c r="H8336" s="9" t="s">
        <v>15376</v>
      </c>
      <c r="I8336" s="9" t="s">
        <v>654</v>
      </c>
      <c r="J8336" s="9" t="s">
        <v>655</v>
      </c>
      <c r="K8336" s="5" t="s">
        <v>15173</v>
      </c>
      <c r="L8336" s="13">
        <v>15660</v>
      </c>
      <c r="M8336" t="str">
        <f>VLOOKUP(L8336,[1]DevMouse!$B$2:$C$2693,2,FALSE)</f>
        <v>SCH</v>
      </c>
    </row>
    <row r="8337" spans="2:13" x14ac:dyDescent="0.25">
      <c r="B8337" s="31" t="s">
        <v>25743</v>
      </c>
      <c r="C8337" s="20"/>
      <c r="D8337" s="25" t="s">
        <v>654</v>
      </c>
      <c r="E8337" s="25"/>
      <c r="F8337" s="9" t="str">
        <f>HYPERLINK("https://www.ebi.ac.uk/ols/ontologies/uberon/terms?iri=http://purl.obolibrary.org/obo/UBERON_0002034","suprachiasmatic nucleus")</f>
        <v>suprachiasmatic nucleus</v>
      </c>
      <c r="G8337" s="9" t="s">
        <v>14854</v>
      </c>
      <c r="H8337" s="9" t="s">
        <v>23470</v>
      </c>
      <c r="I8337" s="9" t="s">
        <v>654</v>
      </c>
      <c r="J8337" s="9" t="s">
        <v>14856</v>
      </c>
      <c r="K8337" s="7" t="s">
        <v>15171</v>
      </c>
      <c r="L8337" s="13">
        <v>12908</v>
      </c>
      <c r="M8337" t="str">
        <f>VLOOKUP(L8337,[1]HBA!$B$2:$C$4000,2,FALSE)</f>
        <v>SCN</v>
      </c>
    </row>
    <row r="8338" spans="2:13" x14ac:dyDescent="0.25">
      <c r="B8338" s="31" t="s">
        <v>25743</v>
      </c>
      <c r="C8338" s="20"/>
      <c r="D8338" s="25" t="s">
        <v>654</v>
      </c>
      <c r="E8338" s="25"/>
      <c r="F8338" s="9" t="str">
        <f>HYPERLINK("https://www.ebi.ac.uk/ols/ontologies/uberon/terms?iri=http://purl.obolibrary.org/obo/UBERON_0002034","suprachiasmatic nucleus")</f>
        <v>suprachiasmatic nucleus</v>
      </c>
      <c r="G8338" s="9" t="s">
        <v>14854</v>
      </c>
      <c r="H8338" s="9" t="s">
        <v>15376</v>
      </c>
      <c r="I8338" s="9" t="s">
        <v>654</v>
      </c>
      <c r="J8338" s="9" t="s">
        <v>771</v>
      </c>
      <c r="K8338" s="3" t="s">
        <v>15176</v>
      </c>
      <c r="L8338" s="13">
        <v>286</v>
      </c>
      <c r="M8338" t="str">
        <f>VLOOKUP(L8338,[1]Mouse_ARA!$B$2:$C$1328,2,FALSE)</f>
        <v>SCH</v>
      </c>
    </row>
    <row r="8339" spans="2:13" x14ac:dyDescent="0.25">
      <c r="B8339" s="31" t="s">
        <v>25743</v>
      </c>
      <c r="C8339" s="20"/>
      <c r="D8339" s="25" t="s">
        <v>26247</v>
      </c>
      <c r="E8339" s="25"/>
      <c r="F8339" s="9" t="str">
        <f>HYPERLINK("https://www.ebi.ac.uk/ols/ontologies/uberon/terms?iri=http://purl.obolibrary.org/obo/UBERON_0027768","suprachiasmatic nucleus dorsomedial part")</f>
        <v>suprachiasmatic nucleus dorsomedial part</v>
      </c>
      <c r="G8339" s="9" t="s">
        <v>14857</v>
      </c>
      <c r="H8339" s="9" t="s">
        <v>23471</v>
      </c>
      <c r="I8339" s="9" t="s">
        <v>14858</v>
      </c>
      <c r="J8339" s="9" t="s">
        <v>14859</v>
      </c>
      <c r="K8339" s="7" t="s">
        <v>15171</v>
      </c>
      <c r="L8339" s="13">
        <v>4591</v>
      </c>
      <c r="M8339" t="str">
        <f>VLOOKUP(L8339,[1]HBA!$B$2:$C$4000,2,FALSE)</f>
        <v>SCNd</v>
      </c>
    </row>
    <row r="8340" spans="2:13" x14ac:dyDescent="0.25">
      <c r="B8340" s="31" t="s">
        <v>25743</v>
      </c>
      <c r="C8340" s="20"/>
      <c r="D8340" s="25" t="s">
        <v>26248</v>
      </c>
      <c r="E8340" s="25"/>
      <c r="F8340" s="9" t="str">
        <f>HYPERLINK("https://www.ebi.ac.uk/ols/ontologies/uberon/terms?iri=http://purl.obolibrary.org/obo/UBERON_0027771","suprachiasmatic nucleus ventrolateral part")</f>
        <v>suprachiasmatic nucleus ventrolateral part</v>
      </c>
      <c r="G8340" s="9" t="s">
        <v>14860</v>
      </c>
      <c r="H8340" s="9" t="s">
        <v>24972</v>
      </c>
      <c r="I8340" s="9" t="s">
        <v>14861</v>
      </c>
      <c r="J8340" s="9" t="s">
        <v>14862</v>
      </c>
      <c r="K8340" s="7" t="s">
        <v>15171</v>
      </c>
      <c r="L8340" s="13">
        <v>4592</v>
      </c>
      <c r="M8340" t="str">
        <f>VLOOKUP(L8340,[1]HBA!$B$2:$C$4000,2,FALSE)</f>
        <v>SCNv</v>
      </c>
    </row>
    <row r="8341" spans="2:13" x14ac:dyDescent="0.25">
      <c r="B8341" s="31" t="s">
        <v>25743</v>
      </c>
      <c r="C8341" s="25"/>
      <c r="D8341" s="25" t="s">
        <v>14864</v>
      </c>
      <c r="E8341" s="25"/>
      <c r="F8341" s="9" t="str">
        <f>HYPERLINK("https://www.ebi.ac.uk/ols/ontologies/uberon/terms?iri=http://purl.obolibrary.org/obo/UBERON_0003033","suprageniculate nucleus of thalamus")</f>
        <v>suprageniculate nucleus of thalamus</v>
      </c>
      <c r="G8341" s="9" t="s">
        <v>14863</v>
      </c>
      <c r="H8341" s="9" t="s">
        <v>19927</v>
      </c>
      <c r="I8341" s="9" t="s">
        <v>14864</v>
      </c>
      <c r="J8341" s="9" t="s">
        <v>14865</v>
      </c>
      <c r="K8341" s="4" t="s">
        <v>15175</v>
      </c>
      <c r="L8341" s="13">
        <v>13044</v>
      </c>
      <c r="M8341" t="str">
        <f>VLOOKUP(L8341,[1]Human_BrainSpan!$B$2:$C$4000,2,FALSE)</f>
        <v>SGN</v>
      </c>
    </row>
    <row r="8342" spans="2:13" x14ac:dyDescent="0.25">
      <c r="B8342" s="31" t="s">
        <v>25743</v>
      </c>
      <c r="C8342" s="20"/>
      <c r="D8342" s="25" t="s">
        <v>14864</v>
      </c>
      <c r="E8342" s="25"/>
      <c r="F8342" s="9" t="str">
        <f>HYPERLINK("https://www.ebi.ac.uk/ols/ontologies/uberon/terms?iri=http://purl.obolibrary.org/obo/UBERON_0003033","suprageniculate nucleus of thalamus")</f>
        <v>suprageniculate nucleus of thalamus</v>
      </c>
      <c r="G8342" s="9" t="s">
        <v>14863</v>
      </c>
      <c r="H8342" s="9" t="s">
        <v>16486</v>
      </c>
      <c r="I8342" s="9" t="s">
        <v>700</v>
      </c>
      <c r="J8342" s="9" t="s">
        <v>701</v>
      </c>
      <c r="K8342" s="5" t="s">
        <v>15173</v>
      </c>
      <c r="L8342" s="13">
        <v>16452</v>
      </c>
      <c r="M8342" t="str">
        <f>VLOOKUP(L8342,[1]DevMouse!$B$2:$C$2693,2,FALSE)</f>
        <v>SG</v>
      </c>
    </row>
    <row r="8343" spans="2:13" x14ac:dyDescent="0.25">
      <c r="B8343" s="31" t="s">
        <v>25743</v>
      </c>
      <c r="C8343" s="20"/>
      <c r="D8343" s="25" t="s">
        <v>14864</v>
      </c>
      <c r="E8343" s="25"/>
      <c r="F8343" s="9" t="str">
        <f>HYPERLINK("https://www.ebi.ac.uk/ols/ontologies/uberon/terms?iri=http://purl.obolibrary.org/obo/UBERON_0003033","suprageniculate nucleus of thalamus")</f>
        <v>suprageniculate nucleus of thalamus</v>
      </c>
      <c r="G8343" s="9" t="s">
        <v>14863</v>
      </c>
      <c r="H8343" s="9" t="s">
        <v>16486</v>
      </c>
      <c r="I8343" s="9" t="s">
        <v>14866</v>
      </c>
      <c r="J8343" s="9" t="s">
        <v>14867</v>
      </c>
      <c r="K8343" s="7" t="s">
        <v>15171</v>
      </c>
      <c r="L8343" s="13">
        <v>4430</v>
      </c>
      <c r="M8343" t="str">
        <f>VLOOKUP(L8343,[1]HBA!$B$2:$C$4000,2,FALSE)</f>
        <v>SG</v>
      </c>
    </row>
    <row r="8344" spans="2:13" x14ac:dyDescent="0.25">
      <c r="B8344" s="31" t="s">
        <v>25743</v>
      </c>
      <c r="C8344" s="20"/>
      <c r="D8344" s="25" t="s">
        <v>14864</v>
      </c>
      <c r="E8344" s="25"/>
      <c r="F8344" s="9" t="str">
        <f>HYPERLINK("https://www.ebi.ac.uk/ols/ontologies/uberon/terms?iri=http://purl.obolibrary.org/obo/UBERON_0003033","suprageniculate nucleus of thalamus")</f>
        <v>suprageniculate nucleus of thalamus</v>
      </c>
      <c r="G8344" s="9" t="s">
        <v>14863</v>
      </c>
      <c r="H8344" s="9" t="s">
        <v>19927</v>
      </c>
      <c r="I8344" s="9" t="s">
        <v>700</v>
      </c>
      <c r="J8344" s="9" t="s">
        <v>772</v>
      </c>
      <c r="K8344" s="3" t="s">
        <v>15176</v>
      </c>
      <c r="L8344" s="13">
        <v>325</v>
      </c>
      <c r="M8344" t="str">
        <f>VLOOKUP(L8344,[1]Mouse_ARA!$B$2:$C$1328,2,FALSE)</f>
        <v>SGN</v>
      </c>
    </row>
    <row r="8345" spans="2:13" x14ac:dyDescent="0.25">
      <c r="B8345" s="31" t="s">
        <v>25743</v>
      </c>
      <c r="C8345" s="20"/>
      <c r="D8345" s="25" t="s">
        <v>26249</v>
      </c>
      <c r="E8345" s="25"/>
      <c r="F8345" s="9" t="str">
        <f>HYPERLINK("https://www.ebi.ac.uk/ols/ontologies/uberon/terms?iri=http://purl.obolibrary.org/obo/UBERON_0022424","supragenual nucleus of pontine tegmentum")</f>
        <v>supragenual nucleus of pontine tegmentum</v>
      </c>
      <c r="G8345" s="9" t="s">
        <v>14868</v>
      </c>
      <c r="H8345" s="9" t="s">
        <v>17800</v>
      </c>
      <c r="I8345" s="9" t="s">
        <v>7637</v>
      </c>
      <c r="J8345" s="9" t="s">
        <v>7638</v>
      </c>
      <c r="K8345" s="4" t="s">
        <v>15175</v>
      </c>
      <c r="L8345" s="13">
        <v>12662</v>
      </c>
      <c r="M8345" t="str">
        <f>VLOOKUP(L8345,[1]Human_BrainSpan!$B$2:$C$4000,2,FALSE)</f>
        <v>SGe</v>
      </c>
    </row>
    <row r="8346" spans="2:13" x14ac:dyDescent="0.25">
      <c r="B8346" s="31" t="s">
        <v>25743</v>
      </c>
      <c r="C8346" s="20"/>
      <c r="D8346" s="25" t="s">
        <v>26249</v>
      </c>
      <c r="E8346" s="25"/>
      <c r="F8346" s="9" t="str">
        <f>HYPERLINK("https://www.ebi.ac.uk/ols/ontologies/uberon/terms?iri=http://purl.obolibrary.org/obo/UBERON_0022424","supragenual nucleus of pontine tegmentum")</f>
        <v>supragenual nucleus of pontine tegmentum</v>
      </c>
      <c r="G8346" s="9" t="s">
        <v>14868</v>
      </c>
      <c r="H8346" s="9" t="s">
        <v>17800</v>
      </c>
      <c r="I8346" s="9" t="s">
        <v>7637</v>
      </c>
      <c r="J8346" s="9" t="s">
        <v>10753</v>
      </c>
      <c r="K8346" s="5" t="s">
        <v>15173</v>
      </c>
      <c r="L8346" s="13">
        <v>17190</v>
      </c>
      <c r="M8346" t="str">
        <f>VLOOKUP(L8346,[1]DevMouse!$B$2:$C$2693,2,FALSE)</f>
        <v>SGe</v>
      </c>
    </row>
    <row r="8347" spans="2:13" x14ac:dyDescent="0.25">
      <c r="B8347" s="31" t="s">
        <v>25743</v>
      </c>
      <c r="C8347" s="20"/>
      <c r="D8347" s="25" t="s">
        <v>26250</v>
      </c>
      <c r="E8347" s="25"/>
      <c r="F8347" s="9" t="str">
        <f>HYPERLINK("https://www.ebi.ac.uk/ols/ontologies/uberon/terms?iri=http://purl.obolibrary.org/obo/UBERON_0002991","supramammillary commissure")</f>
        <v>supramammillary commissure</v>
      </c>
      <c r="G8347" s="9" t="s">
        <v>14869</v>
      </c>
      <c r="H8347" s="9" t="s">
        <v>20921</v>
      </c>
      <c r="I8347" s="9" t="s">
        <v>14870</v>
      </c>
      <c r="J8347" s="9" t="s">
        <v>14871</v>
      </c>
      <c r="K8347" s="3" t="s">
        <v>15176</v>
      </c>
      <c r="L8347" s="13">
        <v>341</v>
      </c>
      <c r="M8347" t="str">
        <f>VLOOKUP(L8347,[1]Mouse_ARA!$B$2:$C$1328,2,FALSE)</f>
        <v>smd</v>
      </c>
    </row>
    <row r="8348" spans="2:13" x14ac:dyDescent="0.25">
      <c r="B8348" s="31" t="s">
        <v>25743</v>
      </c>
      <c r="C8348" s="20"/>
      <c r="D8348" s="25" t="s">
        <v>796</v>
      </c>
      <c r="E8348" s="25"/>
      <c r="F8348" s="9" t="str">
        <f>HYPERLINK("https://www.ebi.ac.uk/ols/ontologies/uberon/terms?iri=http://purl.obolibrary.org/obo/UBERON_0001940","supramammillary nucleus")</f>
        <v>supramammillary nucleus</v>
      </c>
      <c r="G8348" s="9" t="s">
        <v>14872</v>
      </c>
      <c r="H8348" s="9" t="s">
        <v>20095</v>
      </c>
      <c r="I8348" s="9" t="s">
        <v>796</v>
      </c>
      <c r="J8348" s="9" t="s">
        <v>14873</v>
      </c>
      <c r="K8348" s="4" t="s">
        <v>15175</v>
      </c>
      <c r="L8348" s="13">
        <v>10497</v>
      </c>
      <c r="M8348" t="str">
        <f>VLOOKUP(L8348,[1]Human_BrainSpan!$B$2:$C$4000,2,FALSE)</f>
        <v>SUM</v>
      </c>
    </row>
    <row r="8349" spans="2:13" x14ac:dyDescent="0.25">
      <c r="B8349" s="31" t="s">
        <v>25743</v>
      </c>
      <c r="C8349" s="20"/>
      <c r="D8349" s="25" t="s">
        <v>796</v>
      </c>
      <c r="E8349" s="25"/>
      <c r="F8349" s="9" t="str">
        <f>HYPERLINK("https://www.ebi.ac.uk/ols/ontologies/uberon/terms?iri=http://purl.obolibrary.org/obo/UBERON_0001940","supramammillary nucleus")</f>
        <v>supramammillary nucleus</v>
      </c>
      <c r="G8349" s="9" t="s">
        <v>14872</v>
      </c>
      <c r="H8349" s="9" t="s">
        <v>24999</v>
      </c>
      <c r="I8349" s="9" t="s">
        <v>796</v>
      </c>
      <c r="J8349" s="9" t="s">
        <v>14874</v>
      </c>
      <c r="K8349" s="7" t="s">
        <v>15171</v>
      </c>
      <c r="L8349" s="13">
        <v>12911</v>
      </c>
      <c r="M8349" t="str">
        <f>VLOOKUP(L8349,[1]HBA!$B$2:$C$4000,2,FALSE)</f>
        <v>SuM</v>
      </c>
    </row>
    <row r="8350" spans="2:13" x14ac:dyDescent="0.25">
      <c r="B8350" s="31" t="s">
        <v>25743</v>
      </c>
      <c r="C8350" s="20"/>
      <c r="D8350" s="25" t="s">
        <v>796</v>
      </c>
      <c r="E8350" s="25"/>
      <c r="F8350" s="9" t="str">
        <f>HYPERLINK("https://www.ebi.ac.uk/ols/ontologies/uberon/terms?iri=http://purl.obolibrary.org/obo/UBERON_0001940","supramammillary nucleus")</f>
        <v>supramammillary nucleus</v>
      </c>
      <c r="G8350" s="9" t="s">
        <v>14872</v>
      </c>
      <c r="H8350" s="9" t="s">
        <v>20095</v>
      </c>
      <c r="I8350" s="9" t="s">
        <v>796</v>
      </c>
      <c r="J8350" s="9" t="s">
        <v>797</v>
      </c>
      <c r="K8350" s="3" t="s">
        <v>15176</v>
      </c>
      <c r="L8350" s="13">
        <v>525</v>
      </c>
      <c r="M8350" t="str">
        <f>VLOOKUP(L8350,[1]Mouse_ARA!$B$2:$C$1328,2,FALSE)</f>
        <v>SUM</v>
      </c>
    </row>
    <row r="8351" spans="2:13" x14ac:dyDescent="0.25">
      <c r="B8351" s="31" t="s">
        <v>25743</v>
      </c>
      <c r="C8351" s="20"/>
      <c r="D8351" s="25" t="s">
        <v>14876</v>
      </c>
      <c r="E8351" s="25"/>
      <c r="F8351" s="9" t="str">
        <f>HYPERLINK("https://www.ebi.ac.uk/ols/ontologies/uberon/terms?iri=http://purl.obolibrary.org/obo/UBERON_0002688","supramarginal gyrus")</f>
        <v>supramarginal gyrus</v>
      </c>
      <c r="G8351" s="9" t="s">
        <v>14875</v>
      </c>
      <c r="H8351" s="9" t="s">
        <v>23817</v>
      </c>
      <c r="I8351" s="9" t="s">
        <v>14876</v>
      </c>
      <c r="J8351" s="9" t="s">
        <v>14877</v>
      </c>
      <c r="K8351" s="4" t="s">
        <v>15175</v>
      </c>
      <c r="L8351" s="13">
        <v>12135</v>
      </c>
      <c r="M8351" t="str">
        <f>VLOOKUP(L8351,[1]Human_BrainSpan!$B$2:$C$4000,2,FALSE)</f>
        <v>SMG</v>
      </c>
    </row>
    <row r="8352" spans="2:13" x14ac:dyDescent="0.25">
      <c r="B8352" s="31" t="s">
        <v>25743</v>
      </c>
      <c r="C8352" s="20"/>
      <c r="D8352" s="25" t="s">
        <v>14876</v>
      </c>
      <c r="E8352" s="25"/>
      <c r="F8352" s="9" t="str">
        <f>HYPERLINK("https://www.ebi.ac.uk/ols/ontologies/uberon/terms?iri=http://purl.obolibrary.org/obo/UBERON_0002688","supramarginal gyrus")</f>
        <v>supramarginal gyrus</v>
      </c>
      <c r="G8352" s="9" t="s">
        <v>14875</v>
      </c>
      <c r="H8352" s="9" t="s">
        <v>23817</v>
      </c>
      <c r="I8352" s="9" t="s">
        <v>14876</v>
      </c>
      <c r="J8352" s="9" t="s">
        <v>14878</v>
      </c>
      <c r="K8352" s="7" t="s">
        <v>15171</v>
      </c>
      <c r="L8352" s="13">
        <v>4104</v>
      </c>
      <c r="M8352" t="str">
        <f>VLOOKUP(L8352,[1]HBA!$B$2:$C$4000,2,FALSE)</f>
        <v>SMG</v>
      </c>
    </row>
    <row r="8353" spans="2:13" x14ac:dyDescent="0.25">
      <c r="B8353" s="31" t="s">
        <v>26303</v>
      </c>
      <c r="C8353" s="20"/>
      <c r="D8353" s="25" t="s">
        <v>26251</v>
      </c>
      <c r="E8353" s="25" t="s">
        <v>26300</v>
      </c>
      <c r="F8353" s="9" t="str">
        <f>HYPERLINK("https://www.ebi.ac.uk/ols/ontologies/uberon/terms?iri=http://purl.obolibrary.org/obo/UBERON_0002689","supraoptic crest")</f>
        <v>supraoptic crest</v>
      </c>
      <c r="G8353" s="9" t="s">
        <v>14879</v>
      </c>
      <c r="H8353" s="9" t="s">
        <v>23896</v>
      </c>
      <c r="I8353" s="9" t="s">
        <v>14880</v>
      </c>
      <c r="J8353" s="9" t="s">
        <v>14881</v>
      </c>
      <c r="K8353" s="4" t="s">
        <v>15175</v>
      </c>
      <c r="L8353" s="13">
        <v>12106</v>
      </c>
      <c r="M8353" t="str">
        <f>VLOOKUP(L8353,[1]Human_BrainSpan!$B$2:$C$4000,2,FALSE)</f>
        <v>OVLT</v>
      </c>
    </row>
    <row r="8354" spans="2:13" x14ac:dyDescent="0.25">
      <c r="B8354" s="31" t="s">
        <v>25743</v>
      </c>
      <c r="C8354" s="20"/>
      <c r="D8354" s="25" t="s">
        <v>26251</v>
      </c>
      <c r="E8354" s="25"/>
      <c r="F8354" s="9" t="str">
        <f>HYPERLINK("https://www.ebi.ac.uk/ols/ontologies/uberon/terms?iri=http://purl.obolibrary.org/obo/UBERON_0002689","supraoptic crest")</f>
        <v>supraoptic crest</v>
      </c>
      <c r="G8354" s="9" t="s">
        <v>14879</v>
      </c>
      <c r="H8354" s="9" t="s">
        <v>15225</v>
      </c>
      <c r="I8354" s="9" t="s">
        <v>14882</v>
      </c>
      <c r="J8354" s="9" t="s">
        <v>14883</v>
      </c>
      <c r="K8354" s="5" t="s">
        <v>15173</v>
      </c>
      <c r="L8354" s="13">
        <v>15582</v>
      </c>
      <c r="M8354" t="str">
        <f>VLOOKUP(L8354,[1]DevMouse!$B$2:$C$2693,2,FALSE)</f>
        <v>VOLT</v>
      </c>
    </row>
    <row r="8355" spans="2:13" x14ac:dyDescent="0.25">
      <c r="B8355" s="31" t="s">
        <v>25743</v>
      </c>
      <c r="C8355" s="20"/>
      <c r="D8355" s="25" t="s">
        <v>26251</v>
      </c>
      <c r="E8355" s="25"/>
      <c r="F8355" s="9" t="str">
        <f>HYPERLINK("https://www.ebi.ac.uk/ols/ontologies/uberon/terms?iri=http://purl.obolibrary.org/obo/UBERON_0002689","supraoptic crest")</f>
        <v>supraoptic crest</v>
      </c>
      <c r="G8355" s="9" t="s">
        <v>14879</v>
      </c>
      <c r="H8355" s="9" t="s">
        <v>20054</v>
      </c>
      <c r="I8355" s="9" t="s">
        <v>14882</v>
      </c>
      <c r="J8355" s="9" t="s">
        <v>14884</v>
      </c>
      <c r="K8355" s="3" t="s">
        <v>15176</v>
      </c>
      <c r="L8355" s="13">
        <v>763</v>
      </c>
      <c r="M8355" t="str">
        <f>VLOOKUP(L8355,[1]Mouse_ARA!$B$2:$C$1328,2,FALSE)</f>
        <v>OV</v>
      </c>
    </row>
    <row r="8356" spans="2:13" x14ac:dyDescent="0.25">
      <c r="B8356" s="31" t="s">
        <v>25743</v>
      </c>
      <c r="C8356" s="20"/>
      <c r="D8356" s="25" t="s">
        <v>652</v>
      </c>
      <c r="E8356" s="25"/>
      <c r="F8356" s="9" t="str">
        <f>HYPERLINK("https://www.ebi.ac.uk/ols/ontologies/uberon/terms?iri=http://purl.obolibrary.org/obo/UBERON_0001929","supraoptic nucleus")</f>
        <v>supraoptic nucleus</v>
      </c>
      <c r="G8356" s="9" t="s">
        <v>14885</v>
      </c>
      <c r="H8356" s="9" t="s">
        <v>15324</v>
      </c>
      <c r="I8356" s="9" t="s">
        <v>652</v>
      </c>
      <c r="J8356" s="9" t="s">
        <v>14886</v>
      </c>
      <c r="K8356" s="4" t="s">
        <v>15175</v>
      </c>
      <c r="L8356" s="13">
        <v>10481</v>
      </c>
      <c r="M8356" t="str">
        <f>VLOOKUP(L8356,[1]Human_BrainSpan!$B$2:$C$4000,2,FALSE)</f>
        <v>SO</v>
      </c>
    </row>
    <row r="8357" spans="2:13" x14ac:dyDescent="0.25">
      <c r="B8357" s="31" t="s">
        <v>25743</v>
      </c>
      <c r="C8357" s="20"/>
      <c r="D8357" s="25" t="s">
        <v>652</v>
      </c>
      <c r="E8357" s="25"/>
      <c r="F8357" s="9" t="str">
        <f>HYPERLINK("https://www.ebi.ac.uk/ols/ontologies/uberon/terms?iri=http://purl.obolibrary.org/obo/UBERON_0001929","supraoptic nucleus")</f>
        <v>supraoptic nucleus</v>
      </c>
      <c r="G8357" s="9" t="s">
        <v>14885</v>
      </c>
      <c r="H8357" s="9" t="s">
        <v>15324</v>
      </c>
      <c r="I8357" s="9" t="s">
        <v>652</v>
      </c>
      <c r="J8357" s="9" t="s">
        <v>653</v>
      </c>
      <c r="K8357" s="5" t="s">
        <v>15173</v>
      </c>
      <c r="L8357" s="13">
        <v>15633</v>
      </c>
      <c r="M8357" t="str">
        <f>VLOOKUP(L8357,[1]DevMouse!$B$2:$C$2693,2,FALSE)</f>
        <v>SO</v>
      </c>
    </row>
    <row r="8358" spans="2:13" x14ac:dyDescent="0.25">
      <c r="B8358" s="31" t="s">
        <v>25743</v>
      </c>
      <c r="C8358" s="20"/>
      <c r="D8358" s="25" t="s">
        <v>652</v>
      </c>
      <c r="E8358" s="25"/>
      <c r="F8358" s="9" t="str">
        <f>HYPERLINK("https://www.ebi.ac.uk/ols/ontologies/uberon/terms?iri=http://purl.obolibrary.org/obo/UBERON_0001929","supraoptic nucleus")</f>
        <v>supraoptic nucleus</v>
      </c>
      <c r="G8358" s="9" t="s">
        <v>14885</v>
      </c>
      <c r="H8358" s="9" t="s">
        <v>15324</v>
      </c>
      <c r="I8358" s="9" t="s">
        <v>652</v>
      </c>
      <c r="J8358" s="9" t="s">
        <v>14887</v>
      </c>
      <c r="K8358" s="7" t="s">
        <v>15171</v>
      </c>
      <c r="L8358" s="13">
        <v>12907</v>
      </c>
      <c r="M8358" t="str">
        <f>VLOOKUP(L8358,[1]HBA!$B$2:$C$4000,2,FALSE)</f>
        <v>SO</v>
      </c>
    </row>
    <row r="8359" spans="2:13" x14ac:dyDescent="0.25">
      <c r="B8359" s="31" t="s">
        <v>25743</v>
      </c>
      <c r="C8359" s="20"/>
      <c r="D8359" s="25" t="s">
        <v>652</v>
      </c>
      <c r="E8359" s="25"/>
      <c r="F8359" s="9" t="str">
        <f>HYPERLINK("https://www.ebi.ac.uk/ols/ontologies/uberon/terms?iri=http://purl.obolibrary.org/obo/UBERON_0001929","supraoptic nucleus")</f>
        <v>supraoptic nucleus</v>
      </c>
      <c r="G8359" s="9" t="s">
        <v>14885</v>
      </c>
      <c r="H8359" s="9" t="s">
        <v>15324</v>
      </c>
      <c r="I8359" s="9" t="s">
        <v>652</v>
      </c>
      <c r="J8359" s="9" t="s">
        <v>781</v>
      </c>
      <c r="K8359" s="3" t="s">
        <v>15176</v>
      </c>
      <c r="L8359" s="13">
        <v>390</v>
      </c>
      <c r="M8359" t="str">
        <f>VLOOKUP(L8359,[1]Mouse_ARA!$B$2:$C$1328,2,FALSE)</f>
        <v>SO</v>
      </c>
    </row>
    <row r="8360" spans="2:13" x14ac:dyDescent="0.25">
      <c r="B8360" s="31" t="s">
        <v>25743</v>
      </c>
      <c r="C8360" s="20"/>
      <c r="D8360" s="25" t="s">
        <v>13330</v>
      </c>
      <c r="E8360" s="25"/>
      <c r="F8360" s="9" t="str">
        <f>HYPERLINK("https://www.ebi.ac.uk/ols/ontologies/uberon/terms?iri=http://purl.obolibrary.org/obo/UBERON_0002882","supraspinal nucleus")</f>
        <v>supraspinal nucleus</v>
      </c>
      <c r="G8360" s="9" t="s">
        <v>14888</v>
      </c>
      <c r="H8360" s="9" t="s">
        <v>18716</v>
      </c>
      <c r="I8360" s="9" t="s">
        <v>7635</v>
      </c>
      <c r="J8360" s="9" t="s">
        <v>7636</v>
      </c>
      <c r="K8360" s="4" t="s">
        <v>15175</v>
      </c>
      <c r="L8360" s="13">
        <v>12661</v>
      </c>
      <c r="M8360" t="str">
        <f>VLOOKUP(L8360,[1]Human_BrainSpan!$B$2:$C$4000,2,FALSE)</f>
        <v>SSp</v>
      </c>
    </row>
    <row r="8361" spans="2:13" x14ac:dyDescent="0.25">
      <c r="B8361" s="31" t="s">
        <v>25743</v>
      </c>
      <c r="C8361" s="20"/>
      <c r="D8361" s="25" t="s">
        <v>13330</v>
      </c>
      <c r="E8361" s="25"/>
      <c r="F8361" s="9" t="str">
        <f>HYPERLINK("https://www.ebi.ac.uk/ols/ontologies/uberon/terms?iri=http://purl.obolibrary.org/obo/UBERON_0002882","supraspinal nucleus")</f>
        <v>supraspinal nucleus</v>
      </c>
      <c r="G8361" s="9" t="s">
        <v>14888</v>
      </c>
      <c r="H8361" s="9" t="s">
        <v>18716</v>
      </c>
      <c r="I8361" s="9" t="s">
        <v>13330</v>
      </c>
      <c r="J8361" s="9" t="s">
        <v>13331</v>
      </c>
      <c r="K8361" s="7" t="s">
        <v>15171</v>
      </c>
      <c r="L8361" s="13">
        <v>9694</v>
      </c>
      <c r="M8361" t="str">
        <f>VLOOKUP(L8361,[1]HBA!$B$2:$C$4000,2,FALSE)</f>
        <v>SSp</v>
      </c>
    </row>
    <row r="8362" spans="2:13" x14ac:dyDescent="0.25">
      <c r="B8362" s="31" t="s">
        <v>25743</v>
      </c>
      <c r="C8362" s="20"/>
      <c r="D8362" s="25" t="s">
        <v>26252</v>
      </c>
      <c r="E8362" s="25"/>
      <c r="F8362" s="9" t="str">
        <f>HYPERLINK("https://www.ebi.ac.uk/ols/ontologies/uberon/terms?iri=http://purl.obolibrary.org/obo/UBERON_0015800","taenia tectum of brain")</f>
        <v>taenia tectum of brain</v>
      </c>
      <c r="G8362" s="9" t="s">
        <v>14889</v>
      </c>
      <c r="H8362" s="9" t="s">
        <v>19429</v>
      </c>
      <c r="I8362" s="9" t="s">
        <v>14890</v>
      </c>
      <c r="J8362" s="9" t="s">
        <v>14891</v>
      </c>
      <c r="K8362" s="4" t="s">
        <v>15175</v>
      </c>
      <c r="L8362" s="13">
        <v>10305</v>
      </c>
      <c r="M8362" t="str">
        <f>VLOOKUP(L8362,[1]Human_BrainSpan!$B$2:$C$4000,2,FALSE)</f>
        <v>TT</v>
      </c>
    </row>
    <row r="8363" spans="2:13" x14ac:dyDescent="0.25">
      <c r="B8363" s="31" t="s">
        <v>25743</v>
      </c>
      <c r="C8363" s="20"/>
      <c r="D8363" s="25" t="s">
        <v>26252</v>
      </c>
      <c r="E8363" s="25"/>
      <c r="F8363" s="9" t="str">
        <f>HYPERLINK("https://www.ebi.ac.uk/ols/ontologies/uberon/terms?iri=http://purl.obolibrary.org/obo/UBERON_0015800","taenia tectum of brain")</f>
        <v>taenia tectum of brain</v>
      </c>
      <c r="G8363" s="9" t="s">
        <v>14889</v>
      </c>
      <c r="H8363" s="9" t="s">
        <v>15953</v>
      </c>
      <c r="I8363" s="9" t="s">
        <v>10063</v>
      </c>
      <c r="J8363" s="9" t="s">
        <v>10064</v>
      </c>
      <c r="K8363" s="5" t="s">
        <v>15173</v>
      </c>
      <c r="L8363" s="13">
        <v>16154</v>
      </c>
      <c r="M8363" t="str">
        <f>VLOOKUP(L8363,[1]DevMouse!$B$2:$C$2693,2,FALSE)</f>
        <v>TTe</v>
      </c>
    </row>
    <row r="8364" spans="2:13" x14ac:dyDescent="0.25">
      <c r="B8364" s="31" t="s">
        <v>25743</v>
      </c>
      <c r="C8364" s="20"/>
      <c r="D8364" s="25" t="s">
        <v>26252</v>
      </c>
      <c r="E8364" s="25"/>
      <c r="F8364" s="9" t="str">
        <f>HYPERLINK("https://www.ebi.ac.uk/ols/ontologies/uberon/terms?iri=http://purl.obolibrary.org/obo/UBERON_0015800","taenia tectum of brain")</f>
        <v>taenia tectum of brain</v>
      </c>
      <c r="G8364" s="9" t="s">
        <v>14889</v>
      </c>
      <c r="H8364" s="9" t="s">
        <v>19429</v>
      </c>
      <c r="I8364" s="9" t="s">
        <v>10063</v>
      </c>
      <c r="J8364" s="9" t="s">
        <v>13993</v>
      </c>
      <c r="K8364" s="3" t="s">
        <v>15176</v>
      </c>
      <c r="L8364" s="13">
        <v>589</v>
      </c>
      <c r="M8364" t="str">
        <f>VLOOKUP(L8364,[1]Mouse_ARA!$B$2:$C$1328,2,FALSE)</f>
        <v>TT</v>
      </c>
    </row>
    <row r="8365" spans="2:13" x14ac:dyDescent="0.25">
      <c r="B8365" s="31" t="s">
        <v>25743</v>
      </c>
      <c r="C8365" s="20"/>
      <c r="D8365" s="25" t="s">
        <v>26253</v>
      </c>
      <c r="E8365" s="25"/>
      <c r="F8365" s="9" t="str">
        <f>HYPERLINK("https://www.ebi.ac.uk/ols/ontologies/uberon/terms?iri=http://purl.obolibrary.org/obo/UBERON_0002628","tail of caudate nucleus")</f>
        <v>tail of caudate nucleus</v>
      </c>
      <c r="G8365" s="9" t="s">
        <v>14892</v>
      </c>
      <c r="H8365" s="9" t="s">
        <v>23247</v>
      </c>
      <c r="I8365" s="9" t="s">
        <v>5331</v>
      </c>
      <c r="J8365" s="9" t="s">
        <v>5332</v>
      </c>
      <c r="K8365" s="4" t="s">
        <v>15175</v>
      </c>
      <c r="L8365" s="13">
        <v>10337</v>
      </c>
      <c r="M8365" t="str">
        <f>VLOOKUP(L8365,[1]Human_BrainSpan!$B$2:$C$4000,2,FALSE)</f>
        <v>CaT</v>
      </c>
    </row>
    <row r="8366" spans="2:13" x14ac:dyDescent="0.25">
      <c r="B8366" s="31" t="s">
        <v>25743</v>
      </c>
      <c r="C8366" s="20"/>
      <c r="D8366" s="25" t="s">
        <v>26253</v>
      </c>
      <c r="E8366" s="25"/>
      <c r="F8366" s="9" t="str">
        <f>HYPERLINK("https://www.ebi.ac.uk/ols/ontologies/uberon/terms?iri=http://purl.obolibrary.org/obo/UBERON_0002628","tail of caudate nucleus")</f>
        <v>tail of caudate nucleus</v>
      </c>
      <c r="G8366" s="9" t="s">
        <v>14892</v>
      </c>
      <c r="H8366" s="9" t="s">
        <v>24904</v>
      </c>
      <c r="I8366" s="9" t="s">
        <v>11643</v>
      </c>
      <c r="J8366" s="9" t="s">
        <v>11644</v>
      </c>
      <c r="K8366" s="7" t="s">
        <v>15171</v>
      </c>
      <c r="L8366" s="13">
        <v>12901</v>
      </c>
      <c r="M8366" t="str">
        <f>VLOOKUP(L8366,[1]HBA!$B$2:$C$4000,2,FALSE)</f>
        <v>TCd</v>
      </c>
    </row>
    <row r="8367" spans="2:13" x14ac:dyDescent="0.25">
      <c r="B8367" s="31" t="s">
        <v>25743</v>
      </c>
      <c r="C8367" s="20"/>
      <c r="D8367" s="25" t="s">
        <v>14894</v>
      </c>
      <c r="E8367" s="25"/>
      <c r="F8367" s="9" t="str">
        <f>HYPERLINK("https://www.ebi.ac.uk/ols/ontologies/uberon/terms?iri=http://purl.obolibrary.org/obo/UBERON_0000373","tapetum of corpus callosum")</f>
        <v>tapetum of corpus callosum</v>
      </c>
      <c r="G8367" s="9" t="s">
        <v>14893</v>
      </c>
      <c r="H8367" s="9" t="s">
        <v>23543</v>
      </c>
      <c r="I8367" s="9" t="s">
        <v>14894</v>
      </c>
      <c r="J8367" s="9" t="s">
        <v>14895</v>
      </c>
      <c r="K8367" s="4" t="s">
        <v>15175</v>
      </c>
      <c r="L8367" s="13">
        <v>12027</v>
      </c>
      <c r="M8367" t="str">
        <f>VLOOKUP(L8367,[1]Human_BrainSpan!$B$2:$C$4000,2,FALSE)</f>
        <v>tap</v>
      </c>
    </row>
    <row r="8368" spans="2:13" x14ac:dyDescent="0.25">
      <c r="B8368" s="31" t="s">
        <v>25743</v>
      </c>
      <c r="C8368" s="20"/>
      <c r="D8368" s="25" t="s">
        <v>14894</v>
      </c>
      <c r="E8368" s="25"/>
      <c r="F8368" s="9" t="str">
        <f>HYPERLINK("https://www.ebi.ac.uk/ols/ontologies/uberon/terms?iri=http://purl.obolibrary.org/obo/UBERON_0000373","tapetum of corpus callosum")</f>
        <v>tapetum of corpus callosum</v>
      </c>
      <c r="G8368" s="9" t="s">
        <v>14893</v>
      </c>
      <c r="H8368" s="9" t="s">
        <v>23543</v>
      </c>
      <c r="I8368" s="9" t="s">
        <v>14894</v>
      </c>
      <c r="J8368" s="9" t="s">
        <v>14896</v>
      </c>
      <c r="K8368" s="7" t="s">
        <v>15171</v>
      </c>
      <c r="L8368" s="13">
        <v>265504966</v>
      </c>
      <c r="M8368" t="str">
        <f>VLOOKUP(L8368,[1]HBA!$B$2:$C$4000,2,FALSE)</f>
        <v>tap</v>
      </c>
    </row>
    <row r="8369" spans="2:13" x14ac:dyDescent="0.25">
      <c r="B8369" s="31" t="s">
        <v>25743</v>
      </c>
      <c r="C8369" s="20"/>
      <c r="D8369" s="25" t="s">
        <v>7804</v>
      </c>
      <c r="E8369" s="25"/>
      <c r="F8369" s="9" t="str">
        <f>HYPERLINK("https://www.ebi.ac.uk/ols/ontologies/uberon/terms?iri=http://purl.obolibrary.org/obo/UBERON_0002164","tectobulbar tract")</f>
        <v>tectobulbar tract</v>
      </c>
      <c r="G8369" s="9" t="s">
        <v>14897</v>
      </c>
      <c r="H8369" s="9" t="s">
        <v>24650</v>
      </c>
      <c r="I8369" s="9" t="s">
        <v>7804</v>
      </c>
      <c r="J8369" s="9" t="s">
        <v>7805</v>
      </c>
      <c r="K8369" s="4" t="s">
        <v>15175</v>
      </c>
      <c r="L8369" s="13">
        <v>12791</v>
      </c>
      <c r="M8369" t="str">
        <f>VLOOKUP(L8369,[1]Human_BrainSpan!$B$2:$C$4000,2,FALSE)</f>
        <v>tbu</v>
      </c>
    </row>
    <row r="8370" spans="2:13" x14ac:dyDescent="0.25">
      <c r="B8370" s="31" t="s">
        <v>25743</v>
      </c>
      <c r="C8370" s="20"/>
      <c r="D8370" s="25" t="s">
        <v>7316</v>
      </c>
      <c r="E8370" s="25"/>
      <c r="F8370" s="9" t="str">
        <f>HYPERLINK("https://www.ebi.ac.uk/ols/ontologies/uberon/terms?iri=http://purl.obolibrary.org/obo/UBERON_0002930","tectopontine tract")</f>
        <v>tectopontine tract</v>
      </c>
      <c r="G8370" s="9" t="s">
        <v>14898</v>
      </c>
      <c r="H8370" s="9" t="s">
        <v>24163</v>
      </c>
      <c r="I8370" s="9" t="s">
        <v>7316</v>
      </c>
      <c r="J8370" s="9" t="s">
        <v>7317</v>
      </c>
      <c r="K8370" s="4" t="s">
        <v>15175</v>
      </c>
      <c r="L8370" s="13">
        <v>12364</v>
      </c>
      <c r="M8370" t="str">
        <f>VLOOKUP(L8370,[1]Human_BrainSpan!$B$2:$C$4000,2,FALSE)</f>
        <v>tpn</v>
      </c>
    </row>
    <row r="8371" spans="2:13" x14ac:dyDescent="0.25">
      <c r="B8371" s="31" t="s">
        <v>25743</v>
      </c>
      <c r="C8371" s="20"/>
      <c r="D8371" s="25" t="s">
        <v>7806</v>
      </c>
      <c r="E8371" s="25"/>
      <c r="F8371" s="9" t="str">
        <f>HYPERLINK("https://www.ebi.ac.uk/ols/ontologies/uberon/terms?iri=http://purl.obolibrary.org/obo/UBERON_0002949","tectospinal tract")</f>
        <v>tectospinal tract</v>
      </c>
      <c r="G8371" s="9" t="s">
        <v>14899</v>
      </c>
      <c r="H8371" s="9" t="s">
        <v>18509</v>
      </c>
      <c r="I8371" s="9" t="s">
        <v>7806</v>
      </c>
      <c r="J8371" s="9" t="s">
        <v>7807</v>
      </c>
      <c r="K8371" s="4" t="s">
        <v>15175</v>
      </c>
      <c r="L8371" s="13">
        <v>12794</v>
      </c>
      <c r="M8371" t="str">
        <f>VLOOKUP(L8371,[1]Human_BrainSpan!$B$2:$C$4000,2,FALSE)</f>
        <v>tsp</v>
      </c>
    </row>
    <row r="8372" spans="2:13" x14ac:dyDescent="0.25">
      <c r="B8372" s="31" t="s">
        <v>25743</v>
      </c>
      <c r="C8372" s="20"/>
      <c r="D8372" s="25" t="s">
        <v>7806</v>
      </c>
      <c r="E8372" s="25"/>
      <c r="F8372" s="9" t="str">
        <f>HYPERLINK("https://www.ebi.ac.uk/ols/ontologies/uberon/terms?iri=http://purl.obolibrary.org/obo/UBERON_0002949","tectospinal tract")</f>
        <v>tectospinal tract</v>
      </c>
      <c r="G8372" s="9" t="s">
        <v>14899</v>
      </c>
      <c r="H8372" s="9" t="s">
        <v>18509</v>
      </c>
      <c r="I8372" s="9" t="s">
        <v>7806</v>
      </c>
      <c r="J8372" s="9" t="s">
        <v>11630</v>
      </c>
      <c r="K8372" s="5" t="s">
        <v>15173</v>
      </c>
      <c r="L8372" s="13">
        <v>17802</v>
      </c>
      <c r="M8372" t="str">
        <f>VLOOKUP(L8372,[1]DevMouse!$B$2:$C$2693,2,FALSE)</f>
        <v>tsp</v>
      </c>
    </row>
    <row r="8373" spans="2:13" x14ac:dyDescent="0.25">
      <c r="B8373" s="31" t="s">
        <v>25743</v>
      </c>
      <c r="C8373" s="20"/>
      <c r="D8373" s="25" t="s">
        <v>7806</v>
      </c>
      <c r="E8373" s="25"/>
      <c r="F8373" s="9" t="str">
        <f>HYPERLINK("https://www.ebi.ac.uk/ols/ontologies/uberon/terms?iri=http://purl.obolibrary.org/obo/UBERON_0002949","tectospinal tract")</f>
        <v>tectospinal tract</v>
      </c>
      <c r="G8373" s="9" t="s">
        <v>14899</v>
      </c>
      <c r="H8373" s="9" t="s">
        <v>18509</v>
      </c>
      <c r="I8373" s="9" t="s">
        <v>7806</v>
      </c>
      <c r="J8373" s="9" t="s">
        <v>12088</v>
      </c>
      <c r="K8373" s="7" t="s">
        <v>15171</v>
      </c>
      <c r="L8373" s="13">
        <v>265505662</v>
      </c>
      <c r="M8373" t="str">
        <f>VLOOKUP(L8373,[1]HBA!$B$2:$C$4000,2,FALSE)</f>
        <v>tsp</v>
      </c>
    </row>
    <row r="8374" spans="2:13" x14ac:dyDescent="0.25">
      <c r="B8374" s="31" t="s">
        <v>25743</v>
      </c>
      <c r="C8374" s="20"/>
      <c r="D8374" s="25" t="s">
        <v>7806</v>
      </c>
      <c r="E8374" s="25"/>
      <c r="F8374" s="9" t="str">
        <f>HYPERLINK("https://www.ebi.ac.uk/ols/ontologies/uberon/terms?iri=http://purl.obolibrary.org/obo/UBERON_0002949","tectospinal tract")</f>
        <v>tectospinal tract</v>
      </c>
      <c r="G8374" s="9" t="s">
        <v>14899</v>
      </c>
      <c r="H8374" s="9" t="s">
        <v>18509</v>
      </c>
      <c r="I8374" s="9" t="s">
        <v>14265</v>
      </c>
      <c r="J8374" s="9" t="s">
        <v>14266</v>
      </c>
      <c r="K8374" s="3" t="s">
        <v>15176</v>
      </c>
      <c r="L8374" s="13">
        <v>877</v>
      </c>
      <c r="M8374" t="str">
        <f>VLOOKUP(L8374,[1]Mouse_ARA!$B$2:$C$1328,2,FALSE)</f>
        <v>tsp</v>
      </c>
    </row>
    <row r="8375" spans="2:13" x14ac:dyDescent="0.25">
      <c r="B8375" s="31" t="s">
        <v>25743</v>
      </c>
      <c r="C8375" s="20"/>
      <c r="D8375" s="25" t="s">
        <v>26254</v>
      </c>
      <c r="E8375" s="25"/>
      <c r="F8375" s="9" t="str">
        <f>HYPERLINK("https://www.ebi.ac.uk/ols/ontologies/uberon/terms?iri=http://purl.obolibrary.org/obo/UBERON_0035570","tectothalamic tract")</f>
        <v>tectothalamic tract</v>
      </c>
      <c r="G8375" s="9" t="s">
        <v>14900</v>
      </c>
      <c r="H8375" s="9" t="s">
        <v>20739</v>
      </c>
      <c r="I8375" s="9" t="s">
        <v>13768</v>
      </c>
      <c r="J8375" s="9" t="s">
        <v>13769</v>
      </c>
      <c r="K8375" s="3" t="s">
        <v>15176</v>
      </c>
      <c r="L8375" s="13">
        <v>357</v>
      </c>
      <c r="M8375" t="str">
        <f>VLOOKUP(L8375,[1]Mouse_ARA!$B$2:$C$1328,2,FALSE)</f>
        <v>ttp</v>
      </c>
    </row>
    <row r="8376" spans="2:13" x14ac:dyDescent="0.25">
      <c r="B8376" s="31" t="s">
        <v>26303</v>
      </c>
      <c r="C8376" s="25" t="s">
        <v>26018</v>
      </c>
      <c r="D8376" s="25" t="s">
        <v>26255</v>
      </c>
      <c r="E8376" s="25"/>
      <c r="F8376" s="9" t="str">
        <f>HYPERLINK("https://www.ebi.ac.uk/ols/ontologies/uberon/terms?iri=http://purl.obolibrary.org/obo/UBERON_0009663","telencephalic nucleus")</f>
        <v>telencephalic nucleus</v>
      </c>
      <c r="G8376" s="9" t="s">
        <v>14901</v>
      </c>
      <c r="H8376" s="9" t="s">
        <v>23169</v>
      </c>
      <c r="I8376" s="9" t="s">
        <v>3047</v>
      </c>
      <c r="J8376" s="9" t="s">
        <v>3048</v>
      </c>
      <c r="K8376" s="6" t="s">
        <v>15174</v>
      </c>
      <c r="L8376" s="13">
        <v>10125</v>
      </c>
      <c r="M8376" t="str">
        <f>VLOOKUP(L8376,[1]NonHumanPrimate!$B$2:$C$4000,2,FALSE)</f>
        <v>Me</v>
      </c>
    </row>
    <row r="8377" spans="2:13" x14ac:dyDescent="0.25">
      <c r="B8377" s="31" t="s">
        <v>26303</v>
      </c>
      <c r="C8377" s="25" t="s">
        <v>25890</v>
      </c>
      <c r="D8377" s="25" t="s">
        <v>26255</v>
      </c>
      <c r="E8377" s="25"/>
      <c r="F8377" s="9" t="str">
        <f>HYPERLINK("https://www.ebi.ac.uk/ols/ontologies/uberon/terms?iri=http://purl.obolibrary.org/obo/UBERON_0009663","telencephalic nucleus")</f>
        <v>telencephalic nucleus</v>
      </c>
      <c r="G8377" s="9" t="s">
        <v>14901</v>
      </c>
      <c r="H8377" s="9" t="s">
        <v>16405</v>
      </c>
      <c r="I8377" s="9" t="s">
        <v>965</v>
      </c>
      <c r="J8377" s="9" t="s">
        <v>966</v>
      </c>
      <c r="K8377" s="6" t="s">
        <v>15174</v>
      </c>
      <c r="L8377" s="13">
        <v>128012616</v>
      </c>
      <c r="M8377" t="str">
        <f>VLOOKUP(L8377,[1]NonHumanPrimate!$B$2:$C$4000,2,FALSE)</f>
        <v>CM</v>
      </c>
    </row>
    <row r="8378" spans="2:13" x14ac:dyDescent="0.25">
      <c r="B8378" s="31" t="s">
        <v>25743</v>
      </c>
      <c r="C8378" s="20"/>
      <c r="D8378" s="25" t="s">
        <v>26256</v>
      </c>
      <c r="E8378" s="25" t="s">
        <v>26300</v>
      </c>
      <c r="F8378" s="9" t="str">
        <f>HYPERLINK("https://www.ebi.ac.uk/ols/ontologies/uberon/terms?iri=http://purl.obolibrary.org/obo/UBERON_0002285","telencephalic ventricle")</f>
        <v>telencephalic ventricle</v>
      </c>
      <c r="G8378" s="9" t="s">
        <v>14902</v>
      </c>
      <c r="H8378" s="9" t="s">
        <v>23670</v>
      </c>
      <c r="I8378" s="9" t="s">
        <v>14903</v>
      </c>
      <c r="J8378" s="9" t="s">
        <v>14904</v>
      </c>
      <c r="K8378" s="4" t="s">
        <v>15175</v>
      </c>
      <c r="L8378" s="13">
        <v>10596</v>
      </c>
      <c r="M8378" t="str">
        <f>VLOOKUP(L8378,[1]Human_BrainSpan!$B$2:$C$4000,2,FALSE)</f>
        <v>LV</v>
      </c>
    </row>
    <row r="8379" spans="2:13" x14ac:dyDescent="0.25">
      <c r="B8379" s="31" t="s">
        <v>25743</v>
      </c>
      <c r="C8379" s="20"/>
      <c r="D8379" s="25" t="s">
        <v>26256</v>
      </c>
      <c r="E8379" s="25"/>
      <c r="F8379" s="9" t="str">
        <f>HYPERLINK("https://www.ebi.ac.uk/ols/ontologies/uberon/terms?iri=http://purl.obolibrary.org/obo/UBERON_0002285","telencephalic ventricle")</f>
        <v>telencephalic ventricle</v>
      </c>
      <c r="G8379" s="9" t="s">
        <v>14902</v>
      </c>
      <c r="H8379" s="9" t="s">
        <v>18521</v>
      </c>
      <c r="I8379" s="9" t="s">
        <v>14905</v>
      </c>
      <c r="J8379" s="9" t="s">
        <v>14906</v>
      </c>
      <c r="K8379" s="5" t="s">
        <v>15173</v>
      </c>
      <c r="L8379" s="13">
        <v>126651562</v>
      </c>
      <c r="M8379" t="str">
        <f>VLOOKUP(L8379,[1]DevMouse!$B$2:$C$2693,2,FALSE)</f>
        <v>v_F</v>
      </c>
    </row>
    <row r="8380" spans="2:13" x14ac:dyDescent="0.25">
      <c r="B8380" s="31" t="s">
        <v>25743</v>
      </c>
      <c r="C8380" s="20"/>
      <c r="D8380" s="25" t="s">
        <v>26256</v>
      </c>
      <c r="E8380" s="25" t="s">
        <v>26300</v>
      </c>
      <c r="F8380" s="9" t="str">
        <f>HYPERLINK("https://www.ebi.ac.uk/ols/ontologies/uberon/terms?iri=http://purl.obolibrary.org/obo/UBERON_0002285","telencephalic ventricle")</f>
        <v>telencephalic ventricle</v>
      </c>
      <c r="G8380" s="9" t="s">
        <v>14902</v>
      </c>
      <c r="H8380" s="9" t="s">
        <v>23670</v>
      </c>
      <c r="I8380" s="9" t="s">
        <v>14907</v>
      </c>
      <c r="J8380" s="9" t="s">
        <v>14908</v>
      </c>
      <c r="K8380" s="7" t="s">
        <v>15171</v>
      </c>
      <c r="L8380" s="13">
        <v>9419</v>
      </c>
      <c r="M8380" t="str">
        <f>VLOOKUP(L8380,[1]HBA!$B$2:$C$4000,2,FALSE)</f>
        <v>LV</v>
      </c>
    </row>
    <row r="8381" spans="2:13" x14ac:dyDescent="0.25">
      <c r="B8381" s="31" t="s">
        <v>25743</v>
      </c>
      <c r="C8381" s="20"/>
      <c r="D8381" s="25" t="s">
        <v>26256</v>
      </c>
      <c r="E8381" s="25" t="s">
        <v>26300</v>
      </c>
      <c r="F8381" s="9" t="str">
        <f>HYPERLINK("https://www.ebi.ac.uk/ols/ontologies/uberon/terms?iri=http://purl.obolibrary.org/obo/UBERON_0002285","telencephalic ventricle")</f>
        <v>telencephalic ventricle</v>
      </c>
      <c r="G8381" s="9" t="s">
        <v>14902</v>
      </c>
      <c r="H8381" s="9" t="s">
        <v>16445</v>
      </c>
      <c r="I8381" s="9" t="s">
        <v>14907</v>
      </c>
      <c r="J8381" s="9" t="s">
        <v>14909</v>
      </c>
      <c r="K8381" s="3" t="s">
        <v>15176</v>
      </c>
      <c r="L8381" s="13">
        <v>81</v>
      </c>
      <c r="M8381" t="str">
        <f>VLOOKUP(L8381,[1]Mouse_ARA!$B$2:$C$1328,2,FALSE)</f>
        <v>VL</v>
      </c>
    </row>
    <row r="8382" spans="2:13" x14ac:dyDescent="0.25">
      <c r="B8382" s="31" t="s">
        <v>25743</v>
      </c>
      <c r="C8382" s="20"/>
      <c r="D8382" s="25" t="s">
        <v>14911</v>
      </c>
      <c r="E8382" s="25"/>
      <c r="F8382" s="9" t="str">
        <f>HYPERLINK("https://www.ebi.ac.uk/ols/ontologies/uberon/terms?iri=http://purl.obolibrary.org/obo/UBERON_0001893","telencephalon")</f>
        <v>telencephalon</v>
      </c>
      <c r="G8382" s="9" t="s">
        <v>14910</v>
      </c>
      <c r="H8382" s="9" t="s">
        <v>15520</v>
      </c>
      <c r="I8382" s="9" t="s">
        <v>14911</v>
      </c>
      <c r="J8382" s="9" t="s">
        <v>14912</v>
      </c>
      <c r="K8382" s="4" t="s">
        <v>15175</v>
      </c>
      <c r="L8382" s="13">
        <v>10158</v>
      </c>
      <c r="M8382" t="str">
        <f>VLOOKUP(L8382,[1]Human_BrainSpan!$B$2:$C$4000,2,FALSE)</f>
        <v>Tel</v>
      </c>
    </row>
    <row r="8383" spans="2:13" x14ac:dyDescent="0.25">
      <c r="B8383" s="31" t="s">
        <v>25743</v>
      </c>
      <c r="C8383" s="20"/>
      <c r="D8383" s="25" t="s">
        <v>14911</v>
      </c>
      <c r="E8383" s="25"/>
      <c r="F8383" s="9" t="str">
        <f>HYPERLINK("https://www.ebi.ac.uk/ols/ontologies/uberon/terms?iri=http://purl.obolibrary.org/obo/UBERON_0001893","telencephalon")</f>
        <v>telencephalon</v>
      </c>
      <c r="G8383" s="9" t="s">
        <v>14910</v>
      </c>
      <c r="H8383" s="9" t="s">
        <v>15520</v>
      </c>
      <c r="I8383" s="9" t="s">
        <v>14911</v>
      </c>
      <c r="J8383" s="9" t="s">
        <v>14913</v>
      </c>
      <c r="K8383" s="7" t="s">
        <v>15171</v>
      </c>
      <c r="L8383" s="13">
        <v>4007</v>
      </c>
      <c r="M8383" t="str">
        <f>VLOOKUP(L8383,[1]HBA!$B$2:$C$4000,2,FALSE)</f>
        <v>Tel</v>
      </c>
    </row>
    <row r="8384" spans="2:13" x14ac:dyDescent="0.25">
      <c r="B8384" s="31" t="s">
        <v>25743</v>
      </c>
      <c r="C8384" s="20"/>
      <c r="D8384" s="25" t="s">
        <v>14911</v>
      </c>
      <c r="E8384" s="25"/>
      <c r="F8384" s="9" t="str">
        <f>HYPERLINK("https://www.ebi.ac.uk/ols/ontologies/uberon/terms?iri=http://purl.obolibrary.org/obo/UBERON_0001893","telencephalon")</f>
        <v>telencephalon</v>
      </c>
      <c r="G8384" s="9" t="s">
        <v>14910</v>
      </c>
      <c r="H8384" s="9" t="s">
        <v>18648</v>
      </c>
      <c r="I8384" s="9" t="s">
        <v>14914</v>
      </c>
      <c r="J8384" s="9" t="s">
        <v>14915</v>
      </c>
      <c r="K8384" s="3" t="s">
        <v>15176</v>
      </c>
      <c r="L8384" s="13">
        <v>567</v>
      </c>
      <c r="M8384" t="str">
        <f>VLOOKUP(L8384,[1]Mouse_ARA!$B$2:$C$1328,2,FALSE)</f>
        <v>CH</v>
      </c>
    </row>
    <row r="8385" spans="2:13" x14ac:dyDescent="0.25">
      <c r="B8385" s="31" t="s">
        <v>25743</v>
      </c>
      <c r="C8385" s="20"/>
      <c r="D8385" s="25" t="s">
        <v>14911</v>
      </c>
      <c r="E8385" s="25"/>
      <c r="F8385" s="9" t="str">
        <f>HYPERLINK("https://www.ebi.ac.uk/ols/ontologies/uberon/terms?iri=http://purl.obolibrary.org/obo/UBERON_0001893","telencephalon")</f>
        <v>telencephalon</v>
      </c>
      <c r="G8385" s="9" t="s">
        <v>14910</v>
      </c>
      <c r="H8385" s="9" t="s">
        <v>15520</v>
      </c>
      <c r="I8385" s="9" t="s">
        <v>14911</v>
      </c>
      <c r="J8385" s="9" t="s">
        <v>14916</v>
      </c>
      <c r="K8385" s="6" t="s">
        <v>15174</v>
      </c>
      <c r="L8385" s="13">
        <v>128011350</v>
      </c>
      <c r="M8385" t="str">
        <f>VLOOKUP(L8385,[1]NonHumanPrimate!$B$2:$C$4000,2,FALSE)</f>
        <v>Tel</v>
      </c>
    </row>
    <row r="8386" spans="2:13" x14ac:dyDescent="0.25">
      <c r="B8386" s="31" t="s">
        <v>25743</v>
      </c>
      <c r="C8386" s="20"/>
      <c r="D8386" s="25" t="s">
        <v>9891</v>
      </c>
      <c r="E8386" s="25"/>
      <c r="F8386" s="9" t="str">
        <f>HYPERLINK("https://www.ebi.ac.uk/ols/ontologies/uberon/terms?iri=http://purl.obolibrary.org/obo/UBERON_0016538","temporal cortex")</f>
        <v>temporal cortex</v>
      </c>
      <c r="G8386" s="9" t="s">
        <v>14917</v>
      </c>
      <c r="H8386" s="9" t="s">
        <v>15839</v>
      </c>
      <c r="I8386" s="9" t="s">
        <v>5215</v>
      </c>
      <c r="J8386" s="9" t="s">
        <v>5216</v>
      </c>
      <c r="K8386" s="4" t="s">
        <v>15175</v>
      </c>
      <c r="L8386" s="13">
        <v>10235</v>
      </c>
      <c r="M8386" t="str">
        <f>VLOOKUP(L8386,[1]Human_BrainSpan!$B$2:$C$4000,2,FALSE)</f>
        <v>TCx</v>
      </c>
    </row>
    <row r="8387" spans="2:13" x14ac:dyDescent="0.25">
      <c r="B8387" s="31" t="s">
        <v>25743</v>
      </c>
      <c r="C8387" s="20"/>
      <c r="D8387" s="25" t="s">
        <v>9891</v>
      </c>
      <c r="E8387" s="25"/>
      <c r="F8387" s="9" t="str">
        <f>HYPERLINK("https://www.ebi.ac.uk/ols/ontologies/uberon/terms?iri=http://purl.obolibrary.org/obo/UBERON_0016538","temporal cortex")</f>
        <v>temporal cortex</v>
      </c>
      <c r="G8387" s="9" t="s">
        <v>14917</v>
      </c>
      <c r="H8387" s="9" t="s">
        <v>15839</v>
      </c>
      <c r="I8387" s="9" t="s">
        <v>9891</v>
      </c>
      <c r="J8387" s="9" t="s">
        <v>9892</v>
      </c>
      <c r="K8387" s="5" t="s">
        <v>15173</v>
      </c>
      <c r="L8387" s="13">
        <v>16044</v>
      </c>
      <c r="M8387" t="str">
        <f>VLOOKUP(L8387,[1]DevMouse!$B$2:$C$2693,2,FALSE)</f>
        <v>TCx</v>
      </c>
    </row>
    <row r="8388" spans="2:13" x14ac:dyDescent="0.25">
      <c r="B8388" s="31" t="s">
        <v>26303</v>
      </c>
      <c r="C8388" s="20"/>
      <c r="D8388" s="25" t="s">
        <v>26257</v>
      </c>
      <c r="E8388" s="25" t="s">
        <v>26300</v>
      </c>
      <c r="F8388" s="9" t="str">
        <f>HYPERLINK("https://www.ebi.ac.uk/ols/ontologies/uberon/terms?iri=http://purl.obolibrary.org/obo/UBERON_0035013","temporal cortex association area")</f>
        <v>temporal cortex association area</v>
      </c>
      <c r="G8388" s="9" t="s">
        <v>14918</v>
      </c>
      <c r="H8388" s="9" t="s">
        <v>19354</v>
      </c>
      <c r="I8388" s="9" t="s">
        <v>14919</v>
      </c>
      <c r="J8388" s="9" t="s">
        <v>14920</v>
      </c>
      <c r="K8388" s="3" t="s">
        <v>15176</v>
      </c>
      <c r="L8388" s="13">
        <v>541</v>
      </c>
      <c r="M8388" t="str">
        <f>VLOOKUP(L8388,[1]Mouse_ARA!$B$2:$C$1328,2,FALSE)</f>
        <v>TEa</v>
      </c>
    </row>
    <row r="8389" spans="2:13" x14ac:dyDescent="0.25">
      <c r="B8389" s="31" t="s">
        <v>25743</v>
      </c>
      <c r="C8389" s="20"/>
      <c r="D8389" s="25" t="s">
        <v>26258</v>
      </c>
      <c r="E8389" s="25"/>
      <c r="F8389" s="9" t="str">
        <f>HYPERLINK("https://www.ebi.ac.uk/ols/ontologies/uberon/terms?iri=http://purl.obolibrary.org/obo/UBERON_0022429","temporal cortex cingulum")</f>
        <v>temporal cortex cingulum</v>
      </c>
      <c r="G8389" s="9" t="s">
        <v>14921</v>
      </c>
      <c r="H8389" s="9" t="s">
        <v>23558</v>
      </c>
      <c r="I8389" s="9" t="s">
        <v>14922</v>
      </c>
      <c r="J8389" s="9" t="s">
        <v>14923</v>
      </c>
      <c r="K8389" s="4" t="s">
        <v>15175</v>
      </c>
      <c r="L8389" s="13">
        <v>15540</v>
      </c>
      <c r="M8389" t="str">
        <f>VLOOKUP(L8389,[1]Human_BrainSpan!$B$2:$C$4000,2,FALSE)</f>
        <v>cb-tx</v>
      </c>
    </row>
    <row r="8390" spans="2:13" x14ac:dyDescent="0.25">
      <c r="B8390" s="31" t="s">
        <v>25743</v>
      </c>
      <c r="C8390" s="20"/>
      <c r="D8390" s="25" t="s">
        <v>26259</v>
      </c>
      <c r="E8390" s="25"/>
      <c r="F8390" s="9" t="str">
        <f>HYPERLINK("https://www.ebi.ac.uk/ols/ontologies/uberon/terms?iri=http://purl.obolibrary.org/obo/UBERON_0022395","temporal fusiform gyrus")</f>
        <v>temporal fusiform gyrus</v>
      </c>
      <c r="G8390" s="9" t="s">
        <v>14924</v>
      </c>
      <c r="H8390" s="9" t="s">
        <v>23826</v>
      </c>
      <c r="I8390" s="9" t="s">
        <v>14925</v>
      </c>
      <c r="J8390" s="9" t="s">
        <v>14926</v>
      </c>
      <c r="K8390" s="4" t="s">
        <v>15175</v>
      </c>
      <c r="L8390" s="13">
        <v>12143</v>
      </c>
      <c r="M8390" t="str">
        <f>VLOOKUP(L8390,[1]Human_BrainSpan!$B$2:$C$4000,2,FALSE)</f>
        <v>FuGt</v>
      </c>
    </row>
    <row r="8391" spans="2:13" x14ac:dyDescent="0.25">
      <c r="B8391" s="31" t="s">
        <v>25743</v>
      </c>
      <c r="C8391" s="20"/>
      <c r="D8391" s="25" t="s">
        <v>14928</v>
      </c>
      <c r="E8391" s="25"/>
      <c r="F8391" s="9" t="str">
        <f>HYPERLINK("https://www.ebi.ac.uk/ols/ontologies/uberon/terms?iri=http://purl.obolibrary.org/obo/UBERON_0001871","temporal lobe")</f>
        <v>temporal lobe</v>
      </c>
      <c r="G8391" s="9" t="s">
        <v>14927</v>
      </c>
      <c r="H8391" s="9" t="s">
        <v>23822</v>
      </c>
      <c r="I8391" s="9" t="s">
        <v>14928</v>
      </c>
      <c r="J8391" s="9" t="s">
        <v>14929</v>
      </c>
      <c r="K8391" s="4" t="s">
        <v>15175</v>
      </c>
      <c r="L8391" s="13">
        <v>12139</v>
      </c>
      <c r="M8391" t="str">
        <f>VLOOKUP(L8391,[1]Human_BrainSpan!$B$2:$C$4000,2,FALSE)</f>
        <v>TemL</v>
      </c>
    </row>
    <row r="8392" spans="2:13" x14ac:dyDescent="0.25">
      <c r="B8392" s="31" t="s">
        <v>25743</v>
      </c>
      <c r="C8392" s="20"/>
      <c r="D8392" s="25" t="s">
        <v>14928</v>
      </c>
      <c r="E8392" s="25"/>
      <c r="F8392" s="9" t="str">
        <f>HYPERLINK("https://www.ebi.ac.uk/ols/ontologies/uberon/terms?iri=http://purl.obolibrary.org/obo/UBERON_0001871","temporal lobe")</f>
        <v>temporal lobe</v>
      </c>
      <c r="G8392" s="9" t="s">
        <v>14927</v>
      </c>
      <c r="H8392" s="9" t="s">
        <v>22626</v>
      </c>
      <c r="I8392" s="9" t="s">
        <v>14928</v>
      </c>
      <c r="J8392" s="9" t="s">
        <v>14930</v>
      </c>
      <c r="K8392" s="7" t="s">
        <v>15171</v>
      </c>
      <c r="L8392" s="13">
        <v>4132</v>
      </c>
      <c r="M8392" t="str">
        <f>VLOOKUP(L8392,[1]HBA!$B$2:$C$4000,2,FALSE)</f>
        <v>TL</v>
      </c>
    </row>
    <row r="8393" spans="2:13" x14ac:dyDescent="0.25">
      <c r="B8393" s="31" t="s">
        <v>25743</v>
      </c>
      <c r="C8393" s="20"/>
      <c r="D8393" s="25" t="s">
        <v>14932</v>
      </c>
      <c r="E8393" s="25"/>
      <c r="F8393" s="9" t="str">
        <f>HYPERLINK("https://www.ebi.ac.uk/ols/ontologies/uberon/terms?iri=http://purl.obolibrary.org/obo/UBERON_0002576","temporal pole")</f>
        <v>temporal pole</v>
      </c>
      <c r="G8393" s="9" t="s">
        <v>14931</v>
      </c>
      <c r="H8393" s="9" t="s">
        <v>23832</v>
      </c>
      <c r="I8393" s="9" t="s">
        <v>14932</v>
      </c>
      <c r="J8393" s="9" t="s">
        <v>14933</v>
      </c>
      <c r="K8393" s="4" t="s">
        <v>15175</v>
      </c>
      <c r="L8393" s="13">
        <v>12146</v>
      </c>
      <c r="M8393" t="str">
        <f>VLOOKUP(L8393,[1]Human_BrainSpan!$B$2:$C$4000,2,FALSE)</f>
        <v>TP</v>
      </c>
    </row>
    <row r="8394" spans="2:13" x14ac:dyDescent="0.25">
      <c r="B8394" s="31" t="s">
        <v>25743</v>
      </c>
      <c r="C8394" s="20"/>
      <c r="D8394" s="25" t="s">
        <v>14932</v>
      </c>
      <c r="E8394" s="25"/>
      <c r="F8394" s="9" t="str">
        <f>HYPERLINK("https://www.ebi.ac.uk/ols/ontologies/uberon/terms?iri=http://purl.obolibrary.org/obo/UBERON_0002576","temporal pole")</f>
        <v>temporal pole</v>
      </c>
      <c r="G8394" s="9" t="s">
        <v>14931</v>
      </c>
      <c r="H8394" s="9" t="s">
        <v>23832</v>
      </c>
      <c r="I8394" s="9" t="s">
        <v>14932</v>
      </c>
      <c r="J8394" s="9" t="s">
        <v>14934</v>
      </c>
      <c r="K8394" s="7" t="s">
        <v>15171</v>
      </c>
      <c r="L8394" s="13">
        <v>4174</v>
      </c>
      <c r="M8394" t="str">
        <f>VLOOKUP(L8394,[1]HBA!$B$2:$C$4000,2,FALSE)</f>
        <v>TP</v>
      </c>
    </row>
    <row r="8395" spans="2:13" x14ac:dyDescent="0.25">
      <c r="B8395" s="31" t="s">
        <v>25743</v>
      </c>
      <c r="C8395" s="20"/>
      <c r="D8395" s="25" t="s">
        <v>26260</v>
      </c>
      <c r="E8395" s="25"/>
      <c r="F8395" s="9" t="str">
        <f>HYPERLINK("https://www.ebi.ac.uk/ols/ontologies/uberon/terms?iri=http://purl.obolibrary.org/obo/UBERON_0014687","temporal sulcus")</f>
        <v>temporal sulcus</v>
      </c>
      <c r="G8395" s="9" t="s">
        <v>14935</v>
      </c>
      <c r="H8395" s="9" t="s">
        <v>25545</v>
      </c>
      <c r="I8395" s="9" t="s">
        <v>13014</v>
      </c>
      <c r="J8395" s="9" t="s">
        <v>13015</v>
      </c>
      <c r="K8395" s="7" t="s">
        <v>15171</v>
      </c>
      <c r="L8395" s="13">
        <v>9377</v>
      </c>
      <c r="M8395" t="str">
        <f>VLOOKUP(L8395,[1]HBA!$B$2:$C$4000,2,FALSE)</f>
        <v>TLs</v>
      </c>
    </row>
    <row r="8396" spans="2:13" x14ac:dyDescent="0.25">
      <c r="B8396" s="31" t="s">
        <v>25743</v>
      </c>
      <c r="C8396" s="20"/>
      <c r="D8396" s="25" t="s">
        <v>3222</v>
      </c>
      <c r="E8396" s="25"/>
      <c r="F8396" s="9" t="str">
        <f>HYPERLINK("https://www.ebi.ac.uk/ols/ontologies/uberon/terms?iri=http://purl.obolibrary.org/obo/UBERON_0002924","terminal nerve")</f>
        <v>terminal nerve</v>
      </c>
      <c r="G8396" s="9" t="s">
        <v>14936</v>
      </c>
      <c r="H8396" s="9" t="s">
        <v>20724</v>
      </c>
      <c r="I8396" s="9" t="s">
        <v>3222</v>
      </c>
      <c r="J8396" s="9" t="s">
        <v>3223</v>
      </c>
      <c r="K8396" s="3" t="s">
        <v>15176</v>
      </c>
      <c r="L8396" s="13">
        <v>885</v>
      </c>
      <c r="M8396" t="str">
        <f>VLOOKUP(L8396,[1]Mouse_ARA!$B$2:$C$1328,2,FALSE)</f>
        <v>tn</v>
      </c>
    </row>
    <row r="8397" spans="2:13" x14ac:dyDescent="0.25">
      <c r="B8397" s="31" t="s">
        <v>25743</v>
      </c>
      <c r="C8397" s="20"/>
      <c r="D8397" s="25" t="s">
        <v>26261</v>
      </c>
      <c r="E8397" s="25"/>
      <c r="F8397" s="9" t="str">
        <f>HYPERLINK("https://www.ebi.ac.uk/ols/ontologies/uberon/terms?iri=http://purl.obolibrary.org/obo/UBERON_0001903","thalamic reticular nucleus")</f>
        <v>thalamic reticular nucleus</v>
      </c>
      <c r="G8397" s="9" t="s">
        <v>14937</v>
      </c>
      <c r="H8397" s="9" t="s">
        <v>23430</v>
      </c>
      <c r="I8397" s="9" t="s">
        <v>14938</v>
      </c>
      <c r="J8397" s="9" t="s">
        <v>14939</v>
      </c>
      <c r="K8397" s="4" t="s">
        <v>15175</v>
      </c>
      <c r="L8397" s="13">
        <v>10464</v>
      </c>
      <c r="M8397" t="str">
        <f>VLOOKUP(L8397,[1]Human_BrainSpan!$B$2:$C$4000,2,FALSE)</f>
        <v>R</v>
      </c>
    </row>
    <row r="8398" spans="2:13" x14ac:dyDescent="0.25">
      <c r="B8398" s="31" t="s">
        <v>25743</v>
      </c>
      <c r="C8398" s="20"/>
      <c r="D8398" s="25" t="s">
        <v>26261</v>
      </c>
      <c r="E8398" s="25"/>
      <c r="F8398" s="9" t="str">
        <f>HYPERLINK("https://www.ebi.ac.uk/ols/ontologies/uberon/terms?iri=http://purl.obolibrary.org/obo/UBERON_0001903","thalamic reticular nucleus")</f>
        <v>thalamic reticular nucleus</v>
      </c>
      <c r="G8398" s="9" t="s">
        <v>14937</v>
      </c>
      <c r="H8398" s="9" t="s">
        <v>23430</v>
      </c>
      <c r="I8398" s="9" t="s">
        <v>14940</v>
      </c>
      <c r="J8398" s="9" t="s">
        <v>14941</v>
      </c>
      <c r="K8398" s="7" t="s">
        <v>15171</v>
      </c>
      <c r="L8398" s="13">
        <v>4506</v>
      </c>
      <c r="M8398" t="str">
        <f>VLOOKUP(L8398,[1]HBA!$B$2:$C$4000,2,FALSE)</f>
        <v>R</v>
      </c>
    </row>
    <row r="8399" spans="2:13" x14ac:dyDescent="0.25">
      <c r="B8399" s="31" t="s">
        <v>25743</v>
      </c>
      <c r="C8399" s="20"/>
      <c r="D8399" s="25" t="s">
        <v>26261</v>
      </c>
      <c r="E8399" s="25"/>
      <c r="F8399" s="9" t="str">
        <f>HYPERLINK("https://www.ebi.ac.uk/ols/ontologies/uberon/terms?iri=http://purl.obolibrary.org/obo/UBERON_0001903","thalamic reticular nucleus")</f>
        <v>thalamic reticular nucleus</v>
      </c>
      <c r="G8399" s="9" t="s">
        <v>14937</v>
      </c>
      <c r="H8399" s="9" t="s">
        <v>19975</v>
      </c>
      <c r="I8399" s="9" t="s">
        <v>769</v>
      </c>
      <c r="J8399" s="9" t="s">
        <v>770</v>
      </c>
      <c r="K8399" s="3" t="s">
        <v>15176</v>
      </c>
      <c r="L8399" s="13">
        <v>262</v>
      </c>
      <c r="M8399" t="str">
        <f>VLOOKUP(L8399,[1]Mouse_ARA!$B$2:$C$1328,2,FALSE)</f>
        <v>RT</v>
      </c>
    </row>
    <row r="8400" spans="2:13" x14ac:dyDescent="0.25">
      <c r="B8400" s="31" t="s">
        <v>25743</v>
      </c>
      <c r="C8400" s="20"/>
      <c r="D8400" s="25" t="s">
        <v>14943</v>
      </c>
      <c r="E8400" s="25"/>
      <c r="F8400" s="9" t="str">
        <f>HYPERLINK("https://www.ebi.ac.uk/ols/ontologies/uberon/terms?iri=http://purl.obolibrary.org/obo/UBERON_0002286","third ventricle")</f>
        <v>third ventricle</v>
      </c>
      <c r="G8400" s="9" t="s">
        <v>14942</v>
      </c>
      <c r="H8400" s="9" t="s">
        <v>23678</v>
      </c>
      <c r="I8400" s="9" t="s">
        <v>14943</v>
      </c>
      <c r="J8400" s="9" t="s">
        <v>14944</v>
      </c>
      <c r="K8400" s="4" t="s">
        <v>15175</v>
      </c>
      <c r="L8400" s="13">
        <v>10602</v>
      </c>
      <c r="M8400" t="str">
        <f>VLOOKUP(L8400,[1]Human_BrainSpan!$B$2:$C$4000,2,FALSE)</f>
        <v>3V</v>
      </c>
    </row>
    <row r="8401" spans="2:13" x14ac:dyDescent="0.25">
      <c r="B8401" s="31" t="s">
        <v>25743</v>
      </c>
      <c r="C8401" s="20"/>
      <c r="D8401" s="25" t="s">
        <v>14943</v>
      </c>
      <c r="E8401" s="25"/>
      <c r="F8401" s="9" t="str">
        <f>HYPERLINK("https://www.ebi.ac.uk/ols/ontologies/uberon/terms?iri=http://purl.obolibrary.org/obo/UBERON_0002286","third ventricle")</f>
        <v>third ventricle</v>
      </c>
      <c r="G8401" s="9" t="s">
        <v>14942</v>
      </c>
      <c r="H8401" s="9" t="s">
        <v>23678</v>
      </c>
      <c r="I8401" s="9" t="s">
        <v>14943</v>
      </c>
      <c r="J8401" s="9" t="s">
        <v>14945</v>
      </c>
      <c r="K8401" s="7" t="s">
        <v>15171</v>
      </c>
      <c r="L8401" s="13">
        <v>9420</v>
      </c>
      <c r="M8401" t="str">
        <f>VLOOKUP(L8401,[1]HBA!$B$2:$C$4000,2,FALSE)</f>
        <v>3V</v>
      </c>
    </row>
    <row r="8402" spans="2:13" x14ac:dyDescent="0.25">
      <c r="B8402" s="31" t="s">
        <v>25743</v>
      </c>
      <c r="C8402" s="20"/>
      <c r="D8402" s="25" t="s">
        <v>14943</v>
      </c>
      <c r="E8402" s="25"/>
      <c r="F8402" s="9" t="str">
        <f>HYPERLINK("https://www.ebi.ac.uk/ols/ontologies/uberon/terms?iri=http://purl.obolibrary.org/obo/UBERON_0002286","third ventricle")</f>
        <v>third ventricle</v>
      </c>
      <c r="G8402" s="9" t="s">
        <v>14942</v>
      </c>
      <c r="H8402" s="9" t="s">
        <v>20958</v>
      </c>
      <c r="I8402" s="9" t="s">
        <v>14943</v>
      </c>
      <c r="J8402" s="9" t="s">
        <v>14946</v>
      </c>
      <c r="K8402" s="3" t="s">
        <v>15176</v>
      </c>
      <c r="L8402" s="13">
        <v>129</v>
      </c>
      <c r="M8402" t="str">
        <f>VLOOKUP(L8402,[1]Mouse_ARA!$B$2:$C$1328,2,FALSE)</f>
        <v>V3</v>
      </c>
    </row>
    <row r="8403" spans="2:13" x14ac:dyDescent="0.25">
      <c r="B8403" s="31" t="s">
        <v>26303</v>
      </c>
      <c r="C8403" s="25" t="s">
        <v>1389</v>
      </c>
      <c r="D8403" s="25" t="s">
        <v>26262</v>
      </c>
      <c r="E8403" s="25"/>
      <c r="F8403" s="9" t="str">
        <f t="shared" ref="F8403:F8418" si="123">HYPERLINK("https://www.ebi.ac.uk/ols/ontologies/uberon/terms?iri=http://purl.obolibrary.org/obo/UBERON_0007702","tract of brain")</f>
        <v>tract of brain</v>
      </c>
      <c r="G8403" s="9" t="s">
        <v>14947</v>
      </c>
      <c r="H8403" s="9" t="s">
        <v>20778</v>
      </c>
      <c r="I8403" s="9" t="s">
        <v>1389</v>
      </c>
      <c r="J8403" s="9" t="s">
        <v>1390</v>
      </c>
      <c r="K8403" s="4" t="s">
        <v>15175</v>
      </c>
      <c r="L8403" s="13">
        <v>12731</v>
      </c>
      <c r="M8403" t="str">
        <f>VLOOKUP(L8403,[1]Human_BrainSpan!$B$2:$C$4000,2,FALSE)</f>
        <v>cuf</v>
      </c>
    </row>
    <row r="8404" spans="2:13" x14ac:dyDescent="0.25">
      <c r="B8404" s="37" t="s">
        <v>26303</v>
      </c>
      <c r="C8404" s="25" t="s">
        <v>26144</v>
      </c>
      <c r="D8404" s="25" t="s">
        <v>26262</v>
      </c>
      <c r="E8404" s="25"/>
      <c r="F8404" s="9" t="str">
        <f t="shared" si="123"/>
        <v>tract of brain</v>
      </c>
      <c r="G8404" s="9" t="s">
        <v>14947</v>
      </c>
      <c r="H8404" s="9" t="s">
        <v>18452</v>
      </c>
      <c r="I8404" s="9" t="s">
        <v>3992</v>
      </c>
      <c r="J8404" s="9" t="s">
        <v>3993</v>
      </c>
      <c r="K8404" s="4" t="s">
        <v>15175</v>
      </c>
      <c r="L8404" s="13">
        <v>12746</v>
      </c>
      <c r="M8404" t="str">
        <f>VLOOKUP(L8404,[1]Human_BrainSpan!$B$2:$C$4000,2,FALSE)</f>
        <v>dsc</v>
      </c>
    </row>
    <row r="8405" spans="2:13" x14ac:dyDescent="0.25">
      <c r="B8405" s="37" t="s">
        <v>26303</v>
      </c>
      <c r="C8405" s="25" t="s">
        <v>5010</v>
      </c>
      <c r="D8405" s="25" t="s">
        <v>26262</v>
      </c>
      <c r="E8405" s="25"/>
      <c r="F8405" s="9" t="str">
        <f t="shared" si="123"/>
        <v>tract of brain</v>
      </c>
      <c r="G8405" s="9" t="s">
        <v>14947</v>
      </c>
      <c r="H8405" s="9" t="s">
        <v>20803</v>
      </c>
      <c r="I8405" s="9" t="s">
        <v>5010</v>
      </c>
      <c r="J8405" s="9" t="s">
        <v>5011</v>
      </c>
      <c r="K8405" s="4" t="s">
        <v>15175</v>
      </c>
      <c r="L8405" s="13">
        <v>12749</v>
      </c>
      <c r="M8405" t="str">
        <f>VLOOKUP(L8405,[1]Human_BrainSpan!$B$2:$C$4000,2,FALSE)</f>
        <v>sct</v>
      </c>
    </row>
    <row r="8406" spans="2:13" x14ac:dyDescent="0.25">
      <c r="B8406" s="31" t="s">
        <v>26303</v>
      </c>
      <c r="C8406" s="25" t="s">
        <v>1370</v>
      </c>
      <c r="D8406" s="25" t="s">
        <v>26262</v>
      </c>
      <c r="E8406" s="25"/>
      <c r="F8406" s="9" t="str">
        <f t="shared" si="123"/>
        <v>tract of brain</v>
      </c>
      <c r="G8406" s="9" t="s">
        <v>14947</v>
      </c>
      <c r="H8406" s="9" t="s">
        <v>24636</v>
      </c>
      <c r="I8406" s="9" t="s">
        <v>1370</v>
      </c>
      <c r="J8406" s="9" t="s">
        <v>1371</v>
      </c>
      <c r="K8406" s="4" t="s">
        <v>15175</v>
      </c>
      <c r="L8406" s="13">
        <v>12776</v>
      </c>
      <c r="M8406" t="str">
        <f>VLOOKUP(L8406,[1]Human_BrainSpan!$B$2:$C$4000,2,FALSE)</f>
        <v>csp-h</v>
      </c>
    </row>
    <row r="8407" spans="2:13" x14ac:dyDescent="0.25">
      <c r="B8407" s="31" t="s">
        <v>26303</v>
      </c>
      <c r="C8407" s="25" t="s">
        <v>7810</v>
      </c>
      <c r="D8407" s="25" t="s">
        <v>26262</v>
      </c>
      <c r="E8407" s="25"/>
      <c r="F8407" s="9" t="str">
        <f t="shared" si="123"/>
        <v>tract of brain</v>
      </c>
      <c r="G8407" s="9" t="s">
        <v>14947</v>
      </c>
      <c r="H8407" s="9" t="s">
        <v>24654</v>
      </c>
      <c r="I8407" s="9" t="s">
        <v>7810</v>
      </c>
      <c r="J8407" s="9" t="s">
        <v>7811</v>
      </c>
      <c r="K8407" s="4" t="s">
        <v>15175</v>
      </c>
      <c r="L8407" s="13">
        <v>12797</v>
      </c>
      <c r="M8407" t="str">
        <f>VLOOKUP(L8407,[1]Human_BrainSpan!$B$2:$C$4000,2,FALSE)</f>
        <v>tri5</v>
      </c>
    </row>
    <row r="8408" spans="2:13" x14ac:dyDescent="0.25">
      <c r="B8408" s="31" t="s">
        <v>26303</v>
      </c>
      <c r="C8408" s="25" t="s">
        <v>7812</v>
      </c>
      <c r="D8408" s="25" t="s">
        <v>26262</v>
      </c>
      <c r="E8408" s="25"/>
      <c r="F8408" s="9" t="str">
        <f t="shared" si="123"/>
        <v>tract of brain</v>
      </c>
      <c r="G8408" s="9" t="s">
        <v>14947</v>
      </c>
      <c r="H8408" s="9" t="s">
        <v>24656</v>
      </c>
      <c r="I8408" s="9" t="s">
        <v>7812</v>
      </c>
      <c r="J8408" s="9" t="s">
        <v>7813</v>
      </c>
      <c r="K8408" s="4" t="s">
        <v>15175</v>
      </c>
      <c r="L8408" s="13">
        <v>12798</v>
      </c>
      <c r="M8408" t="str">
        <f>VLOOKUP(L8408,[1]Human_BrainSpan!$B$2:$C$4000,2,FALSE)</f>
        <v>vcsp</v>
      </c>
    </row>
    <row r="8409" spans="2:13" x14ac:dyDescent="0.25">
      <c r="B8409" s="31" t="s">
        <v>26303</v>
      </c>
      <c r="C8409" s="25" t="s">
        <v>1370</v>
      </c>
      <c r="D8409" s="25" t="s">
        <v>26262</v>
      </c>
      <c r="E8409" s="25"/>
      <c r="F8409" s="9" t="str">
        <f t="shared" si="123"/>
        <v>tract of brain</v>
      </c>
      <c r="G8409" s="9" t="s">
        <v>14947</v>
      </c>
      <c r="H8409" s="9" t="s">
        <v>18445</v>
      </c>
      <c r="I8409" s="9" t="s">
        <v>1370</v>
      </c>
      <c r="J8409" s="9" t="s">
        <v>1372</v>
      </c>
      <c r="K8409" s="5" t="s">
        <v>15173</v>
      </c>
      <c r="L8409" s="13">
        <v>17756</v>
      </c>
      <c r="M8409" t="str">
        <f>VLOOKUP(L8409,[1]DevMouse!$B$2:$C$2693,2,FALSE)</f>
        <v>csp</v>
      </c>
    </row>
    <row r="8410" spans="2:13" x14ac:dyDescent="0.25">
      <c r="B8410" s="37" t="s">
        <v>26303</v>
      </c>
      <c r="C8410" s="25" t="s">
        <v>26144</v>
      </c>
      <c r="D8410" s="25" t="s">
        <v>26262</v>
      </c>
      <c r="E8410" s="25"/>
      <c r="F8410" s="9" t="str">
        <f t="shared" si="123"/>
        <v>tract of brain</v>
      </c>
      <c r="G8410" s="9" t="s">
        <v>14947</v>
      </c>
      <c r="H8410" s="9" t="s">
        <v>18452</v>
      </c>
      <c r="I8410" s="9" t="s">
        <v>3992</v>
      </c>
      <c r="J8410" s="9" t="s">
        <v>3994</v>
      </c>
      <c r="K8410" s="5" t="s">
        <v>15173</v>
      </c>
      <c r="L8410" s="13">
        <v>17761</v>
      </c>
      <c r="M8410" t="str">
        <f>VLOOKUP(L8410,[1]DevMouse!$B$2:$C$2693,2,FALSE)</f>
        <v>dsc</v>
      </c>
    </row>
    <row r="8411" spans="2:13" x14ac:dyDescent="0.25">
      <c r="B8411" s="31" t="s">
        <v>26303</v>
      </c>
      <c r="C8411" s="25" t="s">
        <v>1389</v>
      </c>
      <c r="D8411" s="25" t="s">
        <v>26262</v>
      </c>
      <c r="E8411" s="25"/>
      <c r="F8411" s="9" t="str">
        <f t="shared" si="123"/>
        <v>tract of brain</v>
      </c>
      <c r="G8411" s="9" t="s">
        <v>14947</v>
      </c>
      <c r="H8411" s="9" t="s">
        <v>20778</v>
      </c>
      <c r="I8411" s="9" t="s">
        <v>1389</v>
      </c>
      <c r="J8411" s="9" t="s">
        <v>1391</v>
      </c>
      <c r="K8411" s="7" t="s">
        <v>15171</v>
      </c>
      <c r="L8411" s="13">
        <v>265505550</v>
      </c>
      <c r="M8411" t="str">
        <f>VLOOKUP(L8411,[1]HBA!$B$2:$C$4000,2,FALSE)</f>
        <v>cuf</v>
      </c>
    </row>
    <row r="8412" spans="2:13" x14ac:dyDescent="0.25">
      <c r="B8412" s="31" t="s">
        <v>26303</v>
      </c>
      <c r="C8412" s="25" t="s">
        <v>1370</v>
      </c>
      <c r="D8412" s="25" t="s">
        <v>26262</v>
      </c>
      <c r="E8412" s="25"/>
      <c r="F8412" s="9" t="str">
        <f t="shared" si="123"/>
        <v>tract of brain</v>
      </c>
      <c r="G8412" s="9" t="s">
        <v>14947</v>
      </c>
      <c r="H8412" s="9" t="s">
        <v>18445</v>
      </c>
      <c r="I8412" s="9" t="s">
        <v>1370</v>
      </c>
      <c r="J8412" s="9" t="s">
        <v>1373</v>
      </c>
      <c r="K8412" s="7" t="s">
        <v>15171</v>
      </c>
      <c r="L8412" s="13">
        <v>265505574</v>
      </c>
      <c r="M8412" t="str">
        <f>VLOOKUP(L8412,[1]HBA!$B$2:$C$4000,2,FALSE)</f>
        <v>csp</v>
      </c>
    </row>
    <row r="8413" spans="2:13" x14ac:dyDescent="0.25">
      <c r="B8413" s="31" t="s">
        <v>26303</v>
      </c>
      <c r="C8413" s="25" t="s">
        <v>1370</v>
      </c>
      <c r="D8413" s="25" t="s">
        <v>26262</v>
      </c>
      <c r="E8413" s="25"/>
      <c r="F8413" s="9" t="str">
        <f t="shared" si="123"/>
        <v>tract of brain</v>
      </c>
      <c r="G8413" s="9" t="s">
        <v>14947</v>
      </c>
      <c r="H8413" s="9" t="s">
        <v>20838</v>
      </c>
      <c r="I8413" s="9" t="s">
        <v>14948</v>
      </c>
      <c r="J8413" s="9" t="s">
        <v>14949</v>
      </c>
      <c r="K8413" s="3" t="s">
        <v>15176</v>
      </c>
      <c r="L8413" s="13">
        <v>1028</v>
      </c>
      <c r="M8413" t="str">
        <f>VLOOKUP(L8413,[1]Mouse_ARA!$B$2:$C$1328,2,FALSE)</f>
        <v>cstu</v>
      </c>
    </row>
    <row r="8414" spans="2:13" x14ac:dyDescent="0.25">
      <c r="B8414" s="31" t="s">
        <v>26303</v>
      </c>
      <c r="C8414" s="20"/>
      <c r="D8414" s="25" t="s">
        <v>26185</v>
      </c>
      <c r="E8414" s="25" t="s">
        <v>26300</v>
      </c>
      <c r="F8414" s="9" t="str">
        <f t="shared" si="123"/>
        <v>tract of brain</v>
      </c>
      <c r="G8414" s="9" t="s">
        <v>14947</v>
      </c>
      <c r="H8414" s="9" t="s">
        <v>18489</v>
      </c>
      <c r="I8414" s="9" t="s">
        <v>1374</v>
      </c>
      <c r="J8414" s="9" t="s">
        <v>1375</v>
      </c>
      <c r="K8414" s="3" t="s">
        <v>15176</v>
      </c>
      <c r="L8414" s="13">
        <v>190</v>
      </c>
      <c r="M8414" t="str">
        <f>VLOOKUP(L8414,[1]Mouse_ARA!$B$2:$C$1328,2,FALSE)</f>
        <v>py</v>
      </c>
    </row>
    <row r="8415" spans="2:13" x14ac:dyDescent="0.25">
      <c r="B8415" s="31" t="s">
        <v>26303</v>
      </c>
      <c r="C8415" s="25" t="s">
        <v>1389</v>
      </c>
      <c r="D8415" s="25" t="s">
        <v>26262</v>
      </c>
      <c r="E8415" s="25"/>
      <c r="F8415" s="9" t="str">
        <f t="shared" si="123"/>
        <v>tract of brain</v>
      </c>
      <c r="G8415" s="9" t="s">
        <v>14947</v>
      </c>
      <c r="H8415" s="9" t="s">
        <v>20778</v>
      </c>
      <c r="I8415" s="9" t="s">
        <v>1392</v>
      </c>
      <c r="J8415" s="9" t="s">
        <v>1393</v>
      </c>
      <c r="K8415" s="3" t="s">
        <v>15176</v>
      </c>
      <c r="L8415" s="13">
        <v>380</v>
      </c>
      <c r="M8415" t="str">
        <f>VLOOKUP(L8415,[1]Mouse_ARA!$B$2:$C$1328,2,FALSE)</f>
        <v>cuf</v>
      </c>
    </row>
    <row r="8416" spans="2:13" x14ac:dyDescent="0.25">
      <c r="B8416" s="37" t="s">
        <v>26303</v>
      </c>
      <c r="C8416" s="25" t="s">
        <v>26144</v>
      </c>
      <c r="D8416" s="25" t="s">
        <v>26262</v>
      </c>
      <c r="E8416" s="25"/>
      <c r="F8416" s="9" t="str">
        <f t="shared" si="123"/>
        <v>tract of brain</v>
      </c>
      <c r="G8416" s="9" t="s">
        <v>14947</v>
      </c>
      <c r="H8416" s="9" t="s">
        <v>20806</v>
      </c>
      <c r="I8416" s="9" t="s">
        <v>3992</v>
      </c>
      <c r="J8416" s="9" t="s">
        <v>3995</v>
      </c>
      <c r="K8416" s="3" t="s">
        <v>15176</v>
      </c>
      <c r="L8416" s="13">
        <v>553</v>
      </c>
      <c r="M8416" t="str">
        <f>VLOOKUP(L8416,[1]Mouse_ARA!$B$2:$C$1328,2,FALSE)</f>
        <v>sctd</v>
      </c>
    </row>
    <row r="8417" spans="2:13" x14ac:dyDescent="0.25">
      <c r="B8417" s="31" t="s">
        <v>26303</v>
      </c>
      <c r="C8417" s="25" t="s">
        <v>1370</v>
      </c>
      <c r="D8417" s="25" t="s">
        <v>26262</v>
      </c>
      <c r="E8417" s="25"/>
      <c r="F8417" s="9" t="str">
        <f t="shared" si="123"/>
        <v>tract of brain</v>
      </c>
      <c r="G8417" s="9" t="s">
        <v>14947</v>
      </c>
      <c r="H8417" s="9" t="s">
        <v>20827</v>
      </c>
      <c r="I8417" s="9" t="s">
        <v>1370</v>
      </c>
      <c r="J8417" s="9" t="s">
        <v>1376</v>
      </c>
      <c r="K8417" s="3" t="s">
        <v>15176</v>
      </c>
      <c r="L8417" s="13">
        <v>784</v>
      </c>
      <c r="M8417" t="str">
        <f>VLOOKUP(L8417,[1]Mouse_ARA!$B$2:$C$1328,2,FALSE)</f>
        <v>cst</v>
      </c>
    </row>
    <row r="8418" spans="2:13" x14ac:dyDescent="0.25">
      <c r="B8418" s="37" t="s">
        <v>26303</v>
      </c>
      <c r="C8418" s="25" t="s">
        <v>5010</v>
      </c>
      <c r="D8418" s="25" t="s">
        <v>26262</v>
      </c>
      <c r="E8418" s="25"/>
      <c r="F8418" s="9" t="str">
        <f t="shared" si="123"/>
        <v>tract of brain</v>
      </c>
      <c r="G8418" s="9" t="s">
        <v>14947</v>
      </c>
      <c r="H8418" s="9" t="s">
        <v>20803</v>
      </c>
      <c r="I8418" s="9" t="s">
        <v>5010</v>
      </c>
      <c r="J8418" s="9" t="s">
        <v>5012</v>
      </c>
      <c r="K8418" s="3" t="s">
        <v>15176</v>
      </c>
      <c r="L8418" s="13">
        <v>85</v>
      </c>
      <c r="M8418" t="str">
        <f>VLOOKUP(L8418,[1]Mouse_ARA!$B$2:$C$1328,2,FALSE)</f>
        <v>sct</v>
      </c>
    </row>
    <row r="8419" spans="2:13" x14ac:dyDescent="0.25">
      <c r="B8419" s="31" t="s">
        <v>25743</v>
      </c>
      <c r="C8419" s="20"/>
      <c r="D8419" s="25" t="s">
        <v>26263</v>
      </c>
      <c r="E8419" s="25"/>
      <c r="F8419" s="9" t="str">
        <f>HYPERLINK("https://www.ebi.ac.uk/ols/ontologies/uberon/terms?iri=http://purl.obolibrary.org/obo/UBERON_0011179","transverse nucleus of stria terminalis")</f>
        <v>transverse nucleus of stria terminalis</v>
      </c>
      <c r="G8419" s="9" t="s">
        <v>14950</v>
      </c>
      <c r="H8419" s="9" t="s">
        <v>19867</v>
      </c>
      <c r="I8419" s="9" t="s">
        <v>14000</v>
      </c>
      <c r="J8419" s="9" t="s">
        <v>14001</v>
      </c>
      <c r="K8419" s="3" t="s">
        <v>15176</v>
      </c>
      <c r="L8419" s="13">
        <v>594</v>
      </c>
      <c r="M8419" t="str">
        <f>VLOOKUP(L8419,[1]Mouse_ARA!$B$2:$C$1328,2,FALSE)</f>
        <v>BSTtr</v>
      </c>
    </row>
    <row r="8420" spans="2:13" x14ac:dyDescent="0.25">
      <c r="B8420" s="31" t="s">
        <v>25743</v>
      </c>
      <c r="C8420" s="20"/>
      <c r="D8420" s="25" t="s">
        <v>14952</v>
      </c>
      <c r="E8420" s="25"/>
      <c r="F8420" s="9" t="str">
        <f>HYPERLINK("https://www.ebi.ac.uk/ols/ontologies/uberon/terms?iri=http://purl.obolibrary.org/obo/UBERON_0002900","transverse occipital sulcus")</f>
        <v>transverse occipital sulcus</v>
      </c>
      <c r="G8420" s="9" t="s">
        <v>14951</v>
      </c>
      <c r="H8420" s="9" t="s">
        <v>23787</v>
      </c>
      <c r="I8420" s="9" t="s">
        <v>14952</v>
      </c>
      <c r="J8420" s="9" t="s">
        <v>14953</v>
      </c>
      <c r="K8420" s="4" t="s">
        <v>15175</v>
      </c>
      <c r="L8420" s="13">
        <v>13228</v>
      </c>
      <c r="M8420" t="str">
        <f>VLOOKUP(L8420,[1]Human_BrainSpan!$B$2:$C$4000,2,FALSE)</f>
        <v>tros</v>
      </c>
    </row>
    <row r="8421" spans="2:13" x14ac:dyDescent="0.25">
      <c r="B8421" s="31" t="s">
        <v>25743</v>
      </c>
      <c r="C8421" s="20"/>
      <c r="D8421" s="25" t="s">
        <v>14952</v>
      </c>
      <c r="E8421" s="25"/>
      <c r="F8421" s="9" t="str">
        <f>HYPERLINK("https://www.ebi.ac.uk/ols/ontologies/uberon/terms?iri=http://purl.obolibrary.org/obo/UBERON_0002900","transverse occipital sulcus")</f>
        <v>transverse occipital sulcus</v>
      </c>
      <c r="G8421" s="9" t="s">
        <v>14951</v>
      </c>
      <c r="H8421" s="9" t="s">
        <v>25539</v>
      </c>
      <c r="I8421" s="9" t="s">
        <v>14952</v>
      </c>
      <c r="J8421" s="9" t="s">
        <v>14954</v>
      </c>
      <c r="K8421" s="7" t="s">
        <v>15171</v>
      </c>
      <c r="L8421" s="13">
        <v>9388</v>
      </c>
      <c r="M8421" t="str">
        <f>VLOOKUP(L8421,[1]HBA!$B$2:$C$4000,2,FALSE)</f>
        <v>tocs</v>
      </c>
    </row>
    <row r="8422" spans="2:13" x14ac:dyDescent="0.25">
      <c r="B8422" s="31" t="s">
        <v>26303</v>
      </c>
      <c r="C8422" s="25" t="s">
        <v>3535</v>
      </c>
      <c r="D8422" s="25" t="s">
        <v>14956</v>
      </c>
      <c r="E8422" s="25"/>
      <c r="F8422" s="9" t="str">
        <f>HYPERLINK("https://www.ebi.ac.uk/ols/ontologies/uberon/terms?iri=http://purl.obolibrary.org/obo/UBERON_0002612","transverse orbital sulcus")</f>
        <v>transverse orbital sulcus</v>
      </c>
      <c r="G8422" s="9" t="s">
        <v>14955</v>
      </c>
      <c r="H8422" s="9" t="s">
        <v>23722</v>
      </c>
      <c r="I8422" s="9" t="s">
        <v>14956</v>
      </c>
      <c r="J8422" s="9" t="s">
        <v>14957</v>
      </c>
      <c r="K8422" s="4" t="s">
        <v>15175</v>
      </c>
      <c r="L8422" s="13">
        <v>13223</v>
      </c>
      <c r="M8422" t="str">
        <f>VLOOKUP(L8422,[1]Human_BrainSpan!$B$2:$C$4000,2,FALSE)</f>
        <v>ors-t</v>
      </c>
    </row>
    <row r="8423" spans="2:13" x14ac:dyDescent="0.25">
      <c r="B8423" s="31" t="s">
        <v>25743</v>
      </c>
      <c r="C8423" s="20"/>
      <c r="D8423" s="25" t="s">
        <v>26264</v>
      </c>
      <c r="E8423" s="25"/>
      <c r="F8423" s="9" t="str">
        <f>HYPERLINK("https://www.ebi.ac.uk/ols/ontologies/uberon/terms?iri=http://purl.obolibrary.org/obo/UBERON_0002735","transverse pontine fibers")</f>
        <v>transverse pontine fibers</v>
      </c>
      <c r="G8423" s="9" t="s">
        <v>14958</v>
      </c>
      <c r="H8423" s="9" t="s">
        <v>24653</v>
      </c>
      <c r="I8423" s="9" t="s">
        <v>7808</v>
      </c>
      <c r="J8423" s="9" t="s">
        <v>7809</v>
      </c>
      <c r="K8423" s="4" t="s">
        <v>15175</v>
      </c>
      <c r="L8423" s="13">
        <v>12795</v>
      </c>
      <c r="M8423" t="str">
        <f>VLOOKUP(L8423,[1]Human_BrainSpan!$B$2:$C$4000,2,FALSE)</f>
        <v>tfp</v>
      </c>
    </row>
    <row r="8424" spans="2:13" x14ac:dyDescent="0.25">
      <c r="B8424" s="31" t="s">
        <v>26304</v>
      </c>
      <c r="C8424" s="20"/>
      <c r="D8424" s="25" t="s">
        <v>14960</v>
      </c>
      <c r="E8424" s="25"/>
      <c r="F8424" s="9" t="str">
        <f>HYPERLINK("https://www.ebi.ac.uk/ols/ontologies/uberon/terms?iri=http://purl.obolibrary.org/obo/UBERON_0002569","transverse temporal sulcus")</f>
        <v>transverse temporal sulcus</v>
      </c>
      <c r="G8424" s="9" t="s">
        <v>14959</v>
      </c>
      <c r="H8424" s="9" t="s">
        <v>23782</v>
      </c>
      <c r="I8424" s="9" t="s">
        <v>14960</v>
      </c>
      <c r="J8424" s="9" t="s">
        <v>14961</v>
      </c>
      <c r="K8424" s="4" t="s">
        <v>15175</v>
      </c>
      <c r="L8424" s="13">
        <v>146034852</v>
      </c>
      <c r="M8424" t="str">
        <f>VLOOKUP(L8424,[1]Human_BrainSpan!$B$2:$C$4000,2,FALSE)</f>
        <v>tts</v>
      </c>
    </row>
    <row r="8425" spans="2:13" x14ac:dyDescent="0.25">
      <c r="B8425" s="31" t="s">
        <v>25743</v>
      </c>
      <c r="C8425" s="20"/>
      <c r="D8425" s="25" t="s">
        <v>14233</v>
      </c>
      <c r="E8425" s="25"/>
      <c r="F8425" s="9" t="str">
        <f>HYPERLINK("https://www.ebi.ac.uk/ols/ontologies/uberon/terms?iri=http://purl.obolibrary.org/obo/UBERON_0002932","trapezoid body")</f>
        <v>trapezoid body</v>
      </c>
      <c r="G8425" s="9" t="s">
        <v>14962</v>
      </c>
      <c r="H8425" s="9" t="s">
        <v>18510</v>
      </c>
      <c r="I8425" s="9" t="s">
        <v>14233</v>
      </c>
      <c r="J8425" s="9" t="s">
        <v>14963</v>
      </c>
      <c r="K8425" s="4" t="s">
        <v>15175</v>
      </c>
      <c r="L8425" s="13">
        <v>12796</v>
      </c>
      <c r="M8425" t="str">
        <f>VLOOKUP(L8425,[1]Human_BrainSpan!$B$2:$C$4000,2,FALSE)</f>
        <v>tz</v>
      </c>
    </row>
    <row r="8426" spans="2:13" x14ac:dyDescent="0.25">
      <c r="B8426" s="31" t="s">
        <v>25743</v>
      </c>
      <c r="C8426" s="20"/>
      <c r="D8426" s="25" t="s">
        <v>14233</v>
      </c>
      <c r="E8426" s="25"/>
      <c r="F8426" s="9" t="str">
        <f>HYPERLINK("https://www.ebi.ac.uk/ols/ontologies/uberon/terms?iri=http://purl.obolibrary.org/obo/UBERON_0002932","trapezoid body")</f>
        <v>trapezoid body</v>
      </c>
      <c r="G8426" s="9" t="s">
        <v>14962</v>
      </c>
      <c r="H8426" s="9" t="s">
        <v>18510</v>
      </c>
      <c r="I8426" s="9" t="s">
        <v>14233</v>
      </c>
      <c r="J8426" s="9" t="s">
        <v>14964</v>
      </c>
      <c r="K8426" s="7" t="s">
        <v>15171</v>
      </c>
      <c r="L8426" s="13">
        <v>9197</v>
      </c>
      <c r="M8426" t="str">
        <f>VLOOKUP(L8426,[1]HBA!$B$2:$C$4000,2,FALSE)</f>
        <v>tz</v>
      </c>
    </row>
    <row r="8427" spans="2:13" x14ac:dyDescent="0.25">
      <c r="B8427" s="31" t="s">
        <v>25743</v>
      </c>
      <c r="C8427" s="20"/>
      <c r="D8427" s="25" t="s">
        <v>14233</v>
      </c>
      <c r="E8427" s="25"/>
      <c r="F8427" s="9" t="str">
        <f>HYPERLINK("https://www.ebi.ac.uk/ols/ontologies/uberon/terms?iri=http://purl.obolibrary.org/obo/UBERON_0002932","trapezoid body")</f>
        <v>trapezoid body</v>
      </c>
      <c r="G8427" s="9" t="s">
        <v>14962</v>
      </c>
      <c r="H8427" s="9" t="s">
        <v>20756</v>
      </c>
      <c r="I8427" s="9" t="s">
        <v>14233</v>
      </c>
      <c r="J8427" s="9" t="s">
        <v>14234</v>
      </c>
      <c r="K8427" s="3" t="s">
        <v>15176</v>
      </c>
      <c r="L8427" s="13">
        <v>841</v>
      </c>
      <c r="M8427" t="str">
        <f>VLOOKUP(L8427,[1]Mouse_ARA!$B$2:$C$1328,2,FALSE)</f>
        <v>tb</v>
      </c>
    </row>
    <row r="8428" spans="2:13" x14ac:dyDescent="0.25">
      <c r="B8428" s="31" t="s">
        <v>25743</v>
      </c>
      <c r="C8428" s="20"/>
      <c r="D8428" s="25" t="s">
        <v>26265</v>
      </c>
      <c r="E8428" s="25"/>
      <c r="F8428" s="9" t="str">
        <f>HYPERLINK("https://www.ebi.ac.uk/ols/ontologies/uberon/terms?iri=http://purl.obolibrary.org/obo/UBERON_0002629","triangular part of inferior frontal gyrus")</f>
        <v>triangular part of inferior frontal gyrus</v>
      </c>
      <c r="G8428" s="9" t="s">
        <v>14965</v>
      </c>
      <c r="H8428" s="9" t="s">
        <v>23796</v>
      </c>
      <c r="I8428" s="9" t="s">
        <v>14966</v>
      </c>
      <c r="J8428" s="9" t="s">
        <v>14967</v>
      </c>
      <c r="K8428" s="4" t="s">
        <v>15175</v>
      </c>
      <c r="L8428" s="13">
        <v>12118</v>
      </c>
      <c r="M8428" t="str">
        <f>VLOOKUP(L8428,[1]Human_BrainSpan!$B$2:$C$4000,2,FALSE)</f>
        <v>IFGtr</v>
      </c>
    </row>
    <row r="8429" spans="2:13" x14ac:dyDescent="0.25">
      <c r="B8429" s="31" t="s">
        <v>25743</v>
      </c>
      <c r="C8429" s="20"/>
      <c r="D8429" s="25" t="s">
        <v>26265</v>
      </c>
      <c r="E8429" s="25"/>
      <c r="F8429" s="9" t="str">
        <f>HYPERLINK("https://www.ebi.ac.uk/ols/ontologies/uberon/terms?iri=http://purl.obolibrary.org/obo/UBERON_0002629","triangular part of inferior frontal gyrus")</f>
        <v>triangular part of inferior frontal gyrus</v>
      </c>
      <c r="G8429" s="9" t="s">
        <v>14965</v>
      </c>
      <c r="H8429" s="9" t="s">
        <v>24766</v>
      </c>
      <c r="I8429" s="9" t="s">
        <v>14966</v>
      </c>
      <c r="J8429" s="9" t="s">
        <v>14968</v>
      </c>
      <c r="K8429" s="7" t="s">
        <v>15171</v>
      </c>
      <c r="L8429" s="13">
        <v>4038</v>
      </c>
      <c r="M8429" t="str">
        <f>VLOOKUP(L8429,[1]HBA!$B$2:$C$4000,2,FALSE)</f>
        <v>trIFG</v>
      </c>
    </row>
    <row r="8430" spans="2:13" x14ac:dyDescent="0.25">
      <c r="B8430" s="31" t="s">
        <v>25743</v>
      </c>
      <c r="C8430" s="20"/>
      <c r="D8430" s="25" t="s">
        <v>8507</v>
      </c>
      <c r="E8430" s="25"/>
      <c r="F8430" s="9" t="str">
        <f>HYPERLINK("https://www.ebi.ac.uk/ols/ontologies/uberon/terms?iri=http://purl.obolibrary.org/obo/UBERON_0002977","triangular septal nucleus")</f>
        <v>triangular septal nucleus</v>
      </c>
      <c r="G8430" s="9" t="s">
        <v>14969</v>
      </c>
      <c r="H8430" s="9" t="s">
        <v>23284</v>
      </c>
      <c r="I8430" s="9" t="s">
        <v>8507</v>
      </c>
      <c r="J8430" s="9" t="s">
        <v>8508</v>
      </c>
      <c r="K8430" s="4" t="s">
        <v>15175</v>
      </c>
      <c r="L8430" s="13">
        <v>266441491</v>
      </c>
      <c r="M8430" t="str">
        <f>VLOOKUP(L8430,[1]Human_BrainSpan!$B$2:$C$4000,2,FALSE)</f>
        <v>TSN</v>
      </c>
    </row>
    <row r="8431" spans="2:13" x14ac:dyDescent="0.25">
      <c r="B8431" s="31" t="s">
        <v>25743</v>
      </c>
      <c r="C8431" s="20"/>
      <c r="D8431" s="25" t="s">
        <v>8507</v>
      </c>
      <c r="E8431" s="25"/>
      <c r="F8431" s="9" t="str">
        <f>HYPERLINK("https://www.ebi.ac.uk/ols/ontologies/uberon/terms?iri=http://purl.obolibrary.org/obo/UBERON_0002977","triangular septal nucleus")</f>
        <v>triangular septal nucleus</v>
      </c>
      <c r="G8431" s="9" t="s">
        <v>14969</v>
      </c>
      <c r="H8431" s="9" t="s">
        <v>15562</v>
      </c>
      <c r="I8431" s="9" t="s">
        <v>8507</v>
      </c>
      <c r="J8431" s="9" t="s">
        <v>9428</v>
      </c>
      <c r="K8431" s="5" t="s">
        <v>15173</v>
      </c>
      <c r="L8431" s="13">
        <v>15779</v>
      </c>
      <c r="M8431" t="str">
        <f>VLOOKUP(L8431,[1]DevMouse!$B$2:$C$2693,2,FALSE)</f>
        <v>TS</v>
      </c>
    </row>
    <row r="8432" spans="2:13" x14ac:dyDescent="0.25">
      <c r="B8432" s="31" t="s">
        <v>25743</v>
      </c>
      <c r="C8432" s="20"/>
      <c r="D8432" s="25" t="s">
        <v>8507</v>
      </c>
      <c r="E8432" s="25"/>
      <c r="F8432" s="9" t="str">
        <f>HYPERLINK("https://www.ebi.ac.uk/ols/ontologies/uberon/terms?iri=http://purl.obolibrary.org/obo/UBERON_0002977","triangular septal nucleus")</f>
        <v>triangular septal nucleus</v>
      </c>
      <c r="G8432" s="9" t="s">
        <v>14969</v>
      </c>
      <c r="H8432" s="9" t="s">
        <v>19833</v>
      </c>
      <c r="I8432" s="9" t="s">
        <v>13983</v>
      </c>
      <c r="J8432" s="9" t="s">
        <v>13984</v>
      </c>
      <c r="K8432" s="3" t="s">
        <v>15176</v>
      </c>
      <c r="L8432" s="13">
        <v>581</v>
      </c>
      <c r="M8432" t="str">
        <f>VLOOKUP(L8432,[1]Mouse_ARA!$B$2:$C$1328,2,FALSE)</f>
        <v>TRS</v>
      </c>
    </row>
    <row r="8433" spans="2:13" x14ac:dyDescent="0.25">
      <c r="B8433" s="31" t="s">
        <v>25743</v>
      </c>
      <c r="C8433" s="20"/>
      <c r="D8433" s="25" t="s">
        <v>14971</v>
      </c>
      <c r="E8433" s="25"/>
      <c r="F8433" s="9" t="str">
        <f>HYPERLINK("https://www.ebi.ac.uk/ols/ontologies/uberon/terms?iri=http://purl.obolibrary.org/obo/UBERON_0001645","trigeminal nerve")</f>
        <v>trigeminal nerve</v>
      </c>
      <c r="G8433" s="9" t="s">
        <v>14970</v>
      </c>
      <c r="H8433" s="9" t="s">
        <v>18418</v>
      </c>
      <c r="I8433" s="9" t="s">
        <v>14971</v>
      </c>
      <c r="J8433" s="9" t="s">
        <v>14972</v>
      </c>
      <c r="K8433" s="7" t="s">
        <v>15171</v>
      </c>
      <c r="L8433" s="13">
        <v>9322</v>
      </c>
      <c r="M8433" t="str">
        <f>VLOOKUP(L8433,[1]HBA!$B$2:$C$4000,2,FALSE)</f>
        <v>5n</v>
      </c>
    </row>
    <row r="8434" spans="2:13" x14ac:dyDescent="0.25">
      <c r="B8434" s="31" t="s">
        <v>25743</v>
      </c>
      <c r="C8434" s="20"/>
      <c r="D8434" s="25" t="s">
        <v>14971</v>
      </c>
      <c r="E8434" s="25"/>
      <c r="F8434" s="9" t="str">
        <f>HYPERLINK("https://www.ebi.ac.uk/ols/ontologies/uberon/terms?iri=http://purl.obolibrary.org/obo/UBERON_0001645","trigeminal nerve")</f>
        <v>trigeminal nerve</v>
      </c>
      <c r="G8434" s="9" t="s">
        <v>14970</v>
      </c>
      <c r="H8434" s="9" t="s">
        <v>20744</v>
      </c>
      <c r="I8434" s="9" t="s">
        <v>14971</v>
      </c>
      <c r="J8434" s="9" t="s">
        <v>14973</v>
      </c>
      <c r="K8434" s="3" t="s">
        <v>15176</v>
      </c>
      <c r="L8434" s="13">
        <v>901</v>
      </c>
      <c r="M8434" t="str">
        <f>VLOOKUP(L8434,[1]Mouse_ARA!$B$2:$C$1328,2,FALSE)</f>
        <v>Vn</v>
      </c>
    </row>
    <row r="8435" spans="2:13" x14ac:dyDescent="0.25">
      <c r="B8435" s="31" t="s">
        <v>25743</v>
      </c>
      <c r="C8435" s="20"/>
      <c r="D8435" s="25" t="s">
        <v>11626</v>
      </c>
      <c r="E8435" s="25"/>
      <c r="F8435" s="9" t="str">
        <f>HYPERLINK("https://www.ebi.ac.uk/ols/ontologies/uberon/terms?iri=http://purl.obolibrary.org/obo/UBERON_0004673","trigeminal nerve root")</f>
        <v>trigeminal nerve root</v>
      </c>
      <c r="G8435" s="9" t="s">
        <v>14974</v>
      </c>
      <c r="H8435" s="9" t="s">
        <v>17748</v>
      </c>
      <c r="I8435" s="9" t="s">
        <v>7884</v>
      </c>
      <c r="J8435" s="9" t="s">
        <v>7885</v>
      </c>
      <c r="K8435" s="4" t="s">
        <v>15175</v>
      </c>
      <c r="L8435" s="13">
        <v>12865</v>
      </c>
      <c r="M8435" t="str">
        <f>VLOOKUP(L8435,[1]Human_BrainSpan!$B$2:$C$4000,2,FALSE)</f>
        <v>r5</v>
      </c>
    </row>
    <row r="8436" spans="2:13" x14ac:dyDescent="0.25">
      <c r="B8436" s="31" t="s">
        <v>25743</v>
      </c>
      <c r="C8436" s="20"/>
      <c r="D8436" s="25" t="s">
        <v>11626</v>
      </c>
      <c r="E8436" s="25"/>
      <c r="F8436" s="9" t="str">
        <f>HYPERLINK("https://www.ebi.ac.uk/ols/ontologies/uberon/terms?iri=http://purl.obolibrary.org/obo/UBERON_0004673","trigeminal nerve root")</f>
        <v>trigeminal nerve root</v>
      </c>
      <c r="G8436" s="9" t="s">
        <v>14974</v>
      </c>
      <c r="H8436" s="9" t="s">
        <v>18418</v>
      </c>
      <c r="I8436" s="9" t="s">
        <v>11626</v>
      </c>
      <c r="J8436" s="9" t="s">
        <v>11627</v>
      </c>
      <c r="K8436" s="5" t="s">
        <v>15173</v>
      </c>
      <c r="L8436" s="13">
        <v>17739</v>
      </c>
      <c r="M8436" t="str">
        <f>VLOOKUP(L8436,[1]DevMouse!$B$2:$C$2693,2,FALSE)</f>
        <v>5n</v>
      </c>
    </row>
    <row r="8437" spans="2:13" x14ac:dyDescent="0.25">
      <c r="B8437" s="31" t="s">
        <v>25743</v>
      </c>
      <c r="C8437" s="20"/>
      <c r="D8437" s="25" t="s">
        <v>26266</v>
      </c>
      <c r="E8437" s="25"/>
      <c r="F8437" s="9" t="str">
        <f>HYPERLINK("https://www.ebi.ac.uk/ols/ontologies/uberon/terms?iri=http://purl.obolibrary.org/obo/UBERON_0007641","trigeminal nuclear complex")</f>
        <v>trigeminal nuclear complex</v>
      </c>
      <c r="G8437" s="9" t="s">
        <v>14975</v>
      </c>
      <c r="H8437" s="9" t="s">
        <v>24363</v>
      </c>
      <c r="I8437" s="9" t="s">
        <v>14976</v>
      </c>
      <c r="J8437" s="9" t="s">
        <v>14977</v>
      </c>
      <c r="K8437" s="4" t="s">
        <v>15175</v>
      </c>
      <c r="L8437" s="13">
        <v>266441713</v>
      </c>
      <c r="M8437" t="str">
        <f>VLOOKUP(L8437,[1]Human_BrainSpan!$B$2:$C$4000,2,FALSE)</f>
        <v>5N</v>
      </c>
    </row>
    <row r="8438" spans="2:13" x14ac:dyDescent="0.25">
      <c r="B8438" s="31" t="s">
        <v>25743</v>
      </c>
      <c r="C8438" s="20"/>
      <c r="D8438" s="25" t="s">
        <v>26266</v>
      </c>
      <c r="E8438" s="25"/>
      <c r="F8438" s="9" t="str">
        <f>HYPERLINK("https://www.ebi.ac.uk/ols/ontologies/uberon/terms?iri=http://purl.obolibrary.org/obo/UBERON_0007641","trigeminal nuclear complex")</f>
        <v>trigeminal nuclear complex</v>
      </c>
      <c r="G8438" s="9" t="s">
        <v>14975</v>
      </c>
      <c r="H8438" s="9">
        <v>5</v>
      </c>
      <c r="I8438" s="9" t="s">
        <v>14976</v>
      </c>
      <c r="J8438" s="9" t="s">
        <v>14978</v>
      </c>
      <c r="K8438" s="7" t="s">
        <v>15171</v>
      </c>
      <c r="L8438" s="13">
        <v>9203</v>
      </c>
      <c r="M8438">
        <f>VLOOKUP(L8438,[1]HBA!$B$2:$C$4000,2,FALSE)</f>
        <v>5</v>
      </c>
    </row>
    <row r="8439" spans="2:13" x14ac:dyDescent="0.25">
      <c r="B8439" s="31" t="s">
        <v>25743</v>
      </c>
      <c r="C8439" s="20"/>
      <c r="D8439" s="25" t="s">
        <v>7810</v>
      </c>
      <c r="E8439" s="25"/>
      <c r="F8439" s="9" t="str">
        <f>HYPERLINK("https://www.ebi.ac.uk/ols/ontologies/uberon/terms?iri=http://purl.obolibrary.org/obo/UBERON_0004171","trigeminothalamic tract")</f>
        <v>trigeminothalamic tract</v>
      </c>
      <c r="G8439" s="9" t="s">
        <v>14979</v>
      </c>
      <c r="H8439" s="9" t="s">
        <v>24654</v>
      </c>
      <c r="I8439" s="9" t="s">
        <v>7810</v>
      </c>
      <c r="J8439" s="9" t="s">
        <v>7811</v>
      </c>
      <c r="K8439" s="4" t="s">
        <v>15175</v>
      </c>
      <c r="L8439" s="13">
        <v>12797</v>
      </c>
      <c r="M8439" t="str">
        <f>VLOOKUP(L8439,[1]Human_BrainSpan!$B$2:$C$4000,2,FALSE)</f>
        <v>tri5</v>
      </c>
    </row>
    <row r="8440" spans="2:13" x14ac:dyDescent="0.25">
      <c r="B8440" s="31" t="s">
        <v>26303</v>
      </c>
      <c r="C8440" s="25" t="s">
        <v>4874</v>
      </c>
      <c r="D8440" s="25" t="s">
        <v>14981</v>
      </c>
      <c r="E8440" s="25"/>
      <c r="F8440" s="9" t="str">
        <f>HYPERLINK("https://www.ebi.ac.uk/ols/ontologies/uberon/terms?iri=http://purl.obolibrary.org/obo/UBERON_0001644","trochlear nerve")</f>
        <v>trochlear nerve</v>
      </c>
      <c r="G8440" s="9" t="s">
        <v>14980</v>
      </c>
      <c r="H8440" s="9" t="s">
        <v>18415</v>
      </c>
      <c r="I8440" s="9" t="s">
        <v>14981</v>
      </c>
      <c r="J8440" s="9" t="s">
        <v>14982</v>
      </c>
      <c r="K8440" s="7" t="s">
        <v>15171</v>
      </c>
      <c r="L8440" s="13">
        <v>9319</v>
      </c>
      <c r="M8440" t="str">
        <f>VLOOKUP(L8440,[1]HBA!$B$2:$C$4000,2,FALSE)</f>
        <v>4n</v>
      </c>
    </row>
    <row r="8441" spans="2:13" x14ac:dyDescent="0.25">
      <c r="B8441" s="31" t="s">
        <v>26303</v>
      </c>
      <c r="C8441" s="25" t="s">
        <v>4874</v>
      </c>
      <c r="D8441" s="25" t="s">
        <v>14981</v>
      </c>
      <c r="E8441" s="25"/>
      <c r="F8441" s="9" t="str">
        <f>HYPERLINK("https://www.ebi.ac.uk/ols/ontologies/uberon/terms?iri=http://purl.obolibrary.org/obo/UBERON_0001644","trochlear nerve")</f>
        <v>trochlear nerve</v>
      </c>
      <c r="G8441" s="9" t="s">
        <v>14980</v>
      </c>
      <c r="H8441" s="9" t="s">
        <v>20741</v>
      </c>
      <c r="I8441" s="9" t="s">
        <v>14981</v>
      </c>
      <c r="J8441" s="9" t="s">
        <v>14983</v>
      </c>
      <c r="K8441" s="3" t="s">
        <v>15176</v>
      </c>
      <c r="L8441" s="13">
        <v>911</v>
      </c>
      <c r="M8441" t="str">
        <f>VLOOKUP(L8441,[1]Mouse_ARA!$B$2:$C$1328,2,FALSE)</f>
        <v>IVn</v>
      </c>
    </row>
    <row r="8442" spans="2:13" x14ac:dyDescent="0.25">
      <c r="B8442" s="31" t="s">
        <v>25743</v>
      </c>
      <c r="C8442" s="20"/>
      <c r="D8442" s="25" t="s">
        <v>2263</v>
      </c>
      <c r="E8442" s="25"/>
      <c r="F8442" s="9" t="str">
        <f>HYPERLINK("https://www.ebi.ac.uk/ols/ontologies/uberon/terms?iri=http://purl.obolibrary.org/obo/UBERON_0002722","trochlear nucleus")</f>
        <v>trochlear nucleus</v>
      </c>
      <c r="G8442" s="9" t="s">
        <v>14984</v>
      </c>
      <c r="H8442" s="9" t="s">
        <v>23930</v>
      </c>
      <c r="I8442" s="9" t="s">
        <v>2263</v>
      </c>
      <c r="J8442" s="9" t="s">
        <v>14985</v>
      </c>
      <c r="K8442" s="4" t="s">
        <v>15175</v>
      </c>
      <c r="L8442" s="13">
        <v>12206</v>
      </c>
      <c r="M8442" t="str">
        <f>VLOOKUP(L8442,[1]Human_BrainSpan!$B$2:$C$4000,2,FALSE)</f>
        <v>4N</v>
      </c>
    </row>
    <row r="8443" spans="2:13" x14ac:dyDescent="0.25">
      <c r="B8443" s="31" t="s">
        <v>25743</v>
      </c>
      <c r="C8443" s="20"/>
      <c r="D8443" s="25" t="s">
        <v>2263</v>
      </c>
      <c r="E8443" s="25"/>
      <c r="F8443" s="9" t="str">
        <f>HYPERLINK("https://www.ebi.ac.uk/ols/ontologies/uberon/terms?iri=http://purl.obolibrary.org/obo/UBERON_0002722","trochlear nucleus")</f>
        <v>trochlear nucleus</v>
      </c>
      <c r="G8443" s="9" t="s">
        <v>14984</v>
      </c>
      <c r="H8443" s="9" t="s">
        <v>17337</v>
      </c>
      <c r="I8443" s="9" t="s">
        <v>2263</v>
      </c>
      <c r="J8443" s="9" t="s">
        <v>2264</v>
      </c>
      <c r="K8443" s="5" t="s">
        <v>15173</v>
      </c>
      <c r="L8443" s="13">
        <v>16903</v>
      </c>
      <c r="M8443" t="str">
        <f>VLOOKUP(L8443,[1]DevMouse!$B$2:$C$2693,2,FALSE)</f>
        <v>4M</v>
      </c>
    </row>
    <row r="8444" spans="2:13" x14ac:dyDescent="0.25">
      <c r="B8444" s="31" t="s">
        <v>25743</v>
      </c>
      <c r="C8444" s="20"/>
      <c r="D8444" s="25" t="s">
        <v>2263</v>
      </c>
      <c r="E8444" s="25"/>
      <c r="F8444" s="9" t="str">
        <f>HYPERLINK("https://www.ebi.ac.uk/ols/ontologies/uberon/terms?iri=http://purl.obolibrary.org/obo/UBERON_0002722","trochlear nucleus")</f>
        <v>trochlear nucleus</v>
      </c>
      <c r="G8444" s="9" t="s">
        <v>14984</v>
      </c>
      <c r="H8444" s="9">
        <v>4</v>
      </c>
      <c r="I8444" s="9" t="s">
        <v>2263</v>
      </c>
      <c r="J8444" s="9" t="s">
        <v>14986</v>
      </c>
      <c r="K8444" s="7" t="s">
        <v>15171</v>
      </c>
      <c r="L8444" s="13">
        <v>9063</v>
      </c>
      <c r="M8444">
        <f>VLOOKUP(L8444,[1]HBA!$B$2:$C$4000,2,FALSE)</f>
        <v>4</v>
      </c>
    </row>
    <row r="8445" spans="2:13" x14ac:dyDescent="0.25">
      <c r="B8445" s="31" t="s">
        <v>25743</v>
      </c>
      <c r="C8445" s="20"/>
      <c r="D8445" s="25" t="s">
        <v>2263</v>
      </c>
      <c r="E8445" s="25"/>
      <c r="F8445" s="9" t="str">
        <f>HYPERLINK("https://www.ebi.ac.uk/ols/ontologies/uberon/terms?iri=http://purl.obolibrary.org/obo/UBERON_0002722","trochlear nucleus")</f>
        <v>trochlear nucleus</v>
      </c>
      <c r="G8445" s="9" t="s">
        <v>14984</v>
      </c>
      <c r="H8445" s="9" t="s">
        <v>1091</v>
      </c>
      <c r="I8445" s="9" t="s">
        <v>2263</v>
      </c>
      <c r="J8445" s="9" t="s">
        <v>2276</v>
      </c>
      <c r="K8445" s="3" t="s">
        <v>15176</v>
      </c>
      <c r="L8445" s="13">
        <v>115</v>
      </c>
      <c r="M8445" t="str">
        <f>VLOOKUP(L8445,[1]Mouse_ARA!$B$2:$C$1328,2,FALSE)</f>
        <v>IV</v>
      </c>
    </row>
    <row r="8446" spans="2:13" x14ac:dyDescent="0.25">
      <c r="B8446" s="31" t="s">
        <v>25743</v>
      </c>
      <c r="C8446" s="20"/>
      <c r="D8446" s="25" t="s">
        <v>14988</v>
      </c>
      <c r="E8446" s="25"/>
      <c r="F8446" s="9" t="str">
        <f>HYPERLINK("https://www.ebi.ac.uk/ols/ontologies/uberon/terms?iri=http://purl.obolibrary.org/obo/UBERON_0002620","tuber cinereum")</f>
        <v>tuber cinereum</v>
      </c>
      <c r="G8446" s="9" t="s">
        <v>14987</v>
      </c>
      <c r="H8446" s="9" t="s">
        <v>15384</v>
      </c>
      <c r="I8446" s="9" t="s">
        <v>14988</v>
      </c>
      <c r="J8446" s="9" t="s">
        <v>14989</v>
      </c>
      <c r="K8446" s="4" t="s">
        <v>15175</v>
      </c>
      <c r="L8446" s="13">
        <v>10647</v>
      </c>
      <c r="M8446" t="str">
        <f>VLOOKUP(L8446,[1]Human_BrainSpan!$B$2:$C$4000,2,FALSE)</f>
        <v>TC</v>
      </c>
    </row>
    <row r="8447" spans="2:13" x14ac:dyDescent="0.25">
      <c r="B8447" s="31" t="s">
        <v>25743</v>
      </c>
      <c r="C8447" s="20"/>
      <c r="D8447" s="25" t="s">
        <v>14988</v>
      </c>
      <c r="E8447" s="25"/>
      <c r="F8447" s="9" t="str">
        <f>HYPERLINK("https://www.ebi.ac.uk/ols/ontologies/uberon/terms?iri=http://purl.obolibrary.org/obo/UBERON_0002620","tuber cinereum")</f>
        <v>tuber cinereum</v>
      </c>
      <c r="G8447" s="9" t="s">
        <v>14987</v>
      </c>
      <c r="H8447" s="9" t="s">
        <v>15384</v>
      </c>
      <c r="I8447" s="9" t="s">
        <v>14990</v>
      </c>
      <c r="J8447" s="9" t="s">
        <v>14991</v>
      </c>
      <c r="K8447" s="5" t="s">
        <v>15173</v>
      </c>
      <c r="L8447" s="13">
        <v>15665</v>
      </c>
      <c r="M8447" t="str">
        <f>VLOOKUP(L8447,[1]DevMouse!$B$2:$C$2693,2,FALSE)</f>
        <v>TC</v>
      </c>
    </row>
    <row r="8448" spans="2:13" x14ac:dyDescent="0.25">
      <c r="B8448" s="31" t="s">
        <v>25743</v>
      </c>
      <c r="C8448" s="20"/>
      <c r="D8448" s="25" t="s">
        <v>14988</v>
      </c>
      <c r="E8448" s="25"/>
      <c r="F8448" s="9" t="str">
        <f>HYPERLINK("https://www.ebi.ac.uk/ols/ontologies/uberon/terms?iri=http://purl.obolibrary.org/obo/UBERON_0002620","tuber cinereum")</f>
        <v>tuber cinereum</v>
      </c>
      <c r="G8448" s="9" t="s">
        <v>14987</v>
      </c>
      <c r="H8448" s="9" t="s">
        <v>25035</v>
      </c>
      <c r="I8448" s="9" t="s">
        <v>14992</v>
      </c>
      <c r="J8448" s="9" t="s">
        <v>14993</v>
      </c>
      <c r="K8448" s="7" t="s">
        <v>15171</v>
      </c>
      <c r="L8448" s="13">
        <v>4633</v>
      </c>
      <c r="M8448" t="str">
        <f>VLOOKUP(L8448,[1]HBA!$B$2:$C$4000,2,FALSE)</f>
        <v>TubR</v>
      </c>
    </row>
    <row r="8449" spans="2:13" x14ac:dyDescent="0.25">
      <c r="B8449" s="31" t="s">
        <v>25743</v>
      </c>
      <c r="C8449" s="20"/>
      <c r="D8449" s="25" t="s">
        <v>798</v>
      </c>
      <c r="E8449" s="25"/>
      <c r="F8449" s="9" t="str">
        <f>HYPERLINK("https://www.ebi.ac.uk/ols/ontologies/uberon/terms?iri=http://purl.obolibrary.org/obo/UBERON_0001936","tuberomammillary nucleus")</f>
        <v>tuberomammillary nucleus</v>
      </c>
      <c r="G8449" s="9" t="s">
        <v>14994</v>
      </c>
      <c r="H8449" s="9" t="s">
        <v>20101</v>
      </c>
      <c r="I8449" s="9" t="s">
        <v>798</v>
      </c>
      <c r="J8449" s="9" t="s">
        <v>14995</v>
      </c>
      <c r="K8449" s="4" t="s">
        <v>15175</v>
      </c>
      <c r="L8449" s="13">
        <v>10496</v>
      </c>
      <c r="M8449" t="str">
        <f>VLOOKUP(L8449,[1]Human_BrainSpan!$B$2:$C$4000,2,FALSE)</f>
        <v>TM</v>
      </c>
    </row>
    <row r="8450" spans="2:13" x14ac:dyDescent="0.25">
      <c r="B8450" s="31" t="s">
        <v>25743</v>
      </c>
      <c r="C8450" s="20"/>
      <c r="D8450" s="25" t="s">
        <v>798</v>
      </c>
      <c r="E8450" s="25"/>
      <c r="F8450" s="9" t="str">
        <f>HYPERLINK("https://www.ebi.ac.uk/ols/ontologies/uberon/terms?iri=http://purl.obolibrary.org/obo/UBERON_0001936","tuberomammillary nucleus")</f>
        <v>tuberomammillary nucleus</v>
      </c>
      <c r="G8450" s="9" t="s">
        <v>14994</v>
      </c>
      <c r="H8450" s="9" t="s">
        <v>20101</v>
      </c>
      <c r="I8450" s="9" t="s">
        <v>798</v>
      </c>
      <c r="J8450" s="9" t="s">
        <v>14996</v>
      </c>
      <c r="K8450" s="7" t="s">
        <v>15171</v>
      </c>
      <c r="L8450" s="13">
        <v>12912</v>
      </c>
      <c r="M8450" t="str">
        <f>VLOOKUP(L8450,[1]HBA!$B$2:$C$4000,2,FALSE)</f>
        <v>TM</v>
      </c>
    </row>
    <row r="8451" spans="2:13" x14ac:dyDescent="0.25">
      <c r="B8451" s="31" t="s">
        <v>25743</v>
      </c>
      <c r="C8451" s="20"/>
      <c r="D8451" s="25" t="s">
        <v>798</v>
      </c>
      <c r="E8451" s="25"/>
      <c r="F8451" s="9" t="str">
        <f>HYPERLINK("https://www.ebi.ac.uk/ols/ontologies/uberon/terms?iri=http://purl.obolibrary.org/obo/UBERON_0001936","tuberomammillary nucleus")</f>
        <v>tuberomammillary nucleus</v>
      </c>
      <c r="G8451" s="9" t="s">
        <v>14994</v>
      </c>
      <c r="H8451" s="9" t="s">
        <v>20101</v>
      </c>
      <c r="I8451" s="9" t="s">
        <v>798</v>
      </c>
      <c r="J8451" s="9" t="s">
        <v>799</v>
      </c>
      <c r="K8451" s="3" t="s">
        <v>15176</v>
      </c>
      <c r="L8451" s="13">
        <v>557</v>
      </c>
      <c r="M8451" t="str">
        <f>VLOOKUP(L8451,[1]Mouse_ARA!$B$2:$C$1328,2,FALSE)</f>
        <v>TM</v>
      </c>
    </row>
    <row r="8452" spans="2:13" x14ac:dyDescent="0.25">
      <c r="B8452" s="31" t="s">
        <v>25743</v>
      </c>
      <c r="C8452" s="20"/>
      <c r="D8452" s="25" t="s">
        <v>26267</v>
      </c>
      <c r="E8452" s="25"/>
      <c r="F8452" s="9" t="str">
        <f>HYPERLINK("https://www.ebi.ac.uk/ols/ontologies/uberon/terms?iri=http://purl.obolibrary.org/obo/UBERON_0014593","tuberomammillary nucleus dorsal part")</f>
        <v>tuberomammillary nucleus dorsal part</v>
      </c>
      <c r="G8452" s="9" t="s">
        <v>14997</v>
      </c>
      <c r="H8452" s="9" t="s">
        <v>20103</v>
      </c>
      <c r="I8452" s="9" t="s">
        <v>14998</v>
      </c>
      <c r="J8452" s="9" t="s">
        <v>14999</v>
      </c>
      <c r="K8452" s="3" t="s">
        <v>15176</v>
      </c>
      <c r="L8452" s="13">
        <v>1126</v>
      </c>
      <c r="M8452" t="str">
        <f>VLOOKUP(L8452,[1]Mouse_ARA!$B$2:$C$1328,2,FALSE)</f>
        <v>TMd</v>
      </c>
    </row>
    <row r="8453" spans="2:13" x14ac:dyDescent="0.25">
      <c r="B8453" s="31" t="s">
        <v>25743</v>
      </c>
      <c r="C8453" s="20"/>
      <c r="D8453" s="25" t="s">
        <v>26268</v>
      </c>
      <c r="E8453" s="25"/>
      <c r="F8453" s="9" t="str">
        <f>HYPERLINK("https://www.ebi.ac.uk/ols/ontologies/uberon/terms?iri=http://purl.obolibrary.org/obo/UBERON_0014594","tuberomammillary nucleus ventral part")</f>
        <v>tuberomammillary nucleus ventral part</v>
      </c>
      <c r="G8453" s="9" t="s">
        <v>15000</v>
      </c>
      <c r="H8453" s="9" t="s">
        <v>20105</v>
      </c>
      <c r="I8453" s="9" t="s">
        <v>15001</v>
      </c>
      <c r="J8453" s="9" t="s">
        <v>15002</v>
      </c>
      <c r="K8453" s="3" t="s">
        <v>15176</v>
      </c>
      <c r="L8453" s="13">
        <v>1</v>
      </c>
      <c r="M8453" t="str">
        <f>VLOOKUP(L8453,[1]Mouse_ARA!$B$2:$C$1328,2,FALSE)</f>
        <v>TMv</v>
      </c>
    </row>
    <row r="8454" spans="2:13" x14ac:dyDescent="0.25">
      <c r="B8454" s="31" t="s">
        <v>26303</v>
      </c>
      <c r="C8454" s="25" t="s">
        <v>25749</v>
      </c>
      <c r="D8454" s="25" t="s">
        <v>15004</v>
      </c>
      <c r="E8454" s="25"/>
      <c r="F8454" s="9" t="str">
        <f>HYPERLINK("https://www.ebi.ac.uk/ols/ontologies/uberon/terms?iri=http://purl.obolibrary.org/obo/UBERON_0034774","uncal CA1")</f>
        <v>uncal CA1</v>
      </c>
      <c r="G8454" s="9" t="s">
        <v>15003</v>
      </c>
      <c r="H8454" s="9" t="s">
        <v>23025</v>
      </c>
      <c r="I8454" s="9" t="s">
        <v>15004</v>
      </c>
      <c r="J8454" s="9" t="s">
        <v>15005</v>
      </c>
      <c r="K8454" s="4" t="s">
        <v>15175</v>
      </c>
      <c r="L8454" s="13">
        <v>266441267</v>
      </c>
      <c r="M8454" t="str">
        <f>VLOOKUP(L8454,[1]Human_BrainSpan!$B$2:$C$4000,2,FALSE)</f>
        <v>CA1U</v>
      </c>
    </row>
    <row r="8455" spans="2:13" x14ac:dyDescent="0.25">
      <c r="B8455" s="31" t="s">
        <v>26303</v>
      </c>
      <c r="C8455" s="25" t="s">
        <v>25753</v>
      </c>
      <c r="D8455" s="25" t="s">
        <v>15007</v>
      </c>
      <c r="E8455" s="25"/>
      <c r="F8455" s="9" t="str">
        <f>HYPERLINK("https://www.ebi.ac.uk/ols/ontologies/uberon/terms?iri=http://purl.obolibrary.org/obo/UBERON_0034775","uncal CA2")</f>
        <v>uncal CA2</v>
      </c>
      <c r="G8455" s="9" t="s">
        <v>15006</v>
      </c>
      <c r="H8455" s="9" t="s">
        <v>23046</v>
      </c>
      <c r="I8455" s="9" t="s">
        <v>15007</v>
      </c>
      <c r="J8455" s="9" t="s">
        <v>15008</v>
      </c>
      <c r="K8455" s="4" t="s">
        <v>15175</v>
      </c>
      <c r="L8455" s="13">
        <v>266441311</v>
      </c>
      <c r="M8455" t="str">
        <f>VLOOKUP(L8455,[1]Human_BrainSpan!$B$2:$C$4000,2,FALSE)</f>
        <v>CA2U</v>
      </c>
    </row>
    <row r="8456" spans="2:13" x14ac:dyDescent="0.25">
      <c r="B8456" s="31" t="s">
        <v>26303</v>
      </c>
      <c r="C8456" s="25" t="s">
        <v>25757</v>
      </c>
      <c r="D8456" s="25" t="s">
        <v>15010</v>
      </c>
      <c r="E8456" s="25"/>
      <c r="F8456" s="9" t="str">
        <f>HYPERLINK("https://www.ebi.ac.uk/ols/ontologies/uberon/terms?iri=http://purl.obolibrary.org/obo/UBERON_0034776","uncal CA3")</f>
        <v>uncal CA3</v>
      </c>
      <c r="G8456" s="9" t="s">
        <v>15009</v>
      </c>
      <c r="H8456" s="9" t="s">
        <v>23067</v>
      </c>
      <c r="I8456" s="9" t="s">
        <v>15010</v>
      </c>
      <c r="J8456" s="9" t="s">
        <v>15011</v>
      </c>
      <c r="K8456" s="4" t="s">
        <v>15175</v>
      </c>
      <c r="L8456" s="13">
        <v>266441355</v>
      </c>
      <c r="M8456" t="str">
        <f>VLOOKUP(L8456,[1]Human_BrainSpan!$B$2:$C$4000,2,FALSE)</f>
        <v>CA3U</v>
      </c>
    </row>
    <row r="8457" spans="2:13" x14ac:dyDescent="0.25">
      <c r="B8457" s="31" t="s">
        <v>26303</v>
      </c>
      <c r="C8457" s="20"/>
      <c r="D8457" s="25" t="s">
        <v>26185</v>
      </c>
      <c r="E8457" s="25" t="s">
        <v>26300</v>
      </c>
      <c r="F8457" s="9" t="str">
        <f>HYPERLINK("https://www.ebi.ac.uk/ols/ontologies/uberon/terms?iri=http://purl.obolibrary.org/obo/UBERON_0003044","uncinate fasciculus")</f>
        <v>uncinate fasciculus</v>
      </c>
      <c r="G8457" s="9" t="s">
        <v>15012</v>
      </c>
      <c r="H8457" s="9" t="s">
        <v>23666</v>
      </c>
      <c r="I8457" s="9" t="s">
        <v>5399</v>
      </c>
      <c r="J8457" s="9" t="s">
        <v>5400</v>
      </c>
      <c r="K8457" s="4" t="s">
        <v>15175</v>
      </c>
      <c r="L8457" s="13">
        <v>10594</v>
      </c>
      <c r="M8457" t="str">
        <f>VLOOKUP(L8457,[1]Human_BrainSpan!$B$2:$C$4000,2,FALSE)</f>
        <v>unf</v>
      </c>
    </row>
    <row r="8458" spans="2:13" x14ac:dyDescent="0.25">
      <c r="B8458" s="31" t="s">
        <v>25743</v>
      </c>
      <c r="C8458" s="20"/>
      <c r="D8458" s="25" t="s">
        <v>15014</v>
      </c>
      <c r="E8458" s="25"/>
      <c r="F8458" s="9" t="str">
        <f>HYPERLINK("https://www.ebi.ac.uk/ols/ontologies/uberon/terms?iri=http://purl.obolibrary.org/obo/UBERON_0019275","uncinate fasciculus of the forebrain")</f>
        <v>uncinate fasciculus of the forebrain</v>
      </c>
      <c r="G8458" s="9" t="s">
        <v>15013</v>
      </c>
      <c r="H8458" s="9" t="s">
        <v>20804</v>
      </c>
      <c r="I8458" s="9" t="s">
        <v>15014</v>
      </c>
      <c r="J8458" s="9" t="s">
        <v>15015</v>
      </c>
      <c r="K8458" s="7" t="s">
        <v>15171</v>
      </c>
      <c r="L8458" s="13">
        <v>9284</v>
      </c>
      <c r="M8458" t="str">
        <f>VLOOKUP(L8458,[1]HBA!$B$2:$C$4000,2,FALSE)</f>
        <v>uf</v>
      </c>
    </row>
    <row r="8459" spans="2:13" x14ac:dyDescent="0.25">
      <c r="B8459" s="31" t="s">
        <v>25743</v>
      </c>
      <c r="C8459" s="25"/>
      <c r="D8459" s="25" t="s">
        <v>15017</v>
      </c>
      <c r="E8459" s="25"/>
      <c r="F8459" s="9" t="str">
        <f>HYPERLINK("https://www.ebi.ac.uk/ols/ontologies/uberon/terms?iri=http://purl.obolibrary.org/obo/UBERON_0034773","uncus of parahippocampal gyrus")</f>
        <v>uncus of parahippocampal gyrus</v>
      </c>
      <c r="G8459" s="9" t="s">
        <v>15016</v>
      </c>
      <c r="H8459" s="9" t="s">
        <v>23856</v>
      </c>
      <c r="I8459" s="9" t="s">
        <v>15017</v>
      </c>
      <c r="J8459" s="9" t="s">
        <v>15018</v>
      </c>
      <c r="K8459" s="4" t="s">
        <v>15175</v>
      </c>
      <c r="L8459" s="13">
        <v>12165</v>
      </c>
      <c r="M8459" t="str">
        <f>VLOOKUP(L8459,[1]Human_BrainSpan!$B$2:$C$4000,2,FALSE)</f>
        <v>UN</v>
      </c>
    </row>
    <row r="8460" spans="2:13" x14ac:dyDescent="0.25">
      <c r="B8460" s="31" t="s">
        <v>26303</v>
      </c>
      <c r="C8460" s="20"/>
      <c r="D8460" s="25" t="s">
        <v>26269</v>
      </c>
      <c r="E8460" s="25"/>
      <c r="F8460" s="9" t="str">
        <f>HYPERLINK("https://www.ebi.ac.uk/ols/ontologies/uberon/terms?iri=http://purl.obolibrary.org/obo/UBERON_0009841","upper rhombic lip")</f>
        <v>upper rhombic lip</v>
      </c>
      <c r="G8460" s="9" t="s">
        <v>15019</v>
      </c>
      <c r="H8460" s="9" t="s">
        <v>24552</v>
      </c>
      <c r="I8460" s="9" t="s">
        <v>15020</v>
      </c>
      <c r="J8460" s="9" t="s">
        <v>15021</v>
      </c>
      <c r="K8460" s="4" t="s">
        <v>15175</v>
      </c>
      <c r="L8460" s="13">
        <v>10665</v>
      </c>
      <c r="M8460" t="str">
        <f>VLOOKUP(L8460,[1]Human_BrainSpan!$B$2:$C$4000,2,FALSE)</f>
        <v>URL</v>
      </c>
    </row>
    <row r="8461" spans="2:13" x14ac:dyDescent="0.25">
      <c r="B8461" s="31" t="s">
        <v>25743</v>
      </c>
      <c r="C8461" s="20"/>
      <c r="D8461" s="25" t="s">
        <v>15023</v>
      </c>
      <c r="E8461" s="25"/>
      <c r="F8461" s="9" t="str">
        <f>HYPERLINK("https://www.ebi.ac.uk/ols/ontologies/uberon/terms?iri=http://purl.obolibrary.org/obo/UBERON_0001759","vagus nerve")</f>
        <v>vagus nerve</v>
      </c>
      <c r="G8461" s="9" t="s">
        <v>15022</v>
      </c>
      <c r="H8461" s="9" t="s">
        <v>18431</v>
      </c>
      <c r="I8461" s="9" t="s">
        <v>15023</v>
      </c>
      <c r="J8461" s="9" t="s">
        <v>15024</v>
      </c>
      <c r="K8461" s="7" t="s">
        <v>15171</v>
      </c>
      <c r="L8461" s="13">
        <v>9337</v>
      </c>
      <c r="M8461" t="str">
        <f>VLOOKUP(L8461,[1]HBA!$B$2:$C$4000,2,FALSE)</f>
        <v>10n</v>
      </c>
    </row>
    <row r="8462" spans="2:13" x14ac:dyDescent="0.25">
      <c r="B8462" s="31" t="s">
        <v>25743</v>
      </c>
      <c r="C8462" s="20"/>
      <c r="D8462" s="25" t="s">
        <v>15023</v>
      </c>
      <c r="E8462" s="25"/>
      <c r="F8462" s="9" t="str">
        <f>HYPERLINK("https://www.ebi.ac.uk/ols/ontologies/uberon/terms?iri=http://purl.obolibrary.org/obo/UBERON_0001759","vagus nerve")</f>
        <v>vagus nerve</v>
      </c>
      <c r="G8462" s="9" t="s">
        <v>15022</v>
      </c>
      <c r="H8462" s="9" t="s">
        <v>20761</v>
      </c>
      <c r="I8462" s="9" t="s">
        <v>15023</v>
      </c>
      <c r="J8462" s="9" t="s">
        <v>15025</v>
      </c>
      <c r="K8462" s="3" t="s">
        <v>15176</v>
      </c>
      <c r="L8462" s="13">
        <v>917</v>
      </c>
      <c r="M8462" t="str">
        <f>VLOOKUP(L8462,[1]Mouse_ARA!$B$2:$C$1328,2,FALSE)</f>
        <v>Xn</v>
      </c>
    </row>
    <row r="8463" spans="2:13" x14ac:dyDescent="0.25">
      <c r="B8463" s="31" t="s">
        <v>25743</v>
      </c>
      <c r="C8463" s="20"/>
      <c r="D8463" s="25" t="s">
        <v>3328</v>
      </c>
      <c r="E8463" s="25"/>
      <c r="F8463" s="9" t="str">
        <f>HYPERLINK("https://www.ebi.ac.uk/ols/ontologies/uberon/terms?iri=http://purl.obolibrary.org/obo/UBERON_0002637","ventral anterior nucleus of thalamus")</f>
        <v>ventral anterior nucleus of thalamus</v>
      </c>
      <c r="G8463" s="9" t="s">
        <v>15026</v>
      </c>
      <c r="H8463" s="9" t="s">
        <v>16444</v>
      </c>
      <c r="I8463" s="9" t="s">
        <v>3328</v>
      </c>
      <c r="J8463" s="9" t="s">
        <v>3329</v>
      </c>
      <c r="K8463" s="4" t="s">
        <v>15175</v>
      </c>
      <c r="L8463" s="13">
        <v>10417</v>
      </c>
      <c r="M8463" t="str">
        <f>VLOOKUP(L8463,[1]Human_BrainSpan!$B$2:$C$4000,2,FALSE)</f>
        <v>VA</v>
      </c>
    </row>
    <row r="8464" spans="2:13" x14ac:dyDescent="0.25">
      <c r="B8464" s="31" t="s">
        <v>25743</v>
      </c>
      <c r="C8464" s="20"/>
      <c r="D8464" s="25" t="s">
        <v>3328</v>
      </c>
      <c r="E8464" s="25"/>
      <c r="F8464" s="9" t="str">
        <f>HYPERLINK("https://www.ebi.ac.uk/ols/ontologies/uberon/terms?iri=http://purl.obolibrary.org/obo/UBERON_0002637","ventral anterior nucleus of thalamus")</f>
        <v>ventral anterior nucleus of thalamus</v>
      </c>
      <c r="G8464" s="9" t="s">
        <v>15026</v>
      </c>
      <c r="H8464" s="9" t="s">
        <v>16444</v>
      </c>
      <c r="I8464" s="9" t="s">
        <v>684</v>
      </c>
      <c r="J8464" s="9" t="s">
        <v>685</v>
      </c>
      <c r="K8464" s="5" t="s">
        <v>15173</v>
      </c>
      <c r="L8464" s="13">
        <v>16427</v>
      </c>
      <c r="M8464" t="str">
        <f>VLOOKUP(L8464,[1]DevMouse!$B$2:$C$2693,2,FALSE)</f>
        <v>VA</v>
      </c>
    </row>
    <row r="8465" spans="2:13" x14ac:dyDescent="0.25">
      <c r="B8465" s="31" t="s">
        <v>25743</v>
      </c>
      <c r="C8465" s="20"/>
      <c r="D8465" s="25" t="s">
        <v>3328</v>
      </c>
      <c r="E8465" s="25"/>
      <c r="F8465" s="9" t="str">
        <f>HYPERLINK("https://www.ebi.ac.uk/ols/ontologies/uberon/terms?iri=http://purl.obolibrary.org/obo/UBERON_0002637","ventral anterior nucleus of thalamus")</f>
        <v>ventral anterior nucleus of thalamus</v>
      </c>
      <c r="G8465" s="9" t="s">
        <v>15026</v>
      </c>
      <c r="H8465" s="9" t="s">
        <v>16444</v>
      </c>
      <c r="I8465" s="9" t="s">
        <v>3338</v>
      </c>
      <c r="J8465" s="9" t="s">
        <v>3339</v>
      </c>
      <c r="K8465" s="7" t="s">
        <v>15171</v>
      </c>
      <c r="L8465" s="13">
        <v>4418</v>
      </c>
      <c r="M8465" t="str">
        <f>VLOOKUP(L8465,[1]HBA!$B$2:$C$4000,2,FALSE)</f>
        <v>VA</v>
      </c>
    </row>
    <row r="8466" spans="2:13" x14ac:dyDescent="0.25">
      <c r="B8466" s="31" t="s">
        <v>25743</v>
      </c>
      <c r="C8466" s="20"/>
      <c r="D8466" s="25" t="s">
        <v>7369</v>
      </c>
      <c r="E8466" s="25"/>
      <c r="F8466" s="9" t="str">
        <f>HYPERLINK("https://www.ebi.ac.uk/ols/ontologies/uberon/terms?iri=http://purl.obolibrary.org/obo/UBERON_0002828","ventral cochlear nucleus")</f>
        <v>ventral cochlear nucleus</v>
      </c>
      <c r="G8466" s="9" t="s">
        <v>15027</v>
      </c>
      <c r="H8466" s="9" t="s">
        <v>24286</v>
      </c>
      <c r="I8466" s="9" t="s">
        <v>7369</v>
      </c>
      <c r="J8466" s="9" t="s">
        <v>7370</v>
      </c>
      <c r="K8466" s="4" t="s">
        <v>15175</v>
      </c>
      <c r="L8466" s="13">
        <v>12439</v>
      </c>
      <c r="M8466" t="str">
        <f>VLOOKUP(L8466,[1]Human_BrainSpan!$B$2:$C$4000,2,FALSE)</f>
        <v>VCo</v>
      </c>
    </row>
    <row r="8467" spans="2:13" x14ac:dyDescent="0.25">
      <c r="B8467" s="31" t="s">
        <v>25743</v>
      </c>
      <c r="C8467" s="20"/>
      <c r="D8467" s="25" t="s">
        <v>7369</v>
      </c>
      <c r="E8467" s="25"/>
      <c r="F8467" s="9" t="str">
        <f>HYPERLINK("https://www.ebi.ac.uk/ols/ontologies/uberon/terms?iri=http://purl.obolibrary.org/obo/UBERON_0002828","ventral cochlear nucleus")</f>
        <v>ventral cochlear nucleus</v>
      </c>
      <c r="G8467" s="9" t="s">
        <v>15027</v>
      </c>
      <c r="H8467" s="9" t="s">
        <v>24286</v>
      </c>
      <c r="I8467" s="9" t="s">
        <v>13092</v>
      </c>
      <c r="J8467" s="9" t="s">
        <v>13093</v>
      </c>
      <c r="K8467" s="7" t="s">
        <v>15171</v>
      </c>
      <c r="L8467" s="13">
        <v>9531</v>
      </c>
      <c r="M8467" t="str">
        <f>VLOOKUP(L8467,[1]HBA!$B$2:$C$4000,2,FALSE)</f>
        <v>VCo</v>
      </c>
    </row>
    <row r="8468" spans="2:13" x14ac:dyDescent="0.25">
      <c r="B8468" s="31" t="s">
        <v>25743</v>
      </c>
      <c r="C8468" s="20"/>
      <c r="D8468" s="25" t="s">
        <v>7369</v>
      </c>
      <c r="E8468" s="25"/>
      <c r="F8468" s="9" t="str">
        <f>HYPERLINK("https://www.ebi.ac.uk/ols/ontologies/uberon/terms?iri=http://purl.obolibrary.org/obo/UBERON_0002828","ventral cochlear nucleus")</f>
        <v>ventral cochlear nucleus</v>
      </c>
      <c r="G8468" s="9" t="s">
        <v>15027</v>
      </c>
      <c r="H8468" s="9" t="s">
        <v>20405</v>
      </c>
      <c r="I8468" s="9" t="s">
        <v>7369</v>
      </c>
      <c r="J8468" s="9" t="s">
        <v>13356</v>
      </c>
      <c r="K8468" s="3" t="s">
        <v>15176</v>
      </c>
      <c r="L8468" s="13">
        <v>101</v>
      </c>
      <c r="M8468" t="str">
        <f>VLOOKUP(L8468,[1]Mouse_ARA!$B$2:$C$1328,2,FALSE)</f>
        <v>VCO</v>
      </c>
    </row>
    <row r="8469" spans="2:13" x14ac:dyDescent="0.25">
      <c r="B8469" s="31" t="s">
        <v>25743</v>
      </c>
      <c r="C8469" s="25"/>
      <c r="D8469" s="25" t="s">
        <v>7812</v>
      </c>
      <c r="E8469" s="25"/>
      <c r="F8469" s="9" t="str">
        <f>HYPERLINK("https://www.ebi.ac.uk/ols/ontologies/uberon/terms?iri=http://purl.obolibrary.org/obo/UBERON_0002760","ventral corticospinal tract")</f>
        <v>ventral corticospinal tract</v>
      </c>
      <c r="G8469" s="9" t="s">
        <v>15028</v>
      </c>
      <c r="H8469" s="9" t="s">
        <v>24656</v>
      </c>
      <c r="I8469" s="9" t="s">
        <v>7812</v>
      </c>
      <c r="J8469" s="9" t="s">
        <v>7813</v>
      </c>
      <c r="K8469" s="4" t="s">
        <v>15175</v>
      </c>
      <c r="L8469" s="13">
        <v>12798</v>
      </c>
      <c r="M8469" t="str">
        <f>VLOOKUP(L8469,[1]Human_BrainSpan!$B$2:$C$4000,2,FALSE)</f>
        <v>vcsp</v>
      </c>
    </row>
    <row r="8470" spans="2:13" x14ac:dyDescent="0.25">
      <c r="B8470" s="31" t="s">
        <v>25743</v>
      </c>
      <c r="C8470" s="25"/>
      <c r="D8470" s="25" t="s">
        <v>7812</v>
      </c>
      <c r="E8470" s="25"/>
      <c r="F8470" s="9" t="str">
        <f>HYPERLINK("https://www.ebi.ac.uk/ols/ontologies/uberon/terms?iri=http://purl.obolibrary.org/obo/UBERON_0002760","ventral corticospinal tract")</f>
        <v>ventral corticospinal tract</v>
      </c>
      <c r="G8470" s="9" t="s">
        <v>15028</v>
      </c>
      <c r="H8470" s="9" t="s">
        <v>20838</v>
      </c>
      <c r="I8470" s="9" t="s">
        <v>14948</v>
      </c>
      <c r="J8470" s="9" t="s">
        <v>14949</v>
      </c>
      <c r="K8470" s="3" t="s">
        <v>15176</v>
      </c>
      <c r="L8470" s="13">
        <v>1028</v>
      </c>
      <c r="M8470" t="str">
        <f>VLOOKUP(L8470,[1]Mouse_ARA!$B$2:$C$1328,2,FALSE)</f>
        <v>cstu</v>
      </c>
    </row>
    <row r="8471" spans="2:13" x14ac:dyDescent="0.25">
      <c r="B8471" s="31" t="s">
        <v>25743</v>
      </c>
      <c r="C8471" s="20"/>
      <c r="D8471" s="25" t="s">
        <v>26270</v>
      </c>
      <c r="E8471" s="25"/>
      <c r="F8471" s="9" t="str">
        <f>HYPERLINK("https://www.ebi.ac.uk/ols/ontologies/uberon/terms?iri=http://purl.obolibrary.org/obo/UBERON_0002480","ventral lateral geniculate nucleus")</f>
        <v>ventral lateral geniculate nucleus</v>
      </c>
      <c r="G8471" s="9" t="s">
        <v>15029</v>
      </c>
      <c r="H8471" s="9" t="s">
        <v>20348</v>
      </c>
      <c r="I8471" s="9" t="s">
        <v>666</v>
      </c>
      <c r="J8471" s="9" t="s">
        <v>15030</v>
      </c>
      <c r="K8471" s="4" t="s">
        <v>15175</v>
      </c>
      <c r="L8471" s="13">
        <v>13042</v>
      </c>
      <c r="M8471" t="str">
        <f>VLOOKUP(L8471,[1]Human_BrainSpan!$B$2:$C$4000,2,FALSE)</f>
        <v>PG</v>
      </c>
    </row>
    <row r="8472" spans="2:13" x14ac:dyDescent="0.25">
      <c r="B8472" s="31" t="s">
        <v>25743</v>
      </c>
      <c r="C8472" s="20"/>
      <c r="D8472" s="25" t="s">
        <v>26270</v>
      </c>
      <c r="E8472" s="25"/>
      <c r="F8472" s="9" t="str">
        <f>HYPERLINK("https://www.ebi.ac.uk/ols/ontologies/uberon/terms?iri=http://purl.obolibrary.org/obo/UBERON_0002480","ventral lateral geniculate nucleus")</f>
        <v>ventral lateral geniculate nucleus</v>
      </c>
      <c r="G8472" s="9" t="s">
        <v>15029</v>
      </c>
      <c r="H8472" s="9" t="s">
        <v>16281</v>
      </c>
      <c r="I8472" s="9" t="s">
        <v>666</v>
      </c>
      <c r="J8472" s="9" t="s">
        <v>667</v>
      </c>
      <c r="K8472" s="5" t="s">
        <v>15173</v>
      </c>
      <c r="L8472" s="13">
        <v>16341</v>
      </c>
      <c r="M8472" t="str">
        <f>VLOOKUP(L8472,[1]DevMouse!$B$2:$C$2693,2,FALSE)</f>
        <v>PreG</v>
      </c>
    </row>
    <row r="8473" spans="2:13" x14ac:dyDescent="0.25">
      <c r="B8473" s="31" t="s">
        <v>25743</v>
      </c>
      <c r="C8473" s="20"/>
      <c r="D8473" s="25" t="s">
        <v>26270</v>
      </c>
      <c r="E8473" s="25"/>
      <c r="F8473" s="9" t="str">
        <f>HYPERLINK("https://www.ebi.ac.uk/ols/ontologies/uberon/terms?iri=http://purl.obolibrary.org/obo/UBERON_0002480","ventral lateral geniculate nucleus")</f>
        <v>ventral lateral geniculate nucleus</v>
      </c>
      <c r="G8473" s="9" t="s">
        <v>15029</v>
      </c>
      <c r="H8473" s="9" t="s">
        <v>19982</v>
      </c>
      <c r="I8473" s="9" t="s">
        <v>757</v>
      </c>
      <c r="J8473" s="9" t="s">
        <v>758</v>
      </c>
      <c r="K8473" s="3" t="s">
        <v>15176</v>
      </c>
      <c r="L8473" s="13">
        <v>178</v>
      </c>
      <c r="M8473" t="str">
        <f>VLOOKUP(L8473,[1]Mouse_ARA!$B$2:$C$1328,2,FALSE)</f>
        <v>LGv</v>
      </c>
    </row>
    <row r="8474" spans="2:13" x14ac:dyDescent="0.25">
      <c r="B8474" s="31" t="s">
        <v>25743</v>
      </c>
      <c r="C8474" s="20"/>
      <c r="D8474" s="25" t="s">
        <v>15032</v>
      </c>
      <c r="E8474" s="25"/>
      <c r="F8474" s="9" t="str">
        <f>HYPERLINK("https://www.ebi.ac.uk/ols/ontologies/uberon/terms?iri=http://purl.obolibrary.org/obo/UBERON_0001925","ventral lateral nucleus of thalamus")</f>
        <v>ventral lateral nucleus of thalamus</v>
      </c>
      <c r="G8474" s="9" t="s">
        <v>15031</v>
      </c>
      <c r="H8474" s="9" t="s">
        <v>16445</v>
      </c>
      <c r="I8474" s="9" t="s">
        <v>15032</v>
      </c>
      <c r="J8474" s="9" t="s">
        <v>15033</v>
      </c>
      <c r="K8474" s="4" t="s">
        <v>15175</v>
      </c>
      <c r="L8474" s="13">
        <v>10420</v>
      </c>
      <c r="M8474" t="str">
        <f>VLOOKUP(L8474,[1]Human_BrainSpan!$B$2:$C$4000,2,FALSE)</f>
        <v>VL</v>
      </c>
    </row>
    <row r="8475" spans="2:13" x14ac:dyDescent="0.25">
      <c r="B8475" s="31" t="s">
        <v>25743</v>
      </c>
      <c r="C8475" s="20"/>
      <c r="D8475" s="25" t="s">
        <v>15032</v>
      </c>
      <c r="E8475" s="25"/>
      <c r="F8475" s="9" t="str">
        <f>HYPERLINK("https://www.ebi.ac.uk/ols/ontologies/uberon/terms?iri=http://purl.obolibrary.org/obo/UBERON_0001925","ventral lateral nucleus of thalamus")</f>
        <v>ventral lateral nucleus of thalamus</v>
      </c>
      <c r="G8475" s="9" t="s">
        <v>15031</v>
      </c>
      <c r="H8475" s="9" t="s">
        <v>16445</v>
      </c>
      <c r="I8475" s="9" t="s">
        <v>686</v>
      </c>
      <c r="J8475" s="9" t="s">
        <v>687</v>
      </c>
      <c r="K8475" s="5" t="s">
        <v>15173</v>
      </c>
      <c r="L8475" s="13">
        <v>16428</v>
      </c>
      <c r="M8475" t="str">
        <f>VLOOKUP(L8475,[1]DevMouse!$B$2:$C$2693,2,FALSE)</f>
        <v>VL</v>
      </c>
    </row>
    <row r="8476" spans="2:13" x14ac:dyDescent="0.25">
      <c r="B8476" s="31" t="s">
        <v>25743</v>
      </c>
      <c r="C8476" s="20"/>
      <c r="D8476" s="25" t="s">
        <v>15032</v>
      </c>
      <c r="E8476" s="25"/>
      <c r="F8476" s="9" t="str">
        <f>HYPERLINK("https://www.ebi.ac.uk/ols/ontologies/uberon/terms?iri=http://purl.obolibrary.org/obo/UBERON_0001925","ventral lateral nucleus of thalamus")</f>
        <v>ventral lateral nucleus of thalamus</v>
      </c>
      <c r="G8476" s="9" t="s">
        <v>15031</v>
      </c>
      <c r="H8476" s="9" t="s">
        <v>25125</v>
      </c>
      <c r="I8476" s="9" t="s">
        <v>15034</v>
      </c>
      <c r="J8476" s="9" t="s">
        <v>15035</v>
      </c>
      <c r="K8476" s="7" t="s">
        <v>15171</v>
      </c>
      <c r="L8476" s="13">
        <v>12925</v>
      </c>
      <c r="M8476" t="str">
        <f>VLOOKUP(L8476,[1]HBA!$B$2:$C$4000,2,FALSE)</f>
        <v>DTLv</v>
      </c>
    </row>
    <row r="8477" spans="2:13" x14ac:dyDescent="0.25">
      <c r="B8477" s="31" t="s">
        <v>25743</v>
      </c>
      <c r="C8477" s="20"/>
      <c r="D8477" s="25" t="s">
        <v>26271</v>
      </c>
      <c r="E8477" s="25"/>
      <c r="F8477" s="9" t="str">
        <f>HYPERLINK("https://www.ebi.ac.uk/ols/ontologies/uberon/terms?iri=http://purl.obolibrary.org/obo/UBERON_0002776","ventral nuclear group")</f>
        <v>ventral nuclear group</v>
      </c>
      <c r="G8477" s="9" t="s">
        <v>15036</v>
      </c>
      <c r="H8477" s="9" t="s">
        <v>1093</v>
      </c>
      <c r="I8477" s="9" t="s">
        <v>680</v>
      </c>
      <c r="J8477" s="9" t="s">
        <v>681</v>
      </c>
      <c r="K8477" s="5" t="s">
        <v>15173</v>
      </c>
      <c r="L8477" s="13">
        <v>16423</v>
      </c>
      <c r="M8477" t="str">
        <f>VLOOKUP(L8477,[1]DevMouse!$B$2:$C$2693,2,FALSE)</f>
        <v>V</v>
      </c>
    </row>
    <row r="8478" spans="2:13" x14ac:dyDescent="0.25">
      <c r="B8478" s="31" t="s">
        <v>25743</v>
      </c>
      <c r="C8478" s="20"/>
      <c r="D8478" s="25" t="s">
        <v>26271</v>
      </c>
      <c r="E8478" s="25"/>
      <c r="F8478" s="9" t="str">
        <f>HYPERLINK("https://www.ebi.ac.uk/ols/ontologies/uberon/terms?iri=http://purl.obolibrary.org/obo/UBERON_0002776","ventral nuclear group")</f>
        <v>ventral nuclear group</v>
      </c>
      <c r="G8478" s="9" t="s">
        <v>15036</v>
      </c>
      <c r="H8478" s="9" t="s">
        <v>19879</v>
      </c>
      <c r="I8478" s="9" t="s">
        <v>814</v>
      </c>
      <c r="J8478" s="9" t="s">
        <v>815</v>
      </c>
      <c r="K8478" s="3" t="s">
        <v>15176</v>
      </c>
      <c r="L8478" s="13">
        <v>637</v>
      </c>
      <c r="M8478" t="str">
        <f>VLOOKUP(L8478,[1]Mouse_ARA!$B$2:$C$1328,2,FALSE)</f>
        <v>VENT</v>
      </c>
    </row>
    <row r="8479" spans="2:13" x14ac:dyDescent="0.25">
      <c r="B8479" s="31" t="s">
        <v>25743</v>
      </c>
      <c r="C8479" s="20"/>
      <c r="D8479" s="25" t="s">
        <v>15038</v>
      </c>
      <c r="E8479" s="25"/>
      <c r="F8479" s="9" t="str">
        <f>HYPERLINK("https://www.ebi.ac.uk/ols/ontologies/uberon/terms?iri=http://purl.obolibrary.org/obo/UBERON_0002604","ventral nucleus of lateral lemniscus")</f>
        <v>ventral nucleus of lateral lemniscus</v>
      </c>
      <c r="G8479" s="9" t="s">
        <v>15037</v>
      </c>
      <c r="H8479" s="9" t="s">
        <v>24306</v>
      </c>
      <c r="I8479" s="9" t="s">
        <v>15038</v>
      </c>
      <c r="J8479" s="9" t="s">
        <v>15039</v>
      </c>
      <c r="K8479" s="4" t="s">
        <v>15175</v>
      </c>
      <c r="L8479" s="13">
        <v>12457</v>
      </c>
      <c r="M8479" t="str">
        <f>VLOOKUP(L8479,[1]Human_BrainSpan!$B$2:$C$4000,2,FALSE)</f>
        <v>VLL</v>
      </c>
    </row>
    <row r="8480" spans="2:13" x14ac:dyDescent="0.25">
      <c r="B8480" s="31" t="s">
        <v>25743</v>
      </c>
      <c r="C8480" s="20"/>
      <c r="D8480" s="25" t="s">
        <v>15038</v>
      </c>
      <c r="E8480" s="25"/>
      <c r="F8480" s="9" t="str">
        <f>HYPERLINK("https://www.ebi.ac.uk/ols/ontologies/uberon/terms?iri=http://purl.obolibrary.org/obo/UBERON_0002604","ventral nucleus of lateral lemniscus")</f>
        <v>ventral nucleus of lateral lemniscus</v>
      </c>
      <c r="G8480" s="9" t="s">
        <v>15037</v>
      </c>
      <c r="H8480" s="9" t="s">
        <v>24306</v>
      </c>
      <c r="I8480" s="9" t="s">
        <v>15038</v>
      </c>
      <c r="J8480" s="9" t="s">
        <v>15040</v>
      </c>
      <c r="K8480" s="7" t="s">
        <v>15171</v>
      </c>
      <c r="L8480" s="13">
        <v>9200</v>
      </c>
      <c r="M8480" t="str">
        <f>VLOOKUP(L8480,[1]HBA!$B$2:$C$4000,2,FALSE)</f>
        <v>VLL</v>
      </c>
    </row>
    <row r="8481" spans="2:13" x14ac:dyDescent="0.25">
      <c r="B8481" s="31" t="s">
        <v>25743</v>
      </c>
      <c r="C8481" s="20"/>
      <c r="D8481" s="25" t="s">
        <v>15038</v>
      </c>
      <c r="E8481" s="25"/>
      <c r="F8481" s="9" t="str">
        <f>HYPERLINK("https://www.ebi.ac.uk/ols/ontologies/uberon/terms?iri=http://purl.obolibrary.org/obo/UBERON_0002604","ventral nucleus of lateral lemniscus")</f>
        <v>ventral nucleus of lateral lemniscus</v>
      </c>
      <c r="G8481" s="9" t="s">
        <v>15037</v>
      </c>
      <c r="H8481" s="9" t="s">
        <v>20305</v>
      </c>
      <c r="I8481" s="9" t="s">
        <v>15041</v>
      </c>
      <c r="J8481" s="9" t="s">
        <v>15042</v>
      </c>
      <c r="K8481" s="3" t="s">
        <v>15176</v>
      </c>
      <c r="L8481" s="13">
        <v>99</v>
      </c>
      <c r="M8481" t="str">
        <f>VLOOKUP(L8481,[1]Mouse_ARA!$B$2:$C$1328,2,FALSE)</f>
        <v>NLLv</v>
      </c>
    </row>
    <row r="8482" spans="2:13" x14ac:dyDescent="0.25">
      <c r="B8482" s="31" t="s">
        <v>25743</v>
      </c>
      <c r="C8482" s="20"/>
      <c r="D8482" s="25" t="s">
        <v>26272</v>
      </c>
      <c r="E8482" s="25"/>
      <c r="F8482" s="9" t="str">
        <f>HYPERLINK("https://www.ebi.ac.uk/ols/ontologies/uberon/terms?iri=http://purl.obolibrary.org/obo/UBERON_0002985","ventral nucleus of medial geniculate body")</f>
        <v>ventral nucleus of medial geniculate body</v>
      </c>
      <c r="G8482" s="9" t="s">
        <v>15043</v>
      </c>
      <c r="H8482" s="9" t="s">
        <v>23370</v>
      </c>
      <c r="I8482" s="9" t="s">
        <v>15044</v>
      </c>
      <c r="J8482" s="9" t="s">
        <v>15045</v>
      </c>
      <c r="K8482" s="4" t="s">
        <v>15175</v>
      </c>
      <c r="L8482" s="13">
        <v>10438</v>
      </c>
      <c r="M8482" t="str">
        <f>VLOOKUP(L8482,[1]Human_BrainSpan!$B$2:$C$4000,2,FALSE)</f>
        <v>VMG</v>
      </c>
    </row>
    <row r="8483" spans="2:13" x14ac:dyDescent="0.25">
      <c r="B8483" s="31" t="s">
        <v>25743</v>
      </c>
      <c r="C8483" s="20"/>
      <c r="D8483" s="25" t="s">
        <v>26272</v>
      </c>
      <c r="E8483" s="25"/>
      <c r="F8483" s="9" t="str">
        <f>HYPERLINK("https://www.ebi.ac.uk/ols/ontologies/uberon/terms?iri=http://purl.obolibrary.org/obo/UBERON_0002985","ventral nucleus of medial geniculate body")</f>
        <v>ventral nucleus of medial geniculate body</v>
      </c>
      <c r="G8483" s="9" t="s">
        <v>15043</v>
      </c>
      <c r="H8483" s="9" t="s">
        <v>19907</v>
      </c>
      <c r="I8483" s="9" t="s">
        <v>15046</v>
      </c>
      <c r="J8483" s="9" t="s">
        <v>15047</v>
      </c>
      <c r="K8483" s="7" t="s">
        <v>15171</v>
      </c>
      <c r="L8483" s="13">
        <v>4445</v>
      </c>
      <c r="M8483" t="str">
        <f>VLOOKUP(L8483,[1]HBA!$B$2:$C$4000,2,FALSE)</f>
        <v>MGv</v>
      </c>
    </row>
    <row r="8484" spans="2:13" x14ac:dyDescent="0.25">
      <c r="B8484" s="31" t="s">
        <v>25743</v>
      </c>
      <c r="C8484" s="20"/>
      <c r="D8484" s="25" t="s">
        <v>26272</v>
      </c>
      <c r="E8484" s="25"/>
      <c r="F8484" s="9" t="str">
        <f>HYPERLINK("https://www.ebi.ac.uk/ols/ontologies/uberon/terms?iri=http://purl.obolibrary.org/obo/UBERON_0002985","ventral nucleus of medial geniculate body")</f>
        <v>ventral nucleus of medial geniculate body</v>
      </c>
      <c r="G8484" s="9" t="s">
        <v>15043</v>
      </c>
      <c r="H8484" s="9" t="s">
        <v>19907</v>
      </c>
      <c r="I8484" s="9" t="s">
        <v>735</v>
      </c>
      <c r="J8484" s="9" t="s">
        <v>736</v>
      </c>
      <c r="K8484" s="3" t="s">
        <v>15176</v>
      </c>
      <c r="L8484" s="13">
        <v>1079</v>
      </c>
      <c r="M8484" t="str">
        <f>VLOOKUP(L8484,[1]Mouse_ARA!$B$2:$C$1328,2,FALSE)</f>
        <v>MGv</v>
      </c>
    </row>
    <row r="8485" spans="2:13" x14ac:dyDescent="0.25">
      <c r="B8485" s="31" t="s">
        <v>25743</v>
      </c>
      <c r="C8485" s="20"/>
      <c r="D8485" s="25" t="s">
        <v>26273</v>
      </c>
      <c r="E8485" s="25"/>
      <c r="F8485" s="9" t="str">
        <f>HYPERLINK("https://www.ebi.ac.uk/ols/ontologies/uberon/terms?iri=http://purl.obolibrary.org/obo/UBERON_0002044","ventral nucleus of posterior commissure")</f>
        <v>ventral nucleus of posterior commissure</v>
      </c>
      <c r="G8485" s="9" t="s">
        <v>15048</v>
      </c>
      <c r="H8485" s="9" t="s">
        <v>16849</v>
      </c>
      <c r="I8485" s="9" t="s">
        <v>1482</v>
      </c>
      <c r="J8485" s="9" t="s">
        <v>15049</v>
      </c>
      <c r="K8485" s="4" t="s">
        <v>15175</v>
      </c>
      <c r="L8485" s="13">
        <v>12218</v>
      </c>
      <c r="M8485" t="str">
        <f>VLOOKUP(L8485,[1]Human_BrainSpan!$B$2:$C$4000,2,FALSE)</f>
        <v>Dk</v>
      </c>
    </row>
    <row r="8486" spans="2:13" x14ac:dyDescent="0.25">
      <c r="B8486" s="31" t="s">
        <v>25743</v>
      </c>
      <c r="C8486" s="20"/>
      <c r="D8486" s="25" t="s">
        <v>26273</v>
      </c>
      <c r="E8486" s="25"/>
      <c r="F8486" s="9" t="str">
        <f>HYPERLINK("https://www.ebi.ac.uk/ols/ontologies/uberon/terms?iri=http://purl.obolibrary.org/obo/UBERON_0002044","ventral nucleus of posterior commissure")</f>
        <v>ventral nucleus of posterior commissure</v>
      </c>
      <c r="G8486" s="9" t="s">
        <v>15048</v>
      </c>
      <c r="H8486" s="9" t="s">
        <v>16849</v>
      </c>
      <c r="I8486" s="9" t="s">
        <v>1482</v>
      </c>
      <c r="J8486" s="9" t="s">
        <v>1483</v>
      </c>
      <c r="K8486" s="5" t="s">
        <v>15173</v>
      </c>
      <c r="L8486" s="13">
        <v>16629</v>
      </c>
      <c r="M8486" t="str">
        <f>VLOOKUP(L8486,[1]DevMouse!$B$2:$C$2693,2,FALSE)</f>
        <v>Dk</v>
      </c>
    </row>
    <row r="8487" spans="2:13" x14ac:dyDescent="0.25">
      <c r="B8487" s="31" t="s">
        <v>25743</v>
      </c>
      <c r="C8487" s="20"/>
      <c r="D8487" s="25" t="s">
        <v>26273</v>
      </c>
      <c r="E8487" s="25"/>
      <c r="F8487" s="9" t="str">
        <f>HYPERLINK("https://www.ebi.ac.uk/ols/ontologies/uberon/terms?iri=http://purl.obolibrary.org/obo/UBERON_0002044","ventral nucleus of posterior commissure")</f>
        <v>ventral nucleus of posterior commissure</v>
      </c>
      <c r="G8487" s="9" t="s">
        <v>15048</v>
      </c>
      <c r="H8487" s="9" t="s">
        <v>16849</v>
      </c>
      <c r="I8487" s="9" t="s">
        <v>1482</v>
      </c>
      <c r="J8487" s="9" t="s">
        <v>15050</v>
      </c>
      <c r="K8487" s="7" t="s">
        <v>15171</v>
      </c>
      <c r="L8487" s="13">
        <v>9047</v>
      </c>
      <c r="M8487" t="str">
        <f>VLOOKUP(L8487,[1]HBA!$B$2:$C$4000,2,FALSE)</f>
        <v>Dk</v>
      </c>
    </row>
    <row r="8488" spans="2:13" x14ac:dyDescent="0.25">
      <c r="B8488" s="31" t="s">
        <v>25743</v>
      </c>
      <c r="C8488" s="20"/>
      <c r="D8488" s="25" t="s">
        <v>26273</v>
      </c>
      <c r="E8488" s="25"/>
      <c r="F8488" s="9" t="str">
        <f>HYPERLINK("https://www.ebi.ac.uk/ols/ontologies/uberon/terms?iri=http://purl.obolibrary.org/obo/UBERON_0002044","ventral nucleus of posterior commissure")</f>
        <v>ventral nucleus of posterior commissure</v>
      </c>
      <c r="G8488" s="9" t="s">
        <v>15048</v>
      </c>
      <c r="H8488" s="9" t="s">
        <v>20225</v>
      </c>
      <c r="I8488" s="9" t="s">
        <v>1482</v>
      </c>
      <c r="J8488" s="9" t="s">
        <v>1484</v>
      </c>
      <c r="K8488" s="3" t="s">
        <v>15176</v>
      </c>
      <c r="L8488" s="13">
        <v>587</v>
      </c>
      <c r="M8488" t="str">
        <f>VLOOKUP(L8488,[1]Mouse_ARA!$B$2:$C$1328,2,FALSE)</f>
        <v>ND</v>
      </c>
    </row>
    <row r="8489" spans="2:13" x14ac:dyDescent="0.25">
      <c r="B8489" s="31" t="s">
        <v>25743</v>
      </c>
      <c r="C8489" s="20"/>
      <c r="D8489" s="25" t="s">
        <v>15052</v>
      </c>
      <c r="E8489" s="25"/>
      <c r="F8489" s="9" t="str">
        <f>HYPERLINK("https://www.ebi.ac.uk/ols/ontologies/uberon/terms?iri=http://purl.obolibrary.org/obo/UBERON_0002832","ventral nucleus of trapezoid body")</f>
        <v>ventral nucleus of trapezoid body</v>
      </c>
      <c r="G8489" s="9" t="s">
        <v>15051</v>
      </c>
      <c r="H8489" s="9" t="s">
        <v>24310</v>
      </c>
      <c r="I8489" s="9" t="s">
        <v>15052</v>
      </c>
      <c r="J8489" s="9" t="s">
        <v>15053</v>
      </c>
      <c r="K8489" s="4" t="s">
        <v>15175</v>
      </c>
      <c r="L8489" s="13">
        <v>12461</v>
      </c>
      <c r="M8489" t="str">
        <f>VLOOKUP(L8489,[1]Human_BrainSpan!$B$2:$C$4000,2,FALSE)</f>
        <v>TrZv</v>
      </c>
    </row>
    <row r="8490" spans="2:13" x14ac:dyDescent="0.25">
      <c r="B8490" s="31" t="s">
        <v>25743</v>
      </c>
      <c r="C8490" s="20"/>
      <c r="D8490" s="25" t="s">
        <v>15055</v>
      </c>
      <c r="E8490" s="25"/>
      <c r="F8490" s="9" t="str">
        <f>HYPERLINK("https://www.ebi.ac.uk/ols/ontologies/uberon/terms?iri=http://purl.obolibrary.org/obo/UBERON_0002934","ventral oculomotor nucleus")</f>
        <v>ventral oculomotor nucleus</v>
      </c>
      <c r="G8490" s="9" t="s">
        <v>15054</v>
      </c>
      <c r="H8490" s="9" t="s">
        <v>23929</v>
      </c>
      <c r="I8490" s="9" t="s">
        <v>15055</v>
      </c>
      <c r="J8490" s="9" t="s">
        <v>15056</v>
      </c>
      <c r="K8490" s="4" t="s">
        <v>15175</v>
      </c>
      <c r="L8490" s="13">
        <v>12205</v>
      </c>
      <c r="M8490" t="str">
        <f>VLOOKUP(L8490,[1]Human_BrainSpan!$B$2:$C$4000,2,FALSE)</f>
        <v>3Vn</v>
      </c>
    </row>
    <row r="8491" spans="2:13" x14ac:dyDescent="0.25">
      <c r="B8491" s="31" t="s">
        <v>25743</v>
      </c>
      <c r="C8491" s="20"/>
      <c r="D8491" s="25" t="s">
        <v>15055</v>
      </c>
      <c r="E8491" s="25"/>
      <c r="F8491" s="9" t="str">
        <f>HYPERLINK("https://www.ebi.ac.uk/ols/ontologies/uberon/terms?iri=http://purl.obolibrary.org/obo/UBERON_0002934","ventral oculomotor nucleus")</f>
        <v>ventral oculomotor nucleus</v>
      </c>
      <c r="G8491" s="9" t="s">
        <v>15054</v>
      </c>
      <c r="H8491" s="9" t="s">
        <v>20958</v>
      </c>
      <c r="I8491" s="9" t="s">
        <v>15057</v>
      </c>
      <c r="J8491" s="9" t="s">
        <v>15058</v>
      </c>
      <c r="K8491" s="7" t="s">
        <v>15171</v>
      </c>
      <c r="L8491" s="13">
        <v>9038</v>
      </c>
      <c r="M8491" t="str">
        <f>VLOOKUP(L8491,[1]HBA!$B$2:$C$4000,2,FALSE)</f>
        <v>V3</v>
      </c>
    </row>
    <row r="8492" spans="2:13" x14ac:dyDescent="0.25">
      <c r="B8492" s="31" t="s">
        <v>25743</v>
      </c>
      <c r="C8492" s="20"/>
      <c r="D8492" s="25" t="s">
        <v>15060</v>
      </c>
      <c r="E8492" s="25"/>
      <c r="F8492" s="9" t="str">
        <f>HYPERLINK("https://www.ebi.ac.uk/ols/ontologies/uberon/terms?iri=http://purl.obolibrary.org/obo/UBERON_0002778","ventral pallidum")</f>
        <v>ventral pallidum</v>
      </c>
      <c r="G8492" s="9" t="s">
        <v>15059</v>
      </c>
      <c r="H8492" s="9" t="s">
        <v>23271</v>
      </c>
      <c r="I8492" s="9" t="s">
        <v>5334</v>
      </c>
      <c r="J8492" s="9" t="s">
        <v>5335</v>
      </c>
      <c r="K8492" s="4" t="s">
        <v>15175</v>
      </c>
      <c r="L8492" s="13">
        <v>10345</v>
      </c>
      <c r="M8492" t="str">
        <f>VLOOKUP(L8492,[1]Human_BrainSpan!$B$2:$C$4000,2,FALSE)</f>
        <v>VeP</v>
      </c>
    </row>
    <row r="8493" spans="2:13" x14ac:dyDescent="0.25">
      <c r="B8493" s="31" t="s">
        <v>25743</v>
      </c>
      <c r="C8493" s="20"/>
      <c r="D8493" s="25" t="s">
        <v>15060</v>
      </c>
      <c r="E8493" s="25"/>
      <c r="F8493" s="9" t="str">
        <f>HYPERLINK("https://www.ebi.ac.uk/ols/ontologies/uberon/terms?iri=http://purl.obolibrary.org/obo/UBERON_0002778","ventral pallidum")</f>
        <v>ventral pallidum</v>
      </c>
      <c r="G8493" s="9" t="s">
        <v>15059</v>
      </c>
      <c r="H8493" s="9" t="s">
        <v>15632</v>
      </c>
      <c r="I8493" s="9" t="s">
        <v>15060</v>
      </c>
      <c r="J8493" s="9" t="s">
        <v>15061</v>
      </c>
      <c r="K8493" s="5" t="s">
        <v>15173</v>
      </c>
      <c r="L8493" s="13">
        <v>15844</v>
      </c>
      <c r="M8493" t="str">
        <f>VLOOKUP(L8493,[1]DevMouse!$B$2:$C$2693,2,FALSE)</f>
        <v>VPal</v>
      </c>
    </row>
    <row r="8494" spans="2:13" x14ac:dyDescent="0.25">
      <c r="B8494" s="31" t="s">
        <v>25743</v>
      </c>
      <c r="C8494" s="20"/>
      <c r="D8494" s="25" t="s">
        <v>15060</v>
      </c>
      <c r="E8494" s="25"/>
      <c r="F8494" s="9" t="str">
        <f>HYPERLINK("https://www.ebi.ac.uk/ols/ontologies/uberon/terms?iri=http://purl.obolibrary.org/obo/UBERON_0002778","ventral pallidum")</f>
        <v>ventral pallidum</v>
      </c>
      <c r="G8494" s="9" t="s">
        <v>15059</v>
      </c>
      <c r="H8494" s="9" t="s">
        <v>19820</v>
      </c>
      <c r="I8494" s="9" t="s">
        <v>15062</v>
      </c>
      <c r="J8494" s="9" t="s">
        <v>15063</v>
      </c>
      <c r="K8494" s="3" t="s">
        <v>15176</v>
      </c>
      <c r="L8494" s="13">
        <v>835</v>
      </c>
      <c r="M8494" t="str">
        <f>VLOOKUP(L8494,[1]Mouse_ARA!$B$2:$C$1328,2,FALSE)</f>
        <v>PALv</v>
      </c>
    </row>
    <row r="8495" spans="2:13" x14ac:dyDescent="0.25">
      <c r="B8495" s="31" t="s">
        <v>25743</v>
      </c>
      <c r="C8495" s="20"/>
      <c r="D8495" s="25" t="s">
        <v>15065</v>
      </c>
      <c r="E8495" s="25"/>
      <c r="F8495" s="9" t="str">
        <f>HYPERLINK("https://www.ebi.ac.uk/ols/ontologies/uberon/terms?iri=http://purl.obolibrary.org/obo/UBERON_0014913","ventral pallium")</f>
        <v>ventral pallium</v>
      </c>
      <c r="G8495" s="9" t="s">
        <v>15064</v>
      </c>
      <c r="H8495" s="9" t="s">
        <v>15694</v>
      </c>
      <c r="I8495" s="9" t="s">
        <v>15065</v>
      </c>
      <c r="J8495" s="9" t="s">
        <v>15066</v>
      </c>
      <c r="K8495" s="5" t="s">
        <v>15173</v>
      </c>
      <c r="L8495" s="13">
        <v>15904</v>
      </c>
      <c r="M8495" t="str">
        <f>VLOOKUP(L8495,[1]DevMouse!$B$2:$C$2693,2,FALSE)</f>
        <v>VPall</v>
      </c>
    </row>
    <row r="8496" spans="2:13" x14ac:dyDescent="0.25">
      <c r="B8496" s="31" t="s">
        <v>25743</v>
      </c>
      <c r="C8496" s="20"/>
      <c r="D8496" s="25" t="s">
        <v>26274</v>
      </c>
      <c r="E8496" s="25" t="s">
        <v>26300</v>
      </c>
      <c r="F8496" s="9" t="str">
        <f>HYPERLINK("https://www.ebi.ac.uk/ols/ontologies/uberon/terms?iri=http://purl.obolibrary.org/obo/UBERON_0000204","ventral part of telencephalon")</f>
        <v>ventral part of telencephalon</v>
      </c>
      <c r="G8496" s="9" t="s">
        <v>15067</v>
      </c>
      <c r="H8496" s="9" t="s">
        <v>15532</v>
      </c>
      <c r="I8496" s="9" t="s">
        <v>15068</v>
      </c>
      <c r="J8496" s="9" t="s">
        <v>15069</v>
      </c>
      <c r="K8496" s="5" t="s">
        <v>15173</v>
      </c>
      <c r="L8496" s="13">
        <v>15751</v>
      </c>
      <c r="M8496" t="str">
        <f>VLOOKUP(L8496,[1]DevMouse!$B$2:$C$2693,2,FALSE)</f>
        <v>SPall</v>
      </c>
    </row>
    <row r="8497" spans="2:13" x14ac:dyDescent="0.25">
      <c r="B8497" s="31" t="s">
        <v>25743</v>
      </c>
      <c r="C8497" s="20"/>
      <c r="D8497" s="25" t="s">
        <v>15071</v>
      </c>
      <c r="E8497" s="25"/>
      <c r="F8497" s="9" t="str">
        <f>HYPERLINK("https://www.ebi.ac.uk/ols/ontologies/uberon/terms?iri=http://purl.obolibrary.org/obo/UBERON_0002596","ventral posterior nucleus of thalamus")</f>
        <v>ventral posterior nucleus of thalamus</v>
      </c>
      <c r="G8497" s="9" t="s">
        <v>15070</v>
      </c>
      <c r="H8497" s="9" t="s">
        <v>23337</v>
      </c>
      <c r="I8497" s="9" t="s">
        <v>15071</v>
      </c>
      <c r="J8497" s="9" t="s">
        <v>15072</v>
      </c>
      <c r="K8497" s="4" t="s">
        <v>15175</v>
      </c>
      <c r="L8497" s="13">
        <v>10423</v>
      </c>
      <c r="M8497" t="str">
        <f>VLOOKUP(L8497,[1]Human_BrainSpan!$B$2:$C$4000,2,FALSE)</f>
        <v>VPT</v>
      </c>
    </row>
    <row r="8498" spans="2:13" x14ac:dyDescent="0.25">
      <c r="B8498" s="31" t="s">
        <v>26303</v>
      </c>
      <c r="C8498" s="25" t="s">
        <v>26275</v>
      </c>
      <c r="D8498" s="25" t="s">
        <v>15071</v>
      </c>
      <c r="E8498" s="25"/>
      <c r="F8498" s="9" t="str">
        <f>HYPERLINK("https://www.ebi.ac.uk/ols/ontologies/uberon/terms?iri=http://purl.obolibrary.org/obo/UBERON_0002596","ventral posterior nucleus of thalamus")</f>
        <v>ventral posterior nucleus of thalamus</v>
      </c>
      <c r="G8498" s="9" t="s">
        <v>15070</v>
      </c>
      <c r="H8498" s="9" t="s">
        <v>23341</v>
      </c>
      <c r="I8498" s="9" t="s">
        <v>3334</v>
      </c>
      <c r="J8498" s="9" t="s">
        <v>3335</v>
      </c>
      <c r="K8498" s="4" t="s">
        <v>15175</v>
      </c>
      <c r="L8498" s="13">
        <v>10426</v>
      </c>
      <c r="M8498" t="str">
        <f>VLOOKUP(L8498,[1]Human_BrainSpan!$B$2:$C$4000,2,FALSE)</f>
        <v>VPI</v>
      </c>
    </row>
    <row r="8499" spans="2:13" x14ac:dyDescent="0.25">
      <c r="B8499" s="31" t="s">
        <v>26303</v>
      </c>
      <c r="C8499" s="25" t="s">
        <v>26275</v>
      </c>
      <c r="D8499" s="25" t="s">
        <v>15071</v>
      </c>
      <c r="E8499" s="25"/>
      <c r="F8499" s="9" t="str">
        <f>HYPERLINK("https://www.ebi.ac.uk/ols/ontologies/uberon/terms?iri=http://purl.obolibrary.org/obo/UBERON_0002596","ventral posterior nucleus of thalamus")</f>
        <v>ventral posterior nucleus of thalamus</v>
      </c>
      <c r="G8499" s="9" t="s">
        <v>15070</v>
      </c>
      <c r="H8499" s="9" t="s">
        <v>23341</v>
      </c>
      <c r="I8499" s="9" t="s">
        <v>3344</v>
      </c>
      <c r="J8499" s="9" t="s">
        <v>3345</v>
      </c>
      <c r="K8499" s="7" t="s">
        <v>15171</v>
      </c>
      <c r="L8499" s="13">
        <v>4426</v>
      </c>
      <c r="M8499" t="str">
        <f>VLOOKUP(L8499,[1]HBA!$B$2:$C$4000,2,FALSE)</f>
        <v>VPI</v>
      </c>
    </row>
    <row r="8500" spans="2:13" x14ac:dyDescent="0.25">
      <c r="B8500" s="31" t="s">
        <v>25743</v>
      </c>
      <c r="C8500" s="20"/>
      <c r="D8500" s="25" t="s">
        <v>15071</v>
      </c>
      <c r="E8500" s="25"/>
      <c r="F8500" s="9" t="str">
        <f>HYPERLINK("https://www.ebi.ac.uk/ols/ontologies/uberon/terms?iri=http://purl.obolibrary.org/obo/UBERON_0002596","ventral posterior nucleus of thalamus")</f>
        <v>ventral posterior nucleus of thalamus</v>
      </c>
      <c r="G8500" s="9" t="s">
        <v>15070</v>
      </c>
      <c r="H8500" s="9" t="s">
        <v>19884</v>
      </c>
      <c r="I8500" s="9" t="s">
        <v>820</v>
      </c>
      <c r="J8500" s="9" t="s">
        <v>821</v>
      </c>
      <c r="K8500" s="3" t="s">
        <v>15176</v>
      </c>
      <c r="L8500" s="13">
        <v>709</v>
      </c>
      <c r="M8500" t="str">
        <f>VLOOKUP(L8500,[1]Mouse_ARA!$B$2:$C$1328,2,FALSE)</f>
        <v>VP</v>
      </c>
    </row>
    <row r="8501" spans="2:13" x14ac:dyDescent="0.25">
      <c r="B8501" s="31" t="s">
        <v>25743</v>
      </c>
      <c r="C8501" s="20"/>
      <c r="D8501" s="25" t="s">
        <v>26275</v>
      </c>
      <c r="E8501" s="25"/>
      <c r="F8501" s="9" t="str">
        <f>HYPERLINK("https://www.ebi.ac.uk/ols/ontologies/uberon/terms?iri=http://purl.obolibrary.org/obo/UBERON_0002939","ventral posteroinferior nucleus")</f>
        <v>ventral posteroinferior nucleus</v>
      </c>
      <c r="G8501" s="9" t="s">
        <v>15073</v>
      </c>
      <c r="H8501" s="9" t="s">
        <v>23341</v>
      </c>
      <c r="I8501" s="9" t="s">
        <v>3334</v>
      </c>
      <c r="J8501" s="9" t="s">
        <v>3335</v>
      </c>
      <c r="K8501" s="4" t="s">
        <v>15175</v>
      </c>
      <c r="L8501" s="13">
        <v>10426</v>
      </c>
      <c r="M8501" t="str">
        <f>VLOOKUP(L8501,[1]Human_BrainSpan!$B$2:$C$4000,2,FALSE)</f>
        <v>VPI</v>
      </c>
    </row>
    <row r="8502" spans="2:13" x14ac:dyDescent="0.25">
      <c r="B8502" s="31" t="s">
        <v>25743</v>
      </c>
      <c r="C8502" s="20"/>
      <c r="D8502" s="25" t="s">
        <v>26275</v>
      </c>
      <c r="E8502" s="25"/>
      <c r="F8502" s="9" t="str">
        <f>HYPERLINK("https://www.ebi.ac.uk/ols/ontologies/uberon/terms?iri=http://purl.obolibrary.org/obo/UBERON_0002939","ventral posteroinferior nucleus")</f>
        <v>ventral posteroinferior nucleus</v>
      </c>
      <c r="G8502" s="9" t="s">
        <v>15073</v>
      </c>
      <c r="H8502" s="9" t="s">
        <v>23341</v>
      </c>
      <c r="I8502" s="9" t="s">
        <v>3344</v>
      </c>
      <c r="J8502" s="9" t="s">
        <v>3345</v>
      </c>
      <c r="K8502" s="7" t="s">
        <v>15171</v>
      </c>
      <c r="L8502" s="13">
        <v>4426</v>
      </c>
      <c r="M8502" t="str">
        <f>VLOOKUP(L8502,[1]HBA!$B$2:$C$4000,2,FALSE)</f>
        <v>VPI</v>
      </c>
    </row>
    <row r="8503" spans="2:13" x14ac:dyDescent="0.25">
      <c r="B8503" s="31" t="s">
        <v>25743</v>
      </c>
      <c r="C8503" s="20"/>
      <c r="D8503" s="25" t="s">
        <v>690</v>
      </c>
      <c r="E8503" s="25"/>
      <c r="F8503" s="9" t="str">
        <f>HYPERLINK("https://www.ebi.ac.uk/ols/ontologies/uberon/terms?iri=http://purl.obolibrary.org/obo/UBERON_0002942","ventral posterolateral nucleus")</f>
        <v>ventral posterolateral nucleus</v>
      </c>
      <c r="G8503" s="9" t="s">
        <v>15074</v>
      </c>
      <c r="H8503" s="9" t="s">
        <v>16447</v>
      </c>
      <c r="I8503" s="9" t="s">
        <v>3330</v>
      </c>
      <c r="J8503" s="9" t="s">
        <v>3331</v>
      </c>
      <c r="K8503" s="4" t="s">
        <v>15175</v>
      </c>
      <c r="L8503" s="13">
        <v>10424</v>
      </c>
      <c r="M8503" t="str">
        <f>VLOOKUP(L8503,[1]Human_BrainSpan!$B$2:$C$4000,2,FALSE)</f>
        <v>VPL</v>
      </c>
    </row>
    <row r="8504" spans="2:13" x14ac:dyDescent="0.25">
      <c r="B8504" s="31" t="s">
        <v>25743</v>
      </c>
      <c r="C8504" s="20"/>
      <c r="D8504" s="25" t="s">
        <v>690</v>
      </c>
      <c r="E8504" s="25"/>
      <c r="F8504" s="9" t="str">
        <f>HYPERLINK("https://www.ebi.ac.uk/ols/ontologies/uberon/terms?iri=http://purl.obolibrary.org/obo/UBERON_0002942","ventral posterolateral nucleus")</f>
        <v>ventral posterolateral nucleus</v>
      </c>
      <c r="G8504" s="9" t="s">
        <v>15074</v>
      </c>
      <c r="H8504" s="9" t="s">
        <v>16447</v>
      </c>
      <c r="I8504" s="9" t="s">
        <v>690</v>
      </c>
      <c r="J8504" s="9" t="s">
        <v>691</v>
      </c>
      <c r="K8504" s="5" t="s">
        <v>15173</v>
      </c>
      <c r="L8504" s="13">
        <v>16430</v>
      </c>
      <c r="M8504" t="str">
        <f>VLOOKUP(L8504,[1]DevMouse!$B$2:$C$2693,2,FALSE)</f>
        <v>VPL</v>
      </c>
    </row>
    <row r="8505" spans="2:13" x14ac:dyDescent="0.25">
      <c r="B8505" s="31" t="s">
        <v>25743</v>
      </c>
      <c r="C8505" s="20"/>
      <c r="D8505" s="25" t="s">
        <v>690</v>
      </c>
      <c r="E8505" s="25"/>
      <c r="F8505" s="9" t="str">
        <f>HYPERLINK("https://www.ebi.ac.uk/ols/ontologies/uberon/terms?iri=http://purl.obolibrary.org/obo/UBERON_0002942","ventral posterolateral nucleus")</f>
        <v>ventral posterolateral nucleus</v>
      </c>
      <c r="G8505" s="9" t="s">
        <v>15074</v>
      </c>
      <c r="H8505" s="9" t="s">
        <v>16447</v>
      </c>
      <c r="I8505" s="9" t="s">
        <v>3342</v>
      </c>
      <c r="J8505" s="9" t="s">
        <v>3343</v>
      </c>
      <c r="K8505" s="7" t="s">
        <v>15171</v>
      </c>
      <c r="L8505" s="13">
        <v>4425</v>
      </c>
      <c r="M8505" t="str">
        <f>VLOOKUP(L8505,[1]HBA!$B$2:$C$4000,2,FALSE)</f>
        <v>VPL</v>
      </c>
    </row>
    <row r="8506" spans="2:13" x14ac:dyDescent="0.25">
      <c r="B8506" s="31" t="s">
        <v>25743</v>
      </c>
      <c r="C8506" s="20"/>
      <c r="D8506" s="25" t="s">
        <v>690</v>
      </c>
      <c r="E8506" s="25"/>
      <c r="F8506" s="9" t="str">
        <f>HYPERLINK("https://www.ebi.ac.uk/ols/ontologies/uberon/terms?iri=http://purl.obolibrary.org/obo/UBERON_0002942","ventral posterolateral nucleus")</f>
        <v>ventral posterolateral nucleus</v>
      </c>
      <c r="G8506" s="9" t="s">
        <v>15074</v>
      </c>
      <c r="H8506" s="9" t="s">
        <v>16447</v>
      </c>
      <c r="I8506" s="9" t="s">
        <v>822</v>
      </c>
      <c r="J8506" s="9" t="s">
        <v>823</v>
      </c>
      <c r="K8506" s="3" t="s">
        <v>15176</v>
      </c>
      <c r="L8506" s="13">
        <v>718</v>
      </c>
      <c r="M8506" t="str">
        <f>VLOOKUP(L8506,[1]Mouse_ARA!$B$2:$C$1328,2,FALSE)</f>
        <v>VPL</v>
      </c>
    </row>
    <row r="8507" spans="2:13" x14ac:dyDescent="0.25">
      <c r="B8507" s="31" t="s">
        <v>25743</v>
      </c>
      <c r="C8507" s="20"/>
      <c r="D8507" s="25" t="s">
        <v>26276</v>
      </c>
      <c r="E8507" s="25"/>
      <c r="F8507" s="9" t="str">
        <f>HYPERLINK("https://www.ebi.ac.uk/ols/ontologies/uberon/terms?iri=http://purl.obolibrary.org/obo/UBERON_0002945","ventral posteromedial nucleus of thalamus")</f>
        <v>ventral posteromedial nucleus of thalamus</v>
      </c>
      <c r="G8507" s="9" t="s">
        <v>15075</v>
      </c>
      <c r="H8507" s="9" t="s">
        <v>16446</v>
      </c>
      <c r="I8507" s="9" t="s">
        <v>3332</v>
      </c>
      <c r="J8507" s="9" t="s">
        <v>3333</v>
      </c>
      <c r="K8507" s="4" t="s">
        <v>15175</v>
      </c>
      <c r="L8507" s="13">
        <v>10425</v>
      </c>
      <c r="M8507" t="str">
        <f>VLOOKUP(L8507,[1]Human_BrainSpan!$B$2:$C$4000,2,FALSE)</f>
        <v>VPM</v>
      </c>
    </row>
    <row r="8508" spans="2:13" x14ac:dyDescent="0.25">
      <c r="B8508" s="31" t="s">
        <v>25743</v>
      </c>
      <c r="C8508" s="20"/>
      <c r="D8508" s="25" t="s">
        <v>26276</v>
      </c>
      <c r="E8508" s="25"/>
      <c r="F8508" s="9" t="str">
        <f>HYPERLINK("https://www.ebi.ac.uk/ols/ontologies/uberon/terms?iri=http://purl.obolibrary.org/obo/UBERON_0002945","ventral posteromedial nucleus of thalamus")</f>
        <v>ventral posteromedial nucleus of thalamus</v>
      </c>
      <c r="G8508" s="9" t="s">
        <v>15075</v>
      </c>
      <c r="H8508" s="9" t="s">
        <v>16446</v>
      </c>
      <c r="I8508" s="9" t="s">
        <v>688</v>
      </c>
      <c r="J8508" s="9" t="s">
        <v>689</v>
      </c>
      <c r="K8508" s="5" t="s">
        <v>15173</v>
      </c>
      <c r="L8508" s="13">
        <v>16429</v>
      </c>
      <c r="M8508" t="str">
        <f>VLOOKUP(L8508,[1]DevMouse!$B$2:$C$2693,2,FALSE)</f>
        <v>VPM</v>
      </c>
    </row>
    <row r="8509" spans="2:13" x14ac:dyDescent="0.25">
      <c r="B8509" s="31" t="s">
        <v>25743</v>
      </c>
      <c r="C8509" s="20"/>
      <c r="D8509" s="25" t="s">
        <v>26276</v>
      </c>
      <c r="E8509" s="25"/>
      <c r="F8509" s="9" t="str">
        <f>HYPERLINK("https://www.ebi.ac.uk/ols/ontologies/uberon/terms?iri=http://purl.obolibrary.org/obo/UBERON_0002945","ventral posteromedial nucleus of thalamus")</f>
        <v>ventral posteromedial nucleus of thalamus</v>
      </c>
      <c r="G8509" s="9" t="s">
        <v>15075</v>
      </c>
      <c r="H8509" s="9" t="s">
        <v>16446</v>
      </c>
      <c r="I8509" s="9" t="s">
        <v>3340</v>
      </c>
      <c r="J8509" s="9" t="s">
        <v>3341</v>
      </c>
      <c r="K8509" s="7" t="s">
        <v>15171</v>
      </c>
      <c r="L8509" s="13">
        <v>4424</v>
      </c>
      <c r="M8509" t="str">
        <f>VLOOKUP(L8509,[1]HBA!$B$2:$C$4000,2,FALSE)</f>
        <v>VPM</v>
      </c>
    </row>
    <row r="8510" spans="2:13" x14ac:dyDescent="0.25">
      <c r="B8510" s="31" t="s">
        <v>25743</v>
      </c>
      <c r="C8510" s="20"/>
      <c r="D8510" s="25" t="s">
        <v>26276</v>
      </c>
      <c r="E8510" s="25"/>
      <c r="F8510" s="9" t="str">
        <f>HYPERLINK("https://www.ebi.ac.uk/ols/ontologies/uberon/terms?iri=http://purl.obolibrary.org/obo/UBERON_0002945","ventral posteromedial nucleus of thalamus")</f>
        <v>ventral posteromedial nucleus of thalamus</v>
      </c>
      <c r="G8510" s="9" t="s">
        <v>15075</v>
      </c>
      <c r="H8510" s="9" t="s">
        <v>16446</v>
      </c>
      <c r="I8510" s="9" t="s">
        <v>824</v>
      </c>
      <c r="J8510" s="9" t="s">
        <v>825</v>
      </c>
      <c r="K8510" s="3" t="s">
        <v>15176</v>
      </c>
      <c r="L8510" s="13">
        <v>733</v>
      </c>
      <c r="M8510" t="str">
        <f>VLOOKUP(L8510,[1]Mouse_ARA!$B$2:$C$1328,2,FALSE)</f>
        <v>VPM</v>
      </c>
    </row>
    <row r="8511" spans="2:13" x14ac:dyDescent="0.25">
      <c r="B8511" s="31" t="s">
        <v>25743</v>
      </c>
      <c r="C8511" s="20"/>
      <c r="D8511" s="25" t="s">
        <v>727</v>
      </c>
      <c r="E8511" s="25"/>
      <c r="F8511" s="9" t="str">
        <f>HYPERLINK("https://www.ebi.ac.uk/ols/ontologies/uberon/terms?iri=http://purl.obolibrary.org/obo/UBERON_0007768","ventral premammillary nucleus")</f>
        <v>ventral premammillary nucleus</v>
      </c>
      <c r="G8511" s="9" t="s">
        <v>15076</v>
      </c>
      <c r="H8511" s="9" t="s">
        <v>15444</v>
      </c>
      <c r="I8511" s="9" t="s">
        <v>15077</v>
      </c>
      <c r="J8511" s="9" t="s">
        <v>15078</v>
      </c>
      <c r="K8511" s="7" t="s">
        <v>15171</v>
      </c>
      <c r="L8511" s="13">
        <v>4678</v>
      </c>
      <c r="M8511" t="str">
        <f>VLOOKUP(L8511,[1]HBA!$B$2:$C$4000,2,FALSE)</f>
        <v>PMV</v>
      </c>
    </row>
    <row r="8512" spans="2:13" x14ac:dyDescent="0.25">
      <c r="B8512" s="31" t="s">
        <v>25743</v>
      </c>
      <c r="C8512" s="20"/>
      <c r="D8512" s="25" t="s">
        <v>727</v>
      </c>
      <c r="E8512" s="25"/>
      <c r="F8512" s="9" t="str">
        <f>HYPERLINK("https://www.ebi.ac.uk/ols/ontologies/uberon/terms?iri=http://purl.obolibrary.org/obo/UBERON_0007768","ventral premammillary nucleus")</f>
        <v>ventral premammillary nucleus</v>
      </c>
      <c r="G8512" s="9" t="s">
        <v>15076</v>
      </c>
      <c r="H8512" s="9" t="s">
        <v>20117</v>
      </c>
      <c r="I8512" s="9" t="s">
        <v>727</v>
      </c>
      <c r="J8512" s="9" t="s">
        <v>728</v>
      </c>
      <c r="K8512" s="3" t="s">
        <v>15176</v>
      </c>
      <c r="L8512" s="13">
        <v>1004</v>
      </c>
      <c r="M8512" t="str">
        <f>VLOOKUP(L8512,[1]Mouse_ARA!$B$2:$C$1328,2,FALSE)</f>
        <v>PMv</v>
      </c>
    </row>
    <row r="8513" spans="2:13" x14ac:dyDescent="0.25">
      <c r="B8513" s="31" t="s">
        <v>25743</v>
      </c>
      <c r="C8513" s="20"/>
      <c r="D8513" s="25" t="s">
        <v>1198</v>
      </c>
      <c r="E8513" s="25"/>
      <c r="F8513" s="9" t="str">
        <f>HYPERLINK("https://www.ebi.ac.uk/ols/ontologies/uberon/terms?iri=http://purl.obolibrary.org/obo/UBERON_0005403","ventral striatum")</f>
        <v>ventral striatum</v>
      </c>
      <c r="G8513" s="9" t="s">
        <v>15079</v>
      </c>
      <c r="H8513" s="9" t="s">
        <v>15646</v>
      </c>
      <c r="I8513" s="9" t="s">
        <v>1198</v>
      </c>
      <c r="J8513" s="9" t="s">
        <v>1199</v>
      </c>
      <c r="K8513" s="5" t="s">
        <v>15173</v>
      </c>
      <c r="L8513" s="13">
        <v>15858</v>
      </c>
      <c r="M8513" t="str">
        <f>VLOOKUP(L8513,[1]DevMouse!$B$2:$C$2693,2,FALSE)</f>
        <v>VStr</v>
      </c>
    </row>
    <row r="8514" spans="2:13" x14ac:dyDescent="0.25">
      <c r="B8514" s="31" t="s">
        <v>25743</v>
      </c>
      <c r="C8514" s="20"/>
      <c r="D8514" s="25" t="s">
        <v>1198</v>
      </c>
      <c r="E8514" s="25"/>
      <c r="F8514" s="9" t="str">
        <f>HYPERLINK("https://www.ebi.ac.uk/ols/ontologies/uberon/terms?iri=http://purl.obolibrary.org/obo/UBERON_0005403","ventral striatum")</f>
        <v>ventral striatum</v>
      </c>
      <c r="G8514" s="9" t="s">
        <v>15079</v>
      </c>
      <c r="H8514" s="9" t="s">
        <v>19746</v>
      </c>
      <c r="I8514" s="9" t="s">
        <v>1204</v>
      </c>
      <c r="J8514" s="9" t="s">
        <v>1205</v>
      </c>
      <c r="K8514" s="3" t="s">
        <v>15176</v>
      </c>
      <c r="L8514" s="13">
        <v>493</v>
      </c>
      <c r="M8514" t="str">
        <f>VLOOKUP(L8514,[1]Mouse_ARA!$B$2:$C$1328,2,FALSE)</f>
        <v>STRv</v>
      </c>
    </row>
    <row r="8515" spans="2:13" x14ac:dyDescent="0.25">
      <c r="B8515" s="31" t="s">
        <v>25743</v>
      </c>
      <c r="C8515" s="20"/>
      <c r="D8515" s="25" t="s">
        <v>1198</v>
      </c>
      <c r="E8515" s="25"/>
      <c r="F8515" s="9" t="str">
        <f>HYPERLINK("https://www.ebi.ac.uk/ols/ontologies/uberon/terms?iri=http://purl.obolibrary.org/obo/UBERON_0005403","ventral striatum")</f>
        <v>ventral striatum</v>
      </c>
      <c r="G8515" s="9" t="s">
        <v>15079</v>
      </c>
      <c r="H8515" s="9" t="s">
        <v>25735</v>
      </c>
      <c r="I8515" s="9" t="s">
        <v>1198</v>
      </c>
      <c r="J8515" s="9" t="s">
        <v>14474</v>
      </c>
      <c r="K8515" s="6" t="s">
        <v>15174</v>
      </c>
      <c r="L8515" s="13">
        <v>10091</v>
      </c>
      <c r="M8515" t="str">
        <f>VLOOKUP(L8515,[1]NonHumanPrimate!$B$2:$C$4000,2,FALSE)</f>
        <v>vSTR</v>
      </c>
    </row>
    <row r="8516" spans="2:13" x14ac:dyDescent="0.25">
      <c r="B8516" s="31" t="s">
        <v>25743</v>
      </c>
      <c r="C8516" s="20"/>
      <c r="D8516" s="25" t="s">
        <v>26277</v>
      </c>
      <c r="E8516" s="20"/>
      <c r="F8516" s="9" t="str">
        <f>HYPERLINK("https://www.ebi.ac.uk/ols/ontologies/uberon/terms?iri=http://purl.obolibrary.org/obo/UBERON_0002676","ventral supraoptic decussation")</f>
        <v>ventral supraoptic decussation</v>
      </c>
      <c r="G8516" s="9" t="s">
        <v>15080</v>
      </c>
      <c r="H8516" s="9" t="s">
        <v>20918</v>
      </c>
      <c r="I8516" s="9" t="s">
        <v>15081</v>
      </c>
      <c r="J8516" s="9" t="s">
        <v>15082</v>
      </c>
      <c r="K8516" s="3" t="s">
        <v>15176</v>
      </c>
      <c r="L8516" s="13">
        <v>833</v>
      </c>
      <c r="M8516" t="str">
        <f>VLOOKUP(L8516,[1]Mouse_ARA!$B$2:$C$1328,2,FALSE)</f>
        <v>supv</v>
      </c>
    </row>
    <row r="8517" spans="2:13" x14ac:dyDescent="0.25">
      <c r="B8517" s="31" t="s">
        <v>25743</v>
      </c>
      <c r="C8517" s="20"/>
      <c r="D8517" s="25" t="s">
        <v>15084</v>
      </c>
      <c r="E8517" s="25"/>
      <c r="F8517" s="9" t="str">
        <f>HYPERLINK("https://www.ebi.ac.uk/ols/ontologies/uberon/terms?iri=http://purl.obolibrary.org/obo/UBERON_0002691","ventral tegmental area")</f>
        <v>ventral tegmental area</v>
      </c>
      <c r="G8517" s="9" t="s">
        <v>15083</v>
      </c>
      <c r="H8517" s="9" t="s">
        <v>20191</v>
      </c>
      <c r="I8517" s="9" t="s">
        <v>15084</v>
      </c>
      <c r="J8517" s="9" t="s">
        <v>15085</v>
      </c>
      <c r="K8517" s="4" t="s">
        <v>15175</v>
      </c>
      <c r="L8517" s="13">
        <v>12261</v>
      </c>
      <c r="M8517" t="str">
        <f>VLOOKUP(L8517,[1]Human_BrainSpan!$B$2:$C$4000,2,FALSE)</f>
        <v>VTA</v>
      </c>
    </row>
    <row r="8518" spans="2:13" x14ac:dyDescent="0.25">
      <c r="B8518" s="31" t="s">
        <v>25743</v>
      </c>
      <c r="C8518" s="20"/>
      <c r="D8518" s="25" t="s">
        <v>15084</v>
      </c>
      <c r="E8518" s="25"/>
      <c r="F8518" s="9" t="str">
        <f>HYPERLINK("https://www.ebi.ac.uk/ols/ontologies/uberon/terms?iri=http://purl.obolibrary.org/obo/UBERON_0002691","ventral tegmental area")</f>
        <v>ventral tegmental area</v>
      </c>
      <c r="G8518" s="9" t="s">
        <v>15083</v>
      </c>
      <c r="H8518" s="9" t="s">
        <v>20191</v>
      </c>
      <c r="I8518" s="9" t="s">
        <v>15084</v>
      </c>
      <c r="J8518" s="9" t="s">
        <v>15086</v>
      </c>
      <c r="K8518" s="7" t="s">
        <v>15171</v>
      </c>
      <c r="L8518" s="13">
        <v>9066</v>
      </c>
      <c r="M8518" t="str">
        <f>VLOOKUP(L8518,[1]HBA!$B$2:$C$4000,2,FALSE)</f>
        <v>VTA</v>
      </c>
    </row>
    <row r="8519" spans="2:13" x14ac:dyDescent="0.25">
      <c r="B8519" s="31" t="s">
        <v>25743</v>
      </c>
      <c r="C8519" s="20"/>
      <c r="D8519" s="25" t="s">
        <v>15084</v>
      </c>
      <c r="E8519" s="25"/>
      <c r="F8519" s="9" t="str">
        <f>HYPERLINK("https://www.ebi.ac.uk/ols/ontologies/uberon/terms?iri=http://purl.obolibrary.org/obo/UBERON_0002691","ventral tegmental area")</f>
        <v>ventral tegmental area</v>
      </c>
      <c r="G8519" s="9" t="s">
        <v>15083</v>
      </c>
      <c r="H8519" s="9" t="s">
        <v>20191</v>
      </c>
      <c r="I8519" s="9" t="s">
        <v>15084</v>
      </c>
      <c r="J8519" s="9" t="s">
        <v>15087</v>
      </c>
      <c r="K8519" s="3" t="s">
        <v>15176</v>
      </c>
      <c r="L8519" s="13">
        <v>749</v>
      </c>
      <c r="M8519" t="str">
        <f>VLOOKUP(L8519,[1]Mouse_ARA!$B$2:$C$1328,2,FALSE)</f>
        <v>VTA</v>
      </c>
    </row>
    <row r="8520" spans="2:13" x14ac:dyDescent="0.25">
      <c r="B8520" s="31" t="s">
        <v>25743</v>
      </c>
      <c r="C8520" s="20"/>
      <c r="D8520" s="25" t="s">
        <v>11631</v>
      </c>
      <c r="E8520" s="25"/>
      <c r="F8520" s="9" t="str">
        <f>HYPERLINK("https://www.ebi.ac.uk/ols/ontologies/uberon/terms?iri=http://purl.obolibrary.org/obo/UBERON_0002615","ventral tegmental decussation")</f>
        <v>ventral tegmental decussation</v>
      </c>
      <c r="G8520" s="9" t="s">
        <v>15088</v>
      </c>
      <c r="H8520" s="9" t="s">
        <v>24166</v>
      </c>
      <c r="I8520" s="9" t="s">
        <v>11631</v>
      </c>
      <c r="J8520" s="9" t="s">
        <v>15089</v>
      </c>
      <c r="K8520" s="4" t="s">
        <v>15175</v>
      </c>
      <c r="L8520" s="13">
        <v>12366</v>
      </c>
      <c r="M8520" t="str">
        <f>VLOOKUP(L8520,[1]Human_BrainSpan!$B$2:$C$4000,2,FALSE)</f>
        <v>xvtg</v>
      </c>
    </row>
    <row r="8521" spans="2:13" x14ac:dyDescent="0.25">
      <c r="B8521" s="31" t="s">
        <v>25743</v>
      </c>
      <c r="C8521" s="20"/>
      <c r="D8521" s="25" t="s">
        <v>11631</v>
      </c>
      <c r="E8521" s="25"/>
      <c r="F8521" s="9" t="str">
        <f>HYPERLINK("https://www.ebi.ac.uk/ols/ontologies/uberon/terms?iri=http://purl.obolibrary.org/obo/UBERON_0002615","ventral tegmental decussation")</f>
        <v>ventral tegmental decussation</v>
      </c>
      <c r="G8521" s="9" t="s">
        <v>15088</v>
      </c>
      <c r="H8521" s="9" t="s">
        <v>18517</v>
      </c>
      <c r="I8521" s="9" t="s">
        <v>11631</v>
      </c>
      <c r="J8521" s="9" t="s">
        <v>11632</v>
      </c>
      <c r="K8521" s="5" t="s">
        <v>15173</v>
      </c>
      <c r="L8521" s="13">
        <v>17807</v>
      </c>
      <c r="M8521" t="str">
        <f>VLOOKUP(L8521,[1]DevMouse!$B$2:$C$2693,2,FALSE)</f>
        <v>vtg</v>
      </c>
    </row>
    <row r="8522" spans="2:13" x14ac:dyDescent="0.25">
      <c r="B8522" s="31" t="s">
        <v>25743</v>
      </c>
      <c r="C8522" s="20"/>
      <c r="D8522" s="25" t="s">
        <v>11631</v>
      </c>
      <c r="E8522" s="25"/>
      <c r="F8522" s="9" t="str">
        <f>HYPERLINK("https://www.ebi.ac.uk/ols/ontologies/uberon/terms?iri=http://purl.obolibrary.org/obo/UBERON_0002615","ventral tegmental decussation")</f>
        <v>ventral tegmental decussation</v>
      </c>
      <c r="G8522" s="9" t="s">
        <v>15088</v>
      </c>
      <c r="H8522" s="9" t="s">
        <v>20867</v>
      </c>
      <c r="I8522" s="9" t="s">
        <v>11631</v>
      </c>
      <c r="J8522" s="9" t="s">
        <v>13808</v>
      </c>
      <c r="K8522" s="3" t="s">
        <v>15176</v>
      </c>
      <c r="L8522" s="13">
        <v>397</v>
      </c>
      <c r="M8522" t="str">
        <f>VLOOKUP(L8522,[1]Mouse_ARA!$B$2:$C$1328,2,FALSE)</f>
        <v>vtd</v>
      </c>
    </row>
    <row r="8523" spans="2:13" x14ac:dyDescent="0.25">
      <c r="B8523" s="31" t="s">
        <v>25743</v>
      </c>
      <c r="C8523" s="20"/>
      <c r="D8523" s="25" t="s">
        <v>2257</v>
      </c>
      <c r="E8523" s="25"/>
      <c r="F8523" s="9" t="str">
        <f>HYPERLINK("https://www.ebi.ac.uk/ols/ontologies/uberon/terms?iri=http://purl.obolibrary.org/obo/UBERON_0002438","ventral tegmental nucleus")</f>
        <v>ventral tegmental nucleus</v>
      </c>
      <c r="G8523" s="9" t="s">
        <v>15090</v>
      </c>
      <c r="H8523" s="9" t="s">
        <v>17462</v>
      </c>
      <c r="I8523" s="9" t="s">
        <v>2257</v>
      </c>
      <c r="J8523" s="9" t="s">
        <v>2258</v>
      </c>
      <c r="K8523" s="4" t="s">
        <v>15175</v>
      </c>
      <c r="L8523" s="13">
        <v>12266</v>
      </c>
      <c r="M8523" t="str">
        <f>VLOOKUP(L8523,[1]Human_BrainSpan!$B$2:$C$4000,2,FALSE)</f>
        <v>VTg</v>
      </c>
    </row>
    <row r="8524" spans="2:13" x14ac:dyDescent="0.25">
      <c r="B8524" s="31" t="s">
        <v>25743</v>
      </c>
      <c r="C8524" s="20"/>
      <c r="D8524" s="25" t="s">
        <v>2257</v>
      </c>
      <c r="E8524" s="25"/>
      <c r="F8524" s="9" t="str">
        <f>HYPERLINK("https://www.ebi.ac.uk/ols/ontologies/uberon/terms?iri=http://purl.obolibrary.org/obo/UBERON_0002438","ventral tegmental nucleus")</f>
        <v>ventral tegmental nucleus</v>
      </c>
      <c r="G8524" s="9" t="s">
        <v>15090</v>
      </c>
      <c r="H8524" s="9" t="s">
        <v>17462</v>
      </c>
      <c r="I8524" s="9" t="s">
        <v>2257</v>
      </c>
      <c r="J8524" s="9" t="s">
        <v>2268</v>
      </c>
      <c r="K8524" s="5" t="s">
        <v>15173</v>
      </c>
      <c r="L8524" s="13">
        <v>17007</v>
      </c>
      <c r="M8524" t="str">
        <f>VLOOKUP(L8524,[1]DevMouse!$B$2:$C$2693,2,FALSE)</f>
        <v>VTg</v>
      </c>
    </row>
    <row r="8525" spans="2:13" x14ac:dyDescent="0.25">
      <c r="B8525" s="31" t="s">
        <v>25743</v>
      </c>
      <c r="C8525" s="20"/>
      <c r="D8525" s="25" t="s">
        <v>2257</v>
      </c>
      <c r="E8525" s="25"/>
      <c r="F8525" s="9" t="str">
        <f>HYPERLINK("https://www.ebi.ac.uk/ols/ontologies/uberon/terms?iri=http://purl.obolibrary.org/obo/UBERON_0002438","ventral tegmental nucleus")</f>
        <v>ventral tegmental nucleus</v>
      </c>
      <c r="G8525" s="9" t="s">
        <v>15090</v>
      </c>
      <c r="H8525" s="9" t="s">
        <v>17462</v>
      </c>
      <c r="I8525" s="9" t="s">
        <v>2257</v>
      </c>
      <c r="J8525" s="9" t="s">
        <v>2271</v>
      </c>
      <c r="K8525" s="7" t="s">
        <v>15171</v>
      </c>
      <c r="L8525" s="13">
        <v>9069</v>
      </c>
      <c r="M8525" t="str">
        <f>VLOOKUP(L8525,[1]HBA!$B$2:$C$4000,2,FALSE)</f>
        <v>VTg</v>
      </c>
    </row>
    <row r="8526" spans="2:13" x14ac:dyDescent="0.25">
      <c r="B8526" s="31" t="s">
        <v>25743</v>
      </c>
      <c r="C8526" s="20"/>
      <c r="D8526" s="25" t="s">
        <v>2257</v>
      </c>
      <c r="E8526" s="25"/>
      <c r="F8526" s="9" t="str">
        <f>HYPERLINK("https://www.ebi.ac.uk/ols/ontologies/uberon/terms?iri=http://purl.obolibrary.org/obo/UBERON_0002438","ventral tegmental nucleus")</f>
        <v>ventral tegmental nucleus</v>
      </c>
      <c r="G8526" s="9" t="s">
        <v>15090</v>
      </c>
      <c r="H8526" s="9" t="s">
        <v>20256</v>
      </c>
      <c r="I8526" s="9" t="s">
        <v>2257</v>
      </c>
      <c r="J8526" s="9" t="s">
        <v>2280</v>
      </c>
      <c r="K8526" s="3" t="s">
        <v>15176</v>
      </c>
      <c r="L8526" s="13">
        <v>757</v>
      </c>
      <c r="M8526" t="str">
        <f>VLOOKUP(L8526,[1]Mouse_ARA!$B$2:$C$1328,2,FALSE)</f>
        <v>VTN</v>
      </c>
    </row>
    <row r="8527" spans="2:13" x14ac:dyDescent="0.25">
      <c r="B8527" s="31" t="s">
        <v>25743</v>
      </c>
      <c r="C8527" s="20"/>
      <c r="D8527" s="25" t="s">
        <v>26278</v>
      </c>
      <c r="E8527" s="25"/>
      <c r="F8527" s="9" t="str">
        <f>HYPERLINK("https://www.ebi.ac.uk/ols/ontologies/uberon/terms?iri=http://purl.obolibrary.org/obo/UBERON_0022254","ventral thalamic fasciculus")</f>
        <v>ventral thalamic fasciculus</v>
      </c>
      <c r="G8527" s="9" t="s">
        <v>15091</v>
      </c>
      <c r="H8527" s="9" t="s">
        <v>23659</v>
      </c>
      <c r="I8527" s="9" t="s">
        <v>1211</v>
      </c>
      <c r="J8527" s="9" t="s">
        <v>1212</v>
      </c>
      <c r="K8527" s="4" t="s">
        <v>15175</v>
      </c>
      <c r="L8527" s="13">
        <v>10593</v>
      </c>
      <c r="M8527" t="str">
        <f>VLOOKUP(L8527,[1]Human_BrainSpan!$B$2:$C$4000,2,FALSE)</f>
        <v>thf</v>
      </c>
    </row>
    <row r="8528" spans="2:13" x14ac:dyDescent="0.25">
      <c r="B8528" s="31" t="s">
        <v>25743</v>
      </c>
      <c r="C8528" s="20"/>
      <c r="D8528" s="25" t="s">
        <v>26278</v>
      </c>
      <c r="E8528" s="25"/>
      <c r="F8528" s="9" t="str">
        <f>HYPERLINK("https://www.ebi.ac.uk/ols/ontologies/uberon/terms?iri=http://purl.obolibrary.org/obo/UBERON_0022254","ventral thalamic fasciculus")</f>
        <v>ventral thalamic fasciculus</v>
      </c>
      <c r="G8528" s="9" t="s">
        <v>15091</v>
      </c>
      <c r="H8528" s="9" t="s">
        <v>23659</v>
      </c>
      <c r="I8528" s="9" t="s">
        <v>1211</v>
      </c>
      <c r="J8528" s="9" t="s">
        <v>1217</v>
      </c>
      <c r="K8528" s="7" t="s">
        <v>15171</v>
      </c>
      <c r="L8528" s="13">
        <v>265505374</v>
      </c>
      <c r="M8528" t="str">
        <f>VLOOKUP(L8528,[1]HBA!$B$2:$C$4000,2,FALSE)</f>
        <v>thf</v>
      </c>
    </row>
    <row r="8529" spans="2:13" x14ac:dyDescent="0.25">
      <c r="B8529" s="31" t="s">
        <v>25743</v>
      </c>
      <c r="C8529" s="20"/>
      <c r="D8529" s="25" t="s">
        <v>15093</v>
      </c>
      <c r="E8529" s="25"/>
      <c r="F8529" s="9" t="str">
        <f>HYPERLINK("https://www.ebi.ac.uk/ols/ontologies/uberon/terms?iri=http://purl.obolibrary.org/obo/UBERON_0001900","ventral thalamus")</f>
        <v>ventral thalamus</v>
      </c>
      <c r="G8529" s="9" t="s">
        <v>15092</v>
      </c>
      <c r="H8529" s="9" t="s">
        <v>23422</v>
      </c>
      <c r="I8529" s="9" t="s">
        <v>15093</v>
      </c>
      <c r="J8529" s="9" t="s">
        <v>15094</v>
      </c>
      <c r="K8529" s="4" t="s">
        <v>15175</v>
      </c>
      <c r="L8529" s="13">
        <v>10461</v>
      </c>
      <c r="M8529" t="str">
        <f>VLOOKUP(L8529,[1]Human_BrainSpan!$B$2:$C$4000,2,FALSE)</f>
        <v>VTH</v>
      </c>
    </row>
    <row r="8530" spans="2:13" x14ac:dyDescent="0.25">
      <c r="B8530" s="31" t="s">
        <v>26299</v>
      </c>
      <c r="C8530" s="20"/>
      <c r="D8530" s="25" t="s">
        <v>15093</v>
      </c>
      <c r="E8530" s="25"/>
      <c r="F8530" s="9" t="str">
        <f>HYPERLINK("https://www.ebi.ac.uk/ols/ontologies/uberon/terms?iri=http://purl.obolibrary.org/obo/UBERON_0001900","ventral thalamus")</f>
        <v>ventral thalamus</v>
      </c>
      <c r="G8530" s="9" t="s">
        <v>15092</v>
      </c>
      <c r="H8530" s="9" t="s">
        <v>16213</v>
      </c>
      <c r="I8530" s="9" t="s">
        <v>15095</v>
      </c>
      <c r="J8530" s="9" t="s">
        <v>15096</v>
      </c>
      <c r="K8530" s="5" t="s">
        <v>15173</v>
      </c>
      <c r="L8530" s="13">
        <v>16310</v>
      </c>
      <c r="M8530" t="str">
        <f>VLOOKUP(L8530,[1]DevMouse!$B$2:$C$2693,2,FALSE)</f>
        <v>PTh</v>
      </c>
    </row>
    <row r="8531" spans="2:13" x14ac:dyDescent="0.25">
      <c r="B8531" s="31" t="s">
        <v>25743</v>
      </c>
      <c r="C8531" s="20"/>
      <c r="D8531" s="25" t="s">
        <v>15093</v>
      </c>
      <c r="E8531" s="25"/>
      <c r="F8531" s="9" t="str">
        <f>HYPERLINK("https://www.ebi.ac.uk/ols/ontologies/uberon/terms?iri=http://purl.obolibrary.org/obo/UBERON_0001900","ventral thalamus")</f>
        <v>ventral thalamus</v>
      </c>
      <c r="G8531" s="9" t="s">
        <v>15092</v>
      </c>
      <c r="H8531" s="9" t="s">
        <v>25190</v>
      </c>
      <c r="I8531" s="9" t="s">
        <v>15093</v>
      </c>
      <c r="J8531" s="9" t="s">
        <v>15097</v>
      </c>
      <c r="K8531" s="7" t="s">
        <v>15171</v>
      </c>
      <c r="L8531" s="13">
        <v>4504</v>
      </c>
      <c r="M8531" t="str">
        <f>VLOOKUP(L8531,[1]HBA!$B$2:$C$4000,2,FALSE)</f>
        <v>VT</v>
      </c>
    </row>
    <row r="8532" spans="2:13" x14ac:dyDescent="0.25">
      <c r="B8532" s="31" t="s">
        <v>25743</v>
      </c>
      <c r="C8532" s="20"/>
      <c r="D8532" s="25" t="s">
        <v>26279</v>
      </c>
      <c r="E8532" s="25"/>
      <c r="F8532" s="9" t="str">
        <f>HYPERLINK("https://www.ebi.ac.uk/ols/ontologies/uberon/terms?iri=http://purl.obolibrary.org/obo/UBERON_0002549","ventral trigeminal tract")</f>
        <v>ventral trigeminal tract</v>
      </c>
      <c r="G8532" s="9" t="s">
        <v>15098</v>
      </c>
      <c r="H8532" s="9" t="s">
        <v>24660</v>
      </c>
      <c r="I8532" s="9" t="s">
        <v>15099</v>
      </c>
      <c r="J8532" s="9" t="s">
        <v>15100</v>
      </c>
      <c r="K8532" s="4" t="s">
        <v>15175</v>
      </c>
      <c r="L8532" s="13">
        <v>12803</v>
      </c>
      <c r="M8532" t="str">
        <f>VLOOKUP(L8532,[1]Human_BrainSpan!$B$2:$C$4000,2,FALSE)</f>
        <v>vtth</v>
      </c>
    </row>
    <row r="8533" spans="2:13" x14ac:dyDescent="0.25">
      <c r="B8533" s="31" t="s">
        <v>26303</v>
      </c>
      <c r="C8533" s="25" t="s">
        <v>26020</v>
      </c>
      <c r="D8533" s="25" t="s">
        <v>26280</v>
      </c>
      <c r="E8533" s="25"/>
      <c r="F8533" s="9" t="str">
        <f>HYPERLINK("https://www.ebi.ac.uk/ols/ontologies/uberon/terms?iri=http://purl.obolibrary.org/obo/UBERON_0018263","ventral zone of medial entorhinal cortex")</f>
        <v>ventral zone of medial entorhinal cortex</v>
      </c>
      <c r="G8533" s="9" t="s">
        <v>15101</v>
      </c>
      <c r="H8533" s="9" t="s">
        <v>19635</v>
      </c>
      <c r="I8533" s="9" t="s">
        <v>15102</v>
      </c>
      <c r="J8533" s="9" t="s">
        <v>15103</v>
      </c>
      <c r="K8533" s="3" t="s">
        <v>15176</v>
      </c>
      <c r="L8533" s="13">
        <v>934</v>
      </c>
      <c r="M8533" t="str">
        <f>VLOOKUP(L8533,[1]Mouse_ARA!$B$2:$C$1328,2,FALSE)</f>
        <v>ENTmv</v>
      </c>
    </row>
    <row r="8534" spans="2:13" x14ac:dyDescent="0.25">
      <c r="B8534" s="31" t="s">
        <v>25743</v>
      </c>
      <c r="C8534" s="20"/>
      <c r="D8534" s="25" t="s">
        <v>26281</v>
      </c>
      <c r="E8534" s="25"/>
      <c r="F8534" s="9" t="str">
        <f>HYPERLINK("https://www.ebi.ac.uk/ols/ontologies/uberon/terms?iri=http://purl.obolibrary.org/obo/UBERON_0002192","ventricular system choroidal fissure")</f>
        <v>ventricular system choroidal fissure</v>
      </c>
      <c r="G8534" s="9" t="s">
        <v>15104</v>
      </c>
      <c r="H8534" s="9" t="s">
        <v>23886</v>
      </c>
      <c r="I8534" s="9" t="s">
        <v>13485</v>
      </c>
      <c r="J8534" s="9" t="s">
        <v>15105</v>
      </c>
      <c r="K8534" s="4" t="s">
        <v>15175</v>
      </c>
      <c r="L8534" s="13">
        <v>12094</v>
      </c>
      <c r="M8534" t="str">
        <f>VLOOKUP(L8534,[1]Human_BrainSpan!$B$2:$C$4000,2,FALSE)</f>
        <v>ChoF</v>
      </c>
    </row>
    <row r="8535" spans="2:13" x14ac:dyDescent="0.25">
      <c r="B8535" s="31" t="s">
        <v>25743</v>
      </c>
      <c r="C8535" s="20"/>
      <c r="D8535" s="25" t="s">
        <v>26281</v>
      </c>
      <c r="E8535" s="25"/>
      <c r="F8535" s="9" t="str">
        <f>HYPERLINK("https://www.ebi.ac.uk/ols/ontologies/uberon/terms?iri=http://purl.obolibrary.org/obo/UBERON_0002192","ventricular system choroidal fissure")</f>
        <v>ventricular system choroidal fissure</v>
      </c>
      <c r="G8535" s="9" t="s">
        <v>15104</v>
      </c>
      <c r="H8535" s="9" t="s">
        <v>20956</v>
      </c>
      <c r="I8535" s="9" t="s">
        <v>13485</v>
      </c>
      <c r="J8535" s="9" t="s">
        <v>13486</v>
      </c>
      <c r="K8535" s="3" t="s">
        <v>15176</v>
      </c>
      <c r="L8535" s="13">
        <v>116</v>
      </c>
      <c r="M8535" t="str">
        <f>VLOOKUP(L8535,[1]Mouse_ARA!$B$2:$C$1328,2,FALSE)</f>
        <v>chfl</v>
      </c>
    </row>
    <row r="8536" spans="2:13" x14ac:dyDescent="0.25">
      <c r="B8536" s="31" t="s">
        <v>25743</v>
      </c>
      <c r="C8536" s="20"/>
      <c r="D8536" s="25" t="s">
        <v>26282</v>
      </c>
      <c r="E8536" s="25"/>
      <c r="F8536" s="9" t="str">
        <f>HYPERLINK("https://www.ebi.ac.uk/ols/ontologies/uberon/terms?iri=http://purl.obolibrary.org/obo/UBERON_0005281","ventricular system of central nervous system")</f>
        <v>ventricular system of central nervous system</v>
      </c>
      <c r="G8536" s="9" t="s">
        <v>15106</v>
      </c>
      <c r="H8536" s="9" t="s">
        <v>20952</v>
      </c>
      <c r="I8536" s="9" t="s">
        <v>15107</v>
      </c>
      <c r="J8536" s="9" t="s">
        <v>15108</v>
      </c>
      <c r="K8536" s="3" t="s">
        <v>15176</v>
      </c>
      <c r="L8536" s="13">
        <v>73</v>
      </c>
      <c r="M8536" t="str">
        <f>VLOOKUP(L8536,[1]Mouse_ARA!$B$2:$C$1328,2,FALSE)</f>
        <v>VS</v>
      </c>
    </row>
    <row r="8537" spans="2:13" x14ac:dyDescent="0.25">
      <c r="B8537" s="31" t="s">
        <v>25743</v>
      </c>
      <c r="C8537" s="20"/>
      <c r="D8537" s="25" t="s">
        <v>14694</v>
      </c>
      <c r="E8537" s="25"/>
      <c r="F8537" s="9" t="str">
        <f>HYPERLINK("https://www.ebi.ac.uk/ols/ontologies/uberon/terms?iri=http://purl.obolibrary.org/obo/UBERON_0003053","ventricular zone")</f>
        <v>ventricular zone</v>
      </c>
      <c r="G8537" s="9" t="s">
        <v>15109</v>
      </c>
      <c r="H8537" s="9" t="s">
        <v>21867</v>
      </c>
      <c r="I8537" s="9" t="s">
        <v>14694</v>
      </c>
      <c r="J8537" s="9" t="s">
        <v>15110</v>
      </c>
      <c r="K8537" s="4" t="s">
        <v>15175</v>
      </c>
      <c r="L8537" s="13">
        <v>10542</v>
      </c>
      <c r="M8537" t="str">
        <f>VLOOKUP(L8537,[1]Human_BrainSpan!$B$2:$C$4000,2,FALSE)</f>
        <v>VZ</v>
      </c>
    </row>
    <row r="8538" spans="2:13" x14ac:dyDescent="0.25">
      <c r="B8538" s="31" t="s">
        <v>25743</v>
      </c>
      <c r="C8538" s="20"/>
      <c r="D8538" s="25" t="s">
        <v>14694</v>
      </c>
      <c r="E8538" s="25"/>
      <c r="F8538" s="9" t="str">
        <f>HYPERLINK("https://www.ebi.ac.uk/ols/ontologies/uberon/terms?iri=http://purl.obolibrary.org/obo/UBERON_0003053","ventricular zone")</f>
        <v>ventricular zone</v>
      </c>
      <c r="G8538" s="9" t="s">
        <v>15109</v>
      </c>
      <c r="H8538" s="9" t="s">
        <v>21867</v>
      </c>
      <c r="I8538" s="9" t="s">
        <v>14694</v>
      </c>
      <c r="J8538" s="9" t="s">
        <v>14695</v>
      </c>
      <c r="K8538" s="6" t="s">
        <v>15174</v>
      </c>
      <c r="L8538" s="13">
        <v>294022030</v>
      </c>
      <c r="M8538" t="str">
        <f>VLOOKUP(L8538,[1]NonHumanPrimate!$B$2:$C$4000,2,FALSE)</f>
        <v>VZ</v>
      </c>
    </row>
    <row r="8539" spans="2:13" x14ac:dyDescent="0.25">
      <c r="B8539" s="31" t="s">
        <v>25743</v>
      </c>
      <c r="C8539" s="20"/>
      <c r="D8539" s="25" t="s">
        <v>26283</v>
      </c>
      <c r="E8539" s="25"/>
      <c r="F8539" s="9" t="str">
        <f>HYPERLINK("https://www.ebi.ac.uk/ols/ontologies/uberon/terms?iri=http://purl.obolibrary.org/obo/UBERON_0019312","ventrolateral nucleus of solitary tract")</f>
        <v>ventrolateral nucleus of solitary tract</v>
      </c>
      <c r="G8539" s="9" t="s">
        <v>15111</v>
      </c>
      <c r="H8539" s="9" t="s">
        <v>24402</v>
      </c>
      <c r="I8539" s="9" t="s">
        <v>15112</v>
      </c>
      <c r="J8539" s="9" t="s">
        <v>15113</v>
      </c>
      <c r="K8539" s="4" t="s">
        <v>15175</v>
      </c>
      <c r="L8539" s="13">
        <v>12569</v>
      </c>
      <c r="M8539" t="str">
        <f>VLOOKUP(L8539,[1]Human_BrainSpan!$B$2:$C$4000,2,FALSE)</f>
        <v>SolVL</v>
      </c>
    </row>
    <row r="8540" spans="2:13" x14ac:dyDescent="0.25">
      <c r="B8540" s="31" t="s">
        <v>26303</v>
      </c>
      <c r="C8540" s="20"/>
      <c r="D8540" s="25" t="s">
        <v>26185</v>
      </c>
      <c r="E8540" s="25" t="s">
        <v>26300</v>
      </c>
      <c r="F8540" s="9" t="str">
        <f>HYPERLINK("https://www.ebi.ac.uk/ols/ontologies/uberon/terms?iri=http://purl.obolibrary.org/obo/UBERON_0019312","ventrolateral nucleus of solitary tract")</f>
        <v>ventrolateral nucleus of solitary tract</v>
      </c>
      <c r="G8540" s="9" t="s">
        <v>15111</v>
      </c>
      <c r="H8540" s="9" t="s">
        <v>24402</v>
      </c>
      <c r="I8540" s="9" t="s">
        <v>15114</v>
      </c>
      <c r="J8540" s="9" t="s">
        <v>15115</v>
      </c>
      <c r="K8540" s="7" t="s">
        <v>15171</v>
      </c>
      <c r="L8540" s="13">
        <v>9664</v>
      </c>
      <c r="M8540" t="str">
        <f>VLOOKUP(L8540,[1]HBA!$B$2:$C$4000,2,FALSE)</f>
        <v>SolVL</v>
      </c>
    </row>
    <row r="8541" spans="2:13" x14ac:dyDescent="0.25">
      <c r="B8541" s="31" t="s">
        <v>25743</v>
      </c>
      <c r="C8541" s="20"/>
      <c r="D8541" s="25" t="s">
        <v>26284</v>
      </c>
      <c r="E8541" s="25"/>
      <c r="F8541" s="9" t="str">
        <f>HYPERLINK("https://www.ebi.ac.uk/ols/ontologies/uberon/terms?iri=http://purl.obolibrary.org/obo/UBERON_0008335","ventrolateral sulcus of medulla oblongata")</f>
        <v>ventrolateral sulcus of medulla oblongata</v>
      </c>
      <c r="G8541" s="9" t="s">
        <v>15116</v>
      </c>
      <c r="H8541" s="9" t="s">
        <v>24723</v>
      </c>
      <c r="I8541" s="9" t="s">
        <v>7892</v>
      </c>
      <c r="J8541" s="9" t="s">
        <v>7893</v>
      </c>
      <c r="K8541" s="4" t="s">
        <v>15175</v>
      </c>
      <c r="L8541" s="13">
        <v>12873</v>
      </c>
      <c r="M8541" t="str">
        <f>VLOOKUP(L8541,[1]Human_BrainSpan!$B$2:$C$4000,2,FALSE)</f>
        <v>alms</v>
      </c>
    </row>
    <row r="8542" spans="2:13" x14ac:dyDescent="0.25">
      <c r="B8542" s="31" t="s">
        <v>25743</v>
      </c>
      <c r="C8542" s="20"/>
      <c r="D8542" s="25" t="s">
        <v>26285</v>
      </c>
      <c r="E8542" s="25"/>
      <c r="F8542" s="9" t="str">
        <f>HYPERLINK("https://www.ebi.ac.uk/ols/ontologies/uberon/terms?iri=http://purl.obolibrary.org/obo/UBERON_0001935","ventromedial nucleus of hypothalamus")</f>
        <v>ventromedial nucleus of hypothalamus</v>
      </c>
      <c r="G8542" s="9" t="s">
        <v>15117</v>
      </c>
      <c r="H8542" s="9" t="s">
        <v>15403</v>
      </c>
      <c r="I8542" s="9" t="s">
        <v>656</v>
      </c>
      <c r="J8542" s="9" t="s">
        <v>15118</v>
      </c>
      <c r="K8542" s="4" t="s">
        <v>15175</v>
      </c>
      <c r="L8542" s="13">
        <v>10488</v>
      </c>
      <c r="M8542" t="str">
        <f>VLOOKUP(L8542,[1]Human_BrainSpan!$B$2:$C$4000,2,FALSE)</f>
        <v>VMH</v>
      </c>
    </row>
    <row r="8543" spans="2:13" x14ac:dyDescent="0.25">
      <c r="B8543" s="31" t="s">
        <v>25743</v>
      </c>
      <c r="C8543" s="20"/>
      <c r="D8543" s="25" t="s">
        <v>26285</v>
      </c>
      <c r="E8543" s="25"/>
      <c r="F8543" s="9" t="str">
        <f>HYPERLINK("https://www.ebi.ac.uk/ols/ontologies/uberon/terms?iri=http://purl.obolibrary.org/obo/UBERON_0001935","ventromedial nucleus of hypothalamus")</f>
        <v>ventromedial nucleus of hypothalamus</v>
      </c>
      <c r="G8543" s="9" t="s">
        <v>15117</v>
      </c>
      <c r="H8543" s="9" t="s">
        <v>15403</v>
      </c>
      <c r="I8543" s="9" t="s">
        <v>656</v>
      </c>
      <c r="J8543" s="9" t="s">
        <v>657</v>
      </c>
      <c r="K8543" s="5" t="s">
        <v>15173</v>
      </c>
      <c r="L8543" s="13">
        <v>15675</v>
      </c>
      <c r="M8543" t="str">
        <f>VLOOKUP(L8543,[1]DevMouse!$B$2:$C$2693,2,FALSE)</f>
        <v>VMH</v>
      </c>
    </row>
    <row r="8544" spans="2:13" x14ac:dyDescent="0.25">
      <c r="B8544" s="31" t="s">
        <v>25743</v>
      </c>
      <c r="C8544" s="20"/>
      <c r="D8544" s="25" t="s">
        <v>26285</v>
      </c>
      <c r="E8544" s="25"/>
      <c r="F8544" s="9" t="str">
        <f>HYPERLINK("https://www.ebi.ac.uk/ols/ontologies/uberon/terms?iri=http://purl.obolibrary.org/obo/UBERON_0001935","ventromedial nucleus of hypothalamus")</f>
        <v>ventromedial nucleus of hypothalamus</v>
      </c>
      <c r="G8544" s="9" t="s">
        <v>15117</v>
      </c>
      <c r="H8544" s="9" t="s">
        <v>15403</v>
      </c>
      <c r="I8544" s="9" t="s">
        <v>656</v>
      </c>
      <c r="J8544" s="9" t="s">
        <v>15119</v>
      </c>
      <c r="K8544" s="7" t="s">
        <v>15171</v>
      </c>
      <c r="L8544" s="13">
        <v>12919</v>
      </c>
      <c r="M8544" t="str">
        <f>VLOOKUP(L8544,[1]HBA!$B$2:$C$4000,2,FALSE)</f>
        <v>VMH</v>
      </c>
    </row>
    <row r="8545" spans="2:13" x14ac:dyDescent="0.25">
      <c r="B8545" s="31" t="s">
        <v>25743</v>
      </c>
      <c r="C8545" s="20"/>
      <c r="D8545" s="25" t="s">
        <v>26285</v>
      </c>
      <c r="E8545" s="25"/>
      <c r="F8545" s="9" t="str">
        <f>HYPERLINK("https://www.ebi.ac.uk/ols/ontologies/uberon/terms?iri=http://purl.obolibrary.org/obo/UBERON_0001935","ventromedial nucleus of hypothalamus")</f>
        <v>ventromedial nucleus of hypothalamus</v>
      </c>
      <c r="G8545" s="9" t="s">
        <v>15117</v>
      </c>
      <c r="H8545" s="9" t="s">
        <v>15403</v>
      </c>
      <c r="I8545" s="9" t="s">
        <v>656</v>
      </c>
      <c r="J8545" s="9" t="s">
        <v>818</v>
      </c>
      <c r="K8545" s="3" t="s">
        <v>15176</v>
      </c>
      <c r="L8545" s="13">
        <v>693</v>
      </c>
      <c r="M8545" t="str">
        <f>VLOOKUP(L8545,[1]Mouse_ARA!$B$2:$C$1328,2,FALSE)</f>
        <v>VMH</v>
      </c>
    </row>
    <row r="8546" spans="2:13" x14ac:dyDescent="0.25">
      <c r="B8546" s="31" t="s">
        <v>26303</v>
      </c>
      <c r="C8546" s="25" t="s">
        <v>15125</v>
      </c>
      <c r="D8546" s="25" t="s">
        <v>981</v>
      </c>
      <c r="E8546" s="25"/>
      <c r="F8546" s="9" t="str">
        <f>HYPERLINK("https://www.ebi.ac.uk/ols/ontologies/uberon/terms?iri=http://purl.obolibrary.org/obo/UBERON_0003723","vestibular nerve")</f>
        <v>vestibular nerve</v>
      </c>
      <c r="G8546" s="9" t="s">
        <v>15120</v>
      </c>
      <c r="H8546" s="9" t="s">
        <v>24705</v>
      </c>
      <c r="I8546" s="9" t="s">
        <v>971</v>
      </c>
      <c r="J8546" s="9" t="s">
        <v>972</v>
      </c>
      <c r="K8546" s="4" t="s">
        <v>15175</v>
      </c>
      <c r="L8546" s="13">
        <v>12869</v>
      </c>
      <c r="M8546" t="str">
        <f>VLOOKUP(L8546,[1]Human_BrainSpan!$B$2:$C$4000,2,FALSE)</f>
        <v>r8ve</v>
      </c>
    </row>
    <row r="8547" spans="2:13" x14ac:dyDescent="0.25">
      <c r="B8547" s="31" t="s">
        <v>25743</v>
      </c>
      <c r="C8547" s="20"/>
      <c r="D8547" s="25" t="s">
        <v>981</v>
      </c>
      <c r="E8547" s="25"/>
      <c r="F8547" s="9" t="str">
        <f>HYPERLINK("https://www.ebi.ac.uk/ols/ontologies/uberon/terms?iri=http://purl.obolibrary.org/obo/UBERON_0003723","vestibular nerve")</f>
        <v>vestibular nerve</v>
      </c>
      <c r="G8547" s="9" t="s">
        <v>15120</v>
      </c>
      <c r="H8547" s="9" t="s">
        <v>20754</v>
      </c>
      <c r="I8547" s="9" t="s">
        <v>981</v>
      </c>
      <c r="J8547" s="9" t="s">
        <v>982</v>
      </c>
      <c r="K8547" s="3" t="s">
        <v>15176</v>
      </c>
      <c r="L8547" s="13">
        <v>413</v>
      </c>
      <c r="M8547" t="str">
        <f>VLOOKUP(L8547,[1]Mouse_ARA!$B$2:$C$1328,2,FALSE)</f>
        <v>vVIIIn</v>
      </c>
    </row>
    <row r="8548" spans="2:13" x14ac:dyDescent="0.25">
      <c r="B8548" s="31" t="s">
        <v>25743</v>
      </c>
      <c r="C8548" s="20"/>
      <c r="D8548" s="25" t="s">
        <v>26286</v>
      </c>
      <c r="E8548" s="25"/>
      <c r="F8548" s="9" t="str">
        <f>HYPERLINK("https://www.ebi.ac.uk/ols/ontologies/uberon/terms?iri=http://purl.obolibrary.org/obo/UBERON_0002673","vestibular nuclear complex")</f>
        <v>vestibular nuclear complex</v>
      </c>
      <c r="G8548" s="9" t="s">
        <v>15121</v>
      </c>
      <c r="H8548" s="9" t="s">
        <v>24412</v>
      </c>
      <c r="I8548" s="9" t="s">
        <v>14103</v>
      </c>
      <c r="J8548" s="9" t="s">
        <v>15122</v>
      </c>
      <c r="K8548" s="7" t="s">
        <v>15171</v>
      </c>
      <c r="L8548" s="13">
        <v>9697</v>
      </c>
      <c r="M8548" t="str">
        <f>VLOOKUP(L8548,[1]HBA!$B$2:$C$4000,2,FALSE)</f>
        <v>8Ve</v>
      </c>
    </row>
    <row r="8549" spans="2:13" x14ac:dyDescent="0.25">
      <c r="B8549" s="31" t="s">
        <v>25743</v>
      </c>
      <c r="C8549" s="20"/>
      <c r="D8549" s="25" t="s">
        <v>26286</v>
      </c>
      <c r="E8549" s="25"/>
      <c r="F8549" s="9" t="str">
        <f>HYPERLINK("https://www.ebi.ac.uk/ols/ontologies/uberon/terms?iri=http://purl.obolibrary.org/obo/UBERON_0002673","vestibular nuclear complex")</f>
        <v>vestibular nuclear complex</v>
      </c>
      <c r="G8549" s="9" t="s">
        <v>15121</v>
      </c>
      <c r="H8549" s="9" t="s">
        <v>20522</v>
      </c>
      <c r="I8549" s="9" t="s">
        <v>14103</v>
      </c>
      <c r="J8549" s="9" t="s">
        <v>14104</v>
      </c>
      <c r="K8549" s="3" t="s">
        <v>15176</v>
      </c>
      <c r="L8549" s="13">
        <v>701</v>
      </c>
      <c r="M8549" t="str">
        <f>VLOOKUP(L8549,[1]Mouse_ARA!$B$2:$C$1328,2,FALSE)</f>
        <v>VNC</v>
      </c>
    </row>
    <row r="8550" spans="2:13" x14ac:dyDescent="0.25">
      <c r="B8550" s="37" t="s">
        <v>25743</v>
      </c>
      <c r="C8550" s="20"/>
      <c r="D8550" s="25" t="s">
        <v>7764</v>
      </c>
      <c r="E8550" s="25"/>
      <c r="F8550" s="9" t="str">
        <f>HYPERLINK("https://www.ebi.ac.uk/ols/ontologies/uberon/terms?iri=http://purl.obolibrary.org/obo/UBERON_0002552","vestibulocerebellar tract")</f>
        <v>vestibulocerebellar tract</v>
      </c>
      <c r="G8550" s="9" t="s">
        <v>15123</v>
      </c>
      <c r="H8550" s="9" t="s">
        <v>24621</v>
      </c>
      <c r="I8550" s="9" t="s">
        <v>7764</v>
      </c>
      <c r="J8550" s="9" t="s">
        <v>7765</v>
      </c>
      <c r="K8550" s="4" t="s">
        <v>15175</v>
      </c>
      <c r="L8550" s="13">
        <v>12754</v>
      </c>
      <c r="M8550" t="str">
        <f>VLOOKUP(L8550,[1]Human_BrainSpan!$B$2:$C$4000,2,FALSE)</f>
        <v>vecb</v>
      </c>
    </row>
    <row r="8551" spans="2:13" x14ac:dyDescent="0.25">
      <c r="B8551" s="31" t="s">
        <v>25743</v>
      </c>
      <c r="C8551" s="20"/>
      <c r="D8551" s="25" t="s">
        <v>15125</v>
      </c>
      <c r="E8551" s="25"/>
      <c r="F8551" s="9" t="str">
        <f>HYPERLINK("https://www.ebi.ac.uk/ols/ontologies/uberon/terms?iri=http://purl.obolibrary.org/obo/UBERON_0001648","vestibulocochlear nerve")</f>
        <v>vestibulocochlear nerve</v>
      </c>
      <c r="G8551" s="9" t="s">
        <v>15124</v>
      </c>
      <c r="H8551" s="9" t="s">
        <v>18429</v>
      </c>
      <c r="I8551" s="9" t="s">
        <v>15125</v>
      </c>
      <c r="J8551" s="9" t="s">
        <v>15126</v>
      </c>
      <c r="K8551" s="7" t="s">
        <v>15171</v>
      </c>
      <c r="L8551" s="13">
        <v>9331</v>
      </c>
      <c r="M8551" t="str">
        <f>VLOOKUP(L8551,[1]HBA!$B$2:$C$4000,2,FALSE)</f>
        <v>8n</v>
      </c>
    </row>
    <row r="8552" spans="2:13" x14ac:dyDescent="0.25">
      <c r="B8552" s="31" t="s">
        <v>25743</v>
      </c>
      <c r="C8552" s="20"/>
      <c r="D8552" s="25" t="s">
        <v>15125</v>
      </c>
      <c r="E8552" s="25"/>
      <c r="F8552" s="9" t="str">
        <f>HYPERLINK("https://www.ebi.ac.uk/ols/ontologies/uberon/terms?iri=http://purl.obolibrary.org/obo/UBERON_0001648","vestibulocochlear nerve")</f>
        <v>vestibulocochlear nerve</v>
      </c>
      <c r="G8552" s="9" t="s">
        <v>15124</v>
      </c>
      <c r="H8552" s="9" t="s">
        <v>20752</v>
      </c>
      <c r="I8552" s="9" t="s">
        <v>15125</v>
      </c>
      <c r="J8552" s="9" t="s">
        <v>15127</v>
      </c>
      <c r="K8552" s="3" t="s">
        <v>15176</v>
      </c>
      <c r="L8552" s="13">
        <v>933</v>
      </c>
      <c r="M8552" t="str">
        <f>VLOOKUP(L8552,[1]Mouse_ARA!$B$2:$C$1328,2,FALSE)</f>
        <v>VIIIn</v>
      </c>
    </row>
    <row r="8553" spans="2:13" x14ac:dyDescent="0.25">
      <c r="B8553" s="31" t="s">
        <v>26299</v>
      </c>
      <c r="C8553" s="25" t="s">
        <v>15125</v>
      </c>
      <c r="D8553" s="25" t="s">
        <v>11628</v>
      </c>
      <c r="E8553" s="25"/>
      <c r="F8553" s="9" t="str">
        <f>HYPERLINK("https://www.ebi.ac.uk/ols/ontologies/uberon/terms?iri=http://purl.obolibrary.org/obo/UBERON_0002731","vestibulocochlear nerve root")</f>
        <v>vestibulocochlear nerve root</v>
      </c>
      <c r="G8553" s="9" t="s">
        <v>15128</v>
      </c>
      <c r="H8553" s="9" t="s">
        <v>18007</v>
      </c>
      <c r="I8553" s="9" t="s">
        <v>4845</v>
      </c>
      <c r="J8553" s="9" t="s">
        <v>4846</v>
      </c>
      <c r="K8553" s="4" t="s">
        <v>15175</v>
      </c>
      <c r="L8553" s="13">
        <v>12868</v>
      </c>
      <c r="M8553" t="str">
        <f>VLOOKUP(L8553,[1]Human_BrainSpan!$B$2:$C$4000,2,FALSE)</f>
        <v>r8</v>
      </c>
    </row>
    <row r="8554" spans="2:13" x14ac:dyDescent="0.25">
      <c r="B8554" s="31" t="s">
        <v>26299</v>
      </c>
      <c r="C8554" s="25" t="s">
        <v>15125</v>
      </c>
      <c r="D8554" s="25" t="s">
        <v>11628</v>
      </c>
      <c r="E8554" s="25"/>
      <c r="F8554" s="9" t="str">
        <f>HYPERLINK("https://www.ebi.ac.uk/ols/ontologies/uberon/terms?iri=http://purl.obolibrary.org/obo/UBERON_0002731","vestibulocochlear nerve root")</f>
        <v>vestibulocochlear nerve root</v>
      </c>
      <c r="G8554" s="9" t="s">
        <v>15128</v>
      </c>
      <c r="H8554" s="9" t="s">
        <v>18429</v>
      </c>
      <c r="I8554" s="9" t="s">
        <v>11628</v>
      </c>
      <c r="J8554" s="9" t="s">
        <v>11629</v>
      </c>
      <c r="K8554" s="5" t="s">
        <v>15173</v>
      </c>
      <c r="L8554" s="13">
        <v>17746</v>
      </c>
      <c r="M8554" t="str">
        <f>VLOOKUP(L8554,[1]DevMouse!$B$2:$C$2693,2,FALSE)</f>
        <v>8n</v>
      </c>
    </row>
    <row r="8555" spans="2:13" x14ac:dyDescent="0.25">
      <c r="B8555" s="31" t="s">
        <v>25743</v>
      </c>
      <c r="C8555" s="20"/>
      <c r="D8555" s="25" t="s">
        <v>26287</v>
      </c>
      <c r="E8555" s="25"/>
      <c r="F8555" s="9" t="str">
        <f>HYPERLINK("https://www.ebi.ac.uk/ols/ontologies/uberon/terms?iri=http://purl.obolibrary.org/obo/UBERON_0002768","vestibulospinal tract")</f>
        <v>vestibulospinal tract</v>
      </c>
      <c r="G8555" s="9" t="s">
        <v>15129</v>
      </c>
      <c r="H8555" s="9" t="s">
        <v>20877</v>
      </c>
      <c r="I8555" s="9" t="s">
        <v>14329</v>
      </c>
      <c r="J8555" s="9" t="s">
        <v>14330</v>
      </c>
      <c r="K8555" s="3" t="s">
        <v>15176</v>
      </c>
      <c r="L8555" s="13">
        <v>941</v>
      </c>
      <c r="M8555" t="str">
        <f>VLOOKUP(L8555,[1]Mouse_ARA!$B$2:$C$1328,2,FALSE)</f>
        <v>vsp</v>
      </c>
    </row>
    <row r="8556" spans="2:13" x14ac:dyDescent="0.25">
      <c r="B8556" s="31" t="s">
        <v>25743</v>
      </c>
      <c r="C8556" s="20"/>
      <c r="D8556" s="25" t="s">
        <v>26288</v>
      </c>
      <c r="E8556" s="25"/>
      <c r="F8556" s="9" t="str">
        <f>HYPERLINK("https://www.ebi.ac.uk/ols/ontologies/uberon/terms?iri=http://purl.obolibrary.org/obo/UBERON_0000411","visual cortex")</f>
        <v>visual cortex</v>
      </c>
      <c r="G8556" s="9" t="s">
        <v>15130</v>
      </c>
      <c r="H8556" s="9" t="s">
        <v>18956</v>
      </c>
      <c r="I8556" s="9" t="s">
        <v>15131</v>
      </c>
      <c r="J8556" s="9" t="s">
        <v>15132</v>
      </c>
      <c r="K8556" s="3" t="s">
        <v>15176</v>
      </c>
      <c r="L8556" s="13">
        <v>669</v>
      </c>
      <c r="M8556" t="str">
        <f>VLOOKUP(L8556,[1]Mouse_ARA!$B$2:$C$1328,2,FALSE)</f>
        <v>VIS</v>
      </c>
    </row>
    <row r="8557" spans="2:13" x14ac:dyDescent="0.25">
      <c r="B8557" s="31" t="s">
        <v>26303</v>
      </c>
      <c r="C8557" s="20"/>
      <c r="D8557" s="25" t="s">
        <v>15134</v>
      </c>
      <c r="E8557" s="25" t="s">
        <v>26300</v>
      </c>
      <c r="F8557" s="9" t="str">
        <f>HYPERLINK("https://www.ebi.ac.uk/ols/ontologies/uberon/terms?iri=http://purl.obolibrary.org/obo/UBERON_0009121","vomeronasal nerve")</f>
        <v>vomeronasal nerve</v>
      </c>
      <c r="G8557" s="9" t="s">
        <v>15133</v>
      </c>
      <c r="H8557" s="9" t="s">
        <v>20725</v>
      </c>
      <c r="I8557" s="9" t="s">
        <v>15134</v>
      </c>
      <c r="J8557" s="9" t="s">
        <v>15135</v>
      </c>
      <c r="K8557" s="3" t="s">
        <v>15176</v>
      </c>
      <c r="L8557" s="13">
        <v>949</v>
      </c>
      <c r="M8557" t="str">
        <f>VLOOKUP(L8557,[1]Mouse_ARA!$B$2:$C$1328,2,FALSE)</f>
        <v>von</v>
      </c>
    </row>
    <row r="8558" spans="2:13" x14ac:dyDescent="0.25">
      <c r="B8558" s="31" t="s">
        <v>25743</v>
      </c>
      <c r="C8558" s="20"/>
      <c r="D8558" s="25" t="s">
        <v>632</v>
      </c>
      <c r="E8558" s="25"/>
      <c r="F8558" s="9" t="str">
        <f>HYPERLINK("https://www.ebi.ac.uk/ols/ontologies/uberon/terms?iri=http://purl.obolibrary.org/obo/UBERON_0002316","white matter")</f>
        <v>white matter</v>
      </c>
      <c r="G8558" s="9" t="s">
        <v>15136</v>
      </c>
      <c r="H8558" s="9" t="s">
        <v>25473</v>
      </c>
      <c r="I8558" s="9" t="s">
        <v>632</v>
      </c>
      <c r="J8558" s="9" t="s">
        <v>633</v>
      </c>
      <c r="K8558" s="7" t="s">
        <v>15171</v>
      </c>
      <c r="L8558" s="13">
        <v>9218</v>
      </c>
      <c r="M8558" t="str">
        <f>VLOOKUP(L8558,[1]HBA!$B$2:$C$4000,2,FALSE)</f>
        <v>WM</v>
      </c>
    </row>
    <row r="8559" spans="2:13" x14ac:dyDescent="0.25">
      <c r="B8559" s="31" t="s">
        <v>25743</v>
      </c>
      <c r="C8559" s="20"/>
      <c r="D8559" s="25" t="s">
        <v>632</v>
      </c>
      <c r="E8559" s="25"/>
      <c r="F8559" s="9" t="str">
        <f>HYPERLINK("https://www.ebi.ac.uk/ols/ontologies/uberon/terms?iri=http://purl.obolibrary.org/obo/UBERON_0002316","white matter")</f>
        <v>white matter</v>
      </c>
      <c r="G8559" s="9" t="s">
        <v>15136</v>
      </c>
      <c r="H8559" s="9" t="s">
        <v>25473</v>
      </c>
      <c r="I8559" s="9" t="s">
        <v>632</v>
      </c>
      <c r="J8559" s="9" t="s">
        <v>1207</v>
      </c>
      <c r="K8559" s="6" t="s">
        <v>15174</v>
      </c>
      <c r="L8559" s="13">
        <v>294022044</v>
      </c>
      <c r="M8559" t="str">
        <f>VLOOKUP(L8559,[1]NonHumanPrimate!$B$2:$C$4000,2,FALSE)</f>
        <v>WM</v>
      </c>
    </row>
    <row r="8560" spans="2:13" x14ac:dyDescent="0.25">
      <c r="B8560" s="31" t="s">
        <v>26303</v>
      </c>
      <c r="C8560" s="25" t="s">
        <v>25963</v>
      </c>
      <c r="D8560" s="25" t="s">
        <v>26289</v>
      </c>
      <c r="E8560" s="25"/>
      <c r="F8560" s="9" t="str">
        <f t="shared" ref="F8560:F8565" si="124">HYPERLINK("https://www.ebi.ac.uk/ols/ontologies/uberon/terms?iri=http://purl.obolibrary.org/obo/UBERON_0014532","white matter lamina of cerebral hemisphere")</f>
        <v>white matter lamina of cerebral hemisphere</v>
      </c>
      <c r="G8560" s="9" t="s">
        <v>15137</v>
      </c>
      <c r="H8560" s="9" t="s">
        <v>20889</v>
      </c>
      <c r="I8560" s="9" t="s">
        <v>2303</v>
      </c>
      <c r="J8560" s="9" t="s">
        <v>2304</v>
      </c>
      <c r="K8560" s="4" t="s">
        <v>15175</v>
      </c>
      <c r="L8560" s="13">
        <v>10570</v>
      </c>
      <c r="M8560" t="str">
        <f>VLOOKUP(L8560,[1]Human_BrainSpan!$B$2:$C$4000,2,FALSE)</f>
        <v>alv</v>
      </c>
    </row>
    <row r="8561" spans="2:13" x14ac:dyDescent="0.25">
      <c r="B8561" s="31" t="s">
        <v>26303</v>
      </c>
      <c r="C8561" s="25" t="s">
        <v>26072</v>
      </c>
      <c r="D8561" s="25" t="s">
        <v>26289</v>
      </c>
      <c r="E8561" s="25"/>
      <c r="F8561" s="9" t="str">
        <f t="shared" si="124"/>
        <v>white matter lamina of cerebral hemisphere</v>
      </c>
      <c r="G8561" s="9" t="s">
        <v>15137</v>
      </c>
      <c r="H8561" s="9" t="s">
        <v>23128</v>
      </c>
      <c r="I8561" s="9" t="s">
        <v>3448</v>
      </c>
      <c r="J8561" s="9" t="s">
        <v>3449</v>
      </c>
      <c r="K8561" s="4" t="s">
        <v>15175</v>
      </c>
      <c r="L8561" s="13">
        <v>11326</v>
      </c>
      <c r="M8561" t="str">
        <f>VLOOKUP(L8561,[1]Human_BrainSpan!$B$2:$C$4000,2,FALSE)</f>
        <v>OBonl</v>
      </c>
    </row>
    <row r="8562" spans="2:13" x14ac:dyDescent="0.25">
      <c r="B8562" s="31" t="s">
        <v>26303</v>
      </c>
      <c r="C8562" s="25" t="s">
        <v>26067</v>
      </c>
      <c r="D8562" s="25" t="s">
        <v>26289</v>
      </c>
      <c r="E8562" s="25"/>
      <c r="F8562" s="9" t="str">
        <f t="shared" si="124"/>
        <v>white matter lamina of cerebral hemisphere</v>
      </c>
      <c r="G8562" s="9" t="s">
        <v>15137</v>
      </c>
      <c r="H8562" s="9" t="s">
        <v>23129</v>
      </c>
      <c r="I8562" s="9" t="s">
        <v>3425</v>
      </c>
      <c r="J8562" s="9" t="s">
        <v>3426</v>
      </c>
      <c r="K8562" s="4" t="s">
        <v>15175</v>
      </c>
      <c r="L8562" s="13">
        <v>11327</v>
      </c>
      <c r="M8562" t="str">
        <f>VLOOKUP(L8562,[1]Human_BrainSpan!$B$2:$C$4000,2,FALSE)</f>
        <v>OBglo</v>
      </c>
    </row>
    <row r="8563" spans="2:13" x14ac:dyDescent="0.25">
      <c r="B8563" s="31" t="s">
        <v>26303</v>
      </c>
      <c r="C8563" s="25" t="s">
        <v>26071</v>
      </c>
      <c r="D8563" s="25" t="s">
        <v>26289</v>
      </c>
      <c r="E8563" s="25"/>
      <c r="F8563" s="9" t="str">
        <f t="shared" si="124"/>
        <v>white matter lamina of cerebral hemisphere</v>
      </c>
      <c r="G8563" s="9" t="s">
        <v>15137</v>
      </c>
      <c r="H8563" s="9" t="s">
        <v>23131</v>
      </c>
      <c r="I8563" s="9" t="s">
        <v>3443</v>
      </c>
      <c r="J8563" s="9" t="s">
        <v>3444</v>
      </c>
      <c r="K8563" s="4" t="s">
        <v>15175</v>
      </c>
      <c r="L8563" s="13">
        <v>11329</v>
      </c>
      <c r="M8563" t="str">
        <f>VLOOKUP(L8563,[1]Human_BrainSpan!$B$2:$C$4000,2,FALSE)</f>
        <v>OBmcl</v>
      </c>
    </row>
    <row r="8564" spans="2:13" x14ac:dyDescent="0.25">
      <c r="B8564" s="31" t="s">
        <v>26303</v>
      </c>
      <c r="C8564" s="25" t="s">
        <v>26069</v>
      </c>
      <c r="D8564" s="25" t="s">
        <v>26289</v>
      </c>
      <c r="E8564" s="25"/>
      <c r="F8564" s="9" t="str">
        <f t="shared" si="124"/>
        <v>white matter lamina of cerebral hemisphere</v>
      </c>
      <c r="G8564" s="9" t="s">
        <v>15137</v>
      </c>
      <c r="H8564" s="9" t="s">
        <v>23132</v>
      </c>
      <c r="I8564" s="9" t="s">
        <v>3435</v>
      </c>
      <c r="J8564" s="9" t="s">
        <v>3436</v>
      </c>
      <c r="K8564" s="4" t="s">
        <v>15175</v>
      </c>
      <c r="L8564" s="13">
        <v>11330</v>
      </c>
      <c r="M8564" t="str">
        <f>VLOOKUP(L8564,[1]Human_BrainSpan!$B$2:$C$4000,2,FALSE)</f>
        <v>OBipl</v>
      </c>
    </row>
    <row r="8565" spans="2:13" x14ac:dyDescent="0.25">
      <c r="B8565" s="31" t="s">
        <v>26303</v>
      </c>
      <c r="C8565" s="25" t="s">
        <v>25963</v>
      </c>
      <c r="D8565" s="25" t="s">
        <v>26289</v>
      </c>
      <c r="E8565" s="25"/>
      <c r="F8565" s="9" t="str">
        <f t="shared" si="124"/>
        <v>white matter lamina of cerebral hemisphere</v>
      </c>
      <c r="G8565" s="9" t="s">
        <v>15137</v>
      </c>
      <c r="H8565" s="9" t="s">
        <v>20889</v>
      </c>
      <c r="I8565" s="9" t="s">
        <v>2303</v>
      </c>
      <c r="J8565" s="9" t="s">
        <v>2305</v>
      </c>
      <c r="K8565" s="7" t="s">
        <v>15171</v>
      </c>
      <c r="L8565" s="13">
        <v>9234</v>
      </c>
      <c r="M8565" t="str">
        <f>VLOOKUP(L8565,[1]HBA!$B$2:$C$4000,2,FALSE)</f>
        <v>alv</v>
      </c>
    </row>
    <row r="8566" spans="2:13" x14ac:dyDescent="0.25">
      <c r="B8566" s="37" t="s">
        <v>25743</v>
      </c>
      <c r="C8566" s="20"/>
      <c r="D8566" s="25" t="s">
        <v>26290</v>
      </c>
      <c r="E8566" s="25"/>
      <c r="F8566" s="9" t="str">
        <f>HYPERLINK("https://www.ebi.ac.uk/ols/ontologies/uberon/terms?iri=http://purl.obolibrary.org/obo/UBERON_0002317","white matter of cerebellum")</f>
        <v>white matter of cerebellum</v>
      </c>
      <c r="G8566" s="9" t="s">
        <v>15138</v>
      </c>
      <c r="H8566" s="9" t="s">
        <v>17366</v>
      </c>
      <c r="I8566" s="9" t="s">
        <v>846</v>
      </c>
      <c r="J8566" s="9" t="s">
        <v>847</v>
      </c>
      <c r="K8566" s="5" t="s">
        <v>15173</v>
      </c>
      <c r="L8566" s="13">
        <v>16926</v>
      </c>
      <c r="M8566" t="str">
        <f>VLOOKUP(L8566,[1]DevMouse!$B$2:$C$2693,2,FALSE)</f>
        <v>CbHWM</v>
      </c>
    </row>
    <row r="8567" spans="2:13" x14ac:dyDescent="0.25">
      <c r="B8567" s="37" t="s">
        <v>25743</v>
      </c>
      <c r="C8567" s="20"/>
      <c r="D8567" s="25" t="s">
        <v>26290</v>
      </c>
      <c r="E8567" s="25"/>
      <c r="F8567" s="9" t="str">
        <f>HYPERLINK("https://www.ebi.ac.uk/ols/ontologies/uberon/terms?iri=http://purl.obolibrary.org/obo/UBERON_0002317","white matter of cerebellum")</f>
        <v>white matter of cerebellum</v>
      </c>
      <c r="G8567" s="9" t="s">
        <v>15138</v>
      </c>
      <c r="H8567" s="9" t="s">
        <v>25505</v>
      </c>
      <c r="I8567" s="9" t="s">
        <v>15139</v>
      </c>
      <c r="J8567" s="9" t="s">
        <v>15140</v>
      </c>
      <c r="K8567" s="7" t="s">
        <v>15171</v>
      </c>
      <c r="L8567" s="13">
        <v>9288</v>
      </c>
      <c r="M8567" t="str">
        <f>VLOOKUP(L8567,[1]HBA!$B$2:$C$4000,2,FALSE)</f>
        <v>CbWM</v>
      </c>
    </row>
    <row r="8568" spans="2:13" x14ac:dyDescent="0.25">
      <c r="B8568" s="31" t="s">
        <v>25743</v>
      </c>
      <c r="C8568" s="20"/>
      <c r="D8568" s="25" t="s">
        <v>15142</v>
      </c>
      <c r="E8568" s="25"/>
      <c r="F8568" s="9" t="str">
        <f>HYPERLINK("https://www.ebi.ac.uk/ols/ontologies/uberon/terms?iri=http://purl.obolibrary.org/obo/UBERON_0019261","white matter of forebrain")</f>
        <v>white matter of forebrain</v>
      </c>
      <c r="G8568" s="9" t="s">
        <v>15141</v>
      </c>
      <c r="H8568" s="9" t="s">
        <v>23532</v>
      </c>
      <c r="I8568" s="9" t="s">
        <v>15142</v>
      </c>
      <c r="J8568" s="9" t="s">
        <v>15143</v>
      </c>
      <c r="K8568" s="4" t="s">
        <v>15175</v>
      </c>
      <c r="L8568" s="13">
        <v>10557</v>
      </c>
      <c r="M8568" t="str">
        <f>VLOOKUP(L8568,[1]Human_BrainSpan!$B$2:$C$4000,2,FALSE)</f>
        <v>FWM</v>
      </c>
    </row>
    <row r="8569" spans="2:13" x14ac:dyDescent="0.25">
      <c r="B8569" s="31" t="s">
        <v>25743</v>
      </c>
      <c r="C8569" s="20"/>
      <c r="D8569" s="25" t="s">
        <v>5407</v>
      </c>
      <c r="E8569" s="25"/>
      <c r="F8569" s="9" t="str">
        <f>HYPERLINK("https://www.ebi.ac.uk/ols/ontologies/uberon/terms?iri=http://purl.obolibrary.org/obo/UBERON_0019258","white matter of hindbrain")</f>
        <v>white matter of hindbrain</v>
      </c>
      <c r="G8569" s="9" t="s">
        <v>15144</v>
      </c>
      <c r="H8569" s="9" t="s">
        <v>24597</v>
      </c>
      <c r="I8569" s="9" t="s">
        <v>5407</v>
      </c>
      <c r="J8569" s="9" t="s">
        <v>5408</v>
      </c>
      <c r="K8569" s="4" t="s">
        <v>15175</v>
      </c>
      <c r="L8569" s="13">
        <v>10668</v>
      </c>
      <c r="M8569" t="str">
        <f>VLOOKUP(L8569,[1]Human_BrainSpan!$B$2:$C$4000,2,FALSE)</f>
        <v>HWM</v>
      </c>
    </row>
    <row r="8570" spans="2:13" x14ac:dyDescent="0.25">
      <c r="B8570" s="31" t="s">
        <v>25743</v>
      </c>
      <c r="C8570" s="20"/>
      <c r="D8570" s="25" t="s">
        <v>26291</v>
      </c>
      <c r="E8570" s="25"/>
      <c r="F8570" s="9" t="str">
        <f>HYPERLINK("https://www.ebi.ac.uk/ols/ontologies/uberon/terms?iri=http://purl.obolibrary.org/obo/UBERON_0019291","white matter of metencephalon")</f>
        <v>white matter of metencephalon</v>
      </c>
      <c r="G8570" s="9" t="s">
        <v>15145</v>
      </c>
      <c r="H8570" s="9" t="s">
        <v>25504</v>
      </c>
      <c r="I8570" s="9" t="s">
        <v>15146</v>
      </c>
      <c r="J8570" s="9" t="s">
        <v>15147</v>
      </c>
      <c r="K8570" s="7" t="s">
        <v>15171</v>
      </c>
      <c r="L8570" s="13">
        <v>9287</v>
      </c>
      <c r="M8570" t="str">
        <f>VLOOKUP(L8570,[1]HBA!$B$2:$C$4000,2,FALSE)</f>
        <v>METWM</v>
      </c>
    </row>
    <row r="8571" spans="2:13" x14ac:dyDescent="0.25">
      <c r="B8571" s="31" t="s">
        <v>25743</v>
      </c>
      <c r="C8571" s="20"/>
      <c r="D8571" s="25" t="s">
        <v>15149</v>
      </c>
      <c r="E8571" s="25"/>
      <c r="F8571" s="9" t="str">
        <f>HYPERLINK("https://www.ebi.ac.uk/ols/ontologies/uberon/terms?iri=http://purl.obolibrary.org/obo/UBERON_0016554","white matter of midbrain")</f>
        <v>white matter of midbrain</v>
      </c>
      <c r="G8571" s="9" t="s">
        <v>15148</v>
      </c>
      <c r="H8571" s="9" t="s">
        <v>24101</v>
      </c>
      <c r="I8571" s="9" t="s">
        <v>15149</v>
      </c>
      <c r="J8571" s="9" t="s">
        <v>15150</v>
      </c>
      <c r="K8571" s="4" t="s">
        <v>15175</v>
      </c>
      <c r="L8571" s="13">
        <v>10650</v>
      </c>
      <c r="M8571" t="str">
        <f>VLOOKUP(L8571,[1]Human_BrainSpan!$B$2:$C$4000,2,FALSE)</f>
        <v>MWM</v>
      </c>
    </row>
    <row r="8572" spans="2:13" x14ac:dyDescent="0.25">
      <c r="B8572" s="31" t="s">
        <v>25743</v>
      </c>
      <c r="C8572" s="20"/>
      <c r="D8572" s="25" t="s">
        <v>15149</v>
      </c>
      <c r="E8572" s="25"/>
      <c r="F8572" s="9" t="str">
        <f>HYPERLINK("https://www.ebi.ac.uk/ols/ontologies/uberon/terms?iri=http://purl.obolibrary.org/obo/UBERON_0016554","white matter of midbrain")</f>
        <v>white matter of midbrain</v>
      </c>
      <c r="G8572" s="9" t="s">
        <v>15148</v>
      </c>
      <c r="H8572" s="9" t="s">
        <v>25491</v>
      </c>
      <c r="I8572" s="9" t="s">
        <v>15151</v>
      </c>
      <c r="J8572" s="9" t="s">
        <v>15152</v>
      </c>
      <c r="K8572" s="7" t="s">
        <v>15171</v>
      </c>
      <c r="L8572" s="13">
        <v>265505382</v>
      </c>
      <c r="M8572" t="str">
        <f>VLOOKUP(L8572,[1]HBA!$B$2:$C$4000,2,FALSE)</f>
        <v>MESWM</v>
      </c>
    </row>
    <row r="8573" spans="2:13" x14ac:dyDescent="0.25">
      <c r="B8573" s="31" t="s">
        <v>25743</v>
      </c>
      <c r="C8573" s="20"/>
      <c r="D8573" s="25" t="s">
        <v>26292</v>
      </c>
      <c r="E8573" s="25"/>
      <c r="F8573" s="9" t="str">
        <f>HYPERLINK("https://www.ebi.ac.uk/ols/ontologies/uberon/terms?iri=http://purl.obolibrary.org/obo/UBERON_0019262","white matter of myelencephalon")</f>
        <v>white matter of myelencephalon</v>
      </c>
      <c r="G8573" s="9" t="s">
        <v>15153</v>
      </c>
      <c r="H8573" s="9" t="s">
        <v>25507</v>
      </c>
      <c r="I8573" s="9" t="s">
        <v>15154</v>
      </c>
      <c r="J8573" s="9" t="s">
        <v>15155</v>
      </c>
      <c r="K8573" s="7" t="s">
        <v>15171</v>
      </c>
      <c r="L8573" s="13">
        <v>9298</v>
      </c>
      <c r="M8573" t="str">
        <f>VLOOKUP(L8573,[1]HBA!$B$2:$C$4000,2,FALSE)</f>
        <v>MYWM</v>
      </c>
    </row>
    <row r="8574" spans="2:13" x14ac:dyDescent="0.25">
      <c r="B8574" s="31" t="s">
        <v>25743</v>
      </c>
      <c r="C8574" s="20"/>
      <c r="D8574" s="25" t="s">
        <v>26293</v>
      </c>
      <c r="E8574" s="25"/>
      <c r="F8574" s="9" t="str">
        <f>HYPERLINK("https://www.ebi.ac.uk/ols/ontologies/uberon/terms?iri=http://purl.obolibrary.org/obo/UBERON_0019293","white matter of pontine tegmentum")</f>
        <v>white matter of pontine tegmentum</v>
      </c>
      <c r="G8574" s="9" t="s">
        <v>15156</v>
      </c>
      <c r="H8574" s="9" t="s">
        <v>25506</v>
      </c>
      <c r="I8574" s="9" t="s">
        <v>15157</v>
      </c>
      <c r="J8574" s="9" t="s">
        <v>15158</v>
      </c>
      <c r="K8574" s="7" t="s">
        <v>15171</v>
      </c>
      <c r="L8574" s="13">
        <v>265505486</v>
      </c>
      <c r="M8574" t="str">
        <f>VLOOKUP(L8574,[1]HBA!$B$2:$C$4000,2,FALSE)</f>
        <v>PoWM</v>
      </c>
    </row>
    <row r="8575" spans="2:13" x14ac:dyDescent="0.25">
      <c r="B8575" s="31" t="s">
        <v>25743</v>
      </c>
      <c r="C8575" s="20"/>
      <c r="D8575" s="25" t="s">
        <v>4489</v>
      </c>
      <c r="E8575" s="25"/>
      <c r="F8575" s="9" t="str">
        <f>HYPERLINK("https://www.ebi.ac.uk/ols/ontologies/uberon/terms?iri=http://purl.obolibrary.org/obo/UBERON_0002318","white matter of spinal cord")</f>
        <v>white matter of spinal cord</v>
      </c>
      <c r="G8575" s="9" t="s">
        <v>15159</v>
      </c>
      <c r="H8575" s="9" t="s">
        <v>24747</v>
      </c>
      <c r="I8575" s="9" t="s">
        <v>4489</v>
      </c>
      <c r="J8575" s="9" t="s">
        <v>4490</v>
      </c>
      <c r="K8575" s="4" t="s">
        <v>15175</v>
      </c>
      <c r="L8575" s="13">
        <v>146035088</v>
      </c>
      <c r="M8575" t="str">
        <f>VLOOKUP(L8575,[1]Human_BrainSpan!$B$2:$C$4000,2,FALSE)</f>
        <v>SWM</v>
      </c>
    </row>
    <row r="8576" spans="2:13" x14ac:dyDescent="0.25">
      <c r="B8576" s="31" t="s">
        <v>25743</v>
      </c>
      <c r="C8576" s="20"/>
      <c r="D8576" s="25" t="s">
        <v>26294</v>
      </c>
      <c r="E8576" s="25"/>
      <c r="F8576" s="9" t="str">
        <f>HYPERLINK("https://www.ebi.ac.uk/ols/ontologies/uberon/terms?iri=http://purl.obolibrary.org/obo/UBERON_0011299","white matter of telencephalon")</f>
        <v>white matter of telencephalon</v>
      </c>
      <c r="G8576" s="9" t="s">
        <v>15160</v>
      </c>
      <c r="H8576" s="9" t="s">
        <v>25474</v>
      </c>
      <c r="I8576" s="9" t="s">
        <v>12851</v>
      </c>
      <c r="J8576" s="9" t="s">
        <v>12852</v>
      </c>
      <c r="K8576" s="7" t="s">
        <v>15171</v>
      </c>
      <c r="L8576" s="13">
        <v>9219</v>
      </c>
      <c r="M8576" t="str">
        <f>VLOOKUP(L8576,[1]HBA!$B$2:$C$4000,2,FALSE)</f>
        <v>TELWM</v>
      </c>
    </row>
    <row r="8577" spans="2:13" x14ac:dyDescent="0.25">
      <c r="B8577" s="31" t="s">
        <v>25743</v>
      </c>
      <c r="C8577" s="20"/>
      <c r="D8577" s="25" t="s">
        <v>26294</v>
      </c>
      <c r="E8577" s="25"/>
      <c r="F8577" s="9" t="str">
        <f>HYPERLINK("https://www.ebi.ac.uk/ols/ontologies/uberon/terms?iri=http://purl.obolibrary.org/obo/UBERON_0011299","white matter of telencephalon")</f>
        <v>white matter of telencephalon</v>
      </c>
      <c r="G8577" s="9" t="s">
        <v>15160</v>
      </c>
      <c r="H8577" s="9" t="s">
        <v>25481</v>
      </c>
      <c r="I8577" s="9" t="s">
        <v>12853</v>
      </c>
      <c r="J8577" s="9" t="s">
        <v>12854</v>
      </c>
      <c r="K8577" s="7" t="s">
        <v>15171</v>
      </c>
      <c r="L8577" s="13">
        <v>9230</v>
      </c>
      <c r="M8577" t="str">
        <f>VLOOKUP(L8577,[1]HBA!$B$2:$C$4000,2,FALSE)</f>
        <v>TelTr</v>
      </c>
    </row>
    <row r="8578" spans="2:13" x14ac:dyDescent="0.25">
      <c r="B8578" s="37" t="s">
        <v>25743</v>
      </c>
      <c r="C8578" s="20"/>
      <c r="D8578" s="25" t="s">
        <v>26295</v>
      </c>
      <c r="E8578" s="25"/>
      <c r="F8578" s="9" t="str">
        <f>HYPERLINK("https://www.ebi.ac.uk/ols/ontologies/uberon/terms?iri=http://purl.obolibrary.org/obo/UBERON_0024045","white matter of the cerebellar cortex")</f>
        <v>white matter of the cerebellar cortex</v>
      </c>
      <c r="G8578" s="9" t="s">
        <v>15161</v>
      </c>
      <c r="H8578" s="9" t="s">
        <v>17366</v>
      </c>
      <c r="I8578" s="9" t="s">
        <v>846</v>
      </c>
      <c r="J8578" s="9" t="s">
        <v>847</v>
      </c>
      <c r="K8578" s="5" t="s">
        <v>15173</v>
      </c>
      <c r="L8578" s="13">
        <v>16926</v>
      </c>
      <c r="M8578" t="str">
        <f>VLOOKUP(L8578,[1]DevMouse!$B$2:$C$2693,2,FALSE)</f>
        <v>CbHWM</v>
      </c>
    </row>
    <row r="8579" spans="2:13" x14ac:dyDescent="0.25">
      <c r="B8579" s="31" t="s">
        <v>25743</v>
      </c>
      <c r="C8579" s="20"/>
      <c r="D8579" s="25" t="s">
        <v>827</v>
      </c>
      <c r="E8579" s="25"/>
      <c r="F8579" s="9" t="str">
        <f>HYPERLINK("https://www.ebi.ac.uk/ols/ontologies/uberon/terms?iri=http://purl.obolibrary.org/obo/UBERON_0001907","zona incerta")</f>
        <v>zona incerta</v>
      </c>
      <c r="G8579" s="9" t="s">
        <v>15162</v>
      </c>
      <c r="H8579" s="9" t="s">
        <v>20155</v>
      </c>
      <c r="I8579" s="9" t="s">
        <v>827</v>
      </c>
      <c r="J8579" s="9" t="s">
        <v>15163</v>
      </c>
      <c r="K8579" s="4" t="s">
        <v>15175</v>
      </c>
      <c r="L8579" s="13">
        <v>10463</v>
      </c>
      <c r="M8579" t="str">
        <f>VLOOKUP(L8579,[1]Human_BrainSpan!$B$2:$C$4000,2,FALSE)</f>
        <v>ZI</v>
      </c>
    </row>
    <row r="8580" spans="2:13" x14ac:dyDescent="0.25">
      <c r="B8580" s="31" t="s">
        <v>25743</v>
      </c>
      <c r="C8580" s="20"/>
      <c r="D8580" s="25" t="s">
        <v>827</v>
      </c>
      <c r="E8580" s="25"/>
      <c r="F8580" s="9" t="str">
        <f>HYPERLINK("https://www.ebi.ac.uk/ols/ontologies/uberon/terms?iri=http://purl.obolibrary.org/obo/UBERON_0001907","zona incerta")</f>
        <v>zona incerta</v>
      </c>
      <c r="G8580" s="9" t="s">
        <v>15162</v>
      </c>
      <c r="H8580" s="9" t="s">
        <v>20155</v>
      </c>
      <c r="I8580" s="9" t="s">
        <v>15164</v>
      </c>
      <c r="J8580" s="9" t="s">
        <v>15165</v>
      </c>
      <c r="K8580" s="7" t="s">
        <v>15171</v>
      </c>
      <c r="L8580" s="13">
        <v>4507</v>
      </c>
      <c r="M8580" t="str">
        <f>VLOOKUP(L8580,[1]HBA!$B$2:$C$4000,2,FALSE)</f>
        <v>ZI</v>
      </c>
    </row>
    <row r="8581" spans="2:13" x14ac:dyDescent="0.25">
      <c r="B8581" s="31" t="s">
        <v>25743</v>
      </c>
      <c r="C8581" s="20"/>
      <c r="D8581" s="25" t="s">
        <v>827</v>
      </c>
      <c r="E8581" s="25"/>
      <c r="F8581" s="9" t="str">
        <f>HYPERLINK("https://www.ebi.ac.uk/ols/ontologies/uberon/terms?iri=http://purl.obolibrary.org/obo/UBERON_0001907","zona incerta")</f>
        <v>zona incerta</v>
      </c>
      <c r="G8581" s="9" t="s">
        <v>15162</v>
      </c>
      <c r="H8581" s="9" t="s">
        <v>20155</v>
      </c>
      <c r="I8581" s="9" t="s">
        <v>827</v>
      </c>
      <c r="J8581" s="9" t="s">
        <v>828</v>
      </c>
      <c r="K8581" s="3" t="s">
        <v>15176</v>
      </c>
      <c r="L8581" s="13">
        <v>797</v>
      </c>
      <c r="M8581" t="str">
        <f>VLOOKUP(L8581,[1]Mouse_ARA!$B$2:$C$1328,2,FALSE)</f>
        <v>ZI</v>
      </c>
    </row>
    <row r="8582" spans="2:13" x14ac:dyDescent="0.25">
      <c r="B8582" s="31" t="s">
        <v>25743</v>
      </c>
      <c r="C8582" s="20"/>
      <c r="D8582" s="25" t="s">
        <v>15167</v>
      </c>
      <c r="E8582" s="25"/>
      <c r="F8582" s="9" t="str">
        <f>HYPERLINK("https://www.ebi.ac.uk/ols/ontologies/uberon/terms?iri=http://purl.obolibrary.org/obo/UBERON_0006780","zonal layer of superior colliculus")</f>
        <v>zonal layer of superior colliculus</v>
      </c>
      <c r="G8582" s="9" t="s">
        <v>15166</v>
      </c>
      <c r="H8582" s="9" t="s">
        <v>24058</v>
      </c>
      <c r="I8582" s="9" t="s">
        <v>15167</v>
      </c>
      <c r="J8582" s="9" t="s">
        <v>15168</v>
      </c>
      <c r="K8582" s="4" t="s">
        <v>15175</v>
      </c>
      <c r="L8582" s="13">
        <v>12297</v>
      </c>
      <c r="M8582" t="str">
        <f>VLOOKUP(L8582,[1]Human_BrainSpan!$B$2:$C$4000,2,FALSE)</f>
        <v>SCSz</v>
      </c>
    </row>
    <row r="8583" spans="2:13" ht="15.75" thickBot="1" x14ac:dyDescent="0.3">
      <c r="B8583" s="31" t="s">
        <v>25743</v>
      </c>
      <c r="C8583" s="22"/>
      <c r="D8583" s="32" t="s">
        <v>15167</v>
      </c>
      <c r="E8583" s="32"/>
      <c r="F8583" s="14" t="str">
        <f>HYPERLINK("https://www.ebi.ac.uk/ols/ontologies/uberon/terms?iri=http://purl.obolibrary.org/obo/UBERON_0006780","zonal layer of superior colliculus")</f>
        <v>zonal layer of superior colliculus</v>
      </c>
      <c r="G8583" s="14" t="s">
        <v>15166</v>
      </c>
      <c r="H8583" s="14" t="s">
        <v>20170</v>
      </c>
      <c r="I8583" s="14" t="s">
        <v>15169</v>
      </c>
      <c r="J8583" s="14" t="s">
        <v>15170</v>
      </c>
      <c r="K8583" s="15" t="s">
        <v>15176</v>
      </c>
      <c r="L8583" s="16">
        <v>834</v>
      </c>
      <c r="M8583" t="str">
        <f>VLOOKUP(L8583,[1]Mouse_ARA!$B$2:$C$1328,2,FALSE)</f>
        <v>SCzo</v>
      </c>
    </row>
  </sheetData>
  <autoFilter ref="A2:M8583" xr:uid="{2DF274C0-6B98-47FC-8DDD-3E3EC77AD98F}">
    <sortState xmlns:xlrd2="http://schemas.microsoft.com/office/spreadsheetml/2017/richdata2" ref="A3426:M3429">
      <sortCondition descending="1" ref="I2:I8583"/>
    </sortState>
  </autoFilter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BA20F-3221-423E-BB8D-AD17D54D3278}">
  <dimension ref="A1:T1328"/>
  <sheetViews>
    <sheetView topLeftCell="B1" zoomScale="160" zoomScaleNormal="160" workbookViewId="0">
      <selection activeCell="X13" sqref="X13"/>
    </sheetView>
  </sheetViews>
  <sheetFormatPr defaultRowHeight="15" x14ac:dyDescent="0.25"/>
  <cols>
    <col min="1" max="1" width="0" hidden="1" customWidth="1"/>
    <col min="2" max="2" width="13.5703125" customWidth="1"/>
    <col min="4" max="8" width="0" hidden="1" customWidth="1"/>
    <col min="9" max="21" width="5.28515625" customWidth="1"/>
  </cols>
  <sheetData>
    <row r="1" spans="1:17" x14ac:dyDescent="0.25">
      <c r="A1" t="s">
        <v>15179</v>
      </c>
      <c r="B1" t="s">
        <v>15180</v>
      </c>
      <c r="C1" t="s">
        <v>15181</v>
      </c>
      <c r="D1" t="s">
        <v>15182</v>
      </c>
      <c r="E1" t="s">
        <v>15183</v>
      </c>
      <c r="F1" t="s">
        <v>15184</v>
      </c>
      <c r="G1" t="s">
        <v>15185</v>
      </c>
      <c r="H1" t="s">
        <v>15186</v>
      </c>
      <c r="I1" t="s">
        <v>15187</v>
      </c>
      <c r="J1" t="s">
        <v>15188</v>
      </c>
    </row>
    <row r="2" spans="1:17" x14ac:dyDescent="0.25">
      <c r="B2">
        <v>997</v>
      </c>
      <c r="C2" t="s">
        <v>611</v>
      </c>
      <c r="E2">
        <v>255</v>
      </c>
      <c r="F2">
        <v>255</v>
      </c>
      <c r="G2">
        <v>255</v>
      </c>
      <c r="H2">
        <v>0</v>
      </c>
      <c r="J2" t="s">
        <v>611</v>
      </c>
    </row>
    <row r="3" spans="1:17" x14ac:dyDescent="0.25">
      <c r="B3">
        <v>8</v>
      </c>
      <c r="C3" t="s">
        <v>18646</v>
      </c>
      <c r="E3">
        <v>191</v>
      </c>
      <c r="F3">
        <v>218</v>
      </c>
      <c r="G3">
        <v>227</v>
      </c>
      <c r="H3">
        <v>1</v>
      </c>
      <c r="K3" t="s">
        <v>18647</v>
      </c>
    </row>
    <row r="4" spans="1:17" x14ac:dyDescent="0.25">
      <c r="B4">
        <v>567</v>
      </c>
      <c r="C4" t="s">
        <v>18648</v>
      </c>
      <c r="E4">
        <v>176</v>
      </c>
      <c r="F4">
        <v>240</v>
      </c>
      <c r="G4">
        <v>255</v>
      </c>
      <c r="H4">
        <v>2</v>
      </c>
      <c r="L4" t="s">
        <v>18649</v>
      </c>
    </row>
    <row r="5" spans="1:17" x14ac:dyDescent="0.25">
      <c r="B5">
        <v>688</v>
      </c>
      <c r="C5" t="s">
        <v>18650</v>
      </c>
      <c r="E5">
        <v>176</v>
      </c>
      <c r="F5">
        <v>255</v>
      </c>
      <c r="G5">
        <v>184</v>
      </c>
      <c r="H5">
        <v>3</v>
      </c>
      <c r="M5" t="s">
        <v>18651</v>
      </c>
    </row>
    <row r="6" spans="1:17" x14ac:dyDescent="0.25">
      <c r="B6">
        <v>695</v>
      </c>
      <c r="C6" t="s">
        <v>18652</v>
      </c>
      <c r="E6">
        <v>112</v>
      </c>
      <c r="F6">
        <v>255</v>
      </c>
      <c r="G6">
        <v>112</v>
      </c>
      <c r="H6">
        <v>4</v>
      </c>
      <c r="N6" t="s">
        <v>18653</v>
      </c>
    </row>
    <row r="7" spans="1:17" x14ac:dyDescent="0.25">
      <c r="B7">
        <v>315</v>
      </c>
      <c r="C7" t="s">
        <v>18654</v>
      </c>
      <c r="E7">
        <v>112</v>
      </c>
      <c r="F7">
        <v>255</v>
      </c>
      <c r="G7">
        <v>113</v>
      </c>
      <c r="H7">
        <v>5</v>
      </c>
      <c r="O7" t="s">
        <v>18654</v>
      </c>
    </row>
    <row r="8" spans="1:17" x14ac:dyDescent="0.25">
      <c r="B8">
        <v>184</v>
      </c>
      <c r="C8" t="s">
        <v>18655</v>
      </c>
      <c r="E8">
        <v>38</v>
      </c>
      <c r="F8">
        <v>143</v>
      </c>
      <c r="G8">
        <v>69</v>
      </c>
      <c r="H8">
        <v>8</v>
      </c>
      <c r="P8" t="s">
        <v>18656</v>
      </c>
    </row>
    <row r="9" spans="1:17" x14ac:dyDescent="0.25">
      <c r="B9">
        <v>68</v>
      </c>
      <c r="C9" t="s">
        <v>18657</v>
      </c>
      <c r="E9">
        <v>38</v>
      </c>
      <c r="F9">
        <v>143</v>
      </c>
      <c r="G9">
        <v>69</v>
      </c>
      <c r="H9">
        <v>11</v>
      </c>
      <c r="Q9" t="s">
        <v>18658</v>
      </c>
    </row>
    <row r="10" spans="1:17" x14ac:dyDescent="0.25">
      <c r="B10">
        <v>667</v>
      </c>
      <c r="C10" t="s">
        <v>18659</v>
      </c>
      <c r="E10">
        <v>38</v>
      </c>
      <c r="F10">
        <v>143</v>
      </c>
      <c r="G10">
        <v>69</v>
      </c>
      <c r="H10">
        <v>11</v>
      </c>
      <c r="Q10" t="s">
        <v>18660</v>
      </c>
    </row>
    <row r="11" spans="1:17" x14ac:dyDescent="0.25">
      <c r="B11">
        <v>526157192</v>
      </c>
      <c r="C11" t="s">
        <v>18661</v>
      </c>
      <c r="E11">
        <v>38</v>
      </c>
      <c r="F11">
        <v>143</v>
      </c>
      <c r="G11">
        <v>69</v>
      </c>
      <c r="H11">
        <v>11</v>
      </c>
      <c r="Q11" t="s">
        <v>18662</v>
      </c>
    </row>
    <row r="12" spans="1:17" x14ac:dyDescent="0.25">
      <c r="B12">
        <v>526157196</v>
      </c>
      <c r="C12" t="s">
        <v>18663</v>
      </c>
      <c r="E12">
        <v>38</v>
      </c>
      <c r="F12">
        <v>143</v>
      </c>
      <c r="G12">
        <v>69</v>
      </c>
      <c r="H12">
        <v>11</v>
      </c>
      <c r="Q12" t="s">
        <v>18664</v>
      </c>
    </row>
    <row r="13" spans="1:17" x14ac:dyDescent="0.25">
      <c r="B13">
        <v>526322264</v>
      </c>
      <c r="C13" t="s">
        <v>18665</v>
      </c>
      <c r="E13">
        <v>38</v>
      </c>
      <c r="F13">
        <v>143</v>
      </c>
      <c r="G13">
        <v>69</v>
      </c>
      <c r="H13">
        <v>11</v>
      </c>
      <c r="Q13" t="s">
        <v>18666</v>
      </c>
    </row>
    <row r="14" spans="1:17" x14ac:dyDescent="0.25">
      <c r="B14">
        <v>500</v>
      </c>
      <c r="C14" t="s">
        <v>18667</v>
      </c>
      <c r="E14">
        <v>31</v>
      </c>
      <c r="F14">
        <v>157</v>
      </c>
      <c r="G14">
        <v>90</v>
      </c>
      <c r="H14">
        <v>6</v>
      </c>
      <c r="P14" t="s">
        <v>18668</v>
      </c>
    </row>
    <row r="15" spans="1:17" x14ac:dyDescent="0.25">
      <c r="B15">
        <v>107</v>
      </c>
      <c r="C15" t="s">
        <v>18669</v>
      </c>
      <c r="E15">
        <v>31</v>
      </c>
      <c r="F15">
        <v>157</v>
      </c>
      <c r="G15">
        <v>90</v>
      </c>
      <c r="H15">
        <v>11</v>
      </c>
      <c r="Q15" t="s">
        <v>18670</v>
      </c>
    </row>
    <row r="16" spans="1:17" x14ac:dyDescent="0.25">
      <c r="B16">
        <v>219</v>
      </c>
      <c r="C16" t="s">
        <v>18671</v>
      </c>
      <c r="E16">
        <v>31</v>
      </c>
      <c r="F16">
        <v>157</v>
      </c>
      <c r="G16">
        <v>90</v>
      </c>
      <c r="H16">
        <v>11</v>
      </c>
      <c r="Q16" t="s">
        <v>18672</v>
      </c>
    </row>
    <row r="17" spans="2:18" x14ac:dyDescent="0.25">
      <c r="B17">
        <v>299</v>
      </c>
      <c r="C17" t="s">
        <v>18673</v>
      </c>
      <c r="E17">
        <v>31</v>
      </c>
      <c r="F17">
        <v>157</v>
      </c>
      <c r="G17">
        <v>90</v>
      </c>
      <c r="H17">
        <v>11</v>
      </c>
      <c r="Q17" t="s">
        <v>18674</v>
      </c>
    </row>
    <row r="18" spans="2:18" x14ac:dyDescent="0.25">
      <c r="B18">
        <v>644</v>
      </c>
      <c r="C18" t="s">
        <v>18675</v>
      </c>
      <c r="E18">
        <v>31</v>
      </c>
      <c r="F18">
        <v>157</v>
      </c>
      <c r="G18">
        <v>90</v>
      </c>
      <c r="H18">
        <v>11</v>
      </c>
      <c r="Q18" t="s">
        <v>18676</v>
      </c>
    </row>
    <row r="19" spans="2:18" x14ac:dyDescent="0.25">
      <c r="B19">
        <v>947</v>
      </c>
      <c r="C19" t="s">
        <v>18677</v>
      </c>
      <c r="E19">
        <v>31</v>
      </c>
      <c r="F19">
        <v>157</v>
      </c>
      <c r="G19">
        <v>90</v>
      </c>
      <c r="H19">
        <v>11</v>
      </c>
      <c r="Q19" t="s">
        <v>18678</v>
      </c>
    </row>
    <row r="20" spans="2:18" x14ac:dyDescent="0.25">
      <c r="B20">
        <v>985</v>
      </c>
      <c r="C20" t="s">
        <v>18679</v>
      </c>
      <c r="E20">
        <v>31</v>
      </c>
      <c r="F20">
        <v>157</v>
      </c>
      <c r="G20">
        <v>90</v>
      </c>
      <c r="H20">
        <v>8</v>
      </c>
      <c r="Q20" t="s">
        <v>18680</v>
      </c>
    </row>
    <row r="21" spans="2:18" x14ac:dyDescent="0.25">
      <c r="B21">
        <v>320</v>
      </c>
      <c r="C21" t="s">
        <v>18681</v>
      </c>
      <c r="E21">
        <v>31</v>
      </c>
      <c r="F21">
        <v>157</v>
      </c>
      <c r="G21">
        <v>90</v>
      </c>
      <c r="H21">
        <v>11</v>
      </c>
      <c r="R21" t="s">
        <v>18682</v>
      </c>
    </row>
    <row r="22" spans="2:18" x14ac:dyDescent="0.25">
      <c r="B22">
        <v>943</v>
      </c>
      <c r="C22" t="s">
        <v>18683</v>
      </c>
      <c r="E22">
        <v>31</v>
      </c>
      <c r="F22">
        <v>157</v>
      </c>
      <c r="G22">
        <v>90</v>
      </c>
      <c r="H22">
        <v>11</v>
      </c>
      <c r="R22" t="s">
        <v>18684</v>
      </c>
    </row>
    <row r="23" spans="2:18" x14ac:dyDescent="0.25">
      <c r="B23">
        <v>648</v>
      </c>
      <c r="C23" t="s">
        <v>18685</v>
      </c>
      <c r="E23">
        <v>31</v>
      </c>
      <c r="F23">
        <v>157</v>
      </c>
      <c r="G23">
        <v>90</v>
      </c>
      <c r="H23">
        <v>11</v>
      </c>
      <c r="R23" t="s">
        <v>18686</v>
      </c>
    </row>
    <row r="24" spans="2:18" x14ac:dyDescent="0.25">
      <c r="B24">
        <v>844</v>
      </c>
      <c r="C24" t="s">
        <v>18687</v>
      </c>
      <c r="E24">
        <v>31</v>
      </c>
      <c r="F24">
        <v>157</v>
      </c>
      <c r="G24">
        <v>90</v>
      </c>
      <c r="H24">
        <v>11</v>
      </c>
      <c r="R24" t="s">
        <v>18688</v>
      </c>
    </row>
    <row r="25" spans="2:18" x14ac:dyDescent="0.25">
      <c r="B25">
        <v>882</v>
      </c>
      <c r="C25" t="s">
        <v>18689</v>
      </c>
      <c r="E25">
        <v>31</v>
      </c>
      <c r="F25">
        <v>157</v>
      </c>
      <c r="G25">
        <v>90</v>
      </c>
      <c r="H25">
        <v>11</v>
      </c>
      <c r="R25" t="s">
        <v>18690</v>
      </c>
    </row>
    <row r="26" spans="2:18" x14ac:dyDescent="0.25">
      <c r="B26">
        <v>993</v>
      </c>
      <c r="C26" t="s">
        <v>18691</v>
      </c>
      <c r="E26">
        <v>31</v>
      </c>
      <c r="F26">
        <v>157</v>
      </c>
      <c r="G26">
        <v>90</v>
      </c>
      <c r="H26">
        <v>8</v>
      </c>
      <c r="Q26" t="s">
        <v>18692</v>
      </c>
    </row>
    <row r="27" spans="2:18" x14ac:dyDescent="0.25">
      <c r="B27">
        <v>656</v>
      </c>
      <c r="C27" t="s">
        <v>18693</v>
      </c>
      <c r="E27">
        <v>31</v>
      </c>
      <c r="F27">
        <v>157</v>
      </c>
      <c r="G27">
        <v>90</v>
      </c>
      <c r="H27">
        <v>11</v>
      </c>
      <c r="R27" t="s">
        <v>18694</v>
      </c>
    </row>
    <row r="28" spans="2:18" x14ac:dyDescent="0.25">
      <c r="B28">
        <v>962</v>
      </c>
      <c r="C28" t="s">
        <v>18695</v>
      </c>
      <c r="E28">
        <v>31</v>
      </c>
      <c r="F28">
        <v>157</v>
      </c>
      <c r="G28">
        <v>90</v>
      </c>
      <c r="H28">
        <v>11</v>
      </c>
      <c r="R28" t="s">
        <v>18696</v>
      </c>
    </row>
    <row r="29" spans="2:18" x14ac:dyDescent="0.25">
      <c r="B29">
        <v>767</v>
      </c>
      <c r="C29" t="s">
        <v>18697</v>
      </c>
      <c r="E29">
        <v>31</v>
      </c>
      <c r="F29">
        <v>157</v>
      </c>
      <c r="G29">
        <v>90</v>
      </c>
      <c r="H29">
        <v>11</v>
      </c>
      <c r="R29" t="s">
        <v>18698</v>
      </c>
    </row>
    <row r="30" spans="2:18" x14ac:dyDescent="0.25">
      <c r="B30">
        <v>1021</v>
      </c>
      <c r="C30" t="s">
        <v>18699</v>
      </c>
      <c r="E30">
        <v>31</v>
      </c>
      <c r="F30">
        <v>157</v>
      </c>
      <c r="G30">
        <v>90</v>
      </c>
      <c r="H30">
        <v>11</v>
      </c>
      <c r="R30" t="s">
        <v>18700</v>
      </c>
    </row>
    <row r="31" spans="2:18" x14ac:dyDescent="0.25">
      <c r="B31">
        <v>1085</v>
      </c>
      <c r="C31" t="s">
        <v>18701</v>
      </c>
      <c r="E31">
        <v>31</v>
      </c>
      <c r="F31">
        <v>157</v>
      </c>
      <c r="G31">
        <v>90</v>
      </c>
      <c r="H31">
        <v>11</v>
      </c>
      <c r="R31" t="s">
        <v>18702</v>
      </c>
    </row>
    <row r="32" spans="2:18" x14ac:dyDescent="0.25">
      <c r="B32">
        <v>453</v>
      </c>
      <c r="C32" t="s">
        <v>17787</v>
      </c>
      <c r="E32">
        <v>24</v>
      </c>
      <c r="F32">
        <v>128</v>
      </c>
      <c r="G32">
        <v>100</v>
      </c>
      <c r="H32">
        <v>6</v>
      </c>
      <c r="P32" t="s">
        <v>18703</v>
      </c>
    </row>
    <row r="33" spans="2:19" x14ac:dyDescent="0.25">
      <c r="B33">
        <v>12993</v>
      </c>
      <c r="C33" t="s">
        <v>18704</v>
      </c>
      <c r="E33">
        <v>24</v>
      </c>
      <c r="F33">
        <v>128</v>
      </c>
      <c r="G33">
        <v>100</v>
      </c>
      <c r="H33">
        <v>11</v>
      </c>
      <c r="Q33" t="s">
        <v>18705</v>
      </c>
    </row>
    <row r="34" spans="2:19" x14ac:dyDescent="0.25">
      <c r="B34">
        <v>12994</v>
      </c>
      <c r="C34" t="s">
        <v>18706</v>
      </c>
      <c r="E34">
        <v>24</v>
      </c>
      <c r="F34">
        <v>128</v>
      </c>
      <c r="G34">
        <v>100</v>
      </c>
      <c r="H34">
        <v>11</v>
      </c>
      <c r="Q34" t="s">
        <v>18707</v>
      </c>
    </row>
    <row r="35" spans="2:19" x14ac:dyDescent="0.25">
      <c r="B35">
        <v>12995</v>
      </c>
      <c r="C35" t="s">
        <v>18708</v>
      </c>
      <c r="E35">
        <v>24</v>
      </c>
      <c r="F35">
        <v>128</v>
      </c>
      <c r="G35">
        <v>100</v>
      </c>
      <c r="H35">
        <v>11</v>
      </c>
      <c r="Q35" t="s">
        <v>18709</v>
      </c>
    </row>
    <row r="36" spans="2:19" x14ac:dyDescent="0.25">
      <c r="B36">
        <v>12996</v>
      </c>
      <c r="C36" t="s">
        <v>18710</v>
      </c>
      <c r="E36">
        <v>24</v>
      </c>
      <c r="F36">
        <v>128</v>
      </c>
      <c r="G36">
        <v>100</v>
      </c>
      <c r="H36">
        <v>11</v>
      </c>
      <c r="Q36" t="s">
        <v>18711</v>
      </c>
    </row>
    <row r="37" spans="2:19" x14ac:dyDescent="0.25">
      <c r="B37">
        <v>12997</v>
      </c>
      <c r="C37" t="s">
        <v>18712</v>
      </c>
      <c r="E37">
        <v>24</v>
      </c>
      <c r="F37">
        <v>128</v>
      </c>
      <c r="G37">
        <v>100</v>
      </c>
      <c r="H37">
        <v>11</v>
      </c>
      <c r="Q37" t="s">
        <v>18713</v>
      </c>
    </row>
    <row r="38" spans="2:19" x14ac:dyDescent="0.25">
      <c r="B38">
        <v>12998</v>
      </c>
      <c r="C38" t="s">
        <v>18714</v>
      </c>
      <c r="E38">
        <v>24</v>
      </c>
      <c r="F38">
        <v>128</v>
      </c>
      <c r="G38">
        <v>100</v>
      </c>
      <c r="H38">
        <v>11</v>
      </c>
      <c r="Q38" t="s">
        <v>18715</v>
      </c>
    </row>
    <row r="39" spans="2:19" x14ac:dyDescent="0.25">
      <c r="B39">
        <v>322</v>
      </c>
      <c r="C39" t="s">
        <v>18716</v>
      </c>
      <c r="E39">
        <v>24</v>
      </c>
      <c r="F39">
        <v>128</v>
      </c>
      <c r="G39">
        <v>100</v>
      </c>
      <c r="H39">
        <v>8</v>
      </c>
      <c r="Q39" t="s">
        <v>18717</v>
      </c>
    </row>
    <row r="40" spans="2:19" x14ac:dyDescent="0.25">
      <c r="B40">
        <v>793</v>
      </c>
      <c r="C40" t="s">
        <v>18718</v>
      </c>
      <c r="E40">
        <v>24</v>
      </c>
      <c r="F40">
        <v>128</v>
      </c>
      <c r="G40">
        <v>100</v>
      </c>
      <c r="H40">
        <v>11</v>
      </c>
      <c r="R40" t="s">
        <v>18719</v>
      </c>
    </row>
    <row r="41" spans="2:19" x14ac:dyDescent="0.25">
      <c r="B41">
        <v>346</v>
      </c>
      <c r="C41" t="s">
        <v>18720</v>
      </c>
      <c r="E41">
        <v>24</v>
      </c>
      <c r="F41">
        <v>128</v>
      </c>
      <c r="G41">
        <v>100</v>
      </c>
      <c r="H41">
        <v>11</v>
      </c>
      <c r="R41" t="s">
        <v>18721</v>
      </c>
    </row>
    <row r="42" spans="2:19" x14ac:dyDescent="0.25">
      <c r="B42">
        <v>865</v>
      </c>
      <c r="C42" t="s">
        <v>18722</v>
      </c>
      <c r="E42">
        <v>24</v>
      </c>
      <c r="F42">
        <v>128</v>
      </c>
      <c r="G42">
        <v>100</v>
      </c>
      <c r="H42">
        <v>11</v>
      </c>
      <c r="R42" t="s">
        <v>18723</v>
      </c>
    </row>
    <row r="43" spans="2:19" x14ac:dyDescent="0.25">
      <c r="B43">
        <v>921</v>
      </c>
      <c r="C43" t="s">
        <v>18724</v>
      </c>
      <c r="E43">
        <v>24</v>
      </c>
      <c r="F43">
        <v>128</v>
      </c>
      <c r="G43">
        <v>100</v>
      </c>
      <c r="H43">
        <v>11</v>
      </c>
      <c r="R43" t="s">
        <v>18725</v>
      </c>
    </row>
    <row r="44" spans="2:19" x14ac:dyDescent="0.25">
      <c r="B44">
        <v>686</v>
      </c>
      <c r="C44" t="s">
        <v>18726</v>
      </c>
      <c r="E44">
        <v>24</v>
      </c>
      <c r="F44">
        <v>128</v>
      </c>
      <c r="G44">
        <v>100</v>
      </c>
      <c r="H44">
        <v>11</v>
      </c>
      <c r="R44" t="s">
        <v>18727</v>
      </c>
    </row>
    <row r="45" spans="2:19" x14ac:dyDescent="0.25">
      <c r="B45">
        <v>719</v>
      </c>
      <c r="C45" t="s">
        <v>18728</v>
      </c>
      <c r="E45">
        <v>24</v>
      </c>
      <c r="F45">
        <v>128</v>
      </c>
      <c r="G45">
        <v>100</v>
      </c>
      <c r="H45">
        <v>11</v>
      </c>
      <c r="R45" t="s">
        <v>18729</v>
      </c>
    </row>
    <row r="46" spans="2:19" x14ac:dyDescent="0.25">
      <c r="B46">
        <v>353</v>
      </c>
      <c r="C46" t="s">
        <v>18730</v>
      </c>
      <c r="E46">
        <v>24</v>
      </c>
      <c r="F46">
        <v>128</v>
      </c>
      <c r="G46">
        <v>100</v>
      </c>
      <c r="H46">
        <v>9</v>
      </c>
      <c r="R46" t="s">
        <v>18731</v>
      </c>
    </row>
    <row r="47" spans="2:19" x14ac:dyDescent="0.25">
      <c r="B47">
        <v>558</v>
      </c>
      <c r="C47" t="s">
        <v>18732</v>
      </c>
      <c r="E47">
        <v>24</v>
      </c>
      <c r="F47">
        <v>128</v>
      </c>
      <c r="G47">
        <v>100</v>
      </c>
      <c r="H47">
        <v>11</v>
      </c>
      <c r="S47" t="s">
        <v>18733</v>
      </c>
    </row>
    <row r="48" spans="2:19" x14ac:dyDescent="0.25">
      <c r="B48">
        <v>838</v>
      </c>
      <c r="C48" t="s">
        <v>18734</v>
      </c>
      <c r="E48">
        <v>24</v>
      </c>
      <c r="F48">
        <v>128</v>
      </c>
      <c r="G48">
        <v>100</v>
      </c>
      <c r="H48">
        <v>11</v>
      </c>
      <c r="S48" t="s">
        <v>18735</v>
      </c>
    </row>
    <row r="49" spans="2:20" x14ac:dyDescent="0.25">
      <c r="B49">
        <v>654</v>
      </c>
      <c r="C49" t="s">
        <v>18736</v>
      </c>
      <c r="E49">
        <v>24</v>
      </c>
      <c r="F49">
        <v>128</v>
      </c>
      <c r="G49">
        <v>100</v>
      </c>
      <c r="H49">
        <v>11</v>
      </c>
      <c r="S49" t="s">
        <v>18737</v>
      </c>
    </row>
    <row r="50" spans="2:20" x14ac:dyDescent="0.25">
      <c r="B50">
        <v>702</v>
      </c>
      <c r="C50" t="s">
        <v>18738</v>
      </c>
      <c r="E50">
        <v>24</v>
      </c>
      <c r="F50">
        <v>128</v>
      </c>
      <c r="G50">
        <v>100</v>
      </c>
      <c r="H50">
        <v>11</v>
      </c>
      <c r="S50" t="s">
        <v>18739</v>
      </c>
    </row>
    <row r="51" spans="2:20" x14ac:dyDescent="0.25">
      <c r="B51">
        <v>889</v>
      </c>
      <c r="C51" t="s">
        <v>18740</v>
      </c>
      <c r="E51">
        <v>24</v>
      </c>
      <c r="F51">
        <v>128</v>
      </c>
      <c r="G51">
        <v>100</v>
      </c>
      <c r="H51">
        <v>11</v>
      </c>
      <c r="S51" t="s">
        <v>18741</v>
      </c>
    </row>
    <row r="52" spans="2:20" x14ac:dyDescent="0.25">
      <c r="B52">
        <v>929</v>
      </c>
      <c r="C52" t="s">
        <v>18742</v>
      </c>
      <c r="E52">
        <v>24</v>
      </c>
      <c r="F52">
        <v>128</v>
      </c>
      <c r="G52">
        <v>100</v>
      </c>
      <c r="H52">
        <v>11</v>
      </c>
      <c r="S52" t="s">
        <v>18743</v>
      </c>
    </row>
    <row r="53" spans="2:20" x14ac:dyDescent="0.25">
      <c r="B53">
        <v>329</v>
      </c>
      <c r="C53" t="s">
        <v>18744</v>
      </c>
      <c r="E53">
        <v>24</v>
      </c>
      <c r="F53">
        <v>128</v>
      </c>
      <c r="G53">
        <v>100</v>
      </c>
      <c r="H53">
        <v>9</v>
      </c>
      <c r="R53" t="s">
        <v>18745</v>
      </c>
    </row>
    <row r="54" spans="2:20" x14ac:dyDescent="0.25">
      <c r="B54">
        <v>981</v>
      </c>
      <c r="C54" t="s">
        <v>18746</v>
      </c>
      <c r="E54">
        <v>24</v>
      </c>
      <c r="F54">
        <v>128</v>
      </c>
      <c r="G54">
        <v>100</v>
      </c>
      <c r="H54">
        <v>11</v>
      </c>
      <c r="S54" t="s">
        <v>18747</v>
      </c>
    </row>
    <row r="55" spans="2:20" x14ac:dyDescent="0.25">
      <c r="B55">
        <v>201</v>
      </c>
      <c r="C55" t="s">
        <v>18748</v>
      </c>
      <c r="E55">
        <v>24</v>
      </c>
      <c r="F55">
        <v>128</v>
      </c>
      <c r="G55">
        <v>100</v>
      </c>
      <c r="H55">
        <v>11</v>
      </c>
      <c r="S55" t="s">
        <v>18749</v>
      </c>
    </row>
    <row r="56" spans="2:20" x14ac:dyDescent="0.25">
      <c r="B56">
        <v>1047</v>
      </c>
      <c r="C56" t="s">
        <v>18750</v>
      </c>
      <c r="E56">
        <v>24</v>
      </c>
      <c r="F56">
        <v>128</v>
      </c>
      <c r="G56">
        <v>100</v>
      </c>
      <c r="H56">
        <v>11</v>
      </c>
      <c r="S56" t="s">
        <v>18751</v>
      </c>
    </row>
    <row r="57" spans="2:20" x14ac:dyDescent="0.25">
      <c r="B57">
        <v>1070</v>
      </c>
      <c r="C57" t="s">
        <v>18752</v>
      </c>
      <c r="E57">
        <v>24</v>
      </c>
      <c r="F57">
        <v>128</v>
      </c>
      <c r="G57">
        <v>100</v>
      </c>
      <c r="H57">
        <v>11</v>
      </c>
      <c r="S57" t="s">
        <v>18753</v>
      </c>
    </row>
    <row r="58" spans="2:20" x14ac:dyDescent="0.25">
      <c r="B58">
        <v>1038</v>
      </c>
      <c r="C58" t="s">
        <v>18754</v>
      </c>
      <c r="E58">
        <v>24</v>
      </c>
      <c r="F58">
        <v>128</v>
      </c>
      <c r="G58">
        <v>100</v>
      </c>
      <c r="H58">
        <v>11</v>
      </c>
      <c r="S58" t="s">
        <v>18755</v>
      </c>
    </row>
    <row r="59" spans="2:20" x14ac:dyDescent="0.25">
      <c r="B59">
        <v>1062</v>
      </c>
      <c r="C59" t="s">
        <v>18756</v>
      </c>
      <c r="E59">
        <v>24</v>
      </c>
      <c r="F59">
        <v>128</v>
      </c>
      <c r="G59">
        <v>100</v>
      </c>
      <c r="H59">
        <v>11</v>
      </c>
      <c r="S59" t="s">
        <v>18757</v>
      </c>
    </row>
    <row r="60" spans="2:20" x14ac:dyDescent="0.25">
      <c r="B60">
        <v>480149202</v>
      </c>
      <c r="C60" t="s">
        <v>18758</v>
      </c>
      <c r="E60">
        <v>24</v>
      </c>
      <c r="F60">
        <v>128</v>
      </c>
      <c r="G60">
        <v>100</v>
      </c>
      <c r="H60">
        <v>10</v>
      </c>
      <c r="S60" t="s">
        <v>18759</v>
      </c>
    </row>
    <row r="61" spans="2:20" x14ac:dyDescent="0.25">
      <c r="B61">
        <v>480149206</v>
      </c>
      <c r="C61" t="s">
        <v>18760</v>
      </c>
      <c r="E61">
        <v>24</v>
      </c>
      <c r="F61">
        <v>128</v>
      </c>
      <c r="G61">
        <v>100</v>
      </c>
      <c r="H61">
        <v>11</v>
      </c>
      <c r="T61" t="s">
        <v>18761</v>
      </c>
    </row>
    <row r="62" spans="2:20" x14ac:dyDescent="0.25">
      <c r="B62">
        <v>480149210</v>
      </c>
      <c r="C62" t="s">
        <v>18762</v>
      </c>
      <c r="E62">
        <v>24</v>
      </c>
      <c r="F62">
        <v>128</v>
      </c>
      <c r="G62">
        <v>100</v>
      </c>
      <c r="H62">
        <v>11</v>
      </c>
      <c r="T62" t="s">
        <v>18763</v>
      </c>
    </row>
    <row r="63" spans="2:20" x14ac:dyDescent="0.25">
      <c r="B63">
        <v>480149214</v>
      </c>
      <c r="C63" t="s">
        <v>18764</v>
      </c>
      <c r="E63">
        <v>24</v>
      </c>
      <c r="F63">
        <v>128</v>
      </c>
      <c r="G63">
        <v>100</v>
      </c>
      <c r="H63">
        <v>11</v>
      </c>
      <c r="T63" t="s">
        <v>18765</v>
      </c>
    </row>
    <row r="64" spans="2:20" x14ac:dyDescent="0.25">
      <c r="B64">
        <v>480149218</v>
      </c>
      <c r="C64" t="s">
        <v>18766</v>
      </c>
      <c r="E64">
        <v>24</v>
      </c>
      <c r="F64">
        <v>128</v>
      </c>
      <c r="G64">
        <v>100</v>
      </c>
      <c r="H64">
        <v>11</v>
      </c>
      <c r="T64" t="s">
        <v>18767</v>
      </c>
    </row>
    <row r="65" spans="2:20" x14ac:dyDescent="0.25">
      <c r="B65">
        <v>480149222</v>
      </c>
      <c r="C65" t="s">
        <v>18768</v>
      </c>
      <c r="E65">
        <v>24</v>
      </c>
      <c r="F65">
        <v>128</v>
      </c>
      <c r="G65">
        <v>100</v>
      </c>
      <c r="H65">
        <v>11</v>
      </c>
      <c r="T65" t="s">
        <v>18769</v>
      </c>
    </row>
    <row r="66" spans="2:20" x14ac:dyDescent="0.25">
      <c r="B66">
        <v>480149226</v>
      </c>
      <c r="C66" t="s">
        <v>18770</v>
      </c>
      <c r="E66">
        <v>24</v>
      </c>
      <c r="F66">
        <v>128</v>
      </c>
      <c r="G66">
        <v>100</v>
      </c>
      <c r="H66">
        <v>11</v>
      </c>
      <c r="T66" t="s">
        <v>18771</v>
      </c>
    </row>
    <row r="67" spans="2:20" x14ac:dyDescent="0.25">
      <c r="B67">
        <v>337</v>
      </c>
      <c r="C67" t="s">
        <v>18772</v>
      </c>
      <c r="E67">
        <v>24</v>
      </c>
      <c r="F67">
        <v>128</v>
      </c>
      <c r="G67">
        <v>100</v>
      </c>
      <c r="H67">
        <v>9</v>
      </c>
      <c r="R67" t="s">
        <v>18773</v>
      </c>
    </row>
    <row r="68" spans="2:20" x14ac:dyDescent="0.25">
      <c r="B68">
        <v>1030</v>
      </c>
      <c r="C68" t="s">
        <v>18774</v>
      </c>
      <c r="E68">
        <v>24</v>
      </c>
      <c r="F68">
        <v>128</v>
      </c>
      <c r="G68">
        <v>100</v>
      </c>
      <c r="H68">
        <v>11</v>
      </c>
      <c r="S68" t="s">
        <v>18775</v>
      </c>
    </row>
    <row r="69" spans="2:20" x14ac:dyDescent="0.25">
      <c r="B69">
        <v>113</v>
      </c>
      <c r="C69" t="s">
        <v>18776</v>
      </c>
      <c r="E69">
        <v>24</v>
      </c>
      <c r="F69">
        <v>128</v>
      </c>
      <c r="G69">
        <v>100</v>
      </c>
      <c r="H69">
        <v>11</v>
      </c>
      <c r="S69" t="s">
        <v>18777</v>
      </c>
    </row>
    <row r="70" spans="2:20" x14ac:dyDescent="0.25">
      <c r="B70">
        <v>1094</v>
      </c>
      <c r="C70" t="s">
        <v>18778</v>
      </c>
      <c r="E70">
        <v>24</v>
      </c>
      <c r="F70">
        <v>128</v>
      </c>
      <c r="G70">
        <v>100</v>
      </c>
      <c r="H70">
        <v>11</v>
      </c>
      <c r="S70" t="s">
        <v>18779</v>
      </c>
    </row>
    <row r="71" spans="2:20" x14ac:dyDescent="0.25">
      <c r="B71">
        <v>1128</v>
      </c>
      <c r="C71" t="s">
        <v>18780</v>
      </c>
      <c r="E71">
        <v>24</v>
      </c>
      <c r="F71">
        <v>128</v>
      </c>
      <c r="G71">
        <v>100</v>
      </c>
      <c r="H71">
        <v>11</v>
      </c>
      <c r="S71" t="s">
        <v>18781</v>
      </c>
    </row>
    <row r="72" spans="2:20" x14ac:dyDescent="0.25">
      <c r="B72">
        <v>478</v>
      </c>
      <c r="C72" t="s">
        <v>18782</v>
      </c>
      <c r="E72">
        <v>24</v>
      </c>
      <c r="F72">
        <v>128</v>
      </c>
      <c r="G72">
        <v>100</v>
      </c>
      <c r="H72">
        <v>11</v>
      </c>
      <c r="S72" t="s">
        <v>18783</v>
      </c>
    </row>
    <row r="73" spans="2:20" x14ac:dyDescent="0.25">
      <c r="B73">
        <v>510</v>
      </c>
      <c r="C73" t="s">
        <v>18784</v>
      </c>
      <c r="E73">
        <v>24</v>
      </c>
      <c r="F73">
        <v>128</v>
      </c>
      <c r="G73">
        <v>100</v>
      </c>
      <c r="H73">
        <v>11</v>
      </c>
      <c r="S73" t="s">
        <v>18785</v>
      </c>
    </row>
    <row r="74" spans="2:20" x14ac:dyDescent="0.25">
      <c r="B74">
        <v>345</v>
      </c>
      <c r="C74" t="s">
        <v>18786</v>
      </c>
      <c r="E74">
        <v>24</v>
      </c>
      <c r="F74">
        <v>128</v>
      </c>
      <c r="G74">
        <v>100</v>
      </c>
      <c r="H74">
        <v>9</v>
      </c>
      <c r="R74" t="s">
        <v>18787</v>
      </c>
    </row>
    <row r="75" spans="2:20" x14ac:dyDescent="0.25">
      <c r="B75">
        <v>878</v>
      </c>
      <c r="C75" t="s">
        <v>18788</v>
      </c>
      <c r="E75">
        <v>24</v>
      </c>
      <c r="F75">
        <v>128</v>
      </c>
      <c r="G75">
        <v>100</v>
      </c>
      <c r="H75">
        <v>11</v>
      </c>
      <c r="S75" t="s">
        <v>18789</v>
      </c>
    </row>
    <row r="76" spans="2:20" x14ac:dyDescent="0.25">
      <c r="B76">
        <v>657</v>
      </c>
      <c r="C76" t="s">
        <v>18790</v>
      </c>
      <c r="E76">
        <v>24</v>
      </c>
      <c r="F76">
        <v>128</v>
      </c>
      <c r="G76">
        <v>100</v>
      </c>
      <c r="H76">
        <v>11</v>
      </c>
      <c r="S76" t="s">
        <v>18791</v>
      </c>
    </row>
    <row r="77" spans="2:20" x14ac:dyDescent="0.25">
      <c r="B77">
        <v>950</v>
      </c>
      <c r="C77" t="s">
        <v>18792</v>
      </c>
      <c r="E77">
        <v>24</v>
      </c>
      <c r="F77">
        <v>128</v>
      </c>
      <c r="G77">
        <v>100</v>
      </c>
      <c r="H77">
        <v>11</v>
      </c>
      <c r="S77" t="s">
        <v>18793</v>
      </c>
    </row>
    <row r="78" spans="2:20" x14ac:dyDescent="0.25">
      <c r="B78">
        <v>974</v>
      </c>
      <c r="C78" t="s">
        <v>18794</v>
      </c>
      <c r="E78">
        <v>24</v>
      </c>
      <c r="F78">
        <v>128</v>
      </c>
      <c r="G78">
        <v>100</v>
      </c>
      <c r="H78">
        <v>11</v>
      </c>
      <c r="S78" t="s">
        <v>18795</v>
      </c>
    </row>
    <row r="79" spans="2:20" x14ac:dyDescent="0.25">
      <c r="B79">
        <v>1102</v>
      </c>
      <c r="C79" t="s">
        <v>18796</v>
      </c>
      <c r="E79">
        <v>24</v>
      </c>
      <c r="F79">
        <v>128</v>
      </c>
      <c r="G79">
        <v>100</v>
      </c>
      <c r="H79">
        <v>11</v>
      </c>
      <c r="S79" t="s">
        <v>18797</v>
      </c>
    </row>
    <row r="80" spans="2:20" x14ac:dyDescent="0.25">
      <c r="B80">
        <v>2</v>
      </c>
      <c r="C80" t="s">
        <v>18798</v>
      </c>
      <c r="E80">
        <v>24</v>
      </c>
      <c r="F80">
        <v>128</v>
      </c>
      <c r="G80">
        <v>100</v>
      </c>
      <c r="H80">
        <v>11</v>
      </c>
      <c r="S80" t="s">
        <v>18799</v>
      </c>
    </row>
    <row r="81" spans="2:19" x14ac:dyDescent="0.25">
      <c r="B81">
        <v>369</v>
      </c>
      <c r="C81" t="s">
        <v>18800</v>
      </c>
      <c r="E81">
        <v>24</v>
      </c>
      <c r="F81">
        <v>128</v>
      </c>
      <c r="G81">
        <v>100</v>
      </c>
      <c r="H81">
        <v>9</v>
      </c>
      <c r="R81" t="s">
        <v>18801</v>
      </c>
    </row>
    <row r="82" spans="2:19" x14ac:dyDescent="0.25">
      <c r="B82">
        <v>450</v>
      </c>
      <c r="C82" t="s">
        <v>18802</v>
      </c>
      <c r="E82">
        <v>24</v>
      </c>
      <c r="F82">
        <v>128</v>
      </c>
      <c r="G82">
        <v>100</v>
      </c>
      <c r="H82">
        <v>11</v>
      </c>
      <c r="S82" t="s">
        <v>18803</v>
      </c>
    </row>
    <row r="83" spans="2:19" x14ac:dyDescent="0.25">
      <c r="B83">
        <v>854</v>
      </c>
      <c r="C83" t="s">
        <v>18804</v>
      </c>
      <c r="E83">
        <v>24</v>
      </c>
      <c r="F83">
        <v>128</v>
      </c>
      <c r="G83">
        <v>100</v>
      </c>
      <c r="H83">
        <v>11</v>
      </c>
      <c r="S83" t="s">
        <v>18805</v>
      </c>
    </row>
    <row r="84" spans="2:19" x14ac:dyDescent="0.25">
      <c r="B84">
        <v>577</v>
      </c>
      <c r="C84" t="s">
        <v>18806</v>
      </c>
      <c r="E84">
        <v>24</v>
      </c>
      <c r="F84">
        <v>128</v>
      </c>
      <c r="G84">
        <v>100</v>
      </c>
      <c r="H84">
        <v>11</v>
      </c>
      <c r="S84" t="s">
        <v>18807</v>
      </c>
    </row>
    <row r="85" spans="2:19" x14ac:dyDescent="0.25">
      <c r="B85">
        <v>625</v>
      </c>
      <c r="C85" t="s">
        <v>18808</v>
      </c>
      <c r="E85">
        <v>24</v>
      </c>
      <c r="F85">
        <v>128</v>
      </c>
      <c r="G85">
        <v>100</v>
      </c>
      <c r="H85">
        <v>11</v>
      </c>
      <c r="S85" t="s">
        <v>18809</v>
      </c>
    </row>
    <row r="86" spans="2:19" x14ac:dyDescent="0.25">
      <c r="B86">
        <v>945</v>
      </c>
      <c r="C86" t="s">
        <v>18810</v>
      </c>
      <c r="E86">
        <v>24</v>
      </c>
      <c r="F86">
        <v>128</v>
      </c>
      <c r="G86">
        <v>100</v>
      </c>
      <c r="H86">
        <v>11</v>
      </c>
      <c r="S86" t="s">
        <v>18811</v>
      </c>
    </row>
    <row r="87" spans="2:19" x14ac:dyDescent="0.25">
      <c r="B87">
        <v>1026</v>
      </c>
      <c r="C87" t="s">
        <v>18812</v>
      </c>
      <c r="E87">
        <v>24</v>
      </c>
      <c r="F87">
        <v>128</v>
      </c>
      <c r="G87">
        <v>100</v>
      </c>
      <c r="H87">
        <v>11</v>
      </c>
      <c r="S87" t="s">
        <v>18813</v>
      </c>
    </row>
    <row r="88" spans="2:19" x14ac:dyDescent="0.25">
      <c r="B88">
        <v>361</v>
      </c>
      <c r="C88" t="s">
        <v>18814</v>
      </c>
      <c r="E88">
        <v>24</v>
      </c>
      <c r="F88">
        <v>128</v>
      </c>
      <c r="G88">
        <v>100</v>
      </c>
      <c r="H88">
        <v>9</v>
      </c>
      <c r="R88" t="s">
        <v>18815</v>
      </c>
    </row>
    <row r="89" spans="2:19" x14ac:dyDescent="0.25">
      <c r="B89">
        <v>1006</v>
      </c>
      <c r="C89" t="s">
        <v>18816</v>
      </c>
      <c r="E89">
        <v>24</v>
      </c>
      <c r="F89">
        <v>128</v>
      </c>
      <c r="G89">
        <v>100</v>
      </c>
      <c r="H89">
        <v>11</v>
      </c>
      <c r="S89" t="s">
        <v>18817</v>
      </c>
    </row>
    <row r="90" spans="2:19" x14ac:dyDescent="0.25">
      <c r="B90">
        <v>670</v>
      </c>
      <c r="C90" t="s">
        <v>18818</v>
      </c>
      <c r="E90">
        <v>24</v>
      </c>
      <c r="F90">
        <v>128</v>
      </c>
      <c r="G90">
        <v>100</v>
      </c>
      <c r="H90">
        <v>11</v>
      </c>
      <c r="S90" t="s">
        <v>18819</v>
      </c>
    </row>
    <row r="91" spans="2:19" x14ac:dyDescent="0.25">
      <c r="B91">
        <v>1086</v>
      </c>
      <c r="C91" t="s">
        <v>18820</v>
      </c>
      <c r="E91">
        <v>24</v>
      </c>
      <c r="F91">
        <v>128</v>
      </c>
      <c r="G91">
        <v>100</v>
      </c>
      <c r="H91">
        <v>11</v>
      </c>
      <c r="S91" t="s">
        <v>18821</v>
      </c>
    </row>
    <row r="92" spans="2:19" x14ac:dyDescent="0.25">
      <c r="B92">
        <v>1111</v>
      </c>
      <c r="C92" t="s">
        <v>18822</v>
      </c>
      <c r="E92">
        <v>24</v>
      </c>
      <c r="F92">
        <v>128</v>
      </c>
      <c r="G92">
        <v>100</v>
      </c>
      <c r="H92">
        <v>11</v>
      </c>
      <c r="S92" t="s">
        <v>18823</v>
      </c>
    </row>
    <row r="93" spans="2:19" x14ac:dyDescent="0.25">
      <c r="B93">
        <v>9</v>
      </c>
      <c r="C93" t="s">
        <v>18824</v>
      </c>
      <c r="E93">
        <v>24</v>
      </c>
      <c r="F93">
        <v>128</v>
      </c>
      <c r="G93">
        <v>100</v>
      </c>
      <c r="H93">
        <v>11</v>
      </c>
      <c r="S93" t="s">
        <v>18825</v>
      </c>
    </row>
    <row r="94" spans="2:19" x14ac:dyDescent="0.25">
      <c r="B94">
        <v>461</v>
      </c>
      <c r="C94" t="s">
        <v>18826</v>
      </c>
      <c r="E94">
        <v>24</v>
      </c>
      <c r="F94">
        <v>128</v>
      </c>
      <c r="G94">
        <v>100</v>
      </c>
      <c r="H94">
        <v>11</v>
      </c>
      <c r="S94" t="s">
        <v>18827</v>
      </c>
    </row>
    <row r="95" spans="2:19" x14ac:dyDescent="0.25">
      <c r="B95">
        <v>182305689</v>
      </c>
      <c r="C95" t="s">
        <v>18828</v>
      </c>
      <c r="E95">
        <v>24</v>
      </c>
      <c r="F95">
        <v>128</v>
      </c>
      <c r="G95">
        <v>100</v>
      </c>
      <c r="H95">
        <v>9</v>
      </c>
      <c r="R95" t="s">
        <v>18829</v>
      </c>
    </row>
    <row r="96" spans="2:19" x14ac:dyDescent="0.25">
      <c r="B96">
        <v>182305693</v>
      </c>
      <c r="C96" t="s">
        <v>18830</v>
      </c>
      <c r="E96">
        <v>24</v>
      </c>
      <c r="F96">
        <v>128</v>
      </c>
      <c r="G96">
        <v>100</v>
      </c>
      <c r="H96">
        <v>11</v>
      </c>
      <c r="S96" t="s">
        <v>18831</v>
      </c>
    </row>
    <row r="97" spans="2:19" x14ac:dyDescent="0.25">
      <c r="B97">
        <v>182305697</v>
      </c>
      <c r="C97" t="s">
        <v>18832</v>
      </c>
      <c r="E97">
        <v>24</v>
      </c>
      <c r="F97">
        <v>128</v>
      </c>
      <c r="G97">
        <v>100</v>
      </c>
      <c r="H97">
        <v>11</v>
      </c>
      <c r="S97" t="s">
        <v>18833</v>
      </c>
    </row>
    <row r="98" spans="2:19" x14ac:dyDescent="0.25">
      <c r="B98">
        <v>182305701</v>
      </c>
      <c r="C98" t="s">
        <v>18834</v>
      </c>
      <c r="E98">
        <v>24</v>
      </c>
      <c r="F98">
        <v>128</v>
      </c>
      <c r="G98">
        <v>100</v>
      </c>
      <c r="H98">
        <v>11</v>
      </c>
      <c r="S98" t="s">
        <v>18835</v>
      </c>
    </row>
    <row r="99" spans="2:19" x14ac:dyDescent="0.25">
      <c r="B99">
        <v>182305705</v>
      </c>
      <c r="C99" t="s">
        <v>18836</v>
      </c>
      <c r="E99">
        <v>24</v>
      </c>
      <c r="F99">
        <v>128</v>
      </c>
      <c r="G99">
        <v>100</v>
      </c>
      <c r="H99">
        <v>11</v>
      </c>
      <c r="S99" t="s">
        <v>18837</v>
      </c>
    </row>
    <row r="100" spans="2:19" x14ac:dyDescent="0.25">
      <c r="B100">
        <v>182305709</v>
      </c>
      <c r="C100" t="s">
        <v>18838</v>
      </c>
      <c r="E100">
        <v>24</v>
      </c>
      <c r="F100">
        <v>128</v>
      </c>
      <c r="G100">
        <v>100</v>
      </c>
      <c r="H100">
        <v>11</v>
      </c>
      <c r="S100" t="s">
        <v>18839</v>
      </c>
    </row>
    <row r="101" spans="2:19" x14ac:dyDescent="0.25">
      <c r="B101">
        <v>182305713</v>
      </c>
      <c r="C101" t="s">
        <v>18840</v>
      </c>
      <c r="E101">
        <v>24</v>
      </c>
      <c r="F101">
        <v>128</v>
      </c>
      <c r="G101">
        <v>100</v>
      </c>
      <c r="H101">
        <v>11</v>
      </c>
      <c r="S101" t="s">
        <v>18841</v>
      </c>
    </row>
    <row r="102" spans="2:19" x14ac:dyDescent="0.25">
      <c r="B102">
        <v>378</v>
      </c>
      <c r="C102" t="s">
        <v>18842</v>
      </c>
      <c r="E102">
        <v>24</v>
      </c>
      <c r="F102">
        <v>128</v>
      </c>
      <c r="G102">
        <v>100</v>
      </c>
      <c r="H102">
        <v>8</v>
      </c>
      <c r="Q102" t="s">
        <v>18843</v>
      </c>
    </row>
    <row r="103" spans="2:19" x14ac:dyDescent="0.25">
      <c r="B103">
        <v>873</v>
      </c>
      <c r="C103" t="s">
        <v>18844</v>
      </c>
      <c r="E103">
        <v>24</v>
      </c>
      <c r="F103">
        <v>128</v>
      </c>
      <c r="G103">
        <v>100</v>
      </c>
      <c r="H103">
        <v>11</v>
      </c>
      <c r="R103" t="s">
        <v>18845</v>
      </c>
    </row>
    <row r="104" spans="2:19" x14ac:dyDescent="0.25">
      <c r="B104">
        <v>806</v>
      </c>
      <c r="C104" t="s">
        <v>18846</v>
      </c>
      <c r="E104">
        <v>24</v>
      </c>
      <c r="F104">
        <v>128</v>
      </c>
      <c r="G104">
        <v>100</v>
      </c>
      <c r="H104">
        <v>11</v>
      </c>
      <c r="R104" t="s">
        <v>18847</v>
      </c>
    </row>
    <row r="105" spans="2:19" x14ac:dyDescent="0.25">
      <c r="B105">
        <v>1035</v>
      </c>
      <c r="C105" t="s">
        <v>18848</v>
      </c>
      <c r="E105">
        <v>24</v>
      </c>
      <c r="F105">
        <v>128</v>
      </c>
      <c r="G105">
        <v>100</v>
      </c>
      <c r="H105">
        <v>11</v>
      </c>
      <c r="R105" t="s">
        <v>18849</v>
      </c>
    </row>
    <row r="106" spans="2:19" x14ac:dyDescent="0.25">
      <c r="B106">
        <v>1090</v>
      </c>
      <c r="C106" t="s">
        <v>18850</v>
      </c>
      <c r="E106">
        <v>24</v>
      </c>
      <c r="F106">
        <v>128</v>
      </c>
      <c r="G106">
        <v>100</v>
      </c>
      <c r="H106">
        <v>11</v>
      </c>
      <c r="R106" t="s">
        <v>18851</v>
      </c>
    </row>
    <row r="107" spans="2:19" x14ac:dyDescent="0.25">
      <c r="B107">
        <v>862</v>
      </c>
      <c r="C107" t="s">
        <v>18852</v>
      </c>
      <c r="E107">
        <v>24</v>
      </c>
      <c r="F107">
        <v>128</v>
      </c>
      <c r="G107">
        <v>100</v>
      </c>
      <c r="H107">
        <v>11</v>
      </c>
      <c r="R107" t="s">
        <v>18853</v>
      </c>
    </row>
    <row r="108" spans="2:19" x14ac:dyDescent="0.25">
      <c r="B108">
        <v>893</v>
      </c>
      <c r="C108" t="s">
        <v>18854</v>
      </c>
      <c r="E108">
        <v>24</v>
      </c>
      <c r="F108">
        <v>128</v>
      </c>
      <c r="G108">
        <v>100</v>
      </c>
      <c r="H108">
        <v>11</v>
      </c>
      <c r="R108" t="s">
        <v>18855</v>
      </c>
    </row>
    <row r="109" spans="2:19" x14ac:dyDescent="0.25">
      <c r="B109">
        <v>1057</v>
      </c>
      <c r="C109" t="s">
        <v>18856</v>
      </c>
      <c r="E109">
        <v>0</v>
      </c>
      <c r="F109">
        <v>156</v>
      </c>
      <c r="G109">
        <v>117</v>
      </c>
      <c r="H109">
        <v>6</v>
      </c>
      <c r="P109" t="s">
        <v>18857</v>
      </c>
    </row>
    <row r="110" spans="2:19" x14ac:dyDescent="0.25">
      <c r="B110">
        <v>36</v>
      </c>
      <c r="C110" t="s">
        <v>18858</v>
      </c>
      <c r="E110">
        <v>0</v>
      </c>
      <c r="F110">
        <v>156</v>
      </c>
      <c r="G110">
        <v>117</v>
      </c>
      <c r="H110">
        <v>11</v>
      </c>
      <c r="Q110" t="s">
        <v>18859</v>
      </c>
    </row>
    <row r="111" spans="2:19" x14ac:dyDescent="0.25">
      <c r="B111">
        <v>180</v>
      </c>
      <c r="C111" t="s">
        <v>18860</v>
      </c>
      <c r="E111">
        <v>0</v>
      </c>
      <c r="F111">
        <v>156</v>
      </c>
      <c r="G111">
        <v>117</v>
      </c>
      <c r="H111">
        <v>11</v>
      </c>
      <c r="Q111" t="s">
        <v>18861</v>
      </c>
    </row>
    <row r="112" spans="2:19" x14ac:dyDescent="0.25">
      <c r="B112">
        <v>148</v>
      </c>
      <c r="C112" t="s">
        <v>18862</v>
      </c>
      <c r="E112">
        <v>0</v>
      </c>
      <c r="F112">
        <v>156</v>
      </c>
      <c r="G112">
        <v>117</v>
      </c>
      <c r="H112">
        <v>11</v>
      </c>
      <c r="Q112" t="s">
        <v>18863</v>
      </c>
    </row>
    <row r="113" spans="2:18" x14ac:dyDescent="0.25">
      <c r="B113">
        <v>187</v>
      </c>
      <c r="C113" t="s">
        <v>18864</v>
      </c>
      <c r="E113">
        <v>0</v>
      </c>
      <c r="F113">
        <v>156</v>
      </c>
      <c r="G113">
        <v>117</v>
      </c>
      <c r="H113">
        <v>11</v>
      </c>
      <c r="Q113" t="s">
        <v>18865</v>
      </c>
    </row>
    <row r="114" spans="2:18" x14ac:dyDescent="0.25">
      <c r="B114">
        <v>638</v>
      </c>
      <c r="C114" t="s">
        <v>18866</v>
      </c>
      <c r="E114">
        <v>0</v>
      </c>
      <c r="F114">
        <v>156</v>
      </c>
      <c r="G114">
        <v>117</v>
      </c>
      <c r="H114">
        <v>11</v>
      </c>
      <c r="Q114" t="s">
        <v>18867</v>
      </c>
    </row>
    <row r="115" spans="2:18" x14ac:dyDescent="0.25">
      <c r="B115">
        <v>662</v>
      </c>
      <c r="C115" t="s">
        <v>18868</v>
      </c>
      <c r="E115">
        <v>0</v>
      </c>
      <c r="F115">
        <v>156</v>
      </c>
      <c r="G115">
        <v>117</v>
      </c>
      <c r="H115">
        <v>11</v>
      </c>
      <c r="Q115" t="s">
        <v>18869</v>
      </c>
    </row>
    <row r="116" spans="2:18" x14ac:dyDescent="0.25">
      <c r="B116">
        <v>677</v>
      </c>
      <c r="C116" t="s">
        <v>18870</v>
      </c>
      <c r="E116">
        <v>17</v>
      </c>
      <c r="F116">
        <v>173</v>
      </c>
      <c r="G116">
        <v>131</v>
      </c>
      <c r="H116">
        <v>8</v>
      </c>
      <c r="P116" t="s">
        <v>18871</v>
      </c>
    </row>
    <row r="117" spans="2:18" x14ac:dyDescent="0.25">
      <c r="B117">
        <v>897</v>
      </c>
      <c r="C117" t="s">
        <v>18872</v>
      </c>
      <c r="E117">
        <v>17</v>
      </c>
      <c r="F117">
        <v>173</v>
      </c>
      <c r="G117">
        <v>131</v>
      </c>
      <c r="H117">
        <v>11</v>
      </c>
      <c r="Q117" t="s">
        <v>18873</v>
      </c>
    </row>
    <row r="118" spans="2:18" x14ac:dyDescent="0.25">
      <c r="B118">
        <v>1106</v>
      </c>
      <c r="C118" t="s">
        <v>18874</v>
      </c>
      <c r="E118">
        <v>17</v>
      </c>
      <c r="F118">
        <v>173</v>
      </c>
      <c r="G118">
        <v>131</v>
      </c>
      <c r="H118">
        <v>11</v>
      </c>
      <c r="Q118" t="s">
        <v>18875</v>
      </c>
    </row>
    <row r="119" spans="2:18" x14ac:dyDescent="0.25">
      <c r="B119">
        <v>1010</v>
      </c>
      <c r="C119" t="s">
        <v>18876</v>
      </c>
      <c r="E119">
        <v>17</v>
      </c>
      <c r="F119">
        <v>173</v>
      </c>
      <c r="G119">
        <v>131</v>
      </c>
      <c r="H119">
        <v>11</v>
      </c>
      <c r="Q119" t="s">
        <v>18877</v>
      </c>
    </row>
    <row r="120" spans="2:18" x14ac:dyDescent="0.25">
      <c r="B120">
        <v>1058</v>
      </c>
      <c r="C120" t="s">
        <v>18878</v>
      </c>
      <c r="E120">
        <v>17</v>
      </c>
      <c r="F120">
        <v>173</v>
      </c>
      <c r="G120">
        <v>131</v>
      </c>
      <c r="H120">
        <v>11</v>
      </c>
      <c r="Q120" t="s">
        <v>18879</v>
      </c>
    </row>
    <row r="121" spans="2:18" x14ac:dyDescent="0.25">
      <c r="B121">
        <v>857</v>
      </c>
      <c r="C121" t="s">
        <v>18880</v>
      </c>
      <c r="E121">
        <v>17</v>
      </c>
      <c r="F121">
        <v>173</v>
      </c>
      <c r="G121">
        <v>131</v>
      </c>
      <c r="H121">
        <v>11</v>
      </c>
      <c r="Q121" t="s">
        <v>18881</v>
      </c>
    </row>
    <row r="122" spans="2:18" x14ac:dyDescent="0.25">
      <c r="B122">
        <v>849</v>
      </c>
      <c r="C122" t="s">
        <v>18882</v>
      </c>
      <c r="E122">
        <v>17</v>
      </c>
      <c r="F122">
        <v>173</v>
      </c>
      <c r="G122">
        <v>131</v>
      </c>
      <c r="H122">
        <v>11</v>
      </c>
      <c r="Q122" t="s">
        <v>18883</v>
      </c>
    </row>
    <row r="123" spans="2:18" x14ac:dyDescent="0.25">
      <c r="B123">
        <v>247</v>
      </c>
      <c r="C123" t="s">
        <v>18884</v>
      </c>
      <c r="E123">
        <v>1</v>
      </c>
      <c r="F123">
        <v>147</v>
      </c>
      <c r="G123">
        <v>153</v>
      </c>
      <c r="H123">
        <v>6</v>
      </c>
      <c r="P123" t="s">
        <v>18885</v>
      </c>
    </row>
    <row r="124" spans="2:18" x14ac:dyDescent="0.25">
      <c r="B124">
        <v>1011</v>
      </c>
      <c r="C124" t="s">
        <v>18886</v>
      </c>
      <c r="E124">
        <v>1</v>
      </c>
      <c r="F124">
        <v>147</v>
      </c>
      <c r="G124">
        <v>153</v>
      </c>
      <c r="H124">
        <v>8</v>
      </c>
      <c r="Q124" t="s">
        <v>18887</v>
      </c>
    </row>
    <row r="125" spans="2:18" x14ac:dyDescent="0.25">
      <c r="B125">
        <v>527</v>
      </c>
      <c r="C125" t="s">
        <v>18888</v>
      </c>
      <c r="E125">
        <v>1</v>
      </c>
      <c r="F125">
        <v>147</v>
      </c>
      <c r="G125">
        <v>153</v>
      </c>
      <c r="H125">
        <v>11</v>
      </c>
      <c r="R125" t="s">
        <v>18889</v>
      </c>
    </row>
    <row r="126" spans="2:18" x14ac:dyDescent="0.25">
      <c r="B126">
        <v>600</v>
      </c>
      <c r="C126" t="s">
        <v>18890</v>
      </c>
      <c r="E126">
        <v>1</v>
      </c>
      <c r="F126">
        <v>147</v>
      </c>
      <c r="G126">
        <v>153</v>
      </c>
      <c r="H126">
        <v>11</v>
      </c>
      <c r="R126" t="s">
        <v>18891</v>
      </c>
    </row>
    <row r="127" spans="2:18" x14ac:dyDescent="0.25">
      <c r="B127">
        <v>678</v>
      </c>
      <c r="C127" t="s">
        <v>18892</v>
      </c>
      <c r="E127">
        <v>1</v>
      </c>
      <c r="F127">
        <v>147</v>
      </c>
      <c r="G127">
        <v>153</v>
      </c>
      <c r="H127">
        <v>11</v>
      </c>
      <c r="R127" t="s">
        <v>18893</v>
      </c>
    </row>
    <row r="128" spans="2:18" x14ac:dyDescent="0.25">
      <c r="B128">
        <v>252</v>
      </c>
      <c r="C128" t="s">
        <v>18894</v>
      </c>
      <c r="E128">
        <v>1</v>
      </c>
      <c r="F128">
        <v>147</v>
      </c>
      <c r="G128">
        <v>153</v>
      </c>
      <c r="H128">
        <v>11</v>
      </c>
      <c r="R128" t="s">
        <v>18895</v>
      </c>
    </row>
    <row r="129" spans="2:19" x14ac:dyDescent="0.25">
      <c r="B129">
        <v>156</v>
      </c>
      <c r="C129" t="s">
        <v>18896</v>
      </c>
      <c r="E129">
        <v>1</v>
      </c>
      <c r="F129">
        <v>147</v>
      </c>
      <c r="G129">
        <v>153</v>
      </c>
      <c r="H129">
        <v>11</v>
      </c>
      <c r="R129" t="s">
        <v>18897</v>
      </c>
    </row>
    <row r="130" spans="2:19" x14ac:dyDescent="0.25">
      <c r="B130">
        <v>243</v>
      </c>
      <c r="C130" t="s">
        <v>18898</v>
      </c>
      <c r="E130">
        <v>1</v>
      </c>
      <c r="F130">
        <v>147</v>
      </c>
      <c r="G130">
        <v>153</v>
      </c>
      <c r="H130">
        <v>11</v>
      </c>
      <c r="R130" t="s">
        <v>18899</v>
      </c>
    </row>
    <row r="131" spans="2:19" x14ac:dyDescent="0.25">
      <c r="B131">
        <v>480149230</v>
      </c>
      <c r="C131" t="s">
        <v>18900</v>
      </c>
      <c r="E131">
        <v>1</v>
      </c>
      <c r="F131">
        <v>147</v>
      </c>
      <c r="G131">
        <v>153</v>
      </c>
      <c r="H131">
        <v>10</v>
      </c>
      <c r="R131" t="s">
        <v>18901</v>
      </c>
    </row>
    <row r="132" spans="2:19" x14ac:dyDescent="0.25">
      <c r="B132">
        <v>480149234</v>
      </c>
      <c r="C132" t="s">
        <v>18902</v>
      </c>
      <c r="E132">
        <v>1</v>
      </c>
      <c r="F132">
        <v>147</v>
      </c>
      <c r="G132">
        <v>153</v>
      </c>
      <c r="H132">
        <v>11</v>
      </c>
      <c r="S132" t="s">
        <v>18903</v>
      </c>
    </row>
    <row r="133" spans="2:19" x14ac:dyDescent="0.25">
      <c r="B133">
        <v>480149238</v>
      </c>
      <c r="C133" t="s">
        <v>18904</v>
      </c>
      <c r="E133">
        <v>1</v>
      </c>
      <c r="F133">
        <v>147</v>
      </c>
      <c r="G133">
        <v>153</v>
      </c>
      <c r="H133">
        <v>11</v>
      </c>
      <c r="S133" t="s">
        <v>18905</v>
      </c>
    </row>
    <row r="134" spans="2:19" x14ac:dyDescent="0.25">
      <c r="B134">
        <v>480149242</v>
      </c>
      <c r="C134" t="s">
        <v>18906</v>
      </c>
      <c r="E134">
        <v>1</v>
      </c>
      <c r="F134">
        <v>147</v>
      </c>
      <c r="G134">
        <v>153</v>
      </c>
      <c r="H134">
        <v>11</v>
      </c>
      <c r="S134" t="s">
        <v>18907</v>
      </c>
    </row>
    <row r="135" spans="2:19" x14ac:dyDescent="0.25">
      <c r="B135">
        <v>480149246</v>
      </c>
      <c r="C135" t="s">
        <v>18908</v>
      </c>
      <c r="E135">
        <v>1</v>
      </c>
      <c r="F135">
        <v>147</v>
      </c>
      <c r="G135">
        <v>153</v>
      </c>
      <c r="H135">
        <v>11</v>
      </c>
      <c r="S135" t="s">
        <v>18909</v>
      </c>
    </row>
    <row r="136" spans="2:19" x14ac:dyDescent="0.25">
      <c r="B136">
        <v>480149250</v>
      </c>
      <c r="C136" t="s">
        <v>18910</v>
      </c>
      <c r="E136">
        <v>1</v>
      </c>
      <c r="F136">
        <v>147</v>
      </c>
      <c r="G136">
        <v>153</v>
      </c>
      <c r="H136">
        <v>11</v>
      </c>
      <c r="S136" t="s">
        <v>18911</v>
      </c>
    </row>
    <row r="137" spans="2:19" x14ac:dyDescent="0.25">
      <c r="B137">
        <v>480149254</v>
      </c>
      <c r="C137" t="s">
        <v>18912</v>
      </c>
      <c r="E137">
        <v>1</v>
      </c>
      <c r="F137">
        <v>147</v>
      </c>
      <c r="G137">
        <v>153</v>
      </c>
      <c r="H137">
        <v>11</v>
      </c>
      <c r="S137" t="s">
        <v>18913</v>
      </c>
    </row>
    <row r="138" spans="2:19" x14ac:dyDescent="0.25">
      <c r="B138">
        <v>1002</v>
      </c>
      <c r="C138" t="s">
        <v>18914</v>
      </c>
      <c r="E138">
        <v>1</v>
      </c>
      <c r="F138">
        <v>147</v>
      </c>
      <c r="G138">
        <v>153</v>
      </c>
      <c r="H138">
        <v>8</v>
      </c>
      <c r="Q138" t="s">
        <v>18915</v>
      </c>
    </row>
    <row r="139" spans="2:19" x14ac:dyDescent="0.25">
      <c r="B139">
        <v>735</v>
      </c>
      <c r="C139" t="s">
        <v>18916</v>
      </c>
      <c r="E139">
        <v>1</v>
      </c>
      <c r="F139">
        <v>147</v>
      </c>
      <c r="G139">
        <v>153</v>
      </c>
      <c r="H139">
        <v>11</v>
      </c>
      <c r="R139" t="s">
        <v>18917</v>
      </c>
    </row>
    <row r="140" spans="2:19" x14ac:dyDescent="0.25">
      <c r="B140">
        <v>251</v>
      </c>
      <c r="C140" t="s">
        <v>18918</v>
      </c>
      <c r="E140">
        <v>1</v>
      </c>
      <c r="F140">
        <v>147</v>
      </c>
      <c r="G140">
        <v>153</v>
      </c>
      <c r="H140">
        <v>11</v>
      </c>
      <c r="R140" t="s">
        <v>18919</v>
      </c>
    </row>
    <row r="141" spans="2:19" x14ac:dyDescent="0.25">
      <c r="B141">
        <v>816</v>
      </c>
      <c r="C141" t="s">
        <v>18920</v>
      </c>
      <c r="E141">
        <v>1</v>
      </c>
      <c r="F141">
        <v>147</v>
      </c>
      <c r="G141">
        <v>153</v>
      </c>
      <c r="H141">
        <v>11</v>
      </c>
      <c r="R141" t="s">
        <v>18921</v>
      </c>
    </row>
    <row r="142" spans="2:19" x14ac:dyDescent="0.25">
      <c r="B142">
        <v>847</v>
      </c>
      <c r="C142" t="s">
        <v>18922</v>
      </c>
      <c r="E142">
        <v>1</v>
      </c>
      <c r="F142">
        <v>147</v>
      </c>
      <c r="G142">
        <v>153</v>
      </c>
      <c r="H142">
        <v>11</v>
      </c>
      <c r="R142" t="s">
        <v>18923</v>
      </c>
    </row>
    <row r="143" spans="2:19" x14ac:dyDescent="0.25">
      <c r="B143">
        <v>954</v>
      </c>
      <c r="C143" t="s">
        <v>18924</v>
      </c>
      <c r="E143">
        <v>1</v>
      </c>
      <c r="F143">
        <v>147</v>
      </c>
      <c r="G143">
        <v>153</v>
      </c>
      <c r="H143">
        <v>11</v>
      </c>
      <c r="R143" t="s">
        <v>18925</v>
      </c>
    </row>
    <row r="144" spans="2:19" x14ac:dyDescent="0.25">
      <c r="B144">
        <v>1005</v>
      </c>
      <c r="C144" t="s">
        <v>18926</v>
      </c>
      <c r="E144">
        <v>1</v>
      </c>
      <c r="F144">
        <v>147</v>
      </c>
      <c r="G144">
        <v>153</v>
      </c>
      <c r="H144">
        <v>11</v>
      </c>
      <c r="R144" t="s">
        <v>18927</v>
      </c>
    </row>
    <row r="145" spans="2:18" x14ac:dyDescent="0.25">
      <c r="B145">
        <v>1027</v>
      </c>
      <c r="C145" t="s">
        <v>18928</v>
      </c>
      <c r="E145">
        <v>1</v>
      </c>
      <c r="F145">
        <v>147</v>
      </c>
      <c r="G145">
        <v>153</v>
      </c>
      <c r="H145">
        <v>8</v>
      </c>
      <c r="Q145" t="s">
        <v>18929</v>
      </c>
    </row>
    <row r="146" spans="2:18" x14ac:dyDescent="0.25">
      <c r="B146">
        <v>696</v>
      </c>
      <c r="C146" t="s">
        <v>18930</v>
      </c>
      <c r="E146">
        <v>1</v>
      </c>
      <c r="F146">
        <v>147</v>
      </c>
      <c r="G146">
        <v>153</v>
      </c>
      <c r="H146">
        <v>11</v>
      </c>
      <c r="R146" t="s">
        <v>18931</v>
      </c>
    </row>
    <row r="147" spans="2:18" x14ac:dyDescent="0.25">
      <c r="B147">
        <v>643</v>
      </c>
      <c r="C147" t="s">
        <v>18932</v>
      </c>
      <c r="E147">
        <v>1</v>
      </c>
      <c r="F147">
        <v>147</v>
      </c>
      <c r="G147">
        <v>153</v>
      </c>
      <c r="H147">
        <v>11</v>
      </c>
      <c r="R147" t="s">
        <v>18933</v>
      </c>
    </row>
    <row r="148" spans="2:18" x14ac:dyDescent="0.25">
      <c r="B148">
        <v>759</v>
      </c>
      <c r="C148" t="s">
        <v>18934</v>
      </c>
      <c r="E148">
        <v>1</v>
      </c>
      <c r="F148">
        <v>147</v>
      </c>
      <c r="G148">
        <v>153</v>
      </c>
      <c r="H148">
        <v>11</v>
      </c>
      <c r="R148" t="s">
        <v>18935</v>
      </c>
    </row>
    <row r="149" spans="2:18" x14ac:dyDescent="0.25">
      <c r="B149">
        <v>791</v>
      </c>
      <c r="C149" t="s">
        <v>18936</v>
      </c>
      <c r="E149">
        <v>1</v>
      </c>
      <c r="F149">
        <v>147</v>
      </c>
      <c r="G149">
        <v>153</v>
      </c>
      <c r="H149">
        <v>11</v>
      </c>
      <c r="R149" t="s">
        <v>18937</v>
      </c>
    </row>
    <row r="150" spans="2:18" x14ac:dyDescent="0.25">
      <c r="B150">
        <v>249</v>
      </c>
      <c r="C150" t="s">
        <v>18938</v>
      </c>
      <c r="E150">
        <v>1</v>
      </c>
      <c r="F150">
        <v>147</v>
      </c>
      <c r="G150">
        <v>153</v>
      </c>
      <c r="H150">
        <v>11</v>
      </c>
      <c r="R150" t="s">
        <v>18939</v>
      </c>
    </row>
    <row r="151" spans="2:18" x14ac:dyDescent="0.25">
      <c r="B151">
        <v>456</v>
      </c>
      <c r="C151" t="s">
        <v>18940</v>
      </c>
      <c r="E151">
        <v>1</v>
      </c>
      <c r="F151">
        <v>147</v>
      </c>
      <c r="G151">
        <v>153</v>
      </c>
      <c r="H151">
        <v>11</v>
      </c>
      <c r="R151" t="s">
        <v>18941</v>
      </c>
    </row>
    <row r="152" spans="2:18" x14ac:dyDescent="0.25">
      <c r="B152">
        <v>1018</v>
      </c>
      <c r="C152" t="s">
        <v>18942</v>
      </c>
      <c r="E152">
        <v>1</v>
      </c>
      <c r="F152">
        <v>147</v>
      </c>
      <c r="G152">
        <v>153</v>
      </c>
      <c r="H152">
        <v>8</v>
      </c>
      <c r="Q152" t="s">
        <v>18943</v>
      </c>
    </row>
    <row r="153" spans="2:18" x14ac:dyDescent="0.25">
      <c r="B153">
        <v>959</v>
      </c>
      <c r="C153" t="s">
        <v>18944</v>
      </c>
      <c r="E153">
        <v>1</v>
      </c>
      <c r="F153">
        <v>147</v>
      </c>
      <c r="G153">
        <v>153</v>
      </c>
      <c r="H153">
        <v>11</v>
      </c>
      <c r="R153" t="s">
        <v>18945</v>
      </c>
    </row>
    <row r="154" spans="2:18" x14ac:dyDescent="0.25">
      <c r="B154">
        <v>755</v>
      </c>
      <c r="C154" t="s">
        <v>18946</v>
      </c>
      <c r="E154">
        <v>1</v>
      </c>
      <c r="F154">
        <v>147</v>
      </c>
      <c r="G154">
        <v>153</v>
      </c>
      <c r="H154">
        <v>11</v>
      </c>
      <c r="R154" t="s">
        <v>18947</v>
      </c>
    </row>
    <row r="155" spans="2:18" x14ac:dyDescent="0.25">
      <c r="B155">
        <v>990</v>
      </c>
      <c r="C155" t="s">
        <v>18948</v>
      </c>
      <c r="E155">
        <v>1</v>
      </c>
      <c r="F155">
        <v>147</v>
      </c>
      <c r="G155">
        <v>153</v>
      </c>
      <c r="H155">
        <v>11</v>
      </c>
      <c r="R155" t="s">
        <v>18949</v>
      </c>
    </row>
    <row r="156" spans="2:18" x14ac:dyDescent="0.25">
      <c r="B156">
        <v>1023</v>
      </c>
      <c r="C156" t="s">
        <v>18950</v>
      </c>
      <c r="E156">
        <v>1</v>
      </c>
      <c r="F156">
        <v>147</v>
      </c>
      <c r="G156">
        <v>153</v>
      </c>
      <c r="H156">
        <v>11</v>
      </c>
      <c r="R156" t="s">
        <v>18951</v>
      </c>
    </row>
    <row r="157" spans="2:18" x14ac:dyDescent="0.25">
      <c r="B157">
        <v>520</v>
      </c>
      <c r="C157" t="s">
        <v>18952</v>
      </c>
      <c r="E157">
        <v>1</v>
      </c>
      <c r="F157">
        <v>147</v>
      </c>
      <c r="G157">
        <v>153</v>
      </c>
      <c r="H157">
        <v>11</v>
      </c>
      <c r="R157" t="s">
        <v>18953</v>
      </c>
    </row>
    <row r="158" spans="2:18" x14ac:dyDescent="0.25">
      <c r="B158">
        <v>598</v>
      </c>
      <c r="C158" t="s">
        <v>18954</v>
      </c>
      <c r="E158">
        <v>1</v>
      </c>
      <c r="F158">
        <v>147</v>
      </c>
      <c r="G158">
        <v>153</v>
      </c>
      <c r="H158">
        <v>11</v>
      </c>
      <c r="R158" t="s">
        <v>18955</v>
      </c>
    </row>
    <row r="159" spans="2:18" x14ac:dyDescent="0.25">
      <c r="B159">
        <v>669</v>
      </c>
      <c r="C159" t="s">
        <v>18956</v>
      </c>
      <c r="E159">
        <v>8</v>
      </c>
      <c r="F159">
        <v>133</v>
      </c>
      <c r="G159">
        <v>140</v>
      </c>
      <c r="H159">
        <v>6</v>
      </c>
      <c r="P159" t="s">
        <v>18957</v>
      </c>
    </row>
    <row r="160" spans="2:18" x14ac:dyDescent="0.25">
      <c r="B160">
        <v>801</v>
      </c>
      <c r="C160" t="s">
        <v>18958</v>
      </c>
      <c r="E160">
        <v>8</v>
      </c>
      <c r="F160">
        <v>133</v>
      </c>
      <c r="G160">
        <v>140</v>
      </c>
      <c r="H160">
        <v>11</v>
      </c>
      <c r="Q160" t="s">
        <v>18959</v>
      </c>
    </row>
    <row r="161" spans="2:18" x14ac:dyDescent="0.25">
      <c r="B161">
        <v>561</v>
      </c>
      <c r="C161" t="s">
        <v>18960</v>
      </c>
      <c r="E161">
        <v>8</v>
      </c>
      <c r="F161">
        <v>133</v>
      </c>
      <c r="G161">
        <v>140</v>
      </c>
      <c r="H161">
        <v>11</v>
      </c>
      <c r="Q161" t="s">
        <v>18961</v>
      </c>
    </row>
    <row r="162" spans="2:18" x14ac:dyDescent="0.25">
      <c r="B162">
        <v>913</v>
      </c>
      <c r="C162" t="s">
        <v>18962</v>
      </c>
      <c r="E162">
        <v>8</v>
      </c>
      <c r="F162">
        <v>133</v>
      </c>
      <c r="G162">
        <v>140</v>
      </c>
      <c r="H162">
        <v>11</v>
      </c>
      <c r="Q162" t="s">
        <v>18963</v>
      </c>
    </row>
    <row r="163" spans="2:18" x14ac:dyDescent="0.25">
      <c r="B163">
        <v>937</v>
      </c>
      <c r="C163" t="s">
        <v>18964</v>
      </c>
      <c r="E163">
        <v>8</v>
      </c>
      <c r="F163">
        <v>133</v>
      </c>
      <c r="G163">
        <v>140</v>
      </c>
      <c r="H163">
        <v>11</v>
      </c>
      <c r="Q163" t="s">
        <v>18965</v>
      </c>
    </row>
    <row r="164" spans="2:18" x14ac:dyDescent="0.25">
      <c r="B164">
        <v>457</v>
      </c>
      <c r="C164" t="s">
        <v>18966</v>
      </c>
      <c r="E164">
        <v>8</v>
      </c>
      <c r="F164">
        <v>133</v>
      </c>
      <c r="G164">
        <v>140</v>
      </c>
      <c r="H164">
        <v>11</v>
      </c>
      <c r="Q164" t="s">
        <v>18967</v>
      </c>
    </row>
    <row r="165" spans="2:18" x14ac:dyDescent="0.25">
      <c r="B165">
        <v>497</v>
      </c>
      <c r="C165" t="s">
        <v>18968</v>
      </c>
      <c r="E165">
        <v>8</v>
      </c>
      <c r="F165">
        <v>133</v>
      </c>
      <c r="G165">
        <v>140</v>
      </c>
      <c r="H165">
        <v>11</v>
      </c>
      <c r="Q165" t="s">
        <v>18969</v>
      </c>
    </row>
    <row r="166" spans="2:18" x14ac:dyDescent="0.25">
      <c r="B166">
        <v>402</v>
      </c>
      <c r="C166" t="s">
        <v>18970</v>
      </c>
      <c r="E166">
        <v>8</v>
      </c>
      <c r="F166">
        <v>133</v>
      </c>
      <c r="G166">
        <v>140</v>
      </c>
      <c r="H166">
        <v>8</v>
      </c>
      <c r="Q166" t="s">
        <v>18971</v>
      </c>
    </row>
    <row r="167" spans="2:18" x14ac:dyDescent="0.25">
      <c r="B167">
        <v>1074</v>
      </c>
      <c r="C167" t="s">
        <v>18972</v>
      </c>
      <c r="E167">
        <v>8</v>
      </c>
      <c r="F167">
        <v>133</v>
      </c>
      <c r="G167">
        <v>140</v>
      </c>
      <c r="H167">
        <v>11</v>
      </c>
      <c r="R167" t="s">
        <v>18973</v>
      </c>
    </row>
    <row r="168" spans="2:18" x14ac:dyDescent="0.25">
      <c r="B168">
        <v>905</v>
      </c>
      <c r="C168" t="s">
        <v>18974</v>
      </c>
      <c r="E168">
        <v>8</v>
      </c>
      <c r="F168">
        <v>133</v>
      </c>
      <c r="G168">
        <v>140</v>
      </c>
      <c r="H168">
        <v>11</v>
      </c>
      <c r="R168" t="s">
        <v>18975</v>
      </c>
    </row>
    <row r="169" spans="2:18" x14ac:dyDescent="0.25">
      <c r="B169">
        <v>1114</v>
      </c>
      <c r="C169" t="s">
        <v>18976</v>
      </c>
      <c r="E169">
        <v>8</v>
      </c>
      <c r="F169">
        <v>133</v>
      </c>
      <c r="G169">
        <v>140</v>
      </c>
      <c r="H169">
        <v>11</v>
      </c>
      <c r="R169" t="s">
        <v>18977</v>
      </c>
    </row>
    <row r="170" spans="2:18" x14ac:dyDescent="0.25">
      <c r="B170">
        <v>233</v>
      </c>
      <c r="C170" t="s">
        <v>18978</v>
      </c>
      <c r="E170">
        <v>8</v>
      </c>
      <c r="F170">
        <v>133</v>
      </c>
      <c r="G170">
        <v>140</v>
      </c>
      <c r="H170">
        <v>11</v>
      </c>
      <c r="R170" t="s">
        <v>18979</v>
      </c>
    </row>
    <row r="171" spans="2:18" x14ac:dyDescent="0.25">
      <c r="B171">
        <v>601</v>
      </c>
      <c r="C171" t="s">
        <v>18980</v>
      </c>
      <c r="E171">
        <v>8</v>
      </c>
      <c r="F171">
        <v>133</v>
      </c>
      <c r="G171">
        <v>140</v>
      </c>
      <c r="H171">
        <v>11</v>
      </c>
      <c r="R171" t="s">
        <v>18981</v>
      </c>
    </row>
    <row r="172" spans="2:18" x14ac:dyDescent="0.25">
      <c r="B172">
        <v>649</v>
      </c>
      <c r="C172" t="s">
        <v>18982</v>
      </c>
      <c r="E172">
        <v>8</v>
      </c>
      <c r="F172">
        <v>133</v>
      </c>
      <c r="G172">
        <v>140</v>
      </c>
      <c r="H172">
        <v>11</v>
      </c>
      <c r="R172" t="s">
        <v>18983</v>
      </c>
    </row>
    <row r="173" spans="2:18" x14ac:dyDescent="0.25">
      <c r="B173">
        <v>394</v>
      </c>
      <c r="C173" t="s">
        <v>18984</v>
      </c>
      <c r="E173">
        <v>8</v>
      </c>
      <c r="F173">
        <v>133</v>
      </c>
      <c r="G173">
        <v>140</v>
      </c>
      <c r="H173">
        <v>8</v>
      </c>
      <c r="Q173" t="s">
        <v>18985</v>
      </c>
    </row>
    <row r="174" spans="2:18" x14ac:dyDescent="0.25">
      <c r="B174">
        <v>281</v>
      </c>
      <c r="C174" t="s">
        <v>18986</v>
      </c>
      <c r="E174">
        <v>8</v>
      </c>
      <c r="F174">
        <v>133</v>
      </c>
      <c r="G174">
        <v>140</v>
      </c>
      <c r="H174">
        <v>11</v>
      </c>
      <c r="R174" t="s">
        <v>18987</v>
      </c>
    </row>
    <row r="175" spans="2:18" x14ac:dyDescent="0.25">
      <c r="B175">
        <v>1066</v>
      </c>
      <c r="C175" t="s">
        <v>18988</v>
      </c>
      <c r="E175">
        <v>8</v>
      </c>
      <c r="F175">
        <v>133</v>
      </c>
      <c r="G175">
        <v>140</v>
      </c>
      <c r="H175">
        <v>11</v>
      </c>
      <c r="R175" t="s">
        <v>18989</v>
      </c>
    </row>
    <row r="176" spans="2:18" x14ac:dyDescent="0.25">
      <c r="B176">
        <v>401</v>
      </c>
      <c r="C176" t="s">
        <v>18990</v>
      </c>
      <c r="E176">
        <v>8</v>
      </c>
      <c r="F176">
        <v>133</v>
      </c>
      <c r="G176">
        <v>140</v>
      </c>
      <c r="H176">
        <v>11</v>
      </c>
      <c r="R176" t="s">
        <v>18991</v>
      </c>
    </row>
    <row r="177" spans="2:18" x14ac:dyDescent="0.25">
      <c r="B177">
        <v>433</v>
      </c>
      <c r="C177" t="s">
        <v>18992</v>
      </c>
      <c r="E177">
        <v>8</v>
      </c>
      <c r="F177">
        <v>133</v>
      </c>
      <c r="G177">
        <v>140</v>
      </c>
      <c r="H177">
        <v>11</v>
      </c>
      <c r="R177" t="s">
        <v>18993</v>
      </c>
    </row>
    <row r="178" spans="2:18" x14ac:dyDescent="0.25">
      <c r="B178">
        <v>1046</v>
      </c>
      <c r="C178" t="s">
        <v>18994</v>
      </c>
      <c r="E178">
        <v>8</v>
      </c>
      <c r="F178">
        <v>133</v>
      </c>
      <c r="G178">
        <v>140</v>
      </c>
      <c r="H178">
        <v>11</v>
      </c>
      <c r="R178" t="s">
        <v>18995</v>
      </c>
    </row>
    <row r="179" spans="2:18" x14ac:dyDescent="0.25">
      <c r="B179">
        <v>441</v>
      </c>
      <c r="C179" t="s">
        <v>18996</v>
      </c>
      <c r="E179">
        <v>8</v>
      </c>
      <c r="F179">
        <v>133</v>
      </c>
      <c r="G179">
        <v>140</v>
      </c>
      <c r="H179">
        <v>11</v>
      </c>
      <c r="R179" t="s">
        <v>18997</v>
      </c>
    </row>
    <row r="180" spans="2:18" x14ac:dyDescent="0.25">
      <c r="B180">
        <v>409</v>
      </c>
      <c r="C180" t="s">
        <v>18998</v>
      </c>
      <c r="E180">
        <v>8</v>
      </c>
      <c r="F180">
        <v>133</v>
      </c>
      <c r="G180">
        <v>140</v>
      </c>
      <c r="H180">
        <v>8</v>
      </c>
      <c r="Q180" t="s">
        <v>18999</v>
      </c>
    </row>
    <row r="181" spans="2:18" x14ac:dyDescent="0.25">
      <c r="B181">
        <v>421</v>
      </c>
      <c r="C181" t="s">
        <v>19000</v>
      </c>
      <c r="E181">
        <v>8</v>
      </c>
      <c r="F181">
        <v>133</v>
      </c>
      <c r="G181">
        <v>140</v>
      </c>
      <c r="H181">
        <v>11</v>
      </c>
      <c r="R181" t="s">
        <v>19001</v>
      </c>
    </row>
    <row r="182" spans="2:18" x14ac:dyDescent="0.25">
      <c r="B182">
        <v>973</v>
      </c>
      <c r="C182" t="s">
        <v>19002</v>
      </c>
      <c r="E182">
        <v>8</v>
      </c>
      <c r="F182">
        <v>133</v>
      </c>
      <c r="G182">
        <v>140</v>
      </c>
      <c r="H182">
        <v>11</v>
      </c>
      <c r="R182" t="s">
        <v>19003</v>
      </c>
    </row>
    <row r="183" spans="2:18" x14ac:dyDescent="0.25">
      <c r="B183">
        <v>573</v>
      </c>
      <c r="C183" t="s">
        <v>19004</v>
      </c>
      <c r="E183">
        <v>8</v>
      </c>
      <c r="F183">
        <v>133</v>
      </c>
      <c r="G183">
        <v>140</v>
      </c>
      <c r="H183">
        <v>11</v>
      </c>
      <c r="R183" t="s">
        <v>19005</v>
      </c>
    </row>
    <row r="184" spans="2:18" x14ac:dyDescent="0.25">
      <c r="B184">
        <v>613</v>
      </c>
      <c r="C184" t="s">
        <v>19006</v>
      </c>
      <c r="E184">
        <v>8</v>
      </c>
      <c r="F184">
        <v>133</v>
      </c>
      <c r="G184">
        <v>140</v>
      </c>
      <c r="H184">
        <v>11</v>
      </c>
      <c r="R184" t="s">
        <v>19007</v>
      </c>
    </row>
    <row r="185" spans="2:18" x14ac:dyDescent="0.25">
      <c r="B185">
        <v>74</v>
      </c>
      <c r="C185" t="s">
        <v>19008</v>
      </c>
      <c r="E185">
        <v>8</v>
      </c>
      <c r="F185">
        <v>133</v>
      </c>
      <c r="G185">
        <v>140</v>
      </c>
      <c r="H185">
        <v>11</v>
      </c>
      <c r="R185" t="s">
        <v>19009</v>
      </c>
    </row>
    <row r="186" spans="2:18" x14ac:dyDescent="0.25">
      <c r="B186">
        <v>121</v>
      </c>
      <c r="C186" t="s">
        <v>19010</v>
      </c>
      <c r="E186">
        <v>8</v>
      </c>
      <c r="F186">
        <v>133</v>
      </c>
      <c r="G186">
        <v>140</v>
      </c>
      <c r="H186">
        <v>11</v>
      </c>
      <c r="R186" t="s">
        <v>19011</v>
      </c>
    </row>
    <row r="187" spans="2:18" x14ac:dyDescent="0.25">
      <c r="B187">
        <v>385</v>
      </c>
      <c r="C187" t="s">
        <v>19012</v>
      </c>
      <c r="E187">
        <v>8</v>
      </c>
      <c r="F187">
        <v>133</v>
      </c>
      <c r="G187">
        <v>140</v>
      </c>
      <c r="H187">
        <v>8</v>
      </c>
      <c r="Q187" t="s">
        <v>19013</v>
      </c>
    </row>
    <row r="188" spans="2:18" x14ac:dyDescent="0.25">
      <c r="B188">
        <v>593</v>
      </c>
      <c r="C188" t="s">
        <v>19014</v>
      </c>
      <c r="E188">
        <v>8</v>
      </c>
      <c r="F188">
        <v>133</v>
      </c>
      <c r="G188">
        <v>140</v>
      </c>
      <c r="H188">
        <v>11</v>
      </c>
      <c r="R188" t="s">
        <v>19015</v>
      </c>
    </row>
    <row r="189" spans="2:18" x14ac:dyDescent="0.25">
      <c r="B189">
        <v>821</v>
      </c>
      <c r="C189" t="s">
        <v>19016</v>
      </c>
      <c r="E189">
        <v>8</v>
      </c>
      <c r="F189">
        <v>133</v>
      </c>
      <c r="G189">
        <v>140</v>
      </c>
      <c r="H189">
        <v>11</v>
      </c>
      <c r="R189" t="s">
        <v>19017</v>
      </c>
    </row>
    <row r="190" spans="2:18" x14ac:dyDescent="0.25">
      <c r="B190">
        <v>721</v>
      </c>
      <c r="C190" t="s">
        <v>19018</v>
      </c>
      <c r="E190">
        <v>8</v>
      </c>
      <c r="F190">
        <v>133</v>
      </c>
      <c r="G190">
        <v>140</v>
      </c>
      <c r="H190">
        <v>11</v>
      </c>
      <c r="R190" t="s">
        <v>19019</v>
      </c>
    </row>
    <row r="191" spans="2:18" x14ac:dyDescent="0.25">
      <c r="B191">
        <v>778</v>
      </c>
      <c r="C191" t="s">
        <v>19020</v>
      </c>
      <c r="E191">
        <v>8</v>
      </c>
      <c r="F191">
        <v>133</v>
      </c>
      <c r="G191">
        <v>140</v>
      </c>
      <c r="H191">
        <v>11</v>
      </c>
      <c r="R191" t="s">
        <v>19021</v>
      </c>
    </row>
    <row r="192" spans="2:18" x14ac:dyDescent="0.25">
      <c r="B192">
        <v>33</v>
      </c>
      <c r="C192" t="s">
        <v>19022</v>
      </c>
      <c r="E192">
        <v>8</v>
      </c>
      <c r="F192">
        <v>133</v>
      </c>
      <c r="G192">
        <v>140</v>
      </c>
      <c r="H192">
        <v>11</v>
      </c>
      <c r="R192" t="s">
        <v>19023</v>
      </c>
    </row>
    <row r="193" spans="2:18" x14ac:dyDescent="0.25">
      <c r="B193">
        <v>305</v>
      </c>
      <c r="C193" t="s">
        <v>19024</v>
      </c>
      <c r="E193">
        <v>8</v>
      </c>
      <c r="F193">
        <v>133</v>
      </c>
      <c r="G193">
        <v>140</v>
      </c>
      <c r="H193">
        <v>11</v>
      </c>
      <c r="R193" t="s">
        <v>19025</v>
      </c>
    </row>
    <row r="194" spans="2:18" x14ac:dyDescent="0.25">
      <c r="B194">
        <v>425</v>
      </c>
      <c r="C194" t="s">
        <v>19026</v>
      </c>
      <c r="E194">
        <v>8</v>
      </c>
      <c r="F194">
        <v>133</v>
      </c>
      <c r="G194">
        <v>140</v>
      </c>
      <c r="H194">
        <v>8</v>
      </c>
      <c r="Q194" t="s">
        <v>19027</v>
      </c>
    </row>
    <row r="195" spans="2:18" x14ac:dyDescent="0.25">
      <c r="B195">
        <v>750</v>
      </c>
      <c r="C195" t="s">
        <v>19028</v>
      </c>
      <c r="E195">
        <v>8</v>
      </c>
      <c r="F195">
        <v>133</v>
      </c>
      <c r="G195">
        <v>140</v>
      </c>
      <c r="H195">
        <v>11</v>
      </c>
      <c r="R195" t="s">
        <v>19029</v>
      </c>
    </row>
    <row r="196" spans="2:18" x14ac:dyDescent="0.25">
      <c r="B196">
        <v>269</v>
      </c>
      <c r="C196" t="s">
        <v>19030</v>
      </c>
      <c r="E196">
        <v>8</v>
      </c>
      <c r="F196">
        <v>133</v>
      </c>
      <c r="G196">
        <v>140</v>
      </c>
      <c r="H196">
        <v>11</v>
      </c>
      <c r="R196" t="s">
        <v>19031</v>
      </c>
    </row>
    <row r="197" spans="2:18" x14ac:dyDescent="0.25">
      <c r="B197">
        <v>869</v>
      </c>
      <c r="C197" t="s">
        <v>19032</v>
      </c>
      <c r="E197">
        <v>8</v>
      </c>
      <c r="F197">
        <v>133</v>
      </c>
      <c r="G197">
        <v>140</v>
      </c>
      <c r="H197">
        <v>11</v>
      </c>
      <c r="R197" t="s">
        <v>19033</v>
      </c>
    </row>
    <row r="198" spans="2:18" x14ac:dyDescent="0.25">
      <c r="B198">
        <v>902</v>
      </c>
      <c r="C198" t="s">
        <v>19034</v>
      </c>
      <c r="E198">
        <v>8</v>
      </c>
      <c r="F198">
        <v>133</v>
      </c>
      <c r="G198">
        <v>140</v>
      </c>
      <c r="H198">
        <v>11</v>
      </c>
      <c r="R198" t="s">
        <v>19035</v>
      </c>
    </row>
    <row r="199" spans="2:18" x14ac:dyDescent="0.25">
      <c r="B199">
        <v>377</v>
      </c>
      <c r="C199" t="s">
        <v>19036</v>
      </c>
      <c r="E199">
        <v>8</v>
      </c>
      <c r="F199">
        <v>133</v>
      </c>
      <c r="G199">
        <v>140</v>
      </c>
      <c r="H199">
        <v>11</v>
      </c>
      <c r="R199" t="s">
        <v>19037</v>
      </c>
    </row>
    <row r="200" spans="2:18" x14ac:dyDescent="0.25">
      <c r="B200">
        <v>393</v>
      </c>
      <c r="C200" t="s">
        <v>19038</v>
      </c>
      <c r="E200">
        <v>8</v>
      </c>
      <c r="F200">
        <v>133</v>
      </c>
      <c r="G200">
        <v>140</v>
      </c>
      <c r="H200">
        <v>11</v>
      </c>
      <c r="R200" t="s">
        <v>19039</v>
      </c>
    </row>
    <row r="201" spans="2:18" x14ac:dyDescent="0.25">
      <c r="B201">
        <v>533</v>
      </c>
      <c r="C201" t="s">
        <v>19040</v>
      </c>
      <c r="E201">
        <v>8</v>
      </c>
      <c r="F201">
        <v>133</v>
      </c>
      <c r="G201">
        <v>140</v>
      </c>
      <c r="H201">
        <v>8</v>
      </c>
      <c r="Q201" t="s">
        <v>4024</v>
      </c>
    </row>
    <row r="202" spans="2:18" x14ac:dyDescent="0.25">
      <c r="B202">
        <v>805</v>
      </c>
      <c r="C202" t="s">
        <v>19041</v>
      </c>
      <c r="E202">
        <v>8</v>
      </c>
      <c r="F202">
        <v>133</v>
      </c>
      <c r="G202">
        <v>140</v>
      </c>
      <c r="H202">
        <v>11</v>
      </c>
      <c r="R202" t="s">
        <v>14197</v>
      </c>
    </row>
    <row r="203" spans="2:18" x14ac:dyDescent="0.25">
      <c r="B203">
        <v>41</v>
      </c>
      <c r="C203" t="s">
        <v>19042</v>
      </c>
      <c r="E203">
        <v>8</v>
      </c>
      <c r="F203">
        <v>133</v>
      </c>
      <c r="G203">
        <v>140</v>
      </c>
      <c r="H203">
        <v>11</v>
      </c>
      <c r="R203" t="s">
        <v>13817</v>
      </c>
    </row>
    <row r="204" spans="2:18" x14ac:dyDescent="0.25">
      <c r="B204">
        <v>501</v>
      </c>
      <c r="C204" t="s">
        <v>19043</v>
      </c>
      <c r="E204">
        <v>8</v>
      </c>
      <c r="F204">
        <v>133</v>
      </c>
      <c r="G204">
        <v>140</v>
      </c>
      <c r="H204">
        <v>11</v>
      </c>
      <c r="R204" t="s">
        <v>4027</v>
      </c>
    </row>
    <row r="205" spans="2:18" x14ac:dyDescent="0.25">
      <c r="B205">
        <v>565</v>
      </c>
      <c r="C205" t="s">
        <v>19044</v>
      </c>
      <c r="E205">
        <v>8</v>
      </c>
      <c r="F205">
        <v>133</v>
      </c>
      <c r="G205">
        <v>140</v>
      </c>
      <c r="H205">
        <v>11</v>
      </c>
      <c r="R205" t="s">
        <v>13971</v>
      </c>
    </row>
    <row r="206" spans="2:18" x14ac:dyDescent="0.25">
      <c r="B206">
        <v>257</v>
      </c>
      <c r="C206" t="s">
        <v>19045</v>
      </c>
      <c r="E206">
        <v>8</v>
      </c>
      <c r="F206">
        <v>133</v>
      </c>
      <c r="G206">
        <v>140</v>
      </c>
      <c r="H206">
        <v>11</v>
      </c>
      <c r="R206" t="s">
        <v>4030</v>
      </c>
    </row>
    <row r="207" spans="2:18" x14ac:dyDescent="0.25">
      <c r="B207">
        <v>469</v>
      </c>
      <c r="C207" t="s">
        <v>19046</v>
      </c>
      <c r="E207">
        <v>8</v>
      </c>
      <c r="F207">
        <v>133</v>
      </c>
      <c r="G207">
        <v>140</v>
      </c>
      <c r="H207">
        <v>11</v>
      </c>
      <c r="R207" t="s">
        <v>13878</v>
      </c>
    </row>
    <row r="208" spans="2:18" x14ac:dyDescent="0.25">
      <c r="B208">
        <v>312782574</v>
      </c>
      <c r="C208" t="s">
        <v>19047</v>
      </c>
      <c r="E208">
        <v>8</v>
      </c>
      <c r="F208">
        <v>133</v>
      </c>
      <c r="G208">
        <v>140</v>
      </c>
      <c r="H208">
        <v>8</v>
      </c>
      <c r="Q208" t="s">
        <v>19048</v>
      </c>
    </row>
    <row r="209" spans="2:18" x14ac:dyDescent="0.25">
      <c r="B209">
        <v>312782578</v>
      </c>
      <c r="C209" t="s">
        <v>19049</v>
      </c>
      <c r="E209">
        <v>8</v>
      </c>
      <c r="F209">
        <v>133</v>
      </c>
      <c r="G209">
        <v>140</v>
      </c>
      <c r="H209">
        <v>11</v>
      </c>
      <c r="R209" t="s">
        <v>19050</v>
      </c>
    </row>
    <row r="210" spans="2:18" x14ac:dyDescent="0.25">
      <c r="B210">
        <v>312782582</v>
      </c>
      <c r="C210" t="s">
        <v>19051</v>
      </c>
      <c r="E210">
        <v>8</v>
      </c>
      <c r="F210">
        <v>133</v>
      </c>
      <c r="G210">
        <v>140</v>
      </c>
      <c r="H210">
        <v>11</v>
      </c>
      <c r="R210" t="s">
        <v>19052</v>
      </c>
    </row>
    <row r="211" spans="2:18" x14ac:dyDescent="0.25">
      <c r="B211">
        <v>312782586</v>
      </c>
      <c r="C211" t="s">
        <v>19053</v>
      </c>
      <c r="E211">
        <v>8</v>
      </c>
      <c r="F211">
        <v>133</v>
      </c>
      <c r="G211">
        <v>140</v>
      </c>
      <c r="H211">
        <v>11</v>
      </c>
      <c r="R211" t="s">
        <v>19054</v>
      </c>
    </row>
    <row r="212" spans="2:18" x14ac:dyDescent="0.25">
      <c r="B212">
        <v>312782590</v>
      </c>
      <c r="C212" t="s">
        <v>19055</v>
      </c>
      <c r="E212">
        <v>8</v>
      </c>
      <c r="F212">
        <v>133</v>
      </c>
      <c r="G212">
        <v>140</v>
      </c>
      <c r="H212">
        <v>11</v>
      </c>
      <c r="R212" t="s">
        <v>19056</v>
      </c>
    </row>
    <row r="213" spans="2:18" x14ac:dyDescent="0.25">
      <c r="B213">
        <v>312782594</v>
      </c>
      <c r="C213" t="s">
        <v>19057</v>
      </c>
      <c r="E213">
        <v>8</v>
      </c>
      <c r="F213">
        <v>133</v>
      </c>
      <c r="G213">
        <v>140</v>
      </c>
      <c r="H213">
        <v>11</v>
      </c>
      <c r="R213" t="s">
        <v>19058</v>
      </c>
    </row>
    <row r="214" spans="2:18" x14ac:dyDescent="0.25">
      <c r="B214">
        <v>312782598</v>
      </c>
      <c r="C214" t="s">
        <v>19059</v>
      </c>
      <c r="E214">
        <v>8</v>
      </c>
      <c r="F214">
        <v>133</v>
      </c>
      <c r="G214">
        <v>140</v>
      </c>
      <c r="H214">
        <v>11</v>
      </c>
      <c r="R214" t="s">
        <v>19060</v>
      </c>
    </row>
    <row r="215" spans="2:18" x14ac:dyDescent="0.25">
      <c r="B215">
        <v>312782628</v>
      </c>
      <c r="C215" t="s">
        <v>19061</v>
      </c>
      <c r="E215">
        <v>8</v>
      </c>
      <c r="F215">
        <v>133</v>
      </c>
      <c r="G215">
        <v>140</v>
      </c>
      <c r="H215">
        <v>8</v>
      </c>
      <c r="Q215" t="s">
        <v>19062</v>
      </c>
    </row>
    <row r="216" spans="2:18" x14ac:dyDescent="0.25">
      <c r="B216">
        <v>312782632</v>
      </c>
      <c r="C216" t="s">
        <v>19063</v>
      </c>
      <c r="E216">
        <v>8</v>
      </c>
      <c r="F216">
        <v>133</v>
      </c>
      <c r="G216">
        <v>140</v>
      </c>
      <c r="H216">
        <v>11</v>
      </c>
      <c r="R216" t="s">
        <v>19064</v>
      </c>
    </row>
    <row r="217" spans="2:18" x14ac:dyDescent="0.25">
      <c r="B217">
        <v>312782636</v>
      </c>
      <c r="C217" t="s">
        <v>19065</v>
      </c>
      <c r="E217">
        <v>8</v>
      </c>
      <c r="F217">
        <v>133</v>
      </c>
      <c r="G217">
        <v>140</v>
      </c>
      <c r="H217">
        <v>11</v>
      </c>
      <c r="R217" t="s">
        <v>19066</v>
      </c>
    </row>
    <row r="218" spans="2:18" x14ac:dyDescent="0.25">
      <c r="B218">
        <v>312782640</v>
      </c>
      <c r="C218" t="s">
        <v>19067</v>
      </c>
      <c r="E218">
        <v>8</v>
      </c>
      <c r="F218">
        <v>133</v>
      </c>
      <c r="G218">
        <v>140</v>
      </c>
      <c r="H218">
        <v>11</v>
      </c>
      <c r="R218" t="s">
        <v>19068</v>
      </c>
    </row>
    <row r="219" spans="2:18" x14ac:dyDescent="0.25">
      <c r="B219">
        <v>312782644</v>
      </c>
      <c r="C219" t="s">
        <v>19069</v>
      </c>
      <c r="E219">
        <v>8</v>
      </c>
      <c r="F219">
        <v>133</v>
      </c>
      <c r="G219">
        <v>140</v>
      </c>
      <c r="H219">
        <v>11</v>
      </c>
      <c r="R219" t="s">
        <v>19070</v>
      </c>
    </row>
    <row r="220" spans="2:18" x14ac:dyDescent="0.25">
      <c r="B220">
        <v>312782648</v>
      </c>
      <c r="C220" t="s">
        <v>19071</v>
      </c>
      <c r="E220">
        <v>8</v>
      </c>
      <c r="F220">
        <v>133</v>
      </c>
      <c r="G220">
        <v>140</v>
      </c>
      <c r="H220">
        <v>11</v>
      </c>
      <c r="R220" t="s">
        <v>19072</v>
      </c>
    </row>
    <row r="221" spans="2:18" x14ac:dyDescent="0.25">
      <c r="B221">
        <v>312782652</v>
      </c>
      <c r="C221" t="s">
        <v>19073</v>
      </c>
      <c r="E221">
        <v>8</v>
      </c>
      <c r="F221">
        <v>133</v>
      </c>
      <c r="G221">
        <v>140</v>
      </c>
      <c r="H221">
        <v>11</v>
      </c>
      <c r="R221" t="s">
        <v>19074</v>
      </c>
    </row>
    <row r="222" spans="2:18" x14ac:dyDescent="0.25">
      <c r="B222">
        <v>31</v>
      </c>
      <c r="C222" t="s">
        <v>19075</v>
      </c>
      <c r="E222">
        <v>64</v>
      </c>
      <c r="F222">
        <v>166</v>
      </c>
      <c r="G222">
        <v>102</v>
      </c>
      <c r="H222">
        <v>8</v>
      </c>
      <c r="P222" t="s">
        <v>19076</v>
      </c>
    </row>
    <row r="223" spans="2:18" x14ac:dyDescent="0.25">
      <c r="B223">
        <v>572</v>
      </c>
      <c r="C223" t="s">
        <v>19077</v>
      </c>
      <c r="E223">
        <v>64</v>
      </c>
      <c r="F223">
        <v>166</v>
      </c>
      <c r="G223">
        <v>102</v>
      </c>
      <c r="H223">
        <v>11</v>
      </c>
      <c r="Q223" t="s">
        <v>19078</v>
      </c>
    </row>
    <row r="224" spans="2:18" x14ac:dyDescent="0.25">
      <c r="B224">
        <v>1053</v>
      </c>
      <c r="C224" t="s">
        <v>19079</v>
      </c>
      <c r="E224">
        <v>64</v>
      </c>
      <c r="F224">
        <v>166</v>
      </c>
      <c r="G224">
        <v>102</v>
      </c>
      <c r="H224">
        <v>11</v>
      </c>
      <c r="Q224" t="s">
        <v>19080</v>
      </c>
    </row>
    <row r="225" spans="2:18" x14ac:dyDescent="0.25">
      <c r="B225">
        <v>739</v>
      </c>
      <c r="C225" t="s">
        <v>19081</v>
      </c>
      <c r="E225">
        <v>64</v>
      </c>
      <c r="F225">
        <v>166</v>
      </c>
      <c r="G225">
        <v>102</v>
      </c>
      <c r="H225">
        <v>11</v>
      </c>
      <c r="Q225" t="s">
        <v>19082</v>
      </c>
    </row>
    <row r="226" spans="2:18" x14ac:dyDescent="0.25">
      <c r="B226">
        <v>179</v>
      </c>
      <c r="C226" t="s">
        <v>19083</v>
      </c>
      <c r="E226">
        <v>64</v>
      </c>
      <c r="F226">
        <v>166</v>
      </c>
      <c r="G226">
        <v>102</v>
      </c>
      <c r="H226">
        <v>11</v>
      </c>
      <c r="Q226" t="s">
        <v>19084</v>
      </c>
    </row>
    <row r="227" spans="2:18" x14ac:dyDescent="0.25">
      <c r="B227">
        <v>227</v>
      </c>
      <c r="C227" t="s">
        <v>19085</v>
      </c>
      <c r="E227">
        <v>64</v>
      </c>
      <c r="F227">
        <v>166</v>
      </c>
      <c r="G227">
        <v>102</v>
      </c>
      <c r="H227">
        <v>11</v>
      </c>
      <c r="Q227" t="s">
        <v>19086</v>
      </c>
    </row>
    <row r="228" spans="2:18" x14ac:dyDescent="0.25">
      <c r="B228">
        <v>39</v>
      </c>
      <c r="C228" t="s">
        <v>19087</v>
      </c>
      <c r="E228">
        <v>64</v>
      </c>
      <c r="F228">
        <v>166</v>
      </c>
      <c r="G228">
        <v>102</v>
      </c>
      <c r="H228">
        <v>9</v>
      </c>
      <c r="Q228" t="s">
        <v>19088</v>
      </c>
    </row>
    <row r="229" spans="2:18" x14ac:dyDescent="0.25">
      <c r="B229">
        <v>935</v>
      </c>
      <c r="C229" t="s">
        <v>19089</v>
      </c>
      <c r="E229">
        <v>64</v>
      </c>
      <c r="F229">
        <v>166</v>
      </c>
      <c r="G229">
        <v>102</v>
      </c>
      <c r="H229">
        <v>11</v>
      </c>
      <c r="R229" t="s">
        <v>19090</v>
      </c>
    </row>
    <row r="230" spans="2:18" x14ac:dyDescent="0.25">
      <c r="B230">
        <v>211</v>
      </c>
      <c r="C230" t="s">
        <v>19091</v>
      </c>
      <c r="E230">
        <v>64</v>
      </c>
      <c r="F230">
        <v>166</v>
      </c>
      <c r="G230">
        <v>102</v>
      </c>
      <c r="H230">
        <v>11</v>
      </c>
      <c r="R230" t="s">
        <v>19092</v>
      </c>
    </row>
    <row r="231" spans="2:18" x14ac:dyDescent="0.25">
      <c r="B231">
        <v>1015</v>
      </c>
      <c r="C231" t="s">
        <v>19093</v>
      </c>
      <c r="E231">
        <v>64</v>
      </c>
      <c r="F231">
        <v>166</v>
      </c>
      <c r="G231">
        <v>102</v>
      </c>
      <c r="H231">
        <v>11</v>
      </c>
      <c r="R231" t="s">
        <v>19094</v>
      </c>
    </row>
    <row r="232" spans="2:18" x14ac:dyDescent="0.25">
      <c r="B232">
        <v>919</v>
      </c>
      <c r="C232" t="s">
        <v>19095</v>
      </c>
      <c r="E232">
        <v>64</v>
      </c>
      <c r="F232">
        <v>166</v>
      </c>
      <c r="G232">
        <v>102</v>
      </c>
      <c r="H232">
        <v>11</v>
      </c>
      <c r="R232" t="s">
        <v>19096</v>
      </c>
    </row>
    <row r="233" spans="2:18" x14ac:dyDescent="0.25">
      <c r="B233">
        <v>927</v>
      </c>
      <c r="C233" t="s">
        <v>19097</v>
      </c>
      <c r="E233">
        <v>64</v>
      </c>
      <c r="F233">
        <v>166</v>
      </c>
      <c r="G233">
        <v>102</v>
      </c>
      <c r="H233">
        <v>11</v>
      </c>
      <c r="R233" t="s">
        <v>19098</v>
      </c>
    </row>
    <row r="234" spans="2:18" x14ac:dyDescent="0.25">
      <c r="B234">
        <v>48</v>
      </c>
      <c r="C234" t="s">
        <v>19099</v>
      </c>
      <c r="E234">
        <v>64</v>
      </c>
      <c r="F234">
        <v>166</v>
      </c>
      <c r="G234">
        <v>102</v>
      </c>
      <c r="H234">
        <v>9</v>
      </c>
      <c r="Q234" t="s">
        <v>19100</v>
      </c>
    </row>
    <row r="235" spans="2:18" x14ac:dyDescent="0.25">
      <c r="B235">
        <v>588</v>
      </c>
      <c r="C235" t="s">
        <v>19101</v>
      </c>
      <c r="E235">
        <v>64</v>
      </c>
      <c r="F235">
        <v>166</v>
      </c>
      <c r="G235">
        <v>102</v>
      </c>
      <c r="H235">
        <v>11</v>
      </c>
      <c r="R235" t="s">
        <v>19102</v>
      </c>
    </row>
    <row r="236" spans="2:18" x14ac:dyDescent="0.25">
      <c r="B236">
        <v>296</v>
      </c>
      <c r="C236" t="s">
        <v>19103</v>
      </c>
      <c r="E236">
        <v>64</v>
      </c>
      <c r="F236">
        <v>166</v>
      </c>
      <c r="G236">
        <v>102</v>
      </c>
      <c r="H236">
        <v>11</v>
      </c>
      <c r="R236" t="s">
        <v>19104</v>
      </c>
    </row>
    <row r="237" spans="2:18" x14ac:dyDescent="0.25">
      <c r="B237">
        <v>772</v>
      </c>
      <c r="C237" t="s">
        <v>19105</v>
      </c>
      <c r="E237">
        <v>64</v>
      </c>
      <c r="F237">
        <v>166</v>
      </c>
      <c r="G237">
        <v>102</v>
      </c>
      <c r="H237">
        <v>11</v>
      </c>
      <c r="R237" t="s">
        <v>19106</v>
      </c>
    </row>
    <row r="238" spans="2:18" x14ac:dyDescent="0.25">
      <c r="B238">
        <v>810</v>
      </c>
      <c r="C238" t="s">
        <v>19107</v>
      </c>
      <c r="E238">
        <v>64</v>
      </c>
      <c r="F238">
        <v>166</v>
      </c>
      <c r="G238">
        <v>102</v>
      </c>
      <c r="H238">
        <v>11</v>
      </c>
      <c r="R238" t="s">
        <v>19108</v>
      </c>
    </row>
    <row r="239" spans="2:18" x14ac:dyDescent="0.25">
      <c r="B239">
        <v>819</v>
      </c>
      <c r="C239" t="s">
        <v>19109</v>
      </c>
      <c r="E239">
        <v>64</v>
      </c>
      <c r="F239">
        <v>166</v>
      </c>
      <c r="G239">
        <v>102</v>
      </c>
      <c r="H239">
        <v>11</v>
      </c>
      <c r="R239" t="s">
        <v>19110</v>
      </c>
    </row>
    <row r="240" spans="2:18" x14ac:dyDescent="0.25">
      <c r="B240">
        <v>972</v>
      </c>
      <c r="C240" t="s">
        <v>19111</v>
      </c>
      <c r="E240">
        <v>47</v>
      </c>
      <c r="F240">
        <v>168</v>
      </c>
      <c r="G240">
        <v>80</v>
      </c>
      <c r="H240">
        <v>8</v>
      </c>
      <c r="P240" t="s">
        <v>19112</v>
      </c>
    </row>
    <row r="241" spans="2:17" x14ac:dyDescent="0.25">
      <c r="B241">
        <v>171</v>
      </c>
      <c r="C241" t="s">
        <v>19113</v>
      </c>
      <c r="E241">
        <v>47</v>
      </c>
      <c r="F241">
        <v>168</v>
      </c>
      <c r="G241">
        <v>80</v>
      </c>
      <c r="H241">
        <v>11</v>
      </c>
      <c r="Q241" t="s">
        <v>19114</v>
      </c>
    </row>
    <row r="242" spans="2:17" x14ac:dyDescent="0.25">
      <c r="B242">
        <v>195</v>
      </c>
      <c r="C242" t="s">
        <v>19115</v>
      </c>
      <c r="E242">
        <v>47</v>
      </c>
      <c r="F242">
        <v>168</v>
      </c>
      <c r="G242">
        <v>80</v>
      </c>
      <c r="H242">
        <v>11</v>
      </c>
      <c r="Q242" t="s">
        <v>19116</v>
      </c>
    </row>
    <row r="243" spans="2:17" x14ac:dyDescent="0.25">
      <c r="B243">
        <v>304</v>
      </c>
      <c r="C243" t="s">
        <v>19117</v>
      </c>
      <c r="E243">
        <v>47</v>
      </c>
      <c r="F243">
        <v>168</v>
      </c>
      <c r="G243">
        <v>80</v>
      </c>
      <c r="H243">
        <v>11</v>
      </c>
      <c r="Q243" t="s">
        <v>19118</v>
      </c>
    </row>
    <row r="244" spans="2:17" x14ac:dyDescent="0.25">
      <c r="B244">
        <v>363</v>
      </c>
      <c r="C244" t="s">
        <v>19119</v>
      </c>
      <c r="E244">
        <v>47</v>
      </c>
      <c r="F244">
        <v>168</v>
      </c>
      <c r="G244">
        <v>80</v>
      </c>
      <c r="H244">
        <v>11</v>
      </c>
      <c r="Q244" t="s">
        <v>19120</v>
      </c>
    </row>
    <row r="245" spans="2:17" x14ac:dyDescent="0.25">
      <c r="B245">
        <v>84</v>
      </c>
      <c r="C245" t="s">
        <v>19121</v>
      </c>
      <c r="E245">
        <v>47</v>
      </c>
      <c r="F245">
        <v>168</v>
      </c>
      <c r="G245">
        <v>80</v>
      </c>
      <c r="H245">
        <v>11</v>
      </c>
      <c r="Q245" t="s">
        <v>19122</v>
      </c>
    </row>
    <row r="246" spans="2:17" x14ac:dyDescent="0.25">
      <c r="B246">
        <v>132</v>
      </c>
      <c r="C246" t="s">
        <v>19123</v>
      </c>
      <c r="E246">
        <v>47</v>
      </c>
      <c r="F246">
        <v>168</v>
      </c>
      <c r="G246">
        <v>80</v>
      </c>
      <c r="H246">
        <v>11</v>
      </c>
      <c r="Q246" t="s">
        <v>19124</v>
      </c>
    </row>
    <row r="247" spans="2:17" x14ac:dyDescent="0.25">
      <c r="B247">
        <v>44</v>
      </c>
      <c r="C247" t="s">
        <v>19125</v>
      </c>
      <c r="E247">
        <v>89</v>
      </c>
      <c r="F247">
        <v>179</v>
      </c>
      <c r="G247">
        <v>99</v>
      </c>
      <c r="H247">
        <v>8</v>
      </c>
      <c r="P247" t="s">
        <v>19126</v>
      </c>
    </row>
    <row r="248" spans="2:17" x14ac:dyDescent="0.25">
      <c r="B248">
        <v>707</v>
      </c>
      <c r="C248" t="s">
        <v>19127</v>
      </c>
      <c r="E248">
        <v>89</v>
      </c>
      <c r="F248">
        <v>179</v>
      </c>
      <c r="G248">
        <v>99</v>
      </c>
      <c r="H248">
        <v>11</v>
      </c>
      <c r="Q248" t="s">
        <v>19128</v>
      </c>
    </row>
    <row r="249" spans="2:17" x14ac:dyDescent="0.25">
      <c r="B249">
        <v>747</v>
      </c>
      <c r="C249" t="s">
        <v>19129</v>
      </c>
      <c r="E249">
        <v>89</v>
      </c>
      <c r="F249">
        <v>179</v>
      </c>
      <c r="G249">
        <v>99</v>
      </c>
      <c r="H249">
        <v>11</v>
      </c>
      <c r="Q249" t="s">
        <v>19130</v>
      </c>
    </row>
    <row r="250" spans="2:17" x14ac:dyDescent="0.25">
      <c r="B250">
        <v>556</v>
      </c>
      <c r="C250" t="s">
        <v>19131</v>
      </c>
      <c r="E250">
        <v>89</v>
      </c>
      <c r="F250">
        <v>179</v>
      </c>
      <c r="G250">
        <v>99</v>
      </c>
      <c r="H250">
        <v>11</v>
      </c>
      <c r="Q250" t="s">
        <v>19132</v>
      </c>
    </row>
    <row r="251" spans="2:17" x14ac:dyDescent="0.25">
      <c r="B251">
        <v>827</v>
      </c>
      <c r="C251" t="s">
        <v>19133</v>
      </c>
      <c r="E251">
        <v>89</v>
      </c>
      <c r="F251">
        <v>179</v>
      </c>
      <c r="G251">
        <v>99</v>
      </c>
      <c r="H251">
        <v>11</v>
      </c>
      <c r="Q251" t="s">
        <v>19134</v>
      </c>
    </row>
    <row r="252" spans="2:17" x14ac:dyDescent="0.25">
      <c r="B252">
        <v>1054</v>
      </c>
      <c r="C252" t="s">
        <v>19135</v>
      </c>
      <c r="E252">
        <v>89</v>
      </c>
      <c r="F252">
        <v>179</v>
      </c>
      <c r="G252">
        <v>99</v>
      </c>
      <c r="H252">
        <v>11</v>
      </c>
      <c r="Q252" t="s">
        <v>19136</v>
      </c>
    </row>
    <row r="253" spans="2:17" x14ac:dyDescent="0.25">
      <c r="B253">
        <v>1081</v>
      </c>
      <c r="C253" t="s">
        <v>19137</v>
      </c>
      <c r="E253">
        <v>89</v>
      </c>
      <c r="F253">
        <v>179</v>
      </c>
      <c r="G253">
        <v>99</v>
      </c>
      <c r="H253">
        <v>11</v>
      </c>
      <c r="Q253" t="s">
        <v>19138</v>
      </c>
    </row>
    <row r="254" spans="2:17" x14ac:dyDescent="0.25">
      <c r="B254">
        <v>714</v>
      </c>
      <c r="C254" t="s">
        <v>19139</v>
      </c>
      <c r="E254">
        <v>36</v>
      </c>
      <c r="F254">
        <v>138</v>
      </c>
      <c r="G254">
        <v>94</v>
      </c>
      <c r="H254">
        <v>8</v>
      </c>
      <c r="P254" t="s">
        <v>19140</v>
      </c>
    </row>
    <row r="255" spans="2:17" x14ac:dyDescent="0.25">
      <c r="B255">
        <v>264</v>
      </c>
      <c r="C255" t="s">
        <v>19141</v>
      </c>
      <c r="E255">
        <v>36</v>
      </c>
      <c r="F255">
        <v>138</v>
      </c>
      <c r="G255">
        <v>94</v>
      </c>
      <c r="H255">
        <v>11</v>
      </c>
      <c r="Q255" t="s">
        <v>19142</v>
      </c>
    </row>
    <row r="256" spans="2:17" x14ac:dyDescent="0.25">
      <c r="B256">
        <v>492</v>
      </c>
      <c r="C256" t="s">
        <v>19143</v>
      </c>
      <c r="E256">
        <v>36</v>
      </c>
      <c r="F256">
        <v>138</v>
      </c>
      <c r="G256">
        <v>94</v>
      </c>
      <c r="H256">
        <v>11</v>
      </c>
      <c r="Q256" t="s">
        <v>19144</v>
      </c>
    </row>
    <row r="257" spans="2:18" x14ac:dyDescent="0.25">
      <c r="B257">
        <v>352</v>
      </c>
      <c r="C257" t="s">
        <v>19145</v>
      </c>
      <c r="E257">
        <v>36</v>
      </c>
      <c r="F257">
        <v>138</v>
      </c>
      <c r="G257">
        <v>94</v>
      </c>
      <c r="H257">
        <v>11</v>
      </c>
      <c r="Q257" t="s">
        <v>19146</v>
      </c>
    </row>
    <row r="258" spans="2:18" x14ac:dyDescent="0.25">
      <c r="B258">
        <v>476</v>
      </c>
      <c r="C258" t="s">
        <v>19147</v>
      </c>
      <c r="E258">
        <v>36</v>
      </c>
      <c r="F258">
        <v>138</v>
      </c>
      <c r="G258">
        <v>94</v>
      </c>
      <c r="H258">
        <v>11</v>
      </c>
      <c r="Q258" t="s">
        <v>19148</v>
      </c>
    </row>
    <row r="259" spans="2:18" x14ac:dyDescent="0.25">
      <c r="B259">
        <v>516</v>
      </c>
      <c r="C259" t="s">
        <v>19149</v>
      </c>
      <c r="E259">
        <v>36</v>
      </c>
      <c r="F259">
        <v>138</v>
      </c>
      <c r="G259">
        <v>94</v>
      </c>
      <c r="H259">
        <v>11</v>
      </c>
      <c r="Q259" t="s">
        <v>19150</v>
      </c>
    </row>
    <row r="260" spans="2:18" x14ac:dyDescent="0.25">
      <c r="B260">
        <v>723</v>
      </c>
      <c r="C260" t="s">
        <v>19151</v>
      </c>
      <c r="E260">
        <v>36</v>
      </c>
      <c r="F260">
        <v>138</v>
      </c>
      <c r="G260">
        <v>94</v>
      </c>
      <c r="H260">
        <v>9</v>
      </c>
      <c r="Q260" t="s">
        <v>19152</v>
      </c>
    </row>
    <row r="261" spans="2:18" x14ac:dyDescent="0.25">
      <c r="B261">
        <v>448</v>
      </c>
      <c r="C261" t="s">
        <v>19153</v>
      </c>
      <c r="E261">
        <v>36</v>
      </c>
      <c r="F261">
        <v>138</v>
      </c>
      <c r="G261">
        <v>94</v>
      </c>
      <c r="H261">
        <v>11</v>
      </c>
      <c r="R261" t="s">
        <v>19154</v>
      </c>
    </row>
    <row r="262" spans="2:18" x14ac:dyDescent="0.25">
      <c r="B262">
        <v>412</v>
      </c>
      <c r="C262" t="s">
        <v>19155</v>
      </c>
      <c r="E262">
        <v>36</v>
      </c>
      <c r="F262">
        <v>138</v>
      </c>
      <c r="G262">
        <v>94</v>
      </c>
      <c r="H262">
        <v>11</v>
      </c>
      <c r="R262" t="s">
        <v>19156</v>
      </c>
    </row>
    <row r="263" spans="2:18" x14ac:dyDescent="0.25">
      <c r="B263">
        <v>630</v>
      </c>
      <c r="C263" t="s">
        <v>19157</v>
      </c>
      <c r="E263">
        <v>36</v>
      </c>
      <c r="F263">
        <v>138</v>
      </c>
      <c r="G263">
        <v>94</v>
      </c>
      <c r="H263">
        <v>11</v>
      </c>
      <c r="R263" t="s">
        <v>19158</v>
      </c>
    </row>
    <row r="264" spans="2:18" x14ac:dyDescent="0.25">
      <c r="B264">
        <v>440</v>
      </c>
      <c r="C264" t="s">
        <v>19159</v>
      </c>
      <c r="E264">
        <v>36</v>
      </c>
      <c r="F264">
        <v>138</v>
      </c>
      <c r="G264">
        <v>94</v>
      </c>
      <c r="H264">
        <v>11</v>
      </c>
      <c r="R264" t="s">
        <v>19160</v>
      </c>
    </row>
    <row r="265" spans="2:18" x14ac:dyDescent="0.25">
      <c r="B265">
        <v>488</v>
      </c>
      <c r="C265" t="s">
        <v>19161</v>
      </c>
      <c r="E265">
        <v>36</v>
      </c>
      <c r="F265">
        <v>138</v>
      </c>
      <c r="G265">
        <v>94</v>
      </c>
      <c r="H265">
        <v>11</v>
      </c>
      <c r="R265" t="s">
        <v>19162</v>
      </c>
    </row>
    <row r="266" spans="2:18" x14ac:dyDescent="0.25">
      <c r="B266">
        <v>731</v>
      </c>
      <c r="C266" t="s">
        <v>19163</v>
      </c>
      <c r="E266">
        <v>36</v>
      </c>
      <c r="F266">
        <v>138</v>
      </c>
      <c r="G266">
        <v>94</v>
      </c>
      <c r="H266">
        <v>9</v>
      </c>
      <c r="Q266" t="s">
        <v>19164</v>
      </c>
    </row>
    <row r="267" spans="2:18" x14ac:dyDescent="0.25">
      <c r="B267">
        <v>484</v>
      </c>
      <c r="C267" t="s">
        <v>19165</v>
      </c>
      <c r="E267">
        <v>36</v>
      </c>
      <c r="F267">
        <v>138</v>
      </c>
      <c r="G267">
        <v>94</v>
      </c>
      <c r="H267">
        <v>11</v>
      </c>
      <c r="R267" t="s">
        <v>19166</v>
      </c>
    </row>
    <row r="268" spans="2:18" x14ac:dyDescent="0.25">
      <c r="B268">
        <v>524</v>
      </c>
      <c r="C268" t="s">
        <v>19167</v>
      </c>
      <c r="E268">
        <v>36</v>
      </c>
      <c r="F268">
        <v>138</v>
      </c>
      <c r="G268">
        <v>94</v>
      </c>
      <c r="H268">
        <v>11</v>
      </c>
      <c r="R268" t="s">
        <v>19168</v>
      </c>
    </row>
    <row r="269" spans="2:18" x14ac:dyDescent="0.25">
      <c r="B269">
        <v>582</v>
      </c>
      <c r="C269" t="s">
        <v>19169</v>
      </c>
      <c r="E269">
        <v>36</v>
      </c>
      <c r="F269">
        <v>138</v>
      </c>
      <c r="G269">
        <v>94</v>
      </c>
      <c r="H269">
        <v>11</v>
      </c>
      <c r="R269" t="s">
        <v>19170</v>
      </c>
    </row>
    <row r="270" spans="2:18" x14ac:dyDescent="0.25">
      <c r="B270">
        <v>620</v>
      </c>
      <c r="C270" t="s">
        <v>19171</v>
      </c>
      <c r="E270">
        <v>36</v>
      </c>
      <c r="F270">
        <v>138</v>
      </c>
      <c r="G270">
        <v>94</v>
      </c>
      <c r="H270">
        <v>11</v>
      </c>
      <c r="R270" t="s">
        <v>19172</v>
      </c>
    </row>
    <row r="271" spans="2:18" x14ac:dyDescent="0.25">
      <c r="B271">
        <v>910</v>
      </c>
      <c r="C271" t="s">
        <v>19173</v>
      </c>
      <c r="E271">
        <v>36</v>
      </c>
      <c r="F271">
        <v>138</v>
      </c>
      <c r="G271">
        <v>94</v>
      </c>
      <c r="H271">
        <v>11</v>
      </c>
      <c r="R271" t="s">
        <v>19174</v>
      </c>
    </row>
    <row r="272" spans="2:18" x14ac:dyDescent="0.25">
      <c r="B272">
        <v>527696977</v>
      </c>
      <c r="C272" t="s">
        <v>19175</v>
      </c>
      <c r="E272">
        <v>36</v>
      </c>
      <c r="F272">
        <v>138</v>
      </c>
      <c r="G272">
        <v>94</v>
      </c>
      <c r="H272">
        <v>11</v>
      </c>
      <c r="R272" t="s">
        <v>19176</v>
      </c>
    </row>
    <row r="273" spans="2:18" x14ac:dyDescent="0.25">
      <c r="B273">
        <v>738</v>
      </c>
      <c r="C273" t="s">
        <v>19177</v>
      </c>
      <c r="E273">
        <v>36</v>
      </c>
      <c r="F273">
        <v>138</v>
      </c>
      <c r="G273">
        <v>94</v>
      </c>
      <c r="H273">
        <v>9</v>
      </c>
      <c r="Q273" t="s">
        <v>19178</v>
      </c>
    </row>
    <row r="274" spans="2:18" x14ac:dyDescent="0.25">
      <c r="B274">
        <v>746</v>
      </c>
      <c r="C274" t="s">
        <v>19179</v>
      </c>
      <c r="E274">
        <v>36</v>
      </c>
      <c r="F274">
        <v>138</v>
      </c>
      <c r="G274">
        <v>94</v>
      </c>
      <c r="H274">
        <v>9</v>
      </c>
      <c r="Q274" t="s">
        <v>19180</v>
      </c>
    </row>
    <row r="275" spans="2:18" x14ac:dyDescent="0.25">
      <c r="B275">
        <v>969</v>
      </c>
      <c r="C275" t="s">
        <v>19181</v>
      </c>
      <c r="E275">
        <v>36</v>
      </c>
      <c r="F275">
        <v>138</v>
      </c>
      <c r="G275">
        <v>94</v>
      </c>
      <c r="H275">
        <v>11</v>
      </c>
      <c r="R275" t="s">
        <v>19182</v>
      </c>
    </row>
    <row r="276" spans="2:18" x14ac:dyDescent="0.25">
      <c r="B276">
        <v>288</v>
      </c>
      <c r="C276" t="s">
        <v>19183</v>
      </c>
      <c r="E276">
        <v>36</v>
      </c>
      <c r="F276">
        <v>138</v>
      </c>
      <c r="G276">
        <v>94</v>
      </c>
      <c r="H276">
        <v>11</v>
      </c>
      <c r="R276" t="s">
        <v>19184</v>
      </c>
    </row>
    <row r="277" spans="2:18" x14ac:dyDescent="0.25">
      <c r="B277">
        <v>1125</v>
      </c>
      <c r="C277" t="s">
        <v>19185</v>
      </c>
      <c r="E277">
        <v>36</v>
      </c>
      <c r="F277">
        <v>138</v>
      </c>
      <c r="G277">
        <v>94</v>
      </c>
      <c r="H277">
        <v>11</v>
      </c>
      <c r="R277" t="s">
        <v>19186</v>
      </c>
    </row>
    <row r="278" spans="2:18" x14ac:dyDescent="0.25">
      <c r="B278">
        <v>608</v>
      </c>
      <c r="C278" t="s">
        <v>19187</v>
      </c>
      <c r="E278">
        <v>36</v>
      </c>
      <c r="F278">
        <v>138</v>
      </c>
      <c r="G278">
        <v>94</v>
      </c>
      <c r="H278">
        <v>11</v>
      </c>
      <c r="R278" t="s">
        <v>19188</v>
      </c>
    </row>
    <row r="279" spans="2:18" x14ac:dyDescent="0.25">
      <c r="B279">
        <v>680</v>
      </c>
      <c r="C279" t="s">
        <v>19189</v>
      </c>
      <c r="E279">
        <v>36</v>
      </c>
      <c r="F279">
        <v>138</v>
      </c>
      <c r="G279">
        <v>94</v>
      </c>
      <c r="H279">
        <v>11</v>
      </c>
      <c r="R279" t="s">
        <v>19190</v>
      </c>
    </row>
    <row r="280" spans="2:18" x14ac:dyDescent="0.25">
      <c r="B280">
        <v>95</v>
      </c>
      <c r="C280" t="s">
        <v>19191</v>
      </c>
      <c r="E280">
        <v>33</v>
      </c>
      <c r="F280">
        <v>152</v>
      </c>
      <c r="G280">
        <v>102</v>
      </c>
      <c r="H280">
        <v>8</v>
      </c>
      <c r="P280" t="s">
        <v>19192</v>
      </c>
    </row>
    <row r="281" spans="2:18" x14ac:dyDescent="0.25">
      <c r="B281">
        <v>104</v>
      </c>
      <c r="C281" t="s">
        <v>19193</v>
      </c>
      <c r="E281">
        <v>33</v>
      </c>
      <c r="F281">
        <v>152</v>
      </c>
      <c r="G281">
        <v>102</v>
      </c>
      <c r="H281">
        <v>9</v>
      </c>
      <c r="Q281" t="s">
        <v>19194</v>
      </c>
    </row>
    <row r="282" spans="2:18" x14ac:dyDescent="0.25">
      <c r="B282">
        <v>996</v>
      </c>
      <c r="C282" t="s">
        <v>19195</v>
      </c>
      <c r="E282">
        <v>33</v>
      </c>
      <c r="F282">
        <v>152</v>
      </c>
      <c r="G282">
        <v>102</v>
      </c>
      <c r="H282">
        <v>11</v>
      </c>
      <c r="R282" t="s">
        <v>19196</v>
      </c>
    </row>
    <row r="283" spans="2:18" x14ac:dyDescent="0.25">
      <c r="B283">
        <v>328</v>
      </c>
      <c r="C283" t="s">
        <v>19197</v>
      </c>
      <c r="E283">
        <v>33</v>
      </c>
      <c r="F283">
        <v>152</v>
      </c>
      <c r="G283">
        <v>102</v>
      </c>
      <c r="H283">
        <v>11</v>
      </c>
      <c r="R283" t="s">
        <v>19198</v>
      </c>
    </row>
    <row r="284" spans="2:18" x14ac:dyDescent="0.25">
      <c r="B284">
        <v>1101</v>
      </c>
      <c r="C284" t="s">
        <v>19199</v>
      </c>
      <c r="E284">
        <v>33</v>
      </c>
      <c r="F284">
        <v>152</v>
      </c>
      <c r="G284">
        <v>102</v>
      </c>
      <c r="H284">
        <v>11</v>
      </c>
      <c r="R284" t="s">
        <v>19200</v>
      </c>
    </row>
    <row r="285" spans="2:18" x14ac:dyDescent="0.25">
      <c r="B285">
        <v>783</v>
      </c>
      <c r="C285" t="s">
        <v>19201</v>
      </c>
      <c r="E285">
        <v>33</v>
      </c>
      <c r="F285">
        <v>152</v>
      </c>
      <c r="G285">
        <v>102</v>
      </c>
      <c r="H285">
        <v>11</v>
      </c>
      <c r="R285" t="s">
        <v>19202</v>
      </c>
    </row>
    <row r="286" spans="2:18" x14ac:dyDescent="0.25">
      <c r="B286">
        <v>831</v>
      </c>
      <c r="C286" t="s">
        <v>19203</v>
      </c>
      <c r="E286">
        <v>33</v>
      </c>
      <c r="F286">
        <v>152</v>
      </c>
      <c r="G286">
        <v>102</v>
      </c>
      <c r="H286">
        <v>11</v>
      </c>
      <c r="R286" t="s">
        <v>19204</v>
      </c>
    </row>
    <row r="287" spans="2:18" x14ac:dyDescent="0.25">
      <c r="B287">
        <v>111</v>
      </c>
      <c r="C287" t="s">
        <v>19205</v>
      </c>
      <c r="E287">
        <v>33</v>
      </c>
      <c r="F287">
        <v>152</v>
      </c>
      <c r="G287">
        <v>102</v>
      </c>
      <c r="H287">
        <v>9</v>
      </c>
      <c r="Q287" t="s">
        <v>19206</v>
      </c>
    </row>
    <row r="288" spans="2:18" x14ac:dyDescent="0.25">
      <c r="B288">
        <v>120</v>
      </c>
      <c r="C288" t="s">
        <v>19207</v>
      </c>
      <c r="E288">
        <v>33</v>
      </c>
      <c r="F288">
        <v>152</v>
      </c>
      <c r="G288">
        <v>102</v>
      </c>
      <c r="H288">
        <v>11</v>
      </c>
      <c r="R288" t="s">
        <v>19208</v>
      </c>
    </row>
    <row r="289" spans="2:18" x14ac:dyDescent="0.25">
      <c r="B289">
        <v>163</v>
      </c>
      <c r="C289" t="s">
        <v>19209</v>
      </c>
      <c r="E289">
        <v>33</v>
      </c>
      <c r="F289">
        <v>152</v>
      </c>
      <c r="G289">
        <v>102</v>
      </c>
      <c r="H289">
        <v>11</v>
      </c>
      <c r="R289" t="s">
        <v>19210</v>
      </c>
    </row>
    <row r="290" spans="2:18" x14ac:dyDescent="0.25">
      <c r="B290">
        <v>344</v>
      </c>
      <c r="C290" t="s">
        <v>19211</v>
      </c>
      <c r="E290">
        <v>33</v>
      </c>
      <c r="F290">
        <v>152</v>
      </c>
      <c r="G290">
        <v>102</v>
      </c>
      <c r="H290">
        <v>11</v>
      </c>
      <c r="R290" t="s">
        <v>19212</v>
      </c>
    </row>
    <row r="291" spans="2:18" x14ac:dyDescent="0.25">
      <c r="B291">
        <v>314</v>
      </c>
      <c r="C291" t="s">
        <v>19213</v>
      </c>
      <c r="E291">
        <v>33</v>
      </c>
      <c r="F291">
        <v>152</v>
      </c>
      <c r="G291">
        <v>102</v>
      </c>
      <c r="H291">
        <v>11</v>
      </c>
      <c r="R291" t="s">
        <v>19214</v>
      </c>
    </row>
    <row r="292" spans="2:18" x14ac:dyDescent="0.25">
      <c r="B292">
        <v>355</v>
      </c>
      <c r="C292" t="s">
        <v>19215</v>
      </c>
      <c r="E292">
        <v>33</v>
      </c>
      <c r="F292">
        <v>152</v>
      </c>
      <c r="G292">
        <v>102</v>
      </c>
      <c r="H292">
        <v>11</v>
      </c>
      <c r="R292" t="s">
        <v>19216</v>
      </c>
    </row>
    <row r="293" spans="2:18" x14ac:dyDescent="0.25">
      <c r="B293">
        <v>119</v>
      </c>
      <c r="C293" t="s">
        <v>19217</v>
      </c>
      <c r="E293">
        <v>33</v>
      </c>
      <c r="F293">
        <v>152</v>
      </c>
      <c r="G293">
        <v>102</v>
      </c>
      <c r="H293">
        <v>9</v>
      </c>
      <c r="Q293" t="s">
        <v>19218</v>
      </c>
    </row>
    <row r="294" spans="2:18" x14ac:dyDescent="0.25">
      <c r="B294">
        <v>704</v>
      </c>
      <c r="C294" t="s">
        <v>19219</v>
      </c>
      <c r="E294">
        <v>33</v>
      </c>
      <c r="F294">
        <v>152</v>
      </c>
      <c r="G294">
        <v>102</v>
      </c>
      <c r="H294">
        <v>11</v>
      </c>
      <c r="R294" t="s">
        <v>19220</v>
      </c>
    </row>
    <row r="295" spans="2:18" x14ac:dyDescent="0.25">
      <c r="B295">
        <v>694</v>
      </c>
      <c r="C295" t="s">
        <v>19221</v>
      </c>
      <c r="E295">
        <v>33</v>
      </c>
      <c r="F295">
        <v>152</v>
      </c>
      <c r="G295">
        <v>102</v>
      </c>
      <c r="H295">
        <v>11</v>
      </c>
      <c r="R295" t="s">
        <v>19222</v>
      </c>
    </row>
    <row r="296" spans="2:18" x14ac:dyDescent="0.25">
      <c r="B296">
        <v>800</v>
      </c>
      <c r="C296" t="s">
        <v>19223</v>
      </c>
      <c r="E296">
        <v>33</v>
      </c>
      <c r="F296">
        <v>152</v>
      </c>
      <c r="G296">
        <v>102</v>
      </c>
      <c r="H296">
        <v>11</v>
      </c>
      <c r="R296" t="s">
        <v>19224</v>
      </c>
    </row>
    <row r="297" spans="2:18" x14ac:dyDescent="0.25">
      <c r="B297">
        <v>675</v>
      </c>
      <c r="C297" t="s">
        <v>19225</v>
      </c>
      <c r="E297">
        <v>33</v>
      </c>
      <c r="F297">
        <v>152</v>
      </c>
      <c r="G297">
        <v>102</v>
      </c>
      <c r="H297">
        <v>11</v>
      </c>
      <c r="R297" t="s">
        <v>19226</v>
      </c>
    </row>
    <row r="298" spans="2:18" x14ac:dyDescent="0.25">
      <c r="B298">
        <v>699</v>
      </c>
      <c r="C298" t="s">
        <v>19227</v>
      </c>
      <c r="E298">
        <v>33</v>
      </c>
      <c r="F298">
        <v>152</v>
      </c>
      <c r="G298">
        <v>102</v>
      </c>
      <c r="H298">
        <v>11</v>
      </c>
      <c r="R298" t="s">
        <v>19228</v>
      </c>
    </row>
    <row r="299" spans="2:18" x14ac:dyDescent="0.25">
      <c r="B299">
        <v>254</v>
      </c>
      <c r="C299" t="s">
        <v>15194</v>
      </c>
      <c r="E299">
        <v>26</v>
      </c>
      <c r="F299">
        <v>166</v>
      </c>
      <c r="G299">
        <v>152</v>
      </c>
      <c r="H299">
        <v>8</v>
      </c>
      <c r="P299" t="s">
        <v>19229</v>
      </c>
    </row>
    <row r="300" spans="2:18" x14ac:dyDescent="0.25">
      <c r="B300">
        <v>894</v>
      </c>
      <c r="C300" t="s">
        <v>19230</v>
      </c>
      <c r="E300">
        <v>26</v>
      </c>
      <c r="F300">
        <v>166</v>
      </c>
      <c r="G300">
        <v>152</v>
      </c>
      <c r="H300">
        <v>9</v>
      </c>
      <c r="Q300" t="s">
        <v>19231</v>
      </c>
    </row>
    <row r="301" spans="2:18" x14ac:dyDescent="0.25">
      <c r="B301">
        <v>671</v>
      </c>
      <c r="C301" t="s">
        <v>19232</v>
      </c>
      <c r="E301">
        <v>26</v>
      </c>
      <c r="F301">
        <v>166</v>
      </c>
      <c r="G301">
        <v>152</v>
      </c>
      <c r="H301">
        <v>11</v>
      </c>
      <c r="R301" t="s">
        <v>19233</v>
      </c>
    </row>
    <row r="302" spans="2:18" x14ac:dyDescent="0.25">
      <c r="B302">
        <v>965</v>
      </c>
      <c r="C302" t="s">
        <v>19234</v>
      </c>
      <c r="E302">
        <v>26</v>
      </c>
      <c r="F302">
        <v>166</v>
      </c>
      <c r="G302">
        <v>152</v>
      </c>
      <c r="H302">
        <v>11</v>
      </c>
      <c r="R302" t="s">
        <v>19235</v>
      </c>
    </row>
    <row r="303" spans="2:18" x14ac:dyDescent="0.25">
      <c r="B303">
        <v>774</v>
      </c>
      <c r="C303" t="s">
        <v>19236</v>
      </c>
      <c r="E303">
        <v>26</v>
      </c>
      <c r="F303">
        <v>166</v>
      </c>
      <c r="G303">
        <v>152</v>
      </c>
      <c r="H303">
        <v>11</v>
      </c>
      <c r="R303" t="s">
        <v>19237</v>
      </c>
    </row>
    <row r="304" spans="2:18" x14ac:dyDescent="0.25">
      <c r="B304">
        <v>906</v>
      </c>
      <c r="C304" t="s">
        <v>19238</v>
      </c>
      <c r="E304">
        <v>26</v>
      </c>
      <c r="F304">
        <v>166</v>
      </c>
      <c r="G304">
        <v>152</v>
      </c>
      <c r="H304">
        <v>11</v>
      </c>
      <c r="R304" t="s">
        <v>19239</v>
      </c>
    </row>
    <row r="305" spans="2:19" x14ac:dyDescent="0.25">
      <c r="B305">
        <v>279</v>
      </c>
      <c r="C305" t="s">
        <v>19240</v>
      </c>
      <c r="E305">
        <v>26</v>
      </c>
      <c r="F305">
        <v>166</v>
      </c>
      <c r="G305">
        <v>152</v>
      </c>
      <c r="H305">
        <v>11</v>
      </c>
      <c r="R305" t="s">
        <v>19241</v>
      </c>
    </row>
    <row r="306" spans="2:19" x14ac:dyDescent="0.25">
      <c r="B306">
        <v>480149258</v>
      </c>
      <c r="C306" t="s">
        <v>19242</v>
      </c>
      <c r="E306">
        <v>26</v>
      </c>
      <c r="F306">
        <v>166</v>
      </c>
      <c r="G306">
        <v>152</v>
      </c>
      <c r="H306">
        <v>10</v>
      </c>
      <c r="R306" t="s">
        <v>19243</v>
      </c>
    </row>
    <row r="307" spans="2:19" x14ac:dyDescent="0.25">
      <c r="B307">
        <v>480149262</v>
      </c>
      <c r="C307" t="s">
        <v>19244</v>
      </c>
      <c r="E307">
        <v>26</v>
      </c>
      <c r="F307">
        <v>166</v>
      </c>
      <c r="G307">
        <v>152</v>
      </c>
      <c r="H307">
        <v>11</v>
      </c>
      <c r="S307" t="s">
        <v>19245</v>
      </c>
    </row>
    <row r="308" spans="2:19" x14ac:dyDescent="0.25">
      <c r="B308">
        <v>480149266</v>
      </c>
      <c r="C308" t="s">
        <v>19246</v>
      </c>
      <c r="E308">
        <v>26</v>
      </c>
      <c r="F308">
        <v>166</v>
      </c>
      <c r="G308">
        <v>152</v>
      </c>
      <c r="H308">
        <v>11</v>
      </c>
      <c r="S308" t="s">
        <v>19247</v>
      </c>
    </row>
    <row r="309" spans="2:19" x14ac:dyDescent="0.25">
      <c r="B309">
        <v>480149270</v>
      </c>
      <c r="C309" t="s">
        <v>19248</v>
      </c>
      <c r="E309">
        <v>26</v>
      </c>
      <c r="F309">
        <v>166</v>
      </c>
      <c r="G309">
        <v>152</v>
      </c>
      <c r="H309">
        <v>11</v>
      </c>
      <c r="S309" t="s">
        <v>19249</v>
      </c>
    </row>
    <row r="310" spans="2:19" x14ac:dyDescent="0.25">
      <c r="B310">
        <v>480149274</v>
      </c>
      <c r="C310" t="s">
        <v>19250</v>
      </c>
      <c r="E310">
        <v>26</v>
      </c>
      <c r="F310">
        <v>166</v>
      </c>
      <c r="G310">
        <v>152</v>
      </c>
      <c r="H310">
        <v>11</v>
      </c>
      <c r="S310" t="s">
        <v>19251</v>
      </c>
    </row>
    <row r="311" spans="2:19" x14ac:dyDescent="0.25">
      <c r="B311">
        <v>480149278</v>
      </c>
      <c r="C311" t="s">
        <v>19252</v>
      </c>
      <c r="E311">
        <v>26</v>
      </c>
      <c r="F311">
        <v>166</v>
      </c>
      <c r="G311">
        <v>152</v>
      </c>
      <c r="H311">
        <v>11</v>
      </c>
      <c r="S311" t="s">
        <v>19253</v>
      </c>
    </row>
    <row r="312" spans="2:19" x14ac:dyDescent="0.25">
      <c r="B312">
        <v>480149282</v>
      </c>
      <c r="C312" t="s">
        <v>19254</v>
      </c>
      <c r="E312">
        <v>26</v>
      </c>
      <c r="F312">
        <v>166</v>
      </c>
      <c r="G312">
        <v>152</v>
      </c>
      <c r="H312">
        <v>11</v>
      </c>
      <c r="S312" t="s">
        <v>19255</v>
      </c>
    </row>
    <row r="313" spans="2:19" x14ac:dyDescent="0.25">
      <c r="B313">
        <v>480149286</v>
      </c>
      <c r="C313" t="s">
        <v>19256</v>
      </c>
      <c r="E313">
        <v>26</v>
      </c>
      <c r="F313">
        <v>166</v>
      </c>
      <c r="G313">
        <v>152</v>
      </c>
      <c r="H313">
        <v>10</v>
      </c>
      <c r="R313" t="s">
        <v>19257</v>
      </c>
    </row>
    <row r="314" spans="2:19" x14ac:dyDescent="0.25">
      <c r="B314">
        <v>480149290</v>
      </c>
      <c r="C314" t="s">
        <v>19258</v>
      </c>
      <c r="E314">
        <v>26</v>
      </c>
      <c r="F314">
        <v>166</v>
      </c>
      <c r="G314">
        <v>152</v>
      </c>
      <c r="H314">
        <v>11</v>
      </c>
      <c r="S314" t="s">
        <v>19259</v>
      </c>
    </row>
    <row r="315" spans="2:19" x14ac:dyDescent="0.25">
      <c r="B315">
        <v>480149294</v>
      </c>
      <c r="C315" t="s">
        <v>19260</v>
      </c>
      <c r="E315">
        <v>26</v>
      </c>
      <c r="F315">
        <v>166</v>
      </c>
      <c r="G315">
        <v>152</v>
      </c>
      <c r="H315">
        <v>11</v>
      </c>
      <c r="S315" t="s">
        <v>19261</v>
      </c>
    </row>
    <row r="316" spans="2:19" x14ac:dyDescent="0.25">
      <c r="B316">
        <v>480149298</v>
      </c>
      <c r="C316" t="s">
        <v>19262</v>
      </c>
      <c r="E316">
        <v>26</v>
      </c>
      <c r="F316">
        <v>166</v>
      </c>
      <c r="G316">
        <v>152</v>
      </c>
      <c r="H316">
        <v>11</v>
      </c>
      <c r="S316" t="s">
        <v>19263</v>
      </c>
    </row>
    <row r="317" spans="2:19" x14ac:dyDescent="0.25">
      <c r="B317">
        <v>480149302</v>
      </c>
      <c r="C317" t="s">
        <v>19264</v>
      </c>
      <c r="E317">
        <v>26</v>
      </c>
      <c r="F317">
        <v>166</v>
      </c>
      <c r="G317">
        <v>152</v>
      </c>
      <c r="H317">
        <v>11</v>
      </c>
      <c r="S317" t="s">
        <v>19265</v>
      </c>
    </row>
    <row r="318" spans="2:19" x14ac:dyDescent="0.25">
      <c r="B318">
        <v>480149306</v>
      </c>
      <c r="C318" t="s">
        <v>19266</v>
      </c>
      <c r="E318">
        <v>26</v>
      </c>
      <c r="F318">
        <v>166</v>
      </c>
      <c r="G318">
        <v>152</v>
      </c>
      <c r="H318">
        <v>11</v>
      </c>
      <c r="S318" t="s">
        <v>19267</v>
      </c>
    </row>
    <row r="319" spans="2:19" x14ac:dyDescent="0.25">
      <c r="B319">
        <v>480149310</v>
      </c>
      <c r="C319" t="s">
        <v>19268</v>
      </c>
      <c r="E319">
        <v>26</v>
      </c>
      <c r="F319">
        <v>166</v>
      </c>
      <c r="G319">
        <v>152</v>
      </c>
      <c r="H319">
        <v>11</v>
      </c>
      <c r="S319" t="s">
        <v>19269</v>
      </c>
    </row>
    <row r="320" spans="2:19" x14ac:dyDescent="0.25">
      <c r="B320">
        <v>480149314</v>
      </c>
      <c r="C320" t="s">
        <v>19270</v>
      </c>
      <c r="E320">
        <v>26</v>
      </c>
      <c r="F320">
        <v>166</v>
      </c>
      <c r="G320">
        <v>152</v>
      </c>
      <c r="H320">
        <v>10</v>
      </c>
      <c r="R320" t="s">
        <v>19271</v>
      </c>
    </row>
    <row r="321" spans="2:19" x14ac:dyDescent="0.25">
      <c r="B321">
        <v>480149318</v>
      </c>
      <c r="C321" t="s">
        <v>19272</v>
      </c>
      <c r="E321">
        <v>26</v>
      </c>
      <c r="F321">
        <v>166</v>
      </c>
      <c r="G321">
        <v>152</v>
      </c>
      <c r="H321">
        <v>11</v>
      </c>
      <c r="S321" t="s">
        <v>19273</v>
      </c>
    </row>
    <row r="322" spans="2:19" x14ac:dyDescent="0.25">
      <c r="B322">
        <v>480149322</v>
      </c>
      <c r="C322" t="s">
        <v>19274</v>
      </c>
      <c r="E322">
        <v>26</v>
      </c>
      <c r="F322">
        <v>166</v>
      </c>
      <c r="G322">
        <v>152</v>
      </c>
      <c r="H322">
        <v>11</v>
      </c>
      <c r="S322" t="s">
        <v>19275</v>
      </c>
    </row>
    <row r="323" spans="2:19" x14ac:dyDescent="0.25">
      <c r="B323">
        <v>480149326</v>
      </c>
      <c r="C323" t="s">
        <v>19276</v>
      </c>
      <c r="E323">
        <v>26</v>
      </c>
      <c r="F323">
        <v>166</v>
      </c>
      <c r="G323">
        <v>152</v>
      </c>
      <c r="H323">
        <v>11</v>
      </c>
      <c r="S323" t="s">
        <v>19277</v>
      </c>
    </row>
    <row r="324" spans="2:19" x14ac:dyDescent="0.25">
      <c r="B324">
        <v>480149330</v>
      </c>
      <c r="C324" t="s">
        <v>19278</v>
      </c>
      <c r="E324">
        <v>26</v>
      </c>
      <c r="F324">
        <v>166</v>
      </c>
      <c r="G324">
        <v>152</v>
      </c>
      <c r="H324">
        <v>11</v>
      </c>
      <c r="S324" t="s">
        <v>19279</v>
      </c>
    </row>
    <row r="325" spans="2:19" x14ac:dyDescent="0.25">
      <c r="B325">
        <v>480149334</v>
      </c>
      <c r="C325" t="s">
        <v>19280</v>
      </c>
      <c r="E325">
        <v>26</v>
      </c>
      <c r="F325">
        <v>166</v>
      </c>
      <c r="G325">
        <v>152</v>
      </c>
      <c r="H325">
        <v>11</v>
      </c>
      <c r="S325" t="s">
        <v>19281</v>
      </c>
    </row>
    <row r="326" spans="2:19" x14ac:dyDescent="0.25">
      <c r="B326">
        <v>480149338</v>
      </c>
      <c r="C326" t="s">
        <v>19282</v>
      </c>
      <c r="E326">
        <v>26</v>
      </c>
      <c r="F326">
        <v>166</v>
      </c>
      <c r="G326">
        <v>152</v>
      </c>
      <c r="H326">
        <v>11</v>
      </c>
      <c r="S326" t="s">
        <v>19283</v>
      </c>
    </row>
    <row r="327" spans="2:19" x14ac:dyDescent="0.25">
      <c r="B327">
        <v>879</v>
      </c>
      <c r="C327" t="s">
        <v>19284</v>
      </c>
      <c r="E327">
        <v>26</v>
      </c>
      <c r="F327">
        <v>166</v>
      </c>
      <c r="G327">
        <v>152</v>
      </c>
      <c r="H327">
        <v>9</v>
      </c>
      <c r="Q327" t="s">
        <v>19285</v>
      </c>
    </row>
    <row r="328" spans="2:19" x14ac:dyDescent="0.25">
      <c r="B328">
        <v>442</v>
      </c>
      <c r="C328" t="s">
        <v>19286</v>
      </c>
      <c r="E328">
        <v>26</v>
      </c>
      <c r="F328">
        <v>166</v>
      </c>
      <c r="G328">
        <v>152</v>
      </c>
      <c r="H328">
        <v>11</v>
      </c>
      <c r="R328" t="s">
        <v>19287</v>
      </c>
    </row>
    <row r="329" spans="2:19" x14ac:dyDescent="0.25">
      <c r="B329">
        <v>434</v>
      </c>
      <c r="C329" t="s">
        <v>19288</v>
      </c>
      <c r="E329">
        <v>26</v>
      </c>
      <c r="F329">
        <v>166</v>
      </c>
      <c r="G329">
        <v>152</v>
      </c>
      <c r="H329">
        <v>11</v>
      </c>
      <c r="R329" t="s">
        <v>19289</v>
      </c>
    </row>
    <row r="330" spans="2:19" x14ac:dyDescent="0.25">
      <c r="B330">
        <v>545</v>
      </c>
      <c r="C330" t="s">
        <v>19290</v>
      </c>
      <c r="E330">
        <v>26</v>
      </c>
      <c r="F330">
        <v>166</v>
      </c>
      <c r="G330">
        <v>152</v>
      </c>
      <c r="H330">
        <v>11</v>
      </c>
      <c r="R330" t="s">
        <v>19291</v>
      </c>
    </row>
    <row r="331" spans="2:19" x14ac:dyDescent="0.25">
      <c r="B331">
        <v>610</v>
      </c>
      <c r="C331" t="s">
        <v>19292</v>
      </c>
      <c r="E331">
        <v>26</v>
      </c>
      <c r="F331">
        <v>166</v>
      </c>
      <c r="G331">
        <v>152</v>
      </c>
      <c r="H331">
        <v>11</v>
      </c>
      <c r="R331" t="s">
        <v>19293</v>
      </c>
    </row>
    <row r="332" spans="2:19" x14ac:dyDescent="0.25">
      <c r="B332">
        <v>274</v>
      </c>
      <c r="C332" t="s">
        <v>19294</v>
      </c>
      <c r="E332">
        <v>26</v>
      </c>
      <c r="F332">
        <v>166</v>
      </c>
      <c r="G332">
        <v>152</v>
      </c>
      <c r="H332">
        <v>11</v>
      </c>
      <c r="R332" t="s">
        <v>19295</v>
      </c>
    </row>
    <row r="333" spans="2:19" x14ac:dyDescent="0.25">
      <c r="B333">
        <v>330</v>
      </c>
      <c r="C333" t="s">
        <v>19296</v>
      </c>
      <c r="E333">
        <v>26</v>
      </c>
      <c r="F333">
        <v>166</v>
      </c>
      <c r="G333">
        <v>152</v>
      </c>
      <c r="H333">
        <v>11</v>
      </c>
      <c r="R333" t="s">
        <v>19297</v>
      </c>
    </row>
    <row r="334" spans="2:19" x14ac:dyDescent="0.25">
      <c r="B334">
        <v>886</v>
      </c>
      <c r="C334" t="s">
        <v>19298</v>
      </c>
      <c r="E334">
        <v>26</v>
      </c>
      <c r="F334">
        <v>166</v>
      </c>
      <c r="G334">
        <v>152</v>
      </c>
      <c r="H334">
        <v>9</v>
      </c>
      <c r="Q334" t="s">
        <v>19299</v>
      </c>
    </row>
    <row r="335" spans="2:19" x14ac:dyDescent="0.25">
      <c r="B335">
        <v>542</v>
      </c>
      <c r="C335" t="s">
        <v>19300</v>
      </c>
      <c r="E335">
        <v>26</v>
      </c>
      <c r="F335">
        <v>166</v>
      </c>
      <c r="G335">
        <v>152</v>
      </c>
      <c r="H335">
        <v>11</v>
      </c>
      <c r="R335" t="s">
        <v>19301</v>
      </c>
    </row>
    <row r="336" spans="2:19" x14ac:dyDescent="0.25">
      <c r="B336">
        <v>606</v>
      </c>
      <c r="C336" t="s">
        <v>19302</v>
      </c>
      <c r="E336">
        <v>26</v>
      </c>
      <c r="F336">
        <v>166</v>
      </c>
      <c r="G336">
        <v>152</v>
      </c>
      <c r="H336">
        <v>11</v>
      </c>
      <c r="R336" t="s">
        <v>19303</v>
      </c>
    </row>
    <row r="337" spans="2:18" x14ac:dyDescent="0.25">
      <c r="B337">
        <v>430</v>
      </c>
      <c r="C337" t="s">
        <v>19304</v>
      </c>
      <c r="E337">
        <v>26</v>
      </c>
      <c r="F337">
        <v>166</v>
      </c>
      <c r="G337">
        <v>152</v>
      </c>
      <c r="H337">
        <v>11</v>
      </c>
      <c r="R337" t="s">
        <v>19305</v>
      </c>
    </row>
    <row r="338" spans="2:18" x14ac:dyDescent="0.25">
      <c r="B338">
        <v>687</v>
      </c>
      <c r="C338" t="s">
        <v>19306</v>
      </c>
      <c r="E338">
        <v>26</v>
      </c>
      <c r="F338">
        <v>166</v>
      </c>
      <c r="G338">
        <v>152</v>
      </c>
      <c r="H338">
        <v>11</v>
      </c>
      <c r="R338" t="s">
        <v>19307</v>
      </c>
    </row>
    <row r="339" spans="2:18" x14ac:dyDescent="0.25">
      <c r="B339">
        <v>590</v>
      </c>
      <c r="C339" t="s">
        <v>19308</v>
      </c>
      <c r="E339">
        <v>26</v>
      </c>
      <c r="F339">
        <v>166</v>
      </c>
      <c r="G339">
        <v>152</v>
      </c>
      <c r="H339">
        <v>11</v>
      </c>
      <c r="R339" t="s">
        <v>19309</v>
      </c>
    </row>
    <row r="340" spans="2:18" x14ac:dyDescent="0.25">
      <c r="B340">
        <v>622</v>
      </c>
      <c r="C340" t="s">
        <v>19310</v>
      </c>
      <c r="E340">
        <v>26</v>
      </c>
      <c r="F340">
        <v>166</v>
      </c>
      <c r="G340">
        <v>152</v>
      </c>
      <c r="H340">
        <v>11</v>
      </c>
      <c r="R340" t="s">
        <v>19311</v>
      </c>
    </row>
    <row r="341" spans="2:18" x14ac:dyDescent="0.25">
      <c r="B341">
        <v>22</v>
      </c>
      <c r="C341" t="s">
        <v>19312</v>
      </c>
      <c r="E341">
        <v>0</v>
      </c>
      <c r="F341">
        <v>159</v>
      </c>
      <c r="G341">
        <v>172</v>
      </c>
      <c r="H341">
        <v>6</v>
      </c>
      <c r="P341" t="s">
        <v>19313</v>
      </c>
    </row>
    <row r="342" spans="2:18" x14ac:dyDescent="0.25">
      <c r="B342">
        <v>532</v>
      </c>
      <c r="C342" t="s">
        <v>19314</v>
      </c>
      <c r="E342">
        <v>0</v>
      </c>
      <c r="F342">
        <v>159</v>
      </c>
      <c r="G342">
        <v>172</v>
      </c>
      <c r="H342">
        <v>11</v>
      </c>
      <c r="Q342" t="s">
        <v>19315</v>
      </c>
    </row>
    <row r="343" spans="2:18" x14ac:dyDescent="0.25">
      <c r="B343">
        <v>241</v>
      </c>
      <c r="C343" t="s">
        <v>19316</v>
      </c>
      <c r="E343">
        <v>0</v>
      </c>
      <c r="F343">
        <v>159</v>
      </c>
      <c r="G343">
        <v>172</v>
      </c>
      <c r="H343">
        <v>11</v>
      </c>
      <c r="Q343" t="s">
        <v>19317</v>
      </c>
    </row>
    <row r="344" spans="2:18" x14ac:dyDescent="0.25">
      <c r="B344">
        <v>635</v>
      </c>
      <c r="C344" t="s">
        <v>19318</v>
      </c>
      <c r="E344">
        <v>0</v>
      </c>
      <c r="F344">
        <v>159</v>
      </c>
      <c r="G344">
        <v>172</v>
      </c>
      <c r="H344">
        <v>11</v>
      </c>
      <c r="Q344" t="s">
        <v>19319</v>
      </c>
    </row>
    <row r="345" spans="2:18" x14ac:dyDescent="0.25">
      <c r="B345">
        <v>683</v>
      </c>
      <c r="C345" t="s">
        <v>19320</v>
      </c>
      <c r="E345">
        <v>0</v>
      </c>
      <c r="F345">
        <v>159</v>
      </c>
      <c r="G345">
        <v>172</v>
      </c>
      <c r="H345">
        <v>11</v>
      </c>
      <c r="Q345" t="s">
        <v>19321</v>
      </c>
    </row>
    <row r="346" spans="2:18" x14ac:dyDescent="0.25">
      <c r="B346">
        <v>308</v>
      </c>
      <c r="C346" t="s">
        <v>19322</v>
      </c>
      <c r="E346">
        <v>0</v>
      </c>
      <c r="F346">
        <v>159</v>
      </c>
      <c r="G346">
        <v>172</v>
      </c>
      <c r="H346">
        <v>11</v>
      </c>
      <c r="Q346" t="s">
        <v>19323</v>
      </c>
    </row>
    <row r="347" spans="2:18" x14ac:dyDescent="0.25">
      <c r="B347">
        <v>340</v>
      </c>
      <c r="C347" t="s">
        <v>19324</v>
      </c>
      <c r="E347">
        <v>0</v>
      </c>
      <c r="F347">
        <v>159</v>
      </c>
      <c r="G347">
        <v>172</v>
      </c>
      <c r="H347">
        <v>11</v>
      </c>
      <c r="Q347" t="s">
        <v>19325</v>
      </c>
    </row>
    <row r="348" spans="2:18" x14ac:dyDescent="0.25">
      <c r="B348">
        <v>312782546</v>
      </c>
      <c r="C348" t="s">
        <v>19326</v>
      </c>
      <c r="E348">
        <v>0</v>
      </c>
      <c r="F348">
        <v>159</v>
      </c>
      <c r="G348">
        <v>172</v>
      </c>
      <c r="H348">
        <v>8</v>
      </c>
      <c r="Q348" t="s">
        <v>19327</v>
      </c>
    </row>
    <row r="349" spans="2:18" x14ac:dyDescent="0.25">
      <c r="B349">
        <v>312782550</v>
      </c>
      <c r="C349" t="s">
        <v>19328</v>
      </c>
      <c r="E349">
        <v>0</v>
      </c>
      <c r="F349">
        <v>159</v>
      </c>
      <c r="G349">
        <v>172</v>
      </c>
      <c r="H349">
        <v>11</v>
      </c>
      <c r="R349" t="s">
        <v>19329</v>
      </c>
    </row>
    <row r="350" spans="2:18" x14ac:dyDescent="0.25">
      <c r="B350">
        <v>312782554</v>
      </c>
      <c r="C350" t="s">
        <v>19330</v>
      </c>
      <c r="E350">
        <v>0</v>
      </c>
      <c r="F350">
        <v>159</v>
      </c>
      <c r="G350">
        <v>172</v>
      </c>
      <c r="H350">
        <v>11</v>
      </c>
      <c r="R350" t="s">
        <v>19331</v>
      </c>
    </row>
    <row r="351" spans="2:18" x14ac:dyDescent="0.25">
      <c r="B351">
        <v>312782558</v>
      </c>
      <c r="C351" t="s">
        <v>19332</v>
      </c>
      <c r="E351">
        <v>0</v>
      </c>
      <c r="F351">
        <v>159</v>
      </c>
      <c r="G351">
        <v>172</v>
      </c>
      <c r="H351">
        <v>11</v>
      </c>
      <c r="R351" t="s">
        <v>19333</v>
      </c>
    </row>
    <row r="352" spans="2:18" x14ac:dyDescent="0.25">
      <c r="B352">
        <v>312782562</v>
      </c>
      <c r="C352" t="s">
        <v>19334</v>
      </c>
      <c r="E352">
        <v>0</v>
      </c>
      <c r="F352">
        <v>159</v>
      </c>
      <c r="G352">
        <v>172</v>
      </c>
      <c r="H352">
        <v>11</v>
      </c>
      <c r="R352" t="s">
        <v>19335</v>
      </c>
    </row>
    <row r="353" spans="2:18" x14ac:dyDescent="0.25">
      <c r="B353">
        <v>312782566</v>
      </c>
      <c r="C353" t="s">
        <v>19336</v>
      </c>
      <c r="E353">
        <v>0</v>
      </c>
      <c r="F353">
        <v>159</v>
      </c>
      <c r="G353">
        <v>172</v>
      </c>
      <c r="H353">
        <v>11</v>
      </c>
      <c r="R353" t="s">
        <v>19337</v>
      </c>
    </row>
    <row r="354" spans="2:18" x14ac:dyDescent="0.25">
      <c r="B354">
        <v>312782570</v>
      </c>
      <c r="C354" t="s">
        <v>19338</v>
      </c>
      <c r="E354">
        <v>0</v>
      </c>
      <c r="F354">
        <v>159</v>
      </c>
      <c r="G354">
        <v>172</v>
      </c>
      <c r="H354">
        <v>11</v>
      </c>
      <c r="R354" t="s">
        <v>19339</v>
      </c>
    </row>
    <row r="355" spans="2:18" x14ac:dyDescent="0.25">
      <c r="B355">
        <v>417</v>
      </c>
      <c r="C355" t="s">
        <v>19340</v>
      </c>
      <c r="E355">
        <v>0</v>
      </c>
      <c r="F355">
        <v>159</v>
      </c>
      <c r="G355">
        <v>172</v>
      </c>
      <c r="H355">
        <v>8</v>
      </c>
      <c r="Q355" t="s">
        <v>19341</v>
      </c>
    </row>
    <row r="356" spans="2:18" x14ac:dyDescent="0.25">
      <c r="B356">
        <v>312782604</v>
      </c>
      <c r="C356" t="s">
        <v>19342</v>
      </c>
      <c r="E356">
        <v>0</v>
      </c>
      <c r="F356">
        <v>159</v>
      </c>
      <c r="G356">
        <v>172</v>
      </c>
      <c r="H356">
        <v>11</v>
      </c>
      <c r="R356" t="s">
        <v>19343</v>
      </c>
    </row>
    <row r="357" spans="2:18" x14ac:dyDescent="0.25">
      <c r="B357">
        <v>312782608</v>
      </c>
      <c r="C357" t="s">
        <v>19344</v>
      </c>
      <c r="E357">
        <v>0</v>
      </c>
      <c r="F357">
        <v>159</v>
      </c>
      <c r="G357">
        <v>172</v>
      </c>
      <c r="H357">
        <v>11</v>
      </c>
      <c r="R357" t="s">
        <v>19345</v>
      </c>
    </row>
    <row r="358" spans="2:18" x14ac:dyDescent="0.25">
      <c r="B358">
        <v>312782612</v>
      </c>
      <c r="C358" t="s">
        <v>19346</v>
      </c>
      <c r="E358">
        <v>0</v>
      </c>
      <c r="F358">
        <v>159</v>
      </c>
      <c r="G358">
        <v>172</v>
      </c>
      <c r="H358">
        <v>11</v>
      </c>
      <c r="R358" t="s">
        <v>19347</v>
      </c>
    </row>
    <row r="359" spans="2:18" x14ac:dyDescent="0.25">
      <c r="B359">
        <v>312782616</v>
      </c>
      <c r="C359" t="s">
        <v>19348</v>
      </c>
      <c r="E359">
        <v>0</v>
      </c>
      <c r="F359">
        <v>159</v>
      </c>
      <c r="G359">
        <v>172</v>
      </c>
      <c r="H359">
        <v>11</v>
      </c>
      <c r="R359" t="s">
        <v>19349</v>
      </c>
    </row>
    <row r="360" spans="2:18" x14ac:dyDescent="0.25">
      <c r="B360">
        <v>312782620</v>
      </c>
      <c r="C360" t="s">
        <v>19350</v>
      </c>
      <c r="E360">
        <v>0</v>
      </c>
      <c r="F360">
        <v>159</v>
      </c>
      <c r="G360">
        <v>172</v>
      </c>
      <c r="H360">
        <v>11</v>
      </c>
      <c r="R360" t="s">
        <v>19351</v>
      </c>
    </row>
    <row r="361" spans="2:18" x14ac:dyDescent="0.25">
      <c r="B361">
        <v>312782624</v>
      </c>
      <c r="C361" t="s">
        <v>19352</v>
      </c>
      <c r="E361">
        <v>0</v>
      </c>
      <c r="F361">
        <v>159</v>
      </c>
      <c r="G361">
        <v>172</v>
      </c>
      <c r="H361">
        <v>11</v>
      </c>
      <c r="R361" t="s">
        <v>19353</v>
      </c>
    </row>
    <row r="362" spans="2:18" x14ac:dyDescent="0.25">
      <c r="B362">
        <v>541</v>
      </c>
      <c r="C362" t="s">
        <v>19354</v>
      </c>
      <c r="E362">
        <v>21</v>
      </c>
      <c r="F362">
        <v>176</v>
      </c>
      <c r="G362">
        <v>179</v>
      </c>
      <c r="H362">
        <v>6</v>
      </c>
      <c r="P362" t="s">
        <v>19355</v>
      </c>
    </row>
    <row r="363" spans="2:18" x14ac:dyDescent="0.25">
      <c r="B363">
        <v>97</v>
      </c>
      <c r="C363" t="s">
        <v>19356</v>
      </c>
      <c r="E363">
        <v>21</v>
      </c>
      <c r="F363">
        <v>176</v>
      </c>
      <c r="G363">
        <v>179</v>
      </c>
      <c r="H363">
        <v>11</v>
      </c>
      <c r="Q363" t="s">
        <v>19357</v>
      </c>
    </row>
    <row r="364" spans="2:18" x14ac:dyDescent="0.25">
      <c r="B364">
        <v>1127</v>
      </c>
      <c r="C364" t="s">
        <v>19358</v>
      </c>
      <c r="E364">
        <v>21</v>
      </c>
      <c r="F364">
        <v>176</v>
      </c>
      <c r="G364">
        <v>179</v>
      </c>
      <c r="H364">
        <v>11</v>
      </c>
      <c r="Q364" t="s">
        <v>19359</v>
      </c>
    </row>
    <row r="365" spans="2:18" x14ac:dyDescent="0.25">
      <c r="B365">
        <v>234</v>
      </c>
      <c r="C365" t="s">
        <v>19360</v>
      </c>
      <c r="E365">
        <v>21</v>
      </c>
      <c r="F365">
        <v>176</v>
      </c>
      <c r="G365">
        <v>179</v>
      </c>
      <c r="H365">
        <v>11</v>
      </c>
      <c r="Q365" t="s">
        <v>19361</v>
      </c>
    </row>
    <row r="366" spans="2:18" x14ac:dyDescent="0.25">
      <c r="B366">
        <v>289</v>
      </c>
      <c r="C366" t="s">
        <v>19362</v>
      </c>
      <c r="E366">
        <v>21</v>
      </c>
      <c r="F366">
        <v>176</v>
      </c>
      <c r="G366">
        <v>179</v>
      </c>
      <c r="H366">
        <v>11</v>
      </c>
      <c r="Q366" t="s">
        <v>19363</v>
      </c>
    </row>
    <row r="367" spans="2:18" x14ac:dyDescent="0.25">
      <c r="B367">
        <v>729</v>
      </c>
      <c r="C367" t="s">
        <v>19364</v>
      </c>
      <c r="E367">
        <v>21</v>
      </c>
      <c r="F367">
        <v>176</v>
      </c>
      <c r="G367">
        <v>179</v>
      </c>
      <c r="H367">
        <v>11</v>
      </c>
      <c r="Q367" t="s">
        <v>19365</v>
      </c>
    </row>
    <row r="368" spans="2:18" x14ac:dyDescent="0.25">
      <c r="B368">
        <v>786</v>
      </c>
      <c r="C368" t="s">
        <v>19366</v>
      </c>
      <c r="E368">
        <v>21</v>
      </c>
      <c r="F368">
        <v>176</v>
      </c>
      <c r="G368">
        <v>179</v>
      </c>
      <c r="H368">
        <v>11</v>
      </c>
      <c r="Q368" t="s">
        <v>19367</v>
      </c>
    </row>
    <row r="369" spans="2:17" x14ac:dyDescent="0.25">
      <c r="B369">
        <v>922</v>
      </c>
      <c r="C369" t="s">
        <v>19368</v>
      </c>
      <c r="E369">
        <v>14</v>
      </c>
      <c r="F369">
        <v>150</v>
      </c>
      <c r="G369">
        <v>132</v>
      </c>
      <c r="H369">
        <v>8</v>
      </c>
      <c r="P369" t="s">
        <v>19369</v>
      </c>
    </row>
    <row r="370" spans="2:17" x14ac:dyDescent="0.25">
      <c r="B370">
        <v>540</v>
      </c>
      <c r="C370" t="s">
        <v>19370</v>
      </c>
      <c r="E370">
        <v>14</v>
      </c>
      <c r="F370">
        <v>150</v>
      </c>
      <c r="G370">
        <v>132</v>
      </c>
      <c r="H370">
        <v>11</v>
      </c>
      <c r="Q370" t="s">
        <v>19371</v>
      </c>
    </row>
    <row r="371" spans="2:17" x14ac:dyDescent="0.25">
      <c r="B371">
        <v>888</v>
      </c>
      <c r="C371" t="s">
        <v>19372</v>
      </c>
      <c r="E371">
        <v>14</v>
      </c>
      <c r="F371">
        <v>150</v>
      </c>
      <c r="G371">
        <v>132</v>
      </c>
      <c r="H371">
        <v>11</v>
      </c>
      <c r="Q371" t="s">
        <v>19373</v>
      </c>
    </row>
    <row r="372" spans="2:17" x14ac:dyDescent="0.25">
      <c r="B372">
        <v>692</v>
      </c>
      <c r="C372" t="s">
        <v>19374</v>
      </c>
      <c r="E372">
        <v>14</v>
      </c>
      <c r="F372">
        <v>150</v>
      </c>
      <c r="G372">
        <v>132</v>
      </c>
      <c r="H372">
        <v>11</v>
      </c>
      <c r="Q372" t="s">
        <v>19375</v>
      </c>
    </row>
    <row r="373" spans="2:17" x14ac:dyDescent="0.25">
      <c r="B373">
        <v>335</v>
      </c>
      <c r="C373" t="s">
        <v>19376</v>
      </c>
      <c r="E373">
        <v>14</v>
      </c>
      <c r="F373">
        <v>150</v>
      </c>
      <c r="G373">
        <v>132</v>
      </c>
      <c r="H373">
        <v>11</v>
      </c>
      <c r="Q373" t="s">
        <v>19377</v>
      </c>
    </row>
    <row r="374" spans="2:17" x14ac:dyDescent="0.25">
      <c r="B374">
        <v>368</v>
      </c>
      <c r="C374" t="s">
        <v>19378</v>
      </c>
      <c r="E374">
        <v>14</v>
      </c>
      <c r="F374">
        <v>150</v>
      </c>
      <c r="G374">
        <v>132</v>
      </c>
      <c r="H374">
        <v>11</v>
      </c>
      <c r="Q374" t="s">
        <v>19379</v>
      </c>
    </row>
    <row r="375" spans="2:17" x14ac:dyDescent="0.25">
      <c r="B375">
        <v>895</v>
      </c>
      <c r="C375" t="s">
        <v>19380</v>
      </c>
      <c r="E375">
        <v>13</v>
      </c>
      <c r="F375">
        <v>159</v>
      </c>
      <c r="G375">
        <v>145</v>
      </c>
      <c r="H375">
        <v>8</v>
      </c>
      <c r="P375" t="s">
        <v>19381</v>
      </c>
    </row>
    <row r="376" spans="2:17" x14ac:dyDescent="0.25">
      <c r="B376">
        <v>836</v>
      </c>
      <c r="C376" t="s">
        <v>19382</v>
      </c>
      <c r="E376">
        <v>13</v>
      </c>
      <c r="F376">
        <v>159</v>
      </c>
      <c r="G376">
        <v>145</v>
      </c>
      <c r="H376">
        <v>11</v>
      </c>
      <c r="Q376" t="s">
        <v>19383</v>
      </c>
    </row>
    <row r="377" spans="2:17" x14ac:dyDescent="0.25">
      <c r="B377">
        <v>427</v>
      </c>
      <c r="C377" t="s">
        <v>19384</v>
      </c>
      <c r="E377">
        <v>13</v>
      </c>
      <c r="F377">
        <v>159</v>
      </c>
      <c r="G377">
        <v>145</v>
      </c>
      <c r="H377">
        <v>11</v>
      </c>
      <c r="Q377" t="s">
        <v>19385</v>
      </c>
    </row>
    <row r="378" spans="2:17" x14ac:dyDescent="0.25">
      <c r="B378">
        <v>988</v>
      </c>
      <c r="C378" t="s">
        <v>19386</v>
      </c>
      <c r="E378">
        <v>13</v>
      </c>
      <c r="F378">
        <v>159</v>
      </c>
      <c r="G378">
        <v>145</v>
      </c>
      <c r="H378">
        <v>11</v>
      </c>
      <c r="Q378" t="s">
        <v>19387</v>
      </c>
    </row>
    <row r="379" spans="2:17" x14ac:dyDescent="0.25">
      <c r="B379">
        <v>977</v>
      </c>
      <c r="C379" t="s">
        <v>19388</v>
      </c>
      <c r="E379">
        <v>13</v>
      </c>
      <c r="F379">
        <v>159</v>
      </c>
      <c r="G379">
        <v>145</v>
      </c>
      <c r="H379">
        <v>11</v>
      </c>
      <c r="Q379" t="s">
        <v>19389</v>
      </c>
    </row>
    <row r="380" spans="2:17" x14ac:dyDescent="0.25">
      <c r="B380">
        <v>1045</v>
      </c>
      <c r="C380" t="s">
        <v>19390</v>
      </c>
      <c r="E380">
        <v>13</v>
      </c>
      <c r="F380">
        <v>159</v>
      </c>
      <c r="G380">
        <v>145</v>
      </c>
      <c r="H380">
        <v>11</v>
      </c>
      <c r="Q380" t="s">
        <v>19391</v>
      </c>
    </row>
    <row r="381" spans="2:17" x14ac:dyDescent="0.25">
      <c r="B381">
        <v>698</v>
      </c>
      <c r="C381" t="s">
        <v>19392</v>
      </c>
      <c r="E381">
        <v>154</v>
      </c>
      <c r="F381">
        <v>210</v>
      </c>
      <c r="G381">
        <v>189</v>
      </c>
      <c r="H381">
        <v>5</v>
      </c>
      <c r="O381" t="s">
        <v>19393</v>
      </c>
    </row>
    <row r="382" spans="2:17" x14ac:dyDescent="0.25">
      <c r="B382">
        <v>507</v>
      </c>
      <c r="C382" t="s">
        <v>19394</v>
      </c>
      <c r="E382">
        <v>154</v>
      </c>
      <c r="F382">
        <v>210</v>
      </c>
      <c r="G382">
        <v>189</v>
      </c>
      <c r="H382">
        <v>8</v>
      </c>
      <c r="P382" t="s">
        <v>19395</v>
      </c>
    </row>
    <row r="383" spans="2:17" x14ac:dyDescent="0.25">
      <c r="B383">
        <v>212</v>
      </c>
      <c r="C383" t="s">
        <v>19396</v>
      </c>
      <c r="E383">
        <v>130</v>
      </c>
      <c r="F383">
        <v>199</v>
      </c>
      <c r="G383">
        <v>174</v>
      </c>
      <c r="H383">
        <v>11</v>
      </c>
      <c r="Q383" t="s">
        <v>19397</v>
      </c>
    </row>
    <row r="384" spans="2:17" x14ac:dyDescent="0.25">
      <c r="B384">
        <v>220</v>
      </c>
      <c r="C384" t="s">
        <v>19398</v>
      </c>
      <c r="E384">
        <v>130</v>
      </c>
      <c r="F384">
        <v>199</v>
      </c>
      <c r="G384">
        <v>174</v>
      </c>
      <c r="H384">
        <v>11</v>
      </c>
      <c r="Q384" t="s">
        <v>19399</v>
      </c>
    </row>
    <row r="385" spans="2:17" x14ac:dyDescent="0.25">
      <c r="B385">
        <v>228</v>
      </c>
      <c r="C385" t="s">
        <v>19400</v>
      </c>
      <c r="E385">
        <v>154</v>
      </c>
      <c r="F385">
        <v>210</v>
      </c>
      <c r="G385">
        <v>189</v>
      </c>
      <c r="H385">
        <v>11</v>
      </c>
      <c r="Q385" t="s">
        <v>19401</v>
      </c>
    </row>
    <row r="386" spans="2:17" x14ac:dyDescent="0.25">
      <c r="B386">
        <v>236</v>
      </c>
      <c r="C386" t="s">
        <v>19402</v>
      </c>
      <c r="E386">
        <v>130</v>
      </c>
      <c r="F386">
        <v>199</v>
      </c>
      <c r="G386">
        <v>174</v>
      </c>
      <c r="H386">
        <v>11</v>
      </c>
      <c r="Q386" t="s">
        <v>19403</v>
      </c>
    </row>
    <row r="387" spans="2:17" x14ac:dyDescent="0.25">
      <c r="B387">
        <v>244</v>
      </c>
      <c r="C387" t="s">
        <v>19404</v>
      </c>
      <c r="E387">
        <v>154</v>
      </c>
      <c r="F387">
        <v>210</v>
      </c>
      <c r="G387">
        <v>189</v>
      </c>
      <c r="H387">
        <v>11</v>
      </c>
      <c r="Q387" t="s">
        <v>19405</v>
      </c>
    </row>
    <row r="388" spans="2:17" x14ac:dyDescent="0.25">
      <c r="B388">
        <v>151</v>
      </c>
      <c r="C388" t="s">
        <v>15747</v>
      </c>
      <c r="E388">
        <v>157</v>
      </c>
      <c r="F388">
        <v>240</v>
      </c>
      <c r="G388">
        <v>210</v>
      </c>
      <c r="H388">
        <v>8</v>
      </c>
      <c r="P388" t="s">
        <v>19406</v>
      </c>
    </row>
    <row r="389" spans="2:17" x14ac:dyDescent="0.25">
      <c r="B389">
        <v>188</v>
      </c>
      <c r="C389" t="s">
        <v>19407</v>
      </c>
      <c r="E389">
        <v>157</v>
      </c>
      <c r="F389">
        <v>240</v>
      </c>
      <c r="G389">
        <v>210</v>
      </c>
      <c r="H389">
        <v>11</v>
      </c>
      <c r="Q389" t="s">
        <v>19408</v>
      </c>
    </row>
    <row r="390" spans="2:17" x14ac:dyDescent="0.25">
      <c r="B390">
        <v>196</v>
      </c>
      <c r="C390" t="s">
        <v>19409</v>
      </c>
      <c r="E390">
        <v>149</v>
      </c>
      <c r="F390">
        <v>228</v>
      </c>
      <c r="G390">
        <v>200</v>
      </c>
      <c r="H390">
        <v>11</v>
      </c>
      <c r="Q390" t="s">
        <v>19410</v>
      </c>
    </row>
    <row r="391" spans="2:17" x14ac:dyDescent="0.25">
      <c r="B391">
        <v>204</v>
      </c>
      <c r="C391" t="s">
        <v>19411</v>
      </c>
      <c r="E391">
        <v>157</v>
      </c>
      <c r="F391">
        <v>240</v>
      </c>
      <c r="G391">
        <v>210</v>
      </c>
      <c r="H391">
        <v>11</v>
      </c>
      <c r="Q391" t="s">
        <v>19412</v>
      </c>
    </row>
    <row r="392" spans="2:17" x14ac:dyDescent="0.25">
      <c r="B392">
        <v>159</v>
      </c>
      <c r="C392" t="s">
        <v>19413</v>
      </c>
      <c r="E392">
        <v>84</v>
      </c>
      <c r="F392">
        <v>191</v>
      </c>
      <c r="G392">
        <v>148</v>
      </c>
      <c r="H392">
        <v>8</v>
      </c>
      <c r="P392" t="s">
        <v>19414</v>
      </c>
    </row>
    <row r="393" spans="2:17" x14ac:dyDescent="0.25">
      <c r="B393">
        <v>167</v>
      </c>
      <c r="C393" t="s">
        <v>19415</v>
      </c>
      <c r="E393">
        <v>84</v>
      </c>
      <c r="F393">
        <v>191</v>
      </c>
      <c r="G393">
        <v>148</v>
      </c>
      <c r="H393">
        <v>9</v>
      </c>
      <c r="Q393" t="s">
        <v>19416</v>
      </c>
    </row>
    <row r="394" spans="2:17" x14ac:dyDescent="0.25">
      <c r="B394">
        <v>175</v>
      </c>
      <c r="C394" t="s">
        <v>19417</v>
      </c>
      <c r="E394">
        <v>84</v>
      </c>
      <c r="F394">
        <v>191</v>
      </c>
      <c r="G394">
        <v>148</v>
      </c>
      <c r="H394">
        <v>9</v>
      </c>
      <c r="Q394" t="s">
        <v>19418</v>
      </c>
    </row>
    <row r="395" spans="2:17" x14ac:dyDescent="0.25">
      <c r="B395">
        <v>183</v>
      </c>
      <c r="C395" t="s">
        <v>19419</v>
      </c>
      <c r="E395">
        <v>84</v>
      </c>
      <c r="F395">
        <v>191</v>
      </c>
      <c r="G395">
        <v>148</v>
      </c>
      <c r="H395">
        <v>9</v>
      </c>
      <c r="Q395" t="s">
        <v>19420</v>
      </c>
    </row>
    <row r="396" spans="2:17" x14ac:dyDescent="0.25">
      <c r="B396">
        <v>191</v>
      </c>
      <c r="C396" t="s">
        <v>19421</v>
      </c>
      <c r="E396">
        <v>84</v>
      </c>
      <c r="F396">
        <v>191</v>
      </c>
      <c r="G396">
        <v>148</v>
      </c>
      <c r="H396">
        <v>9</v>
      </c>
      <c r="Q396" t="s">
        <v>19422</v>
      </c>
    </row>
    <row r="397" spans="2:17" x14ac:dyDescent="0.25">
      <c r="B397">
        <v>199</v>
      </c>
      <c r="C397" t="s">
        <v>19423</v>
      </c>
      <c r="E397">
        <v>84</v>
      </c>
      <c r="F397">
        <v>191</v>
      </c>
      <c r="G397">
        <v>148</v>
      </c>
      <c r="H397">
        <v>9</v>
      </c>
      <c r="Q397" t="s">
        <v>19424</v>
      </c>
    </row>
    <row r="398" spans="2:17" x14ac:dyDescent="0.25">
      <c r="B398">
        <v>160</v>
      </c>
      <c r="C398" t="s">
        <v>19425</v>
      </c>
      <c r="E398">
        <v>84</v>
      </c>
      <c r="F398">
        <v>191</v>
      </c>
      <c r="G398">
        <v>148</v>
      </c>
      <c r="H398">
        <v>11</v>
      </c>
      <c r="Q398" t="s">
        <v>19426</v>
      </c>
    </row>
    <row r="399" spans="2:17" x14ac:dyDescent="0.25">
      <c r="B399">
        <v>168</v>
      </c>
      <c r="C399" t="s">
        <v>19427</v>
      </c>
      <c r="E399">
        <v>84</v>
      </c>
      <c r="F399">
        <v>191</v>
      </c>
      <c r="G399">
        <v>148</v>
      </c>
      <c r="H399">
        <v>11</v>
      </c>
      <c r="Q399" t="s">
        <v>19428</v>
      </c>
    </row>
    <row r="400" spans="2:17" x14ac:dyDescent="0.25">
      <c r="B400">
        <v>589</v>
      </c>
      <c r="C400" t="s">
        <v>19429</v>
      </c>
      <c r="E400">
        <v>98</v>
      </c>
      <c r="F400">
        <v>208</v>
      </c>
      <c r="G400">
        <v>159</v>
      </c>
      <c r="H400">
        <v>8</v>
      </c>
      <c r="P400" t="s">
        <v>19430</v>
      </c>
    </row>
    <row r="401" spans="2:18" x14ac:dyDescent="0.25">
      <c r="B401">
        <v>597</v>
      </c>
      <c r="C401" t="s">
        <v>19431</v>
      </c>
      <c r="E401">
        <v>98</v>
      </c>
      <c r="F401">
        <v>208</v>
      </c>
      <c r="G401">
        <v>159</v>
      </c>
      <c r="H401">
        <v>9</v>
      </c>
      <c r="Q401" t="s">
        <v>19432</v>
      </c>
    </row>
    <row r="402" spans="2:18" x14ac:dyDescent="0.25">
      <c r="B402">
        <v>297</v>
      </c>
      <c r="C402" t="s">
        <v>19433</v>
      </c>
      <c r="E402">
        <v>98</v>
      </c>
      <c r="F402">
        <v>208</v>
      </c>
      <c r="G402">
        <v>159</v>
      </c>
      <c r="H402">
        <v>11</v>
      </c>
      <c r="R402" t="s">
        <v>19434</v>
      </c>
    </row>
    <row r="403" spans="2:18" x14ac:dyDescent="0.25">
      <c r="B403">
        <v>1034</v>
      </c>
      <c r="C403" t="s">
        <v>19435</v>
      </c>
      <c r="E403">
        <v>98</v>
      </c>
      <c r="F403">
        <v>208</v>
      </c>
      <c r="G403">
        <v>159</v>
      </c>
      <c r="H403">
        <v>11</v>
      </c>
      <c r="R403" t="s">
        <v>19436</v>
      </c>
    </row>
    <row r="404" spans="2:18" x14ac:dyDescent="0.25">
      <c r="B404">
        <v>1042</v>
      </c>
      <c r="C404" t="s">
        <v>19437</v>
      </c>
      <c r="E404">
        <v>98</v>
      </c>
      <c r="F404">
        <v>208</v>
      </c>
      <c r="G404">
        <v>159</v>
      </c>
      <c r="H404">
        <v>11</v>
      </c>
      <c r="R404" t="s">
        <v>19438</v>
      </c>
    </row>
    <row r="405" spans="2:18" x14ac:dyDescent="0.25">
      <c r="B405">
        <v>1050</v>
      </c>
      <c r="C405" t="s">
        <v>19439</v>
      </c>
      <c r="E405">
        <v>98</v>
      </c>
      <c r="F405">
        <v>208</v>
      </c>
      <c r="G405">
        <v>159</v>
      </c>
      <c r="H405">
        <v>11</v>
      </c>
      <c r="R405" t="s">
        <v>19440</v>
      </c>
    </row>
    <row r="406" spans="2:18" x14ac:dyDescent="0.25">
      <c r="B406">
        <v>1059</v>
      </c>
      <c r="C406" t="s">
        <v>19441</v>
      </c>
      <c r="E406">
        <v>98</v>
      </c>
      <c r="F406">
        <v>208</v>
      </c>
      <c r="G406">
        <v>159</v>
      </c>
      <c r="H406">
        <v>11</v>
      </c>
      <c r="R406" t="s">
        <v>19442</v>
      </c>
    </row>
    <row r="407" spans="2:18" x14ac:dyDescent="0.25">
      <c r="B407">
        <v>605</v>
      </c>
      <c r="C407" t="s">
        <v>19443</v>
      </c>
      <c r="E407">
        <v>98</v>
      </c>
      <c r="F407">
        <v>208</v>
      </c>
      <c r="G407">
        <v>159</v>
      </c>
      <c r="H407">
        <v>9</v>
      </c>
      <c r="Q407" t="s">
        <v>19444</v>
      </c>
    </row>
    <row r="408" spans="2:18" x14ac:dyDescent="0.25">
      <c r="B408">
        <v>306</v>
      </c>
      <c r="C408" t="s">
        <v>19445</v>
      </c>
      <c r="E408">
        <v>98</v>
      </c>
      <c r="F408">
        <v>208</v>
      </c>
      <c r="G408">
        <v>159</v>
      </c>
      <c r="H408">
        <v>11</v>
      </c>
      <c r="R408" t="s">
        <v>19446</v>
      </c>
    </row>
    <row r="409" spans="2:18" x14ac:dyDescent="0.25">
      <c r="B409">
        <v>1067</v>
      </c>
      <c r="C409" t="s">
        <v>19447</v>
      </c>
      <c r="E409">
        <v>98</v>
      </c>
      <c r="F409">
        <v>208</v>
      </c>
      <c r="G409">
        <v>159</v>
      </c>
      <c r="H409">
        <v>11</v>
      </c>
      <c r="R409" t="s">
        <v>19448</v>
      </c>
    </row>
    <row r="410" spans="2:18" x14ac:dyDescent="0.25">
      <c r="B410">
        <v>1075</v>
      </c>
      <c r="C410" t="s">
        <v>19449</v>
      </c>
      <c r="E410">
        <v>98</v>
      </c>
      <c r="F410">
        <v>208</v>
      </c>
      <c r="G410">
        <v>159</v>
      </c>
      <c r="H410">
        <v>11</v>
      </c>
      <c r="R410" t="s">
        <v>19450</v>
      </c>
    </row>
    <row r="411" spans="2:18" x14ac:dyDescent="0.25">
      <c r="B411">
        <v>1082</v>
      </c>
      <c r="C411" t="s">
        <v>19451</v>
      </c>
      <c r="E411">
        <v>98</v>
      </c>
      <c r="F411">
        <v>208</v>
      </c>
      <c r="G411">
        <v>159</v>
      </c>
      <c r="H411">
        <v>11</v>
      </c>
      <c r="R411" t="s">
        <v>19452</v>
      </c>
    </row>
    <row r="412" spans="2:18" x14ac:dyDescent="0.25">
      <c r="B412">
        <v>814</v>
      </c>
      <c r="C412" t="s">
        <v>19453</v>
      </c>
      <c r="E412">
        <v>164</v>
      </c>
      <c r="F412">
        <v>218</v>
      </c>
      <c r="G412">
        <v>164</v>
      </c>
      <c r="H412">
        <v>8</v>
      </c>
      <c r="P412" t="s">
        <v>19454</v>
      </c>
    </row>
    <row r="413" spans="2:18" x14ac:dyDescent="0.25">
      <c r="B413">
        <v>496</v>
      </c>
      <c r="C413" t="s">
        <v>19455</v>
      </c>
      <c r="E413">
        <v>164</v>
      </c>
      <c r="F413">
        <v>218</v>
      </c>
      <c r="G413">
        <v>164</v>
      </c>
      <c r="H413">
        <v>11</v>
      </c>
      <c r="Q413" t="s">
        <v>19456</v>
      </c>
    </row>
    <row r="414" spans="2:18" x14ac:dyDescent="0.25">
      <c r="B414">
        <v>535</v>
      </c>
      <c r="C414" t="s">
        <v>19457</v>
      </c>
      <c r="E414">
        <v>164</v>
      </c>
      <c r="F414">
        <v>218</v>
      </c>
      <c r="G414">
        <v>164</v>
      </c>
      <c r="H414">
        <v>11</v>
      </c>
      <c r="Q414" t="s">
        <v>19458</v>
      </c>
    </row>
    <row r="415" spans="2:18" x14ac:dyDescent="0.25">
      <c r="B415">
        <v>360</v>
      </c>
      <c r="C415" t="s">
        <v>19459</v>
      </c>
      <c r="E415">
        <v>164</v>
      </c>
      <c r="F415">
        <v>218</v>
      </c>
      <c r="G415">
        <v>164</v>
      </c>
      <c r="H415">
        <v>11</v>
      </c>
      <c r="Q415" t="s">
        <v>19460</v>
      </c>
    </row>
    <row r="416" spans="2:18" x14ac:dyDescent="0.25">
      <c r="B416">
        <v>646</v>
      </c>
      <c r="C416" t="s">
        <v>19461</v>
      </c>
      <c r="E416">
        <v>164</v>
      </c>
      <c r="F416">
        <v>218</v>
      </c>
      <c r="G416">
        <v>164</v>
      </c>
      <c r="H416">
        <v>11</v>
      </c>
      <c r="Q416" t="s">
        <v>19462</v>
      </c>
    </row>
    <row r="417" spans="2:18" x14ac:dyDescent="0.25">
      <c r="B417">
        <v>267</v>
      </c>
      <c r="C417" t="s">
        <v>19463</v>
      </c>
      <c r="E417">
        <v>164</v>
      </c>
      <c r="F417">
        <v>218</v>
      </c>
      <c r="G417">
        <v>164</v>
      </c>
      <c r="H417">
        <v>11</v>
      </c>
      <c r="Q417" t="s">
        <v>19464</v>
      </c>
    </row>
    <row r="418" spans="2:18" x14ac:dyDescent="0.25">
      <c r="B418">
        <v>961</v>
      </c>
      <c r="C418" t="s">
        <v>19465</v>
      </c>
      <c r="E418">
        <v>106</v>
      </c>
      <c r="F418">
        <v>203</v>
      </c>
      <c r="G418">
        <v>186</v>
      </c>
      <c r="H418">
        <v>8</v>
      </c>
      <c r="P418" t="s">
        <v>19466</v>
      </c>
    </row>
    <row r="419" spans="2:18" x14ac:dyDescent="0.25">
      <c r="B419">
        <v>152</v>
      </c>
      <c r="C419" t="s">
        <v>19467</v>
      </c>
      <c r="E419">
        <v>106</v>
      </c>
      <c r="F419">
        <v>203</v>
      </c>
      <c r="G419">
        <v>186</v>
      </c>
      <c r="H419">
        <v>11</v>
      </c>
      <c r="Q419" t="s">
        <v>19468</v>
      </c>
    </row>
    <row r="420" spans="2:18" x14ac:dyDescent="0.25">
      <c r="B420">
        <v>276</v>
      </c>
      <c r="C420" t="s">
        <v>19469</v>
      </c>
      <c r="E420">
        <v>106</v>
      </c>
      <c r="F420">
        <v>203</v>
      </c>
      <c r="G420">
        <v>186</v>
      </c>
      <c r="H420">
        <v>11</v>
      </c>
      <c r="Q420" t="s">
        <v>19470</v>
      </c>
    </row>
    <row r="421" spans="2:18" x14ac:dyDescent="0.25">
      <c r="B421">
        <v>284</v>
      </c>
      <c r="C421" t="s">
        <v>19471</v>
      </c>
      <c r="E421">
        <v>106</v>
      </c>
      <c r="F421">
        <v>203</v>
      </c>
      <c r="G421">
        <v>186</v>
      </c>
      <c r="H421">
        <v>11</v>
      </c>
      <c r="Q421" t="s">
        <v>19472</v>
      </c>
    </row>
    <row r="422" spans="2:18" x14ac:dyDescent="0.25">
      <c r="B422">
        <v>291</v>
      </c>
      <c r="C422" t="s">
        <v>19473</v>
      </c>
      <c r="E422">
        <v>106</v>
      </c>
      <c r="F422">
        <v>203</v>
      </c>
      <c r="G422">
        <v>186</v>
      </c>
      <c r="H422">
        <v>11</v>
      </c>
      <c r="Q422" t="s">
        <v>19474</v>
      </c>
    </row>
    <row r="423" spans="2:18" x14ac:dyDescent="0.25">
      <c r="B423">
        <v>619</v>
      </c>
      <c r="C423" t="s">
        <v>19475</v>
      </c>
      <c r="E423">
        <v>149</v>
      </c>
      <c r="F423">
        <v>228</v>
      </c>
      <c r="G423">
        <v>200</v>
      </c>
      <c r="H423">
        <v>8</v>
      </c>
      <c r="P423" t="s">
        <v>19476</v>
      </c>
    </row>
    <row r="424" spans="2:18" x14ac:dyDescent="0.25">
      <c r="B424">
        <v>392</v>
      </c>
      <c r="C424" t="s">
        <v>19477</v>
      </c>
      <c r="E424">
        <v>149</v>
      </c>
      <c r="F424">
        <v>228</v>
      </c>
      <c r="G424">
        <v>200</v>
      </c>
      <c r="H424">
        <v>11</v>
      </c>
      <c r="Q424" t="s">
        <v>19478</v>
      </c>
    </row>
    <row r="425" spans="2:18" x14ac:dyDescent="0.25">
      <c r="B425">
        <v>260</v>
      </c>
      <c r="C425" t="s">
        <v>19479</v>
      </c>
      <c r="E425">
        <v>149</v>
      </c>
      <c r="F425">
        <v>228</v>
      </c>
      <c r="G425">
        <v>200</v>
      </c>
      <c r="H425">
        <v>11</v>
      </c>
      <c r="Q425" t="s">
        <v>19480</v>
      </c>
    </row>
    <row r="426" spans="2:18" x14ac:dyDescent="0.25">
      <c r="B426">
        <v>268</v>
      </c>
      <c r="C426" t="s">
        <v>19481</v>
      </c>
      <c r="E426">
        <v>149</v>
      </c>
      <c r="F426">
        <v>228</v>
      </c>
      <c r="G426">
        <v>200</v>
      </c>
      <c r="H426">
        <v>11</v>
      </c>
      <c r="Q426" t="s">
        <v>19482</v>
      </c>
    </row>
    <row r="427" spans="2:18" x14ac:dyDescent="0.25">
      <c r="B427">
        <v>1139</v>
      </c>
      <c r="C427" t="s">
        <v>19483</v>
      </c>
      <c r="E427">
        <v>149</v>
      </c>
      <c r="F427">
        <v>228</v>
      </c>
      <c r="G427">
        <v>200</v>
      </c>
      <c r="H427">
        <v>11</v>
      </c>
      <c r="Q427" t="s">
        <v>19484</v>
      </c>
    </row>
    <row r="428" spans="2:18" x14ac:dyDescent="0.25">
      <c r="B428">
        <v>631</v>
      </c>
      <c r="C428" t="s">
        <v>19485</v>
      </c>
      <c r="E428">
        <v>97</v>
      </c>
      <c r="F428">
        <v>231</v>
      </c>
      <c r="G428">
        <v>183</v>
      </c>
      <c r="H428">
        <v>8</v>
      </c>
      <c r="P428" t="s">
        <v>19486</v>
      </c>
    </row>
    <row r="429" spans="2:18" x14ac:dyDescent="0.25">
      <c r="B429">
        <v>639</v>
      </c>
      <c r="C429" t="s">
        <v>19487</v>
      </c>
      <c r="E429">
        <v>97</v>
      </c>
      <c r="F429">
        <v>231</v>
      </c>
      <c r="G429">
        <v>183</v>
      </c>
      <c r="H429">
        <v>9</v>
      </c>
      <c r="Q429" t="s">
        <v>19488</v>
      </c>
    </row>
    <row r="430" spans="2:18" x14ac:dyDescent="0.25">
      <c r="B430">
        <v>192</v>
      </c>
      <c r="C430" t="s">
        <v>19489</v>
      </c>
      <c r="E430">
        <v>97</v>
      </c>
      <c r="F430">
        <v>231</v>
      </c>
      <c r="G430">
        <v>183</v>
      </c>
      <c r="H430">
        <v>11</v>
      </c>
      <c r="R430" t="s">
        <v>19490</v>
      </c>
    </row>
    <row r="431" spans="2:18" x14ac:dyDescent="0.25">
      <c r="B431">
        <v>200</v>
      </c>
      <c r="C431" t="s">
        <v>19491</v>
      </c>
      <c r="E431">
        <v>97</v>
      </c>
      <c r="F431">
        <v>231</v>
      </c>
      <c r="G431">
        <v>183</v>
      </c>
      <c r="H431">
        <v>11</v>
      </c>
      <c r="R431" t="s">
        <v>19492</v>
      </c>
    </row>
    <row r="432" spans="2:18" x14ac:dyDescent="0.25">
      <c r="B432">
        <v>208</v>
      </c>
      <c r="C432" t="s">
        <v>19493</v>
      </c>
      <c r="E432">
        <v>97</v>
      </c>
      <c r="F432">
        <v>231</v>
      </c>
      <c r="G432">
        <v>183</v>
      </c>
      <c r="H432">
        <v>11</v>
      </c>
      <c r="R432" t="s">
        <v>19494</v>
      </c>
    </row>
    <row r="433" spans="2:19" x14ac:dyDescent="0.25">
      <c r="B433">
        <v>647</v>
      </c>
      <c r="C433" t="s">
        <v>19495</v>
      </c>
      <c r="E433">
        <v>97</v>
      </c>
      <c r="F433">
        <v>231</v>
      </c>
      <c r="G433">
        <v>183</v>
      </c>
      <c r="H433">
        <v>9</v>
      </c>
      <c r="Q433" t="s">
        <v>19496</v>
      </c>
    </row>
    <row r="434" spans="2:19" x14ac:dyDescent="0.25">
      <c r="B434">
        <v>655</v>
      </c>
      <c r="C434" t="s">
        <v>19497</v>
      </c>
      <c r="E434">
        <v>97</v>
      </c>
      <c r="F434">
        <v>231</v>
      </c>
      <c r="G434">
        <v>183</v>
      </c>
      <c r="H434">
        <v>10</v>
      </c>
      <c r="R434" t="s">
        <v>19498</v>
      </c>
    </row>
    <row r="435" spans="2:19" x14ac:dyDescent="0.25">
      <c r="B435">
        <v>584</v>
      </c>
      <c r="C435" t="s">
        <v>19499</v>
      </c>
      <c r="E435">
        <v>97</v>
      </c>
      <c r="F435">
        <v>231</v>
      </c>
      <c r="G435">
        <v>183</v>
      </c>
      <c r="H435">
        <v>11</v>
      </c>
      <c r="S435" t="s">
        <v>19500</v>
      </c>
    </row>
    <row r="436" spans="2:19" x14ac:dyDescent="0.25">
      <c r="B436">
        <v>376</v>
      </c>
      <c r="C436" t="s">
        <v>19501</v>
      </c>
      <c r="E436">
        <v>97</v>
      </c>
      <c r="F436">
        <v>231</v>
      </c>
      <c r="G436">
        <v>183</v>
      </c>
      <c r="H436">
        <v>11</v>
      </c>
      <c r="S436" t="s">
        <v>19502</v>
      </c>
    </row>
    <row r="437" spans="2:19" x14ac:dyDescent="0.25">
      <c r="B437">
        <v>216</v>
      </c>
      <c r="C437" t="s">
        <v>19503</v>
      </c>
      <c r="E437">
        <v>97</v>
      </c>
      <c r="F437">
        <v>231</v>
      </c>
      <c r="G437">
        <v>183</v>
      </c>
      <c r="H437">
        <v>11</v>
      </c>
      <c r="S437" t="s">
        <v>19504</v>
      </c>
    </row>
    <row r="438" spans="2:19" x14ac:dyDescent="0.25">
      <c r="B438">
        <v>224</v>
      </c>
      <c r="C438" t="s">
        <v>19505</v>
      </c>
      <c r="E438">
        <v>97</v>
      </c>
      <c r="F438">
        <v>231</v>
      </c>
      <c r="G438">
        <v>183</v>
      </c>
      <c r="H438">
        <v>11</v>
      </c>
      <c r="S438" t="s">
        <v>19506</v>
      </c>
    </row>
    <row r="439" spans="2:19" x14ac:dyDescent="0.25">
      <c r="B439">
        <v>232</v>
      </c>
      <c r="C439" t="s">
        <v>19507</v>
      </c>
      <c r="E439">
        <v>97</v>
      </c>
      <c r="F439">
        <v>231</v>
      </c>
      <c r="G439">
        <v>183</v>
      </c>
      <c r="H439">
        <v>11</v>
      </c>
      <c r="S439" t="s">
        <v>19508</v>
      </c>
    </row>
    <row r="440" spans="2:19" x14ac:dyDescent="0.25">
      <c r="B440">
        <v>663</v>
      </c>
      <c r="C440" t="s">
        <v>19509</v>
      </c>
      <c r="E440">
        <v>97</v>
      </c>
      <c r="F440">
        <v>231</v>
      </c>
      <c r="G440">
        <v>183</v>
      </c>
      <c r="H440">
        <v>10</v>
      </c>
      <c r="R440" t="s">
        <v>19510</v>
      </c>
    </row>
    <row r="441" spans="2:19" x14ac:dyDescent="0.25">
      <c r="B441">
        <v>592</v>
      </c>
      <c r="C441" t="s">
        <v>19511</v>
      </c>
      <c r="E441">
        <v>97</v>
      </c>
      <c r="F441">
        <v>231</v>
      </c>
      <c r="G441">
        <v>183</v>
      </c>
      <c r="H441">
        <v>11</v>
      </c>
      <c r="S441" t="s">
        <v>19512</v>
      </c>
    </row>
    <row r="442" spans="2:19" x14ac:dyDescent="0.25">
      <c r="B442">
        <v>383</v>
      </c>
      <c r="C442" t="s">
        <v>19513</v>
      </c>
      <c r="E442">
        <v>97</v>
      </c>
      <c r="F442">
        <v>231</v>
      </c>
      <c r="G442">
        <v>183</v>
      </c>
      <c r="H442">
        <v>11</v>
      </c>
      <c r="S442" t="s">
        <v>19514</v>
      </c>
    </row>
    <row r="443" spans="2:19" x14ac:dyDescent="0.25">
      <c r="B443">
        <v>240</v>
      </c>
      <c r="C443" t="s">
        <v>19515</v>
      </c>
      <c r="E443">
        <v>97</v>
      </c>
      <c r="F443">
        <v>231</v>
      </c>
      <c r="G443">
        <v>183</v>
      </c>
      <c r="H443">
        <v>11</v>
      </c>
      <c r="S443" t="s">
        <v>19516</v>
      </c>
    </row>
    <row r="444" spans="2:19" x14ac:dyDescent="0.25">
      <c r="B444">
        <v>248</v>
      </c>
      <c r="C444" t="s">
        <v>19517</v>
      </c>
      <c r="E444">
        <v>97</v>
      </c>
      <c r="F444">
        <v>231</v>
      </c>
      <c r="G444">
        <v>183</v>
      </c>
      <c r="H444">
        <v>11</v>
      </c>
      <c r="S444" t="s">
        <v>19518</v>
      </c>
    </row>
    <row r="445" spans="2:19" x14ac:dyDescent="0.25">
      <c r="B445">
        <v>256</v>
      </c>
      <c r="C445" t="s">
        <v>19519</v>
      </c>
      <c r="E445">
        <v>97</v>
      </c>
      <c r="F445">
        <v>231</v>
      </c>
      <c r="G445">
        <v>183</v>
      </c>
      <c r="H445">
        <v>11</v>
      </c>
      <c r="S445" t="s">
        <v>19520</v>
      </c>
    </row>
    <row r="446" spans="2:19" x14ac:dyDescent="0.25">
      <c r="B446">
        <v>788</v>
      </c>
      <c r="C446" t="s">
        <v>19521</v>
      </c>
      <c r="E446">
        <v>89</v>
      </c>
      <c r="F446">
        <v>218</v>
      </c>
      <c r="G446">
        <v>171</v>
      </c>
      <c r="H446">
        <v>8</v>
      </c>
      <c r="P446" t="s">
        <v>19522</v>
      </c>
    </row>
    <row r="447" spans="2:19" x14ac:dyDescent="0.25">
      <c r="B447">
        <v>400</v>
      </c>
      <c r="C447" t="s">
        <v>19523</v>
      </c>
      <c r="E447">
        <v>89</v>
      </c>
      <c r="F447">
        <v>218</v>
      </c>
      <c r="G447">
        <v>171</v>
      </c>
      <c r="H447">
        <v>11</v>
      </c>
      <c r="Q447" t="s">
        <v>19524</v>
      </c>
    </row>
    <row r="448" spans="2:19" x14ac:dyDescent="0.25">
      <c r="B448">
        <v>408</v>
      </c>
      <c r="C448" t="s">
        <v>19525</v>
      </c>
      <c r="E448">
        <v>89</v>
      </c>
      <c r="F448">
        <v>218</v>
      </c>
      <c r="G448">
        <v>171</v>
      </c>
      <c r="H448">
        <v>11</v>
      </c>
      <c r="Q448" t="s">
        <v>19526</v>
      </c>
    </row>
    <row r="449" spans="2:19" x14ac:dyDescent="0.25">
      <c r="B449">
        <v>416</v>
      </c>
      <c r="C449" t="s">
        <v>19527</v>
      </c>
      <c r="E449">
        <v>89</v>
      </c>
      <c r="F449">
        <v>218</v>
      </c>
      <c r="G449">
        <v>171</v>
      </c>
      <c r="H449">
        <v>11</v>
      </c>
      <c r="Q449" t="s">
        <v>19528</v>
      </c>
    </row>
    <row r="450" spans="2:19" x14ac:dyDescent="0.25">
      <c r="B450">
        <v>424</v>
      </c>
      <c r="C450" t="s">
        <v>19529</v>
      </c>
      <c r="E450">
        <v>89</v>
      </c>
      <c r="F450">
        <v>218</v>
      </c>
      <c r="G450">
        <v>171</v>
      </c>
      <c r="H450">
        <v>11</v>
      </c>
      <c r="Q450" t="s">
        <v>19530</v>
      </c>
    </row>
    <row r="451" spans="2:19" x14ac:dyDescent="0.25">
      <c r="B451">
        <v>566</v>
      </c>
      <c r="C451" t="s">
        <v>19531</v>
      </c>
      <c r="E451">
        <v>168</v>
      </c>
      <c r="F451">
        <v>236</v>
      </c>
      <c r="G451">
        <v>211</v>
      </c>
      <c r="H451">
        <v>8</v>
      </c>
      <c r="P451" t="s">
        <v>19532</v>
      </c>
    </row>
    <row r="452" spans="2:19" x14ac:dyDescent="0.25">
      <c r="B452">
        <v>517</v>
      </c>
      <c r="C452" t="s">
        <v>19533</v>
      </c>
      <c r="E452">
        <v>168</v>
      </c>
      <c r="F452">
        <v>236</v>
      </c>
      <c r="G452">
        <v>211</v>
      </c>
      <c r="H452">
        <v>11</v>
      </c>
      <c r="Q452" t="s">
        <v>19534</v>
      </c>
    </row>
    <row r="453" spans="2:19" x14ac:dyDescent="0.25">
      <c r="B453">
        <v>1140</v>
      </c>
      <c r="C453" t="s">
        <v>19535</v>
      </c>
      <c r="E453">
        <v>168</v>
      </c>
      <c r="F453">
        <v>236</v>
      </c>
      <c r="G453">
        <v>211</v>
      </c>
      <c r="H453">
        <v>11</v>
      </c>
      <c r="Q453" t="s">
        <v>19536</v>
      </c>
    </row>
    <row r="454" spans="2:19" x14ac:dyDescent="0.25">
      <c r="B454">
        <v>1141</v>
      </c>
      <c r="C454" t="s">
        <v>19537</v>
      </c>
      <c r="E454">
        <v>168</v>
      </c>
      <c r="F454">
        <v>236</v>
      </c>
      <c r="G454">
        <v>211</v>
      </c>
      <c r="H454">
        <v>11</v>
      </c>
      <c r="Q454" t="s">
        <v>19538</v>
      </c>
    </row>
    <row r="455" spans="2:19" x14ac:dyDescent="0.25">
      <c r="B455">
        <v>1142</v>
      </c>
      <c r="C455" t="s">
        <v>19539</v>
      </c>
      <c r="E455">
        <v>168</v>
      </c>
      <c r="F455">
        <v>236</v>
      </c>
      <c r="G455">
        <v>211</v>
      </c>
      <c r="H455">
        <v>11</v>
      </c>
      <c r="Q455" t="s">
        <v>19540</v>
      </c>
    </row>
    <row r="456" spans="2:19" x14ac:dyDescent="0.25">
      <c r="B456">
        <v>1089</v>
      </c>
      <c r="C456" t="s">
        <v>19541</v>
      </c>
      <c r="E456">
        <v>126</v>
      </c>
      <c r="F456">
        <v>208</v>
      </c>
      <c r="G456">
        <v>75</v>
      </c>
      <c r="H456">
        <v>5</v>
      </c>
      <c r="O456" t="s">
        <v>19542</v>
      </c>
    </row>
    <row r="457" spans="2:19" x14ac:dyDescent="0.25">
      <c r="B457">
        <v>1080</v>
      </c>
      <c r="C457" t="s">
        <v>19543</v>
      </c>
      <c r="E457">
        <v>126</v>
      </c>
      <c r="F457">
        <v>208</v>
      </c>
      <c r="G457">
        <v>75</v>
      </c>
      <c r="H457">
        <v>6</v>
      </c>
      <c r="P457" t="s">
        <v>19544</v>
      </c>
    </row>
    <row r="458" spans="2:19" x14ac:dyDescent="0.25">
      <c r="B458">
        <v>375</v>
      </c>
      <c r="C458" t="s">
        <v>15924</v>
      </c>
      <c r="E458">
        <v>126</v>
      </c>
      <c r="F458">
        <v>208</v>
      </c>
      <c r="G458">
        <v>75</v>
      </c>
      <c r="H458">
        <v>8</v>
      </c>
      <c r="Q458" t="s">
        <v>19545</v>
      </c>
    </row>
    <row r="459" spans="2:19" x14ac:dyDescent="0.25">
      <c r="B459">
        <v>382</v>
      </c>
      <c r="C459" t="s">
        <v>15930</v>
      </c>
      <c r="E459">
        <v>126</v>
      </c>
      <c r="F459">
        <v>208</v>
      </c>
      <c r="G459">
        <v>75</v>
      </c>
      <c r="H459">
        <v>9</v>
      </c>
      <c r="R459" t="s">
        <v>42</v>
      </c>
    </row>
    <row r="460" spans="2:19" x14ac:dyDescent="0.25">
      <c r="B460">
        <v>391</v>
      </c>
      <c r="C460" t="s">
        <v>15934</v>
      </c>
      <c r="E460">
        <v>126</v>
      </c>
      <c r="F460">
        <v>208</v>
      </c>
      <c r="G460">
        <v>75</v>
      </c>
      <c r="H460">
        <v>11</v>
      </c>
      <c r="S460" t="s">
        <v>51</v>
      </c>
    </row>
    <row r="461" spans="2:19" x14ac:dyDescent="0.25">
      <c r="B461">
        <v>399</v>
      </c>
      <c r="C461" t="s">
        <v>15931</v>
      </c>
      <c r="E461">
        <v>126</v>
      </c>
      <c r="F461">
        <v>208</v>
      </c>
      <c r="G461">
        <v>75</v>
      </c>
      <c r="H461">
        <v>11</v>
      </c>
      <c r="S461" t="s">
        <v>58</v>
      </c>
    </row>
    <row r="462" spans="2:19" x14ac:dyDescent="0.25">
      <c r="B462">
        <v>407</v>
      </c>
      <c r="C462" t="s">
        <v>15932</v>
      </c>
      <c r="E462">
        <v>102</v>
      </c>
      <c r="F462">
        <v>168</v>
      </c>
      <c r="G462">
        <v>61</v>
      </c>
      <c r="H462">
        <v>11</v>
      </c>
      <c r="S462" t="s">
        <v>19546</v>
      </c>
    </row>
    <row r="463" spans="2:19" x14ac:dyDescent="0.25">
      <c r="B463">
        <v>415</v>
      </c>
      <c r="C463" t="s">
        <v>15933</v>
      </c>
      <c r="E463">
        <v>126</v>
      </c>
      <c r="F463">
        <v>208</v>
      </c>
      <c r="G463">
        <v>75</v>
      </c>
      <c r="H463">
        <v>11</v>
      </c>
      <c r="S463" t="s">
        <v>65</v>
      </c>
    </row>
    <row r="464" spans="2:19" x14ac:dyDescent="0.25">
      <c r="B464">
        <v>423</v>
      </c>
      <c r="C464" t="s">
        <v>15935</v>
      </c>
      <c r="E464">
        <v>126</v>
      </c>
      <c r="F464">
        <v>208</v>
      </c>
      <c r="G464">
        <v>75</v>
      </c>
      <c r="H464">
        <v>9</v>
      </c>
      <c r="R464" t="s">
        <v>74</v>
      </c>
    </row>
    <row r="465" spans="2:19" x14ac:dyDescent="0.25">
      <c r="B465">
        <v>431</v>
      </c>
      <c r="C465" t="s">
        <v>15936</v>
      </c>
      <c r="E465">
        <v>126</v>
      </c>
      <c r="F465">
        <v>208</v>
      </c>
      <c r="G465">
        <v>75</v>
      </c>
      <c r="H465">
        <v>11</v>
      </c>
      <c r="S465" t="s">
        <v>83</v>
      </c>
    </row>
    <row r="466" spans="2:19" x14ac:dyDescent="0.25">
      <c r="B466">
        <v>438</v>
      </c>
      <c r="C466" t="s">
        <v>15937</v>
      </c>
      <c r="E466">
        <v>126</v>
      </c>
      <c r="F466">
        <v>208</v>
      </c>
      <c r="G466">
        <v>75</v>
      </c>
      <c r="H466">
        <v>11</v>
      </c>
      <c r="S466" t="s">
        <v>90</v>
      </c>
    </row>
    <row r="467" spans="2:19" x14ac:dyDescent="0.25">
      <c r="B467">
        <v>446</v>
      </c>
      <c r="C467" t="s">
        <v>15938</v>
      </c>
      <c r="E467">
        <v>102</v>
      </c>
      <c r="F467">
        <v>168</v>
      </c>
      <c r="G467">
        <v>61</v>
      </c>
      <c r="H467">
        <v>11</v>
      </c>
      <c r="S467" t="s">
        <v>19547</v>
      </c>
    </row>
    <row r="468" spans="2:19" x14ac:dyDescent="0.25">
      <c r="B468">
        <v>454</v>
      </c>
      <c r="C468" t="s">
        <v>15939</v>
      </c>
      <c r="E468">
        <v>126</v>
      </c>
      <c r="F468">
        <v>208</v>
      </c>
      <c r="G468">
        <v>75</v>
      </c>
      <c r="H468">
        <v>11</v>
      </c>
      <c r="S468" t="s">
        <v>97</v>
      </c>
    </row>
    <row r="469" spans="2:19" x14ac:dyDescent="0.25">
      <c r="B469">
        <v>463</v>
      </c>
      <c r="C469" t="s">
        <v>15940</v>
      </c>
      <c r="E469">
        <v>126</v>
      </c>
      <c r="F469">
        <v>208</v>
      </c>
      <c r="G469">
        <v>75</v>
      </c>
      <c r="H469">
        <v>9</v>
      </c>
      <c r="R469" t="s">
        <v>106</v>
      </c>
    </row>
    <row r="470" spans="2:19" x14ac:dyDescent="0.25">
      <c r="B470">
        <v>471</v>
      </c>
      <c r="C470" t="s">
        <v>15945</v>
      </c>
      <c r="E470">
        <v>126</v>
      </c>
      <c r="F470">
        <v>208</v>
      </c>
      <c r="G470">
        <v>75</v>
      </c>
      <c r="H470">
        <v>11</v>
      </c>
      <c r="S470" t="s">
        <v>115</v>
      </c>
    </row>
    <row r="471" spans="2:19" x14ac:dyDescent="0.25">
      <c r="B471">
        <v>479</v>
      </c>
      <c r="C471" t="s">
        <v>15943</v>
      </c>
      <c r="E471">
        <v>126</v>
      </c>
      <c r="F471">
        <v>208</v>
      </c>
      <c r="G471">
        <v>75</v>
      </c>
      <c r="H471">
        <v>11</v>
      </c>
      <c r="S471" t="s">
        <v>122</v>
      </c>
    </row>
    <row r="472" spans="2:19" x14ac:dyDescent="0.25">
      <c r="B472">
        <v>486</v>
      </c>
      <c r="C472" t="s">
        <v>15941</v>
      </c>
      <c r="E472">
        <v>126</v>
      </c>
      <c r="F472">
        <v>208</v>
      </c>
      <c r="G472">
        <v>75</v>
      </c>
      <c r="H472">
        <v>11</v>
      </c>
      <c r="S472" t="s">
        <v>129</v>
      </c>
    </row>
    <row r="473" spans="2:19" x14ac:dyDescent="0.25">
      <c r="B473">
        <v>495</v>
      </c>
      <c r="C473" t="s">
        <v>15942</v>
      </c>
      <c r="E473">
        <v>102</v>
      </c>
      <c r="F473">
        <v>168</v>
      </c>
      <c r="G473">
        <v>61</v>
      </c>
      <c r="H473">
        <v>11</v>
      </c>
      <c r="S473" t="s">
        <v>19548</v>
      </c>
    </row>
    <row r="474" spans="2:19" x14ac:dyDescent="0.25">
      <c r="B474">
        <v>504</v>
      </c>
      <c r="C474" t="s">
        <v>15944</v>
      </c>
      <c r="E474">
        <v>126</v>
      </c>
      <c r="F474">
        <v>208</v>
      </c>
      <c r="G474">
        <v>75</v>
      </c>
      <c r="H474">
        <v>11</v>
      </c>
      <c r="S474" t="s">
        <v>136</v>
      </c>
    </row>
    <row r="475" spans="2:19" x14ac:dyDescent="0.25">
      <c r="B475">
        <v>726</v>
      </c>
      <c r="C475" t="s">
        <v>15915</v>
      </c>
      <c r="E475">
        <v>126</v>
      </c>
      <c r="F475">
        <v>208</v>
      </c>
      <c r="G475">
        <v>75</v>
      </c>
      <c r="H475">
        <v>8</v>
      </c>
      <c r="Q475" t="s">
        <v>19549</v>
      </c>
    </row>
    <row r="476" spans="2:19" x14ac:dyDescent="0.25">
      <c r="B476">
        <v>10703</v>
      </c>
      <c r="C476" t="s">
        <v>19550</v>
      </c>
      <c r="E476">
        <v>126</v>
      </c>
      <c r="F476">
        <v>208</v>
      </c>
      <c r="G476">
        <v>75</v>
      </c>
      <c r="H476">
        <v>11</v>
      </c>
      <c r="R476" t="s">
        <v>19551</v>
      </c>
    </row>
    <row r="477" spans="2:19" x14ac:dyDescent="0.25">
      <c r="B477">
        <v>10704</v>
      </c>
      <c r="C477" t="s">
        <v>19552</v>
      </c>
      <c r="E477">
        <v>126</v>
      </c>
      <c r="F477">
        <v>208</v>
      </c>
      <c r="G477">
        <v>75</v>
      </c>
      <c r="H477">
        <v>11</v>
      </c>
      <c r="R477" t="s">
        <v>19553</v>
      </c>
    </row>
    <row r="478" spans="2:19" x14ac:dyDescent="0.25">
      <c r="B478">
        <v>632</v>
      </c>
      <c r="C478" t="s">
        <v>19554</v>
      </c>
      <c r="E478">
        <v>102</v>
      </c>
      <c r="F478">
        <v>168</v>
      </c>
      <c r="G478">
        <v>61</v>
      </c>
      <c r="H478">
        <v>11</v>
      </c>
      <c r="R478" t="s">
        <v>19555</v>
      </c>
    </row>
    <row r="479" spans="2:19" x14ac:dyDescent="0.25">
      <c r="B479">
        <v>10702</v>
      </c>
      <c r="C479" t="s">
        <v>19556</v>
      </c>
      <c r="E479">
        <v>126</v>
      </c>
      <c r="F479">
        <v>208</v>
      </c>
      <c r="G479">
        <v>75</v>
      </c>
      <c r="H479">
        <v>11</v>
      </c>
      <c r="R479" t="s">
        <v>19557</v>
      </c>
    </row>
    <row r="480" spans="2:19" x14ac:dyDescent="0.25">
      <c r="B480">
        <v>734</v>
      </c>
      <c r="C480" t="s">
        <v>19558</v>
      </c>
      <c r="E480">
        <v>126</v>
      </c>
      <c r="F480">
        <v>208</v>
      </c>
      <c r="G480">
        <v>75</v>
      </c>
      <c r="H480">
        <v>9</v>
      </c>
      <c r="R480" t="s">
        <v>19559</v>
      </c>
    </row>
    <row r="481" spans="2:19" x14ac:dyDescent="0.25">
      <c r="B481">
        <v>742</v>
      </c>
      <c r="C481" t="s">
        <v>19560</v>
      </c>
      <c r="E481">
        <v>126</v>
      </c>
      <c r="F481">
        <v>208</v>
      </c>
      <c r="G481">
        <v>75</v>
      </c>
      <c r="H481">
        <v>11</v>
      </c>
      <c r="S481" t="s">
        <v>19561</v>
      </c>
    </row>
    <row r="482" spans="2:19" x14ac:dyDescent="0.25">
      <c r="B482">
        <v>751</v>
      </c>
      <c r="C482" t="s">
        <v>19562</v>
      </c>
      <c r="E482">
        <v>126</v>
      </c>
      <c r="F482">
        <v>208</v>
      </c>
      <c r="G482">
        <v>75</v>
      </c>
      <c r="H482">
        <v>11</v>
      </c>
      <c r="S482" t="s">
        <v>19563</v>
      </c>
    </row>
    <row r="483" spans="2:19" x14ac:dyDescent="0.25">
      <c r="B483">
        <v>758</v>
      </c>
      <c r="C483" t="s">
        <v>19564</v>
      </c>
      <c r="E483">
        <v>126</v>
      </c>
      <c r="F483">
        <v>208</v>
      </c>
      <c r="G483">
        <v>75</v>
      </c>
      <c r="H483">
        <v>11</v>
      </c>
      <c r="S483" t="s">
        <v>19565</v>
      </c>
    </row>
    <row r="484" spans="2:19" x14ac:dyDescent="0.25">
      <c r="B484">
        <v>766</v>
      </c>
      <c r="C484" t="s">
        <v>19566</v>
      </c>
      <c r="E484">
        <v>126</v>
      </c>
      <c r="F484">
        <v>208</v>
      </c>
      <c r="G484">
        <v>75</v>
      </c>
      <c r="H484">
        <v>9</v>
      </c>
      <c r="R484" t="s">
        <v>19567</v>
      </c>
    </row>
    <row r="485" spans="2:19" x14ac:dyDescent="0.25">
      <c r="B485">
        <v>775</v>
      </c>
      <c r="C485" t="s">
        <v>19568</v>
      </c>
      <c r="E485">
        <v>126</v>
      </c>
      <c r="F485">
        <v>208</v>
      </c>
      <c r="G485">
        <v>75</v>
      </c>
      <c r="H485">
        <v>11</v>
      </c>
      <c r="S485" t="s">
        <v>19569</v>
      </c>
    </row>
    <row r="486" spans="2:19" x14ac:dyDescent="0.25">
      <c r="B486">
        <v>782</v>
      </c>
      <c r="C486" t="s">
        <v>19570</v>
      </c>
      <c r="E486">
        <v>126</v>
      </c>
      <c r="F486">
        <v>208</v>
      </c>
      <c r="G486">
        <v>75</v>
      </c>
      <c r="H486">
        <v>11</v>
      </c>
      <c r="S486" t="s">
        <v>19571</v>
      </c>
    </row>
    <row r="487" spans="2:19" x14ac:dyDescent="0.25">
      <c r="B487">
        <v>790</v>
      </c>
      <c r="C487" t="s">
        <v>19572</v>
      </c>
      <c r="E487">
        <v>126</v>
      </c>
      <c r="F487">
        <v>208</v>
      </c>
      <c r="G487">
        <v>75</v>
      </c>
      <c r="H487">
        <v>11</v>
      </c>
      <c r="S487" t="s">
        <v>19573</v>
      </c>
    </row>
    <row r="488" spans="2:19" x14ac:dyDescent="0.25">
      <c r="B488">
        <v>799</v>
      </c>
      <c r="C488" t="s">
        <v>19574</v>
      </c>
      <c r="E488">
        <v>126</v>
      </c>
      <c r="F488">
        <v>208</v>
      </c>
      <c r="G488">
        <v>75</v>
      </c>
      <c r="H488">
        <v>9</v>
      </c>
      <c r="R488" t="s">
        <v>19575</v>
      </c>
    </row>
    <row r="489" spans="2:19" x14ac:dyDescent="0.25">
      <c r="B489">
        <v>807</v>
      </c>
      <c r="C489" t="s">
        <v>19576</v>
      </c>
      <c r="E489">
        <v>126</v>
      </c>
      <c r="F489">
        <v>208</v>
      </c>
      <c r="G489">
        <v>75</v>
      </c>
      <c r="H489">
        <v>11</v>
      </c>
      <c r="S489" t="s">
        <v>19577</v>
      </c>
    </row>
    <row r="490" spans="2:19" x14ac:dyDescent="0.25">
      <c r="B490">
        <v>815</v>
      </c>
      <c r="C490" t="s">
        <v>19578</v>
      </c>
      <c r="E490">
        <v>126</v>
      </c>
      <c r="F490">
        <v>208</v>
      </c>
      <c r="G490">
        <v>75</v>
      </c>
      <c r="H490">
        <v>11</v>
      </c>
      <c r="S490" t="s">
        <v>19579</v>
      </c>
    </row>
    <row r="491" spans="2:19" x14ac:dyDescent="0.25">
      <c r="B491">
        <v>823</v>
      </c>
      <c r="C491" t="s">
        <v>19580</v>
      </c>
      <c r="E491">
        <v>126</v>
      </c>
      <c r="F491">
        <v>208</v>
      </c>
      <c r="G491">
        <v>75</v>
      </c>
      <c r="H491">
        <v>11</v>
      </c>
      <c r="S491" t="s">
        <v>19581</v>
      </c>
    </row>
    <row r="492" spans="2:19" x14ac:dyDescent="0.25">
      <c r="B492">
        <v>982</v>
      </c>
      <c r="C492" t="s">
        <v>19582</v>
      </c>
      <c r="E492">
        <v>126</v>
      </c>
      <c r="F492">
        <v>208</v>
      </c>
      <c r="G492">
        <v>75</v>
      </c>
      <c r="H492">
        <v>8</v>
      </c>
      <c r="Q492" t="s">
        <v>19583</v>
      </c>
    </row>
    <row r="493" spans="2:19" x14ac:dyDescent="0.25">
      <c r="B493">
        <v>19</v>
      </c>
      <c r="C493" t="s">
        <v>15946</v>
      </c>
      <c r="E493">
        <v>126</v>
      </c>
      <c r="F493">
        <v>208</v>
      </c>
      <c r="G493">
        <v>75</v>
      </c>
      <c r="H493">
        <v>8</v>
      </c>
      <c r="Q493" t="s">
        <v>19584</v>
      </c>
    </row>
    <row r="494" spans="2:19" x14ac:dyDescent="0.25">
      <c r="B494">
        <v>822</v>
      </c>
      <c r="C494" t="s">
        <v>19585</v>
      </c>
      <c r="E494">
        <v>50</v>
      </c>
      <c r="F494">
        <v>184</v>
      </c>
      <c r="G494">
        <v>37</v>
      </c>
      <c r="H494">
        <v>6</v>
      </c>
      <c r="P494" t="s">
        <v>19586</v>
      </c>
    </row>
    <row r="495" spans="2:19" x14ac:dyDescent="0.25">
      <c r="B495">
        <v>909</v>
      </c>
      <c r="C495" t="s">
        <v>19587</v>
      </c>
      <c r="E495">
        <v>50</v>
      </c>
      <c r="F495">
        <v>184</v>
      </c>
      <c r="G495">
        <v>37</v>
      </c>
      <c r="H495">
        <v>8</v>
      </c>
      <c r="Q495" t="s">
        <v>19588</v>
      </c>
    </row>
    <row r="496" spans="2:19" x14ac:dyDescent="0.25">
      <c r="B496">
        <v>918</v>
      </c>
      <c r="C496" t="s">
        <v>19589</v>
      </c>
      <c r="E496">
        <v>50</v>
      </c>
      <c r="F496">
        <v>184</v>
      </c>
      <c r="G496">
        <v>37</v>
      </c>
      <c r="H496">
        <v>9</v>
      </c>
      <c r="R496" t="s">
        <v>19590</v>
      </c>
    </row>
    <row r="497" spans="2:19" x14ac:dyDescent="0.25">
      <c r="B497">
        <v>1121</v>
      </c>
      <c r="C497" t="s">
        <v>19591</v>
      </c>
      <c r="E497">
        <v>50</v>
      </c>
      <c r="F497">
        <v>184</v>
      </c>
      <c r="G497">
        <v>37</v>
      </c>
      <c r="H497">
        <v>11</v>
      </c>
      <c r="S497" t="s">
        <v>19592</v>
      </c>
    </row>
    <row r="498" spans="2:19" x14ac:dyDescent="0.25">
      <c r="B498">
        <v>20</v>
      </c>
      <c r="C498" t="s">
        <v>19593</v>
      </c>
      <c r="E498">
        <v>50</v>
      </c>
      <c r="F498">
        <v>184</v>
      </c>
      <c r="G498">
        <v>37</v>
      </c>
      <c r="H498">
        <v>11</v>
      </c>
      <c r="S498" t="s">
        <v>19594</v>
      </c>
    </row>
    <row r="499" spans="2:19" x14ac:dyDescent="0.25">
      <c r="B499">
        <v>999</v>
      </c>
      <c r="C499" t="s">
        <v>19595</v>
      </c>
      <c r="E499">
        <v>50</v>
      </c>
      <c r="F499">
        <v>184</v>
      </c>
      <c r="G499">
        <v>37</v>
      </c>
      <c r="H499">
        <v>11</v>
      </c>
      <c r="S499" t="s">
        <v>19596</v>
      </c>
    </row>
    <row r="500" spans="2:19" x14ac:dyDescent="0.25">
      <c r="B500">
        <v>715</v>
      </c>
      <c r="C500" t="s">
        <v>19597</v>
      </c>
      <c r="E500">
        <v>50</v>
      </c>
      <c r="F500">
        <v>184</v>
      </c>
      <c r="G500">
        <v>37</v>
      </c>
      <c r="H500">
        <v>11</v>
      </c>
      <c r="S500" t="s">
        <v>19598</v>
      </c>
    </row>
    <row r="501" spans="2:19" x14ac:dyDescent="0.25">
      <c r="B501">
        <v>764</v>
      </c>
      <c r="C501" t="s">
        <v>19599</v>
      </c>
      <c r="E501">
        <v>50</v>
      </c>
      <c r="F501">
        <v>184</v>
      </c>
      <c r="G501">
        <v>37</v>
      </c>
      <c r="H501">
        <v>11</v>
      </c>
      <c r="S501" t="s">
        <v>19600</v>
      </c>
    </row>
    <row r="502" spans="2:19" x14ac:dyDescent="0.25">
      <c r="B502">
        <v>52</v>
      </c>
      <c r="C502" t="s">
        <v>19601</v>
      </c>
      <c r="E502">
        <v>50</v>
      </c>
      <c r="F502">
        <v>184</v>
      </c>
      <c r="G502">
        <v>37</v>
      </c>
      <c r="H502">
        <v>11</v>
      </c>
      <c r="S502" t="s">
        <v>19602</v>
      </c>
    </row>
    <row r="503" spans="2:19" x14ac:dyDescent="0.25">
      <c r="B503">
        <v>92</v>
      </c>
      <c r="C503" t="s">
        <v>19603</v>
      </c>
      <c r="E503">
        <v>50</v>
      </c>
      <c r="F503">
        <v>184</v>
      </c>
      <c r="G503">
        <v>37</v>
      </c>
      <c r="H503">
        <v>11</v>
      </c>
      <c r="S503" t="s">
        <v>19604</v>
      </c>
    </row>
    <row r="504" spans="2:19" x14ac:dyDescent="0.25">
      <c r="B504">
        <v>312</v>
      </c>
      <c r="C504" t="s">
        <v>19605</v>
      </c>
      <c r="E504">
        <v>50</v>
      </c>
      <c r="F504">
        <v>184</v>
      </c>
      <c r="G504">
        <v>37</v>
      </c>
      <c r="H504">
        <v>11</v>
      </c>
      <c r="S504" t="s">
        <v>19606</v>
      </c>
    </row>
    <row r="505" spans="2:19" x14ac:dyDescent="0.25">
      <c r="B505">
        <v>139</v>
      </c>
      <c r="C505" t="s">
        <v>19607</v>
      </c>
      <c r="E505">
        <v>50</v>
      </c>
      <c r="F505">
        <v>184</v>
      </c>
      <c r="G505">
        <v>37</v>
      </c>
      <c r="H505">
        <v>11</v>
      </c>
      <c r="S505" t="s">
        <v>19608</v>
      </c>
    </row>
    <row r="506" spans="2:19" x14ac:dyDescent="0.25">
      <c r="B506">
        <v>387</v>
      </c>
      <c r="C506" t="s">
        <v>19609</v>
      </c>
      <c r="E506">
        <v>50</v>
      </c>
      <c r="F506">
        <v>184</v>
      </c>
      <c r="G506">
        <v>37</v>
      </c>
      <c r="H506">
        <v>11</v>
      </c>
      <c r="S506" t="s">
        <v>19610</v>
      </c>
    </row>
    <row r="507" spans="2:19" x14ac:dyDescent="0.25">
      <c r="B507">
        <v>28</v>
      </c>
      <c r="C507" t="s">
        <v>19611</v>
      </c>
      <c r="E507">
        <v>50</v>
      </c>
      <c r="F507">
        <v>184</v>
      </c>
      <c r="G507">
        <v>37</v>
      </c>
      <c r="H507">
        <v>11</v>
      </c>
      <c r="S507" t="s">
        <v>19612</v>
      </c>
    </row>
    <row r="508" spans="2:19" x14ac:dyDescent="0.25">
      <c r="B508">
        <v>60</v>
      </c>
      <c r="C508" t="s">
        <v>19613</v>
      </c>
      <c r="E508">
        <v>50</v>
      </c>
      <c r="F508">
        <v>184</v>
      </c>
      <c r="G508">
        <v>37</v>
      </c>
      <c r="H508">
        <v>11</v>
      </c>
      <c r="S508" t="s">
        <v>19614</v>
      </c>
    </row>
    <row r="509" spans="2:19" x14ac:dyDescent="0.25">
      <c r="B509">
        <v>926</v>
      </c>
      <c r="C509" t="s">
        <v>19615</v>
      </c>
      <c r="E509">
        <v>50</v>
      </c>
      <c r="F509">
        <v>184</v>
      </c>
      <c r="G509">
        <v>37</v>
      </c>
      <c r="H509">
        <v>9</v>
      </c>
      <c r="R509" t="s">
        <v>19616</v>
      </c>
    </row>
    <row r="510" spans="2:19" x14ac:dyDescent="0.25">
      <c r="B510">
        <v>526</v>
      </c>
      <c r="C510" t="s">
        <v>19617</v>
      </c>
      <c r="E510">
        <v>50</v>
      </c>
      <c r="F510">
        <v>184</v>
      </c>
      <c r="G510">
        <v>37</v>
      </c>
      <c r="H510">
        <v>11</v>
      </c>
      <c r="S510" t="s">
        <v>19618</v>
      </c>
    </row>
    <row r="511" spans="2:19" x14ac:dyDescent="0.25">
      <c r="B511">
        <v>543</v>
      </c>
      <c r="C511" t="s">
        <v>19619</v>
      </c>
      <c r="E511">
        <v>50</v>
      </c>
      <c r="F511">
        <v>184</v>
      </c>
      <c r="G511">
        <v>37</v>
      </c>
      <c r="H511">
        <v>11</v>
      </c>
      <c r="S511" t="s">
        <v>19620</v>
      </c>
    </row>
    <row r="512" spans="2:19" x14ac:dyDescent="0.25">
      <c r="B512">
        <v>468</v>
      </c>
      <c r="C512" t="s">
        <v>19621</v>
      </c>
      <c r="E512">
        <v>50</v>
      </c>
      <c r="F512">
        <v>184</v>
      </c>
      <c r="G512">
        <v>37</v>
      </c>
      <c r="H512">
        <v>11</v>
      </c>
      <c r="S512" t="s">
        <v>19622</v>
      </c>
    </row>
    <row r="513" spans="2:19" x14ac:dyDescent="0.25">
      <c r="B513">
        <v>508</v>
      </c>
      <c r="C513" t="s">
        <v>19623</v>
      </c>
      <c r="E513">
        <v>50</v>
      </c>
      <c r="F513">
        <v>184</v>
      </c>
      <c r="G513">
        <v>37</v>
      </c>
      <c r="H513">
        <v>11</v>
      </c>
      <c r="S513" t="s">
        <v>19624</v>
      </c>
    </row>
    <row r="514" spans="2:19" x14ac:dyDescent="0.25">
      <c r="B514">
        <v>664</v>
      </c>
      <c r="C514" t="s">
        <v>19625</v>
      </c>
      <c r="E514">
        <v>50</v>
      </c>
      <c r="F514">
        <v>184</v>
      </c>
      <c r="G514">
        <v>37</v>
      </c>
      <c r="H514">
        <v>11</v>
      </c>
      <c r="S514" t="s">
        <v>19626</v>
      </c>
    </row>
    <row r="515" spans="2:19" x14ac:dyDescent="0.25">
      <c r="B515">
        <v>712</v>
      </c>
      <c r="C515" t="s">
        <v>19627</v>
      </c>
      <c r="E515">
        <v>50</v>
      </c>
      <c r="F515">
        <v>184</v>
      </c>
      <c r="G515">
        <v>37</v>
      </c>
      <c r="H515">
        <v>11</v>
      </c>
      <c r="S515" t="s">
        <v>19628</v>
      </c>
    </row>
    <row r="516" spans="2:19" x14ac:dyDescent="0.25">
      <c r="B516">
        <v>727</v>
      </c>
      <c r="C516" t="s">
        <v>19629</v>
      </c>
      <c r="E516">
        <v>50</v>
      </c>
      <c r="F516">
        <v>184</v>
      </c>
      <c r="G516">
        <v>37</v>
      </c>
      <c r="H516">
        <v>11</v>
      </c>
      <c r="S516" t="s">
        <v>19630</v>
      </c>
    </row>
    <row r="517" spans="2:19" x14ac:dyDescent="0.25">
      <c r="B517">
        <v>550</v>
      </c>
      <c r="C517" t="s">
        <v>19631</v>
      </c>
      <c r="E517">
        <v>50</v>
      </c>
      <c r="F517">
        <v>184</v>
      </c>
      <c r="G517">
        <v>37</v>
      </c>
      <c r="H517">
        <v>11</v>
      </c>
      <c r="S517" t="s">
        <v>19632</v>
      </c>
    </row>
    <row r="518" spans="2:19" x14ac:dyDescent="0.25">
      <c r="B518">
        <v>743</v>
      </c>
      <c r="C518" t="s">
        <v>19633</v>
      </c>
      <c r="E518">
        <v>50</v>
      </c>
      <c r="F518">
        <v>184</v>
      </c>
      <c r="G518">
        <v>37</v>
      </c>
      <c r="H518">
        <v>11</v>
      </c>
      <c r="S518" t="s">
        <v>19634</v>
      </c>
    </row>
    <row r="519" spans="2:19" x14ac:dyDescent="0.25">
      <c r="B519">
        <v>934</v>
      </c>
      <c r="C519" t="s">
        <v>19635</v>
      </c>
      <c r="E519">
        <v>50</v>
      </c>
      <c r="F519">
        <v>184</v>
      </c>
      <c r="G519">
        <v>37</v>
      </c>
      <c r="H519">
        <v>9</v>
      </c>
      <c r="R519" t="s">
        <v>19636</v>
      </c>
    </row>
    <row r="520" spans="2:19" x14ac:dyDescent="0.25">
      <c r="B520">
        <v>259</v>
      </c>
      <c r="C520" t="s">
        <v>19637</v>
      </c>
      <c r="E520">
        <v>50</v>
      </c>
      <c r="F520">
        <v>184</v>
      </c>
      <c r="G520">
        <v>37</v>
      </c>
      <c r="H520">
        <v>11</v>
      </c>
      <c r="S520" t="s">
        <v>19638</v>
      </c>
    </row>
    <row r="521" spans="2:19" x14ac:dyDescent="0.25">
      <c r="B521">
        <v>324</v>
      </c>
      <c r="C521" t="s">
        <v>19639</v>
      </c>
      <c r="E521">
        <v>50</v>
      </c>
      <c r="F521">
        <v>184</v>
      </c>
      <c r="G521">
        <v>37</v>
      </c>
      <c r="H521">
        <v>11</v>
      </c>
      <c r="S521" t="s">
        <v>19640</v>
      </c>
    </row>
    <row r="522" spans="2:19" x14ac:dyDescent="0.25">
      <c r="B522">
        <v>371</v>
      </c>
      <c r="C522" t="s">
        <v>19641</v>
      </c>
      <c r="E522">
        <v>50</v>
      </c>
      <c r="F522">
        <v>184</v>
      </c>
      <c r="G522">
        <v>37</v>
      </c>
      <c r="H522">
        <v>11</v>
      </c>
      <c r="S522" t="s">
        <v>19642</v>
      </c>
    </row>
    <row r="523" spans="2:19" x14ac:dyDescent="0.25">
      <c r="B523">
        <v>419</v>
      </c>
      <c r="C523" t="s">
        <v>19643</v>
      </c>
      <c r="E523">
        <v>50</v>
      </c>
      <c r="F523">
        <v>184</v>
      </c>
      <c r="G523">
        <v>37</v>
      </c>
      <c r="H523">
        <v>11</v>
      </c>
      <c r="S523" t="s">
        <v>19644</v>
      </c>
    </row>
    <row r="524" spans="2:19" x14ac:dyDescent="0.25">
      <c r="B524">
        <v>1133</v>
      </c>
      <c r="C524" t="s">
        <v>19645</v>
      </c>
      <c r="E524">
        <v>50</v>
      </c>
      <c r="F524">
        <v>184</v>
      </c>
      <c r="G524">
        <v>37</v>
      </c>
      <c r="H524">
        <v>11</v>
      </c>
      <c r="S524" t="s">
        <v>19646</v>
      </c>
    </row>
    <row r="525" spans="2:19" x14ac:dyDescent="0.25">
      <c r="B525">
        <v>843</v>
      </c>
      <c r="C525" t="s">
        <v>19647</v>
      </c>
      <c r="E525">
        <v>114</v>
      </c>
      <c r="F525">
        <v>213</v>
      </c>
      <c r="G525">
        <v>105</v>
      </c>
      <c r="H525">
        <v>8</v>
      </c>
      <c r="Q525" t="s">
        <v>19648</v>
      </c>
    </row>
    <row r="526" spans="2:19" x14ac:dyDescent="0.25">
      <c r="B526">
        <v>10693</v>
      </c>
      <c r="C526" t="s">
        <v>19649</v>
      </c>
      <c r="E526">
        <v>114</v>
      </c>
      <c r="F526">
        <v>213</v>
      </c>
      <c r="G526">
        <v>105</v>
      </c>
      <c r="H526">
        <v>11</v>
      </c>
      <c r="R526" t="s">
        <v>19650</v>
      </c>
    </row>
    <row r="527" spans="2:19" x14ac:dyDescent="0.25">
      <c r="B527">
        <v>10694</v>
      </c>
      <c r="C527" t="s">
        <v>19651</v>
      </c>
      <c r="E527">
        <v>114</v>
      </c>
      <c r="F527">
        <v>213</v>
      </c>
      <c r="G527">
        <v>105</v>
      </c>
      <c r="H527">
        <v>11</v>
      </c>
      <c r="R527" t="s">
        <v>19652</v>
      </c>
    </row>
    <row r="528" spans="2:19" x14ac:dyDescent="0.25">
      <c r="B528">
        <v>10695</v>
      </c>
      <c r="C528" t="s">
        <v>19653</v>
      </c>
      <c r="E528">
        <v>114</v>
      </c>
      <c r="F528">
        <v>213</v>
      </c>
      <c r="G528">
        <v>105</v>
      </c>
      <c r="H528">
        <v>11</v>
      </c>
      <c r="R528" t="s">
        <v>19654</v>
      </c>
    </row>
    <row r="529" spans="2:19" x14ac:dyDescent="0.25">
      <c r="B529">
        <v>1037</v>
      </c>
      <c r="C529" t="s">
        <v>19655</v>
      </c>
      <c r="E529">
        <v>72</v>
      </c>
      <c r="F529">
        <v>200</v>
      </c>
      <c r="G529">
        <v>60</v>
      </c>
      <c r="H529">
        <v>8</v>
      </c>
      <c r="Q529" t="s">
        <v>19656</v>
      </c>
    </row>
    <row r="530" spans="2:19" x14ac:dyDescent="0.25">
      <c r="B530">
        <v>10696</v>
      </c>
      <c r="C530" t="s">
        <v>19657</v>
      </c>
      <c r="E530">
        <v>72</v>
      </c>
      <c r="F530">
        <v>200</v>
      </c>
      <c r="G530">
        <v>60</v>
      </c>
      <c r="H530">
        <v>11</v>
      </c>
      <c r="R530" t="s">
        <v>19658</v>
      </c>
    </row>
    <row r="531" spans="2:19" x14ac:dyDescent="0.25">
      <c r="B531">
        <v>10697</v>
      </c>
      <c r="C531" t="s">
        <v>19659</v>
      </c>
      <c r="E531">
        <v>72</v>
      </c>
      <c r="F531">
        <v>200</v>
      </c>
      <c r="G531">
        <v>60</v>
      </c>
      <c r="H531">
        <v>11</v>
      </c>
      <c r="R531" t="s">
        <v>19660</v>
      </c>
    </row>
    <row r="532" spans="2:19" x14ac:dyDescent="0.25">
      <c r="B532">
        <v>10698</v>
      </c>
      <c r="C532" t="s">
        <v>19661</v>
      </c>
      <c r="E532">
        <v>72</v>
      </c>
      <c r="F532">
        <v>200</v>
      </c>
      <c r="G532">
        <v>60</v>
      </c>
      <c r="H532">
        <v>11</v>
      </c>
      <c r="R532" t="s">
        <v>19662</v>
      </c>
    </row>
    <row r="533" spans="2:19" x14ac:dyDescent="0.25">
      <c r="B533">
        <v>1084</v>
      </c>
      <c r="C533" t="s">
        <v>19663</v>
      </c>
      <c r="E533">
        <v>89</v>
      </c>
      <c r="F533">
        <v>185</v>
      </c>
      <c r="G533">
        <v>71</v>
      </c>
      <c r="H533">
        <v>8</v>
      </c>
      <c r="Q533" t="s">
        <v>19664</v>
      </c>
    </row>
    <row r="534" spans="2:19" x14ac:dyDescent="0.25">
      <c r="B534">
        <v>10699</v>
      </c>
      <c r="C534" t="s">
        <v>19665</v>
      </c>
      <c r="E534">
        <v>89</v>
      </c>
      <c r="F534">
        <v>185</v>
      </c>
      <c r="G534">
        <v>71</v>
      </c>
      <c r="H534">
        <v>11</v>
      </c>
      <c r="R534" t="s">
        <v>19666</v>
      </c>
    </row>
    <row r="535" spans="2:19" x14ac:dyDescent="0.25">
      <c r="B535">
        <v>10700</v>
      </c>
      <c r="C535" t="s">
        <v>19667</v>
      </c>
      <c r="E535">
        <v>89</v>
      </c>
      <c r="F535">
        <v>185</v>
      </c>
      <c r="G535">
        <v>71</v>
      </c>
      <c r="H535">
        <v>11</v>
      </c>
      <c r="R535" t="s">
        <v>19668</v>
      </c>
    </row>
    <row r="536" spans="2:19" x14ac:dyDescent="0.25">
      <c r="B536">
        <v>10701</v>
      </c>
      <c r="C536" t="s">
        <v>19669</v>
      </c>
      <c r="E536">
        <v>89</v>
      </c>
      <c r="F536">
        <v>185</v>
      </c>
      <c r="G536">
        <v>71</v>
      </c>
      <c r="H536">
        <v>11</v>
      </c>
      <c r="R536" t="s">
        <v>19670</v>
      </c>
    </row>
    <row r="537" spans="2:19" x14ac:dyDescent="0.25">
      <c r="B537">
        <v>502</v>
      </c>
      <c r="C537" t="s">
        <v>19671</v>
      </c>
      <c r="E537">
        <v>79</v>
      </c>
      <c r="F537">
        <v>194</v>
      </c>
      <c r="G537">
        <v>68</v>
      </c>
      <c r="H537">
        <v>8</v>
      </c>
      <c r="Q537" t="s">
        <v>19672</v>
      </c>
    </row>
    <row r="538" spans="2:19" x14ac:dyDescent="0.25">
      <c r="B538">
        <v>509</v>
      </c>
      <c r="C538" t="s">
        <v>19673</v>
      </c>
      <c r="E538">
        <v>79</v>
      </c>
      <c r="F538">
        <v>194</v>
      </c>
      <c r="G538">
        <v>68</v>
      </c>
      <c r="H538">
        <v>9</v>
      </c>
      <c r="R538" t="s">
        <v>19674</v>
      </c>
    </row>
    <row r="539" spans="2:19" x14ac:dyDescent="0.25">
      <c r="B539">
        <v>829</v>
      </c>
      <c r="C539" t="s">
        <v>19675</v>
      </c>
      <c r="E539">
        <v>79</v>
      </c>
      <c r="F539">
        <v>194</v>
      </c>
      <c r="G539">
        <v>68</v>
      </c>
      <c r="H539">
        <v>11</v>
      </c>
      <c r="S539" t="s">
        <v>19676</v>
      </c>
    </row>
    <row r="540" spans="2:19" x14ac:dyDescent="0.25">
      <c r="B540">
        <v>845</v>
      </c>
      <c r="C540" t="s">
        <v>19677</v>
      </c>
      <c r="E540">
        <v>75</v>
      </c>
      <c r="F540">
        <v>181</v>
      </c>
      <c r="G540">
        <v>71</v>
      </c>
      <c r="H540">
        <v>11</v>
      </c>
      <c r="S540" t="s">
        <v>19678</v>
      </c>
    </row>
    <row r="541" spans="2:19" x14ac:dyDescent="0.25">
      <c r="B541">
        <v>837</v>
      </c>
      <c r="C541" t="s">
        <v>19679</v>
      </c>
      <c r="E541">
        <v>79</v>
      </c>
      <c r="F541">
        <v>194</v>
      </c>
      <c r="G541">
        <v>68</v>
      </c>
      <c r="H541">
        <v>11</v>
      </c>
      <c r="S541" t="s">
        <v>19680</v>
      </c>
    </row>
    <row r="542" spans="2:19" x14ac:dyDescent="0.25">
      <c r="B542">
        <v>518</v>
      </c>
      <c r="C542" t="s">
        <v>19681</v>
      </c>
      <c r="E542">
        <v>79</v>
      </c>
      <c r="F542">
        <v>194</v>
      </c>
      <c r="G542">
        <v>68</v>
      </c>
      <c r="H542">
        <v>9</v>
      </c>
      <c r="R542" t="s">
        <v>19682</v>
      </c>
    </row>
    <row r="543" spans="2:19" x14ac:dyDescent="0.25">
      <c r="B543">
        <v>853</v>
      </c>
      <c r="C543" t="s">
        <v>19683</v>
      </c>
      <c r="E543">
        <v>79</v>
      </c>
      <c r="F543">
        <v>194</v>
      </c>
      <c r="G543">
        <v>68</v>
      </c>
      <c r="H543">
        <v>11</v>
      </c>
      <c r="S543" t="s">
        <v>19684</v>
      </c>
    </row>
    <row r="544" spans="2:19" x14ac:dyDescent="0.25">
      <c r="B544">
        <v>870</v>
      </c>
      <c r="C544" t="s">
        <v>19685</v>
      </c>
      <c r="E544">
        <v>75</v>
      </c>
      <c r="F544">
        <v>181</v>
      </c>
      <c r="G544">
        <v>71</v>
      </c>
      <c r="H544">
        <v>11</v>
      </c>
      <c r="S544" t="s">
        <v>19686</v>
      </c>
    </row>
    <row r="545" spans="2:19" x14ac:dyDescent="0.25">
      <c r="B545">
        <v>861</v>
      </c>
      <c r="C545" t="s">
        <v>19687</v>
      </c>
      <c r="E545">
        <v>79</v>
      </c>
      <c r="F545">
        <v>194</v>
      </c>
      <c r="G545">
        <v>68</v>
      </c>
      <c r="H545">
        <v>11</v>
      </c>
      <c r="S545" t="s">
        <v>19688</v>
      </c>
    </row>
    <row r="546" spans="2:19" x14ac:dyDescent="0.25">
      <c r="B546">
        <v>484682470</v>
      </c>
      <c r="C546" t="s">
        <v>19689</v>
      </c>
      <c r="E546">
        <v>88</v>
      </c>
      <c r="F546">
        <v>186</v>
      </c>
      <c r="G546">
        <v>72</v>
      </c>
      <c r="H546">
        <v>8</v>
      </c>
      <c r="Q546" t="s">
        <v>19690</v>
      </c>
    </row>
    <row r="547" spans="2:19" x14ac:dyDescent="0.25">
      <c r="B547">
        <v>484682475</v>
      </c>
      <c r="C547" t="s">
        <v>19691</v>
      </c>
      <c r="E547">
        <v>88</v>
      </c>
      <c r="F547">
        <v>186</v>
      </c>
      <c r="G547">
        <v>72</v>
      </c>
      <c r="H547">
        <v>9</v>
      </c>
      <c r="R547" t="s">
        <v>19692</v>
      </c>
    </row>
    <row r="548" spans="2:19" x14ac:dyDescent="0.25">
      <c r="B548">
        <v>484682479</v>
      </c>
      <c r="C548" t="s">
        <v>19693</v>
      </c>
      <c r="E548">
        <v>88</v>
      </c>
      <c r="F548">
        <v>186</v>
      </c>
      <c r="G548">
        <v>72</v>
      </c>
      <c r="H548">
        <v>11</v>
      </c>
      <c r="S548" t="s">
        <v>19694</v>
      </c>
    </row>
    <row r="549" spans="2:19" x14ac:dyDescent="0.25">
      <c r="B549">
        <v>484682483</v>
      </c>
      <c r="C549" t="s">
        <v>19695</v>
      </c>
      <c r="E549">
        <v>86</v>
      </c>
      <c r="F549">
        <v>184</v>
      </c>
      <c r="G549">
        <v>75</v>
      </c>
      <c r="H549">
        <v>11</v>
      </c>
      <c r="S549" t="s">
        <v>19696</v>
      </c>
    </row>
    <row r="550" spans="2:19" x14ac:dyDescent="0.25">
      <c r="B550">
        <v>484682487</v>
      </c>
      <c r="C550" t="s">
        <v>19697</v>
      </c>
      <c r="E550">
        <v>88</v>
      </c>
      <c r="F550">
        <v>186</v>
      </c>
      <c r="G550">
        <v>72</v>
      </c>
      <c r="H550">
        <v>11</v>
      </c>
      <c r="S550" t="s">
        <v>19698</v>
      </c>
    </row>
    <row r="551" spans="2:19" x14ac:dyDescent="0.25">
      <c r="B551">
        <v>484682492</v>
      </c>
      <c r="C551" t="s">
        <v>19699</v>
      </c>
      <c r="E551">
        <v>88</v>
      </c>
      <c r="F551">
        <v>186</v>
      </c>
      <c r="G551">
        <v>72</v>
      </c>
      <c r="H551">
        <v>9</v>
      </c>
      <c r="R551" t="s">
        <v>19700</v>
      </c>
    </row>
    <row r="552" spans="2:19" x14ac:dyDescent="0.25">
      <c r="B552">
        <v>484682496</v>
      </c>
      <c r="C552" t="s">
        <v>19701</v>
      </c>
      <c r="E552">
        <v>88</v>
      </c>
      <c r="F552">
        <v>186</v>
      </c>
      <c r="G552">
        <v>72</v>
      </c>
      <c r="H552">
        <v>11</v>
      </c>
      <c r="S552" t="s">
        <v>19702</v>
      </c>
    </row>
    <row r="553" spans="2:19" x14ac:dyDescent="0.25">
      <c r="B553">
        <v>484682500</v>
      </c>
      <c r="C553" t="s">
        <v>19703</v>
      </c>
      <c r="E553">
        <v>86</v>
      </c>
      <c r="F553">
        <v>184</v>
      </c>
      <c r="G553">
        <v>75</v>
      </c>
      <c r="H553">
        <v>11</v>
      </c>
      <c r="S553" t="s">
        <v>19704</v>
      </c>
    </row>
    <row r="554" spans="2:19" x14ac:dyDescent="0.25">
      <c r="B554">
        <v>484682504</v>
      </c>
      <c r="C554" t="s">
        <v>19705</v>
      </c>
      <c r="E554">
        <v>88</v>
      </c>
      <c r="F554">
        <v>186</v>
      </c>
      <c r="G554">
        <v>72</v>
      </c>
      <c r="H554">
        <v>11</v>
      </c>
      <c r="S554" t="s">
        <v>19706</v>
      </c>
    </row>
    <row r="555" spans="2:19" x14ac:dyDescent="0.25">
      <c r="B555">
        <v>589508447</v>
      </c>
      <c r="C555" t="s">
        <v>19707</v>
      </c>
      <c r="E555">
        <v>51</v>
      </c>
      <c r="F555">
        <v>185</v>
      </c>
      <c r="G555">
        <v>50</v>
      </c>
      <c r="H555">
        <v>8</v>
      </c>
      <c r="Q555" t="s">
        <v>19708</v>
      </c>
    </row>
    <row r="556" spans="2:19" x14ac:dyDescent="0.25">
      <c r="B556">
        <v>484682508</v>
      </c>
      <c r="C556" t="s">
        <v>19709</v>
      </c>
      <c r="E556">
        <v>51</v>
      </c>
      <c r="F556">
        <v>185</v>
      </c>
      <c r="G556">
        <v>50</v>
      </c>
      <c r="H556">
        <v>8</v>
      </c>
      <c r="Q556" t="s">
        <v>19710</v>
      </c>
    </row>
    <row r="557" spans="2:19" x14ac:dyDescent="0.25">
      <c r="B557">
        <v>703</v>
      </c>
      <c r="C557" t="s">
        <v>19711</v>
      </c>
      <c r="E557">
        <v>138</v>
      </c>
      <c r="F557">
        <v>218</v>
      </c>
      <c r="G557">
        <v>135</v>
      </c>
      <c r="H557">
        <v>5</v>
      </c>
      <c r="N557" t="s">
        <v>19712</v>
      </c>
    </row>
    <row r="558" spans="2:19" x14ac:dyDescent="0.25">
      <c r="B558">
        <v>16</v>
      </c>
      <c r="C558" t="s">
        <v>19713</v>
      </c>
      <c r="E558">
        <v>138</v>
      </c>
      <c r="F558">
        <v>218</v>
      </c>
      <c r="G558">
        <v>135</v>
      </c>
      <c r="H558">
        <v>11</v>
      </c>
      <c r="O558" t="s">
        <v>19714</v>
      </c>
    </row>
    <row r="559" spans="2:19" x14ac:dyDescent="0.25">
      <c r="B559">
        <v>583</v>
      </c>
      <c r="C559" t="s">
        <v>19715</v>
      </c>
      <c r="E559">
        <v>138</v>
      </c>
      <c r="F559">
        <v>218</v>
      </c>
      <c r="G559">
        <v>135</v>
      </c>
      <c r="H559">
        <v>8</v>
      </c>
      <c r="O559" t="s">
        <v>19716</v>
      </c>
    </row>
    <row r="560" spans="2:19" x14ac:dyDescent="0.25">
      <c r="B560">
        <v>942</v>
      </c>
      <c r="C560" t="s">
        <v>19717</v>
      </c>
      <c r="E560">
        <v>160</v>
      </c>
      <c r="F560">
        <v>238</v>
      </c>
      <c r="G560">
        <v>157</v>
      </c>
      <c r="H560">
        <v>8</v>
      </c>
      <c r="O560" t="s">
        <v>19718</v>
      </c>
    </row>
    <row r="561" spans="2:16" x14ac:dyDescent="0.25">
      <c r="B561">
        <v>952</v>
      </c>
      <c r="C561" t="s">
        <v>19719</v>
      </c>
      <c r="E561">
        <v>160</v>
      </c>
      <c r="F561">
        <v>238</v>
      </c>
      <c r="G561">
        <v>157</v>
      </c>
      <c r="H561">
        <v>9</v>
      </c>
      <c r="P561" t="s">
        <v>19720</v>
      </c>
    </row>
    <row r="562" spans="2:16" x14ac:dyDescent="0.25">
      <c r="B562">
        <v>966</v>
      </c>
      <c r="C562" t="s">
        <v>19721</v>
      </c>
      <c r="E562">
        <v>160</v>
      </c>
      <c r="F562">
        <v>238</v>
      </c>
      <c r="G562">
        <v>157</v>
      </c>
      <c r="H562">
        <v>9</v>
      </c>
      <c r="P562" t="s">
        <v>19722</v>
      </c>
    </row>
    <row r="563" spans="2:16" x14ac:dyDescent="0.25">
      <c r="B563">
        <v>131</v>
      </c>
      <c r="C563" t="s">
        <v>15318</v>
      </c>
      <c r="E563">
        <v>144</v>
      </c>
      <c r="F563">
        <v>235</v>
      </c>
      <c r="G563">
        <v>141</v>
      </c>
      <c r="H563">
        <v>8</v>
      </c>
      <c r="O563" t="s">
        <v>19723</v>
      </c>
    </row>
    <row r="564" spans="2:16" x14ac:dyDescent="0.25">
      <c r="B564">
        <v>295</v>
      </c>
      <c r="C564" t="s">
        <v>15784</v>
      </c>
      <c r="E564">
        <v>157</v>
      </c>
      <c r="F564">
        <v>231</v>
      </c>
      <c r="G564">
        <v>156</v>
      </c>
      <c r="H564">
        <v>8</v>
      </c>
      <c r="O564" t="s">
        <v>19724</v>
      </c>
    </row>
    <row r="565" spans="2:16" x14ac:dyDescent="0.25">
      <c r="B565">
        <v>303</v>
      </c>
      <c r="C565" t="s">
        <v>19725</v>
      </c>
      <c r="E565">
        <v>157</v>
      </c>
      <c r="F565">
        <v>231</v>
      </c>
      <c r="G565">
        <v>156</v>
      </c>
      <c r="H565">
        <v>9</v>
      </c>
      <c r="P565" t="s">
        <v>19726</v>
      </c>
    </row>
    <row r="566" spans="2:16" x14ac:dyDescent="0.25">
      <c r="B566">
        <v>311</v>
      </c>
      <c r="C566" t="s">
        <v>19727</v>
      </c>
      <c r="E566">
        <v>157</v>
      </c>
      <c r="F566">
        <v>231</v>
      </c>
      <c r="G566">
        <v>156</v>
      </c>
      <c r="H566">
        <v>9</v>
      </c>
      <c r="P566" t="s">
        <v>19728</v>
      </c>
    </row>
    <row r="567" spans="2:16" x14ac:dyDescent="0.25">
      <c r="B567">
        <v>451</v>
      </c>
      <c r="C567" t="s">
        <v>19729</v>
      </c>
      <c r="E567">
        <v>157</v>
      </c>
      <c r="F567">
        <v>231</v>
      </c>
      <c r="G567">
        <v>156</v>
      </c>
      <c r="H567">
        <v>9</v>
      </c>
      <c r="P567" t="s">
        <v>19730</v>
      </c>
    </row>
    <row r="568" spans="2:16" x14ac:dyDescent="0.25">
      <c r="B568">
        <v>319</v>
      </c>
      <c r="C568" t="s">
        <v>15737</v>
      </c>
      <c r="E568">
        <v>132</v>
      </c>
      <c r="F568">
        <v>234</v>
      </c>
      <c r="G568">
        <v>129</v>
      </c>
      <c r="H568">
        <v>8</v>
      </c>
      <c r="O568" t="s">
        <v>19731</v>
      </c>
    </row>
    <row r="569" spans="2:16" x14ac:dyDescent="0.25">
      <c r="B569">
        <v>327</v>
      </c>
      <c r="C569" t="s">
        <v>19732</v>
      </c>
      <c r="E569">
        <v>132</v>
      </c>
      <c r="F569">
        <v>234</v>
      </c>
      <c r="G569">
        <v>129</v>
      </c>
      <c r="H569">
        <v>9</v>
      </c>
      <c r="P569" t="s">
        <v>19733</v>
      </c>
    </row>
    <row r="570" spans="2:16" x14ac:dyDescent="0.25">
      <c r="B570">
        <v>334</v>
      </c>
      <c r="C570" t="s">
        <v>19734</v>
      </c>
      <c r="E570">
        <v>132</v>
      </c>
      <c r="F570">
        <v>234</v>
      </c>
      <c r="G570">
        <v>129</v>
      </c>
      <c r="H570">
        <v>9</v>
      </c>
      <c r="P570" t="s">
        <v>19735</v>
      </c>
    </row>
    <row r="571" spans="2:16" x14ac:dyDescent="0.25">
      <c r="B571">
        <v>780</v>
      </c>
      <c r="C571" t="s">
        <v>19736</v>
      </c>
      <c r="E571">
        <v>151</v>
      </c>
      <c r="F571">
        <v>236</v>
      </c>
      <c r="G571">
        <v>147</v>
      </c>
      <c r="H571">
        <v>8</v>
      </c>
      <c r="O571" t="s">
        <v>19737</v>
      </c>
    </row>
    <row r="572" spans="2:16" x14ac:dyDescent="0.25">
      <c r="B572">
        <v>623</v>
      </c>
      <c r="C572" t="s">
        <v>19738</v>
      </c>
      <c r="E572">
        <v>152</v>
      </c>
      <c r="F572">
        <v>214</v>
      </c>
      <c r="G572">
        <v>249</v>
      </c>
      <c r="H572">
        <v>3</v>
      </c>
      <c r="M572" t="s">
        <v>19739</v>
      </c>
    </row>
    <row r="573" spans="2:16" x14ac:dyDescent="0.25">
      <c r="B573">
        <v>477</v>
      </c>
      <c r="C573" t="s">
        <v>19740</v>
      </c>
      <c r="E573">
        <v>152</v>
      </c>
      <c r="F573">
        <v>214</v>
      </c>
      <c r="G573">
        <v>249</v>
      </c>
      <c r="H573">
        <v>5</v>
      </c>
      <c r="N573" t="s">
        <v>19741</v>
      </c>
    </row>
    <row r="574" spans="2:16" x14ac:dyDescent="0.25">
      <c r="B574">
        <v>485</v>
      </c>
      <c r="C574" t="s">
        <v>19742</v>
      </c>
      <c r="E574">
        <v>152</v>
      </c>
      <c r="F574">
        <v>214</v>
      </c>
      <c r="G574">
        <v>249</v>
      </c>
      <c r="H574">
        <v>6</v>
      </c>
      <c r="O574" t="s">
        <v>19743</v>
      </c>
    </row>
    <row r="575" spans="2:16" x14ac:dyDescent="0.25">
      <c r="B575">
        <v>672</v>
      </c>
      <c r="C575" t="s">
        <v>19744</v>
      </c>
      <c r="E575">
        <v>152</v>
      </c>
      <c r="F575">
        <v>214</v>
      </c>
      <c r="G575">
        <v>249</v>
      </c>
      <c r="H575">
        <v>8</v>
      </c>
      <c r="P575" t="s">
        <v>19745</v>
      </c>
    </row>
    <row r="576" spans="2:16" x14ac:dyDescent="0.25">
      <c r="B576">
        <v>493</v>
      </c>
      <c r="C576" t="s">
        <v>19746</v>
      </c>
      <c r="E576">
        <v>128</v>
      </c>
      <c r="F576">
        <v>205</v>
      </c>
      <c r="G576">
        <v>248</v>
      </c>
      <c r="H576">
        <v>6</v>
      </c>
      <c r="O576" t="s">
        <v>19747</v>
      </c>
    </row>
    <row r="577" spans="2:17" x14ac:dyDescent="0.25">
      <c r="B577">
        <v>56</v>
      </c>
      <c r="C577" t="s">
        <v>19748</v>
      </c>
      <c r="E577">
        <v>128</v>
      </c>
      <c r="F577">
        <v>205</v>
      </c>
      <c r="G577">
        <v>248</v>
      </c>
      <c r="H577">
        <v>8</v>
      </c>
      <c r="P577" t="s">
        <v>19749</v>
      </c>
    </row>
    <row r="578" spans="2:17" x14ac:dyDescent="0.25">
      <c r="B578">
        <v>998</v>
      </c>
      <c r="C578" t="s">
        <v>19750</v>
      </c>
      <c r="E578">
        <v>128</v>
      </c>
      <c r="F578">
        <v>205</v>
      </c>
      <c r="G578">
        <v>248</v>
      </c>
      <c r="H578">
        <v>8</v>
      </c>
      <c r="P578" t="s">
        <v>19751</v>
      </c>
    </row>
    <row r="579" spans="2:17" x14ac:dyDescent="0.25">
      <c r="B579">
        <v>754</v>
      </c>
      <c r="C579" t="s">
        <v>19752</v>
      </c>
      <c r="E579">
        <v>128</v>
      </c>
      <c r="F579">
        <v>205</v>
      </c>
      <c r="G579">
        <v>248</v>
      </c>
      <c r="H579">
        <v>8</v>
      </c>
      <c r="P579" t="s">
        <v>19753</v>
      </c>
    </row>
    <row r="580" spans="2:17" x14ac:dyDescent="0.25">
      <c r="B580">
        <v>481</v>
      </c>
      <c r="C580" t="s">
        <v>19754</v>
      </c>
      <c r="E580">
        <v>128</v>
      </c>
      <c r="F580">
        <v>205</v>
      </c>
      <c r="G580">
        <v>248</v>
      </c>
      <c r="H580">
        <v>9</v>
      </c>
      <c r="Q580" t="s">
        <v>19755</v>
      </c>
    </row>
    <row r="581" spans="2:17" x14ac:dyDescent="0.25">
      <c r="B581">
        <v>489</v>
      </c>
      <c r="C581" t="s">
        <v>19756</v>
      </c>
      <c r="E581">
        <v>128</v>
      </c>
      <c r="F581">
        <v>205</v>
      </c>
      <c r="G581">
        <v>248</v>
      </c>
      <c r="H581">
        <v>9</v>
      </c>
      <c r="Q581" t="s">
        <v>19757</v>
      </c>
    </row>
    <row r="582" spans="2:17" x14ac:dyDescent="0.25">
      <c r="B582">
        <v>144</v>
      </c>
      <c r="C582" t="s">
        <v>19758</v>
      </c>
      <c r="E582">
        <v>128</v>
      </c>
      <c r="F582">
        <v>205</v>
      </c>
      <c r="G582">
        <v>248</v>
      </c>
      <c r="H582">
        <v>11</v>
      </c>
      <c r="Q582" t="s">
        <v>19759</v>
      </c>
    </row>
    <row r="583" spans="2:17" x14ac:dyDescent="0.25">
      <c r="B583">
        <v>458</v>
      </c>
      <c r="C583" t="s">
        <v>19760</v>
      </c>
      <c r="E583">
        <v>128</v>
      </c>
      <c r="F583">
        <v>205</v>
      </c>
      <c r="G583">
        <v>248</v>
      </c>
      <c r="H583">
        <v>11</v>
      </c>
      <c r="Q583" t="s">
        <v>19761</v>
      </c>
    </row>
    <row r="584" spans="2:17" x14ac:dyDescent="0.25">
      <c r="B584">
        <v>465</v>
      </c>
      <c r="C584" t="s">
        <v>19762</v>
      </c>
      <c r="E584">
        <v>128</v>
      </c>
      <c r="F584">
        <v>205</v>
      </c>
      <c r="G584">
        <v>248</v>
      </c>
      <c r="H584">
        <v>11</v>
      </c>
      <c r="Q584" t="s">
        <v>19763</v>
      </c>
    </row>
    <row r="585" spans="2:17" x14ac:dyDescent="0.25">
      <c r="B585">
        <v>473</v>
      </c>
      <c r="C585" t="s">
        <v>19764</v>
      </c>
      <c r="E585">
        <v>128</v>
      </c>
      <c r="F585">
        <v>205</v>
      </c>
      <c r="G585">
        <v>248</v>
      </c>
      <c r="H585">
        <v>11</v>
      </c>
      <c r="Q585" t="s">
        <v>19765</v>
      </c>
    </row>
    <row r="586" spans="2:17" x14ac:dyDescent="0.25">
      <c r="B586">
        <v>549009199</v>
      </c>
      <c r="C586" t="s">
        <v>15648</v>
      </c>
      <c r="E586">
        <v>128</v>
      </c>
      <c r="F586">
        <v>205</v>
      </c>
      <c r="G586">
        <v>248</v>
      </c>
      <c r="H586">
        <v>8</v>
      </c>
      <c r="P586" t="s">
        <v>19766</v>
      </c>
    </row>
    <row r="587" spans="2:17" x14ac:dyDescent="0.25">
      <c r="B587">
        <v>275</v>
      </c>
      <c r="C587" t="s">
        <v>19767</v>
      </c>
      <c r="E587">
        <v>144</v>
      </c>
      <c r="F587">
        <v>203</v>
      </c>
      <c r="G587">
        <v>237</v>
      </c>
      <c r="H587">
        <v>6</v>
      </c>
      <c r="O587" t="s">
        <v>19768</v>
      </c>
    </row>
    <row r="588" spans="2:17" x14ac:dyDescent="0.25">
      <c r="B588">
        <v>242</v>
      </c>
      <c r="C588" t="s">
        <v>19769</v>
      </c>
      <c r="E588">
        <v>144</v>
      </c>
      <c r="F588">
        <v>203</v>
      </c>
      <c r="G588">
        <v>237</v>
      </c>
      <c r="H588">
        <v>8</v>
      </c>
      <c r="P588" t="s">
        <v>19770</v>
      </c>
    </row>
    <row r="589" spans="2:17" x14ac:dyDescent="0.25">
      <c r="B589">
        <v>250</v>
      </c>
      <c r="C589" t="s">
        <v>19771</v>
      </c>
      <c r="E589">
        <v>144</v>
      </c>
      <c r="F589">
        <v>203</v>
      </c>
      <c r="G589">
        <v>237</v>
      </c>
      <c r="H589">
        <v>9</v>
      </c>
      <c r="Q589" t="s">
        <v>19772</v>
      </c>
    </row>
    <row r="590" spans="2:17" x14ac:dyDescent="0.25">
      <c r="B590">
        <v>258</v>
      </c>
      <c r="C590" t="s">
        <v>19773</v>
      </c>
      <c r="E590">
        <v>144</v>
      </c>
      <c r="F590">
        <v>203</v>
      </c>
      <c r="G590">
        <v>237</v>
      </c>
      <c r="H590">
        <v>9</v>
      </c>
      <c r="Q590" t="s">
        <v>19774</v>
      </c>
    </row>
    <row r="591" spans="2:17" x14ac:dyDescent="0.25">
      <c r="B591">
        <v>266</v>
      </c>
      <c r="C591" t="s">
        <v>19775</v>
      </c>
      <c r="E591">
        <v>144</v>
      </c>
      <c r="F591">
        <v>203</v>
      </c>
      <c r="G591">
        <v>237</v>
      </c>
      <c r="H591">
        <v>9</v>
      </c>
      <c r="Q591" t="s">
        <v>19776</v>
      </c>
    </row>
    <row r="592" spans="2:17" x14ac:dyDescent="0.25">
      <c r="B592">
        <v>310</v>
      </c>
      <c r="C592" t="s">
        <v>19777</v>
      </c>
      <c r="E592">
        <v>144</v>
      </c>
      <c r="F592">
        <v>203</v>
      </c>
      <c r="G592">
        <v>237</v>
      </c>
      <c r="H592">
        <v>8</v>
      </c>
      <c r="P592" t="s">
        <v>19778</v>
      </c>
    </row>
    <row r="593" spans="2:18" x14ac:dyDescent="0.25">
      <c r="B593">
        <v>333</v>
      </c>
      <c r="C593" t="s">
        <v>19779</v>
      </c>
      <c r="E593">
        <v>144</v>
      </c>
      <c r="F593">
        <v>203</v>
      </c>
      <c r="G593">
        <v>237</v>
      </c>
      <c r="H593">
        <v>8</v>
      </c>
      <c r="P593" t="s">
        <v>19780</v>
      </c>
    </row>
    <row r="594" spans="2:18" x14ac:dyDescent="0.25">
      <c r="B594">
        <v>278</v>
      </c>
      <c r="C594" t="s">
        <v>19781</v>
      </c>
      <c r="E594">
        <v>128</v>
      </c>
      <c r="F594">
        <v>192</v>
      </c>
      <c r="G594">
        <v>226</v>
      </c>
      <c r="H594">
        <v>6</v>
      </c>
      <c r="O594" t="s">
        <v>19782</v>
      </c>
    </row>
    <row r="595" spans="2:18" x14ac:dyDescent="0.25">
      <c r="B595">
        <v>23</v>
      </c>
      <c r="C595" t="s">
        <v>19783</v>
      </c>
      <c r="E595">
        <v>128</v>
      </c>
      <c r="F595">
        <v>192</v>
      </c>
      <c r="G595">
        <v>226</v>
      </c>
      <c r="H595">
        <v>8</v>
      </c>
      <c r="P595" t="s">
        <v>19784</v>
      </c>
    </row>
    <row r="596" spans="2:18" x14ac:dyDescent="0.25">
      <c r="B596">
        <v>292</v>
      </c>
      <c r="C596" t="s">
        <v>19785</v>
      </c>
      <c r="E596">
        <v>128</v>
      </c>
      <c r="F596">
        <v>192</v>
      </c>
      <c r="G596">
        <v>226</v>
      </c>
      <c r="H596">
        <v>8</v>
      </c>
      <c r="P596" t="s">
        <v>19786</v>
      </c>
    </row>
    <row r="597" spans="2:18" x14ac:dyDescent="0.25">
      <c r="B597">
        <v>536</v>
      </c>
      <c r="C597" t="s">
        <v>19787</v>
      </c>
      <c r="E597">
        <v>128</v>
      </c>
      <c r="F597">
        <v>192</v>
      </c>
      <c r="G597">
        <v>226</v>
      </c>
      <c r="H597">
        <v>8</v>
      </c>
      <c r="P597" t="s">
        <v>19788</v>
      </c>
    </row>
    <row r="598" spans="2:18" x14ac:dyDescent="0.25">
      <c r="B598">
        <v>544</v>
      </c>
      <c r="C598" t="s">
        <v>19789</v>
      </c>
      <c r="E598">
        <v>128</v>
      </c>
      <c r="F598">
        <v>192</v>
      </c>
      <c r="G598">
        <v>226</v>
      </c>
      <c r="H598">
        <v>9</v>
      </c>
      <c r="Q598" t="s">
        <v>19790</v>
      </c>
    </row>
    <row r="599" spans="2:18" x14ac:dyDescent="0.25">
      <c r="B599">
        <v>551</v>
      </c>
      <c r="C599" t="s">
        <v>19791</v>
      </c>
      <c r="E599">
        <v>128</v>
      </c>
      <c r="F599">
        <v>192</v>
      </c>
      <c r="G599">
        <v>226</v>
      </c>
      <c r="H599">
        <v>9</v>
      </c>
      <c r="Q599" t="s">
        <v>19792</v>
      </c>
    </row>
    <row r="600" spans="2:18" x14ac:dyDescent="0.25">
      <c r="B600">
        <v>559</v>
      </c>
      <c r="C600" t="s">
        <v>19793</v>
      </c>
      <c r="E600">
        <v>128</v>
      </c>
      <c r="F600">
        <v>192</v>
      </c>
      <c r="G600">
        <v>226</v>
      </c>
      <c r="H600">
        <v>9</v>
      </c>
      <c r="Q600" t="s">
        <v>19794</v>
      </c>
    </row>
    <row r="601" spans="2:18" x14ac:dyDescent="0.25">
      <c r="B601">
        <v>1105</v>
      </c>
      <c r="C601" t="s">
        <v>15664</v>
      </c>
      <c r="E601">
        <v>128</v>
      </c>
      <c r="F601">
        <v>192</v>
      </c>
      <c r="G601">
        <v>226</v>
      </c>
      <c r="H601">
        <v>8</v>
      </c>
      <c r="P601" t="s">
        <v>19795</v>
      </c>
    </row>
    <row r="602" spans="2:18" x14ac:dyDescent="0.25">
      <c r="B602">
        <v>403</v>
      </c>
      <c r="C602" t="s">
        <v>19796</v>
      </c>
      <c r="E602">
        <v>128</v>
      </c>
      <c r="F602">
        <v>192</v>
      </c>
      <c r="G602">
        <v>226</v>
      </c>
      <c r="H602">
        <v>8</v>
      </c>
      <c r="P602" t="s">
        <v>19797</v>
      </c>
    </row>
    <row r="603" spans="2:18" x14ac:dyDescent="0.25">
      <c r="B603">
        <v>411</v>
      </c>
      <c r="C603" t="s">
        <v>19798</v>
      </c>
      <c r="E603">
        <v>128</v>
      </c>
      <c r="F603">
        <v>192</v>
      </c>
      <c r="G603">
        <v>226</v>
      </c>
      <c r="H603">
        <v>9</v>
      </c>
      <c r="Q603" t="s">
        <v>19799</v>
      </c>
    </row>
    <row r="604" spans="2:18" x14ac:dyDescent="0.25">
      <c r="B604">
        <v>418</v>
      </c>
      <c r="C604" t="s">
        <v>19800</v>
      </c>
      <c r="E604">
        <v>128</v>
      </c>
      <c r="F604">
        <v>192</v>
      </c>
      <c r="G604">
        <v>226</v>
      </c>
      <c r="H604">
        <v>9</v>
      </c>
      <c r="Q604" t="s">
        <v>19801</v>
      </c>
    </row>
    <row r="605" spans="2:18" x14ac:dyDescent="0.25">
      <c r="B605">
        <v>426</v>
      </c>
      <c r="C605" t="s">
        <v>19802</v>
      </c>
      <c r="E605">
        <v>128</v>
      </c>
      <c r="F605">
        <v>192</v>
      </c>
      <c r="G605">
        <v>226</v>
      </c>
      <c r="H605">
        <v>9</v>
      </c>
      <c r="Q605" t="s">
        <v>19803</v>
      </c>
    </row>
    <row r="606" spans="2:18" x14ac:dyDescent="0.25">
      <c r="B606">
        <v>472</v>
      </c>
      <c r="C606" t="s">
        <v>19804</v>
      </c>
      <c r="E606">
        <v>128</v>
      </c>
      <c r="F606">
        <v>192</v>
      </c>
      <c r="G606">
        <v>226</v>
      </c>
      <c r="H606">
        <v>11</v>
      </c>
      <c r="R606" t="s">
        <v>19805</v>
      </c>
    </row>
    <row r="607" spans="2:18" x14ac:dyDescent="0.25">
      <c r="B607">
        <v>480</v>
      </c>
      <c r="C607" t="s">
        <v>19806</v>
      </c>
      <c r="E607">
        <v>128</v>
      </c>
      <c r="F607">
        <v>192</v>
      </c>
      <c r="G607">
        <v>226</v>
      </c>
      <c r="H607">
        <v>11</v>
      </c>
      <c r="R607" t="s">
        <v>19807</v>
      </c>
    </row>
    <row r="608" spans="2:18" x14ac:dyDescent="0.25">
      <c r="B608">
        <v>487</v>
      </c>
      <c r="C608" t="s">
        <v>19808</v>
      </c>
      <c r="E608">
        <v>128</v>
      </c>
      <c r="F608">
        <v>192</v>
      </c>
      <c r="G608">
        <v>226</v>
      </c>
      <c r="H608">
        <v>11</v>
      </c>
      <c r="R608" t="s">
        <v>19809</v>
      </c>
    </row>
    <row r="609" spans="2:17" x14ac:dyDescent="0.25">
      <c r="B609">
        <v>435</v>
      </c>
      <c r="C609" t="s">
        <v>19810</v>
      </c>
      <c r="E609">
        <v>128</v>
      </c>
      <c r="F609">
        <v>192</v>
      </c>
      <c r="G609">
        <v>226</v>
      </c>
      <c r="H609">
        <v>9</v>
      </c>
      <c r="Q609" t="s">
        <v>19811</v>
      </c>
    </row>
    <row r="610" spans="2:17" x14ac:dyDescent="0.25">
      <c r="B610">
        <v>803</v>
      </c>
      <c r="C610" t="s">
        <v>19812</v>
      </c>
      <c r="E610">
        <v>133</v>
      </c>
      <c r="F610">
        <v>153</v>
      </c>
      <c r="G610">
        <v>204</v>
      </c>
      <c r="H610">
        <v>5</v>
      </c>
      <c r="N610" t="s">
        <v>19813</v>
      </c>
    </row>
    <row r="611" spans="2:17" x14ac:dyDescent="0.25">
      <c r="B611">
        <v>818</v>
      </c>
      <c r="C611" t="s">
        <v>19814</v>
      </c>
      <c r="E611">
        <v>133</v>
      </c>
      <c r="F611">
        <v>153</v>
      </c>
      <c r="G611">
        <v>204</v>
      </c>
      <c r="H611">
        <v>6</v>
      </c>
      <c r="O611" t="s">
        <v>19815</v>
      </c>
    </row>
    <row r="612" spans="2:17" x14ac:dyDescent="0.25">
      <c r="B612">
        <v>1022</v>
      </c>
      <c r="C612" t="s">
        <v>19816</v>
      </c>
      <c r="E612">
        <v>133</v>
      </c>
      <c r="F612">
        <v>153</v>
      </c>
      <c r="G612">
        <v>204</v>
      </c>
      <c r="H612">
        <v>8</v>
      </c>
      <c r="P612" t="s">
        <v>19817</v>
      </c>
    </row>
    <row r="613" spans="2:17" x14ac:dyDescent="0.25">
      <c r="B613">
        <v>1031</v>
      </c>
      <c r="C613" t="s">
        <v>19818</v>
      </c>
      <c r="E613">
        <v>133</v>
      </c>
      <c r="F613">
        <v>153</v>
      </c>
      <c r="G613">
        <v>204</v>
      </c>
      <c r="H613">
        <v>8</v>
      </c>
      <c r="P613" t="s">
        <v>19819</v>
      </c>
    </row>
    <row r="614" spans="2:17" x14ac:dyDescent="0.25">
      <c r="B614">
        <v>835</v>
      </c>
      <c r="C614" t="s">
        <v>19820</v>
      </c>
      <c r="E614">
        <v>162</v>
      </c>
      <c r="F614">
        <v>177</v>
      </c>
      <c r="G614">
        <v>216</v>
      </c>
      <c r="H614">
        <v>6</v>
      </c>
      <c r="O614" t="s">
        <v>19821</v>
      </c>
    </row>
    <row r="615" spans="2:17" x14ac:dyDescent="0.25">
      <c r="B615">
        <v>342</v>
      </c>
      <c r="C615" t="s">
        <v>19822</v>
      </c>
      <c r="E615">
        <v>162</v>
      </c>
      <c r="F615">
        <v>177</v>
      </c>
      <c r="G615">
        <v>216</v>
      </c>
      <c r="H615">
        <v>8</v>
      </c>
      <c r="P615" t="s">
        <v>19823</v>
      </c>
    </row>
    <row r="616" spans="2:17" x14ac:dyDescent="0.25">
      <c r="B616">
        <v>298</v>
      </c>
      <c r="C616" t="s">
        <v>19824</v>
      </c>
      <c r="E616">
        <v>162</v>
      </c>
      <c r="F616">
        <v>177</v>
      </c>
      <c r="G616">
        <v>216</v>
      </c>
      <c r="H616">
        <v>8</v>
      </c>
      <c r="P616" t="s">
        <v>19825</v>
      </c>
    </row>
    <row r="617" spans="2:17" x14ac:dyDescent="0.25">
      <c r="B617">
        <v>826</v>
      </c>
      <c r="C617" t="s">
        <v>19826</v>
      </c>
      <c r="E617">
        <v>150</v>
      </c>
      <c r="F617">
        <v>167</v>
      </c>
      <c r="G617">
        <v>211</v>
      </c>
      <c r="H617">
        <v>6</v>
      </c>
      <c r="O617" t="s">
        <v>19827</v>
      </c>
    </row>
    <row r="618" spans="2:17" x14ac:dyDescent="0.25">
      <c r="B618">
        <v>904</v>
      </c>
      <c r="C618" t="s">
        <v>19828</v>
      </c>
      <c r="E618">
        <v>150</v>
      </c>
      <c r="F618">
        <v>167</v>
      </c>
      <c r="G618">
        <v>211</v>
      </c>
      <c r="H618">
        <v>8</v>
      </c>
      <c r="P618" t="s">
        <v>19829</v>
      </c>
    </row>
    <row r="619" spans="2:17" x14ac:dyDescent="0.25">
      <c r="B619">
        <v>564</v>
      </c>
      <c r="C619" t="s">
        <v>15547</v>
      </c>
      <c r="E619">
        <v>150</v>
      </c>
      <c r="F619">
        <v>167</v>
      </c>
      <c r="G619">
        <v>211</v>
      </c>
      <c r="H619">
        <v>9</v>
      </c>
      <c r="Q619" t="s">
        <v>19830</v>
      </c>
    </row>
    <row r="620" spans="2:17" x14ac:dyDescent="0.25">
      <c r="B620">
        <v>596</v>
      </c>
      <c r="C620" t="s">
        <v>19831</v>
      </c>
      <c r="E620">
        <v>150</v>
      </c>
      <c r="F620">
        <v>167</v>
      </c>
      <c r="G620">
        <v>211</v>
      </c>
      <c r="H620">
        <v>9</v>
      </c>
      <c r="Q620" t="s">
        <v>19832</v>
      </c>
    </row>
    <row r="621" spans="2:17" x14ac:dyDescent="0.25">
      <c r="B621">
        <v>581</v>
      </c>
      <c r="C621" t="s">
        <v>19833</v>
      </c>
      <c r="E621">
        <v>150</v>
      </c>
      <c r="F621">
        <v>167</v>
      </c>
      <c r="G621">
        <v>211</v>
      </c>
      <c r="H621">
        <v>8</v>
      </c>
      <c r="P621" t="s">
        <v>19834</v>
      </c>
    </row>
    <row r="622" spans="2:17" x14ac:dyDescent="0.25">
      <c r="B622">
        <v>809</v>
      </c>
      <c r="C622" t="s">
        <v>19835</v>
      </c>
      <c r="E622">
        <v>179</v>
      </c>
      <c r="F622">
        <v>192</v>
      </c>
      <c r="G622">
        <v>223</v>
      </c>
      <c r="H622">
        <v>6</v>
      </c>
      <c r="O622" t="s">
        <v>19836</v>
      </c>
    </row>
    <row r="623" spans="2:17" x14ac:dyDescent="0.25">
      <c r="B623">
        <v>351</v>
      </c>
      <c r="C623" t="s">
        <v>19837</v>
      </c>
      <c r="E623">
        <v>179</v>
      </c>
      <c r="F623">
        <v>192</v>
      </c>
      <c r="G623">
        <v>223</v>
      </c>
      <c r="H623">
        <v>8</v>
      </c>
      <c r="P623" t="s">
        <v>19838</v>
      </c>
    </row>
    <row r="624" spans="2:17" x14ac:dyDescent="0.25">
      <c r="B624">
        <v>359</v>
      </c>
      <c r="C624" t="s">
        <v>19839</v>
      </c>
      <c r="E624">
        <v>179</v>
      </c>
      <c r="F624">
        <v>192</v>
      </c>
      <c r="G624">
        <v>223</v>
      </c>
      <c r="H624">
        <v>9</v>
      </c>
      <c r="Q624" t="s">
        <v>19840</v>
      </c>
    </row>
    <row r="625" spans="2:18" x14ac:dyDescent="0.25">
      <c r="B625">
        <v>537</v>
      </c>
      <c r="C625" t="s">
        <v>19841</v>
      </c>
      <c r="E625">
        <v>179</v>
      </c>
      <c r="F625">
        <v>192</v>
      </c>
      <c r="G625">
        <v>223</v>
      </c>
      <c r="H625">
        <v>10</v>
      </c>
      <c r="R625" t="s">
        <v>19842</v>
      </c>
    </row>
    <row r="626" spans="2:18" x14ac:dyDescent="0.25">
      <c r="B626">
        <v>498</v>
      </c>
      <c r="C626" t="s">
        <v>19843</v>
      </c>
      <c r="E626">
        <v>179</v>
      </c>
      <c r="F626">
        <v>192</v>
      </c>
      <c r="G626">
        <v>223</v>
      </c>
      <c r="H626">
        <v>10</v>
      </c>
      <c r="R626" t="s">
        <v>19844</v>
      </c>
    </row>
    <row r="627" spans="2:18" x14ac:dyDescent="0.25">
      <c r="B627">
        <v>505</v>
      </c>
      <c r="C627" t="s">
        <v>19845</v>
      </c>
      <c r="E627">
        <v>179</v>
      </c>
      <c r="F627">
        <v>192</v>
      </c>
      <c r="G627">
        <v>223</v>
      </c>
      <c r="H627">
        <v>10</v>
      </c>
      <c r="R627" t="s">
        <v>19846</v>
      </c>
    </row>
    <row r="628" spans="2:18" x14ac:dyDescent="0.25">
      <c r="B628">
        <v>513</v>
      </c>
      <c r="C628" t="s">
        <v>19847</v>
      </c>
      <c r="E628">
        <v>179</v>
      </c>
      <c r="F628">
        <v>192</v>
      </c>
      <c r="G628">
        <v>223</v>
      </c>
      <c r="H628">
        <v>10</v>
      </c>
      <c r="R628" t="s">
        <v>19848</v>
      </c>
    </row>
    <row r="629" spans="2:18" x14ac:dyDescent="0.25">
      <c r="B629">
        <v>546</v>
      </c>
      <c r="C629" t="s">
        <v>19849</v>
      </c>
      <c r="E629">
        <v>179</v>
      </c>
      <c r="F629">
        <v>192</v>
      </c>
      <c r="G629">
        <v>223</v>
      </c>
      <c r="H629">
        <v>10</v>
      </c>
      <c r="R629" t="s">
        <v>19850</v>
      </c>
    </row>
    <row r="630" spans="2:18" x14ac:dyDescent="0.25">
      <c r="B630">
        <v>521</v>
      </c>
      <c r="C630" t="s">
        <v>19851</v>
      </c>
      <c r="E630">
        <v>179</v>
      </c>
      <c r="F630">
        <v>192</v>
      </c>
      <c r="G630">
        <v>223</v>
      </c>
      <c r="H630">
        <v>10</v>
      </c>
      <c r="R630" t="s">
        <v>19852</v>
      </c>
    </row>
    <row r="631" spans="2:18" x14ac:dyDescent="0.25">
      <c r="B631">
        <v>554</v>
      </c>
      <c r="C631" t="s">
        <v>19853</v>
      </c>
      <c r="E631">
        <v>179</v>
      </c>
      <c r="F631">
        <v>192</v>
      </c>
      <c r="G631">
        <v>223</v>
      </c>
      <c r="H631">
        <v>10</v>
      </c>
      <c r="R631" t="s">
        <v>19854</v>
      </c>
    </row>
    <row r="632" spans="2:18" x14ac:dyDescent="0.25">
      <c r="B632">
        <v>562</v>
      </c>
      <c r="C632" t="s">
        <v>19855</v>
      </c>
      <c r="E632">
        <v>179</v>
      </c>
      <c r="F632">
        <v>192</v>
      </c>
      <c r="G632">
        <v>223</v>
      </c>
      <c r="H632">
        <v>10</v>
      </c>
      <c r="R632" t="s">
        <v>19856</v>
      </c>
    </row>
    <row r="633" spans="2:18" x14ac:dyDescent="0.25">
      <c r="B633">
        <v>529</v>
      </c>
      <c r="C633" t="s">
        <v>19857</v>
      </c>
      <c r="E633">
        <v>179</v>
      </c>
      <c r="F633">
        <v>192</v>
      </c>
      <c r="G633">
        <v>223</v>
      </c>
      <c r="H633">
        <v>10</v>
      </c>
      <c r="R633" t="s">
        <v>19858</v>
      </c>
    </row>
    <row r="634" spans="2:18" x14ac:dyDescent="0.25">
      <c r="B634">
        <v>367</v>
      </c>
      <c r="C634" t="s">
        <v>19859</v>
      </c>
      <c r="E634">
        <v>179</v>
      </c>
      <c r="F634">
        <v>192</v>
      </c>
      <c r="G634">
        <v>223</v>
      </c>
      <c r="H634">
        <v>9</v>
      </c>
      <c r="Q634" t="s">
        <v>19860</v>
      </c>
    </row>
    <row r="635" spans="2:18" x14ac:dyDescent="0.25">
      <c r="B635">
        <v>569</v>
      </c>
      <c r="C635" t="s">
        <v>19861</v>
      </c>
      <c r="E635">
        <v>179</v>
      </c>
      <c r="F635">
        <v>192</v>
      </c>
      <c r="G635">
        <v>223</v>
      </c>
      <c r="H635">
        <v>10</v>
      </c>
      <c r="R635" t="s">
        <v>19862</v>
      </c>
    </row>
    <row r="636" spans="2:18" x14ac:dyDescent="0.25">
      <c r="B636">
        <v>578</v>
      </c>
      <c r="C636" t="s">
        <v>19863</v>
      </c>
      <c r="E636">
        <v>179</v>
      </c>
      <c r="F636">
        <v>192</v>
      </c>
      <c r="G636">
        <v>223</v>
      </c>
      <c r="H636">
        <v>10</v>
      </c>
      <c r="R636" t="s">
        <v>19864</v>
      </c>
    </row>
    <row r="637" spans="2:18" x14ac:dyDescent="0.25">
      <c r="B637">
        <v>585</v>
      </c>
      <c r="C637" t="s">
        <v>19865</v>
      </c>
      <c r="E637">
        <v>179</v>
      </c>
      <c r="F637">
        <v>192</v>
      </c>
      <c r="G637">
        <v>223</v>
      </c>
      <c r="H637">
        <v>10</v>
      </c>
      <c r="R637" t="s">
        <v>19866</v>
      </c>
    </row>
    <row r="638" spans="2:18" x14ac:dyDescent="0.25">
      <c r="B638">
        <v>594</v>
      </c>
      <c r="C638" t="s">
        <v>19867</v>
      </c>
      <c r="E638">
        <v>179</v>
      </c>
      <c r="F638">
        <v>192</v>
      </c>
      <c r="G638">
        <v>223</v>
      </c>
      <c r="H638">
        <v>10</v>
      </c>
      <c r="R638" t="s">
        <v>19868</v>
      </c>
    </row>
    <row r="639" spans="2:18" x14ac:dyDescent="0.25">
      <c r="B639">
        <v>602</v>
      </c>
      <c r="C639" t="s">
        <v>19869</v>
      </c>
      <c r="E639">
        <v>179</v>
      </c>
      <c r="F639">
        <v>192</v>
      </c>
      <c r="G639">
        <v>223</v>
      </c>
      <c r="H639">
        <v>10</v>
      </c>
      <c r="R639" t="s">
        <v>19870</v>
      </c>
    </row>
    <row r="640" spans="2:18" x14ac:dyDescent="0.25">
      <c r="B640">
        <v>287</v>
      </c>
      <c r="C640" t="s">
        <v>15577</v>
      </c>
      <c r="E640">
        <v>179</v>
      </c>
      <c r="F640">
        <v>192</v>
      </c>
      <c r="G640">
        <v>223</v>
      </c>
      <c r="H640">
        <v>8</v>
      </c>
      <c r="P640" t="s">
        <v>19871</v>
      </c>
    </row>
    <row r="641" spans="2:18" x14ac:dyDescent="0.25">
      <c r="B641">
        <v>343</v>
      </c>
      <c r="C641" t="s">
        <v>19872</v>
      </c>
      <c r="E641">
        <v>255</v>
      </c>
      <c r="F641">
        <v>112</v>
      </c>
      <c r="G641">
        <v>128</v>
      </c>
      <c r="H641">
        <v>2</v>
      </c>
      <c r="L641" t="s">
        <v>19873</v>
      </c>
    </row>
    <row r="642" spans="2:18" x14ac:dyDescent="0.25">
      <c r="B642">
        <v>1129</v>
      </c>
      <c r="C642" t="s">
        <v>18331</v>
      </c>
      <c r="E642">
        <v>255</v>
      </c>
      <c r="F642">
        <v>112</v>
      </c>
      <c r="G642">
        <v>128</v>
      </c>
      <c r="H642">
        <v>3</v>
      </c>
      <c r="M642" t="s">
        <v>19874</v>
      </c>
    </row>
    <row r="643" spans="2:18" x14ac:dyDescent="0.25">
      <c r="B643">
        <v>549</v>
      </c>
      <c r="C643" t="s">
        <v>19875</v>
      </c>
      <c r="E643">
        <v>255</v>
      </c>
      <c r="F643">
        <v>112</v>
      </c>
      <c r="G643">
        <v>128</v>
      </c>
      <c r="H643">
        <v>5</v>
      </c>
      <c r="N643" t="s">
        <v>19876</v>
      </c>
    </row>
    <row r="644" spans="2:18" x14ac:dyDescent="0.25">
      <c r="B644">
        <v>864</v>
      </c>
      <c r="C644" t="s">
        <v>19877</v>
      </c>
      <c r="E644">
        <v>255</v>
      </c>
      <c r="F644">
        <v>128</v>
      </c>
      <c r="G644">
        <v>132</v>
      </c>
      <c r="H644">
        <v>6</v>
      </c>
      <c r="O644" t="s">
        <v>19878</v>
      </c>
    </row>
    <row r="645" spans="2:18" x14ac:dyDescent="0.25">
      <c r="B645">
        <v>637</v>
      </c>
      <c r="C645" t="s">
        <v>19879</v>
      </c>
      <c r="E645">
        <v>255</v>
      </c>
      <c r="F645">
        <v>128</v>
      </c>
      <c r="G645">
        <v>132</v>
      </c>
      <c r="H645">
        <v>7</v>
      </c>
      <c r="P645" t="s">
        <v>19880</v>
      </c>
    </row>
    <row r="646" spans="2:18" x14ac:dyDescent="0.25">
      <c r="B646">
        <v>629</v>
      </c>
      <c r="C646" t="s">
        <v>19881</v>
      </c>
      <c r="E646">
        <v>255</v>
      </c>
      <c r="F646">
        <v>128</v>
      </c>
      <c r="G646">
        <v>132</v>
      </c>
      <c r="H646">
        <v>8</v>
      </c>
      <c r="Q646" t="s">
        <v>19882</v>
      </c>
    </row>
    <row r="647" spans="2:18" x14ac:dyDescent="0.25">
      <c r="B647">
        <v>685</v>
      </c>
      <c r="C647" t="s">
        <v>16439</v>
      </c>
      <c r="E647">
        <v>255</v>
      </c>
      <c r="F647">
        <v>128</v>
      </c>
      <c r="G647">
        <v>132</v>
      </c>
      <c r="H647">
        <v>8</v>
      </c>
      <c r="Q647" t="s">
        <v>19883</v>
      </c>
    </row>
    <row r="648" spans="2:18" x14ac:dyDescent="0.25">
      <c r="B648">
        <v>709</v>
      </c>
      <c r="C648" t="s">
        <v>19884</v>
      </c>
      <c r="E648">
        <v>255</v>
      </c>
      <c r="F648">
        <v>128</v>
      </c>
      <c r="G648">
        <v>132</v>
      </c>
      <c r="H648">
        <v>8</v>
      </c>
      <c r="Q648" t="s">
        <v>19885</v>
      </c>
    </row>
    <row r="649" spans="2:18" x14ac:dyDescent="0.25">
      <c r="B649">
        <v>718</v>
      </c>
      <c r="C649" t="s">
        <v>16447</v>
      </c>
      <c r="E649">
        <v>255</v>
      </c>
      <c r="F649">
        <v>128</v>
      </c>
      <c r="G649">
        <v>132</v>
      </c>
      <c r="H649">
        <v>9</v>
      </c>
      <c r="R649" t="s">
        <v>19886</v>
      </c>
    </row>
    <row r="650" spans="2:18" x14ac:dyDescent="0.25">
      <c r="B650">
        <v>725</v>
      </c>
      <c r="C650" t="s">
        <v>19887</v>
      </c>
      <c r="E650">
        <v>255</v>
      </c>
      <c r="F650">
        <v>128</v>
      </c>
      <c r="G650">
        <v>132</v>
      </c>
      <c r="H650">
        <v>9</v>
      </c>
      <c r="R650" t="s">
        <v>19888</v>
      </c>
    </row>
    <row r="651" spans="2:18" x14ac:dyDescent="0.25">
      <c r="B651">
        <v>733</v>
      </c>
      <c r="C651" t="s">
        <v>16446</v>
      </c>
      <c r="E651">
        <v>255</v>
      </c>
      <c r="F651">
        <v>128</v>
      </c>
      <c r="G651">
        <v>132</v>
      </c>
      <c r="H651">
        <v>9</v>
      </c>
      <c r="R651" t="s">
        <v>19889</v>
      </c>
    </row>
    <row r="652" spans="2:18" x14ac:dyDescent="0.25">
      <c r="B652">
        <v>741</v>
      </c>
      <c r="C652" t="s">
        <v>19890</v>
      </c>
      <c r="E652">
        <v>255</v>
      </c>
      <c r="F652">
        <v>128</v>
      </c>
      <c r="G652">
        <v>132</v>
      </c>
      <c r="H652">
        <v>9</v>
      </c>
      <c r="R652" t="s">
        <v>19891</v>
      </c>
    </row>
    <row r="653" spans="2:18" x14ac:dyDescent="0.25">
      <c r="B653">
        <v>563807435</v>
      </c>
      <c r="C653" t="s">
        <v>16480</v>
      </c>
      <c r="E653">
        <v>255</v>
      </c>
      <c r="F653">
        <v>128</v>
      </c>
      <c r="G653">
        <v>132</v>
      </c>
      <c r="H653">
        <v>8</v>
      </c>
      <c r="Q653" t="s">
        <v>19892</v>
      </c>
    </row>
    <row r="654" spans="2:18" x14ac:dyDescent="0.25">
      <c r="B654">
        <v>406</v>
      </c>
      <c r="C654" t="s">
        <v>19893</v>
      </c>
      <c r="E654">
        <v>255</v>
      </c>
      <c r="F654">
        <v>128</v>
      </c>
      <c r="G654">
        <v>132</v>
      </c>
      <c r="H654">
        <v>8</v>
      </c>
      <c r="P654" t="s">
        <v>19894</v>
      </c>
    </row>
    <row r="655" spans="2:18" x14ac:dyDescent="0.25">
      <c r="B655">
        <v>414</v>
      </c>
      <c r="C655" t="s">
        <v>19895</v>
      </c>
      <c r="E655">
        <v>255</v>
      </c>
      <c r="F655">
        <v>128</v>
      </c>
      <c r="G655">
        <v>132</v>
      </c>
      <c r="H655">
        <v>9</v>
      </c>
      <c r="Q655" t="s">
        <v>19896</v>
      </c>
    </row>
    <row r="656" spans="2:18" x14ac:dyDescent="0.25">
      <c r="B656">
        <v>422</v>
      </c>
      <c r="C656" t="s">
        <v>19897</v>
      </c>
      <c r="E656">
        <v>255</v>
      </c>
      <c r="F656">
        <v>128</v>
      </c>
      <c r="G656">
        <v>132</v>
      </c>
      <c r="H656">
        <v>9</v>
      </c>
      <c r="Q656" t="s">
        <v>19898</v>
      </c>
    </row>
    <row r="657" spans="2:18" x14ac:dyDescent="0.25">
      <c r="B657">
        <v>609</v>
      </c>
      <c r="C657" t="s">
        <v>19899</v>
      </c>
      <c r="E657">
        <v>255</v>
      </c>
      <c r="F657">
        <v>128</v>
      </c>
      <c r="G657">
        <v>132</v>
      </c>
      <c r="H657">
        <v>8</v>
      </c>
      <c r="P657" t="s">
        <v>19900</v>
      </c>
    </row>
    <row r="658" spans="2:18" x14ac:dyDescent="0.25">
      <c r="B658">
        <v>1044</v>
      </c>
      <c r="C658" t="s">
        <v>16282</v>
      </c>
      <c r="E658">
        <v>255</v>
      </c>
      <c r="F658">
        <v>128</v>
      </c>
      <c r="G658">
        <v>132</v>
      </c>
      <c r="H658">
        <v>8</v>
      </c>
      <c r="P658" t="s">
        <v>19901</v>
      </c>
    </row>
    <row r="659" spans="2:18" x14ac:dyDescent="0.25">
      <c r="B659">
        <v>1008</v>
      </c>
      <c r="C659" t="s">
        <v>19902</v>
      </c>
      <c r="E659">
        <v>255</v>
      </c>
      <c r="F659">
        <v>128</v>
      </c>
      <c r="G659">
        <v>132</v>
      </c>
      <c r="H659">
        <v>7</v>
      </c>
      <c r="P659" t="s">
        <v>19903</v>
      </c>
    </row>
    <row r="660" spans="2:18" x14ac:dyDescent="0.25">
      <c r="B660">
        <v>475</v>
      </c>
      <c r="C660" t="s">
        <v>16505</v>
      </c>
      <c r="E660">
        <v>255</v>
      </c>
      <c r="F660">
        <v>128</v>
      </c>
      <c r="G660">
        <v>132</v>
      </c>
      <c r="H660">
        <v>8</v>
      </c>
      <c r="Q660" t="s">
        <v>19904</v>
      </c>
    </row>
    <row r="661" spans="2:18" x14ac:dyDescent="0.25">
      <c r="B661">
        <v>1072</v>
      </c>
      <c r="C661" t="s">
        <v>19905</v>
      </c>
      <c r="E661">
        <v>255</v>
      </c>
      <c r="F661">
        <v>128</v>
      </c>
      <c r="G661">
        <v>132</v>
      </c>
      <c r="H661">
        <v>9</v>
      </c>
      <c r="R661" t="s">
        <v>19906</v>
      </c>
    </row>
    <row r="662" spans="2:18" x14ac:dyDescent="0.25">
      <c r="B662">
        <v>1079</v>
      </c>
      <c r="C662" t="s">
        <v>19907</v>
      </c>
      <c r="E662">
        <v>255</v>
      </c>
      <c r="F662">
        <v>128</v>
      </c>
      <c r="G662">
        <v>132</v>
      </c>
      <c r="H662">
        <v>9</v>
      </c>
      <c r="R662" t="s">
        <v>19908</v>
      </c>
    </row>
    <row r="663" spans="2:18" x14ac:dyDescent="0.25">
      <c r="B663">
        <v>1088</v>
      </c>
      <c r="C663" t="s">
        <v>19909</v>
      </c>
      <c r="E663">
        <v>255</v>
      </c>
      <c r="F663">
        <v>128</v>
      </c>
      <c r="G663">
        <v>132</v>
      </c>
      <c r="H663">
        <v>9</v>
      </c>
      <c r="R663" t="s">
        <v>19910</v>
      </c>
    </row>
    <row r="664" spans="2:18" x14ac:dyDescent="0.25">
      <c r="B664">
        <v>170</v>
      </c>
      <c r="C664" t="s">
        <v>19911</v>
      </c>
      <c r="E664">
        <v>255</v>
      </c>
      <c r="F664">
        <v>128</v>
      </c>
      <c r="G664">
        <v>132</v>
      </c>
      <c r="H664">
        <v>8</v>
      </c>
      <c r="Q664" t="s">
        <v>19912</v>
      </c>
    </row>
    <row r="665" spans="2:18" x14ac:dyDescent="0.25">
      <c r="B665">
        <v>496345664</v>
      </c>
      <c r="C665" t="s">
        <v>19913</v>
      </c>
      <c r="E665">
        <v>255</v>
      </c>
      <c r="F665">
        <v>128</v>
      </c>
      <c r="G665">
        <v>132</v>
      </c>
      <c r="H665">
        <v>9</v>
      </c>
      <c r="R665" t="s">
        <v>19914</v>
      </c>
    </row>
    <row r="666" spans="2:18" x14ac:dyDescent="0.25">
      <c r="B666">
        <v>496345668</v>
      </c>
      <c r="C666" t="s">
        <v>19915</v>
      </c>
      <c r="E666">
        <v>255</v>
      </c>
      <c r="F666">
        <v>128</v>
      </c>
      <c r="G666">
        <v>132</v>
      </c>
      <c r="H666">
        <v>9</v>
      </c>
      <c r="R666" t="s">
        <v>19916</v>
      </c>
    </row>
    <row r="667" spans="2:18" x14ac:dyDescent="0.25">
      <c r="B667">
        <v>496345672</v>
      </c>
      <c r="C667" t="s">
        <v>19917</v>
      </c>
      <c r="E667">
        <v>255</v>
      </c>
      <c r="F667">
        <v>128</v>
      </c>
      <c r="G667">
        <v>132</v>
      </c>
      <c r="H667">
        <v>9</v>
      </c>
      <c r="R667" t="s">
        <v>19918</v>
      </c>
    </row>
    <row r="668" spans="2:18" x14ac:dyDescent="0.25">
      <c r="B668">
        <v>856</v>
      </c>
      <c r="C668" t="s">
        <v>19919</v>
      </c>
      <c r="E668">
        <v>255</v>
      </c>
      <c r="F668">
        <v>144</v>
      </c>
      <c r="G668">
        <v>159</v>
      </c>
      <c r="H668">
        <v>6</v>
      </c>
      <c r="O668" t="s">
        <v>19920</v>
      </c>
    </row>
    <row r="669" spans="2:18" x14ac:dyDescent="0.25">
      <c r="B669">
        <v>138</v>
      </c>
      <c r="C669" t="s">
        <v>19921</v>
      </c>
      <c r="E669">
        <v>255</v>
      </c>
      <c r="F669">
        <v>144</v>
      </c>
      <c r="G669">
        <v>159</v>
      </c>
      <c r="H669">
        <v>7</v>
      </c>
      <c r="P669" t="s">
        <v>19922</v>
      </c>
    </row>
    <row r="670" spans="2:18" x14ac:dyDescent="0.25">
      <c r="B670">
        <v>218</v>
      </c>
      <c r="C670" t="s">
        <v>16456</v>
      </c>
      <c r="E670">
        <v>255</v>
      </c>
      <c r="F670">
        <v>144</v>
      </c>
      <c r="G670">
        <v>159</v>
      </c>
      <c r="H670">
        <v>8</v>
      </c>
      <c r="Q670" t="s">
        <v>19923</v>
      </c>
    </row>
    <row r="671" spans="2:18" x14ac:dyDescent="0.25">
      <c r="B671">
        <v>1020</v>
      </c>
      <c r="C671" t="s">
        <v>15212</v>
      </c>
      <c r="E671">
        <v>255</v>
      </c>
      <c r="F671">
        <v>144</v>
      </c>
      <c r="G671">
        <v>159</v>
      </c>
      <c r="H671">
        <v>8</v>
      </c>
      <c r="Q671" t="s">
        <v>19924</v>
      </c>
    </row>
    <row r="672" spans="2:18" x14ac:dyDescent="0.25">
      <c r="B672">
        <v>1029</v>
      </c>
      <c r="C672" t="s">
        <v>19925</v>
      </c>
      <c r="E672">
        <v>255</v>
      </c>
      <c r="F672">
        <v>144</v>
      </c>
      <c r="G672">
        <v>159</v>
      </c>
      <c r="H672">
        <v>8</v>
      </c>
      <c r="Q672" t="s">
        <v>19926</v>
      </c>
    </row>
    <row r="673" spans="2:18" x14ac:dyDescent="0.25">
      <c r="B673">
        <v>325</v>
      </c>
      <c r="C673" t="s">
        <v>19927</v>
      </c>
      <c r="E673">
        <v>255</v>
      </c>
      <c r="F673">
        <v>144</v>
      </c>
      <c r="G673">
        <v>159</v>
      </c>
      <c r="H673">
        <v>8</v>
      </c>
      <c r="Q673" t="s">
        <v>19928</v>
      </c>
    </row>
    <row r="674" spans="2:18" x14ac:dyDescent="0.25">
      <c r="B674">
        <v>560581551</v>
      </c>
      <c r="C674" t="s">
        <v>16474</v>
      </c>
      <c r="E674">
        <v>255</v>
      </c>
      <c r="F674">
        <v>144</v>
      </c>
      <c r="G674">
        <v>159</v>
      </c>
      <c r="H674">
        <v>8</v>
      </c>
      <c r="Q674" t="s">
        <v>19929</v>
      </c>
    </row>
    <row r="675" spans="2:18" x14ac:dyDescent="0.25">
      <c r="B675">
        <v>560581555</v>
      </c>
      <c r="C675" t="s">
        <v>19930</v>
      </c>
      <c r="E675">
        <v>255</v>
      </c>
      <c r="F675">
        <v>144</v>
      </c>
      <c r="G675">
        <v>159</v>
      </c>
      <c r="H675">
        <v>8</v>
      </c>
      <c r="Q675" t="s">
        <v>19931</v>
      </c>
    </row>
    <row r="676" spans="2:18" x14ac:dyDescent="0.25">
      <c r="B676">
        <v>239</v>
      </c>
      <c r="C676" t="s">
        <v>19932</v>
      </c>
      <c r="E676">
        <v>255</v>
      </c>
      <c r="F676">
        <v>144</v>
      </c>
      <c r="G676">
        <v>159</v>
      </c>
      <c r="H676">
        <v>7</v>
      </c>
      <c r="P676" t="s">
        <v>19933</v>
      </c>
    </row>
    <row r="677" spans="2:18" x14ac:dyDescent="0.25">
      <c r="B677">
        <v>255</v>
      </c>
      <c r="C677" t="s">
        <v>16437</v>
      </c>
      <c r="E677">
        <v>255</v>
      </c>
      <c r="F677">
        <v>144</v>
      </c>
      <c r="G677">
        <v>159</v>
      </c>
      <c r="H677">
        <v>8</v>
      </c>
      <c r="Q677" t="s">
        <v>19934</v>
      </c>
    </row>
    <row r="678" spans="2:18" x14ac:dyDescent="0.25">
      <c r="B678">
        <v>127</v>
      </c>
      <c r="C678" t="s">
        <v>16438</v>
      </c>
      <c r="E678">
        <v>255</v>
      </c>
      <c r="F678">
        <v>144</v>
      </c>
      <c r="G678">
        <v>159</v>
      </c>
      <c r="H678">
        <v>8</v>
      </c>
      <c r="Q678" t="s">
        <v>19935</v>
      </c>
    </row>
    <row r="679" spans="2:18" x14ac:dyDescent="0.25">
      <c r="B679">
        <v>1096</v>
      </c>
      <c r="C679" t="s">
        <v>19936</v>
      </c>
      <c r="E679">
        <v>255</v>
      </c>
      <c r="F679">
        <v>144</v>
      </c>
      <c r="G679">
        <v>159</v>
      </c>
      <c r="H679">
        <v>9</v>
      </c>
      <c r="R679" t="s">
        <v>19937</v>
      </c>
    </row>
    <row r="680" spans="2:18" x14ac:dyDescent="0.25">
      <c r="B680">
        <v>1104</v>
      </c>
      <c r="C680" t="s">
        <v>19938</v>
      </c>
      <c r="E680">
        <v>255</v>
      </c>
      <c r="F680">
        <v>144</v>
      </c>
      <c r="G680">
        <v>159</v>
      </c>
      <c r="H680">
        <v>9</v>
      </c>
      <c r="R680" t="s">
        <v>19939</v>
      </c>
    </row>
    <row r="681" spans="2:18" x14ac:dyDescent="0.25">
      <c r="B681">
        <v>64</v>
      </c>
      <c r="C681" t="s">
        <v>16436</v>
      </c>
      <c r="E681">
        <v>255</v>
      </c>
      <c r="F681">
        <v>144</v>
      </c>
      <c r="G681">
        <v>159</v>
      </c>
      <c r="H681">
        <v>8</v>
      </c>
      <c r="Q681" t="s">
        <v>19940</v>
      </c>
    </row>
    <row r="682" spans="2:18" x14ac:dyDescent="0.25">
      <c r="B682">
        <v>1120</v>
      </c>
      <c r="C682" t="s">
        <v>16406</v>
      </c>
      <c r="E682">
        <v>255</v>
      </c>
      <c r="F682">
        <v>144</v>
      </c>
      <c r="G682">
        <v>159</v>
      </c>
      <c r="H682">
        <v>8</v>
      </c>
      <c r="Q682" t="s">
        <v>19941</v>
      </c>
    </row>
    <row r="683" spans="2:18" x14ac:dyDescent="0.25">
      <c r="B683">
        <v>1113</v>
      </c>
      <c r="C683" t="s">
        <v>16408</v>
      </c>
      <c r="E683">
        <v>255</v>
      </c>
      <c r="F683">
        <v>144</v>
      </c>
      <c r="G683">
        <v>159</v>
      </c>
      <c r="H683">
        <v>8</v>
      </c>
      <c r="Q683" t="s">
        <v>19942</v>
      </c>
    </row>
    <row r="684" spans="2:18" x14ac:dyDescent="0.25">
      <c r="B684">
        <v>155</v>
      </c>
      <c r="C684" t="s">
        <v>16454</v>
      </c>
      <c r="E684">
        <v>255</v>
      </c>
      <c r="F684">
        <v>144</v>
      </c>
      <c r="G684">
        <v>159</v>
      </c>
      <c r="H684">
        <v>8</v>
      </c>
      <c r="Q684" t="s">
        <v>19943</v>
      </c>
    </row>
    <row r="685" spans="2:18" x14ac:dyDescent="0.25">
      <c r="B685">
        <v>444</v>
      </c>
      <c r="C685" t="s">
        <v>19944</v>
      </c>
      <c r="E685">
        <v>255</v>
      </c>
      <c r="F685">
        <v>144</v>
      </c>
      <c r="G685">
        <v>159</v>
      </c>
      <c r="H685">
        <v>7</v>
      </c>
      <c r="P685" t="s">
        <v>19945</v>
      </c>
    </row>
    <row r="686" spans="2:18" x14ac:dyDescent="0.25">
      <c r="B686">
        <v>59</v>
      </c>
      <c r="C686" t="s">
        <v>16403</v>
      </c>
      <c r="E686">
        <v>255</v>
      </c>
      <c r="F686">
        <v>144</v>
      </c>
      <c r="G686">
        <v>159</v>
      </c>
      <c r="H686">
        <v>8</v>
      </c>
      <c r="Q686" t="s">
        <v>19946</v>
      </c>
    </row>
    <row r="687" spans="2:18" x14ac:dyDescent="0.25">
      <c r="B687">
        <v>362</v>
      </c>
      <c r="C687" t="s">
        <v>16420</v>
      </c>
      <c r="E687">
        <v>255</v>
      </c>
      <c r="F687">
        <v>144</v>
      </c>
      <c r="G687">
        <v>159</v>
      </c>
      <c r="H687">
        <v>8</v>
      </c>
      <c r="Q687" t="s">
        <v>19947</v>
      </c>
    </row>
    <row r="688" spans="2:18" x14ac:dyDescent="0.25">
      <c r="B688">
        <v>617</v>
      </c>
      <c r="C688" t="s">
        <v>19948</v>
      </c>
      <c r="E688">
        <v>255</v>
      </c>
      <c r="F688">
        <v>144</v>
      </c>
      <c r="G688">
        <v>159</v>
      </c>
      <c r="H688">
        <v>9</v>
      </c>
      <c r="R688" t="s">
        <v>19949</v>
      </c>
    </row>
    <row r="689" spans="2:18" x14ac:dyDescent="0.25">
      <c r="B689">
        <v>626</v>
      </c>
      <c r="C689" t="s">
        <v>19950</v>
      </c>
      <c r="E689">
        <v>255</v>
      </c>
      <c r="F689">
        <v>144</v>
      </c>
      <c r="G689">
        <v>159</v>
      </c>
      <c r="H689">
        <v>9</v>
      </c>
      <c r="R689" t="s">
        <v>19951</v>
      </c>
    </row>
    <row r="690" spans="2:18" x14ac:dyDescent="0.25">
      <c r="B690">
        <v>636</v>
      </c>
      <c r="C690" t="s">
        <v>19952</v>
      </c>
      <c r="E690">
        <v>255</v>
      </c>
      <c r="F690">
        <v>144</v>
      </c>
      <c r="G690">
        <v>159</v>
      </c>
      <c r="H690">
        <v>9</v>
      </c>
      <c r="R690" t="s">
        <v>19953</v>
      </c>
    </row>
    <row r="691" spans="2:18" x14ac:dyDescent="0.25">
      <c r="B691">
        <v>366</v>
      </c>
      <c r="C691" t="s">
        <v>16194</v>
      </c>
      <c r="E691">
        <v>255</v>
      </c>
      <c r="F691">
        <v>144</v>
      </c>
      <c r="G691">
        <v>159</v>
      </c>
      <c r="H691">
        <v>8</v>
      </c>
      <c r="Q691" t="s">
        <v>19954</v>
      </c>
    </row>
    <row r="692" spans="2:18" x14ac:dyDescent="0.25">
      <c r="B692">
        <v>1077</v>
      </c>
      <c r="C692" t="s">
        <v>16574</v>
      </c>
      <c r="E692">
        <v>255</v>
      </c>
      <c r="F692">
        <v>144</v>
      </c>
      <c r="G692">
        <v>159</v>
      </c>
      <c r="H692">
        <v>8</v>
      </c>
      <c r="Q692" t="s">
        <v>19955</v>
      </c>
    </row>
    <row r="693" spans="2:18" x14ac:dyDescent="0.25">
      <c r="B693">
        <v>571</v>
      </c>
      <c r="C693" t="s">
        <v>19956</v>
      </c>
      <c r="E693">
        <v>255</v>
      </c>
      <c r="F693">
        <v>144</v>
      </c>
      <c r="G693">
        <v>159</v>
      </c>
      <c r="H693">
        <v>7</v>
      </c>
      <c r="P693" t="s">
        <v>19957</v>
      </c>
    </row>
    <row r="694" spans="2:18" x14ac:dyDescent="0.25">
      <c r="B694">
        <v>149</v>
      </c>
      <c r="C694" t="s">
        <v>19958</v>
      </c>
      <c r="E694">
        <v>255</v>
      </c>
      <c r="F694">
        <v>144</v>
      </c>
      <c r="G694">
        <v>159</v>
      </c>
      <c r="H694">
        <v>8</v>
      </c>
      <c r="Q694" t="s">
        <v>19959</v>
      </c>
    </row>
    <row r="695" spans="2:18" x14ac:dyDescent="0.25">
      <c r="B695">
        <v>15</v>
      </c>
      <c r="C695" t="s">
        <v>16419</v>
      </c>
      <c r="E695">
        <v>255</v>
      </c>
      <c r="F695">
        <v>144</v>
      </c>
      <c r="G695">
        <v>159</v>
      </c>
      <c r="H695">
        <v>8</v>
      </c>
      <c r="Q695" t="s">
        <v>19960</v>
      </c>
    </row>
    <row r="696" spans="2:18" x14ac:dyDescent="0.25">
      <c r="B696">
        <v>181</v>
      </c>
      <c r="C696" t="s">
        <v>19961</v>
      </c>
      <c r="E696">
        <v>255</v>
      </c>
      <c r="F696">
        <v>144</v>
      </c>
      <c r="G696">
        <v>159</v>
      </c>
      <c r="H696">
        <v>8</v>
      </c>
      <c r="Q696" t="s">
        <v>19962</v>
      </c>
    </row>
    <row r="697" spans="2:18" x14ac:dyDescent="0.25">
      <c r="B697">
        <v>560581559</v>
      </c>
      <c r="C697" t="s">
        <v>19963</v>
      </c>
      <c r="E697">
        <v>255</v>
      </c>
      <c r="F697">
        <v>144</v>
      </c>
      <c r="G697">
        <v>159</v>
      </c>
      <c r="H697">
        <v>8</v>
      </c>
      <c r="Q697" t="s">
        <v>19964</v>
      </c>
    </row>
    <row r="698" spans="2:18" x14ac:dyDescent="0.25">
      <c r="B698">
        <v>51</v>
      </c>
      <c r="C698" t="s">
        <v>19965</v>
      </c>
      <c r="E698">
        <v>255</v>
      </c>
      <c r="F698">
        <v>144</v>
      </c>
      <c r="G698">
        <v>159</v>
      </c>
      <c r="H698">
        <v>7</v>
      </c>
      <c r="P698" t="s">
        <v>19966</v>
      </c>
    </row>
    <row r="699" spans="2:18" x14ac:dyDescent="0.25">
      <c r="B699">
        <v>189</v>
      </c>
      <c r="C699" t="s">
        <v>19967</v>
      </c>
      <c r="E699">
        <v>255</v>
      </c>
      <c r="F699">
        <v>144</v>
      </c>
      <c r="G699">
        <v>159</v>
      </c>
      <c r="H699">
        <v>8</v>
      </c>
      <c r="Q699" t="s">
        <v>19968</v>
      </c>
    </row>
    <row r="700" spans="2:18" x14ac:dyDescent="0.25">
      <c r="B700">
        <v>599</v>
      </c>
      <c r="C700" t="s">
        <v>16405</v>
      </c>
      <c r="E700">
        <v>255</v>
      </c>
      <c r="F700">
        <v>144</v>
      </c>
      <c r="G700">
        <v>159</v>
      </c>
      <c r="H700">
        <v>8</v>
      </c>
      <c r="Q700" t="s">
        <v>19969</v>
      </c>
    </row>
    <row r="701" spans="2:18" x14ac:dyDescent="0.25">
      <c r="B701">
        <v>907</v>
      </c>
      <c r="C701" t="s">
        <v>19970</v>
      </c>
      <c r="E701">
        <v>255</v>
      </c>
      <c r="F701">
        <v>144</v>
      </c>
      <c r="G701">
        <v>159</v>
      </c>
      <c r="H701">
        <v>8</v>
      </c>
      <c r="Q701" t="s">
        <v>19971</v>
      </c>
    </row>
    <row r="702" spans="2:18" x14ac:dyDescent="0.25">
      <c r="B702">
        <v>575</v>
      </c>
      <c r="C702" t="s">
        <v>16433</v>
      </c>
      <c r="E702">
        <v>255</v>
      </c>
      <c r="F702">
        <v>144</v>
      </c>
      <c r="G702">
        <v>159</v>
      </c>
      <c r="H702">
        <v>8</v>
      </c>
      <c r="Q702" t="s">
        <v>19972</v>
      </c>
    </row>
    <row r="703" spans="2:18" x14ac:dyDescent="0.25">
      <c r="B703">
        <v>930</v>
      </c>
      <c r="C703" t="s">
        <v>16467</v>
      </c>
      <c r="E703">
        <v>255</v>
      </c>
      <c r="F703">
        <v>144</v>
      </c>
      <c r="G703">
        <v>159</v>
      </c>
      <c r="H703">
        <v>8</v>
      </c>
      <c r="Q703" t="s">
        <v>19973</v>
      </c>
    </row>
    <row r="704" spans="2:18" x14ac:dyDescent="0.25">
      <c r="B704">
        <v>560581563</v>
      </c>
      <c r="C704" t="s">
        <v>16501</v>
      </c>
      <c r="E704">
        <v>255</v>
      </c>
      <c r="F704">
        <v>144</v>
      </c>
      <c r="G704">
        <v>159</v>
      </c>
      <c r="H704">
        <v>8</v>
      </c>
      <c r="Q704" t="s">
        <v>19974</v>
      </c>
    </row>
    <row r="705" spans="2:18" x14ac:dyDescent="0.25">
      <c r="B705">
        <v>262</v>
      </c>
      <c r="C705" t="s">
        <v>19975</v>
      </c>
      <c r="E705">
        <v>255</v>
      </c>
      <c r="F705">
        <v>144</v>
      </c>
      <c r="G705">
        <v>159</v>
      </c>
      <c r="H705">
        <v>8</v>
      </c>
      <c r="P705" t="s">
        <v>19976</v>
      </c>
    </row>
    <row r="706" spans="2:18" x14ac:dyDescent="0.25">
      <c r="B706">
        <v>1014</v>
      </c>
      <c r="C706" t="s">
        <v>19977</v>
      </c>
      <c r="E706">
        <v>255</v>
      </c>
      <c r="F706">
        <v>144</v>
      </c>
      <c r="G706">
        <v>159</v>
      </c>
      <c r="H706">
        <v>7</v>
      </c>
      <c r="P706" t="s">
        <v>19978</v>
      </c>
    </row>
    <row r="707" spans="2:18" x14ac:dyDescent="0.25">
      <c r="B707">
        <v>27</v>
      </c>
      <c r="C707" t="s">
        <v>16534</v>
      </c>
      <c r="E707">
        <v>255</v>
      </c>
      <c r="F707">
        <v>144</v>
      </c>
      <c r="G707">
        <v>159</v>
      </c>
      <c r="H707">
        <v>8</v>
      </c>
      <c r="Q707" t="s">
        <v>19979</v>
      </c>
    </row>
    <row r="708" spans="2:18" x14ac:dyDescent="0.25">
      <c r="B708">
        <v>563807439</v>
      </c>
      <c r="C708" t="s">
        <v>19980</v>
      </c>
      <c r="E708">
        <v>255</v>
      </c>
      <c r="F708">
        <v>144</v>
      </c>
      <c r="G708">
        <v>159</v>
      </c>
      <c r="H708">
        <v>8</v>
      </c>
      <c r="Q708" t="s">
        <v>19981</v>
      </c>
    </row>
    <row r="709" spans="2:18" x14ac:dyDescent="0.25">
      <c r="B709">
        <v>178</v>
      </c>
      <c r="C709" t="s">
        <v>19982</v>
      </c>
      <c r="E709">
        <v>255</v>
      </c>
      <c r="F709">
        <v>144</v>
      </c>
      <c r="G709">
        <v>159</v>
      </c>
      <c r="H709">
        <v>8</v>
      </c>
      <c r="Q709" t="s">
        <v>19983</v>
      </c>
    </row>
    <row r="710" spans="2:18" x14ac:dyDescent="0.25">
      <c r="B710">
        <v>300</v>
      </c>
      <c r="C710" t="s">
        <v>19984</v>
      </c>
      <c r="E710">
        <v>255</v>
      </c>
      <c r="F710">
        <v>144</v>
      </c>
      <c r="G710">
        <v>159</v>
      </c>
      <c r="H710">
        <v>9</v>
      </c>
      <c r="R710" t="s">
        <v>19985</v>
      </c>
    </row>
    <row r="711" spans="2:18" x14ac:dyDescent="0.25">
      <c r="B711">
        <v>316</v>
      </c>
      <c r="C711" t="s">
        <v>19986</v>
      </c>
      <c r="E711">
        <v>255</v>
      </c>
      <c r="F711">
        <v>144</v>
      </c>
      <c r="G711">
        <v>159</v>
      </c>
      <c r="H711">
        <v>9</v>
      </c>
      <c r="R711" t="s">
        <v>19987</v>
      </c>
    </row>
    <row r="712" spans="2:18" x14ac:dyDescent="0.25">
      <c r="B712">
        <v>321</v>
      </c>
      <c r="C712" t="s">
        <v>16258</v>
      </c>
      <c r="E712">
        <v>255</v>
      </c>
      <c r="F712">
        <v>144</v>
      </c>
      <c r="G712">
        <v>159</v>
      </c>
      <c r="H712">
        <v>8</v>
      </c>
      <c r="Q712" t="s">
        <v>19988</v>
      </c>
    </row>
    <row r="713" spans="2:18" x14ac:dyDescent="0.25">
      <c r="B713">
        <v>958</v>
      </c>
      <c r="C713" t="s">
        <v>19989</v>
      </c>
      <c r="E713">
        <v>255</v>
      </c>
      <c r="F713">
        <v>144</v>
      </c>
      <c r="G713">
        <v>159</v>
      </c>
      <c r="H713">
        <v>7</v>
      </c>
      <c r="P713" t="s">
        <v>19990</v>
      </c>
    </row>
    <row r="714" spans="2:18" x14ac:dyDescent="0.25">
      <c r="B714">
        <v>483</v>
      </c>
      <c r="C714" t="s">
        <v>17922</v>
      </c>
      <c r="E714">
        <v>255</v>
      </c>
      <c r="F714">
        <v>144</v>
      </c>
      <c r="G714">
        <v>159</v>
      </c>
      <c r="H714">
        <v>8</v>
      </c>
      <c r="Q714" t="s">
        <v>19991</v>
      </c>
    </row>
    <row r="715" spans="2:18" x14ac:dyDescent="0.25">
      <c r="B715">
        <v>186</v>
      </c>
      <c r="C715" t="s">
        <v>19992</v>
      </c>
      <c r="E715">
        <v>255</v>
      </c>
      <c r="F715">
        <v>144</v>
      </c>
      <c r="G715">
        <v>159</v>
      </c>
      <c r="H715">
        <v>8</v>
      </c>
      <c r="Q715" t="s">
        <v>19993</v>
      </c>
    </row>
    <row r="716" spans="2:18" x14ac:dyDescent="0.25">
      <c r="B716">
        <v>953</v>
      </c>
      <c r="C716" t="s">
        <v>19994</v>
      </c>
      <c r="E716">
        <v>255</v>
      </c>
      <c r="F716">
        <v>144</v>
      </c>
      <c r="G716">
        <v>159</v>
      </c>
      <c r="H716">
        <v>8</v>
      </c>
      <c r="Q716" t="s">
        <v>19995</v>
      </c>
    </row>
    <row r="717" spans="2:18" x14ac:dyDescent="0.25">
      <c r="B717">
        <v>1097</v>
      </c>
      <c r="C717" t="s">
        <v>19996</v>
      </c>
      <c r="E717">
        <v>230</v>
      </c>
      <c r="F717">
        <v>68</v>
      </c>
      <c r="G717">
        <v>56</v>
      </c>
      <c r="H717">
        <v>5</v>
      </c>
      <c r="N717" t="s">
        <v>19997</v>
      </c>
    </row>
    <row r="718" spans="2:18" x14ac:dyDescent="0.25">
      <c r="B718">
        <v>157</v>
      </c>
      <c r="C718" t="s">
        <v>19998</v>
      </c>
      <c r="E718">
        <v>255</v>
      </c>
      <c r="F718">
        <v>93</v>
      </c>
      <c r="G718">
        <v>80</v>
      </c>
      <c r="H718">
        <v>6</v>
      </c>
      <c r="O718" t="s">
        <v>19999</v>
      </c>
    </row>
    <row r="719" spans="2:18" x14ac:dyDescent="0.25">
      <c r="B719">
        <v>390</v>
      </c>
      <c r="C719" t="s">
        <v>15324</v>
      </c>
      <c r="E719">
        <v>255</v>
      </c>
      <c r="F719">
        <v>93</v>
      </c>
      <c r="G719">
        <v>80</v>
      </c>
      <c r="H719">
        <v>8</v>
      </c>
      <c r="P719" t="s">
        <v>20000</v>
      </c>
    </row>
    <row r="720" spans="2:18" x14ac:dyDescent="0.25">
      <c r="B720">
        <v>332</v>
      </c>
      <c r="C720" t="s">
        <v>20001</v>
      </c>
      <c r="E720">
        <v>255</v>
      </c>
      <c r="F720">
        <v>93</v>
      </c>
      <c r="G720">
        <v>80</v>
      </c>
      <c r="H720">
        <v>7</v>
      </c>
      <c r="P720" t="s">
        <v>20002</v>
      </c>
    </row>
    <row r="721" spans="2:19" x14ac:dyDescent="0.25">
      <c r="B721">
        <v>432</v>
      </c>
      <c r="C721" t="s">
        <v>20003</v>
      </c>
      <c r="E721">
        <v>255</v>
      </c>
      <c r="F721">
        <v>93</v>
      </c>
      <c r="G721">
        <v>80</v>
      </c>
      <c r="H721">
        <v>8</v>
      </c>
      <c r="Q721" t="s">
        <v>20004</v>
      </c>
    </row>
    <row r="722" spans="2:19" x14ac:dyDescent="0.25">
      <c r="B722">
        <v>38</v>
      </c>
      <c r="C722" t="s">
        <v>20005</v>
      </c>
      <c r="E722">
        <v>255</v>
      </c>
      <c r="F722">
        <v>93</v>
      </c>
      <c r="G722">
        <v>80</v>
      </c>
      <c r="H722">
        <v>8</v>
      </c>
      <c r="P722" t="s">
        <v>20006</v>
      </c>
    </row>
    <row r="723" spans="2:19" x14ac:dyDescent="0.25">
      <c r="B723">
        <v>71</v>
      </c>
      <c r="C723" t="s">
        <v>20007</v>
      </c>
      <c r="E723">
        <v>255</v>
      </c>
      <c r="F723">
        <v>93</v>
      </c>
      <c r="G723">
        <v>80</v>
      </c>
      <c r="H723">
        <v>9</v>
      </c>
      <c r="Q723" t="s">
        <v>20008</v>
      </c>
    </row>
    <row r="724" spans="2:19" x14ac:dyDescent="0.25">
      <c r="B724">
        <v>47</v>
      </c>
      <c r="C724" t="s">
        <v>20009</v>
      </c>
      <c r="E724">
        <v>255</v>
      </c>
      <c r="F724">
        <v>93</v>
      </c>
      <c r="G724">
        <v>80</v>
      </c>
      <c r="H724">
        <v>10</v>
      </c>
      <c r="R724" t="s">
        <v>20010</v>
      </c>
    </row>
    <row r="725" spans="2:19" x14ac:dyDescent="0.25">
      <c r="B725">
        <v>79</v>
      </c>
      <c r="C725" t="s">
        <v>20011</v>
      </c>
      <c r="E725">
        <v>255</v>
      </c>
      <c r="F725">
        <v>93</v>
      </c>
      <c r="G725">
        <v>80</v>
      </c>
      <c r="H725">
        <v>10</v>
      </c>
      <c r="R725" t="s">
        <v>20012</v>
      </c>
    </row>
    <row r="726" spans="2:19" x14ac:dyDescent="0.25">
      <c r="B726">
        <v>103</v>
      </c>
      <c r="C726" t="s">
        <v>20013</v>
      </c>
      <c r="E726">
        <v>255</v>
      </c>
      <c r="F726">
        <v>93</v>
      </c>
      <c r="G726">
        <v>80</v>
      </c>
      <c r="H726">
        <v>10</v>
      </c>
      <c r="R726" t="s">
        <v>20014</v>
      </c>
    </row>
    <row r="727" spans="2:19" x14ac:dyDescent="0.25">
      <c r="B727">
        <v>652</v>
      </c>
      <c r="C727" t="s">
        <v>20015</v>
      </c>
      <c r="E727">
        <v>255</v>
      </c>
      <c r="F727">
        <v>93</v>
      </c>
      <c r="G727">
        <v>80</v>
      </c>
      <c r="H727">
        <v>11</v>
      </c>
      <c r="S727" t="s">
        <v>20016</v>
      </c>
    </row>
    <row r="728" spans="2:19" x14ac:dyDescent="0.25">
      <c r="B728">
        <v>660</v>
      </c>
      <c r="C728" t="s">
        <v>20017</v>
      </c>
      <c r="E728">
        <v>255</v>
      </c>
      <c r="F728">
        <v>93</v>
      </c>
      <c r="G728">
        <v>80</v>
      </c>
      <c r="H728">
        <v>11</v>
      </c>
      <c r="S728" t="s">
        <v>20018</v>
      </c>
    </row>
    <row r="729" spans="2:19" x14ac:dyDescent="0.25">
      <c r="B729">
        <v>94</v>
      </c>
      <c r="C729" t="s">
        <v>20019</v>
      </c>
      <c r="E729">
        <v>255</v>
      </c>
      <c r="F729">
        <v>93</v>
      </c>
      <c r="G729">
        <v>80</v>
      </c>
      <c r="H729">
        <v>9</v>
      </c>
      <c r="Q729" t="s">
        <v>20020</v>
      </c>
    </row>
    <row r="730" spans="2:19" x14ac:dyDescent="0.25">
      <c r="B730">
        <v>55</v>
      </c>
      <c r="C730" t="s">
        <v>20021</v>
      </c>
      <c r="E730">
        <v>255</v>
      </c>
      <c r="F730">
        <v>93</v>
      </c>
      <c r="G730">
        <v>80</v>
      </c>
      <c r="H730">
        <v>10</v>
      </c>
      <c r="R730" t="s">
        <v>20022</v>
      </c>
    </row>
    <row r="731" spans="2:19" x14ac:dyDescent="0.25">
      <c r="B731">
        <v>87</v>
      </c>
      <c r="C731" t="s">
        <v>20023</v>
      </c>
      <c r="E731">
        <v>255</v>
      </c>
      <c r="F731">
        <v>93</v>
      </c>
      <c r="G731">
        <v>80</v>
      </c>
      <c r="H731">
        <v>10</v>
      </c>
      <c r="R731" t="s">
        <v>20024</v>
      </c>
    </row>
    <row r="732" spans="2:19" x14ac:dyDescent="0.25">
      <c r="B732">
        <v>110</v>
      </c>
      <c r="C732" t="s">
        <v>20025</v>
      </c>
      <c r="E732">
        <v>255</v>
      </c>
      <c r="F732">
        <v>93</v>
      </c>
      <c r="G732">
        <v>80</v>
      </c>
      <c r="H732">
        <v>10</v>
      </c>
      <c r="R732" t="s">
        <v>20026</v>
      </c>
    </row>
    <row r="733" spans="2:19" x14ac:dyDescent="0.25">
      <c r="B733">
        <v>30</v>
      </c>
      <c r="C733" t="s">
        <v>20027</v>
      </c>
      <c r="E733">
        <v>255</v>
      </c>
      <c r="F733">
        <v>93</v>
      </c>
      <c r="G733">
        <v>80</v>
      </c>
      <c r="H733">
        <v>9</v>
      </c>
      <c r="P733" t="s">
        <v>20028</v>
      </c>
    </row>
    <row r="734" spans="2:19" x14ac:dyDescent="0.25">
      <c r="B734">
        <v>118</v>
      </c>
      <c r="C734" t="s">
        <v>20029</v>
      </c>
      <c r="E734">
        <v>255</v>
      </c>
      <c r="F734">
        <v>93</v>
      </c>
      <c r="G734">
        <v>80</v>
      </c>
      <c r="H734">
        <v>9</v>
      </c>
      <c r="P734" t="s">
        <v>20030</v>
      </c>
    </row>
    <row r="735" spans="2:19" x14ac:dyDescent="0.25">
      <c r="B735">
        <v>223</v>
      </c>
      <c r="C735" t="s">
        <v>20031</v>
      </c>
      <c r="E735">
        <v>255</v>
      </c>
      <c r="F735">
        <v>93</v>
      </c>
      <c r="G735">
        <v>80</v>
      </c>
      <c r="H735">
        <v>8</v>
      </c>
      <c r="P735" t="s">
        <v>20032</v>
      </c>
    </row>
    <row r="736" spans="2:19" x14ac:dyDescent="0.25">
      <c r="B736">
        <v>141</v>
      </c>
      <c r="C736" t="s">
        <v>20033</v>
      </c>
      <c r="E736">
        <v>255</v>
      </c>
      <c r="F736">
        <v>85</v>
      </c>
      <c r="G736">
        <v>71</v>
      </c>
      <c r="H736">
        <v>6</v>
      </c>
      <c r="O736" t="s">
        <v>20034</v>
      </c>
    </row>
    <row r="737" spans="2:17" x14ac:dyDescent="0.25">
      <c r="B737">
        <v>72</v>
      </c>
      <c r="C737" t="s">
        <v>20035</v>
      </c>
      <c r="E737">
        <v>255</v>
      </c>
      <c r="F737">
        <v>85</v>
      </c>
      <c r="G737">
        <v>71</v>
      </c>
      <c r="H737">
        <v>8</v>
      </c>
      <c r="P737" t="s">
        <v>20036</v>
      </c>
    </row>
    <row r="738" spans="2:17" x14ac:dyDescent="0.25">
      <c r="B738">
        <v>80</v>
      </c>
      <c r="C738" t="s">
        <v>20037</v>
      </c>
      <c r="E738">
        <v>255</v>
      </c>
      <c r="F738">
        <v>85</v>
      </c>
      <c r="G738">
        <v>71</v>
      </c>
      <c r="H738">
        <v>8</v>
      </c>
      <c r="P738" t="s">
        <v>20038</v>
      </c>
    </row>
    <row r="739" spans="2:17" x14ac:dyDescent="0.25">
      <c r="B739">
        <v>263</v>
      </c>
      <c r="C739" t="s">
        <v>20039</v>
      </c>
      <c r="E739">
        <v>255</v>
      </c>
      <c r="F739">
        <v>85</v>
      </c>
      <c r="G739">
        <v>71</v>
      </c>
      <c r="H739">
        <v>8</v>
      </c>
      <c r="P739" t="s">
        <v>20040</v>
      </c>
    </row>
    <row r="740" spans="2:17" x14ac:dyDescent="0.25">
      <c r="B740">
        <v>272</v>
      </c>
      <c r="C740" t="s">
        <v>20041</v>
      </c>
      <c r="E740">
        <v>255</v>
      </c>
      <c r="F740">
        <v>85</v>
      </c>
      <c r="G740">
        <v>71</v>
      </c>
      <c r="H740">
        <v>8</v>
      </c>
      <c r="P740" t="s">
        <v>20042</v>
      </c>
    </row>
    <row r="741" spans="2:17" x14ac:dyDescent="0.25">
      <c r="B741">
        <v>830</v>
      </c>
      <c r="C741" t="s">
        <v>20043</v>
      </c>
      <c r="E741">
        <v>255</v>
      </c>
      <c r="F741">
        <v>85</v>
      </c>
      <c r="G741">
        <v>71</v>
      </c>
      <c r="H741">
        <v>8</v>
      </c>
      <c r="P741" t="s">
        <v>20044</v>
      </c>
    </row>
    <row r="742" spans="2:17" x14ac:dyDescent="0.25">
      <c r="B742">
        <v>668</v>
      </c>
      <c r="C742" t="s">
        <v>20045</v>
      </c>
      <c r="E742">
        <v>255</v>
      </c>
      <c r="F742">
        <v>85</v>
      </c>
      <c r="G742">
        <v>71</v>
      </c>
      <c r="H742">
        <v>9</v>
      </c>
      <c r="Q742" t="s">
        <v>20046</v>
      </c>
    </row>
    <row r="743" spans="2:17" x14ac:dyDescent="0.25">
      <c r="B743">
        <v>676</v>
      </c>
      <c r="C743" t="s">
        <v>20047</v>
      </c>
      <c r="E743">
        <v>255</v>
      </c>
      <c r="F743">
        <v>85</v>
      </c>
      <c r="G743">
        <v>71</v>
      </c>
      <c r="H743">
        <v>9</v>
      </c>
      <c r="Q743" t="s">
        <v>20048</v>
      </c>
    </row>
    <row r="744" spans="2:17" x14ac:dyDescent="0.25">
      <c r="B744">
        <v>684</v>
      </c>
      <c r="C744" t="s">
        <v>20049</v>
      </c>
      <c r="E744">
        <v>255</v>
      </c>
      <c r="F744">
        <v>85</v>
      </c>
      <c r="G744">
        <v>71</v>
      </c>
      <c r="H744">
        <v>9</v>
      </c>
      <c r="Q744" t="s">
        <v>20050</v>
      </c>
    </row>
    <row r="745" spans="2:17" x14ac:dyDescent="0.25">
      <c r="B745">
        <v>452</v>
      </c>
      <c r="C745" t="s">
        <v>20051</v>
      </c>
      <c r="E745">
        <v>255</v>
      </c>
      <c r="F745">
        <v>85</v>
      </c>
      <c r="G745">
        <v>71</v>
      </c>
      <c r="H745">
        <v>8</v>
      </c>
      <c r="P745" t="s">
        <v>20052</v>
      </c>
    </row>
    <row r="746" spans="2:17" x14ac:dyDescent="0.25">
      <c r="B746">
        <v>523</v>
      </c>
      <c r="C746" t="s">
        <v>15268</v>
      </c>
      <c r="E746">
        <v>255</v>
      </c>
      <c r="F746">
        <v>85</v>
      </c>
      <c r="G746">
        <v>71</v>
      </c>
      <c r="H746">
        <v>8</v>
      </c>
      <c r="P746" t="s">
        <v>20053</v>
      </c>
    </row>
    <row r="747" spans="2:17" x14ac:dyDescent="0.25">
      <c r="B747">
        <v>763</v>
      </c>
      <c r="C747" t="s">
        <v>20054</v>
      </c>
      <c r="E747">
        <v>255</v>
      </c>
      <c r="F747">
        <v>85</v>
      </c>
      <c r="G747">
        <v>71</v>
      </c>
      <c r="H747">
        <v>8</v>
      </c>
      <c r="P747" t="s">
        <v>20055</v>
      </c>
    </row>
    <row r="748" spans="2:17" x14ac:dyDescent="0.25">
      <c r="B748">
        <v>914</v>
      </c>
      <c r="C748" t="s">
        <v>20056</v>
      </c>
      <c r="E748">
        <v>255</v>
      </c>
      <c r="F748">
        <v>85</v>
      </c>
      <c r="G748">
        <v>71</v>
      </c>
      <c r="H748">
        <v>8</v>
      </c>
      <c r="P748" t="s">
        <v>20057</v>
      </c>
    </row>
    <row r="749" spans="2:17" x14ac:dyDescent="0.25">
      <c r="B749">
        <v>1109</v>
      </c>
      <c r="C749" t="s">
        <v>15248</v>
      </c>
      <c r="E749">
        <v>255</v>
      </c>
      <c r="F749">
        <v>85</v>
      </c>
      <c r="G749">
        <v>71</v>
      </c>
      <c r="H749">
        <v>8</v>
      </c>
      <c r="P749" t="s">
        <v>20058</v>
      </c>
    </row>
    <row r="750" spans="2:17" x14ac:dyDescent="0.25">
      <c r="B750">
        <v>1124</v>
      </c>
      <c r="C750" t="s">
        <v>20059</v>
      </c>
      <c r="E750">
        <v>255</v>
      </c>
      <c r="F750">
        <v>85</v>
      </c>
      <c r="G750">
        <v>71</v>
      </c>
      <c r="H750">
        <v>8</v>
      </c>
      <c r="P750" t="s">
        <v>20060</v>
      </c>
    </row>
    <row r="751" spans="2:17" x14ac:dyDescent="0.25">
      <c r="B751">
        <v>126</v>
      </c>
      <c r="C751" t="s">
        <v>20061</v>
      </c>
      <c r="E751">
        <v>255</v>
      </c>
      <c r="F751">
        <v>85</v>
      </c>
      <c r="G751">
        <v>71</v>
      </c>
      <c r="H751">
        <v>8</v>
      </c>
      <c r="P751" t="s">
        <v>20062</v>
      </c>
    </row>
    <row r="752" spans="2:17" x14ac:dyDescent="0.25">
      <c r="B752">
        <v>133</v>
      </c>
      <c r="C752" t="s">
        <v>20063</v>
      </c>
      <c r="E752">
        <v>255</v>
      </c>
      <c r="F752">
        <v>85</v>
      </c>
      <c r="G752">
        <v>71</v>
      </c>
      <c r="H752">
        <v>8</v>
      </c>
      <c r="P752" t="s">
        <v>20064</v>
      </c>
    </row>
    <row r="753" spans="2:18" x14ac:dyDescent="0.25">
      <c r="B753">
        <v>347</v>
      </c>
      <c r="C753" t="s">
        <v>20065</v>
      </c>
      <c r="E753">
        <v>255</v>
      </c>
      <c r="F753">
        <v>85</v>
      </c>
      <c r="G753">
        <v>71</v>
      </c>
      <c r="H753">
        <v>8</v>
      </c>
      <c r="P753" t="s">
        <v>20066</v>
      </c>
    </row>
    <row r="754" spans="2:18" x14ac:dyDescent="0.25">
      <c r="B754">
        <v>286</v>
      </c>
      <c r="C754" t="s">
        <v>15376</v>
      </c>
      <c r="E754">
        <v>255</v>
      </c>
      <c r="F754">
        <v>85</v>
      </c>
      <c r="G754">
        <v>71</v>
      </c>
      <c r="H754">
        <v>8</v>
      </c>
      <c r="P754" t="s">
        <v>20067</v>
      </c>
    </row>
    <row r="755" spans="2:18" x14ac:dyDescent="0.25">
      <c r="B755">
        <v>338</v>
      </c>
      <c r="C755" t="s">
        <v>20068</v>
      </c>
      <c r="E755">
        <v>255</v>
      </c>
      <c r="F755">
        <v>85</v>
      </c>
      <c r="G755">
        <v>71</v>
      </c>
      <c r="H755">
        <v>8</v>
      </c>
      <c r="P755" t="s">
        <v>20069</v>
      </c>
    </row>
    <row r="756" spans="2:18" x14ac:dyDescent="0.25">
      <c r="B756">
        <v>576073699</v>
      </c>
      <c r="C756" t="s">
        <v>15281</v>
      </c>
      <c r="E756">
        <v>255</v>
      </c>
      <c r="F756">
        <v>85</v>
      </c>
      <c r="G756">
        <v>71</v>
      </c>
      <c r="H756">
        <v>8</v>
      </c>
      <c r="P756" t="s">
        <v>20070</v>
      </c>
    </row>
    <row r="757" spans="2:18" x14ac:dyDescent="0.25">
      <c r="B757">
        <v>689</v>
      </c>
      <c r="C757" t="s">
        <v>15283</v>
      </c>
      <c r="E757">
        <v>255</v>
      </c>
      <c r="F757">
        <v>85</v>
      </c>
      <c r="G757">
        <v>71</v>
      </c>
      <c r="H757">
        <v>8</v>
      </c>
      <c r="P757" t="s">
        <v>20071</v>
      </c>
    </row>
    <row r="758" spans="2:18" x14ac:dyDescent="0.25">
      <c r="B758">
        <v>467</v>
      </c>
      <c r="C758" t="s">
        <v>20072</v>
      </c>
      <c r="E758">
        <v>255</v>
      </c>
      <c r="F758">
        <v>76</v>
      </c>
      <c r="G758">
        <v>62</v>
      </c>
      <c r="H758">
        <v>6</v>
      </c>
      <c r="O758" t="s">
        <v>20073</v>
      </c>
    </row>
    <row r="759" spans="2:18" x14ac:dyDescent="0.25">
      <c r="B759">
        <v>88</v>
      </c>
      <c r="C759" t="s">
        <v>20074</v>
      </c>
      <c r="E759">
        <v>255</v>
      </c>
      <c r="F759">
        <v>76</v>
      </c>
      <c r="G759">
        <v>62</v>
      </c>
      <c r="H759">
        <v>8</v>
      </c>
      <c r="P759" t="s">
        <v>20075</v>
      </c>
    </row>
    <row r="760" spans="2:18" x14ac:dyDescent="0.25">
      <c r="B760">
        <v>700</v>
      </c>
      <c r="C760" t="s">
        <v>20076</v>
      </c>
      <c r="E760">
        <v>255</v>
      </c>
      <c r="F760">
        <v>76</v>
      </c>
      <c r="G760">
        <v>62</v>
      </c>
      <c r="H760">
        <v>9</v>
      </c>
      <c r="Q760" t="s">
        <v>20077</v>
      </c>
    </row>
    <row r="761" spans="2:18" x14ac:dyDescent="0.25">
      <c r="B761">
        <v>708</v>
      </c>
      <c r="C761" t="s">
        <v>20078</v>
      </c>
      <c r="E761">
        <v>255</v>
      </c>
      <c r="F761">
        <v>76</v>
      </c>
      <c r="G761">
        <v>62</v>
      </c>
      <c r="H761">
        <v>9</v>
      </c>
      <c r="Q761" t="s">
        <v>20079</v>
      </c>
    </row>
    <row r="762" spans="2:18" x14ac:dyDescent="0.25">
      <c r="B762">
        <v>716</v>
      </c>
      <c r="C762" t="s">
        <v>20080</v>
      </c>
      <c r="E762">
        <v>255</v>
      </c>
      <c r="F762">
        <v>76</v>
      </c>
      <c r="G762">
        <v>62</v>
      </c>
      <c r="H762">
        <v>9</v>
      </c>
      <c r="Q762" t="s">
        <v>20081</v>
      </c>
    </row>
    <row r="763" spans="2:18" x14ac:dyDescent="0.25">
      <c r="B763">
        <v>724</v>
      </c>
      <c r="C763" t="s">
        <v>20082</v>
      </c>
      <c r="E763">
        <v>255</v>
      </c>
      <c r="F763">
        <v>76</v>
      </c>
      <c r="G763">
        <v>62</v>
      </c>
      <c r="H763">
        <v>9</v>
      </c>
      <c r="Q763" t="s">
        <v>20083</v>
      </c>
    </row>
    <row r="764" spans="2:18" x14ac:dyDescent="0.25">
      <c r="B764">
        <v>331</v>
      </c>
      <c r="C764" t="s">
        <v>20084</v>
      </c>
      <c r="E764">
        <v>255</v>
      </c>
      <c r="F764">
        <v>76</v>
      </c>
      <c r="G764">
        <v>62</v>
      </c>
      <c r="H764">
        <v>7</v>
      </c>
      <c r="P764" t="s">
        <v>20085</v>
      </c>
    </row>
    <row r="765" spans="2:18" x14ac:dyDescent="0.25">
      <c r="B765">
        <v>210</v>
      </c>
      <c r="C765" t="s">
        <v>15511</v>
      </c>
      <c r="E765">
        <v>255</v>
      </c>
      <c r="F765">
        <v>76</v>
      </c>
      <c r="G765">
        <v>62</v>
      </c>
      <c r="H765">
        <v>8</v>
      </c>
      <c r="Q765" t="s">
        <v>20086</v>
      </c>
    </row>
    <row r="766" spans="2:18" x14ac:dyDescent="0.25">
      <c r="B766">
        <v>491</v>
      </c>
      <c r="C766" t="s">
        <v>15504</v>
      </c>
      <c r="E766">
        <v>255</v>
      </c>
      <c r="F766">
        <v>76</v>
      </c>
      <c r="G766">
        <v>62</v>
      </c>
      <c r="H766">
        <v>8</v>
      </c>
      <c r="Q766" t="s">
        <v>20087</v>
      </c>
    </row>
    <row r="767" spans="2:18" x14ac:dyDescent="0.25">
      <c r="B767">
        <v>732</v>
      </c>
      <c r="C767" t="s">
        <v>20088</v>
      </c>
      <c r="E767">
        <v>255</v>
      </c>
      <c r="F767">
        <v>76</v>
      </c>
      <c r="G767">
        <v>62</v>
      </c>
      <c r="H767">
        <v>9</v>
      </c>
      <c r="R767" t="s">
        <v>20089</v>
      </c>
    </row>
    <row r="768" spans="2:18" x14ac:dyDescent="0.25">
      <c r="B768">
        <v>606826647</v>
      </c>
      <c r="C768" t="s">
        <v>15506</v>
      </c>
      <c r="E768">
        <v>255</v>
      </c>
      <c r="F768">
        <v>76</v>
      </c>
      <c r="G768">
        <v>62</v>
      </c>
      <c r="H768">
        <v>9</v>
      </c>
      <c r="R768" t="s">
        <v>20090</v>
      </c>
    </row>
    <row r="769" spans="2:18" x14ac:dyDescent="0.25">
      <c r="B769">
        <v>606826651</v>
      </c>
      <c r="C769" t="s">
        <v>15505</v>
      </c>
      <c r="E769">
        <v>255</v>
      </c>
      <c r="F769">
        <v>76</v>
      </c>
      <c r="G769">
        <v>62</v>
      </c>
      <c r="H769">
        <v>9</v>
      </c>
      <c r="R769" t="s">
        <v>20091</v>
      </c>
    </row>
    <row r="770" spans="2:18" x14ac:dyDescent="0.25">
      <c r="B770">
        <v>606826655</v>
      </c>
      <c r="C770" t="s">
        <v>15507</v>
      </c>
      <c r="E770">
        <v>255</v>
      </c>
      <c r="F770">
        <v>76</v>
      </c>
      <c r="G770">
        <v>62</v>
      </c>
      <c r="H770">
        <v>9</v>
      </c>
      <c r="R770" t="s">
        <v>20092</v>
      </c>
    </row>
    <row r="771" spans="2:18" x14ac:dyDescent="0.25">
      <c r="B771">
        <v>606826659</v>
      </c>
      <c r="C771" t="s">
        <v>20093</v>
      </c>
      <c r="E771">
        <v>255</v>
      </c>
      <c r="F771">
        <v>76</v>
      </c>
      <c r="G771">
        <v>62</v>
      </c>
      <c r="H771">
        <v>9</v>
      </c>
      <c r="R771" t="s">
        <v>20094</v>
      </c>
    </row>
    <row r="772" spans="2:18" x14ac:dyDescent="0.25">
      <c r="B772">
        <v>525</v>
      </c>
      <c r="C772" t="s">
        <v>20095</v>
      </c>
      <c r="E772">
        <v>255</v>
      </c>
      <c r="F772">
        <v>76</v>
      </c>
      <c r="G772">
        <v>62</v>
      </c>
      <c r="H772">
        <v>8</v>
      </c>
      <c r="Q772" t="s">
        <v>20096</v>
      </c>
    </row>
    <row r="773" spans="2:18" x14ac:dyDescent="0.25">
      <c r="B773">
        <v>1110</v>
      </c>
      <c r="C773" t="s">
        <v>20097</v>
      </c>
      <c r="E773">
        <v>255</v>
      </c>
      <c r="F773">
        <v>76</v>
      </c>
      <c r="G773">
        <v>62</v>
      </c>
      <c r="H773">
        <v>9</v>
      </c>
      <c r="R773" t="s">
        <v>20098</v>
      </c>
    </row>
    <row r="774" spans="2:18" x14ac:dyDescent="0.25">
      <c r="B774">
        <v>1118</v>
      </c>
      <c r="C774" t="s">
        <v>20099</v>
      </c>
      <c r="E774">
        <v>255</v>
      </c>
      <c r="F774">
        <v>76</v>
      </c>
      <c r="G774">
        <v>62</v>
      </c>
      <c r="H774">
        <v>9</v>
      </c>
      <c r="R774" t="s">
        <v>20100</v>
      </c>
    </row>
    <row r="775" spans="2:18" x14ac:dyDescent="0.25">
      <c r="B775">
        <v>557</v>
      </c>
      <c r="C775" t="s">
        <v>20101</v>
      </c>
      <c r="E775">
        <v>255</v>
      </c>
      <c r="F775">
        <v>76</v>
      </c>
      <c r="G775">
        <v>62</v>
      </c>
      <c r="H775">
        <v>8</v>
      </c>
      <c r="Q775" t="s">
        <v>20102</v>
      </c>
    </row>
    <row r="776" spans="2:18" x14ac:dyDescent="0.25">
      <c r="B776">
        <v>1126</v>
      </c>
      <c r="C776" t="s">
        <v>20103</v>
      </c>
      <c r="E776">
        <v>255</v>
      </c>
      <c r="F776">
        <v>76</v>
      </c>
      <c r="G776">
        <v>62</v>
      </c>
      <c r="H776">
        <v>9</v>
      </c>
      <c r="R776" t="s">
        <v>20104</v>
      </c>
    </row>
    <row r="777" spans="2:18" x14ac:dyDescent="0.25">
      <c r="B777">
        <v>1</v>
      </c>
      <c r="C777" t="s">
        <v>20105</v>
      </c>
      <c r="E777">
        <v>255</v>
      </c>
      <c r="F777">
        <v>76</v>
      </c>
      <c r="G777">
        <v>62</v>
      </c>
      <c r="H777">
        <v>9</v>
      </c>
      <c r="R777" t="s">
        <v>20106</v>
      </c>
    </row>
    <row r="778" spans="2:18" x14ac:dyDescent="0.25">
      <c r="B778">
        <v>515</v>
      </c>
      <c r="C778" t="s">
        <v>20107</v>
      </c>
      <c r="E778">
        <v>255</v>
      </c>
      <c r="F778">
        <v>76</v>
      </c>
      <c r="G778">
        <v>62</v>
      </c>
      <c r="H778">
        <v>8</v>
      </c>
      <c r="P778" t="s">
        <v>20108</v>
      </c>
    </row>
    <row r="779" spans="2:18" x14ac:dyDescent="0.25">
      <c r="B779">
        <v>740</v>
      </c>
      <c r="C779" t="s">
        <v>20109</v>
      </c>
      <c r="E779">
        <v>255</v>
      </c>
      <c r="F779">
        <v>76</v>
      </c>
      <c r="G779">
        <v>62</v>
      </c>
      <c r="H779">
        <v>9</v>
      </c>
      <c r="Q779" t="s">
        <v>20110</v>
      </c>
    </row>
    <row r="780" spans="2:18" x14ac:dyDescent="0.25">
      <c r="B780">
        <v>748</v>
      </c>
      <c r="C780" t="s">
        <v>20111</v>
      </c>
      <c r="E780">
        <v>255</v>
      </c>
      <c r="F780">
        <v>76</v>
      </c>
      <c r="G780">
        <v>62</v>
      </c>
      <c r="H780">
        <v>9</v>
      </c>
      <c r="Q780" t="s">
        <v>20112</v>
      </c>
    </row>
    <row r="781" spans="2:18" x14ac:dyDescent="0.25">
      <c r="B781">
        <v>756</v>
      </c>
      <c r="C781" t="s">
        <v>20113</v>
      </c>
      <c r="E781">
        <v>255</v>
      </c>
      <c r="F781">
        <v>76</v>
      </c>
      <c r="G781">
        <v>62</v>
      </c>
      <c r="H781">
        <v>9</v>
      </c>
      <c r="Q781" t="s">
        <v>20114</v>
      </c>
    </row>
    <row r="782" spans="2:18" x14ac:dyDescent="0.25">
      <c r="B782">
        <v>980</v>
      </c>
      <c r="C782" t="s">
        <v>20115</v>
      </c>
      <c r="E782">
        <v>255</v>
      </c>
      <c r="F782">
        <v>76</v>
      </c>
      <c r="G782">
        <v>62</v>
      </c>
      <c r="H782">
        <v>8</v>
      </c>
      <c r="P782" t="s">
        <v>20116</v>
      </c>
    </row>
    <row r="783" spans="2:18" x14ac:dyDescent="0.25">
      <c r="B783">
        <v>1004</v>
      </c>
      <c r="C783" t="s">
        <v>20117</v>
      </c>
      <c r="E783">
        <v>255</v>
      </c>
      <c r="F783">
        <v>76</v>
      </c>
      <c r="G783">
        <v>62</v>
      </c>
      <c r="H783">
        <v>8</v>
      </c>
      <c r="P783" t="s">
        <v>20118</v>
      </c>
    </row>
    <row r="784" spans="2:18" x14ac:dyDescent="0.25">
      <c r="B784">
        <v>63</v>
      </c>
      <c r="C784" t="s">
        <v>20119</v>
      </c>
      <c r="E784">
        <v>255</v>
      </c>
      <c r="F784">
        <v>76</v>
      </c>
      <c r="G784">
        <v>62</v>
      </c>
      <c r="H784">
        <v>8</v>
      </c>
      <c r="P784" t="s">
        <v>20120</v>
      </c>
    </row>
    <row r="785" spans="2:17" x14ac:dyDescent="0.25">
      <c r="B785">
        <v>439</v>
      </c>
      <c r="C785" t="s">
        <v>20121</v>
      </c>
      <c r="E785">
        <v>255</v>
      </c>
      <c r="F785">
        <v>76</v>
      </c>
      <c r="G785">
        <v>62</v>
      </c>
      <c r="H785">
        <v>9</v>
      </c>
      <c r="Q785" t="s">
        <v>20122</v>
      </c>
    </row>
    <row r="786" spans="2:17" x14ac:dyDescent="0.25">
      <c r="B786">
        <v>447</v>
      </c>
      <c r="C786" t="s">
        <v>20123</v>
      </c>
      <c r="E786">
        <v>255</v>
      </c>
      <c r="F786">
        <v>76</v>
      </c>
      <c r="G786">
        <v>62</v>
      </c>
      <c r="H786">
        <v>9</v>
      </c>
      <c r="Q786" t="s">
        <v>20124</v>
      </c>
    </row>
    <row r="787" spans="2:17" x14ac:dyDescent="0.25">
      <c r="B787">
        <v>455</v>
      </c>
      <c r="C787" t="s">
        <v>20125</v>
      </c>
      <c r="E787">
        <v>255</v>
      </c>
      <c r="F787">
        <v>76</v>
      </c>
      <c r="G787">
        <v>62</v>
      </c>
      <c r="H787">
        <v>9</v>
      </c>
      <c r="Q787" t="s">
        <v>20126</v>
      </c>
    </row>
    <row r="788" spans="2:17" x14ac:dyDescent="0.25">
      <c r="B788">
        <v>464</v>
      </c>
      <c r="C788" t="s">
        <v>20127</v>
      </c>
      <c r="E788">
        <v>255</v>
      </c>
      <c r="F788">
        <v>76</v>
      </c>
      <c r="G788">
        <v>62</v>
      </c>
      <c r="H788">
        <v>9</v>
      </c>
      <c r="Q788" t="s">
        <v>20128</v>
      </c>
    </row>
    <row r="789" spans="2:17" x14ac:dyDescent="0.25">
      <c r="B789">
        <v>693</v>
      </c>
      <c r="C789" t="s">
        <v>15403</v>
      </c>
      <c r="E789">
        <v>255</v>
      </c>
      <c r="F789">
        <v>76</v>
      </c>
      <c r="G789">
        <v>62</v>
      </c>
      <c r="H789">
        <v>8</v>
      </c>
      <c r="P789" t="s">
        <v>20129</v>
      </c>
    </row>
    <row r="790" spans="2:17" x14ac:dyDescent="0.25">
      <c r="B790">
        <v>761</v>
      </c>
      <c r="C790" t="s">
        <v>20130</v>
      </c>
      <c r="E790">
        <v>255</v>
      </c>
      <c r="F790">
        <v>76</v>
      </c>
      <c r="G790">
        <v>62</v>
      </c>
      <c r="H790">
        <v>9</v>
      </c>
      <c r="Q790" t="s">
        <v>20131</v>
      </c>
    </row>
    <row r="791" spans="2:17" x14ac:dyDescent="0.25">
      <c r="B791">
        <v>769</v>
      </c>
      <c r="C791" t="s">
        <v>20132</v>
      </c>
      <c r="E791">
        <v>255</v>
      </c>
      <c r="F791">
        <v>76</v>
      </c>
      <c r="G791">
        <v>62</v>
      </c>
      <c r="H791">
        <v>9</v>
      </c>
      <c r="Q791" t="s">
        <v>20133</v>
      </c>
    </row>
    <row r="792" spans="2:17" x14ac:dyDescent="0.25">
      <c r="B792">
        <v>777</v>
      </c>
      <c r="C792" t="s">
        <v>15404</v>
      </c>
      <c r="E792">
        <v>255</v>
      </c>
      <c r="F792">
        <v>76</v>
      </c>
      <c r="G792">
        <v>62</v>
      </c>
      <c r="H792">
        <v>9</v>
      </c>
      <c r="Q792" t="s">
        <v>20134</v>
      </c>
    </row>
    <row r="793" spans="2:17" x14ac:dyDescent="0.25">
      <c r="B793">
        <v>785</v>
      </c>
      <c r="C793" t="s">
        <v>15408</v>
      </c>
      <c r="E793">
        <v>255</v>
      </c>
      <c r="F793">
        <v>76</v>
      </c>
      <c r="G793">
        <v>62</v>
      </c>
      <c r="H793">
        <v>9</v>
      </c>
      <c r="Q793" t="s">
        <v>20135</v>
      </c>
    </row>
    <row r="794" spans="2:17" x14ac:dyDescent="0.25">
      <c r="B794">
        <v>946</v>
      </c>
      <c r="C794" t="s">
        <v>17577</v>
      </c>
      <c r="E794">
        <v>255</v>
      </c>
      <c r="F794">
        <v>76</v>
      </c>
      <c r="G794">
        <v>62</v>
      </c>
      <c r="H794">
        <v>8</v>
      </c>
      <c r="P794" t="s">
        <v>20136</v>
      </c>
    </row>
    <row r="795" spans="2:17" x14ac:dyDescent="0.25">
      <c r="B795">
        <v>290</v>
      </c>
      <c r="C795" t="s">
        <v>20137</v>
      </c>
      <c r="E795">
        <v>242</v>
      </c>
      <c r="F795">
        <v>72</v>
      </c>
      <c r="G795">
        <v>59</v>
      </c>
      <c r="H795">
        <v>6</v>
      </c>
      <c r="O795" t="s">
        <v>20138</v>
      </c>
    </row>
    <row r="796" spans="2:17" x14ac:dyDescent="0.25">
      <c r="B796">
        <v>194</v>
      </c>
      <c r="C796" t="s">
        <v>20139</v>
      </c>
      <c r="E796">
        <v>242</v>
      </c>
      <c r="F796">
        <v>72</v>
      </c>
      <c r="G796">
        <v>59</v>
      </c>
      <c r="H796">
        <v>8</v>
      </c>
      <c r="P796" t="s">
        <v>20140</v>
      </c>
    </row>
    <row r="797" spans="2:17" x14ac:dyDescent="0.25">
      <c r="B797">
        <v>226</v>
      </c>
      <c r="C797" t="s">
        <v>20141</v>
      </c>
      <c r="E797">
        <v>242</v>
      </c>
      <c r="F797">
        <v>72</v>
      </c>
      <c r="G797">
        <v>59</v>
      </c>
      <c r="H797">
        <v>8</v>
      </c>
      <c r="P797" t="s">
        <v>20142</v>
      </c>
    </row>
    <row r="798" spans="2:17" x14ac:dyDescent="0.25">
      <c r="B798">
        <v>356</v>
      </c>
      <c r="C798" t="s">
        <v>20143</v>
      </c>
      <c r="E798">
        <v>242</v>
      </c>
      <c r="F798">
        <v>72</v>
      </c>
      <c r="G798">
        <v>59</v>
      </c>
      <c r="H798">
        <v>8</v>
      </c>
      <c r="P798" t="s">
        <v>20144</v>
      </c>
    </row>
    <row r="799" spans="2:17" x14ac:dyDescent="0.25">
      <c r="B799">
        <v>364</v>
      </c>
      <c r="C799" t="s">
        <v>20145</v>
      </c>
      <c r="E799">
        <v>242</v>
      </c>
      <c r="F799">
        <v>72</v>
      </c>
      <c r="G799">
        <v>59</v>
      </c>
      <c r="H799">
        <v>8</v>
      </c>
      <c r="P799" t="s">
        <v>20146</v>
      </c>
    </row>
    <row r="800" spans="2:17" x14ac:dyDescent="0.25">
      <c r="B800">
        <v>576073704</v>
      </c>
      <c r="C800" t="s">
        <v>20147</v>
      </c>
      <c r="E800">
        <v>242</v>
      </c>
      <c r="F800">
        <v>72</v>
      </c>
      <c r="G800">
        <v>59</v>
      </c>
      <c r="H800">
        <v>8</v>
      </c>
      <c r="P800" t="s">
        <v>20148</v>
      </c>
    </row>
    <row r="801" spans="2:17" x14ac:dyDescent="0.25">
      <c r="B801">
        <v>173</v>
      </c>
      <c r="C801" t="s">
        <v>20149</v>
      </c>
      <c r="E801">
        <v>242</v>
      </c>
      <c r="F801">
        <v>72</v>
      </c>
      <c r="G801">
        <v>59</v>
      </c>
      <c r="H801">
        <v>8</v>
      </c>
      <c r="P801" t="s">
        <v>20150</v>
      </c>
    </row>
    <row r="802" spans="2:17" x14ac:dyDescent="0.25">
      <c r="B802">
        <v>470</v>
      </c>
      <c r="C802" t="s">
        <v>20151</v>
      </c>
      <c r="E802">
        <v>242</v>
      </c>
      <c r="F802">
        <v>72</v>
      </c>
      <c r="G802">
        <v>59</v>
      </c>
      <c r="H802">
        <v>8</v>
      </c>
      <c r="P802" t="s">
        <v>20152</v>
      </c>
    </row>
    <row r="803" spans="2:17" x14ac:dyDescent="0.25">
      <c r="B803">
        <v>614</v>
      </c>
      <c r="C803" t="s">
        <v>20153</v>
      </c>
      <c r="E803">
        <v>242</v>
      </c>
      <c r="F803">
        <v>72</v>
      </c>
      <c r="G803">
        <v>59</v>
      </c>
      <c r="H803">
        <v>8</v>
      </c>
      <c r="P803" t="s">
        <v>20154</v>
      </c>
    </row>
    <row r="804" spans="2:17" x14ac:dyDescent="0.25">
      <c r="B804">
        <v>797</v>
      </c>
      <c r="C804" t="s">
        <v>20155</v>
      </c>
      <c r="E804">
        <v>242</v>
      </c>
      <c r="F804">
        <v>72</v>
      </c>
      <c r="G804">
        <v>59</v>
      </c>
      <c r="H804">
        <v>8</v>
      </c>
      <c r="P804" t="s">
        <v>20156</v>
      </c>
    </row>
    <row r="805" spans="2:17" x14ac:dyDescent="0.25">
      <c r="B805">
        <v>796</v>
      </c>
      <c r="C805" t="s">
        <v>16072</v>
      </c>
      <c r="E805">
        <v>242</v>
      </c>
      <c r="F805">
        <v>72</v>
      </c>
      <c r="G805">
        <v>59</v>
      </c>
      <c r="H805">
        <v>9</v>
      </c>
      <c r="Q805" t="s">
        <v>20157</v>
      </c>
    </row>
    <row r="806" spans="2:17" x14ac:dyDescent="0.25">
      <c r="B806">
        <v>804</v>
      </c>
      <c r="C806" t="s">
        <v>20158</v>
      </c>
      <c r="E806">
        <v>242</v>
      </c>
      <c r="F806">
        <v>72</v>
      </c>
      <c r="G806">
        <v>59</v>
      </c>
      <c r="H806">
        <v>9</v>
      </c>
      <c r="Q806" t="s">
        <v>20159</v>
      </c>
    </row>
    <row r="807" spans="2:17" x14ac:dyDescent="0.25">
      <c r="B807">
        <v>10671</v>
      </c>
      <c r="C807" t="s">
        <v>15429</v>
      </c>
      <c r="E807">
        <v>242</v>
      </c>
      <c r="F807">
        <v>72</v>
      </c>
      <c r="G807">
        <v>59</v>
      </c>
      <c r="H807">
        <v>8</v>
      </c>
      <c r="O807" t="s">
        <v>20160</v>
      </c>
    </row>
    <row r="808" spans="2:17" x14ac:dyDescent="0.25">
      <c r="B808">
        <v>313</v>
      </c>
      <c r="C808" t="s">
        <v>20161</v>
      </c>
      <c r="E808">
        <v>255</v>
      </c>
      <c r="F808">
        <v>100</v>
      </c>
      <c r="G808">
        <v>255</v>
      </c>
      <c r="H808">
        <v>5</v>
      </c>
      <c r="M808" t="s">
        <v>20162</v>
      </c>
    </row>
    <row r="809" spans="2:17" x14ac:dyDescent="0.25">
      <c r="B809">
        <v>339</v>
      </c>
      <c r="C809" t="s">
        <v>20163</v>
      </c>
      <c r="E809">
        <v>255</v>
      </c>
      <c r="F809">
        <v>122</v>
      </c>
      <c r="G809">
        <v>255</v>
      </c>
      <c r="H809">
        <v>6</v>
      </c>
      <c r="N809" t="s">
        <v>20164</v>
      </c>
    </row>
    <row r="810" spans="2:17" x14ac:dyDescent="0.25">
      <c r="B810">
        <v>302</v>
      </c>
      <c r="C810" t="s">
        <v>16970</v>
      </c>
      <c r="E810">
        <v>255</v>
      </c>
      <c r="F810">
        <v>122</v>
      </c>
      <c r="G810">
        <v>255</v>
      </c>
      <c r="H810">
        <v>8</v>
      </c>
      <c r="O810" t="s">
        <v>20165</v>
      </c>
    </row>
    <row r="811" spans="2:17" x14ac:dyDescent="0.25">
      <c r="B811">
        <v>851</v>
      </c>
      <c r="C811" t="s">
        <v>20166</v>
      </c>
      <c r="E811">
        <v>255</v>
      </c>
      <c r="F811">
        <v>122</v>
      </c>
      <c r="G811">
        <v>255</v>
      </c>
      <c r="H811">
        <v>9</v>
      </c>
      <c r="P811" t="s">
        <v>20167</v>
      </c>
    </row>
    <row r="812" spans="2:17" x14ac:dyDescent="0.25">
      <c r="B812">
        <v>842</v>
      </c>
      <c r="C812" t="s">
        <v>20168</v>
      </c>
      <c r="E812">
        <v>255</v>
      </c>
      <c r="F812">
        <v>122</v>
      </c>
      <c r="G812">
        <v>255</v>
      </c>
      <c r="H812">
        <v>9</v>
      </c>
      <c r="P812" t="s">
        <v>20169</v>
      </c>
    </row>
    <row r="813" spans="2:17" x14ac:dyDescent="0.25">
      <c r="B813">
        <v>834</v>
      </c>
      <c r="C813" t="s">
        <v>20170</v>
      </c>
      <c r="E813">
        <v>255</v>
      </c>
      <c r="F813">
        <v>122</v>
      </c>
      <c r="G813">
        <v>255</v>
      </c>
      <c r="H813">
        <v>9</v>
      </c>
      <c r="P813" t="s">
        <v>20171</v>
      </c>
    </row>
    <row r="814" spans="2:17" x14ac:dyDescent="0.25">
      <c r="B814">
        <v>4</v>
      </c>
      <c r="C814" t="s">
        <v>16978</v>
      </c>
      <c r="E814">
        <v>255</v>
      </c>
      <c r="F814">
        <v>122</v>
      </c>
      <c r="G814">
        <v>255</v>
      </c>
      <c r="H814">
        <v>8</v>
      </c>
      <c r="O814" t="s">
        <v>20172</v>
      </c>
    </row>
    <row r="815" spans="2:17" x14ac:dyDescent="0.25">
      <c r="B815">
        <v>811</v>
      </c>
      <c r="C815" t="s">
        <v>20173</v>
      </c>
      <c r="E815">
        <v>255</v>
      </c>
      <c r="F815">
        <v>122</v>
      </c>
      <c r="G815">
        <v>255</v>
      </c>
      <c r="H815">
        <v>9</v>
      </c>
      <c r="P815" t="s">
        <v>20174</v>
      </c>
    </row>
    <row r="816" spans="2:17" x14ac:dyDescent="0.25">
      <c r="B816">
        <v>820</v>
      </c>
      <c r="C816" t="s">
        <v>20175</v>
      </c>
      <c r="E816">
        <v>255</v>
      </c>
      <c r="F816">
        <v>122</v>
      </c>
      <c r="G816">
        <v>255</v>
      </c>
      <c r="H816">
        <v>9</v>
      </c>
      <c r="P816" t="s">
        <v>20176</v>
      </c>
    </row>
    <row r="817" spans="2:16" x14ac:dyDescent="0.25">
      <c r="B817">
        <v>828</v>
      </c>
      <c r="C817" t="s">
        <v>20177</v>
      </c>
      <c r="E817">
        <v>255</v>
      </c>
      <c r="F817">
        <v>122</v>
      </c>
      <c r="G817">
        <v>255</v>
      </c>
      <c r="H817">
        <v>9</v>
      </c>
      <c r="P817" t="s">
        <v>20178</v>
      </c>
    </row>
    <row r="818" spans="2:16" x14ac:dyDescent="0.25">
      <c r="B818">
        <v>580</v>
      </c>
      <c r="C818" t="s">
        <v>20179</v>
      </c>
      <c r="E818">
        <v>255</v>
      </c>
      <c r="F818">
        <v>122</v>
      </c>
      <c r="G818">
        <v>255</v>
      </c>
      <c r="H818">
        <v>8</v>
      </c>
      <c r="O818" t="s">
        <v>20180</v>
      </c>
    </row>
    <row r="819" spans="2:16" x14ac:dyDescent="0.25">
      <c r="B819">
        <v>271</v>
      </c>
      <c r="C819" t="s">
        <v>20181</v>
      </c>
      <c r="E819">
        <v>255</v>
      </c>
      <c r="F819">
        <v>122</v>
      </c>
      <c r="G819">
        <v>255</v>
      </c>
      <c r="H819">
        <v>8</v>
      </c>
      <c r="O819" t="s">
        <v>20182</v>
      </c>
    </row>
    <row r="820" spans="2:16" x14ac:dyDescent="0.25">
      <c r="B820">
        <v>874</v>
      </c>
      <c r="C820" t="s">
        <v>17293</v>
      </c>
      <c r="E820">
        <v>255</v>
      </c>
      <c r="F820">
        <v>122</v>
      </c>
      <c r="G820">
        <v>255</v>
      </c>
      <c r="H820">
        <v>8</v>
      </c>
      <c r="O820" t="s">
        <v>20183</v>
      </c>
    </row>
    <row r="821" spans="2:16" x14ac:dyDescent="0.25">
      <c r="B821">
        <v>460</v>
      </c>
      <c r="C821" t="s">
        <v>20184</v>
      </c>
      <c r="E821">
        <v>255</v>
      </c>
      <c r="F821">
        <v>122</v>
      </c>
      <c r="G821">
        <v>255</v>
      </c>
      <c r="H821">
        <v>8</v>
      </c>
      <c r="O821" t="s">
        <v>20185</v>
      </c>
    </row>
    <row r="822" spans="2:16" x14ac:dyDescent="0.25">
      <c r="B822">
        <v>599626923</v>
      </c>
      <c r="C822" t="s">
        <v>16611</v>
      </c>
      <c r="E822">
        <v>255</v>
      </c>
      <c r="F822">
        <v>122</v>
      </c>
      <c r="G822">
        <v>255</v>
      </c>
      <c r="H822">
        <v>8</v>
      </c>
      <c r="O822" t="s">
        <v>20186</v>
      </c>
    </row>
    <row r="823" spans="2:16" x14ac:dyDescent="0.25">
      <c r="B823">
        <v>323</v>
      </c>
      <c r="C823" t="s">
        <v>20187</v>
      </c>
      <c r="E823">
        <v>255</v>
      </c>
      <c r="F823">
        <v>144</v>
      </c>
      <c r="G823">
        <v>255</v>
      </c>
      <c r="H823">
        <v>6</v>
      </c>
      <c r="N823" t="s">
        <v>20188</v>
      </c>
    </row>
    <row r="824" spans="2:16" x14ac:dyDescent="0.25">
      <c r="B824">
        <v>381</v>
      </c>
      <c r="C824" t="s">
        <v>20189</v>
      </c>
      <c r="E824">
        <v>255</v>
      </c>
      <c r="F824">
        <v>144</v>
      </c>
      <c r="G824">
        <v>255</v>
      </c>
      <c r="H824">
        <v>8</v>
      </c>
      <c r="O824" t="s">
        <v>20190</v>
      </c>
    </row>
    <row r="825" spans="2:16" x14ac:dyDescent="0.25">
      <c r="B825">
        <v>749</v>
      </c>
      <c r="C825" t="s">
        <v>20191</v>
      </c>
      <c r="E825">
        <v>255</v>
      </c>
      <c r="F825">
        <v>144</v>
      </c>
      <c r="G825">
        <v>255</v>
      </c>
      <c r="H825">
        <v>8</v>
      </c>
      <c r="O825" t="s">
        <v>20192</v>
      </c>
    </row>
    <row r="826" spans="2:16" x14ac:dyDescent="0.25">
      <c r="B826">
        <v>607344830</v>
      </c>
      <c r="C826" t="s">
        <v>20193</v>
      </c>
      <c r="E826">
        <v>255</v>
      </c>
      <c r="F826">
        <v>144</v>
      </c>
      <c r="G826">
        <v>255</v>
      </c>
      <c r="H826">
        <v>8</v>
      </c>
      <c r="O826" t="s">
        <v>20194</v>
      </c>
    </row>
    <row r="827" spans="2:16" x14ac:dyDescent="0.25">
      <c r="B827">
        <v>246</v>
      </c>
      <c r="C827" t="s">
        <v>17436</v>
      </c>
      <c r="E827">
        <v>255</v>
      </c>
      <c r="F827">
        <v>144</v>
      </c>
      <c r="G827">
        <v>255</v>
      </c>
      <c r="H827">
        <v>8</v>
      </c>
      <c r="O827" t="s">
        <v>20195</v>
      </c>
    </row>
    <row r="828" spans="2:16" x14ac:dyDescent="0.25">
      <c r="B828">
        <v>128</v>
      </c>
      <c r="C828" t="s">
        <v>20196</v>
      </c>
      <c r="E828">
        <v>255</v>
      </c>
      <c r="F828">
        <v>144</v>
      </c>
      <c r="G828">
        <v>255</v>
      </c>
      <c r="H828">
        <v>8</v>
      </c>
      <c r="O828" t="s">
        <v>20197</v>
      </c>
    </row>
    <row r="829" spans="2:16" x14ac:dyDescent="0.25">
      <c r="B829">
        <v>539</v>
      </c>
      <c r="C829" t="s">
        <v>20198</v>
      </c>
      <c r="E829">
        <v>255</v>
      </c>
      <c r="F829">
        <v>144</v>
      </c>
      <c r="G829">
        <v>255</v>
      </c>
      <c r="H829">
        <v>9</v>
      </c>
      <c r="P829" t="s">
        <v>20199</v>
      </c>
    </row>
    <row r="830" spans="2:16" x14ac:dyDescent="0.25">
      <c r="B830">
        <v>548</v>
      </c>
      <c r="C830" t="s">
        <v>20200</v>
      </c>
      <c r="E830">
        <v>255</v>
      </c>
      <c r="F830">
        <v>144</v>
      </c>
      <c r="G830">
        <v>255</v>
      </c>
      <c r="H830">
        <v>9</v>
      </c>
      <c r="P830" t="s">
        <v>20201</v>
      </c>
    </row>
    <row r="831" spans="2:16" x14ac:dyDescent="0.25">
      <c r="B831">
        <v>555</v>
      </c>
      <c r="C831" t="s">
        <v>20202</v>
      </c>
      <c r="E831">
        <v>255</v>
      </c>
      <c r="F831">
        <v>144</v>
      </c>
      <c r="G831">
        <v>255</v>
      </c>
      <c r="H831">
        <v>9</v>
      </c>
      <c r="P831" t="s">
        <v>20203</v>
      </c>
    </row>
    <row r="832" spans="2:16" x14ac:dyDescent="0.25">
      <c r="B832">
        <v>294</v>
      </c>
      <c r="C832" t="s">
        <v>16954</v>
      </c>
      <c r="E832">
        <v>255</v>
      </c>
      <c r="F832">
        <v>144</v>
      </c>
      <c r="G832">
        <v>255</v>
      </c>
      <c r="H832">
        <v>8</v>
      </c>
      <c r="O832" t="s">
        <v>20204</v>
      </c>
    </row>
    <row r="833" spans="2:17" x14ac:dyDescent="0.25">
      <c r="B833">
        <v>26</v>
      </c>
      <c r="C833" t="s">
        <v>20205</v>
      </c>
      <c r="E833">
        <v>255</v>
      </c>
      <c r="F833">
        <v>144</v>
      </c>
      <c r="G833">
        <v>255</v>
      </c>
      <c r="H833">
        <v>9</v>
      </c>
      <c r="P833" t="s">
        <v>20206</v>
      </c>
    </row>
    <row r="834" spans="2:17" x14ac:dyDescent="0.25">
      <c r="B834">
        <v>42</v>
      </c>
      <c r="C834" t="s">
        <v>20207</v>
      </c>
      <c r="E834">
        <v>255</v>
      </c>
      <c r="F834">
        <v>144</v>
      </c>
      <c r="G834">
        <v>255</v>
      </c>
      <c r="H834">
        <v>9</v>
      </c>
      <c r="P834" t="s">
        <v>20208</v>
      </c>
    </row>
    <row r="835" spans="2:17" x14ac:dyDescent="0.25">
      <c r="B835">
        <v>17</v>
      </c>
      <c r="C835" t="s">
        <v>20209</v>
      </c>
      <c r="E835">
        <v>255</v>
      </c>
      <c r="F835">
        <v>144</v>
      </c>
      <c r="G835">
        <v>255</v>
      </c>
      <c r="H835">
        <v>9</v>
      </c>
      <c r="P835" t="s">
        <v>20210</v>
      </c>
    </row>
    <row r="836" spans="2:17" x14ac:dyDescent="0.25">
      <c r="B836">
        <v>10</v>
      </c>
      <c r="C836" t="s">
        <v>20211</v>
      </c>
      <c r="E836">
        <v>255</v>
      </c>
      <c r="F836">
        <v>144</v>
      </c>
      <c r="G836">
        <v>255</v>
      </c>
      <c r="H836">
        <v>9</v>
      </c>
      <c r="P836" t="s">
        <v>20212</v>
      </c>
    </row>
    <row r="837" spans="2:17" x14ac:dyDescent="0.25">
      <c r="B837">
        <v>494</v>
      </c>
      <c r="C837" t="s">
        <v>20213</v>
      </c>
      <c r="E837">
        <v>255</v>
      </c>
      <c r="F837">
        <v>144</v>
      </c>
      <c r="G837">
        <v>255</v>
      </c>
      <c r="H837">
        <v>10</v>
      </c>
      <c r="Q837" t="s">
        <v>20214</v>
      </c>
    </row>
    <row r="838" spans="2:17" x14ac:dyDescent="0.25">
      <c r="B838">
        <v>503</v>
      </c>
      <c r="C838" t="s">
        <v>20215</v>
      </c>
      <c r="E838">
        <v>255</v>
      </c>
      <c r="F838">
        <v>144</v>
      </c>
      <c r="G838">
        <v>255</v>
      </c>
      <c r="H838">
        <v>10</v>
      </c>
      <c r="Q838" t="s">
        <v>20216</v>
      </c>
    </row>
    <row r="839" spans="2:17" x14ac:dyDescent="0.25">
      <c r="B839">
        <v>511</v>
      </c>
      <c r="C839" t="s">
        <v>20217</v>
      </c>
      <c r="E839">
        <v>255</v>
      </c>
      <c r="F839">
        <v>144</v>
      </c>
      <c r="G839">
        <v>255</v>
      </c>
      <c r="H839">
        <v>10</v>
      </c>
      <c r="Q839" t="s">
        <v>20218</v>
      </c>
    </row>
    <row r="840" spans="2:17" x14ac:dyDescent="0.25">
      <c r="B840">
        <v>795</v>
      </c>
      <c r="C840" t="s">
        <v>20219</v>
      </c>
      <c r="E840">
        <v>255</v>
      </c>
      <c r="F840">
        <v>144</v>
      </c>
      <c r="G840">
        <v>255</v>
      </c>
      <c r="H840">
        <v>8</v>
      </c>
      <c r="O840" t="s">
        <v>20220</v>
      </c>
    </row>
    <row r="841" spans="2:17" x14ac:dyDescent="0.25">
      <c r="B841">
        <v>50</v>
      </c>
      <c r="C841" t="s">
        <v>20221</v>
      </c>
      <c r="E841">
        <v>255</v>
      </c>
      <c r="F841">
        <v>144</v>
      </c>
      <c r="G841">
        <v>255</v>
      </c>
      <c r="H841">
        <v>9</v>
      </c>
      <c r="P841" t="s">
        <v>20222</v>
      </c>
    </row>
    <row r="842" spans="2:17" x14ac:dyDescent="0.25">
      <c r="B842">
        <v>67</v>
      </c>
      <c r="C842" t="s">
        <v>20223</v>
      </c>
      <c r="E842">
        <v>255</v>
      </c>
      <c r="F842">
        <v>144</v>
      </c>
      <c r="G842">
        <v>255</v>
      </c>
      <c r="H842">
        <v>9</v>
      </c>
      <c r="P842" t="s">
        <v>20224</v>
      </c>
    </row>
    <row r="843" spans="2:17" x14ac:dyDescent="0.25">
      <c r="B843">
        <v>587</v>
      </c>
      <c r="C843" t="s">
        <v>20225</v>
      </c>
      <c r="E843">
        <v>255</v>
      </c>
      <c r="F843">
        <v>144</v>
      </c>
      <c r="G843">
        <v>255</v>
      </c>
      <c r="H843">
        <v>9</v>
      </c>
      <c r="P843" t="s">
        <v>20226</v>
      </c>
    </row>
    <row r="844" spans="2:17" x14ac:dyDescent="0.25">
      <c r="B844">
        <v>614454277</v>
      </c>
      <c r="C844" t="s">
        <v>20227</v>
      </c>
      <c r="E844">
        <v>255</v>
      </c>
      <c r="F844">
        <v>144</v>
      </c>
      <c r="G844">
        <v>255</v>
      </c>
      <c r="H844">
        <v>9</v>
      </c>
      <c r="P844" t="s">
        <v>20228</v>
      </c>
    </row>
    <row r="845" spans="2:17" x14ac:dyDescent="0.25">
      <c r="B845">
        <v>1100</v>
      </c>
      <c r="C845" t="s">
        <v>20229</v>
      </c>
      <c r="E845">
        <v>255</v>
      </c>
      <c r="F845">
        <v>144</v>
      </c>
      <c r="G845">
        <v>255</v>
      </c>
      <c r="H845">
        <v>8</v>
      </c>
      <c r="O845" t="s">
        <v>20230</v>
      </c>
    </row>
    <row r="846" spans="2:17" x14ac:dyDescent="0.25">
      <c r="B846">
        <v>215</v>
      </c>
      <c r="C846" t="s">
        <v>20231</v>
      </c>
      <c r="E846">
        <v>255</v>
      </c>
      <c r="F846">
        <v>144</v>
      </c>
      <c r="G846">
        <v>255</v>
      </c>
      <c r="H846">
        <v>9</v>
      </c>
      <c r="P846" t="s">
        <v>20232</v>
      </c>
    </row>
    <row r="847" spans="2:17" x14ac:dyDescent="0.25">
      <c r="B847">
        <v>531</v>
      </c>
      <c r="C847" t="s">
        <v>16764</v>
      </c>
      <c r="E847">
        <v>255</v>
      </c>
      <c r="F847">
        <v>144</v>
      </c>
      <c r="G847">
        <v>255</v>
      </c>
      <c r="H847">
        <v>9</v>
      </c>
      <c r="P847" t="s">
        <v>20233</v>
      </c>
    </row>
    <row r="848" spans="2:17" x14ac:dyDescent="0.25">
      <c r="B848">
        <v>628</v>
      </c>
      <c r="C848" t="s">
        <v>20234</v>
      </c>
      <c r="E848">
        <v>255</v>
      </c>
      <c r="F848">
        <v>144</v>
      </c>
      <c r="G848">
        <v>255</v>
      </c>
      <c r="H848">
        <v>9</v>
      </c>
      <c r="P848" t="s">
        <v>20235</v>
      </c>
    </row>
    <row r="849" spans="2:16" x14ac:dyDescent="0.25">
      <c r="B849">
        <v>634</v>
      </c>
      <c r="C849" t="s">
        <v>20236</v>
      </c>
      <c r="E849">
        <v>255</v>
      </c>
      <c r="F849">
        <v>144</v>
      </c>
      <c r="G849">
        <v>255</v>
      </c>
      <c r="H849">
        <v>9</v>
      </c>
      <c r="P849" t="s">
        <v>20237</v>
      </c>
    </row>
    <row r="850" spans="2:16" x14ac:dyDescent="0.25">
      <c r="B850">
        <v>706</v>
      </c>
      <c r="C850" t="s">
        <v>20238</v>
      </c>
      <c r="E850">
        <v>255</v>
      </c>
      <c r="F850">
        <v>144</v>
      </c>
      <c r="G850">
        <v>255</v>
      </c>
      <c r="H850">
        <v>9</v>
      </c>
      <c r="P850" t="s">
        <v>20239</v>
      </c>
    </row>
    <row r="851" spans="2:16" x14ac:dyDescent="0.25">
      <c r="B851">
        <v>1061</v>
      </c>
      <c r="C851" t="s">
        <v>20240</v>
      </c>
      <c r="E851">
        <v>255</v>
      </c>
      <c r="F851">
        <v>144</v>
      </c>
      <c r="G851">
        <v>255</v>
      </c>
      <c r="H851">
        <v>9</v>
      </c>
      <c r="P851" t="s">
        <v>20241</v>
      </c>
    </row>
    <row r="852" spans="2:16" x14ac:dyDescent="0.25">
      <c r="B852">
        <v>549009203</v>
      </c>
      <c r="C852" t="s">
        <v>20242</v>
      </c>
      <c r="E852">
        <v>255</v>
      </c>
      <c r="F852">
        <v>144</v>
      </c>
      <c r="G852">
        <v>255</v>
      </c>
      <c r="H852">
        <v>9</v>
      </c>
      <c r="P852" t="s">
        <v>20243</v>
      </c>
    </row>
    <row r="853" spans="2:16" x14ac:dyDescent="0.25">
      <c r="B853">
        <v>549009207</v>
      </c>
      <c r="C853" t="s">
        <v>20244</v>
      </c>
      <c r="E853">
        <v>255</v>
      </c>
      <c r="F853">
        <v>144</v>
      </c>
      <c r="G853">
        <v>255</v>
      </c>
      <c r="H853">
        <v>8</v>
      </c>
      <c r="O853" t="s">
        <v>20245</v>
      </c>
    </row>
    <row r="854" spans="2:16" x14ac:dyDescent="0.25">
      <c r="B854">
        <v>616</v>
      </c>
      <c r="C854" t="s">
        <v>20246</v>
      </c>
      <c r="E854">
        <v>255</v>
      </c>
      <c r="F854">
        <v>144</v>
      </c>
      <c r="G854">
        <v>255</v>
      </c>
      <c r="H854">
        <v>8</v>
      </c>
      <c r="O854" t="s">
        <v>20247</v>
      </c>
    </row>
    <row r="855" spans="2:16" x14ac:dyDescent="0.25">
      <c r="B855">
        <v>214</v>
      </c>
      <c r="C855" t="s">
        <v>20248</v>
      </c>
      <c r="E855">
        <v>255</v>
      </c>
      <c r="F855">
        <v>144</v>
      </c>
      <c r="G855">
        <v>255</v>
      </c>
      <c r="H855">
        <v>8</v>
      </c>
      <c r="O855" t="s">
        <v>20249</v>
      </c>
    </row>
    <row r="856" spans="2:16" x14ac:dyDescent="0.25">
      <c r="B856">
        <v>35</v>
      </c>
      <c r="C856" t="s">
        <v>1089</v>
      </c>
      <c r="E856">
        <v>255</v>
      </c>
      <c r="F856">
        <v>144</v>
      </c>
      <c r="G856">
        <v>255</v>
      </c>
      <c r="H856">
        <v>8</v>
      </c>
      <c r="O856" t="s">
        <v>20250</v>
      </c>
    </row>
    <row r="857" spans="2:16" x14ac:dyDescent="0.25">
      <c r="B857">
        <v>549009211</v>
      </c>
      <c r="C857" t="s">
        <v>20251</v>
      </c>
      <c r="E857">
        <v>255</v>
      </c>
      <c r="F857">
        <v>144</v>
      </c>
      <c r="G857">
        <v>255</v>
      </c>
      <c r="H857">
        <v>8</v>
      </c>
      <c r="O857" t="s">
        <v>20252</v>
      </c>
    </row>
    <row r="858" spans="2:16" x14ac:dyDescent="0.25">
      <c r="B858">
        <v>975</v>
      </c>
      <c r="C858" t="s">
        <v>20253</v>
      </c>
      <c r="E858">
        <v>255</v>
      </c>
      <c r="F858">
        <v>144</v>
      </c>
      <c r="G858">
        <v>255</v>
      </c>
      <c r="H858">
        <v>8</v>
      </c>
      <c r="O858" t="s">
        <v>3763</v>
      </c>
    </row>
    <row r="859" spans="2:16" x14ac:dyDescent="0.25">
      <c r="B859">
        <v>115</v>
      </c>
      <c r="C859" t="s">
        <v>1091</v>
      </c>
      <c r="E859">
        <v>255</v>
      </c>
      <c r="F859">
        <v>144</v>
      </c>
      <c r="G859">
        <v>255</v>
      </c>
      <c r="H859">
        <v>8</v>
      </c>
      <c r="O859" t="s">
        <v>20254</v>
      </c>
    </row>
    <row r="860" spans="2:16" x14ac:dyDescent="0.25">
      <c r="B860">
        <v>606826663</v>
      </c>
      <c r="C860" t="s">
        <v>17339</v>
      </c>
      <c r="E860">
        <v>255</v>
      </c>
      <c r="F860">
        <v>144</v>
      </c>
      <c r="G860">
        <v>255</v>
      </c>
      <c r="H860">
        <v>8</v>
      </c>
      <c r="O860" t="s">
        <v>20255</v>
      </c>
    </row>
    <row r="861" spans="2:16" x14ac:dyDescent="0.25">
      <c r="B861">
        <v>757</v>
      </c>
      <c r="C861" t="s">
        <v>20256</v>
      </c>
      <c r="E861">
        <v>255</v>
      </c>
      <c r="F861">
        <v>144</v>
      </c>
      <c r="G861">
        <v>255</v>
      </c>
      <c r="H861">
        <v>8</v>
      </c>
      <c r="O861" t="s">
        <v>20257</v>
      </c>
    </row>
    <row r="862" spans="2:16" x14ac:dyDescent="0.25">
      <c r="B862">
        <v>231</v>
      </c>
      <c r="C862" t="s">
        <v>20258</v>
      </c>
      <c r="E862">
        <v>255</v>
      </c>
      <c r="F862">
        <v>144</v>
      </c>
      <c r="G862">
        <v>255</v>
      </c>
      <c r="H862">
        <v>8</v>
      </c>
      <c r="O862" t="s">
        <v>20259</v>
      </c>
    </row>
    <row r="863" spans="2:16" x14ac:dyDescent="0.25">
      <c r="B863">
        <v>66</v>
      </c>
      <c r="C863" t="s">
        <v>20260</v>
      </c>
      <c r="E863">
        <v>255</v>
      </c>
      <c r="F863">
        <v>144</v>
      </c>
      <c r="G863">
        <v>255</v>
      </c>
      <c r="H863">
        <v>8</v>
      </c>
      <c r="O863" t="s">
        <v>20261</v>
      </c>
    </row>
    <row r="864" spans="2:16" x14ac:dyDescent="0.25">
      <c r="B864">
        <v>75</v>
      </c>
      <c r="C864" t="s">
        <v>16771</v>
      </c>
      <c r="E864">
        <v>255</v>
      </c>
      <c r="F864">
        <v>144</v>
      </c>
      <c r="G864">
        <v>255</v>
      </c>
      <c r="H864">
        <v>8</v>
      </c>
      <c r="O864" t="s">
        <v>20262</v>
      </c>
    </row>
    <row r="865" spans="2:17" x14ac:dyDescent="0.25">
      <c r="B865">
        <v>58</v>
      </c>
      <c r="C865" t="s">
        <v>20263</v>
      </c>
      <c r="E865">
        <v>255</v>
      </c>
      <c r="F865">
        <v>144</v>
      </c>
      <c r="G865">
        <v>255</v>
      </c>
      <c r="H865">
        <v>8</v>
      </c>
      <c r="O865" t="s">
        <v>20264</v>
      </c>
    </row>
    <row r="866" spans="2:17" x14ac:dyDescent="0.25">
      <c r="B866">
        <v>615</v>
      </c>
      <c r="C866" t="s">
        <v>20265</v>
      </c>
      <c r="E866">
        <v>255</v>
      </c>
      <c r="F866">
        <v>144</v>
      </c>
      <c r="G866">
        <v>255</v>
      </c>
      <c r="H866">
        <v>8</v>
      </c>
      <c r="O866" t="s">
        <v>20266</v>
      </c>
    </row>
    <row r="867" spans="2:17" x14ac:dyDescent="0.25">
      <c r="B867">
        <v>348</v>
      </c>
      <c r="C867" t="s">
        <v>20267</v>
      </c>
      <c r="E867">
        <v>255</v>
      </c>
      <c r="F867">
        <v>144</v>
      </c>
      <c r="G867">
        <v>255</v>
      </c>
      <c r="H867">
        <v>6</v>
      </c>
      <c r="N867" t="s">
        <v>20268</v>
      </c>
    </row>
    <row r="868" spans="2:17" x14ac:dyDescent="0.25">
      <c r="B868">
        <v>374</v>
      </c>
      <c r="C868" t="s">
        <v>20269</v>
      </c>
      <c r="E868">
        <v>255</v>
      </c>
      <c r="F868">
        <v>166</v>
      </c>
      <c r="G868">
        <v>255</v>
      </c>
      <c r="H868">
        <v>8</v>
      </c>
      <c r="O868" t="s">
        <v>20270</v>
      </c>
    </row>
    <row r="869" spans="2:17" x14ac:dyDescent="0.25">
      <c r="B869">
        <v>1052</v>
      </c>
      <c r="C869" t="s">
        <v>20271</v>
      </c>
      <c r="E869">
        <v>255</v>
      </c>
      <c r="F869">
        <v>166</v>
      </c>
      <c r="G869">
        <v>255</v>
      </c>
      <c r="H869">
        <v>8</v>
      </c>
      <c r="O869" t="s">
        <v>20272</v>
      </c>
    </row>
    <row r="870" spans="2:17" x14ac:dyDescent="0.25">
      <c r="B870">
        <v>165</v>
      </c>
      <c r="C870" t="s">
        <v>20273</v>
      </c>
      <c r="E870">
        <v>255</v>
      </c>
      <c r="F870">
        <v>166</v>
      </c>
      <c r="G870">
        <v>255</v>
      </c>
      <c r="H870">
        <v>7</v>
      </c>
      <c r="O870" t="s">
        <v>20274</v>
      </c>
    </row>
    <row r="871" spans="2:17" x14ac:dyDescent="0.25">
      <c r="B871">
        <v>12</v>
      </c>
      <c r="C871" t="s">
        <v>17229</v>
      </c>
      <c r="E871">
        <v>255</v>
      </c>
      <c r="F871">
        <v>166</v>
      </c>
      <c r="G871">
        <v>255</v>
      </c>
      <c r="H871">
        <v>8</v>
      </c>
      <c r="P871" t="s">
        <v>20275</v>
      </c>
    </row>
    <row r="872" spans="2:17" x14ac:dyDescent="0.25">
      <c r="B872">
        <v>100</v>
      </c>
      <c r="C872" t="s">
        <v>20276</v>
      </c>
      <c r="E872">
        <v>255</v>
      </c>
      <c r="F872">
        <v>166</v>
      </c>
      <c r="G872">
        <v>255</v>
      </c>
      <c r="H872">
        <v>8</v>
      </c>
      <c r="P872" t="s">
        <v>20277</v>
      </c>
    </row>
    <row r="873" spans="2:17" x14ac:dyDescent="0.25">
      <c r="B873">
        <v>607344834</v>
      </c>
      <c r="C873" t="s">
        <v>17469</v>
      </c>
      <c r="E873">
        <v>255</v>
      </c>
      <c r="F873">
        <v>166</v>
      </c>
      <c r="G873">
        <v>255</v>
      </c>
      <c r="H873">
        <v>9</v>
      </c>
      <c r="Q873" t="s">
        <v>20278</v>
      </c>
    </row>
    <row r="874" spans="2:17" x14ac:dyDescent="0.25">
      <c r="B874">
        <v>607344838</v>
      </c>
      <c r="C874" t="s">
        <v>17473</v>
      </c>
      <c r="E874">
        <v>255</v>
      </c>
      <c r="F874">
        <v>166</v>
      </c>
      <c r="G874">
        <v>255</v>
      </c>
      <c r="H874">
        <v>9</v>
      </c>
      <c r="Q874" t="s">
        <v>20279</v>
      </c>
    </row>
    <row r="875" spans="2:17" x14ac:dyDescent="0.25">
      <c r="B875">
        <v>607344842</v>
      </c>
      <c r="C875" t="s">
        <v>17460</v>
      </c>
      <c r="E875">
        <v>255</v>
      </c>
      <c r="F875">
        <v>166</v>
      </c>
      <c r="G875">
        <v>255</v>
      </c>
      <c r="H875">
        <v>9</v>
      </c>
      <c r="Q875" t="s">
        <v>20280</v>
      </c>
    </row>
    <row r="876" spans="2:17" x14ac:dyDescent="0.25">
      <c r="B876">
        <v>607344846</v>
      </c>
      <c r="C876" t="s">
        <v>15351</v>
      </c>
      <c r="E876">
        <v>255</v>
      </c>
      <c r="F876">
        <v>166</v>
      </c>
      <c r="G876">
        <v>255</v>
      </c>
      <c r="H876">
        <v>9</v>
      </c>
      <c r="Q876" t="s">
        <v>20281</v>
      </c>
    </row>
    <row r="877" spans="2:17" x14ac:dyDescent="0.25">
      <c r="B877">
        <v>607344850</v>
      </c>
      <c r="C877" t="s">
        <v>20282</v>
      </c>
      <c r="E877">
        <v>255</v>
      </c>
      <c r="F877">
        <v>166</v>
      </c>
      <c r="G877">
        <v>255</v>
      </c>
      <c r="H877">
        <v>9</v>
      </c>
      <c r="Q877" t="s">
        <v>20283</v>
      </c>
    </row>
    <row r="878" spans="2:17" x14ac:dyDescent="0.25">
      <c r="B878">
        <v>607344854</v>
      </c>
      <c r="C878" t="s">
        <v>17470</v>
      </c>
      <c r="E878">
        <v>255</v>
      </c>
      <c r="F878">
        <v>166</v>
      </c>
      <c r="G878">
        <v>255</v>
      </c>
      <c r="H878">
        <v>9</v>
      </c>
      <c r="Q878" t="s">
        <v>20284</v>
      </c>
    </row>
    <row r="879" spans="2:17" x14ac:dyDescent="0.25">
      <c r="B879">
        <v>607344858</v>
      </c>
      <c r="C879" t="s">
        <v>17471</v>
      </c>
      <c r="E879">
        <v>255</v>
      </c>
      <c r="F879">
        <v>166</v>
      </c>
      <c r="G879">
        <v>255</v>
      </c>
      <c r="H879">
        <v>9</v>
      </c>
      <c r="Q879" t="s">
        <v>20285</v>
      </c>
    </row>
    <row r="880" spans="2:17" x14ac:dyDescent="0.25">
      <c r="B880">
        <v>607344862</v>
      </c>
      <c r="C880" t="s">
        <v>17472</v>
      </c>
      <c r="E880">
        <v>255</v>
      </c>
      <c r="F880">
        <v>166</v>
      </c>
      <c r="G880">
        <v>255</v>
      </c>
      <c r="H880">
        <v>9</v>
      </c>
      <c r="Q880" t="s">
        <v>20286</v>
      </c>
    </row>
    <row r="881" spans="2:18" x14ac:dyDescent="0.25">
      <c r="B881">
        <v>197</v>
      </c>
      <c r="C881" t="s">
        <v>20287</v>
      </c>
      <c r="E881">
        <v>255</v>
      </c>
      <c r="F881">
        <v>166</v>
      </c>
      <c r="G881">
        <v>255</v>
      </c>
      <c r="H881">
        <v>8</v>
      </c>
      <c r="P881" t="s">
        <v>20288</v>
      </c>
    </row>
    <row r="882" spans="2:18" x14ac:dyDescent="0.25">
      <c r="B882">
        <v>591</v>
      </c>
      <c r="C882" t="s">
        <v>20289</v>
      </c>
      <c r="E882">
        <v>255</v>
      </c>
      <c r="F882">
        <v>166</v>
      </c>
      <c r="G882">
        <v>255</v>
      </c>
      <c r="H882">
        <v>8</v>
      </c>
      <c r="P882" t="s">
        <v>20290</v>
      </c>
    </row>
    <row r="883" spans="2:18" x14ac:dyDescent="0.25">
      <c r="B883">
        <v>872</v>
      </c>
      <c r="C883" t="s">
        <v>20291</v>
      </c>
      <c r="E883">
        <v>255</v>
      </c>
      <c r="F883">
        <v>166</v>
      </c>
      <c r="G883">
        <v>255</v>
      </c>
      <c r="H883">
        <v>8</v>
      </c>
      <c r="P883" t="s">
        <v>20292</v>
      </c>
    </row>
    <row r="884" spans="2:18" x14ac:dyDescent="0.25">
      <c r="B884">
        <v>1065</v>
      </c>
      <c r="C884" t="s">
        <v>20293</v>
      </c>
      <c r="E884">
        <v>255</v>
      </c>
      <c r="F884">
        <v>155</v>
      </c>
      <c r="G884">
        <v>136</v>
      </c>
      <c r="H884">
        <v>3</v>
      </c>
      <c r="M884" t="s">
        <v>20294</v>
      </c>
    </row>
    <row r="885" spans="2:18" x14ac:dyDescent="0.25">
      <c r="B885">
        <v>771</v>
      </c>
      <c r="C885" t="s">
        <v>20295</v>
      </c>
      <c r="E885">
        <v>255</v>
      </c>
      <c r="F885">
        <v>155</v>
      </c>
      <c r="G885">
        <v>136</v>
      </c>
      <c r="H885">
        <v>5</v>
      </c>
      <c r="N885" t="s">
        <v>20296</v>
      </c>
    </row>
    <row r="886" spans="2:18" x14ac:dyDescent="0.25">
      <c r="B886">
        <v>1132</v>
      </c>
      <c r="C886" t="s">
        <v>20297</v>
      </c>
      <c r="E886">
        <v>255</v>
      </c>
      <c r="F886">
        <v>174</v>
      </c>
      <c r="G886">
        <v>111</v>
      </c>
      <c r="H886">
        <v>6</v>
      </c>
      <c r="O886" t="s">
        <v>20298</v>
      </c>
    </row>
    <row r="887" spans="2:18" x14ac:dyDescent="0.25">
      <c r="B887">
        <v>612</v>
      </c>
      <c r="C887" t="s">
        <v>20299</v>
      </c>
      <c r="E887">
        <v>255</v>
      </c>
      <c r="F887">
        <v>174</v>
      </c>
      <c r="G887">
        <v>111</v>
      </c>
      <c r="H887">
        <v>8</v>
      </c>
      <c r="P887" t="s">
        <v>20300</v>
      </c>
    </row>
    <row r="888" spans="2:18" x14ac:dyDescent="0.25">
      <c r="B888">
        <v>82</v>
      </c>
      <c r="C888" t="s">
        <v>20301</v>
      </c>
      <c r="E888">
        <v>255</v>
      </c>
      <c r="F888">
        <v>174</v>
      </c>
      <c r="G888">
        <v>111</v>
      </c>
      <c r="H888">
        <v>9</v>
      </c>
      <c r="Q888" t="s">
        <v>20302</v>
      </c>
    </row>
    <row r="889" spans="2:18" x14ac:dyDescent="0.25">
      <c r="B889">
        <v>90</v>
      </c>
      <c r="C889" t="s">
        <v>20303</v>
      </c>
      <c r="E889">
        <v>255</v>
      </c>
      <c r="F889">
        <v>174</v>
      </c>
      <c r="G889">
        <v>111</v>
      </c>
      <c r="H889">
        <v>9</v>
      </c>
      <c r="Q889" t="s">
        <v>20304</v>
      </c>
    </row>
    <row r="890" spans="2:18" x14ac:dyDescent="0.25">
      <c r="B890">
        <v>99</v>
      </c>
      <c r="C890" t="s">
        <v>20305</v>
      </c>
      <c r="E890">
        <v>255</v>
      </c>
      <c r="F890">
        <v>174</v>
      </c>
      <c r="G890">
        <v>111</v>
      </c>
      <c r="H890">
        <v>9</v>
      </c>
      <c r="Q890" t="s">
        <v>20306</v>
      </c>
    </row>
    <row r="891" spans="2:18" x14ac:dyDescent="0.25">
      <c r="B891">
        <v>7</v>
      </c>
      <c r="C891" t="s">
        <v>20307</v>
      </c>
      <c r="E891">
        <v>255</v>
      </c>
      <c r="F891">
        <v>174</v>
      </c>
      <c r="G891">
        <v>111</v>
      </c>
      <c r="H891">
        <v>8</v>
      </c>
      <c r="P891" t="s">
        <v>20308</v>
      </c>
    </row>
    <row r="892" spans="2:18" x14ac:dyDescent="0.25">
      <c r="B892">
        <v>867</v>
      </c>
      <c r="C892" t="s">
        <v>20309</v>
      </c>
      <c r="E892">
        <v>255</v>
      </c>
      <c r="F892">
        <v>174</v>
      </c>
      <c r="G892">
        <v>111</v>
      </c>
      <c r="H892">
        <v>8</v>
      </c>
      <c r="P892" t="s">
        <v>20310</v>
      </c>
    </row>
    <row r="893" spans="2:18" x14ac:dyDescent="0.25">
      <c r="B893">
        <v>123</v>
      </c>
      <c r="C893" t="s">
        <v>17284</v>
      </c>
      <c r="E893">
        <v>255</v>
      </c>
      <c r="F893">
        <v>174</v>
      </c>
      <c r="G893">
        <v>111</v>
      </c>
      <c r="H893">
        <v>9</v>
      </c>
      <c r="Q893" t="s">
        <v>20311</v>
      </c>
    </row>
    <row r="894" spans="2:18" x14ac:dyDescent="0.25">
      <c r="B894">
        <v>881</v>
      </c>
      <c r="C894" t="s">
        <v>20312</v>
      </c>
      <c r="E894">
        <v>255</v>
      </c>
      <c r="F894">
        <v>174</v>
      </c>
      <c r="G894">
        <v>111</v>
      </c>
      <c r="H894">
        <v>9</v>
      </c>
      <c r="Q894" t="s">
        <v>20313</v>
      </c>
    </row>
    <row r="895" spans="2:18" x14ac:dyDescent="0.25">
      <c r="B895">
        <v>860</v>
      </c>
      <c r="C895" t="s">
        <v>20314</v>
      </c>
      <c r="E895">
        <v>255</v>
      </c>
      <c r="F895">
        <v>174</v>
      </c>
      <c r="G895">
        <v>111</v>
      </c>
      <c r="H895">
        <v>10</v>
      </c>
      <c r="R895" t="s">
        <v>20315</v>
      </c>
    </row>
    <row r="896" spans="2:18" x14ac:dyDescent="0.25">
      <c r="B896">
        <v>868</v>
      </c>
      <c r="C896" t="s">
        <v>20316</v>
      </c>
      <c r="E896">
        <v>255</v>
      </c>
      <c r="F896">
        <v>174</v>
      </c>
      <c r="G896">
        <v>111</v>
      </c>
      <c r="H896">
        <v>10</v>
      </c>
      <c r="R896" t="s">
        <v>20317</v>
      </c>
    </row>
    <row r="897" spans="2:18" x14ac:dyDescent="0.25">
      <c r="B897">
        <v>875</v>
      </c>
      <c r="C897" t="s">
        <v>20318</v>
      </c>
      <c r="E897">
        <v>255</v>
      </c>
      <c r="F897">
        <v>174</v>
      </c>
      <c r="G897">
        <v>111</v>
      </c>
      <c r="H897">
        <v>10</v>
      </c>
      <c r="R897" t="s">
        <v>20319</v>
      </c>
    </row>
    <row r="898" spans="2:18" x14ac:dyDescent="0.25">
      <c r="B898">
        <v>883</v>
      </c>
      <c r="C898" t="s">
        <v>20320</v>
      </c>
      <c r="E898">
        <v>255</v>
      </c>
      <c r="F898">
        <v>174</v>
      </c>
      <c r="G898">
        <v>111</v>
      </c>
      <c r="H898">
        <v>10</v>
      </c>
      <c r="R898" t="s">
        <v>20321</v>
      </c>
    </row>
    <row r="899" spans="2:18" x14ac:dyDescent="0.25">
      <c r="B899">
        <v>891</v>
      </c>
      <c r="C899" t="s">
        <v>20322</v>
      </c>
      <c r="E899">
        <v>255</v>
      </c>
      <c r="F899">
        <v>174</v>
      </c>
      <c r="G899">
        <v>111</v>
      </c>
      <c r="H899">
        <v>10</v>
      </c>
      <c r="R899" t="s">
        <v>20323</v>
      </c>
    </row>
    <row r="900" spans="2:18" x14ac:dyDescent="0.25">
      <c r="B900">
        <v>890</v>
      </c>
      <c r="C900" t="s">
        <v>17277</v>
      </c>
      <c r="E900">
        <v>255</v>
      </c>
      <c r="F900">
        <v>174</v>
      </c>
      <c r="G900">
        <v>111</v>
      </c>
      <c r="H900">
        <v>9</v>
      </c>
      <c r="Q900" t="s">
        <v>20324</v>
      </c>
    </row>
    <row r="901" spans="2:18" x14ac:dyDescent="0.25">
      <c r="B901">
        <v>899</v>
      </c>
      <c r="C901" t="s">
        <v>20325</v>
      </c>
      <c r="E901">
        <v>255</v>
      </c>
      <c r="F901">
        <v>174</v>
      </c>
      <c r="G901">
        <v>111</v>
      </c>
      <c r="H901">
        <v>10</v>
      </c>
      <c r="R901" t="s">
        <v>20326</v>
      </c>
    </row>
    <row r="902" spans="2:18" x14ac:dyDescent="0.25">
      <c r="B902">
        <v>915</v>
      </c>
      <c r="C902" t="s">
        <v>20327</v>
      </c>
      <c r="E902">
        <v>255</v>
      </c>
      <c r="F902">
        <v>174</v>
      </c>
      <c r="G902">
        <v>111</v>
      </c>
      <c r="H902">
        <v>10</v>
      </c>
      <c r="R902" t="s">
        <v>20328</v>
      </c>
    </row>
    <row r="903" spans="2:18" x14ac:dyDescent="0.25">
      <c r="B903">
        <v>923</v>
      </c>
      <c r="C903" t="s">
        <v>20329</v>
      </c>
      <c r="E903">
        <v>255</v>
      </c>
      <c r="F903">
        <v>174</v>
      </c>
      <c r="G903">
        <v>111</v>
      </c>
      <c r="H903">
        <v>10</v>
      </c>
      <c r="R903" t="s">
        <v>20330</v>
      </c>
    </row>
    <row r="904" spans="2:18" x14ac:dyDescent="0.25">
      <c r="B904">
        <v>398</v>
      </c>
      <c r="C904" t="s">
        <v>20331</v>
      </c>
      <c r="E904">
        <v>255</v>
      </c>
      <c r="F904">
        <v>174</v>
      </c>
      <c r="G904">
        <v>111</v>
      </c>
      <c r="H904">
        <v>8</v>
      </c>
      <c r="P904" t="s">
        <v>20332</v>
      </c>
    </row>
    <row r="905" spans="2:18" x14ac:dyDescent="0.25">
      <c r="B905">
        <v>122</v>
      </c>
      <c r="C905" t="s">
        <v>15198</v>
      </c>
      <c r="E905">
        <v>255</v>
      </c>
      <c r="F905">
        <v>174</v>
      </c>
      <c r="G905">
        <v>111</v>
      </c>
      <c r="H905">
        <v>9</v>
      </c>
      <c r="Q905" t="s">
        <v>20333</v>
      </c>
    </row>
    <row r="906" spans="2:18" x14ac:dyDescent="0.25">
      <c r="B906">
        <v>105</v>
      </c>
      <c r="C906" t="s">
        <v>20334</v>
      </c>
      <c r="E906">
        <v>255</v>
      </c>
      <c r="F906">
        <v>174</v>
      </c>
      <c r="G906">
        <v>111</v>
      </c>
      <c r="H906">
        <v>9</v>
      </c>
      <c r="Q906" t="s">
        <v>20335</v>
      </c>
    </row>
    <row r="907" spans="2:18" x14ac:dyDescent="0.25">
      <c r="B907">
        <v>114</v>
      </c>
      <c r="C907" t="s">
        <v>20336</v>
      </c>
      <c r="E907">
        <v>255</v>
      </c>
      <c r="F907">
        <v>174</v>
      </c>
      <c r="G907">
        <v>111</v>
      </c>
      <c r="H907">
        <v>9</v>
      </c>
      <c r="Q907" t="s">
        <v>20337</v>
      </c>
    </row>
    <row r="908" spans="2:18" x14ac:dyDescent="0.25">
      <c r="B908">
        <v>987</v>
      </c>
      <c r="C908" t="s">
        <v>20338</v>
      </c>
      <c r="E908">
        <v>255</v>
      </c>
      <c r="F908">
        <v>186</v>
      </c>
      <c r="G908">
        <v>134</v>
      </c>
      <c r="H908">
        <v>6</v>
      </c>
      <c r="O908" t="s">
        <v>20339</v>
      </c>
    </row>
    <row r="909" spans="2:18" x14ac:dyDescent="0.25">
      <c r="B909">
        <v>280</v>
      </c>
      <c r="C909" t="s">
        <v>20340</v>
      </c>
      <c r="E909">
        <v>255</v>
      </c>
      <c r="F909">
        <v>186</v>
      </c>
      <c r="G909">
        <v>134</v>
      </c>
      <c r="H909">
        <v>8</v>
      </c>
      <c r="P909" t="s">
        <v>16</v>
      </c>
    </row>
    <row r="910" spans="2:18" x14ac:dyDescent="0.25">
      <c r="B910">
        <v>880</v>
      </c>
      <c r="C910" t="s">
        <v>20341</v>
      </c>
      <c r="E910">
        <v>255</v>
      </c>
      <c r="F910">
        <v>186</v>
      </c>
      <c r="G910">
        <v>134</v>
      </c>
      <c r="H910">
        <v>8</v>
      </c>
      <c r="P910" t="s">
        <v>20342</v>
      </c>
    </row>
    <row r="911" spans="2:18" x14ac:dyDescent="0.25">
      <c r="B911">
        <v>283</v>
      </c>
      <c r="C911" t="s">
        <v>20343</v>
      </c>
      <c r="E911">
        <v>255</v>
      </c>
      <c r="F911">
        <v>186</v>
      </c>
      <c r="G911">
        <v>134</v>
      </c>
      <c r="H911">
        <v>8</v>
      </c>
      <c r="P911" t="s">
        <v>20344</v>
      </c>
    </row>
    <row r="912" spans="2:18" x14ac:dyDescent="0.25">
      <c r="B912">
        <v>599626927</v>
      </c>
      <c r="C912" t="s">
        <v>17563</v>
      </c>
      <c r="E912">
        <v>255</v>
      </c>
      <c r="F912">
        <v>186</v>
      </c>
      <c r="G912">
        <v>134</v>
      </c>
      <c r="H912">
        <v>8</v>
      </c>
      <c r="P912" t="s">
        <v>20345</v>
      </c>
    </row>
    <row r="913" spans="2:17" x14ac:dyDescent="0.25">
      <c r="B913">
        <v>898</v>
      </c>
      <c r="C913" t="s">
        <v>20346</v>
      </c>
      <c r="E913">
        <v>255</v>
      </c>
      <c r="F913">
        <v>186</v>
      </c>
      <c r="G913">
        <v>134</v>
      </c>
      <c r="H913">
        <v>8</v>
      </c>
      <c r="P913" t="s">
        <v>20347</v>
      </c>
    </row>
    <row r="914" spans="2:17" x14ac:dyDescent="0.25">
      <c r="B914">
        <v>931</v>
      </c>
      <c r="C914" t="s">
        <v>20348</v>
      </c>
      <c r="E914">
        <v>255</v>
      </c>
      <c r="F914">
        <v>186</v>
      </c>
      <c r="G914">
        <v>134</v>
      </c>
      <c r="H914">
        <v>8</v>
      </c>
      <c r="P914" t="s">
        <v>20349</v>
      </c>
    </row>
    <row r="915" spans="2:17" x14ac:dyDescent="0.25">
      <c r="B915">
        <v>1093</v>
      </c>
      <c r="C915" t="s">
        <v>20350</v>
      </c>
      <c r="E915">
        <v>255</v>
      </c>
      <c r="F915">
        <v>186</v>
      </c>
      <c r="G915">
        <v>134</v>
      </c>
      <c r="H915">
        <v>8</v>
      </c>
      <c r="P915" t="s">
        <v>20351</v>
      </c>
    </row>
    <row r="916" spans="2:17" x14ac:dyDescent="0.25">
      <c r="B916">
        <v>552</v>
      </c>
      <c r="C916" t="s">
        <v>20352</v>
      </c>
      <c r="E916">
        <v>255</v>
      </c>
      <c r="F916">
        <v>186</v>
      </c>
      <c r="G916">
        <v>134</v>
      </c>
      <c r="H916">
        <v>8</v>
      </c>
      <c r="P916" t="s">
        <v>20353</v>
      </c>
    </row>
    <row r="917" spans="2:17" x14ac:dyDescent="0.25">
      <c r="B917">
        <v>318</v>
      </c>
      <c r="C917" t="s">
        <v>16486</v>
      </c>
      <c r="E917">
        <v>255</v>
      </c>
      <c r="F917">
        <v>186</v>
      </c>
      <c r="G917">
        <v>134</v>
      </c>
      <c r="H917">
        <v>8</v>
      </c>
      <c r="P917" t="s">
        <v>20354</v>
      </c>
    </row>
    <row r="918" spans="2:17" x14ac:dyDescent="0.25">
      <c r="B918">
        <v>462</v>
      </c>
      <c r="C918" t="s">
        <v>20355</v>
      </c>
      <c r="E918">
        <v>255</v>
      </c>
      <c r="F918">
        <v>186</v>
      </c>
      <c r="G918">
        <v>134</v>
      </c>
      <c r="H918">
        <v>8</v>
      </c>
      <c r="P918" t="s">
        <v>20356</v>
      </c>
    </row>
    <row r="919" spans="2:17" x14ac:dyDescent="0.25">
      <c r="B919">
        <v>534</v>
      </c>
      <c r="C919" t="s">
        <v>20357</v>
      </c>
      <c r="E919">
        <v>255</v>
      </c>
      <c r="F919">
        <v>186</v>
      </c>
      <c r="G919">
        <v>134</v>
      </c>
      <c r="H919">
        <v>8</v>
      </c>
      <c r="P919" t="s">
        <v>20358</v>
      </c>
    </row>
    <row r="920" spans="2:17" x14ac:dyDescent="0.25">
      <c r="B920">
        <v>574</v>
      </c>
      <c r="C920" t="s">
        <v>20359</v>
      </c>
      <c r="E920">
        <v>255</v>
      </c>
      <c r="F920">
        <v>186</v>
      </c>
      <c r="G920">
        <v>134</v>
      </c>
      <c r="H920">
        <v>8</v>
      </c>
      <c r="P920" t="s">
        <v>20360</v>
      </c>
    </row>
    <row r="921" spans="2:17" x14ac:dyDescent="0.25">
      <c r="B921">
        <v>621</v>
      </c>
      <c r="C921" t="s">
        <v>1093</v>
      </c>
      <c r="E921">
        <v>255</v>
      </c>
      <c r="F921">
        <v>186</v>
      </c>
      <c r="G921">
        <v>134</v>
      </c>
      <c r="H921">
        <v>8</v>
      </c>
      <c r="P921" t="s">
        <v>20361</v>
      </c>
    </row>
    <row r="922" spans="2:17" x14ac:dyDescent="0.25">
      <c r="B922">
        <v>549009215</v>
      </c>
      <c r="C922" t="s">
        <v>20362</v>
      </c>
      <c r="E922">
        <v>255</v>
      </c>
      <c r="F922">
        <v>186</v>
      </c>
      <c r="G922">
        <v>134</v>
      </c>
      <c r="H922">
        <v>8</v>
      </c>
      <c r="P922" t="s">
        <v>20363</v>
      </c>
    </row>
    <row r="923" spans="2:17" x14ac:dyDescent="0.25">
      <c r="B923">
        <v>549009219</v>
      </c>
      <c r="C923" t="s">
        <v>20364</v>
      </c>
      <c r="E923">
        <v>255</v>
      </c>
      <c r="F923">
        <v>186</v>
      </c>
      <c r="G923">
        <v>134</v>
      </c>
      <c r="H923">
        <v>8</v>
      </c>
      <c r="P923" t="s">
        <v>20365</v>
      </c>
    </row>
    <row r="924" spans="2:17" x14ac:dyDescent="0.25">
      <c r="B924">
        <v>549009223</v>
      </c>
      <c r="C924" t="s">
        <v>20366</v>
      </c>
      <c r="E924">
        <v>255</v>
      </c>
      <c r="F924">
        <v>186</v>
      </c>
      <c r="G924">
        <v>134</v>
      </c>
      <c r="H924">
        <v>8</v>
      </c>
      <c r="P924" t="s">
        <v>20367</v>
      </c>
    </row>
    <row r="925" spans="2:17" x14ac:dyDescent="0.25">
      <c r="B925">
        <v>549009227</v>
      </c>
      <c r="C925" t="s">
        <v>20368</v>
      </c>
      <c r="E925">
        <v>255</v>
      </c>
      <c r="F925">
        <v>186</v>
      </c>
      <c r="G925">
        <v>134</v>
      </c>
      <c r="H925">
        <v>8</v>
      </c>
      <c r="P925" t="s">
        <v>20369</v>
      </c>
    </row>
    <row r="926" spans="2:17" x14ac:dyDescent="0.25">
      <c r="B926">
        <v>1117</v>
      </c>
      <c r="C926" t="s">
        <v>20370</v>
      </c>
      <c r="E926">
        <v>255</v>
      </c>
      <c r="F926">
        <v>195</v>
      </c>
      <c r="G926">
        <v>149</v>
      </c>
      <c r="H926">
        <v>6</v>
      </c>
      <c r="O926" t="s">
        <v>20371</v>
      </c>
    </row>
    <row r="927" spans="2:17" x14ac:dyDescent="0.25">
      <c r="B927">
        <v>679</v>
      </c>
      <c r="C927" t="s">
        <v>20372</v>
      </c>
      <c r="E927">
        <v>255</v>
      </c>
      <c r="F927">
        <v>195</v>
      </c>
      <c r="G927">
        <v>149</v>
      </c>
      <c r="H927">
        <v>8</v>
      </c>
      <c r="P927" t="s">
        <v>20373</v>
      </c>
    </row>
    <row r="928" spans="2:17" x14ac:dyDescent="0.25">
      <c r="B928">
        <v>137</v>
      </c>
      <c r="C928" t="s">
        <v>20374</v>
      </c>
      <c r="E928">
        <v>255</v>
      </c>
      <c r="F928">
        <v>195</v>
      </c>
      <c r="G928">
        <v>149</v>
      </c>
      <c r="H928">
        <v>9</v>
      </c>
      <c r="Q928" t="s">
        <v>20375</v>
      </c>
    </row>
    <row r="929" spans="2:17" x14ac:dyDescent="0.25">
      <c r="B929">
        <v>130</v>
      </c>
      <c r="C929" t="s">
        <v>20376</v>
      </c>
      <c r="E929">
        <v>255</v>
      </c>
      <c r="F929">
        <v>195</v>
      </c>
      <c r="G929">
        <v>149</v>
      </c>
      <c r="H929">
        <v>9</v>
      </c>
      <c r="Q929" t="s">
        <v>20377</v>
      </c>
    </row>
    <row r="930" spans="2:17" x14ac:dyDescent="0.25">
      <c r="B930">
        <v>147</v>
      </c>
      <c r="C930" t="s">
        <v>17425</v>
      </c>
      <c r="E930">
        <v>255</v>
      </c>
      <c r="F930">
        <v>195</v>
      </c>
      <c r="G930">
        <v>149</v>
      </c>
      <c r="H930">
        <v>8</v>
      </c>
      <c r="P930" t="s">
        <v>20378</v>
      </c>
    </row>
    <row r="931" spans="2:17" x14ac:dyDescent="0.25">
      <c r="B931">
        <v>162</v>
      </c>
      <c r="C931" t="s">
        <v>20379</v>
      </c>
      <c r="E931">
        <v>255</v>
      </c>
      <c r="F931">
        <v>195</v>
      </c>
      <c r="G931">
        <v>149</v>
      </c>
      <c r="H931">
        <v>8</v>
      </c>
      <c r="P931" t="s">
        <v>20380</v>
      </c>
    </row>
    <row r="932" spans="2:17" x14ac:dyDescent="0.25">
      <c r="B932">
        <v>604</v>
      </c>
      <c r="C932" t="s">
        <v>20381</v>
      </c>
      <c r="E932">
        <v>255</v>
      </c>
      <c r="F932">
        <v>195</v>
      </c>
      <c r="G932">
        <v>149</v>
      </c>
      <c r="H932">
        <v>8</v>
      </c>
      <c r="P932" t="s">
        <v>20382</v>
      </c>
    </row>
    <row r="933" spans="2:17" x14ac:dyDescent="0.25">
      <c r="B933">
        <v>146</v>
      </c>
      <c r="C933" t="s">
        <v>20383</v>
      </c>
      <c r="E933">
        <v>255</v>
      </c>
      <c r="F933">
        <v>195</v>
      </c>
      <c r="G933">
        <v>149</v>
      </c>
      <c r="H933">
        <v>8</v>
      </c>
      <c r="P933" t="s">
        <v>20384</v>
      </c>
    </row>
    <row r="934" spans="2:17" x14ac:dyDescent="0.25">
      <c r="B934">
        <v>238</v>
      </c>
      <c r="C934" t="s">
        <v>20385</v>
      </c>
      <c r="E934">
        <v>255</v>
      </c>
      <c r="F934">
        <v>195</v>
      </c>
      <c r="G934">
        <v>149</v>
      </c>
      <c r="H934">
        <v>8</v>
      </c>
      <c r="P934" t="s">
        <v>20386</v>
      </c>
    </row>
    <row r="935" spans="2:17" x14ac:dyDescent="0.25">
      <c r="B935">
        <v>350</v>
      </c>
      <c r="C935" t="s">
        <v>20387</v>
      </c>
      <c r="E935">
        <v>255</v>
      </c>
      <c r="F935">
        <v>195</v>
      </c>
      <c r="G935">
        <v>149</v>
      </c>
      <c r="H935">
        <v>8</v>
      </c>
      <c r="P935" t="s">
        <v>20388</v>
      </c>
    </row>
    <row r="936" spans="2:17" x14ac:dyDescent="0.25">
      <c r="B936">
        <v>358</v>
      </c>
      <c r="C936" t="s">
        <v>20389</v>
      </c>
      <c r="E936">
        <v>255</v>
      </c>
      <c r="F936">
        <v>195</v>
      </c>
      <c r="G936">
        <v>149</v>
      </c>
      <c r="H936">
        <v>8</v>
      </c>
      <c r="P936" t="s">
        <v>20390</v>
      </c>
    </row>
    <row r="937" spans="2:17" x14ac:dyDescent="0.25">
      <c r="B937">
        <v>354</v>
      </c>
      <c r="C937" t="s">
        <v>20391</v>
      </c>
      <c r="E937">
        <v>255</v>
      </c>
      <c r="F937">
        <v>155</v>
      </c>
      <c r="G937">
        <v>205</v>
      </c>
      <c r="H937">
        <v>5</v>
      </c>
      <c r="N937" t="s">
        <v>20392</v>
      </c>
    </row>
    <row r="938" spans="2:17" x14ac:dyDescent="0.25">
      <c r="B938">
        <v>386</v>
      </c>
      <c r="C938" t="s">
        <v>20393</v>
      </c>
      <c r="E938">
        <v>255</v>
      </c>
      <c r="F938">
        <v>165</v>
      </c>
      <c r="G938">
        <v>210</v>
      </c>
      <c r="H938">
        <v>6</v>
      </c>
      <c r="O938" t="s">
        <v>20394</v>
      </c>
    </row>
    <row r="939" spans="2:17" x14ac:dyDescent="0.25">
      <c r="B939">
        <v>207</v>
      </c>
      <c r="C939" t="s">
        <v>20395</v>
      </c>
      <c r="E939">
        <v>255</v>
      </c>
      <c r="F939">
        <v>165</v>
      </c>
      <c r="G939">
        <v>210</v>
      </c>
      <c r="H939">
        <v>8</v>
      </c>
      <c r="P939" t="s">
        <v>20396</v>
      </c>
    </row>
    <row r="940" spans="2:17" x14ac:dyDescent="0.25">
      <c r="B940">
        <v>607</v>
      </c>
      <c r="C940" t="s">
        <v>20397</v>
      </c>
      <c r="E940">
        <v>255</v>
      </c>
      <c r="F940">
        <v>165</v>
      </c>
      <c r="G940">
        <v>210</v>
      </c>
      <c r="H940">
        <v>7</v>
      </c>
      <c r="P940" t="s">
        <v>20398</v>
      </c>
    </row>
    <row r="941" spans="2:17" x14ac:dyDescent="0.25">
      <c r="B941">
        <v>112</v>
      </c>
      <c r="C941" t="s">
        <v>20399</v>
      </c>
      <c r="E941">
        <v>255</v>
      </c>
      <c r="F941">
        <v>165</v>
      </c>
      <c r="G941">
        <v>210</v>
      </c>
      <c r="H941">
        <v>8</v>
      </c>
      <c r="Q941" t="s">
        <v>20400</v>
      </c>
    </row>
    <row r="942" spans="2:17" x14ac:dyDescent="0.25">
      <c r="B942">
        <v>560</v>
      </c>
      <c r="C942" t="s">
        <v>20401</v>
      </c>
      <c r="E942">
        <v>255</v>
      </c>
      <c r="F942">
        <v>165</v>
      </c>
      <c r="G942">
        <v>210</v>
      </c>
      <c r="H942">
        <v>8</v>
      </c>
      <c r="Q942" t="s">
        <v>20402</v>
      </c>
    </row>
    <row r="943" spans="2:17" x14ac:dyDescent="0.25">
      <c r="B943">
        <v>96</v>
      </c>
      <c r="C943" t="s">
        <v>20403</v>
      </c>
      <c r="E943">
        <v>255</v>
      </c>
      <c r="F943">
        <v>165</v>
      </c>
      <c r="G943">
        <v>210</v>
      </c>
      <c r="H943">
        <v>8</v>
      </c>
      <c r="Q943" t="s">
        <v>20404</v>
      </c>
    </row>
    <row r="944" spans="2:17" x14ac:dyDescent="0.25">
      <c r="B944">
        <v>101</v>
      </c>
      <c r="C944" t="s">
        <v>20405</v>
      </c>
      <c r="E944">
        <v>255</v>
      </c>
      <c r="F944">
        <v>165</v>
      </c>
      <c r="G944">
        <v>210</v>
      </c>
      <c r="H944">
        <v>8</v>
      </c>
      <c r="Q944" t="s">
        <v>20406</v>
      </c>
    </row>
    <row r="945" spans="2:17" x14ac:dyDescent="0.25">
      <c r="B945">
        <v>720</v>
      </c>
      <c r="C945" t="s">
        <v>20407</v>
      </c>
      <c r="E945">
        <v>255</v>
      </c>
      <c r="F945">
        <v>165</v>
      </c>
      <c r="G945">
        <v>210</v>
      </c>
      <c r="H945">
        <v>7</v>
      </c>
      <c r="P945" t="s">
        <v>20408</v>
      </c>
    </row>
    <row r="946" spans="2:17" x14ac:dyDescent="0.25">
      <c r="B946">
        <v>711</v>
      </c>
      <c r="C946" t="s">
        <v>20409</v>
      </c>
      <c r="E946">
        <v>255</v>
      </c>
      <c r="F946">
        <v>165</v>
      </c>
      <c r="G946">
        <v>210</v>
      </c>
      <c r="H946">
        <v>8</v>
      </c>
      <c r="Q946" t="s">
        <v>20410</v>
      </c>
    </row>
    <row r="947" spans="2:17" x14ac:dyDescent="0.25">
      <c r="B947">
        <v>1039</v>
      </c>
      <c r="C947" t="s">
        <v>20411</v>
      </c>
      <c r="E947">
        <v>255</v>
      </c>
      <c r="F947">
        <v>165</v>
      </c>
      <c r="G947">
        <v>210</v>
      </c>
      <c r="H947">
        <v>8</v>
      </c>
      <c r="Q947" t="s">
        <v>20412</v>
      </c>
    </row>
    <row r="948" spans="2:17" x14ac:dyDescent="0.25">
      <c r="B948">
        <v>903</v>
      </c>
      <c r="C948" t="s">
        <v>20413</v>
      </c>
      <c r="E948">
        <v>255</v>
      </c>
      <c r="F948">
        <v>165</v>
      </c>
      <c r="G948">
        <v>210</v>
      </c>
      <c r="H948">
        <v>8</v>
      </c>
      <c r="P948" t="s">
        <v>20414</v>
      </c>
    </row>
    <row r="949" spans="2:17" x14ac:dyDescent="0.25">
      <c r="B949">
        <v>642</v>
      </c>
      <c r="C949" t="s">
        <v>20415</v>
      </c>
      <c r="E949">
        <v>255</v>
      </c>
      <c r="F949">
        <v>165</v>
      </c>
      <c r="G949">
        <v>210</v>
      </c>
      <c r="H949">
        <v>8</v>
      </c>
      <c r="P949" t="s">
        <v>20416</v>
      </c>
    </row>
    <row r="950" spans="2:17" x14ac:dyDescent="0.25">
      <c r="B950">
        <v>651</v>
      </c>
      <c r="C950" t="s">
        <v>20417</v>
      </c>
      <c r="E950">
        <v>255</v>
      </c>
      <c r="F950">
        <v>165</v>
      </c>
      <c r="G950">
        <v>210</v>
      </c>
      <c r="H950">
        <v>8</v>
      </c>
      <c r="P950" t="s">
        <v>20418</v>
      </c>
    </row>
    <row r="951" spans="2:17" x14ac:dyDescent="0.25">
      <c r="B951">
        <v>659</v>
      </c>
      <c r="C951" t="s">
        <v>20419</v>
      </c>
      <c r="E951">
        <v>255</v>
      </c>
      <c r="F951">
        <v>165</v>
      </c>
      <c r="G951">
        <v>210</v>
      </c>
      <c r="H951">
        <v>9</v>
      </c>
      <c r="Q951" t="s">
        <v>20420</v>
      </c>
    </row>
    <row r="952" spans="2:17" x14ac:dyDescent="0.25">
      <c r="B952">
        <v>666</v>
      </c>
      <c r="C952" t="s">
        <v>20421</v>
      </c>
      <c r="E952">
        <v>255</v>
      </c>
      <c r="F952">
        <v>165</v>
      </c>
      <c r="G952">
        <v>210</v>
      </c>
      <c r="H952">
        <v>9</v>
      </c>
      <c r="Q952" t="s">
        <v>20422</v>
      </c>
    </row>
    <row r="953" spans="2:17" x14ac:dyDescent="0.25">
      <c r="B953">
        <v>674</v>
      </c>
      <c r="C953" t="s">
        <v>20423</v>
      </c>
      <c r="E953">
        <v>255</v>
      </c>
      <c r="F953">
        <v>165</v>
      </c>
      <c r="G953">
        <v>210</v>
      </c>
      <c r="H953">
        <v>9</v>
      </c>
      <c r="Q953" t="s">
        <v>20424</v>
      </c>
    </row>
    <row r="954" spans="2:17" x14ac:dyDescent="0.25">
      <c r="B954">
        <v>682</v>
      </c>
      <c r="C954" t="s">
        <v>20425</v>
      </c>
      <c r="E954">
        <v>255</v>
      </c>
      <c r="F954">
        <v>165</v>
      </c>
      <c r="G954">
        <v>210</v>
      </c>
      <c r="H954">
        <v>9</v>
      </c>
      <c r="Q954" t="s">
        <v>20426</v>
      </c>
    </row>
    <row r="955" spans="2:17" x14ac:dyDescent="0.25">
      <c r="B955">
        <v>691</v>
      </c>
      <c r="C955" t="s">
        <v>20427</v>
      </c>
      <c r="E955">
        <v>255</v>
      </c>
      <c r="F955">
        <v>165</v>
      </c>
      <c r="G955">
        <v>210</v>
      </c>
      <c r="H955">
        <v>9</v>
      </c>
      <c r="Q955" t="s">
        <v>20428</v>
      </c>
    </row>
    <row r="956" spans="2:17" x14ac:dyDescent="0.25">
      <c r="B956">
        <v>429</v>
      </c>
      <c r="C956" t="s">
        <v>20429</v>
      </c>
      <c r="E956">
        <v>255</v>
      </c>
      <c r="F956">
        <v>165</v>
      </c>
      <c r="G956">
        <v>210</v>
      </c>
      <c r="H956">
        <v>9</v>
      </c>
      <c r="P956" t="s">
        <v>20430</v>
      </c>
    </row>
    <row r="957" spans="2:17" x14ac:dyDescent="0.25">
      <c r="B957">
        <v>437</v>
      </c>
      <c r="C957" t="s">
        <v>20431</v>
      </c>
      <c r="E957">
        <v>255</v>
      </c>
      <c r="F957">
        <v>165</v>
      </c>
      <c r="G957">
        <v>210</v>
      </c>
      <c r="H957">
        <v>9</v>
      </c>
      <c r="P957" t="s">
        <v>20432</v>
      </c>
    </row>
    <row r="958" spans="2:17" x14ac:dyDescent="0.25">
      <c r="B958">
        <v>445</v>
      </c>
      <c r="C958" t="s">
        <v>20433</v>
      </c>
      <c r="E958">
        <v>255</v>
      </c>
      <c r="F958">
        <v>165</v>
      </c>
      <c r="G958">
        <v>210</v>
      </c>
      <c r="H958">
        <v>9</v>
      </c>
      <c r="P958" t="s">
        <v>20434</v>
      </c>
    </row>
    <row r="959" spans="2:17" x14ac:dyDescent="0.25">
      <c r="B959">
        <v>77</v>
      </c>
      <c r="C959" t="s">
        <v>20435</v>
      </c>
      <c r="E959">
        <v>255</v>
      </c>
      <c r="F959">
        <v>165</v>
      </c>
      <c r="G959">
        <v>210</v>
      </c>
      <c r="H959">
        <v>10</v>
      </c>
      <c r="Q959" t="s">
        <v>20436</v>
      </c>
    </row>
    <row r="960" spans="2:17" x14ac:dyDescent="0.25">
      <c r="B960">
        <v>53</v>
      </c>
      <c r="C960" t="s">
        <v>20437</v>
      </c>
      <c r="E960">
        <v>255</v>
      </c>
      <c r="F960">
        <v>165</v>
      </c>
      <c r="G960">
        <v>210</v>
      </c>
      <c r="H960">
        <v>10</v>
      </c>
      <c r="Q960" t="s">
        <v>20438</v>
      </c>
    </row>
    <row r="961" spans="2:17" x14ac:dyDescent="0.25">
      <c r="B961">
        <v>61</v>
      </c>
      <c r="C961" t="s">
        <v>20439</v>
      </c>
      <c r="E961">
        <v>255</v>
      </c>
      <c r="F961">
        <v>165</v>
      </c>
      <c r="G961">
        <v>210</v>
      </c>
      <c r="H961">
        <v>10</v>
      </c>
      <c r="Q961" t="s">
        <v>20440</v>
      </c>
    </row>
    <row r="962" spans="2:17" x14ac:dyDescent="0.25">
      <c r="B962">
        <v>45</v>
      </c>
      <c r="C962" t="s">
        <v>20441</v>
      </c>
      <c r="E962">
        <v>255</v>
      </c>
      <c r="F962">
        <v>165</v>
      </c>
      <c r="G962">
        <v>210</v>
      </c>
      <c r="H962">
        <v>10</v>
      </c>
      <c r="Q962" t="s">
        <v>20442</v>
      </c>
    </row>
    <row r="963" spans="2:17" x14ac:dyDescent="0.25">
      <c r="B963">
        <v>69</v>
      </c>
      <c r="C963" t="s">
        <v>20443</v>
      </c>
      <c r="E963">
        <v>255</v>
      </c>
      <c r="F963">
        <v>165</v>
      </c>
      <c r="G963">
        <v>210</v>
      </c>
      <c r="H963">
        <v>10</v>
      </c>
      <c r="Q963" t="s">
        <v>20444</v>
      </c>
    </row>
    <row r="964" spans="2:17" x14ac:dyDescent="0.25">
      <c r="B964">
        <v>589508451</v>
      </c>
      <c r="C964" t="s">
        <v>20445</v>
      </c>
      <c r="E964">
        <v>255</v>
      </c>
      <c r="F964">
        <v>165</v>
      </c>
      <c r="G964">
        <v>210</v>
      </c>
      <c r="H964">
        <v>8</v>
      </c>
      <c r="P964" t="s">
        <v>20446</v>
      </c>
    </row>
    <row r="965" spans="2:17" x14ac:dyDescent="0.25">
      <c r="B965">
        <v>789</v>
      </c>
      <c r="C965" t="s">
        <v>20447</v>
      </c>
      <c r="E965">
        <v>255</v>
      </c>
      <c r="F965">
        <v>165</v>
      </c>
      <c r="G965">
        <v>210</v>
      </c>
      <c r="H965">
        <v>8</v>
      </c>
      <c r="P965" t="s">
        <v>20448</v>
      </c>
    </row>
    <row r="966" spans="2:17" x14ac:dyDescent="0.25">
      <c r="B966">
        <v>370</v>
      </c>
      <c r="C966" t="s">
        <v>20449</v>
      </c>
      <c r="E966">
        <v>255</v>
      </c>
      <c r="F966">
        <v>179</v>
      </c>
      <c r="G966">
        <v>217</v>
      </c>
      <c r="H966">
        <v>6</v>
      </c>
      <c r="O966" t="s">
        <v>20450</v>
      </c>
    </row>
    <row r="967" spans="2:17" x14ac:dyDescent="0.25">
      <c r="B967">
        <v>653</v>
      </c>
      <c r="C967" t="s">
        <v>1095</v>
      </c>
      <c r="E967">
        <v>255</v>
      </c>
      <c r="F967">
        <v>179</v>
      </c>
      <c r="G967">
        <v>217</v>
      </c>
      <c r="H967">
        <v>8</v>
      </c>
      <c r="P967" t="s">
        <v>20451</v>
      </c>
    </row>
    <row r="968" spans="2:17" x14ac:dyDescent="0.25">
      <c r="B968">
        <v>568</v>
      </c>
      <c r="C968" t="s">
        <v>20452</v>
      </c>
      <c r="E968">
        <v>255</v>
      </c>
      <c r="F968">
        <v>179</v>
      </c>
      <c r="G968">
        <v>217</v>
      </c>
      <c r="H968">
        <v>8</v>
      </c>
      <c r="P968" t="s">
        <v>20453</v>
      </c>
    </row>
    <row r="969" spans="2:17" x14ac:dyDescent="0.25">
      <c r="B969">
        <v>661</v>
      </c>
      <c r="C969" t="s">
        <v>20454</v>
      </c>
      <c r="E969">
        <v>255</v>
      </c>
      <c r="F969">
        <v>179</v>
      </c>
      <c r="G969">
        <v>217</v>
      </c>
      <c r="H969">
        <v>8</v>
      </c>
      <c r="P969" t="s">
        <v>20455</v>
      </c>
    </row>
    <row r="970" spans="2:17" x14ac:dyDescent="0.25">
      <c r="B970">
        <v>576</v>
      </c>
      <c r="C970" t="s">
        <v>20456</v>
      </c>
      <c r="E970">
        <v>255</v>
      </c>
      <c r="F970">
        <v>179</v>
      </c>
      <c r="G970">
        <v>217</v>
      </c>
      <c r="H970">
        <v>8</v>
      </c>
      <c r="P970" t="s">
        <v>20457</v>
      </c>
    </row>
    <row r="971" spans="2:17" x14ac:dyDescent="0.25">
      <c r="B971">
        <v>640</v>
      </c>
      <c r="C971" t="s">
        <v>20458</v>
      </c>
      <c r="E971">
        <v>255</v>
      </c>
      <c r="F971">
        <v>179</v>
      </c>
      <c r="G971">
        <v>217</v>
      </c>
      <c r="H971">
        <v>8</v>
      </c>
      <c r="P971" t="s">
        <v>20459</v>
      </c>
    </row>
    <row r="972" spans="2:17" x14ac:dyDescent="0.25">
      <c r="B972">
        <v>135</v>
      </c>
      <c r="C972" t="s">
        <v>20460</v>
      </c>
      <c r="E972">
        <v>255</v>
      </c>
      <c r="F972">
        <v>179</v>
      </c>
      <c r="G972">
        <v>217</v>
      </c>
      <c r="H972">
        <v>8</v>
      </c>
      <c r="P972" t="s">
        <v>20461</v>
      </c>
    </row>
    <row r="973" spans="2:17" x14ac:dyDescent="0.25">
      <c r="B973">
        <v>939</v>
      </c>
      <c r="C973" t="s">
        <v>20462</v>
      </c>
      <c r="E973">
        <v>255</v>
      </c>
      <c r="F973">
        <v>179</v>
      </c>
      <c r="G973">
        <v>217</v>
      </c>
      <c r="H973">
        <v>9</v>
      </c>
      <c r="Q973" t="s">
        <v>20463</v>
      </c>
    </row>
    <row r="974" spans="2:17" x14ac:dyDescent="0.25">
      <c r="B974">
        <v>143</v>
      </c>
      <c r="C974" t="s">
        <v>20464</v>
      </c>
      <c r="E974">
        <v>255</v>
      </c>
      <c r="F974">
        <v>179</v>
      </c>
      <c r="G974">
        <v>217</v>
      </c>
      <c r="H974">
        <v>9</v>
      </c>
      <c r="Q974" t="s">
        <v>20465</v>
      </c>
    </row>
    <row r="975" spans="2:17" x14ac:dyDescent="0.25">
      <c r="B975">
        <v>839</v>
      </c>
      <c r="C975" t="s">
        <v>20466</v>
      </c>
      <c r="E975">
        <v>255</v>
      </c>
      <c r="F975">
        <v>179</v>
      </c>
      <c r="G975">
        <v>217</v>
      </c>
      <c r="H975">
        <v>8</v>
      </c>
      <c r="P975" t="s">
        <v>20467</v>
      </c>
    </row>
    <row r="976" spans="2:17" x14ac:dyDescent="0.25">
      <c r="B976">
        <v>887</v>
      </c>
      <c r="C976" t="s">
        <v>20468</v>
      </c>
      <c r="E976">
        <v>255</v>
      </c>
      <c r="F976">
        <v>179</v>
      </c>
      <c r="G976">
        <v>217</v>
      </c>
      <c r="H976">
        <v>8</v>
      </c>
      <c r="P976" t="s">
        <v>20469</v>
      </c>
    </row>
    <row r="977" spans="2:17" x14ac:dyDescent="0.25">
      <c r="B977">
        <v>1048</v>
      </c>
      <c r="C977" t="s">
        <v>20470</v>
      </c>
      <c r="E977">
        <v>255</v>
      </c>
      <c r="F977">
        <v>179</v>
      </c>
      <c r="G977">
        <v>217</v>
      </c>
      <c r="H977">
        <v>8</v>
      </c>
      <c r="P977" t="s">
        <v>20471</v>
      </c>
    </row>
    <row r="978" spans="2:17" x14ac:dyDescent="0.25">
      <c r="B978">
        <v>372</v>
      </c>
      <c r="C978" t="s">
        <v>20472</v>
      </c>
      <c r="E978">
        <v>255</v>
      </c>
      <c r="F978">
        <v>179</v>
      </c>
      <c r="G978">
        <v>217</v>
      </c>
      <c r="H978">
        <v>8</v>
      </c>
      <c r="P978" t="s">
        <v>20473</v>
      </c>
    </row>
    <row r="979" spans="2:17" x14ac:dyDescent="0.25">
      <c r="B979">
        <v>83</v>
      </c>
      <c r="C979" t="s">
        <v>20474</v>
      </c>
      <c r="E979">
        <v>255</v>
      </c>
      <c r="F979">
        <v>179</v>
      </c>
      <c r="G979">
        <v>217</v>
      </c>
      <c r="H979">
        <v>8</v>
      </c>
      <c r="P979" t="s">
        <v>20475</v>
      </c>
    </row>
    <row r="980" spans="2:17" x14ac:dyDescent="0.25">
      <c r="B980">
        <v>136</v>
      </c>
      <c r="C980" t="s">
        <v>20476</v>
      </c>
      <c r="E980">
        <v>255</v>
      </c>
      <c r="F980">
        <v>179</v>
      </c>
      <c r="G980">
        <v>217</v>
      </c>
      <c r="H980">
        <v>8</v>
      </c>
      <c r="P980" t="s">
        <v>20477</v>
      </c>
    </row>
    <row r="981" spans="2:17" x14ac:dyDescent="0.25">
      <c r="B981">
        <v>106</v>
      </c>
      <c r="C981" t="s">
        <v>20478</v>
      </c>
      <c r="E981">
        <v>255</v>
      </c>
      <c r="F981">
        <v>179</v>
      </c>
      <c r="G981">
        <v>217</v>
      </c>
      <c r="H981">
        <v>8</v>
      </c>
      <c r="P981" t="s">
        <v>20479</v>
      </c>
    </row>
    <row r="982" spans="2:17" x14ac:dyDescent="0.25">
      <c r="B982">
        <v>203</v>
      </c>
      <c r="C982" t="s">
        <v>20480</v>
      </c>
      <c r="E982">
        <v>255</v>
      </c>
      <c r="F982">
        <v>179</v>
      </c>
      <c r="G982">
        <v>217</v>
      </c>
      <c r="H982">
        <v>8</v>
      </c>
      <c r="P982" t="s">
        <v>20481</v>
      </c>
    </row>
    <row r="983" spans="2:17" x14ac:dyDescent="0.25">
      <c r="B983">
        <v>235</v>
      </c>
      <c r="C983" t="s">
        <v>20482</v>
      </c>
      <c r="E983">
        <v>255</v>
      </c>
      <c r="F983">
        <v>179</v>
      </c>
      <c r="G983">
        <v>217</v>
      </c>
      <c r="H983">
        <v>8</v>
      </c>
      <c r="P983" t="s">
        <v>20483</v>
      </c>
    </row>
    <row r="984" spans="2:17" x14ac:dyDescent="0.25">
      <c r="B984">
        <v>955</v>
      </c>
      <c r="C984" t="s">
        <v>20484</v>
      </c>
      <c r="E984">
        <v>255</v>
      </c>
      <c r="F984">
        <v>179</v>
      </c>
      <c r="G984">
        <v>217</v>
      </c>
      <c r="H984">
        <v>9</v>
      </c>
      <c r="Q984" t="s">
        <v>20485</v>
      </c>
    </row>
    <row r="985" spans="2:17" x14ac:dyDescent="0.25">
      <c r="B985">
        <v>963</v>
      </c>
      <c r="C985" t="s">
        <v>20486</v>
      </c>
      <c r="E985">
        <v>255</v>
      </c>
      <c r="F985">
        <v>179</v>
      </c>
      <c r="G985">
        <v>217</v>
      </c>
      <c r="H985">
        <v>9</v>
      </c>
      <c r="Q985" t="s">
        <v>20487</v>
      </c>
    </row>
    <row r="986" spans="2:17" x14ac:dyDescent="0.25">
      <c r="B986">
        <v>307</v>
      </c>
      <c r="C986" t="s">
        <v>20488</v>
      </c>
      <c r="E986">
        <v>255</v>
      </c>
      <c r="F986">
        <v>179</v>
      </c>
      <c r="G986">
        <v>217</v>
      </c>
      <c r="H986">
        <v>8</v>
      </c>
      <c r="P986" t="s">
        <v>20489</v>
      </c>
    </row>
    <row r="987" spans="2:17" x14ac:dyDescent="0.25">
      <c r="B987">
        <v>395</v>
      </c>
      <c r="C987" t="s">
        <v>20490</v>
      </c>
      <c r="E987">
        <v>255</v>
      </c>
      <c r="F987">
        <v>179</v>
      </c>
      <c r="G987">
        <v>217</v>
      </c>
      <c r="H987">
        <v>8</v>
      </c>
      <c r="P987" t="s">
        <v>20491</v>
      </c>
    </row>
    <row r="988" spans="2:17" x14ac:dyDescent="0.25">
      <c r="B988">
        <v>1098</v>
      </c>
      <c r="C988" t="s">
        <v>20492</v>
      </c>
      <c r="E988">
        <v>255</v>
      </c>
      <c r="F988">
        <v>179</v>
      </c>
      <c r="G988">
        <v>217</v>
      </c>
      <c r="H988">
        <v>9</v>
      </c>
      <c r="Q988" t="s">
        <v>20493</v>
      </c>
    </row>
    <row r="989" spans="2:17" x14ac:dyDescent="0.25">
      <c r="B989">
        <v>1107</v>
      </c>
      <c r="C989" t="s">
        <v>20494</v>
      </c>
      <c r="E989">
        <v>255</v>
      </c>
      <c r="F989">
        <v>179</v>
      </c>
      <c r="G989">
        <v>217</v>
      </c>
      <c r="H989">
        <v>9</v>
      </c>
      <c r="Q989" t="s">
        <v>20495</v>
      </c>
    </row>
    <row r="990" spans="2:17" x14ac:dyDescent="0.25">
      <c r="B990">
        <v>852</v>
      </c>
      <c r="C990" t="s">
        <v>20496</v>
      </c>
      <c r="E990">
        <v>255</v>
      </c>
      <c r="F990">
        <v>179</v>
      </c>
      <c r="G990">
        <v>217</v>
      </c>
      <c r="H990">
        <v>8</v>
      </c>
      <c r="P990" t="s">
        <v>20497</v>
      </c>
    </row>
    <row r="991" spans="2:17" x14ac:dyDescent="0.25">
      <c r="B991">
        <v>859</v>
      </c>
      <c r="C991" t="s">
        <v>20498</v>
      </c>
      <c r="E991">
        <v>255</v>
      </c>
      <c r="F991">
        <v>179</v>
      </c>
      <c r="G991">
        <v>217</v>
      </c>
      <c r="H991">
        <v>8</v>
      </c>
      <c r="P991" t="s">
        <v>20499</v>
      </c>
    </row>
    <row r="992" spans="2:17" x14ac:dyDescent="0.25">
      <c r="B992">
        <v>938</v>
      </c>
      <c r="C992" t="s">
        <v>20500</v>
      </c>
      <c r="E992">
        <v>255</v>
      </c>
      <c r="F992">
        <v>179</v>
      </c>
      <c r="G992">
        <v>217</v>
      </c>
      <c r="H992">
        <v>8</v>
      </c>
      <c r="P992" t="s">
        <v>20501</v>
      </c>
    </row>
    <row r="993" spans="2:17" x14ac:dyDescent="0.25">
      <c r="B993">
        <v>970</v>
      </c>
      <c r="C993" t="s">
        <v>20502</v>
      </c>
      <c r="E993">
        <v>255</v>
      </c>
      <c r="F993">
        <v>179</v>
      </c>
      <c r="G993">
        <v>217</v>
      </c>
      <c r="H993">
        <v>9</v>
      </c>
      <c r="Q993" t="s">
        <v>20503</v>
      </c>
    </row>
    <row r="994" spans="2:17" x14ac:dyDescent="0.25">
      <c r="B994">
        <v>978</v>
      </c>
      <c r="C994" t="s">
        <v>20504</v>
      </c>
      <c r="E994">
        <v>255</v>
      </c>
      <c r="F994">
        <v>179</v>
      </c>
      <c r="G994">
        <v>217</v>
      </c>
      <c r="H994">
        <v>9</v>
      </c>
      <c r="Q994" t="s">
        <v>20505</v>
      </c>
    </row>
    <row r="995" spans="2:17" x14ac:dyDescent="0.25">
      <c r="B995">
        <v>154</v>
      </c>
      <c r="C995" t="s">
        <v>20506</v>
      </c>
      <c r="E995">
        <v>255</v>
      </c>
      <c r="F995">
        <v>179</v>
      </c>
      <c r="G995">
        <v>217</v>
      </c>
      <c r="H995">
        <v>7</v>
      </c>
      <c r="P995" t="s">
        <v>20507</v>
      </c>
    </row>
    <row r="996" spans="2:17" x14ac:dyDescent="0.25">
      <c r="B996">
        <v>161</v>
      </c>
      <c r="C996" t="s">
        <v>20508</v>
      </c>
      <c r="E996">
        <v>255</v>
      </c>
      <c r="F996">
        <v>179</v>
      </c>
      <c r="G996">
        <v>217</v>
      </c>
      <c r="H996">
        <v>8</v>
      </c>
      <c r="Q996" t="s">
        <v>20509</v>
      </c>
    </row>
    <row r="997" spans="2:17" x14ac:dyDescent="0.25">
      <c r="B997">
        <v>177</v>
      </c>
      <c r="C997" t="s">
        <v>20510</v>
      </c>
      <c r="E997">
        <v>255</v>
      </c>
      <c r="F997">
        <v>179</v>
      </c>
      <c r="G997">
        <v>217</v>
      </c>
      <c r="H997">
        <v>8</v>
      </c>
      <c r="Q997" t="s">
        <v>20511</v>
      </c>
    </row>
    <row r="998" spans="2:17" x14ac:dyDescent="0.25">
      <c r="B998">
        <v>169</v>
      </c>
      <c r="C998" t="s">
        <v>20512</v>
      </c>
      <c r="E998">
        <v>255</v>
      </c>
      <c r="F998">
        <v>179</v>
      </c>
      <c r="G998">
        <v>217</v>
      </c>
      <c r="H998">
        <v>8</v>
      </c>
      <c r="Q998" t="s">
        <v>20513</v>
      </c>
    </row>
    <row r="999" spans="2:17" x14ac:dyDescent="0.25">
      <c r="B999">
        <v>995</v>
      </c>
      <c r="C999" t="s">
        <v>20514</v>
      </c>
      <c r="E999">
        <v>255</v>
      </c>
      <c r="F999">
        <v>179</v>
      </c>
      <c r="G999">
        <v>217</v>
      </c>
      <c r="H999">
        <v>8</v>
      </c>
      <c r="P999" t="s">
        <v>20515</v>
      </c>
    </row>
    <row r="1000" spans="2:17" x14ac:dyDescent="0.25">
      <c r="B1000">
        <v>1069</v>
      </c>
      <c r="C1000" t="s">
        <v>20516</v>
      </c>
      <c r="E1000">
        <v>255</v>
      </c>
      <c r="F1000">
        <v>179</v>
      </c>
      <c r="G1000">
        <v>217</v>
      </c>
      <c r="H1000">
        <v>8</v>
      </c>
      <c r="P1000" t="s">
        <v>20517</v>
      </c>
    </row>
    <row r="1001" spans="2:17" x14ac:dyDescent="0.25">
      <c r="B1001">
        <v>185</v>
      </c>
      <c r="C1001" t="s">
        <v>20518</v>
      </c>
      <c r="E1001">
        <v>255</v>
      </c>
      <c r="F1001">
        <v>179</v>
      </c>
      <c r="G1001">
        <v>217</v>
      </c>
      <c r="H1001">
        <v>9</v>
      </c>
      <c r="Q1001" t="s">
        <v>20519</v>
      </c>
    </row>
    <row r="1002" spans="2:17" x14ac:dyDescent="0.25">
      <c r="B1002">
        <v>193</v>
      </c>
      <c r="C1002" t="s">
        <v>20520</v>
      </c>
      <c r="E1002">
        <v>255</v>
      </c>
      <c r="F1002">
        <v>179</v>
      </c>
      <c r="G1002">
        <v>217</v>
      </c>
      <c r="H1002">
        <v>9</v>
      </c>
      <c r="Q1002" t="s">
        <v>20521</v>
      </c>
    </row>
    <row r="1003" spans="2:17" x14ac:dyDescent="0.25">
      <c r="B1003">
        <v>701</v>
      </c>
      <c r="C1003" t="s">
        <v>20522</v>
      </c>
      <c r="E1003">
        <v>255</v>
      </c>
      <c r="F1003">
        <v>179</v>
      </c>
      <c r="G1003">
        <v>217</v>
      </c>
      <c r="H1003">
        <v>7</v>
      </c>
      <c r="P1003" t="s">
        <v>20523</v>
      </c>
    </row>
    <row r="1004" spans="2:17" x14ac:dyDescent="0.25">
      <c r="B1004">
        <v>209</v>
      </c>
      <c r="C1004" t="s">
        <v>20524</v>
      </c>
      <c r="E1004">
        <v>255</v>
      </c>
      <c r="F1004">
        <v>179</v>
      </c>
      <c r="G1004">
        <v>217</v>
      </c>
      <c r="H1004">
        <v>8</v>
      </c>
      <c r="Q1004" t="s">
        <v>20525</v>
      </c>
    </row>
    <row r="1005" spans="2:17" x14ac:dyDescent="0.25">
      <c r="B1005">
        <v>202</v>
      </c>
      <c r="C1005" t="s">
        <v>20526</v>
      </c>
      <c r="E1005">
        <v>255</v>
      </c>
      <c r="F1005">
        <v>179</v>
      </c>
      <c r="G1005">
        <v>217</v>
      </c>
      <c r="H1005">
        <v>8</v>
      </c>
      <c r="Q1005" t="s">
        <v>20527</v>
      </c>
    </row>
    <row r="1006" spans="2:17" x14ac:dyDescent="0.25">
      <c r="B1006">
        <v>225</v>
      </c>
      <c r="C1006" t="s">
        <v>20528</v>
      </c>
      <c r="E1006">
        <v>255</v>
      </c>
      <c r="F1006">
        <v>179</v>
      </c>
      <c r="G1006">
        <v>217</v>
      </c>
      <c r="H1006">
        <v>8</v>
      </c>
      <c r="Q1006" t="s">
        <v>20529</v>
      </c>
    </row>
    <row r="1007" spans="2:17" x14ac:dyDescent="0.25">
      <c r="B1007">
        <v>217</v>
      </c>
      <c r="C1007" t="s">
        <v>20530</v>
      </c>
      <c r="E1007">
        <v>255</v>
      </c>
      <c r="F1007">
        <v>179</v>
      </c>
      <c r="G1007">
        <v>217</v>
      </c>
      <c r="H1007">
        <v>8</v>
      </c>
      <c r="Q1007" t="s">
        <v>20531</v>
      </c>
    </row>
    <row r="1008" spans="2:17" x14ac:dyDescent="0.25">
      <c r="B1008">
        <v>765</v>
      </c>
      <c r="C1008" t="s">
        <v>20532</v>
      </c>
      <c r="E1008">
        <v>255</v>
      </c>
      <c r="F1008">
        <v>179</v>
      </c>
      <c r="G1008">
        <v>217</v>
      </c>
      <c r="H1008">
        <v>8</v>
      </c>
      <c r="P1008" t="s">
        <v>20533</v>
      </c>
    </row>
    <row r="1009" spans="2:16" x14ac:dyDescent="0.25">
      <c r="B1009">
        <v>773</v>
      </c>
      <c r="C1009" t="s">
        <v>20534</v>
      </c>
      <c r="E1009">
        <v>255</v>
      </c>
      <c r="F1009">
        <v>179</v>
      </c>
      <c r="G1009">
        <v>217</v>
      </c>
      <c r="H1009">
        <v>8</v>
      </c>
      <c r="P1009" t="s">
        <v>20535</v>
      </c>
    </row>
    <row r="1010" spans="2:16" x14ac:dyDescent="0.25">
      <c r="B1010">
        <v>781</v>
      </c>
      <c r="C1010" t="s">
        <v>20536</v>
      </c>
      <c r="E1010">
        <v>255</v>
      </c>
      <c r="F1010">
        <v>179</v>
      </c>
      <c r="G1010">
        <v>217</v>
      </c>
      <c r="H1010">
        <v>8</v>
      </c>
      <c r="P1010" t="s">
        <v>20537</v>
      </c>
    </row>
    <row r="1011" spans="2:16" x14ac:dyDescent="0.25">
      <c r="B1011">
        <v>76</v>
      </c>
      <c r="C1011" t="s">
        <v>20538</v>
      </c>
      <c r="E1011">
        <v>255</v>
      </c>
      <c r="F1011">
        <v>179</v>
      </c>
      <c r="G1011">
        <v>217</v>
      </c>
      <c r="H1011">
        <v>8</v>
      </c>
      <c r="P1011" t="s">
        <v>20539</v>
      </c>
    </row>
    <row r="1012" spans="2:16" x14ac:dyDescent="0.25">
      <c r="B1012">
        <v>379</v>
      </c>
      <c r="C1012" t="s">
        <v>20540</v>
      </c>
      <c r="E1012">
        <v>255</v>
      </c>
      <c r="F1012">
        <v>198</v>
      </c>
      <c r="G1012">
        <v>226</v>
      </c>
      <c r="H1012">
        <v>6</v>
      </c>
      <c r="O1012" t="s">
        <v>20541</v>
      </c>
    </row>
    <row r="1013" spans="2:16" x14ac:dyDescent="0.25">
      <c r="B1013">
        <v>206</v>
      </c>
      <c r="C1013" t="s">
        <v>20542</v>
      </c>
      <c r="E1013">
        <v>255</v>
      </c>
      <c r="F1013">
        <v>198</v>
      </c>
      <c r="G1013">
        <v>226</v>
      </c>
      <c r="H1013">
        <v>8</v>
      </c>
      <c r="P1013" t="s">
        <v>20543</v>
      </c>
    </row>
    <row r="1014" spans="2:16" x14ac:dyDescent="0.25">
      <c r="B1014">
        <v>230</v>
      </c>
      <c r="C1014" t="s">
        <v>20544</v>
      </c>
      <c r="E1014">
        <v>255</v>
      </c>
      <c r="F1014">
        <v>198</v>
      </c>
      <c r="G1014">
        <v>226</v>
      </c>
      <c r="H1014">
        <v>8</v>
      </c>
      <c r="P1014" t="s">
        <v>20545</v>
      </c>
    </row>
    <row r="1015" spans="2:16" x14ac:dyDescent="0.25">
      <c r="B1015">
        <v>222</v>
      </c>
      <c r="C1015" t="s">
        <v>20546</v>
      </c>
      <c r="E1015">
        <v>255</v>
      </c>
      <c r="F1015">
        <v>198</v>
      </c>
      <c r="G1015">
        <v>226</v>
      </c>
      <c r="H1015">
        <v>8</v>
      </c>
      <c r="P1015" t="s">
        <v>20547</v>
      </c>
    </row>
    <row r="1016" spans="2:16" x14ac:dyDescent="0.25">
      <c r="B1016">
        <v>512</v>
      </c>
      <c r="C1016" t="s">
        <v>20548</v>
      </c>
      <c r="E1016">
        <v>240</v>
      </c>
      <c r="F1016">
        <v>240</v>
      </c>
      <c r="G1016">
        <v>128</v>
      </c>
      <c r="H1016">
        <v>2</v>
      </c>
      <c r="L1016" t="s">
        <v>20549</v>
      </c>
    </row>
    <row r="1017" spans="2:16" x14ac:dyDescent="0.25">
      <c r="B1017">
        <v>528</v>
      </c>
      <c r="C1017" t="s">
        <v>20550</v>
      </c>
      <c r="E1017">
        <v>240</v>
      </c>
      <c r="F1017">
        <v>240</v>
      </c>
      <c r="G1017">
        <v>128</v>
      </c>
      <c r="H1017">
        <v>5</v>
      </c>
      <c r="M1017" t="s">
        <v>20551</v>
      </c>
    </row>
    <row r="1018" spans="2:16" x14ac:dyDescent="0.25">
      <c r="B1018">
        <v>1144</v>
      </c>
      <c r="C1018" t="s">
        <v>20552</v>
      </c>
      <c r="E1018">
        <v>255</v>
      </c>
      <c r="F1018">
        <v>252</v>
      </c>
      <c r="G1018">
        <v>145</v>
      </c>
      <c r="H1018">
        <v>11</v>
      </c>
      <c r="N1018" t="s">
        <v>20553</v>
      </c>
    </row>
    <row r="1019" spans="2:16" x14ac:dyDescent="0.25">
      <c r="B1019">
        <v>1145</v>
      </c>
      <c r="C1019" t="s">
        <v>20554</v>
      </c>
      <c r="E1019">
        <v>255</v>
      </c>
      <c r="F1019">
        <v>252</v>
      </c>
      <c r="G1019">
        <v>145</v>
      </c>
      <c r="H1019">
        <v>11</v>
      </c>
      <c r="N1019" t="s">
        <v>20555</v>
      </c>
    </row>
    <row r="1020" spans="2:16" x14ac:dyDescent="0.25">
      <c r="B1020">
        <v>1143</v>
      </c>
      <c r="C1020" t="s">
        <v>20556</v>
      </c>
      <c r="E1020">
        <v>236</v>
      </c>
      <c r="F1020">
        <v>231</v>
      </c>
      <c r="G1020">
        <v>84</v>
      </c>
      <c r="H1020">
        <v>11</v>
      </c>
      <c r="N1020" t="s">
        <v>20557</v>
      </c>
    </row>
    <row r="1021" spans="2:16" x14ac:dyDescent="0.25">
      <c r="B1021">
        <v>645</v>
      </c>
      <c r="C1021" t="s">
        <v>20558</v>
      </c>
      <c r="E1021">
        <v>255</v>
      </c>
      <c r="F1021">
        <v>252</v>
      </c>
      <c r="G1021">
        <v>145</v>
      </c>
      <c r="H1021">
        <v>6</v>
      </c>
      <c r="N1021" t="s">
        <v>20559</v>
      </c>
    </row>
    <row r="1022" spans="2:16" x14ac:dyDescent="0.25">
      <c r="B1022">
        <v>912</v>
      </c>
      <c r="C1022" t="s">
        <v>20560</v>
      </c>
      <c r="E1022">
        <v>255</v>
      </c>
      <c r="F1022">
        <v>252</v>
      </c>
      <c r="G1022">
        <v>145</v>
      </c>
      <c r="H1022">
        <v>8</v>
      </c>
      <c r="O1022" t="s">
        <v>20561</v>
      </c>
    </row>
    <row r="1023" spans="2:16" x14ac:dyDescent="0.25">
      <c r="B1023">
        <v>10707</v>
      </c>
      <c r="C1023" t="s">
        <v>20562</v>
      </c>
      <c r="E1023">
        <v>255</v>
      </c>
      <c r="F1023">
        <v>252</v>
      </c>
      <c r="G1023">
        <v>145</v>
      </c>
      <c r="H1023">
        <v>11</v>
      </c>
      <c r="P1023" t="s">
        <v>20563</v>
      </c>
    </row>
    <row r="1024" spans="2:16" x14ac:dyDescent="0.25">
      <c r="B1024">
        <v>10706</v>
      </c>
      <c r="C1024" t="s">
        <v>20564</v>
      </c>
      <c r="E1024">
        <v>255</v>
      </c>
      <c r="F1024">
        <v>252</v>
      </c>
      <c r="G1024">
        <v>145</v>
      </c>
      <c r="H1024">
        <v>11</v>
      </c>
      <c r="P1024" t="s">
        <v>20565</v>
      </c>
    </row>
    <row r="1025" spans="2:17" x14ac:dyDescent="0.25">
      <c r="B1025">
        <v>10705</v>
      </c>
      <c r="C1025" t="s">
        <v>20566</v>
      </c>
      <c r="E1025">
        <v>236</v>
      </c>
      <c r="F1025">
        <v>231</v>
      </c>
      <c r="G1025">
        <v>84</v>
      </c>
      <c r="H1025">
        <v>11</v>
      </c>
      <c r="P1025" t="s">
        <v>20567</v>
      </c>
    </row>
    <row r="1026" spans="2:17" x14ac:dyDescent="0.25">
      <c r="B1026">
        <v>920</v>
      </c>
      <c r="C1026" t="s">
        <v>20568</v>
      </c>
      <c r="E1026">
        <v>255</v>
      </c>
      <c r="F1026">
        <v>252</v>
      </c>
      <c r="G1026">
        <v>145</v>
      </c>
      <c r="H1026">
        <v>7</v>
      </c>
      <c r="O1026" t="s">
        <v>20569</v>
      </c>
    </row>
    <row r="1027" spans="2:17" x14ac:dyDescent="0.25">
      <c r="B1027">
        <v>976</v>
      </c>
      <c r="C1027" t="s">
        <v>20570</v>
      </c>
      <c r="E1027">
        <v>255</v>
      </c>
      <c r="F1027">
        <v>252</v>
      </c>
      <c r="G1027">
        <v>145</v>
      </c>
      <c r="H1027">
        <v>8</v>
      </c>
      <c r="P1027" t="s">
        <v>20571</v>
      </c>
    </row>
    <row r="1028" spans="2:17" x14ac:dyDescent="0.25">
      <c r="B1028">
        <v>10710</v>
      </c>
      <c r="C1028" t="s">
        <v>20572</v>
      </c>
      <c r="E1028">
        <v>255</v>
      </c>
      <c r="F1028">
        <v>252</v>
      </c>
      <c r="G1028">
        <v>145</v>
      </c>
      <c r="H1028">
        <v>11</v>
      </c>
      <c r="Q1028" t="s">
        <v>20573</v>
      </c>
    </row>
    <row r="1029" spans="2:17" x14ac:dyDescent="0.25">
      <c r="B1029">
        <v>10709</v>
      </c>
      <c r="C1029" t="s">
        <v>20574</v>
      </c>
      <c r="E1029">
        <v>255</v>
      </c>
      <c r="F1029">
        <v>252</v>
      </c>
      <c r="G1029">
        <v>145</v>
      </c>
      <c r="H1029">
        <v>11</v>
      </c>
      <c r="Q1029" t="s">
        <v>20575</v>
      </c>
    </row>
    <row r="1030" spans="2:17" x14ac:dyDescent="0.25">
      <c r="B1030">
        <v>10708</v>
      </c>
      <c r="C1030" t="s">
        <v>20576</v>
      </c>
      <c r="E1030">
        <v>236</v>
      </c>
      <c r="F1030">
        <v>231</v>
      </c>
      <c r="G1030">
        <v>84</v>
      </c>
      <c r="H1030">
        <v>11</v>
      </c>
      <c r="Q1030" t="s">
        <v>20577</v>
      </c>
    </row>
    <row r="1031" spans="2:17" x14ac:dyDescent="0.25">
      <c r="B1031">
        <v>984</v>
      </c>
      <c r="C1031" t="s">
        <v>20578</v>
      </c>
      <c r="E1031">
        <v>255</v>
      </c>
      <c r="F1031">
        <v>252</v>
      </c>
      <c r="G1031">
        <v>145</v>
      </c>
      <c r="H1031">
        <v>8</v>
      </c>
      <c r="P1031" t="s">
        <v>20579</v>
      </c>
    </row>
    <row r="1032" spans="2:17" x14ac:dyDescent="0.25">
      <c r="B1032">
        <v>10713</v>
      </c>
      <c r="C1032" t="s">
        <v>20580</v>
      </c>
      <c r="E1032">
        <v>255</v>
      </c>
      <c r="F1032">
        <v>252</v>
      </c>
      <c r="G1032">
        <v>145</v>
      </c>
      <c r="H1032">
        <v>11</v>
      </c>
      <c r="Q1032" t="s">
        <v>20581</v>
      </c>
    </row>
    <row r="1033" spans="2:17" x14ac:dyDescent="0.25">
      <c r="B1033">
        <v>10712</v>
      </c>
      <c r="C1033" t="s">
        <v>20582</v>
      </c>
      <c r="E1033">
        <v>255</v>
      </c>
      <c r="F1033">
        <v>252</v>
      </c>
      <c r="G1033">
        <v>145</v>
      </c>
      <c r="H1033">
        <v>11</v>
      </c>
      <c r="Q1033" t="s">
        <v>20583</v>
      </c>
    </row>
    <row r="1034" spans="2:17" x14ac:dyDescent="0.25">
      <c r="B1034">
        <v>10711</v>
      </c>
      <c r="C1034" t="s">
        <v>20584</v>
      </c>
      <c r="E1034">
        <v>236</v>
      </c>
      <c r="F1034">
        <v>231</v>
      </c>
      <c r="G1034">
        <v>84</v>
      </c>
      <c r="H1034">
        <v>11</v>
      </c>
      <c r="Q1034" t="s">
        <v>20585</v>
      </c>
    </row>
    <row r="1035" spans="2:17" x14ac:dyDescent="0.25">
      <c r="B1035">
        <v>928</v>
      </c>
      <c r="C1035" t="s">
        <v>20586</v>
      </c>
      <c r="E1035">
        <v>255</v>
      </c>
      <c r="F1035">
        <v>252</v>
      </c>
      <c r="G1035">
        <v>145</v>
      </c>
      <c r="H1035">
        <v>7</v>
      </c>
      <c r="O1035" t="s">
        <v>20587</v>
      </c>
    </row>
    <row r="1036" spans="2:17" x14ac:dyDescent="0.25">
      <c r="B1036">
        <v>992</v>
      </c>
      <c r="C1036" t="s">
        <v>20588</v>
      </c>
      <c r="E1036">
        <v>255</v>
      </c>
      <c r="F1036">
        <v>252</v>
      </c>
      <c r="G1036">
        <v>145</v>
      </c>
      <c r="H1036">
        <v>8</v>
      </c>
      <c r="P1036" t="s">
        <v>20589</v>
      </c>
    </row>
    <row r="1037" spans="2:17" x14ac:dyDescent="0.25">
      <c r="B1037">
        <v>10716</v>
      </c>
      <c r="C1037" t="s">
        <v>20590</v>
      </c>
      <c r="E1037">
        <v>255</v>
      </c>
      <c r="F1037">
        <v>252</v>
      </c>
      <c r="G1037">
        <v>145</v>
      </c>
      <c r="H1037">
        <v>11</v>
      </c>
      <c r="Q1037" t="s">
        <v>20591</v>
      </c>
    </row>
    <row r="1038" spans="2:17" x14ac:dyDescent="0.25">
      <c r="B1038">
        <v>10715</v>
      </c>
      <c r="C1038" t="s">
        <v>20592</v>
      </c>
      <c r="E1038">
        <v>255</v>
      </c>
      <c r="F1038">
        <v>252</v>
      </c>
      <c r="G1038">
        <v>145</v>
      </c>
      <c r="H1038">
        <v>11</v>
      </c>
      <c r="Q1038" t="s">
        <v>20593</v>
      </c>
    </row>
    <row r="1039" spans="2:17" x14ac:dyDescent="0.25">
      <c r="B1039">
        <v>10714</v>
      </c>
      <c r="C1039" t="s">
        <v>20594</v>
      </c>
      <c r="E1039">
        <v>236</v>
      </c>
      <c r="F1039">
        <v>231</v>
      </c>
      <c r="G1039">
        <v>84</v>
      </c>
      <c r="H1039">
        <v>11</v>
      </c>
      <c r="Q1039" t="s">
        <v>20595</v>
      </c>
    </row>
    <row r="1040" spans="2:17" x14ac:dyDescent="0.25">
      <c r="B1040">
        <v>1001</v>
      </c>
      <c r="C1040" t="s">
        <v>20596</v>
      </c>
      <c r="E1040">
        <v>255</v>
      </c>
      <c r="F1040">
        <v>252</v>
      </c>
      <c r="G1040">
        <v>145</v>
      </c>
      <c r="H1040">
        <v>8</v>
      </c>
      <c r="P1040" t="s">
        <v>20597</v>
      </c>
    </row>
    <row r="1041" spans="2:17" x14ac:dyDescent="0.25">
      <c r="B1041">
        <v>10719</v>
      </c>
      <c r="C1041" t="s">
        <v>20598</v>
      </c>
      <c r="E1041">
        <v>255</v>
      </c>
      <c r="F1041">
        <v>252</v>
      </c>
      <c r="G1041">
        <v>145</v>
      </c>
      <c r="H1041">
        <v>11</v>
      </c>
      <c r="Q1041" t="s">
        <v>20599</v>
      </c>
    </row>
    <row r="1042" spans="2:17" x14ac:dyDescent="0.25">
      <c r="B1042">
        <v>10718</v>
      </c>
      <c r="C1042" t="s">
        <v>20600</v>
      </c>
      <c r="E1042">
        <v>255</v>
      </c>
      <c r="F1042">
        <v>252</v>
      </c>
      <c r="G1042">
        <v>145</v>
      </c>
      <c r="H1042">
        <v>11</v>
      </c>
      <c r="Q1042" t="s">
        <v>20601</v>
      </c>
    </row>
    <row r="1043" spans="2:17" x14ac:dyDescent="0.25">
      <c r="B1043">
        <v>10717</v>
      </c>
      <c r="C1043" t="s">
        <v>20602</v>
      </c>
      <c r="E1043">
        <v>236</v>
      </c>
      <c r="F1043">
        <v>231</v>
      </c>
      <c r="G1043">
        <v>84</v>
      </c>
      <c r="H1043">
        <v>11</v>
      </c>
      <c r="Q1043" t="s">
        <v>20603</v>
      </c>
    </row>
    <row r="1044" spans="2:17" x14ac:dyDescent="0.25">
      <c r="B1044">
        <v>1091</v>
      </c>
      <c r="C1044" t="s">
        <v>20604</v>
      </c>
      <c r="E1044">
        <v>255</v>
      </c>
      <c r="F1044">
        <v>252</v>
      </c>
      <c r="G1044">
        <v>145</v>
      </c>
      <c r="H1044">
        <v>8</v>
      </c>
      <c r="P1044" t="s">
        <v>20605</v>
      </c>
    </row>
    <row r="1045" spans="2:17" x14ac:dyDescent="0.25">
      <c r="B1045">
        <v>10722</v>
      </c>
      <c r="C1045" t="s">
        <v>20606</v>
      </c>
      <c r="E1045">
        <v>255</v>
      </c>
      <c r="F1045">
        <v>252</v>
      </c>
      <c r="G1045">
        <v>145</v>
      </c>
      <c r="H1045">
        <v>11</v>
      </c>
      <c r="Q1045" t="s">
        <v>20607</v>
      </c>
    </row>
    <row r="1046" spans="2:17" x14ac:dyDescent="0.25">
      <c r="B1046">
        <v>10721</v>
      </c>
      <c r="C1046" t="s">
        <v>20608</v>
      </c>
      <c r="E1046">
        <v>255</v>
      </c>
      <c r="F1046">
        <v>252</v>
      </c>
      <c r="G1046">
        <v>145</v>
      </c>
      <c r="H1046">
        <v>11</v>
      </c>
      <c r="Q1046" t="s">
        <v>20609</v>
      </c>
    </row>
    <row r="1047" spans="2:17" x14ac:dyDescent="0.25">
      <c r="B1047">
        <v>10720</v>
      </c>
      <c r="C1047" t="s">
        <v>20610</v>
      </c>
      <c r="E1047">
        <v>236</v>
      </c>
      <c r="F1047">
        <v>231</v>
      </c>
      <c r="G1047">
        <v>84</v>
      </c>
      <c r="H1047">
        <v>11</v>
      </c>
      <c r="Q1047" t="s">
        <v>20611</v>
      </c>
    </row>
    <row r="1048" spans="2:17" x14ac:dyDescent="0.25">
      <c r="B1048">
        <v>936</v>
      </c>
      <c r="C1048" t="s">
        <v>20612</v>
      </c>
      <c r="E1048">
        <v>255</v>
      </c>
      <c r="F1048">
        <v>252</v>
      </c>
      <c r="G1048">
        <v>145</v>
      </c>
      <c r="H1048">
        <v>8</v>
      </c>
      <c r="O1048" t="s">
        <v>20613</v>
      </c>
    </row>
    <row r="1049" spans="2:17" x14ac:dyDescent="0.25">
      <c r="B1049">
        <v>10725</v>
      </c>
      <c r="C1049" t="s">
        <v>20614</v>
      </c>
      <c r="E1049">
        <v>255</v>
      </c>
      <c r="F1049">
        <v>252</v>
      </c>
      <c r="G1049">
        <v>145</v>
      </c>
      <c r="H1049">
        <v>11</v>
      </c>
      <c r="P1049" t="s">
        <v>20615</v>
      </c>
    </row>
    <row r="1050" spans="2:17" x14ac:dyDescent="0.25">
      <c r="B1050">
        <v>10724</v>
      </c>
      <c r="C1050" t="s">
        <v>20616</v>
      </c>
      <c r="E1050">
        <v>255</v>
      </c>
      <c r="F1050">
        <v>252</v>
      </c>
      <c r="G1050">
        <v>145</v>
      </c>
      <c r="H1050">
        <v>11</v>
      </c>
      <c r="P1050" t="s">
        <v>20617</v>
      </c>
    </row>
    <row r="1051" spans="2:17" x14ac:dyDescent="0.25">
      <c r="B1051">
        <v>10723</v>
      </c>
      <c r="C1051" t="s">
        <v>20618</v>
      </c>
      <c r="E1051">
        <v>236</v>
      </c>
      <c r="F1051">
        <v>231</v>
      </c>
      <c r="G1051">
        <v>84</v>
      </c>
      <c r="H1051">
        <v>11</v>
      </c>
      <c r="P1051" t="s">
        <v>20619</v>
      </c>
    </row>
    <row r="1052" spans="2:17" x14ac:dyDescent="0.25">
      <c r="B1052">
        <v>944</v>
      </c>
      <c r="C1052" t="s">
        <v>20620</v>
      </c>
      <c r="E1052">
        <v>255</v>
      </c>
      <c r="F1052">
        <v>252</v>
      </c>
      <c r="G1052">
        <v>145</v>
      </c>
      <c r="H1052">
        <v>8</v>
      </c>
      <c r="O1052" t="s">
        <v>20621</v>
      </c>
    </row>
    <row r="1053" spans="2:17" x14ac:dyDescent="0.25">
      <c r="B1053">
        <v>10728</v>
      </c>
      <c r="C1053" t="s">
        <v>20622</v>
      </c>
      <c r="E1053">
        <v>255</v>
      </c>
      <c r="F1053">
        <v>252</v>
      </c>
      <c r="G1053">
        <v>145</v>
      </c>
      <c r="H1053">
        <v>11</v>
      </c>
      <c r="P1053" t="s">
        <v>20623</v>
      </c>
    </row>
    <row r="1054" spans="2:17" x14ac:dyDescent="0.25">
      <c r="B1054">
        <v>10727</v>
      </c>
      <c r="C1054" t="s">
        <v>20624</v>
      </c>
      <c r="E1054">
        <v>255</v>
      </c>
      <c r="F1054">
        <v>252</v>
      </c>
      <c r="G1054">
        <v>145</v>
      </c>
      <c r="H1054">
        <v>11</v>
      </c>
      <c r="P1054" t="s">
        <v>20625</v>
      </c>
    </row>
    <row r="1055" spans="2:17" x14ac:dyDescent="0.25">
      <c r="B1055">
        <v>10726</v>
      </c>
      <c r="C1055" t="s">
        <v>20626</v>
      </c>
      <c r="E1055">
        <v>236</v>
      </c>
      <c r="F1055">
        <v>231</v>
      </c>
      <c r="G1055">
        <v>84</v>
      </c>
      <c r="H1055">
        <v>11</v>
      </c>
      <c r="P1055" t="s">
        <v>20627</v>
      </c>
    </row>
    <row r="1056" spans="2:17" x14ac:dyDescent="0.25">
      <c r="B1056">
        <v>951</v>
      </c>
      <c r="C1056" t="s">
        <v>20628</v>
      </c>
      <c r="E1056">
        <v>255</v>
      </c>
      <c r="F1056">
        <v>252</v>
      </c>
      <c r="G1056">
        <v>145</v>
      </c>
      <c r="H1056">
        <v>8</v>
      </c>
      <c r="O1056" t="s">
        <v>20629</v>
      </c>
    </row>
    <row r="1057" spans="2:16" x14ac:dyDescent="0.25">
      <c r="B1057">
        <v>10731</v>
      </c>
      <c r="C1057" t="s">
        <v>20630</v>
      </c>
      <c r="E1057">
        <v>255</v>
      </c>
      <c r="F1057">
        <v>252</v>
      </c>
      <c r="G1057">
        <v>145</v>
      </c>
      <c r="H1057">
        <v>11</v>
      </c>
      <c r="P1057" t="s">
        <v>20631</v>
      </c>
    </row>
    <row r="1058" spans="2:16" x14ac:dyDescent="0.25">
      <c r="B1058">
        <v>10730</v>
      </c>
      <c r="C1058" t="s">
        <v>20632</v>
      </c>
      <c r="E1058">
        <v>255</v>
      </c>
      <c r="F1058">
        <v>252</v>
      </c>
      <c r="G1058">
        <v>145</v>
      </c>
      <c r="H1058">
        <v>11</v>
      </c>
      <c r="P1058" t="s">
        <v>20633</v>
      </c>
    </row>
    <row r="1059" spans="2:16" x14ac:dyDescent="0.25">
      <c r="B1059">
        <v>10729</v>
      </c>
      <c r="C1059" t="s">
        <v>20634</v>
      </c>
      <c r="E1059">
        <v>236</v>
      </c>
      <c r="F1059">
        <v>231</v>
      </c>
      <c r="G1059">
        <v>84</v>
      </c>
      <c r="H1059">
        <v>11</v>
      </c>
      <c r="P1059" t="s">
        <v>20635</v>
      </c>
    </row>
    <row r="1060" spans="2:16" x14ac:dyDescent="0.25">
      <c r="B1060">
        <v>957</v>
      </c>
      <c r="C1060" t="s">
        <v>20636</v>
      </c>
      <c r="E1060">
        <v>255</v>
      </c>
      <c r="F1060">
        <v>252</v>
      </c>
      <c r="G1060">
        <v>145</v>
      </c>
      <c r="H1060">
        <v>8</v>
      </c>
      <c r="O1060" t="s">
        <v>20637</v>
      </c>
    </row>
    <row r="1061" spans="2:16" x14ac:dyDescent="0.25">
      <c r="B1061">
        <v>10734</v>
      </c>
      <c r="C1061" t="s">
        <v>20638</v>
      </c>
      <c r="E1061">
        <v>255</v>
      </c>
      <c r="F1061">
        <v>252</v>
      </c>
      <c r="G1061">
        <v>145</v>
      </c>
      <c r="H1061">
        <v>11</v>
      </c>
      <c r="P1061" t="s">
        <v>20639</v>
      </c>
    </row>
    <row r="1062" spans="2:16" x14ac:dyDescent="0.25">
      <c r="B1062">
        <v>10733</v>
      </c>
      <c r="C1062" t="s">
        <v>20640</v>
      </c>
      <c r="E1062">
        <v>255</v>
      </c>
      <c r="F1062">
        <v>252</v>
      </c>
      <c r="G1062">
        <v>145</v>
      </c>
      <c r="H1062">
        <v>11</v>
      </c>
      <c r="P1062" t="s">
        <v>20641</v>
      </c>
    </row>
    <row r="1063" spans="2:16" x14ac:dyDescent="0.25">
      <c r="B1063">
        <v>10732</v>
      </c>
      <c r="C1063" t="s">
        <v>20642</v>
      </c>
      <c r="E1063">
        <v>236</v>
      </c>
      <c r="F1063">
        <v>231</v>
      </c>
      <c r="G1063">
        <v>84</v>
      </c>
      <c r="H1063">
        <v>11</v>
      </c>
      <c r="P1063" t="s">
        <v>20643</v>
      </c>
    </row>
    <row r="1064" spans="2:16" x14ac:dyDescent="0.25">
      <c r="B1064">
        <v>968</v>
      </c>
      <c r="C1064" t="s">
        <v>20644</v>
      </c>
      <c r="E1064">
        <v>255</v>
      </c>
      <c r="F1064">
        <v>252</v>
      </c>
      <c r="G1064">
        <v>145</v>
      </c>
      <c r="H1064">
        <v>8</v>
      </c>
      <c r="O1064" t="s">
        <v>20645</v>
      </c>
    </row>
    <row r="1065" spans="2:16" x14ac:dyDescent="0.25">
      <c r="B1065">
        <v>10737</v>
      </c>
      <c r="C1065" t="s">
        <v>20646</v>
      </c>
      <c r="E1065">
        <v>255</v>
      </c>
      <c r="F1065">
        <v>252</v>
      </c>
      <c r="G1065">
        <v>145</v>
      </c>
      <c r="H1065">
        <v>11</v>
      </c>
      <c r="P1065" t="s">
        <v>20647</v>
      </c>
    </row>
    <row r="1066" spans="2:16" x14ac:dyDescent="0.25">
      <c r="B1066">
        <v>10736</v>
      </c>
      <c r="C1066" t="s">
        <v>20648</v>
      </c>
      <c r="E1066">
        <v>255</v>
      </c>
      <c r="F1066">
        <v>252</v>
      </c>
      <c r="G1066">
        <v>145</v>
      </c>
      <c r="H1066">
        <v>11</v>
      </c>
      <c r="P1066" t="s">
        <v>20649</v>
      </c>
    </row>
    <row r="1067" spans="2:16" x14ac:dyDescent="0.25">
      <c r="B1067">
        <v>10735</v>
      </c>
      <c r="C1067" t="s">
        <v>20650</v>
      </c>
      <c r="E1067">
        <v>236</v>
      </c>
      <c r="F1067">
        <v>231</v>
      </c>
      <c r="G1067">
        <v>84</v>
      </c>
      <c r="H1067">
        <v>11</v>
      </c>
      <c r="P1067" t="s">
        <v>20651</v>
      </c>
    </row>
    <row r="1068" spans="2:16" x14ac:dyDescent="0.25">
      <c r="B1068">
        <v>1073</v>
      </c>
      <c r="C1068" t="s">
        <v>20652</v>
      </c>
      <c r="E1068">
        <v>255</v>
      </c>
      <c r="F1068">
        <v>252</v>
      </c>
      <c r="G1068">
        <v>145</v>
      </c>
      <c r="H1068">
        <v>6</v>
      </c>
      <c r="N1068" t="s">
        <v>20653</v>
      </c>
    </row>
    <row r="1069" spans="2:16" x14ac:dyDescent="0.25">
      <c r="B1069">
        <v>1007</v>
      </c>
      <c r="C1069" t="s">
        <v>20654</v>
      </c>
      <c r="E1069">
        <v>255</v>
      </c>
      <c r="F1069">
        <v>252</v>
      </c>
      <c r="G1069">
        <v>145</v>
      </c>
      <c r="H1069">
        <v>8</v>
      </c>
      <c r="O1069" t="s">
        <v>20655</v>
      </c>
    </row>
    <row r="1070" spans="2:16" x14ac:dyDescent="0.25">
      <c r="B1070">
        <v>10674</v>
      </c>
      <c r="C1070" t="s">
        <v>20656</v>
      </c>
      <c r="E1070">
        <v>255</v>
      </c>
      <c r="F1070">
        <v>252</v>
      </c>
      <c r="G1070">
        <v>145</v>
      </c>
      <c r="H1070">
        <v>11</v>
      </c>
      <c r="P1070" t="s">
        <v>20657</v>
      </c>
    </row>
    <row r="1071" spans="2:16" x14ac:dyDescent="0.25">
      <c r="B1071">
        <v>10673</v>
      </c>
      <c r="C1071" t="s">
        <v>20658</v>
      </c>
      <c r="E1071">
        <v>255</v>
      </c>
      <c r="F1071">
        <v>252</v>
      </c>
      <c r="G1071">
        <v>145</v>
      </c>
      <c r="H1071">
        <v>11</v>
      </c>
      <c r="P1071" t="s">
        <v>20659</v>
      </c>
    </row>
    <row r="1072" spans="2:16" x14ac:dyDescent="0.25">
      <c r="B1072">
        <v>10672</v>
      </c>
      <c r="C1072" t="s">
        <v>20660</v>
      </c>
      <c r="E1072">
        <v>236</v>
      </c>
      <c r="F1072">
        <v>231</v>
      </c>
      <c r="G1072">
        <v>84</v>
      </c>
      <c r="H1072">
        <v>11</v>
      </c>
      <c r="P1072" t="s">
        <v>20661</v>
      </c>
    </row>
    <row r="1073" spans="2:17" x14ac:dyDescent="0.25">
      <c r="B1073">
        <v>1017</v>
      </c>
      <c r="C1073" t="s">
        <v>20662</v>
      </c>
      <c r="E1073">
        <v>255</v>
      </c>
      <c r="F1073">
        <v>252</v>
      </c>
      <c r="G1073">
        <v>145</v>
      </c>
      <c r="H1073">
        <v>7</v>
      </c>
      <c r="O1073" t="s">
        <v>20663</v>
      </c>
    </row>
    <row r="1074" spans="2:17" x14ac:dyDescent="0.25">
      <c r="B1074">
        <v>1056</v>
      </c>
      <c r="C1074" t="s">
        <v>20664</v>
      </c>
      <c r="E1074">
        <v>255</v>
      </c>
      <c r="F1074">
        <v>252</v>
      </c>
      <c r="G1074">
        <v>145</v>
      </c>
      <c r="H1074">
        <v>8</v>
      </c>
      <c r="P1074" t="s">
        <v>20665</v>
      </c>
    </row>
    <row r="1075" spans="2:17" x14ac:dyDescent="0.25">
      <c r="B1075">
        <v>10677</v>
      </c>
      <c r="C1075" t="s">
        <v>20666</v>
      </c>
      <c r="E1075">
        <v>255</v>
      </c>
      <c r="F1075">
        <v>252</v>
      </c>
      <c r="G1075">
        <v>145</v>
      </c>
      <c r="H1075">
        <v>11</v>
      </c>
      <c r="Q1075" t="s">
        <v>20667</v>
      </c>
    </row>
    <row r="1076" spans="2:17" x14ac:dyDescent="0.25">
      <c r="B1076">
        <v>10676</v>
      </c>
      <c r="C1076" t="s">
        <v>20668</v>
      </c>
      <c r="E1076">
        <v>255</v>
      </c>
      <c r="F1076">
        <v>252</v>
      </c>
      <c r="G1076">
        <v>145</v>
      </c>
      <c r="H1076">
        <v>11</v>
      </c>
      <c r="Q1076" t="s">
        <v>20669</v>
      </c>
    </row>
    <row r="1077" spans="2:17" x14ac:dyDescent="0.25">
      <c r="B1077">
        <v>10675</v>
      </c>
      <c r="C1077" t="s">
        <v>20670</v>
      </c>
      <c r="E1077">
        <v>236</v>
      </c>
      <c r="F1077">
        <v>231</v>
      </c>
      <c r="G1077">
        <v>84</v>
      </c>
      <c r="H1077">
        <v>11</v>
      </c>
      <c r="Q1077" t="s">
        <v>20671</v>
      </c>
    </row>
    <row r="1078" spans="2:17" x14ac:dyDescent="0.25">
      <c r="B1078">
        <v>1064</v>
      </c>
      <c r="C1078" t="s">
        <v>20672</v>
      </c>
      <c r="E1078">
        <v>255</v>
      </c>
      <c r="F1078">
        <v>252</v>
      </c>
      <c r="G1078">
        <v>145</v>
      </c>
      <c r="H1078">
        <v>8</v>
      </c>
      <c r="P1078" t="s">
        <v>20673</v>
      </c>
    </row>
    <row r="1079" spans="2:17" x14ac:dyDescent="0.25">
      <c r="B1079">
        <v>10680</v>
      </c>
      <c r="C1079" t="s">
        <v>20674</v>
      </c>
      <c r="E1079">
        <v>255</v>
      </c>
      <c r="F1079">
        <v>252</v>
      </c>
      <c r="G1079">
        <v>145</v>
      </c>
      <c r="H1079">
        <v>11</v>
      </c>
      <c r="Q1079" t="s">
        <v>20675</v>
      </c>
    </row>
    <row r="1080" spans="2:17" x14ac:dyDescent="0.25">
      <c r="B1080">
        <v>10679</v>
      </c>
      <c r="C1080" t="s">
        <v>20676</v>
      </c>
      <c r="E1080">
        <v>255</v>
      </c>
      <c r="F1080">
        <v>252</v>
      </c>
      <c r="G1080">
        <v>145</v>
      </c>
      <c r="H1080">
        <v>11</v>
      </c>
      <c r="Q1080" t="s">
        <v>20677</v>
      </c>
    </row>
    <row r="1081" spans="2:17" x14ac:dyDescent="0.25">
      <c r="B1081">
        <v>10678</v>
      </c>
      <c r="C1081" t="s">
        <v>20678</v>
      </c>
      <c r="E1081">
        <v>236</v>
      </c>
      <c r="F1081">
        <v>231</v>
      </c>
      <c r="G1081">
        <v>84</v>
      </c>
      <c r="H1081">
        <v>11</v>
      </c>
      <c r="Q1081" t="s">
        <v>20679</v>
      </c>
    </row>
    <row r="1082" spans="2:17" x14ac:dyDescent="0.25">
      <c r="B1082">
        <v>1025</v>
      </c>
      <c r="C1082" t="s">
        <v>20680</v>
      </c>
      <c r="E1082">
        <v>255</v>
      </c>
      <c r="F1082">
        <v>252</v>
      </c>
      <c r="G1082">
        <v>145</v>
      </c>
      <c r="H1082">
        <v>8</v>
      </c>
      <c r="O1082" t="s">
        <v>20681</v>
      </c>
    </row>
    <row r="1083" spans="2:17" x14ac:dyDescent="0.25">
      <c r="B1083">
        <v>10683</v>
      </c>
      <c r="C1083" t="s">
        <v>20682</v>
      </c>
      <c r="E1083">
        <v>255</v>
      </c>
      <c r="F1083">
        <v>252</v>
      </c>
      <c r="G1083">
        <v>145</v>
      </c>
      <c r="H1083">
        <v>11</v>
      </c>
      <c r="P1083" t="s">
        <v>20683</v>
      </c>
    </row>
    <row r="1084" spans="2:17" x14ac:dyDescent="0.25">
      <c r="B1084">
        <v>10682</v>
      </c>
      <c r="C1084" t="s">
        <v>20684</v>
      </c>
      <c r="E1084">
        <v>255</v>
      </c>
      <c r="F1084">
        <v>252</v>
      </c>
      <c r="G1084">
        <v>145</v>
      </c>
      <c r="H1084">
        <v>11</v>
      </c>
      <c r="P1084" t="s">
        <v>20685</v>
      </c>
    </row>
    <row r="1085" spans="2:17" x14ac:dyDescent="0.25">
      <c r="B1085">
        <v>10681</v>
      </c>
      <c r="C1085" t="s">
        <v>20686</v>
      </c>
      <c r="E1085">
        <v>236</v>
      </c>
      <c r="F1085">
        <v>231</v>
      </c>
      <c r="G1085">
        <v>84</v>
      </c>
      <c r="H1085">
        <v>11</v>
      </c>
      <c r="P1085" t="s">
        <v>20687</v>
      </c>
    </row>
    <row r="1086" spans="2:17" x14ac:dyDescent="0.25">
      <c r="B1086">
        <v>1033</v>
      </c>
      <c r="C1086" t="s">
        <v>20688</v>
      </c>
      <c r="E1086">
        <v>255</v>
      </c>
      <c r="F1086">
        <v>252</v>
      </c>
      <c r="G1086">
        <v>145</v>
      </c>
      <c r="H1086">
        <v>8</v>
      </c>
      <c r="O1086" t="s">
        <v>20689</v>
      </c>
    </row>
    <row r="1087" spans="2:17" x14ac:dyDescent="0.25">
      <c r="B1087">
        <v>10686</v>
      </c>
      <c r="C1087" t="s">
        <v>20690</v>
      </c>
      <c r="E1087">
        <v>255</v>
      </c>
      <c r="F1087">
        <v>252</v>
      </c>
      <c r="G1087">
        <v>145</v>
      </c>
      <c r="H1087">
        <v>11</v>
      </c>
      <c r="P1087" t="s">
        <v>20691</v>
      </c>
    </row>
    <row r="1088" spans="2:17" x14ac:dyDescent="0.25">
      <c r="B1088">
        <v>10685</v>
      </c>
      <c r="C1088" t="s">
        <v>20692</v>
      </c>
      <c r="E1088">
        <v>255</v>
      </c>
      <c r="F1088">
        <v>252</v>
      </c>
      <c r="G1088">
        <v>145</v>
      </c>
      <c r="H1088">
        <v>11</v>
      </c>
      <c r="P1088" t="s">
        <v>20693</v>
      </c>
    </row>
    <row r="1089" spans="2:16" x14ac:dyDescent="0.25">
      <c r="B1089">
        <v>10684</v>
      </c>
      <c r="C1089" t="s">
        <v>20694</v>
      </c>
      <c r="E1089">
        <v>236</v>
      </c>
      <c r="F1089">
        <v>231</v>
      </c>
      <c r="G1089">
        <v>84</v>
      </c>
      <c r="H1089">
        <v>11</v>
      </c>
      <c r="P1089" t="s">
        <v>20695</v>
      </c>
    </row>
    <row r="1090" spans="2:16" x14ac:dyDescent="0.25">
      <c r="B1090">
        <v>1041</v>
      </c>
      <c r="C1090" t="s">
        <v>20696</v>
      </c>
      <c r="E1090">
        <v>255</v>
      </c>
      <c r="F1090">
        <v>252</v>
      </c>
      <c r="G1090">
        <v>145</v>
      </c>
      <c r="H1090">
        <v>8</v>
      </c>
      <c r="O1090" t="s">
        <v>20697</v>
      </c>
    </row>
    <row r="1091" spans="2:16" x14ac:dyDescent="0.25">
      <c r="B1091">
        <v>10689</v>
      </c>
      <c r="C1091" t="s">
        <v>20698</v>
      </c>
      <c r="E1091">
        <v>255</v>
      </c>
      <c r="F1091">
        <v>252</v>
      </c>
      <c r="G1091">
        <v>145</v>
      </c>
      <c r="H1091">
        <v>11</v>
      </c>
      <c r="P1091" t="s">
        <v>20699</v>
      </c>
    </row>
    <row r="1092" spans="2:16" x14ac:dyDescent="0.25">
      <c r="B1092">
        <v>10688</v>
      </c>
      <c r="C1092" t="s">
        <v>20700</v>
      </c>
      <c r="E1092">
        <v>255</v>
      </c>
      <c r="F1092">
        <v>252</v>
      </c>
      <c r="G1092">
        <v>145</v>
      </c>
      <c r="H1092">
        <v>11</v>
      </c>
      <c r="P1092" t="s">
        <v>20701</v>
      </c>
    </row>
    <row r="1093" spans="2:16" x14ac:dyDescent="0.25">
      <c r="B1093">
        <v>10687</v>
      </c>
      <c r="C1093" t="s">
        <v>20702</v>
      </c>
      <c r="E1093">
        <v>236</v>
      </c>
      <c r="F1093">
        <v>231</v>
      </c>
      <c r="G1093">
        <v>84</v>
      </c>
      <c r="H1093">
        <v>11</v>
      </c>
      <c r="P1093" t="s">
        <v>20703</v>
      </c>
    </row>
    <row r="1094" spans="2:16" x14ac:dyDescent="0.25">
      <c r="B1094">
        <v>1049</v>
      </c>
      <c r="C1094" t="s">
        <v>20704</v>
      </c>
      <c r="E1094">
        <v>255</v>
      </c>
      <c r="F1094">
        <v>252</v>
      </c>
      <c r="G1094">
        <v>145</v>
      </c>
      <c r="H1094">
        <v>8</v>
      </c>
      <c r="O1094" t="s">
        <v>20705</v>
      </c>
    </row>
    <row r="1095" spans="2:16" x14ac:dyDescent="0.25">
      <c r="B1095">
        <v>10692</v>
      </c>
      <c r="C1095" t="s">
        <v>20706</v>
      </c>
      <c r="E1095">
        <v>255</v>
      </c>
      <c r="F1095">
        <v>252</v>
      </c>
      <c r="G1095">
        <v>145</v>
      </c>
      <c r="H1095">
        <v>11</v>
      </c>
      <c r="P1095" t="s">
        <v>20707</v>
      </c>
    </row>
    <row r="1096" spans="2:16" x14ac:dyDescent="0.25">
      <c r="B1096">
        <v>10691</v>
      </c>
      <c r="C1096" t="s">
        <v>20708</v>
      </c>
      <c r="E1096">
        <v>255</v>
      </c>
      <c r="F1096">
        <v>252</v>
      </c>
      <c r="G1096">
        <v>145</v>
      </c>
      <c r="H1096">
        <v>11</v>
      </c>
      <c r="P1096" t="s">
        <v>20709</v>
      </c>
    </row>
    <row r="1097" spans="2:16" x14ac:dyDescent="0.25">
      <c r="B1097">
        <v>10690</v>
      </c>
      <c r="C1097" t="s">
        <v>20710</v>
      </c>
      <c r="E1097">
        <v>236</v>
      </c>
      <c r="F1097">
        <v>231</v>
      </c>
      <c r="G1097">
        <v>84</v>
      </c>
      <c r="H1097">
        <v>11</v>
      </c>
      <c r="P1097" t="s">
        <v>20711</v>
      </c>
    </row>
    <row r="1098" spans="2:16" x14ac:dyDescent="0.25">
      <c r="B1098">
        <v>519</v>
      </c>
      <c r="C1098" t="s">
        <v>20712</v>
      </c>
      <c r="E1098">
        <v>240</v>
      </c>
      <c r="F1098">
        <v>240</v>
      </c>
      <c r="G1098">
        <v>128</v>
      </c>
      <c r="H1098">
        <v>5</v>
      </c>
      <c r="M1098" t="s">
        <v>20713</v>
      </c>
    </row>
    <row r="1099" spans="2:16" x14ac:dyDescent="0.25">
      <c r="B1099">
        <v>989</v>
      </c>
      <c r="C1099" t="s">
        <v>20714</v>
      </c>
      <c r="E1099">
        <v>255</v>
      </c>
      <c r="F1099">
        <v>253</v>
      </c>
      <c r="G1099">
        <v>188</v>
      </c>
      <c r="H1099">
        <v>8</v>
      </c>
      <c r="N1099" t="s">
        <v>20715</v>
      </c>
    </row>
    <row r="1100" spans="2:16" x14ac:dyDescent="0.25">
      <c r="B1100">
        <v>91</v>
      </c>
      <c r="C1100" t="s">
        <v>20716</v>
      </c>
      <c r="E1100">
        <v>255</v>
      </c>
      <c r="F1100">
        <v>253</v>
      </c>
      <c r="G1100">
        <v>188</v>
      </c>
      <c r="H1100">
        <v>8</v>
      </c>
      <c r="N1100" t="s">
        <v>20717</v>
      </c>
    </row>
    <row r="1101" spans="2:16" x14ac:dyDescent="0.25">
      <c r="B1101">
        <v>846</v>
      </c>
      <c r="C1101" t="s">
        <v>20718</v>
      </c>
      <c r="E1101">
        <v>255</v>
      </c>
      <c r="F1101">
        <v>253</v>
      </c>
      <c r="G1101">
        <v>188</v>
      </c>
      <c r="H1101">
        <v>8</v>
      </c>
      <c r="N1101" t="s">
        <v>20719</v>
      </c>
    </row>
    <row r="1102" spans="2:16" x14ac:dyDescent="0.25">
      <c r="B1102">
        <v>589508455</v>
      </c>
      <c r="C1102" t="s">
        <v>20720</v>
      </c>
      <c r="E1102">
        <v>255</v>
      </c>
      <c r="F1102">
        <v>253</v>
      </c>
      <c r="G1102">
        <v>188</v>
      </c>
      <c r="H1102">
        <v>8</v>
      </c>
      <c r="N1102" t="s">
        <v>20721</v>
      </c>
    </row>
    <row r="1103" spans="2:16" x14ac:dyDescent="0.25">
      <c r="B1103">
        <v>1009</v>
      </c>
      <c r="C1103" t="s">
        <v>20722</v>
      </c>
      <c r="E1103">
        <v>204</v>
      </c>
      <c r="F1103">
        <v>204</v>
      </c>
      <c r="G1103">
        <v>204</v>
      </c>
      <c r="H1103">
        <v>1</v>
      </c>
      <c r="K1103" t="s">
        <v>20722</v>
      </c>
    </row>
    <row r="1104" spans="2:16" x14ac:dyDescent="0.25">
      <c r="B1104">
        <v>967</v>
      </c>
      <c r="C1104" t="s">
        <v>20723</v>
      </c>
      <c r="E1104">
        <v>204</v>
      </c>
      <c r="F1104">
        <v>204</v>
      </c>
      <c r="G1104">
        <v>204</v>
      </c>
      <c r="H1104">
        <v>2</v>
      </c>
      <c r="L1104" t="s">
        <v>979</v>
      </c>
    </row>
    <row r="1105" spans="2:15" x14ac:dyDescent="0.25">
      <c r="B1105">
        <v>885</v>
      </c>
      <c r="C1105" t="s">
        <v>20724</v>
      </c>
      <c r="E1105">
        <v>204</v>
      </c>
      <c r="F1105">
        <v>204</v>
      </c>
      <c r="G1105">
        <v>204</v>
      </c>
      <c r="H1105">
        <v>8</v>
      </c>
      <c r="M1105" t="s">
        <v>3222</v>
      </c>
    </row>
    <row r="1106" spans="2:15" x14ac:dyDescent="0.25">
      <c r="B1106">
        <v>949</v>
      </c>
      <c r="C1106" t="s">
        <v>20725</v>
      </c>
      <c r="E1106">
        <v>204</v>
      </c>
      <c r="F1106">
        <v>204</v>
      </c>
      <c r="G1106">
        <v>204</v>
      </c>
      <c r="H1106">
        <v>8</v>
      </c>
      <c r="M1106" t="s">
        <v>15134</v>
      </c>
    </row>
    <row r="1107" spans="2:15" x14ac:dyDescent="0.25">
      <c r="B1107">
        <v>840</v>
      </c>
      <c r="C1107" t="s">
        <v>20726</v>
      </c>
      <c r="E1107">
        <v>204</v>
      </c>
      <c r="F1107">
        <v>204</v>
      </c>
      <c r="G1107">
        <v>204</v>
      </c>
      <c r="H1107">
        <v>8</v>
      </c>
      <c r="M1107" t="s">
        <v>3456</v>
      </c>
    </row>
    <row r="1108" spans="2:15" x14ac:dyDescent="0.25">
      <c r="B1108">
        <v>1016</v>
      </c>
      <c r="C1108" t="s">
        <v>20727</v>
      </c>
      <c r="E1108">
        <v>204</v>
      </c>
      <c r="F1108">
        <v>204</v>
      </c>
      <c r="G1108">
        <v>204</v>
      </c>
      <c r="H1108">
        <v>9</v>
      </c>
      <c r="N1108" t="s">
        <v>3450</v>
      </c>
    </row>
    <row r="1109" spans="2:15" x14ac:dyDescent="0.25">
      <c r="B1109">
        <v>21</v>
      </c>
      <c r="C1109" t="s">
        <v>20728</v>
      </c>
      <c r="E1109">
        <v>204</v>
      </c>
      <c r="F1109">
        <v>204</v>
      </c>
      <c r="G1109">
        <v>204</v>
      </c>
      <c r="H1109">
        <v>9</v>
      </c>
      <c r="N1109" t="s">
        <v>20729</v>
      </c>
    </row>
    <row r="1110" spans="2:15" x14ac:dyDescent="0.25">
      <c r="B1110">
        <v>665</v>
      </c>
      <c r="C1110" t="s">
        <v>18468</v>
      </c>
      <c r="E1110">
        <v>204</v>
      </c>
      <c r="F1110">
        <v>204</v>
      </c>
      <c r="G1110">
        <v>204</v>
      </c>
      <c r="H1110">
        <v>10</v>
      </c>
      <c r="O1110" t="s">
        <v>2649</v>
      </c>
    </row>
    <row r="1111" spans="2:15" x14ac:dyDescent="0.25">
      <c r="B1111">
        <v>538</v>
      </c>
      <c r="C1111" t="s">
        <v>20730</v>
      </c>
      <c r="E1111">
        <v>204</v>
      </c>
      <c r="F1111">
        <v>204</v>
      </c>
      <c r="G1111">
        <v>204</v>
      </c>
      <c r="H1111">
        <v>10</v>
      </c>
      <c r="O1111" t="s">
        <v>20731</v>
      </c>
    </row>
    <row r="1112" spans="2:15" x14ac:dyDescent="0.25">
      <c r="B1112">
        <v>459</v>
      </c>
      <c r="C1112" t="s">
        <v>20732</v>
      </c>
      <c r="E1112">
        <v>204</v>
      </c>
      <c r="F1112">
        <v>204</v>
      </c>
      <c r="G1112">
        <v>204</v>
      </c>
      <c r="H1112">
        <v>10</v>
      </c>
      <c r="O1112" t="s">
        <v>20733</v>
      </c>
    </row>
    <row r="1113" spans="2:15" x14ac:dyDescent="0.25">
      <c r="B1113">
        <v>900</v>
      </c>
      <c r="C1113" t="s">
        <v>20734</v>
      </c>
      <c r="E1113">
        <v>204</v>
      </c>
      <c r="F1113">
        <v>204</v>
      </c>
      <c r="G1113">
        <v>204</v>
      </c>
      <c r="H1113">
        <v>9</v>
      </c>
      <c r="N1113" t="s">
        <v>323</v>
      </c>
    </row>
    <row r="1114" spans="2:15" x14ac:dyDescent="0.25">
      <c r="B1114">
        <v>848</v>
      </c>
      <c r="C1114" t="s">
        <v>20735</v>
      </c>
      <c r="E1114">
        <v>204</v>
      </c>
      <c r="F1114">
        <v>204</v>
      </c>
      <c r="G1114">
        <v>204</v>
      </c>
      <c r="H1114">
        <v>8</v>
      </c>
      <c r="M1114" t="s">
        <v>1384</v>
      </c>
    </row>
    <row r="1115" spans="2:15" x14ac:dyDescent="0.25">
      <c r="B1115">
        <v>876</v>
      </c>
      <c r="C1115" t="s">
        <v>20736</v>
      </c>
      <c r="E1115">
        <v>204</v>
      </c>
      <c r="F1115">
        <v>204</v>
      </c>
      <c r="G1115">
        <v>204</v>
      </c>
      <c r="H1115">
        <v>9</v>
      </c>
      <c r="N1115" t="s">
        <v>213</v>
      </c>
    </row>
    <row r="1116" spans="2:15" x14ac:dyDescent="0.25">
      <c r="B1116">
        <v>916</v>
      </c>
      <c r="C1116" t="s">
        <v>20737</v>
      </c>
      <c r="E1116">
        <v>204</v>
      </c>
      <c r="F1116">
        <v>204</v>
      </c>
      <c r="G1116">
        <v>204</v>
      </c>
      <c r="H1116">
        <v>9</v>
      </c>
      <c r="N1116" t="s">
        <v>602</v>
      </c>
    </row>
    <row r="1117" spans="2:15" x14ac:dyDescent="0.25">
      <c r="B1117">
        <v>336</v>
      </c>
      <c r="C1117" t="s">
        <v>20738</v>
      </c>
      <c r="E1117">
        <v>204</v>
      </c>
      <c r="F1117">
        <v>204</v>
      </c>
      <c r="G1117">
        <v>204</v>
      </c>
      <c r="H1117">
        <v>9</v>
      </c>
      <c r="N1117" t="s">
        <v>1301</v>
      </c>
    </row>
    <row r="1118" spans="2:15" x14ac:dyDescent="0.25">
      <c r="B1118">
        <v>117</v>
      </c>
      <c r="C1118" t="s">
        <v>18480</v>
      </c>
      <c r="E1118">
        <v>204</v>
      </c>
      <c r="F1118">
        <v>204</v>
      </c>
      <c r="G1118">
        <v>204</v>
      </c>
      <c r="H1118">
        <v>9</v>
      </c>
      <c r="N1118" t="s">
        <v>3492</v>
      </c>
    </row>
    <row r="1119" spans="2:15" x14ac:dyDescent="0.25">
      <c r="B1119">
        <v>125</v>
      </c>
      <c r="C1119" t="s">
        <v>18483</v>
      </c>
      <c r="E1119">
        <v>204</v>
      </c>
      <c r="F1119">
        <v>204</v>
      </c>
      <c r="G1119">
        <v>204</v>
      </c>
      <c r="H1119">
        <v>9</v>
      </c>
      <c r="N1119" t="s">
        <v>3504</v>
      </c>
    </row>
    <row r="1120" spans="2:15" x14ac:dyDescent="0.25">
      <c r="B1120">
        <v>357</v>
      </c>
      <c r="C1120" t="s">
        <v>20739</v>
      </c>
      <c r="E1120">
        <v>204</v>
      </c>
      <c r="F1120">
        <v>204</v>
      </c>
      <c r="G1120">
        <v>204</v>
      </c>
      <c r="H1120">
        <v>9</v>
      </c>
      <c r="N1120" t="s">
        <v>13768</v>
      </c>
    </row>
    <row r="1121" spans="2:15" x14ac:dyDescent="0.25">
      <c r="B1121">
        <v>832</v>
      </c>
      <c r="C1121" t="s">
        <v>20740</v>
      </c>
      <c r="E1121">
        <v>204</v>
      </c>
      <c r="F1121">
        <v>204</v>
      </c>
      <c r="G1121">
        <v>204</v>
      </c>
      <c r="H1121">
        <v>8</v>
      </c>
      <c r="M1121" t="s">
        <v>3403</v>
      </c>
    </row>
    <row r="1122" spans="2:15" x14ac:dyDescent="0.25">
      <c r="B1122">
        <v>62</v>
      </c>
      <c r="C1122" t="s">
        <v>18474</v>
      </c>
      <c r="E1122">
        <v>204</v>
      </c>
      <c r="F1122">
        <v>204</v>
      </c>
      <c r="G1122">
        <v>204</v>
      </c>
      <c r="H1122">
        <v>9</v>
      </c>
      <c r="N1122" t="s">
        <v>2935</v>
      </c>
    </row>
    <row r="1123" spans="2:15" x14ac:dyDescent="0.25">
      <c r="B1123">
        <v>158</v>
      </c>
      <c r="C1123" t="s">
        <v>18486</v>
      </c>
      <c r="E1123">
        <v>204</v>
      </c>
      <c r="F1123">
        <v>204</v>
      </c>
      <c r="G1123">
        <v>204</v>
      </c>
      <c r="H1123">
        <v>9</v>
      </c>
      <c r="N1123" t="s">
        <v>3922</v>
      </c>
    </row>
    <row r="1124" spans="2:15" x14ac:dyDescent="0.25">
      <c r="B1124">
        <v>911</v>
      </c>
      <c r="C1124" t="s">
        <v>20741</v>
      </c>
      <c r="E1124">
        <v>204</v>
      </c>
      <c r="F1124">
        <v>204</v>
      </c>
      <c r="G1124">
        <v>204</v>
      </c>
      <c r="H1124">
        <v>8</v>
      </c>
      <c r="M1124" t="s">
        <v>14981</v>
      </c>
    </row>
    <row r="1125" spans="2:15" x14ac:dyDescent="0.25">
      <c r="B1125">
        <v>384</v>
      </c>
      <c r="C1125" t="s">
        <v>20742</v>
      </c>
      <c r="E1125">
        <v>204</v>
      </c>
      <c r="F1125">
        <v>204</v>
      </c>
      <c r="G1125">
        <v>204</v>
      </c>
      <c r="H1125">
        <v>9</v>
      </c>
      <c r="N1125" t="s">
        <v>1430</v>
      </c>
    </row>
    <row r="1126" spans="2:15" x14ac:dyDescent="0.25">
      <c r="B1126">
        <v>710</v>
      </c>
      <c r="C1126" t="s">
        <v>20743</v>
      </c>
      <c r="E1126">
        <v>204</v>
      </c>
      <c r="F1126">
        <v>204</v>
      </c>
      <c r="G1126">
        <v>204</v>
      </c>
      <c r="H1126">
        <v>8</v>
      </c>
      <c r="M1126" t="s">
        <v>156</v>
      </c>
    </row>
    <row r="1127" spans="2:15" x14ac:dyDescent="0.25">
      <c r="B1127">
        <v>901</v>
      </c>
      <c r="C1127" t="s">
        <v>20744</v>
      </c>
      <c r="E1127">
        <v>204</v>
      </c>
      <c r="F1127">
        <v>204</v>
      </c>
      <c r="G1127">
        <v>204</v>
      </c>
      <c r="H1127">
        <v>8</v>
      </c>
      <c r="M1127" t="s">
        <v>14971</v>
      </c>
    </row>
    <row r="1128" spans="2:15" x14ac:dyDescent="0.25">
      <c r="B1128">
        <v>93</v>
      </c>
      <c r="C1128" t="s">
        <v>20745</v>
      </c>
      <c r="E1128">
        <v>204</v>
      </c>
      <c r="F1128">
        <v>204</v>
      </c>
      <c r="G1128">
        <v>204</v>
      </c>
      <c r="H1128">
        <v>9</v>
      </c>
      <c r="N1128" t="s">
        <v>3193</v>
      </c>
    </row>
    <row r="1129" spans="2:15" x14ac:dyDescent="0.25">
      <c r="B1129">
        <v>229</v>
      </c>
      <c r="C1129" t="s">
        <v>20746</v>
      </c>
      <c r="E1129">
        <v>204</v>
      </c>
      <c r="F1129">
        <v>204</v>
      </c>
      <c r="G1129">
        <v>204</v>
      </c>
      <c r="H1129">
        <v>9</v>
      </c>
      <c r="N1129" t="s">
        <v>3218</v>
      </c>
    </row>
    <row r="1130" spans="2:15" x14ac:dyDescent="0.25">
      <c r="B1130">
        <v>705</v>
      </c>
      <c r="C1130" t="s">
        <v>20747</v>
      </c>
      <c r="E1130">
        <v>204</v>
      </c>
      <c r="F1130">
        <v>204</v>
      </c>
      <c r="G1130">
        <v>204</v>
      </c>
      <c r="H1130">
        <v>10</v>
      </c>
      <c r="O1130" t="s">
        <v>3083</v>
      </c>
    </row>
    <row r="1131" spans="2:15" x14ac:dyDescent="0.25">
      <c r="B1131">
        <v>794</v>
      </c>
      <c r="C1131" t="s">
        <v>20748</v>
      </c>
      <c r="E1131">
        <v>204</v>
      </c>
      <c r="F1131">
        <v>204</v>
      </c>
      <c r="G1131">
        <v>204</v>
      </c>
      <c r="H1131">
        <v>10</v>
      </c>
      <c r="O1131" t="s">
        <v>3220</v>
      </c>
    </row>
    <row r="1132" spans="2:15" x14ac:dyDescent="0.25">
      <c r="B1132">
        <v>798</v>
      </c>
      <c r="C1132" t="s">
        <v>20749</v>
      </c>
      <c r="E1132">
        <v>204</v>
      </c>
      <c r="F1132">
        <v>204</v>
      </c>
      <c r="G1132">
        <v>204</v>
      </c>
      <c r="H1132">
        <v>8</v>
      </c>
      <c r="M1132" t="s">
        <v>1814</v>
      </c>
    </row>
    <row r="1133" spans="2:15" x14ac:dyDescent="0.25">
      <c r="B1133">
        <v>1131</v>
      </c>
      <c r="C1133" t="s">
        <v>20750</v>
      </c>
      <c r="E1133">
        <v>204</v>
      </c>
      <c r="F1133">
        <v>204</v>
      </c>
      <c r="G1133">
        <v>204</v>
      </c>
      <c r="H1133">
        <v>9</v>
      </c>
      <c r="N1133" t="s">
        <v>3216</v>
      </c>
    </row>
    <row r="1134" spans="2:15" x14ac:dyDescent="0.25">
      <c r="B1134">
        <v>1116</v>
      </c>
      <c r="C1134" t="s">
        <v>20751</v>
      </c>
      <c r="E1134">
        <v>204</v>
      </c>
      <c r="F1134">
        <v>204</v>
      </c>
      <c r="G1134">
        <v>204</v>
      </c>
      <c r="H1134">
        <v>9</v>
      </c>
      <c r="N1134" t="s">
        <v>2066</v>
      </c>
    </row>
    <row r="1135" spans="2:15" x14ac:dyDescent="0.25">
      <c r="B1135">
        <v>933</v>
      </c>
      <c r="C1135" t="s">
        <v>20752</v>
      </c>
      <c r="E1135">
        <v>204</v>
      </c>
      <c r="F1135">
        <v>204</v>
      </c>
      <c r="G1135">
        <v>204</v>
      </c>
      <c r="H1135">
        <v>8</v>
      </c>
      <c r="M1135" t="s">
        <v>15125</v>
      </c>
    </row>
    <row r="1136" spans="2:15" x14ac:dyDescent="0.25">
      <c r="B1136">
        <v>1076</v>
      </c>
      <c r="C1136" t="s">
        <v>20753</v>
      </c>
      <c r="E1136">
        <v>204</v>
      </c>
      <c r="F1136">
        <v>204</v>
      </c>
      <c r="G1136">
        <v>204</v>
      </c>
      <c r="H1136">
        <v>9</v>
      </c>
      <c r="N1136" t="s">
        <v>13427</v>
      </c>
    </row>
    <row r="1137" spans="2:15" x14ac:dyDescent="0.25">
      <c r="B1137">
        <v>413</v>
      </c>
      <c r="C1137" t="s">
        <v>20754</v>
      </c>
      <c r="E1137">
        <v>204</v>
      </c>
      <c r="F1137">
        <v>204</v>
      </c>
      <c r="G1137">
        <v>204</v>
      </c>
      <c r="H1137">
        <v>9</v>
      </c>
      <c r="N1137" t="s">
        <v>981</v>
      </c>
    </row>
    <row r="1138" spans="2:15" x14ac:dyDescent="0.25">
      <c r="B1138">
        <v>948</v>
      </c>
      <c r="C1138" t="s">
        <v>20755</v>
      </c>
      <c r="E1138">
        <v>204</v>
      </c>
      <c r="F1138">
        <v>204</v>
      </c>
      <c r="G1138">
        <v>204</v>
      </c>
      <c r="H1138">
        <v>9</v>
      </c>
      <c r="N1138" t="s">
        <v>983</v>
      </c>
    </row>
    <row r="1139" spans="2:15" x14ac:dyDescent="0.25">
      <c r="B1139">
        <v>841</v>
      </c>
      <c r="C1139" t="s">
        <v>20756</v>
      </c>
      <c r="E1139">
        <v>204</v>
      </c>
      <c r="F1139">
        <v>204</v>
      </c>
      <c r="G1139">
        <v>204</v>
      </c>
      <c r="H1139">
        <v>10</v>
      </c>
      <c r="O1139" t="s">
        <v>14233</v>
      </c>
    </row>
    <row r="1140" spans="2:15" x14ac:dyDescent="0.25">
      <c r="B1140">
        <v>641</v>
      </c>
      <c r="C1140" t="s">
        <v>20757</v>
      </c>
      <c r="E1140">
        <v>204</v>
      </c>
      <c r="F1140">
        <v>204</v>
      </c>
      <c r="G1140">
        <v>204</v>
      </c>
      <c r="H1140">
        <v>10</v>
      </c>
      <c r="O1140" t="s">
        <v>2461</v>
      </c>
    </row>
    <row r="1141" spans="2:15" x14ac:dyDescent="0.25">
      <c r="B1141">
        <v>506</v>
      </c>
      <c r="C1141" t="s">
        <v>20758</v>
      </c>
      <c r="E1141">
        <v>204</v>
      </c>
      <c r="F1141">
        <v>204</v>
      </c>
      <c r="G1141">
        <v>204</v>
      </c>
      <c r="H1141">
        <v>10</v>
      </c>
      <c r="O1141" t="s">
        <v>1508</v>
      </c>
    </row>
    <row r="1142" spans="2:15" x14ac:dyDescent="0.25">
      <c r="B1142">
        <v>658</v>
      </c>
      <c r="C1142" t="s">
        <v>18469</v>
      </c>
      <c r="E1142">
        <v>204</v>
      </c>
      <c r="F1142">
        <v>204</v>
      </c>
      <c r="G1142">
        <v>204</v>
      </c>
      <c r="H1142">
        <v>10</v>
      </c>
      <c r="O1142" t="s">
        <v>2607</v>
      </c>
    </row>
    <row r="1143" spans="2:15" x14ac:dyDescent="0.25">
      <c r="B1143">
        <v>633</v>
      </c>
      <c r="C1143" t="s">
        <v>20759</v>
      </c>
      <c r="E1143">
        <v>204</v>
      </c>
      <c r="F1143">
        <v>204</v>
      </c>
      <c r="G1143">
        <v>204</v>
      </c>
      <c r="H1143">
        <v>10</v>
      </c>
      <c r="O1143" t="s">
        <v>1298</v>
      </c>
    </row>
    <row r="1144" spans="2:15" x14ac:dyDescent="0.25">
      <c r="B1144">
        <v>482</v>
      </c>
      <c r="C1144" t="s">
        <v>18441</v>
      </c>
      <c r="E1144">
        <v>204</v>
      </c>
      <c r="F1144">
        <v>204</v>
      </c>
      <c r="G1144">
        <v>204</v>
      </c>
      <c r="H1144">
        <v>10</v>
      </c>
      <c r="O1144" t="s">
        <v>596</v>
      </c>
    </row>
    <row r="1145" spans="2:15" x14ac:dyDescent="0.25">
      <c r="B1145">
        <v>808</v>
      </c>
      <c r="C1145" t="s">
        <v>20760</v>
      </c>
      <c r="E1145">
        <v>204</v>
      </c>
      <c r="F1145">
        <v>204</v>
      </c>
      <c r="G1145">
        <v>204</v>
      </c>
      <c r="H1145">
        <v>8</v>
      </c>
      <c r="M1145" t="s">
        <v>2087</v>
      </c>
    </row>
    <row r="1146" spans="2:15" x14ac:dyDescent="0.25">
      <c r="B1146">
        <v>917</v>
      </c>
      <c r="C1146" t="s">
        <v>20761</v>
      </c>
      <c r="E1146">
        <v>204</v>
      </c>
      <c r="F1146">
        <v>204</v>
      </c>
      <c r="G1146">
        <v>204</v>
      </c>
      <c r="H1146">
        <v>8</v>
      </c>
      <c r="M1146" t="s">
        <v>15023</v>
      </c>
    </row>
    <row r="1147" spans="2:15" x14ac:dyDescent="0.25">
      <c r="B1147">
        <v>237</v>
      </c>
      <c r="C1147" t="s">
        <v>20762</v>
      </c>
      <c r="E1147">
        <v>204</v>
      </c>
      <c r="F1147">
        <v>204</v>
      </c>
      <c r="G1147">
        <v>204</v>
      </c>
      <c r="H1147">
        <v>9</v>
      </c>
      <c r="N1147" t="s">
        <v>4980</v>
      </c>
    </row>
    <row r="1148" spans="2:15" x14ac:dyDescent="0.25">
      <c r="B1148">
        <v>717</v>
      </c>
      <c r="C1148" t="s">
        <v>20763</v>
      </c>
      <c r="E1148">
        <v>204</v>
      </c>
      <c r="F1148">
        <v>204</v>
      </c>
      <c r="G1148">
        <v>204</v>
      </c>
      <c r="H1148">
        <v>8</v>
      </c>
      <c r="M1148" t="s">
        <v>169</v>
      </c>
    </row>
    <row r="1149" spans="2:15" x14ac:dyDescent="0.25">
      <c r="B1149">
        <v>813</v>
      </c>
      <c r="C1149" t="s">
        <v>20764</v>
      </c>
      <c r="E1149">
        <v>204</v>
      </c>
      <c r="F1149">
        <v>204</v>
      </c>
      <c r="G1149">
        <v>204</v>
      </c>
      <c r="H1149">
        <v>8</v>
      </c>
      <c r="M1149" t="s">
        <v>2318</v>
      </c>
    </row>
    <row r="1150" spans="2:15" x14ac:dyDescent="0.25">
      <c r="B1150">
        <v>925</v>
      </c>
      <c r="C1150" t="s">
        <v>20765</v>
      </c>
      <c r="E1150">
        <v>204</v>
      </c>
      <c r="F1150">
        <v>204</v>
      </c>
      <c r="G1150">
        <v>204</v>
      </c>
      <c r="H1150">
        <v>7</v>
      </c>
      <c r="M1150" t="s">
        <v>20766</v>
      </c>
    </row>
    <row r="1151" spans="2:15" x14ac:dyDescent="0.25">
      <c r="B1151">
        <v>792</v>
      </c>
      <c r="C1151" t="s">
        <v>20767</v>
      </c>
      <c r="E1151">
        <v>204</v>
      </c>
      <c r="F1151">
        <v>204</v>
      </c>
      <c r="G1151">
        <v>204</v>
      </c>
      <c r="H1151">
        <v>7</v>
      </c>
      <c r="M1151" t="s">
        <v>20768</v>
      </c>
    </row>
    <row r="1152" spans="2:15" x14ac:dyDescent="0.25">
      <c r="B1152">
        <v>932</v>
      </c>
      <c r="C1152" t="s">
        <v>20769</v>
      </c>
      <c r="E1152">
        <v>204</v>
      </c>
      <c r="F1152">
        <v>204</v>
      </c>
      <c r="G1152">
        <v>204</v>
      </c>
      <c r="H1152">
        <v>8</v>
      </c>
      <c r="N1152" t="s">
        <v>20770</v>
      </c>
    </row>
    <row r="1153" spans="2:16" x14ac:dyDescent="0.25">
      <c r="B1153">
        <v>570</v>
      </c>
      <c r="C1153" t="s">
        <v>20771</v>
      </c>
      <c r="E1153">
        <v>204</v>
      </c>
      <c r="F1153">
        <v>204</v>
      </c>
      <c r="G1153">
        <v>204</v>
      </c>
      <c r="H1153">
        <v>9</v>
      </c>
      <c r="O1153" t="s">
        <v>20772</v>
      </c>
    </row>
    <row r="1154" spans="2:16" x14ac:dyDescent="0.25">
      <c r="B1154">
        <v>522</v>
      </c>
      <c r="C1154" t="s">
        <v>20773</v>
      </c>
      <c r="E1154">
        <v>204</v>
      </c>
      <c r="F1154">
        <v>204</v>
      </c>
      <c r="G1154">
        <v>204</v>
      </c>
      <c r="H1154">
        <v>9</v>
      </c>
      <c r="O1154" t="s">
        <v>20774</v>
      </c>
    </row>
    <row r="1155" spans="2:16" x14ac:dyDescent="0.25">
      <c r="B1155">
        <v>858</v>
      </c>
      <c r="C1155" t="s">
        <v>20775</v>
      </c>
      <c r="E1155">
        <v>204</v>
      </c>
      <c r="F1155">
        <v>204</v>
      </c>
      <c r="G1155">
        <v>204</v>
      </c>
      <c r="H1155">
        <v>9</v>
      </c>
      <c r="O1155" t="s">
        <v>618</v>
      </c>
    </row>
    <row r="1156" spans="2:16" x14ac:dyDescent="0.25">
      <c r="B1156">
        <v>586</v>
      </c>
      <c r="C1156" t="s">
        <v>20776</v>
      </c>
      <c r="E1156">
        <v>204</v>
      </c>
      <c r="F1156">
        <v>204</v>
      </c>
      <c r="G1156">
        <v>204</v>
      </c>
      <c r="H1156">
        <v>9</v>
      </c>
      <c r="O1156" t="s">
        <v>20777</v>
      </c>
    </row>
    <row r="1157" spans="2:16" x14ac:dyDescent="0.25">
      <c r="B1157">
        <v>514</v>
      </c>
      <c r="C1157" t="s">
        <v>18450</v>
      </c>
      <c r="E1157">
        <v>204</v>
      </c>
      <c r="F1157">
        <v>204</v>
      </c>
      <c r="G1157">
        <v>204</v>
      </c>
      <c r="H1157">
        <v>9</v>
      </c>
      <c r="O1157" t="s">
        <v>4700</v>
      </c>
    </row>
    <row r="1158" spans="2:16" x14ac:dyDescent="0.25">
      <c r="B1158">
        <v>380</v>
      </c>
      <c r="C1158" t="s">
        <v>20778</v>
      </c>
      <c r="E1158">
        <v>204</v>
      </c>
      <c r="F1158">
        <v>204</v>
      </c>
      <c r="G1158">
        <v>204</v>
      </c>
      <c r="H1158">
        <v>10</v>
      </c>
      <c r="P1158" t="s">
        <v>1392</v>
      </c>
    </row>
    <row r="1159" spans="2:16" x14ac:dyDescent="0.25">
      <c r="B1159">
        <v>388</v>
      </c>
      <c r="C1159" t="s">
        <v>20779</v>
      </c>
      <c r="E1159">
        <v>204</v>
      </c>
      <c r="F1159">
        <v>204</v>
      </c>
      <c r="G1159">
        <v>204</v>
      </c>
      <c r="H1159">
        <v>10</v>
      </c>
      <c r="P1159" t="s">
        <v>1829</v>
      </c>
    </row>
    <row r="1160" spans="2:16" x14ac:dyDescent="0.25">
      <c r="B1160">
        <v>396</v>
      </c>
      <c r="C1160" t="s">
        <v>20780</v>
      </c>
      <c r="E1160">
        <v>204</v>
      </c>
      <c r="F1160">
        <v>204</v>
      </c>
      <c r="G1160">
        <v>204</v>
      </c>
      <c r="H1160">
        <v>10</v>
      </c>
      <c r="P1160" t="s">
        <v>2485</v>
      </c>
    </row>
    <row r="1161" spans="2:16" x14ac:dyDescent="0.25">
      <c r="B1161">
        <v>697</v>
      </c>
      <c r="C1161" t="s">
        <v>18472</v>
      </c>
      <c r="E1161">
        <v>204</v>
      </c>
      <c r="F1161">
        <v>204</v>
      </c>
      <c r="G1161">
        <v>204</v>
      </c>
      <c r="H1161">
        <v>9</v>
      </c>
      <c r="O1161" t="s">
        <v>2924</v>
      </c>
    </row>
    <row r="1162" spans="2:16" x14ac:dyDescent="0.25">
      <c r="B1162">
        <v>871</v>
      </c>
      <c r="C1162" t="s">
        <v>20781</v>
      </c>
      <c r="E1162">
        <v>204</v>
      </c>
      <c r="F1162">
        <v>204</v>
      </c>
      <c r="G1162">
        <v>204</v>
      </c>
      <c r="H1162">
        <v>8</v>
      </c>
      <c r="M1162" t="s">
        <v>5014</v>
      </c>
    </row>
    <row r="1163" spans="2:16" x14ac:dyDescent="0.25">
      <c r="B1163">
        <v>29</v>
      </c>
      <c r="C1163" t="s">
        <v>20782</v>
      </c>
      <c r="E1163">
        <v>204</v>
      </c>
      <c r="F1163">
        <v>204</v>
      </c>
      <c r="G1163">
        <v>204</v>
      </c>
      <c r="H1163">
        <v>9</v>
      </c>
      <c r="N1163" t="s">
        <v>20783</v>
      </c>
    </row>
    <row r="1164" spans="2:16" x14ac:dyDescent="0.25">
      <c r="B1164">
        <v>389</v>
      </c>
      <c r="C1164" t="s">
        <v>20784</v>
      </c>
      <c r="E1164">
        <v>204</v>
      </c>
      <c r="F1164">
        <v>204</v>
      </c>
      <c r="G1164">
        <v>204</v>
      </c>
      <c r="H1164">
        <v>9</v>
      </c>
      <c r="N1164" t="s">
        <v>20785</v>
      </c>
    </row>
    <row r="1165" spans="2:16" x14ac:dyDescent="0.25">
      <c r="B1165">
        <v>245</v>
      </c>
      <c r="C1165" t="s">
        <v>20786</v>
      </c>
      <c r="E1165">
        <v>204</v>
      </c>
      <c r="F1165">
        <v>204</v>
      </c>
      <c r="G1165">
        <v>204</v>
      </c>
      <c r="H1165">
        <v>9</v>
      </c>
      <c r="N1165" t="s">
        <v>20787</v>
      </c>
    </row>
    <row r="1166" spans="2:16" x14ac:dyDescent="0.25">
      <c r="B1166">
        <v>261</v>
      </c>
      <c r="C1166" t="s">
        <v>20788</v>
      </c>
      <c r="E1166">
        <v>204</v>
      </c>
      <c r="F1166">
        <v>204</v>
      </c>
      <c r="G1166">
        <v>204</v>
      </c>
      <c r="H1166">
        <v>9</v>
      </c>
      <c r="N1166" t="s">
        <v>5007</v>
      </c>
    </row>
    <row r="1167" spans="2:16" x14ac:dyDescent="0.25">
      <c r="B1167">
        <v>270</v>
      </c>
      <c r="C1167" t="s">
        <v>20789</v>
      </c>
      <c r="E1167">
        <v>204</v>
      </c>
      <c r="F1167">
        <v>204</v>
      </c>
      <c r="G1167">
        <v>204</v>
      </c>
      <c r="H1167">
        <v>9</v>
      </c>
      <c r="N1167" t="s">
        <v>20790</v>
      </c>
    </row>
    <row r="1168" spans="2:16" x14ac:dyDescent="0.25">
      <c r="B1168">
        <v>293</v>
      </c>
      <c r="C1168" t="s">
        <v>20791</v>
      </c>
      <c r="E1168">
        <v>204</v>
      </c>
      <c r="F1168">
        <v>204</v>
      </c>
      <c r="G1168">
        <v>204</v>
      </c>
      <c r="H1168">
        <v>9</v>
      </c>
      <c r="N1168" t="s">
        <v>20792</v>
      </c>
    </row>
    <row r="1169" spans="2:16" x14ac:dyDescent="0.25">
      <c r="B1169">
        <v>277</v>
      </c>
      <c r="C1169" t="s">
        <v>20793</v>
      </c>
      <c r="E1169">
        <v>204</v>
      </c>
      <c r="F1169">
        <v>204</v>
      </c>
      <c r="G1169">
        <v>204</v>
      </c>
      <c r="H1169">
        <v>9</v>
      </c>
      <c r="N1169" t="s">
        <v>5018</v>
      </c>
    </row>
    <row r="1170" spans="2:16" x14ac:dyDescent="0.25">
      <c r="B1170">
        <v>253</v>
      </c>
      <c r="C1170" t="s">
        <v>20794</v>
      </c>
      <c r="E1170">
        <v>204</v>
      </c>
      <c r="F1170">
        <v>204</v>
      </c>
      <c r="G1170">
        <v>204</v>
      </c>
      <c r="H1170">
        <v>9</v>
      </c>
      <c r="N1170" t="s">
        <v>20795</v>
      </c>
    </row>
    <row r="1171" spans="2:16" x14ac:dyDescent="0.25">
      <c r="B1171">
        <v>285</v>
      </c>
      <c r="C1171" t="s">
        <v>20796</v>
      </c>
      <c r="E1171">
        <v>204</v>
      </c>
      <c r="F1171">
        <v>204</v>
      </c>
      <c r="G1171">
        <v>204</v>
      </c>
      <c r="H1171">
        <v>9</v>
      </c>
      <c r="N1171" t="s">
        <v>20797</v>
      </c>
    </row>
    <row r="1172" spans="2:16" x14ac:dyDescent="0.25">
      <c r="B1172">
        <v>627</v>
      </c>
      <c r="C1172" t="s">
        <v>20798</v>
      </c>
      <c r="E1172">
        <v>204</v>
      </c>
      <c r="F1172">
        <v>204</v>
      </c>
      <c r="G1172">
        <v>204</v>
      </c>
      <c r="H1172">
        <v>10</v>
      </c>
      <c r="O1172" t="s">
        <v>20799</v>
      </c>
    </row>
    <row r="1173" spans="2:16" x14ac:dyDescent="0.25">
      <c r="B1173">
        <v>960</v>
      </c>
      <c r="C1173" t="s">
        <v>20800</v>
      </c>
      <c r="E1173">
        <v>204</v>
      </c>
      <c r="F1173">
        <v>204</v>
      </c>
      <c r="G1173">
        <v>204</v>
      </c>
      <c r="H1173">
        <v>2</v>
      </c>
      <c r="L1173" t="s">
        <v>20801</v>
      </c>
    </row>
    <row r="1174" spans="2:16" x14ac:dyDescent="0.25">
      <c r="B1174">
        <v>744</v>
      </c>
      <c r="C1174" t="s">
        <v>18442</v>
      </c>
      <c r="E1174">
        <v>204</v>
      </c>
      <c r="F1174">
        <v>204</v>
      </c>
      <c r="G1174">
        <v>204</v>
      </c>
      <c r="H1174">
        <v>8</v>
      </c>
      <c r="M1174" t="s">
        <v>615</v>
      </c>
    </row>
    <row r="1175" spans="2:16" x14ac:dyDescent="0.25">
      <c r="B1175">
        <v>752</v>
      </c>
      <c r="C1175" t="s">
        <v>20802</v>
      </c>
      <c r="E1175">
        <v>204</v>
      </c>
      <c r="F1175">
        <v>204</v>
      </c>
      <c r="G1175">
        <v>204</v>
      </c>
      <c r="H1175">
        <v>7</v>
      </c>
      <c r="M1175" t="s">
        <v>1038</v>
      </c>
    </row>
    <row r="1176" spans="2:16" x14ac:dyDescent="0.25">
      <c r="B1176">
        <v>326</v>
      </c>
      <c r="C1176" t="s">
        <v>18495</v>
      </c>
      <c r="E1176">
        <v>204</v>
      </c>
      <c r="F1176">
        <v>204</v>
      </c>
      <c r="G1176">
        <v>204</v>
      </c>
      <c r="H1176">
        <v>8</v>
      </c>
      <c r="N1176" t="s">
        <v>14795</v>
      </c>
    </row>
    <row r="1177" spans="2:16" x14ac:dyDescent="0.25">
      <c r="B1177">
        <v>812</v>
      </c>
      <c r="C1177" t="s">
        <v>18453</v>
      </c>
      <c r="E1177">
        <v>204</v>
      </c>
      <c r="F1177">
        <v>204</v>
      </c>
      <c r="G1177">
        <v>204</v>
      </c>
      <c r="H1177">
        <v>9</v>
      </c>
      <c r="O1177" t="s">
        <v>1425</v>
      </c>
    </row>
    <row r="1178" spans="2:16" x14ac:dyDescent="0.25">
      <c r="B1178">
        <v>85</v>
      </c>
      <c r="C1178" t="s">
        <v>20803</v>
      </c>
      <c r="E1178">
        <v>204</v>
      </c>
      <c r="F1178">
        <v>204</v>
      </c>
      <c r="G1178">
        <v>204</v>
      </c>
      <c r="H1178">
        <v>10</v>
      </c>
      <c r="P1178" t="s">
        <v>5010</v>
      </c>
    </row>
    <row r="1179" spans="2:16" x14ac:dyDescent="0.25">
      <c r="B1179">
        <v>850</v>
      </c>
      <c r="C1179" t="s">
        <v>20804</v>
      </c>
      <c r="E1179">
        <v>204</v>
      </c>
      <c r="F1179">
        <v>204</v>
      </c>
      <c r="G1179">
        <v>204</v>
      </c>
      <c r="H1179">
        <v>9</v>
      </c>
      <c r="O1179" t="s">
        <v>18513</v>
      </c>
    </row>
    <row r="1180" spans="2:16" x14ac:dyDescent="0.25">
      <c r="B1180">
        <v>866</v>
      </c>
      <c r="C1180" t="s">
        <v>20805</v>
      </c>
      <c r="E1180">
        <v>204</v>
      </c>
      <c r="F1180">
        <v>204</v>
      </c>
      <c r="G1180">
        <v>204</v>
      </c>
      <c r="H1180">
        <v>9</v>
      </c>
      <c r="O1180" t="s">
        <v>417</v>
      </c>
    </row>
    <row r="1181" spans="2:16" x14ac:dyDescent="0.25">
      <c r="B1181">
        <v>78</v>
      </c>
      <c r="C1181" t="s">
        <v>18470</v>
      </c>
      <c r="E1181">
        <v>204</v>
      </c>
      <c r="F1181">
        <v>204</v>
      </c>
      <c r="G1181">
        <v>204</v>
      </c>
      <c r="H1181">
        <v>8</v>
      </c>
      <c r="N1181" t="s">
        <v>3146</v>
      </c>
    </row>
    <row r="1182" spans="2:16" x14ac:dyDescent="0.25">
      <c r="B1182">
        <v>1123</v>
      </c>
      <c r="C1182" t="s">
        <v>18467</v>
      </c>
      <c r="E1182">
        <v>204</v>
      </c>
      <c r="F1182">
        <v>204</v>
      </c>
      <c r="G1182">
        <v>204</v>
      </c>
      <c r="H1182">
        <v>8</v>
      </c>
      <c r="N1182" t="s">
        <v>2350</v>
      </c>
    </row>
    <row r="1183" spans="2:16" x14ac:dyDescent="0.25">
      <c r="B1183">
        <v>553</v>
      </c>
      <c r="C1183" t="s">
        <v>20806</v>
      </c>
      <c r="E1183">
        <v>204</v>
      </c>
      <c r="F1183">
        <v>204</v>
      </c>
      <c r="G1183">
        <v>204</v>
      </c>
      <c r="H1183">
        <v>9</v>
      </c>
      <c r="O1183" t="s">
        <v>3992</v>
      </c>
    </row>
    <row r="1184" spans="2:16" x14ac:dyDescent="0.25">
      <c r="B1184">
        <v>499</v>
      </c>
      <c r="C1184" t="s">
        <v>20807</v>
      </c>
      <c r="E1184">
        <v>204</v>
      </c>
      <c r="F1184">
        <v>204</v>
      </c>
      <c r="G1184">
        <v>204</v>
      </c>
      <c r="H1184">
        <v>9</v>
      </c>
      <c r="O1184" t="s">
        <v>1408</v>
      </c>
    </row>
    <row r="1185" spans="2:16" x14ac:dyDescent="0.25">
      <c r="B1185">
        <v>650</v>
      </c>
      <c r="C1185" t="s">
        <v>20808</v>
      </c>
      <c r="E1185">
        <v>204</v>
      </c>
      <c r="F1185">
        <v>204</v>
      </c>
      <c r="G1185">
        <v>204</v>
      </c>
      <c r="H1185">
        <v>9</v>
      </c>
      <c r="O1185" t="s">
        <v>2549</v>
      </c>
    </row>
    <row r="1186" spans="2:16" x14ac:dyDescent="0.25">
      <c r="B1186">
        <v>490</v>
      </c>
      <c r="C1186" t="s">
        <v>20809</v>
      </c>
      <c r="E1186">
        <v>204</v>
      </c>
      <c r="F1186">
        <v>204</v>
      </c>
      <c r="G1186">
        <v>204</v>
      </c>
      <c r="H1186">
        <v>9</v>
      </c>
      <c r="O1186" t="s">
        <v>13898</v>
      </c>
    </row>
    <row r="1187" spans="2:16" x14ac:dyDescent="0.25">
      <c r="B1187">
        <v>404</v>
      </c>
      <c r="C1187" t="s">
        <v>20810</v>
      </c>
      <c r="E1187">
        <v>204</v>
      </c>
      <c r="F1187">
        <v>204</v>
      </c>
      <c r="G1187">
        <v>204</v>
      </c>
      <c r="H1187">
        <v>10</v>
      </c>
      <c r="P1187" t="s">
        <v>3481</v>
      </c>
    </row>
    <row r="1188" spans="2:16" x14ac:dyDescent="0.25">
      <c r="B1188">
        <v>410</v>
      </c>
      <c r="C1188" t="s">
        <v>20811</v>
      </c>
      <c r="E1188">
        <v>204</v>
      </c>
      <c r="F1188">
        <v>204</v>
      </c>
      <c r="G1188">
        <v>204</v>
      </c>
      <c r="H1188">
        <v>10</v>
      </c>
      <c r="P1188" t="s">
        <v>13819</v>
      </c>
    </row>
    <row r="1189" spans="2:16" x14ac:dyDescent="0.25">
      <c r="B1189">
        <v>373</v>
      </c>
      <c r="C1189" t="s">
        <v>20812</v>
      </c>
      <c r="E1189">
        <v>204</v>
      </c>
      <c r="F1189">
        <v>204</v>
      </c>
      <c r="G1189">
        <v>204</v>
      </c>
      <c r="H1189">
        <v>8</v>
      </c>
      <c r="N1189" t="s">
        <v>7762</v>
      </c>
    </row>
    <row r="1190" spans="2:16" x14ac:dyDescent="0.25">
      <c r="B1190">
        <v>728</v>
      </c>
      <c r="C1190" t="s">
        <v>20813</v>
      </c>
      <c r="E1190">
        <v>204</v>
      </c>
      <c r="F1190">
        <v>204</v>
      </c>
      <c r="G1190">
        <v>204</v>
      </c>
      <c r="H1190">
        <v>8</v>
      </c>
      <c r="M1190" t="s">
        <v>20814</v>
      </c>
    </row>
    <row r="1191" spans="2:16" x14ac:dyDescent="0.25">
      <c r="B1191">
        <v>484682512</v>
      </c>
      <c r="C1191" t="s">
        <v>20815</v>
      </c>
      <c r="E1191">
        <v>204</v>
      </c>
      <c r="F1191">
        <v>204</v>
      </c>
      <c r="G1191">
        <v>204</v>
      </c>
      <c r="H1191">
        <v>2</v>
      </c>
      <c r="L1191" t="s">
        <v>20816</v>
      </c>
    </row>
    <row r="1192" spans="2:16" x14ac:dyDescent="0.25">
      <c r="B1192">
        <v>983</v>
      </c>
      <c r="C1192" t="s">
        <v>20817</v>
      </c>
      <c r="E1192">
        <v>204</v>
      </c>
      <c r="F1192">
        <v>204</v>
      </c>
      <c r="G1192">
        <v>204</v>
      </c>
      <c r="H1192">
        <v>2</v>
      </c>
      <c r="L1192" t="s">
        <v>20818</v>
      </c>
    </row>
    <row r="1193" spans="2:16" x14ac:dyDescent="0.25">
      <c r="B1193">
        <v>776</v>
      </c>
      <c r="C1193" t="s">
        <v>18443</v>
      </c>
      <c r="E1193">
        <v>204</v>
      </c>
      <c r="F1193">
        <v>204</v>
      </c>
      <c r="G1193">
        <v>204</v>
      </c>
      <c r="H1193">
        <v>8</v>
      </c>
      <c r="M1193" t="s">
        <v>1321</v>
      </c>
    </row>
    <row r="1194" spans="2:16" x14ac:dyDescent="0.25">
      <c r="B1194">
        <v>956</v>
      </c>
      <c r="C1194" t="s">
        <v>20819</v>
      </c>
      <c r="E1194">
        <v>204</v>
      </c>
      <c r="F1194">
        <v>204</v>
      </c>
      <c r="G1194">
        <v>204</v>
      </c>
      <c r="H1194">
        <v>9</v>
      </c>
      <c r="N1194" t="s">
        <v>14346</v>
      </c>
    </row>
    <row r="1195" spans="2:16" x14ac:dyDescent="0.25">
      <c r="B1195">
        <v>579</v>
      </c>
      <c r="C1195" t="s">
        <v>18459</v>
      </c>
      <c r="E1195">
        <v>204</v>
      </c>
      <c r="F1195">
        <v>204</v>
      </c>
      <c r="G1195">
        <v>204</v>
      </c>
      <c r="H1195">
        <v>10</v>
      </c>
      <c r="O1195" t="s">
        <v>1782</v>
      </c>
    </row>
    <row r="1196" spans="2:16" x14ac:dyDescent="0.25">
      <c r="B1196">
        <v>964</v>
      </c>
      <c r="C1196" t="s">
        <v>20820</v>
      </c>
      <c r="E1196">
        <v>204</v>
      </c>
      <c r="F1196">
        <v>204</v>
      </c>
      <c r="G1196">
        <v>204</v>
      </c>
      <c r="H1196">
        <v>9</v>
      </c>
      <c r="N1196" t="s">
        <v>14353</v>
      </c>
    </row>
    <row r="1197" spans="2:16" x14ac:dyDescent="0.25">
      <c r="B1197">
        <v>1108</v>
      </c>
      <c r="C1197" t="s">
        <v>20821</v>
      </c>
      <c r="E1197">
        <v>204</v>
      </c>
      <c r="F1197">
        <v>204</v>
      </c>
      <c r="G1197">
        <v>204</v>
      </c>
      <c r="H1197">
        <v>9</v>
      </c>
      <c r="N1197" t="s">
        <v>2060</v>
      </c>
    </row>
    <row r="1198" spans="2:16" x14ac:dyDescent="0.25">
      <c r="B1198">
        <v>971</v>
      </c>
      <c r="C1198" t="s">
        <v>20822</v>
      </c>
      <c r="E1198">
        <v>204</v>
      </c>
      <c r="F1198">
        <v>204</v>
      </c>
      <c r="G1198">
        <v>204</v>
      </c>
      <c r="H1198">
        <v>9</v>
      </c>
      <c r="N1198" t="s">
        <v>14363</v>
      </c>
    </row>
    <row r="1199" spans="2:16" x14ac:dyDescent="0.25">
      <c r="B1199">
        <v>979</v>
      </c>
      <c r="C1199" t="s">
        <v>20823</v>
      </c>
      <c r="E1199">
        <v>204</v>
      </c>
      <c r="F1199">
        <v>204</v>
      </c>
      <c r="G1199">
        <v>204</v>
      </c>
      <c r="H1199">
        <v>9</v>
      </c>
      <c r="N1199" t="s">
        <v>4926</v>
      </c>
    </row>
    <row r="1200" spans="2:16" x14ac:dyDescent="0.25">
      <c r="B1200">
        <v>484682516</v>
      </c>
      <c r="C1200" t="s">
        <v>20824</v>
      </c>
      <c r="E1200">
        <v>204</v>
      </c>
      <c r="F1200">
        <v>204</v>
      </c>
      <c r="G1200">
        <v>204</v>
      </c>
      <c r="H1200">
        <v>9</v>
      </c>
      <c r="N1200" t="s">
        <v>20825</v>
      </c>
    </row>
    <row r="1201" spans="2:14" x14ac:dyDescent="0.25">
      <c r="B1201">
        <v>986</v>
      </c>
      <c r="C1201" t="s">
        <v>20826</v>
      </c>
      <c r="E1201">
        <v>204</v>
      </c>
      <c r="F1201">
        <v>204</v>
      </c>
      <c r="G1201">
        <v>204</v>
      </c>
      <c r="H1201">
        <v>9</v>
      </c>
      <c r="N1201" t="s">
        <v>5025</v>
      </c>
    </row>
    <row r="1202" spans="2:14" x14ac:dyDescent="0.25">
      <c r="B1202">
        <v>784</v>
      </c>
      <c r="C1202" t="s">
        <v>20827</v>
      </c>
      <c r="E1202">
        <v>204</v>
      </c>
      <c r="F1202">
        <v>204</v>
      </c>
      <c r="G1202">
        <v>204</v>
      </c>
      <c r="H1202">
        <v>8</v>
      </c>
      <c r="M1202" t="s">
        <v>1370</v>
      </c>
    </row>
    <row r="1203" spans="2:14" x14ac:dyDescent="0.25">
      <c r="B1203">
        <v>6</v>
      </c>
      <c r="C1203" t="s">
        <v>20828</v>
      </c>
      <c r="E1203">
        <v>204</v>
      </c>
      <c r="F1203">
        <v>204</v>
      </c>
      <c r="G1203">
        <v>204</v>
      </c>
      <c r="H1203">
        <v>9</v>
      </c>
      <c r="N1203" t="s">
        <v>2490</v>
      </c>
    </row>
    <row r="1204" spans="2:14" x14ac:dyDescent="0.25">
      <c r="B1204">
        <v>924</v>
      </c>
      <c r="C1204" t="s">
        <v>20829</v>
      </c>
      <c r="E1204">
        <v>204</v>
      </c>
      <c r="F1204">
        <v>204</v>
      </c>
      <c r="G1204">
        <v>204</v>
      </c>
      <c r="H1204">
        <v>9</v>
      </c>
      <c r="N1204" t="s">
        <v>1219</v>
      </c>
    </row>
    <row r="1205" spans="2:14" x14ac:dyDescent="0.25">
      <c r="B1205">
        <v>1036</v>
      </c>
      <c r="C1205" t="s">
        <v>20830</v>
      </c>
      <c r="E1205">
        <v>204</v>
      </c>
      <c r="F1205">
        <v>204</v>
      </c>
      <c r="G1205">
        <v>204</v>
      </c>
      <c r="H1205">
        <v>9</v>
      </c>
      <c r="N1205" t="s">
        <v>1380</v>
      </c>
    </row>
    <row r="1206" spans="2:14" x14ac:dyDescent="0.25">
      <c r="B1206">
        <v>1012</v>
      </c>
      <c r="C1206" t="s">
        <v>20831</v>
      </c>
      <c r="E1206">
        <v>204</v>
      </c>
      <c r="F1206">
        <v>204</v>
      </c>
      <c r="G1206">
        <v>204</v>
      </c>
      <c r="H1206">
        <v>9</v>
      </c>
      <c r="N1206" t="s">
        <v>20832</v>
      </c>
    </row>
    <row r="1207" spans="2:14" x14ac:dyDescent="0.25">
      <c r="B1207">
        <v>1003</v>
      </c>
      <c r="C1207" t="s">
        <v>20833</v>
      </c>
      <c r="E1207">
        <v>204</v>
      </c>
      <c r="F1207">
        <v>204</v>
      </c>
      <c r="G1207">
        <v>204</v>
      </c>
      <c r="H1207">
        <v>9</v>
      </c>
      <c r="N1207" t="s">
        <v>20834</v>
      </c>
    </row>
    <row r="1208" spans="2:14" x14ac:dyDescent="0.25">
      <c r="B1208">
        <v>994</v>
      </c>
      <c r="C1208" t="s">
        <v>20835</v>
      </c>
      <c r="E1208">
        <v>204</v>
      </c>
      <c r="F1208">
        <v>204</v>
      </c>
      <c r="G1208">
        <v>204</v>
      </c>
      <c r="H1208">
        <v>9</v>
      </c>
      <c r="N1208" t="s">
        <v>1357</v>
      </c>
    </row>
    <row r="1209" spans="2:14" x14ac:dyDescent="0.25">
      <c r="B1209">
        <v>190</v>
      </c>
      <c r="C1209" t="s">
        <v>18489</v>
      </c>
      <c r="E1209">
        <v>204</v>
      </c>
      <c r="F1209">
        <v>204</v>
      </c>
      <c r="G1209">
        <v>204</v>
      </c>
      <c r="H1209">
        <v>9</v>
      </c>
      <c r="N1209" t="s">
        <v>1374</v>
      </c>
    </row>
    <row r="1210" spans="2:14" x14ac:dyDescent="0.25">
      <c r="B1210">
        <v>198</v>
      </c>
      <c r="C1210" t="s">
        <v>20836</v>
      </c>
      <c r="E1210">
        <v>204</v>
      </c>
      <c r="F1210">
        <v>204</v>
      </c>
      <c r="G1210">
        <v>204</v>
      </c>
      <c r="H1210">
        <v>9</v>
      </c>
      <c r="N1210" t="s">
        <v>4213</v>
      </c>
    </row>
    <row r="1211" spans="2:14" x14ac:dyDescent="0.25">
      <c r="B1211">
        <v>1019</v>
      </c>
      <c r="C1211" t="s">
        <v>20837</v>
      </c>
      <c r="E1211">
        <v>204</v>
      </c>
      <c r="F1211">
        <v>204</v>
      </c>
      <c r="G1211">
        <v>204</v>
      </c>
      <c r="H1211">
        <v>9</v>
      </c>
      <c r="N1211" t="s">
        <v>2571</v>
      </c>
    </row>
    <row r="1212" spans="2:14" x14ac:dyDescent="0.25">
      <c r="B1212">
        <v>1028</v>
      </c>
      <c r="C1212" t="s">
        <v>20838</v>
      </c>
      <c r="E1212">
        <v>204</v>
      </c>
      <c r="F1212">
        <v>204</v>
      </c>
      <c r="G1212">
        <v>204</v>
      </c>
      <c r="H1212">
        <v>9</v>
      </c>
      <c r="N1212" t="s">
        <v>14948</v>
      </c>
    </row>
    <row r="1213" spans="2:14" x14ac:dyDescent="0.25">
      <c r="B1213">
        <v>896</v>
      </c>
      <c r="C1213" t="s">
        <v>20839</v>
      </c>
      <c r="E1213">
        <v>204</v>
      </c>
      <c r="F1213">
        <v>204</v>
      </c>
      <c r="G1213">
        <v>204</v>
      </c>
      <c r="H1213">
        <v>7</v>
      </c>
      <c r="M1213" t="s">
        <v>20840</v>
      </c>
    </row>
    <row r="1214" spans="2:14" x14ac:dyDescent="0.25">
      <c r="B1214">
        <v>1092</v>
      </c>
      <c r="C1214" t="s">
        <v>20841</v>
      </c>
      <c r="E1214">
        <v>204</v>
      </c>
      <c r="F1214">
        <v>204</v>
      </c>
      <c r="G1214">
        <v>204</v>
      </c>
      <c r="H1214">
        <v>8</v>
      </c>
      <c r="N1214" t="s">
        <v>1791</v>
      </c>
    </row>
    <row r="1215" spans="2:14" x14ac:dyDescent="0.25">
      <c r="B1215">
        <v>14</v>
      </c>
      <c r="C1215" t="s">
        <v>20842</v>
      </c>
      <c r="E1215">
        <v>204</v>
      </c>
      <c r="F1215">
        <v>204</v>
      </c>
      <c r="G1215">
        <v>204</v>
      </c>
      <c r="H1215">
        <v>8</v>
      </c>
      <c r="N1215" t="s">
        <v>2500</v>
      </c>
    </row>
    <row r="1216" spans="2:14" x14ac:dyDescent="0.25">
      <c r="B1216">
        <v>86</v>
      </c>
      <c r="C1216" t="s">
        <v>20843</v>
      </c>
      <c r="E1216">
        <v>204</v>
      </c>
      <c r="F1216">
        <v>204</v>
      </c>
      <c r="G1216">
        <v>204</v>
      </c>
      <c r="H1216">
        <v>8</v>
      </c>
      <c r="N1216" t="s">
        <v>20844</v>
      </c>
    </row>
    <row r="1217" spans="2:14" x14ac:dyDescent="0.25">
      <c r="B1217">
        <v>365</v>
      </c>
      <c r="C1217" t="s">
        <v>20845</v>
      </c>
      <c r="E1217">
        <v>204</v>
      </c>
      <c r="F1217">
        <v>204</v>
      </c>
      <c r="G1217">
        <v>204</v>
      </c>
      <c r="H1217">
        <v>8</v>
      </c>
      <c r="N1217" t="s">
        <v>3777</v>
      </c>
    </row>
    <row r="1218" spans="2:14" x14ac:dyDescent="0.25">
      <c r="B1218">
        <v>484682520</v>
      </c>
      <c r="C1218" t="s">
        <v>20846</v>
      </c>
      <c r="E1218">
        <v>204</v>
      </c>
      <c r="F1218">
        <v>204</v>
      </c>
      <c r="G1218">
        <v>204</v>
      </c>
      <c r="H1218">
        <v>8</v>
      </c>
      <c r="N1218" t="s">
        <v>3499</v>
      </c>
    </row>
    <row r="1219" spans="2:14" x14ac:dyDescent="0.25">
      <c r="B1219">
        <v>484682524</v>
      </c>
      <c r="C1219" t="s">
        <v>20847</v>
      </c>
      <c r="E1219">
        <v>204</v>
      </c>
      <c r="F1219">
        <v>204</v>
      </c>
      <c r="G1219">
        <v>204</v>
      </c>
      <c r="H1219">
        <v>8</v>
      </c>
      <c r="N1219" t="s">
        <v>7243</v>
      </c>
    </row>
    <row r="1220" spans="2:14" x14ac:dyDescent="0.25">
      <c r="B1220">
        <v>1000</v>
      </c>
      <c r="C1220" t="s">
        <v>20848</v>
      </c>
      <c r="E1220">
        <v>204</v>
      </c>
      <c r="F1220">
        <v>204</v>
      </c>
      <c r="G1220">
        <v>204</v>
      </c>
      <c r="H1220">
        <v>2</v>
      </c>
      <c r="L1220" t="s">
        <v>1799</v>
      </c>
    </row>
    <row r="1221" spans="2:14" x14ac:dyDescent="0.25">
      <c r="B1221">
        <v>760</v>
      </c>
      <c r="C1221" t="s">
        <v>20849</v>
      </c>
      <c r="E1221">
        <v>204</v>
      </c>
      <c r="F1221">
        <v>204</v>
      </c>
      <c r="G1221">
        <v>204</v>
      </c>
      <c r="H1221">
        <v>7</v>
      </c>
      <c r="M1221" t="s">
        <v>20850</v>
      </c>
    </row>
    <row r="1222" spans="2:14" x14ac:dyDescent="0.25">
      <c r="B1222">
        <v>142</v>
      </c>
      <c r="C1222" t="s">
        <v>20851</v>
      </c>
      <c r="E1222">
        <v>204</v>
      </c>
      <c r="F1222">
        <v>204</v>
      </c>
      <c r="G1222">
        <v>204</v>
      </c>
      <c r="H1222">
        <v>8</v>
      </c>
      <c r="N1222" t="s">
        <v>20852</v>
      </c>
    </row>
    <row r="1223" spans="2:14" x14ac:dyDescent="0.25">
      <c r="B1223">
        <v>102</v>
      </c>
      <c r="C1223" t="s">
        <v>20853</v>
      </c>
      <c r="E1223">
        <v>204</v>
      </c>
      <c r="F1223">
        <v>204</v>
      </c>
      <c r="G1223">
        <v>204</v>
      </c>
      <c r="H1223">
        <v>8</v>
      </c>
      <c r="N1223" t="s">
        <v>3236</v>
      </c>
    </row>
    <row r="1224" spans="2:14" x14ac:dyDescent="0.25">
      <c r="B1224">
        <v>109</v>
      </c>
      <c r="C1224" t="s">
        <v>20854</v>
      </c>
      <c r="E1224">
        <v>204</v>
      </c>
      <c r="F1224">
        <v>204</v>
      </c>
      <c r="G1224">
        <v>204</v>
      </c>
      <c r="H1224">
        <v>8</v>
      </c>
      <c r="N1224" t="s">
        <v>20855</v>
      </c>
    </row>
    <row r="1225" spans="2:14" x14ac:dyDescent="0.25">
      <c r="B1225">
        <v>134</v>
      </c>
      <c r="C1225" t="s">
        <v>20856</v>
      </c>
      <c r="E1225">
        <v>204</v>
      </c>
      <c r="F1225">
        <v>204</v>
      </c>
      <c r="G1225">
        <v>204</v>
      </c>
      <c r="H1225">
        <v>8</v>
      </c>
      <c r="N1225" t="s">
        <v>3550</v>
      </c>
    </row>
    <row r="1226" spans="2:14" x14ac:dyDescent="0.25">
      <c r="B1226">
        <v>309</v>
      </c>
      <c r="C1226" t="s">
        <v>20857</v>
      </c>
      <c r="E1226">
        <v>204</v>
      </c>
      <c r="F1226">
        <v>204</v>
      </c>
      <c r="G1226">
        <v>204</v>
      </c>
      <c r="H1226">
        <v>8</v>
      </c>
      <c r="N1226" t="s">
        <v>20858</v>
      </c>
    </row>
    <row r="1227" spans="2:14" x14ac:dyDescent="0.25">
      <c r="B1227">
        <v>317</v>
      </c>
      <c r="C1227" t="s">
        <v>20859</v>
      </c>
      <c r="E1227">
        <v>204</v>
      </c>
      <c r="F1227">
        <v>204</v>
      </c>
      <c r="G1227">
        <v>204</v>
      </c>
      <c r="H1227">
        <v>8</v>
      </c>
      <c r="N1227" t="s">
        <v>14765</v>
      </c>
    </row>
    <row r="1228" spans="2:14" x14ac:dyDescent="0.25">
      <c r="B1228">
        <v>877</v>
      </c>
      <c r="C1228" t="s">
        <v>18509</v>
      </c>
      <c r="E1228">
        <v>204</v>
      </c>
      <c r="F1228">
        <v>204</v>
      </c>
      <c r="G1228">
        <v>204</v>
      </c>
      <c r="H1228">
        <v>8</v>
      </c>
      <c r="M1228" t="s">
        <v>14265</v>
      </c>
    </row>
    <row r="1229" spans="2:14" x14ac:dyDescent="0.25">
      <c r="B1229">
        <v>1051</v>
      </c>
      <c r="C1229" t="s">
        <v>20860</v>
      </c>
      <c r="E1229">
        <v>204</v>
      </c>
      <c r="F1229">
        <v>204</v>
      </c>
      <c r="G1229">
        <v>204</v>
      </c>
      <c r="H1229">
        <v>9</v>
      </c>
      <c r="N1229" t="s">
        <v>20861</v>
      </c>
    </row>
    <row r="1230" spans="2:14" x14ac:dyDescent="0.25">
      <c r="B1230">
        <v>1060</v>
      </c>
      <c r="C1230" t="s">
        <v>20862</v>
      </c>
      <c r="E1230">
        <v>204</v>
      </c>
      <c r="F1230">
        <v>204</v>
      </c>
      <c r="G1230">
        <v>204</v>
      </c>
      <c r="H1230">
        <v>9</v>
      </c>
      <c r="N1230" t="s">
        <v>20863</v>
      </c>
    </row>
    <row r="1231" spans="2:14" x14ac:dyDescent="0.25">
      <c r="B1231">
        <v>1043</v>
      </c>
      <c r="C1231" t="s">
        <v>20864</v>
      </c>
      <c r="E1231">
        <v>204</v>
      </c>
      <c r="F1231">
        <v>204</v>
      </c>
      <c r="G1231">
        <v>204</v>
      </c>
      <c r="H1231">
        <v>9</v>
      </c>
      <c r="N1231" t="s">
        <v>20865</v>
      </c>
    </row>
    <row r="1232" spans="2:14" x14ac:dyDescent="0.25">
      <c r="B1232">
        <v>863</v>
      </c>
      <c r="C1232" t="s">
        <v>20866</v>
      </c>
      <c r="E1232">
        <v>204</v>
      </c>
      <c r="F1232">
        <v>204</v>
      </c>
      <c r="G1232">
        <v>204</v>
      </c>
      <c r="H1232">
        <v>8</v>
      </c>
      <c r="M1232" t="s">
        <v>4929</v>
      </c>
    </row>
    <row r="1233" spans="2:15" x14ac:dyDescent="0.25">
      <c r="B1233">
        <v>397</v>
      </c>
      <c r="C1233" t="s">
        <v>20867</v>
      </c>
      <c r="E1233">
        <v>204</v>
      </c>
      <c r="F1233">
        <v>204</v>
      </c>
      <c r="G1233">
        <v>204</v>
      </c>
      <c r="H1233">
        <v>9</v>
      </c>
      <c r="N1233" t="s">
        <v>11631</v>
      </c>
    </row>
    <row r="1234" spans="2:15" x14ac:dyDescent="0.25">
      <c r="B1234">
        <v>221</v>
      </c>
      <c r="C1234" t="s">
        <v>20868</v>
      </c>
      <c r="E1234">
        <v>204</v>
      </c>
      <c r="F1234">
        <v>204</v>
      </c>
      <c r="G1234">
        <v>204</v>
      </c>
      <c r="H1234">
        <v>9</v>
      </c>
      <c r="N1234" t="s">
        <v>13593</v>
      </c>
    </row>
    <row r="1235" spans="2:15" x14ac:dyDescent="0.25">
      <c r="B1235">
        <v>736</v>
      </c>
      <c r="C1235" t="s">
        <v>20869</v>
      </c>
      <c r="E1235">
        <v>204</v>
      </c>
      <c r="F1235">
        <v>204</v>
      </c>
      <c r="G1235">
        <v>204</v>
      </c>
      <c r="H1235">
        <v>8</v>
      </c>
      <c r="M1235" t="s">
        <v>20870</v>
      </c>
    </row>
    <row r="1236" spans="2:15" x14ac:dyDescent="0.25">
      <c r="B1236">
        <v>855</v>
      </c>
      <c r="C1236" t="s">
        <v>20871</v>
      </c>
      <c r="E1236">
        <v>204</v>
      </c>
      <c r="F1236">
        <v>204</v>
      </c>
      <c r="G1236">
        <v>204</v>
      </c>
      <c r="H1236">
        <v>8</v>
      </c>
      <c r="M1236" t="s">
        <v>20872</v>
      </c>
    </row>
    <row r="1237" spans="2:15" x14ac:dyDescent="0.25">
      <c r="B1237">
        <v>205</v>
      </c>
      <c r="C1237" t="s">
        <v>20873</v>
      </c>
      <c r="E1237">
        <v>204</v>
      </c>
      <c r="F1237">
        <v>204</v>
      </c>
      <c r="G1237">
        <v>204</v>
      </c>
      <c r="H1237">
        <v>9</v>
      </c>
      <c r="N1237" t="s">
        <v>20874</v>
      </c>
    </row>
    <row r="1238" spans="2:15" x14ac:dyDescent="0.25">
      <c r="B1238">
        <v>213</v>
      </c>
      <c r="C1238" t="s">
        <v>20875</v>
      </c>
      <c r="E1238">
        <v>204</v>
      </c>
      <c r="F1238">
        <v>204</v>
      </c>
      <c r="G1238">
        <v>204</v>
      </c>
      <c r="H1238">
        <v>9</v>
      </c>
      <c r="N1238" t="s">
        <v>20876</v>
      </c>
    </row>
    <row r="1239" spans="2:15" x14ac:dyDescent="0.25">
      <c r="B1239">
        <v>941</v>
      </c>
      <c r="C1239" t="s">
        <v>20877</v>
      </c>
      <c r="E1239">
        <v>204</v>
      </c>
      <c r="F1239">
        <v>204</v>
      </c>
      <c r="G1239">
        <v>204</v>
      </c>
      <c r="H1239">
        <v>8</v>
      </c>
      <c r="M1239" t="s">
        <v>14329</v>
      </c>
    </row>
    <row r="1240" spans="2:15" x14ac:dyDescent="0.25">
      <c r="B1240">
        <v>991</v>
      </c>
      <c r="C1240" t="s">
        <v>20878</v>
      </c>
      <c r="E1240">
        <v>204</v>
      </c>
      <c r="F1240">
        <v>204</v>
      </c>
      <c r="G1240">
        <v>204</v>
      </c>
      <c r="H1240">
        <v>2</v>
      </c>
      <c r="L1240" t="s">
        <v>20879</v>
      </c>
    </row>
    <row r="1241" spans="2:15" x14ac:dyDescent="0.25">
      <c r="B1241">
        <v>768</v>
      </c>
      <c r="C1241" t="s">
        <v>20880</v>
      </c>
      <c r="E1241">
        <v>204</v>
      </c>
      <c r="F1241">
        <v>204</v>
      </c>
      <c r="G1241">
        <v>204</v>
      </c>
      <c r="H1241">
        <v>7</v>
      </c>
      <c r="M1241" t="s">
        <v>20881</v>
      </c>
    </row>
    <row r="1242" spans="2:15" x14ac:dyDescent="0.25">
      <c r="B1242">
        <v>884</v>
      </c>
      <c r="C1242" t="s">
        <v>20882</v>
      </c>
      <c r="E1242">
        <v>204</v>
      </c>
      <c r="F1242">
        <v>204</v>
      </c>
      <c r="G1242">
        <v>204</v>
      </c>
      <c r="H1242">
        <v>8</v>
      </c>
      <c r="N1242" t="s">
        <v>20883</v>
      </c>
    </row>
    <row r="1243" spans="2:15" x14ac:dyDescent="0.25">
      <c r="B1243">
        <v>892</v>
      </c>
      <c r="C1243" t="s">
        <v>20884</v>
      </c>
      <c r="E1243">
        <v>204</v>
      </c>
      <c r="F1243">
        <v>204</v>
      </c>
      <c r="G1243">
        <v>204</v>
      </c>
      <c r="H1243">
        <v>8</v>
      </c>
      <c r="N1243" t="s">
        <v>284</v>
      </c>
    </row>
    <row r="1244" spans="2:15" x14ac:dyDescent="0.25">
      <c r="B1244">
        <v>908</v>
      </c>
      <c r="C1244" t="s">
        <v>20885</v>
      </c>
      <c r="E1244">
        <v>204</v>
      </c>
      <c r="F1244">
        <v>204</v>
      </c>
      <c r="G1244">
        <v>204</v>
      </c>
      <c r="H1244">
        <v>8</v>
      </c>
      <c r="N1244" t="s">
        <v>3984</v>
      </c>
    </row>
    <row r="1245" spans="2:15" x14ac:dyDescent="0.25">
      <c r="B1245">
        <v>940</v>
      </c>
      <c r="C1245" t="s">
        <v>20886</v>
      </c>
      <c r="E1245">
        <v>204</v>
      </c>
      <c r="F1245">
        <v>204</v>
      </c>
      <c r="G1245">
        <v>204</v>
      </c>
      <c r="H1245">
        <v>8</v>
      </c>
      <c r="N1245" t="s">
        <v>1256</v>
      </c>
    </row>
    <row r="1246" spans="2:15" x14ac:dyDescent="0.25">
      <c r="B1246">
        <v>1099</v>
      </c>
      <c r="C1246" t="s">
        <v>20887</v>
      </c>
      <c r="E1246">
        <v>204</v>
      </c>
      <c r="F1246">
        <v>204</v>
      </c>
      <c r="G1246">
        <v>204</v>
      </c>
      <c r="H1246">
        <v>8</v>
      </c>
      <c r="N1246" t="s">
        <v>20888</v>
      </c>
    </row>
    <row r="1247" spans="2:15" x14ac:dyDescent="0.25">
      <c r="B1247">
        <v>466</v>
      </c>
      <c r="C1247" t="s">
        <v>20889</v>
      </c>
      <c r="E1247">
        <v>204</v>
      </c>
      <c r="F1247">
        <v>204</v>
      </c>
      <c r="G1247">
        <v>204</v>
      </c>
      <c r="H1247">
        <v>9</v>
      </c>
      <c r="O1247" t="s">
        <v>2303</v>
      </c>
    </row>
    <row r="1248" spans="2:15" x14ac:dyDescent="0.25">
      <c r="B1248">
        <v>530</v>
      </c>
      <c r="C1248" t="s">
        <v>20890</v>
      </c>
      <c r="E1248">
        <v>204</v>
      </c>
      <c r="F1248">
        <v>204</v>
      </c>
      <c r="G1248">
        <v>204</v>
      </c>
      <c r="H1248">
        <v>9</v>
      </c>
      <c r="O1248" t="s">
        <v>20891</v>
      </c>
    </row>
    <row r="1249" spans="2:16" x14ac:dyDescent="0.25">
      <c r="B1249">
        <v>603</v>
      </c>
      <c r="C1249" t="s">
        <v>18460</v>
      </c>
      <c r="E1249">
        <v>204</v>
      </c>
      <c r="F1249">
        <v>204</v>
      </c>
      <c r="G1249">
        <v>204</v>
      </c>
      <c r="H1249">
        <v>9</v>
      </c>
      <c r="O1249" t="s">
        <v>2308</v>
      </c>
    </row>
    <row r="1250" spans="2:16" x14ac:dyDescent="0.25">
      <c r="B1250">
        <v>745</v>
      </c>
      <c r="C1250" t="s">
        <v>20892</v>
      </c>
      <c r="E1250">
        <v>204</v>
      </c>
      <c r="F1250">
        <v>204</v>
      </c>
      <c r="G1250">
        <v>204</v>
      </c>
      <c r="H1250">
        <v>9</v>
      </c>
      <c r="O1250" t="s">
        <v>20893</v>
      </c>
    </row>
    <row r="1251" spans="2:16" x14ac:dyDescent="0.25">
      <c r="B1251">
        <v>420</v>
      </c>
      <c r="C1251" t="s">
        <v>18448</v>
      </c>
      <c r="E1251">
        <v>204</v>
      </c>
      <c r="F1251">
        <v>204</v>
      </c>
      <c r="G1251">
        <v>204</v>
      </c>
      <c r="H1251">
        <v>10</v>
      </c>
      <c r="P1251" t="s">
        <v>20894</v>
      </c>
    </row>
    <row r="1252" spans="2:16" x14ac:dyDescent="0.25">
      <c r="B1252">
        <v>737</v>
      </c>
      <c r="C1252" t="s">
        <v>20895</v>
      </c>
      <c r="E1252">
        <v>204</v>
      </c>
      <c r="F1252">
        <v>204</v>
      </c>
      <c r="G1252">
        <v>204</v>
      </c>
      <c r="H1252">
        <v>9</v>
      </c>
      <c r="O1252" t="s">
        <v>3908</v>
      </c>
    </row>
    <row r="1253" spans="2:16" x14ac:dyDescent="0.25">
      <c r="B1253">
        <v>428</v>
      </c>
      <c r="C1253" t="s">
        <v>20896</v>
      </c>
      <c r="E1253">
        <v>204</v>
      </c>
      <c r="F1253">
        <v>204</v>
      </c>
      <c r="G1253">
        <v>204</v>
      </c>
      <c r="H1253">
        <v>10</v>
      </c>
      <c r="P1253" t="s">
        <v>20897</v>
      </c>
    </row>
    <row r="1254" spans="2:16" x14ac:dyDescent="0.25">
      <c r="B1254">
        <v>436</v>
      </c>
      <c r="C1254" t="s">
        <v>18461</v>
      </c>
      <c r="E1254">
        <v>204</v>
      </c>
      <c r="F1254">
        <v>204</v>
      </c>
      <c r="G1254">
        <v>204</v>
      </c>
      <c r="H1254">
        <v>10</v>
      </c>
      <c r="P1254" t="s">
        <v>587</v>
      </c>
    </row>
    <row r="1255" spans="2:16" x14ac:dyDescent="0.25">
      <c r="B1255">
        <v>618</v>
      </c>
      <c r="C1255" t="s">
        <v>18463</v>
      </c>
      <c r="E1255">
        <v>204</v>
      </c>
      <c r="F1255">
        <v>204</v>
      </c>
      <c r="G1255">
        <v>204</v>
      </c>
      <c r="H1255">
        <v>9</v>
      </c>
      <c r="O1255" t="s">
        <v>2286</v>
      </c>
    </row>
    <row r="1256" spans="2:16" x14ac:dyDescent="0.25">
      <c r="B1256">
        <v>443</v>
      </c>
      <c r="C1256" t="s">
        <v>20898</v>
      </c>
      <c r="E1256">
        <v>204</v>
      </c>
      <c r="F1256">
        <v>204</v>
      </c>
      <c r="G1256">
        <v>204</v>
      </c>
      <c r="H1256">
        <v>10</v>
      </c>
      <c r="P1256" t="s">
        <v>7213</v>
      </c>
    </row>
    <row r="1257" spans="2:16" x14ac:dyDescent="0.25">
      <c r="B1257">
        <v>449</v>
      </c>
      <c r="C1257" t="s">
        <v>20899</v>
      </c>
      <c r="E1257">
        <v>204</v>
      </c>
      <c r="F1257">
        <v>204</v>
      </c>
      <c r="G1257">
        <v>204</v>
      </c>
      <c r="H1257">
        <v>10</v>
      </c>
      <c r="P1257" t="s">
        <v>7215</v>
      </c>
    </row>
    <row r="1258" spans="2:16" x14ac:dyDescent="0.25">
      <c r="B1258">
        <v>713</v>
      </c>
      <c r="C1258" t="s">
        <v>20900</v>
      </c>
      <c r="E1258">
        <v>204</v>
      </c>
      <c r="F1258">
        <v>204</v>
      </c>
      <c r="G1258">
        <v>204</v>
      </c>
      <c r="H1258">
        <v>9</v>
      </c>
      <c r="O1258" t="s">
        <v>3781</v>
      </c>
    </row>
    <row r="1259" spans="2:16" x14ac:dyDescent="0.25">
      <c r="B1259">
        <v>474</v>
      </c>
      <c r="C1259" t="s">
        <v>20901</v>
      </c>
      <c r="E1259">
        <v>204</v>
      </c>
      <c r="F1259">
        <v>204</v>
      </c>
      <c r="G1259">
        <v>204</v>
      </c>
      <c r="H1259">
        <v>9</v>
      </c>
      <c r="O1259" t="s">
        <v>20902</v>
      </c>
    </row>
    <row r="1260" spans="2:16" x14ac:dyDescent="0.25">
      <c r="B1260">
        <v>37</v>
      </c>
      <c r="C1260" t="s">
        <v>20903</v>
      </c>
      <c r="E1260">
        <v>204</v>
      </c>
      <c r="F1260">
        <v>204</v>
      </c>
      <c r="G1260">
        <v>204</v>
      </c>
      <c r="H1260">
        <v>8</v>
      </c>
      <c r="N1260" t="s">
        <v>20904</v>
      </c>
    </row>
    <row r="1261" spans="2:16" x14ac:dyDescent="0.25">
      <c r="B1261">
        <v>301</v>
      </c>
      <c r="C1261" t="s">
        <v>18501</v>
      </c>
      <c r="E1261">
        <v>204</v>
      </c>
      <c r="F1261">
        <v>204</v>
      </c>
      <c r="G1261">
        <v>204</v>
      </c>
      <c r="H1261">
        <v>8</v>
      </c>
      <c r="N1261" t="s">
        <v>5082</v>
      </c>
    </row>
    <row r="1262" spans="2:16" x14ac:dyDescent="0.25">
      <c r="B1262">
        <v>484682528</v>
      </c>
      <c r="C1262" t="s">
        <v>20905</v>
      </c>
      <c r="E1262">
        <v>204</v>
      </c>
      <c r="F1262">
        <v>204</v>
      </c>
      <c r="G1262">
        <v>204</v>
      </c>
      <c r="H1262">
        <v>9</v>
      </c>
      <c r="O1262" t="s">
        <v>20906</v>
      </c>
    </row>
    <row r="1263" spans="2:16" x14ac:dyDescent="0.25">
      <c r="B1263">
        <v>824</v>
      </c>
      <c r="C1263" t="s">
        <v>20907</v>
      </c>
      <c r="E1263">
        <v>204</v>
      </c>
      <c r="F1263">
        <v>204</v>
      </c>
      <c r="G1263">
        <v>204</v>
      </c>
      <c r="H1263">
        <v>7</v>
      </c>
      <c r="M1263" t="s">
        <v>20908</v>
      </c>
    </row>
    <row r="1264" spans="2:16" x14ac:dyDescent="0.25">
      <c r="B1264">
        <v>54</v>
      </c>
      <c r="C1264" t="s">
        <v>20909</v>
      </c>
      <c r="E1264">
        <v>204</v>
      </c>
      <c r="F1264">
        <v>204</v>
      </c>
      <c r="G1264">
        <v>204</v>
      </c>
      <c r="H1264">
        <v>8</v>
      </c>
      <c r="N1264" t="s">
        <v>1209</v>
      </c>
    </row>
    <row r="1265" spans="2:15" x14ac:dyDescent="0.25">
      <c r="B1265">
        <v>405</v>
      </c>
      <c r="C1265" t="s">
        <v>20910</v>
      </c>
      <c r="E1265">
        <v>204</v>
      </c>
      <c r="F1265">
        <v>204</v>
      </c>
      <c r="G1265">
        <v>204</v>
      </c>
      <c r="H1265">
        <v>8</v>
      </c>
      <c r="N1265" t="s">
        <v>20911</v>
      </c>
    </row>
    <row r="1266" spans="2:15" x14ac:dyDescent="0.25">
      <c r="B1266">
        <v>174</v>
      </c>
      <c r="C1266" t="s">
        <v>20912</v>
      </c>
      <c r="E1266">
        <v>204</v>
      </c>
      <c r="F1266">
        <v>204</v>
      </c>
      <c r="G1266">
        <v>204</v>
      </c>
      <c r="H1266">
        <v>8</v>
      </c>
      <c r="N1266" t="s">
        <v>4042</v>
      </c>
    </row>
    <row r="1267" spans="2:15" x14ac:dyDescent="0.25">
      <c r="B1267">
        <v>349</v>
      </c>
      <c r="C1267" t="s">
        <v>20913</v>
      </c>
      <c r="E1267">
        <v>204</v>
      </c>
      <c r="F1267">
        <v>204</v>
      </c>
      <c r="G1267">
        <v>204</v>
      </c>
      <c r="H1267">
        <v>8</v>
      </c>
      <c r="N1267" t="s">
        <v>20914</v>
      </c>
    </row>
    <row r="1268" spans="2:15" x14ac:dyDescent="0.25">
      <c r="B1268">
        <v>817</v>
      </c>
      <c r="C1268" t="s">
        <v>20915</v>
      </c>
      <c r="E1268">
        <v>204</v>
      </c>
      <c r="F1268">
        <v>204</v>
      </c>
      <c r="G1268">
        <v>204</v>
      </c>
      <c r="H1268">
        <v>9</v>
      </c>
      <c r="O1268" t="s">
        <v>20916</v>
      </c>
    </row>
    <row r="1269" spans="2:15" x14ac:dyDescent="0.25">
      <c r="B1269">
        <v>825</v>
      </c>
      <c r="C1269" t="s">
        <v>20917</v>
      </c>
      <c r="E1269">
        <v>204</v>
      </c>
      <c r="F1269">
        <v>204</v>
      </c>
      <c r="G1269">
        <v>204</v>
      </c>
      <c r="H1269">
        <v>9</v>
      </c>
      <c r="O1269" t="s">
        <v>1608</v>
      </c>
    </row>
    <row r="1270" spans="2:15" x14ac:dyDescent="0.25">
      <c r="B1270">
        <v>833</v>
      </c>
      <c r="C1270" t="s">
        <v>20918</v>
      </c>
      <c r="E1270">
        <v>204</v>
      </c>
      <c r="F1270">
        <v>204</v>
      </c>
      <c r="G1270">
        <v>204</v>
      </c>
      <c r="H1270">
        <v>9</v>
      </c>
      <c r="O1270" t="s">
        <v>15081</v>
      </c>
    </row>
    <row r="1271" spans="2:15" x14ac:dyDescent="0.25">
      <c r="B1271">
        <v>166</v>
      </c>
      <c r="C1271" t="s">
        <v>20919</v>
      </c>
      <c r="E1271">
        <v>204</v>
      </c>
      <c r="F1271">
        <v>204</v>
      </c>
      <c r="G1271">
        <v>204</v>
      </c>
      <c r="H1271">
        <v>8</v>
      </c>
      <c r="N1271" t="s">
        <v>20920</v>
      </c>
    </row>
    <row r="1272" spans="2:15" x14ac:dyDescent="0.25">
      <c r="B1272">
        <v>341</v>
      </c>
      <c r="C1272" t="s">
        <v>20921</v>
      </c>
      <c r="E1272">
        <v>204</v>
      </c>
      <c r="F1272">
        <v>204</v>
      </c>
      <c r="G1272">
        <v>204</v>
      </c>
      <c r="H1272">
        <v>8</v>
      </c>
      <c r="N1272" t="s">
        <v>14870</v>
      </c>
    </row>
    <row r="1273" spans="2:15" x14ac:dyDescent="0.25">
      <c r="B1273">
        <v>182</v>
      </c>
      <c r="C1273" t="s">
        <v>20922</v>
      </c>
      <c r="E1273">
        <v>204</v>
      </c>
      <c r="F1273">
        <v>204</v>
      </c>
      <c r="G1273">
        <v>204</v>
      </c>
      <c r="H1273">
        <v>8</v>
      </c>
      <c r="N1273" t="s">
        <v>20923</v>
      </c>
    </row>
    <row r="1274" spans="2:15" x14ac:dyDescent="0.25">
      <c r="B1274">
        <v>762</v>
      </c>
      <c r="C1274" t="s">
        <v>20924</v>
      </c>
      <c r="E1274">
        <v>204</v>
      </c>
      <c r="F1274">
        <v>204</v>
      </c>
      <c r="G1274">
        <v>204</v>
      </c>
      <c r="H1274">
        <v>9</v>
      </c>
      <c r="O1274" t="s">
        <v>20925</v>
      </c>
    </row>
    <row r="1275" spans="2:15" x14ac:dyDescent="0.25">
      <c r="B1275">
        <v>770</v>
      </c>
      <c r="C1275" t="s">
        <v>20926</v>
      </c>
      <c r="E1275">
        <v>204</v>
      </c>
      <c r="F1275">
        <v>204</v>
      </c>
      <c r="G1275">
        <v>204</v>
      </c>
      <c r="H1275">
        <v>9</v>
      </c>
      <c r="O1275" t="s">
        <v>20927</v>
      </c>
    </row>
    <row r="1276" spans="2:15" x14ac:dyDescent="0.25">
      <c r="B1276">
        <v>779</v>
      </c>
      <c r="C1276" t="s">
        <v>20928</v>
      </c>
      <c r="E1276">
        <v>204</v>
      </c>
      <c r="F1276">
        <v>204</v>
      </c>
      <c r="G1276">
        <v>204</v>
      </c>
      <c r="H1276">
        <v>9</v>
      </c>
      <c r="O1276" t="s">
        <v>20929</v>
      </c>
    </row>
    <row r="1277" spans="2:15" x14ac:dyDescent="0.25">
      <c r="B1277">
        <v>787</v>
      </c>
      <c r="C1277" t="s">
        <v>20930</v>
      </c>
      <c r="E1277">
        <v>204</v>
      </c>
      <c r="F1277">
        <v>204</v>
      </c>
      <c r="G1277">
        <v>204</v>
      </c>
      <c r="H1277">
        <v>9</v>
      </c>
      <c r="O1277" t="s">
        <v>20931</v>
      </c>
    </row>
    <row r="1278" spans="2:15" x14ac:dyDescent="0.25">
      <c r="B1278">
        <v>150</v>
      </c>
      <c r="C1278" t="s">
        <v>20932</v>
      </c>
      <c r="E1278">
        <v>204</v>
      </c>
      <c r="F1278">
        <v>204</v>
      </c>
      <c r="G1278">
        <v>204</v>
      </c>
      <c r="H1278">
        <v>8</v>
      </c>
      <c r="N1278" t="s">
        <v>20933</v>
      </c>
    </row>
    <row r="1279" spans="2:15" x14ac:dyDescent="0.25">
      <c r="B1279">
        <v>46</v>
      </c>
      <c r="C1279" t="s">
        <v>20934</v>
      </c>
      <c r="E1279">
        <v>204</v>
      </c>
      <c r="F1279">
        <v>204</v>
      </c>
      <c r="G1279">
        <v>204</v>
      </c>
      <c r="H1279">
        <v>8</v>
      </c>
      <c r="N1279" t="s">
        <v>20935</v>
      </c>
    </row>
    <row r="1280" spans="2:15" x14ac:dyDescent="0.25">
      <c r="B1280">
        <v>753</v>
      </c>
      <c r="C1280" t="s">
        <v>20936</v>
      </c>
      <c r="E1280">
        <v>204</v>
      </c>
      <c r="F1280">
        <v>204</v>
      </c>
      <c r="G1280">
        <v>204</v>
      </c>
      <c r="H1280">
        <v>9</v>
      </c>
      <c r="O1280" t="s">
        <v>2867</v>
      </c>
    </row>
    <row r="1281" spans="2:15" x14ac:dyDescent="0.25">
      <c r="B1281">
        <v>690</v>
      </c>
      <c r="C1281" t="s">
        <v>20937</v>
      </c>
      <c r="E1281">
        <v>204</v>
      </c>
      <c r="F1281">
        <v>204</v>
      </c>
      <c r="G1281">
        <v>204</v>
      </c>
      <c r="H1281">
        <v>9</v>
      </c>
      <c r="O1281" t="s">
        <v>2876</v>
      </c>
    </row>
    <row r="1282" spans="2:15" x14ac:dyDescent="0.25">
      <c r="B1282">
        <v>681</v>
      </c>
      <c r="C1282" t="s">
        <v>18478</v>
      </c>
      <c r="E1282">
        <v>204</v>
      </c>
      <c r="F1282">
        <v>204</v>
      </c>
      <c r="G1282">
        <v>204</v>
      </c>
      <c r="H1282">
        <v>9</v>
      </c>
      <c r="O1282" t="s">
        <v>2870</v>
      </c>
    </row>
    <row r="1283" spans="2:15" x14ac:dyDescent="0.25">
      <c r="B1283">
        <v>673</v>
      </c>
      <c r="C1283" t="s">
        <v>20938</v>
      </c>
      <c r="E1283">
        <v>204</v>
      </c>
      <c r="F1283">
        <v>204</v>
      </c>
      <c r="G1283">
        <v>204</v>
      </c>
      <c r="H1283">
        <v>9</v>
      </c>
      <c r="O1283" t="s">
        <v>2861</v>
      </c>
    </row>
    <row r="1284" spans="2:15" x14ac:dyDescent="0.25">
      <c r="B1284">
        <v>1068</v>
      </c>
      <c r="C1284" t="s">
        <v>20939</v>
      </c>
      <c r="E1284">
        <v>204</v>
      </c>
      <c r="F1284">
        <v>204</v>
      </c>
      <c r="G1284">
        <v>204</v>
      </c>
      <c r="H1284">
        <v>8</v>
      </c>
      <c r="N1284" t="s">
        <v>20940</v>
      </c>
    </row>
    <row r="1285" spans="2:15" x14ac:dyDescent="0.25">
      <c r="B1285">
        <v>722</v>
      </c>
      <c r="C1285" t="s">
        <v>20941</v>
      </c>
      <c r="E1285">
        <v>204</v>
      </c>
      <c r="F1285">
        <v>204</v>
      </c>
      <c r="G1285">
        <v>204</v>
      </c>
      <c r="H1285">
        <v>9</v>
      </c>
      <c r="O1285" t="s">
        <v>20942</v>
      </c>
    </row>
    <row r="1286" spans="2:15" x14ac:dyDescent="0.25">
      <c r="B1286">
        <v>1083</v>
      </c>
      <c r="C1286" t="s">
        <v>20943</v>
      </c>
      <c r="E1286">
        <v>204</v>
      </c>
      <c r="F1286">
        <v>204</v>
      </c>
      <c r="G1286">
        <v>204</v>
      </c>
      <c r="H1286">
        <v>8</v>
      </c>
      <c r="N1286" t="s">
        <v>20944</v>
      </c>
    </row>
    <row r="1287" spans="2:15" x14ac:dyDescent="0.25">
      <c r="B1287">
        <v>802</v>
      </c>
      <c r="C1287" t="s">
        <v>18496</v>
      </c>
      <c r="E1287">
        <v>204</v>
      </c>
      <c r="F1287">
        <v>204</v>
      </c>
      <c r="G1287">
        <v>204</v>
      </c>
      <c r="H1287">
        <v>9</v>
      </c>
      <c r="O1287" t="s">
        <v>5076</v>
      </c>
    </row>
    <row r="1288" spans="2:15" x14ac:dyDescent="0.25">
      <c r="B1288">
        <v>595</v>
      </c>
      <c r="C1288" t="s">
        <v>20945</v>
      </c>
      <c r="E1288">
        <v>204</v>
      </c>
      <c r="F1288">
        <v>204</v>
      </c>
      <c r="G1288">
        <v>204</v>
      </c>
      <c r="H1288">
        <v>9</v>
      </c>
      <c r="O1288" t="s">
        <v>2150</v>
      </c>
    </row>
    <row r="1289" spans="2:15" x14ac:dyDescent="0.25">
      <c r="B1289">
        <v>611</v>
      </c>
      <c r="C1289" t="s">
        <v>18462</v>
      </c>
      <c r="E1289">
        <v>204</v>
      </c>
      <c r="F1289">
        <v>204</v>
      </c>
      <c r="G1289">
        <v>204</v>
      </c>
      <c r="H1289">
        <v>9</v>
      </c>
      <c r="O1289" t="s">
        <v>2138</v>
      </c>
    </row>
    <row r="1290" spans="2:15" x14ac:dyDescent="0.25">
      <c r="B1290">
        <v>730</v>
      </c>
      <c r="C1290" t="s">
        <v>20946</v>
      </c>
      <c r="E1290">
        <v>204</v>
      </c>
      <c r="F1290">
        <v>204</v>
      </c>
      <c r="G1290">
        <v>204</v>
      </c>
      <c r="H1290">
        <v>9</v>
      </c>
      <c r="O1290" t="s">
        <v>3831</v>
      </c>
    </row>
    <row r="1291" spans="2:15" x14ac:dyDescent="0.25">
      <c r="B1291">
        <v>70</v>
      </c>
      <c r="C1291" t="s">
        <v>20947</v>
      </c>
      <c r="E1291">
        <v>204</v>
      </c>
      <c r="F1291">
        <v>204</v>
      </c>
      <c r="G1291">
        <v>204</v>
      </c>
      <c r="H1291">
        <v>8</v>
      </c>
      <c r="N1291" t="s">
        <v>20948</v>
      </c>
    </row>
    <row r="1292" spans="2:15" x14ac:dyDescent="0.25">
      <c r="B1292">
        <v>547</v>
      </c>
      <c r="C1292" t="s">
        <v>20949</v>
      </c>
      <c r="E1292">
        <v>204</v>
      </c>
      <c r="F1292">
        <v>204</v>
      </c>
      <c r="G1292">
        <v>204</v>
      </c>
      <c r="H1292">
        <v>9</v>
      </c>
      <c r="O1292" t="s">
        <v>1543</v>
      </c>
    </row>
    <row r="1293" spans="2:15" x14ac:dyDescent="0.25">
      <c r="B1293">
        <v>563</v>
      </c>
      <c r="C1293" t="s">
        <v>20950</v>
      </c>
      <c r="E1293">
        <v>204</v>
      </c>
      <c r="F1293">
        <v>204</v>
      </c>
      <c r="G1293">
        <v>204</v>
      </c>
      <c r="H1293">
        <v>9</v>
      </c>
      <c r="O1293" t="s">
        <v>20951</v>
      </c>
    </row>
    <row r="1294" spans="2:15" x14ac:dyDescent="0.25">
      <c r="B1294">
        <v>73</v>
      </c>
      <c r="C1294" t="s">
        <v>20952</v>
      </c>
      <c r="E1294">
        <v>170</v>
      </c>
      <c r="F1294">
        <v>170</v>
      </c>
      <c r="G1294">
        <v>170</v>
      </c>
      <c r="H1294">
        <v>1</v>
      </c>
      <c r="K1294" t="s">
        <v>15107</v>
      </c>
    </row>
    <row r="1295" spans="2:15" x14ac:dyDescent="0.25">
      <c r="B1295">
        <v>81</v>
      </c>
      <c r="C1295" t="s">
        <v>16445</v>
      </c>
      <c r="E1295">
        <v>170</v>
      </c>
      <c r="F1295">
        <v>170</v>
      </c>
      <c r="G1295">
        <v>170</v>
      </c>
      <c r="H1295">
        <v>8</v>
      </c>
      <c r="L1295" t="s">
        <v>14907</v>
      </c>
    </row>
    <row r="1296" spans="2:15" x14ac:dyDescent="0.25">
      <c r="B1296">
        <v>89</v>
      </c>
      <c r="C1296" t="s">
        <v>20953</v>
      </c>
      <c r="E1296">
        <v>170</v>
      </c>
      <c r="F1296">
        <v>170</v>
      </c>
      <c r="G1296">
        <v>170</v>
      </c>
      <c r="H1296">
        <v>9</v>
      </c>
      <c r="M1296" t="s">
        <v>14281</v>
      </c>
    </row>
    <row r="1297" spans="2:13" x14ac:dyDescent="0.25">
      <c r="B1297">
        <v>98</v>
      </c>
      <c r="C1297" t="s">
        <v>20954</v>
      </c>
      <c r="E1297">
        <v>170</v>
      </c>
      <c r="F1297">
        <v>170</v>
      </c>
      <c r="G1297">
        <v>170</v>
      </c>
      <c r="H1297">
        <v>9</v>
      </c>
      <c r="M1297" t="s">
        <v>4039</v>
      </c>
    </row>
    <row r="1298" spans="2:13" x14ac:dyDescent="0.25">
      <c r="B1298">
        <v>108</v>
      </c>
      <c r="C1298" t="s">
        <v>20955</v>
      </c>
      <c r="E1298">
        <v>170</v>
      </c>
      <c r="F1298">
        <v>170</v>
      </c>
      <c r="G1298">
        <v>170</v>
      </c>
      <c r="H1298">
        <v>9</v>
      </c>
      <c r="M1298" t="s">
        <v>1225</v>
      </c>
    </row>
    <row r="1299" spans="2:13" x14ac:dyDescent="0.25">
      <c r="B1299">
        <v>116</v>
      </c>
      <c r="C1299" t="s">
        <v>20956</v>
      </c>
      <c r="E1299">
        <v>170</v>
      </c>
      <c r="F1299">
        <v>170</v>
      </c>
      <c r="G1299">
        <v>170</v>
      </c>
      <c r="H1299">
        <v>9</v>
      </c>
      <c r="M1299" t="s">
        <v>13485</v>
      </c>
    </row>
    <row r="1300" spans="2:13" x14ac:dyDescent="0.25">
      <c r="B1300">
        <v>124</v>
      </c>
      <c r="C1300" t="s">
        <v>20957</v>
      </c>
      <c r="E1300">
        <v>170</v>
      </c>
      <c r="F1300">
        <v>170</v>
      </c>
      <c r="G1300">
        <v>170</v>
      </c>
      <c r="H1300">
        <v>8</v>
      </c>
      <c r="L1300" t="s">
        <v>2520</v>
      </c>
    </row>
    <row r="1301" spans="2:13" x14ac:dyDescent="0.25">
      <c r="B1301">
        <v>129</v>
      </c>
      <c r="C1301" t="s">
        <v>20958</v>
      </c>
      <c r="E1301">
        <v>170</v>
      </c>
      <c r="F1301">
        <v>170</v>
      </c>
      <c r="G1301">
        <v>170</v>
      </c>
      <c r="H1301">
        <v>8</v>
      </c>
      <c r="L1301" t="s">
        <v>14943</v>
      </c>
    </row>
    <row r="1302" spans="2:13" x14ac:dyDescent="0.25">
      <c r="B1302">
        <v>140</v>
      </c>
      <c r="C1302" t="s">
        <v>20959</v>
      </c>
      <c r="E1302">
        <v>170</v>
      </c>
      <c r="F1302">
        <v>170</v>
      </c>
      <c r="G1302">
        <v>170</v>
      </c>
      <c r="H1302">
        <v>8</v>
      </c>
      <c r="L1302" t="s">
        <v>3113</v>
      </c>
    </row>
    <row r="1303" spans="2:13" x14ac:dyDescent="0.25">
      <c r="B1303">
        <v>145</v>
      </c>
      <c r="C1303" t="s">
        <v>20960</v>
      </c>
      <c r="E1303">
        <v>170</v>
      </c>
      <c r="F1303">
        <v>170</v>
      </c>
      <c r="G1303">
        <v>170</v>
      </c>
      <c r="H1303">
        <v>8</v>
      </c>
      <c r="L1303" t="s">
        <v>2007</v>
      </c>
    </row>
    <row r="1304" spans="2:13" x14ac:dyDescent="0.25">
      <c r="B1304">
        <v>153</v>
      </c>
      <c r="C1304" t="s">
        <v>20961</v>
      </c>
      <c r="E1304">
        <v>170</v>
      </c>
      <c r="F1304">
        <v>170</v>
      </c>
      <c r="G1304">
        <v>170</v>
      </c>
      <c r="H1304">
        <v>9</v>
      </c>
      <c r="M1304" t="s">
        <v>2704</v>
      </c>
    </row>
    <row r="1305" spans="2:13" x14ac:dyDescent="0.25">
      <c r="B1305">
        <v>164</v>
      </c>
      <c r="C1305" t="s">
        <v>20962</v>
      </c>
      <c r="E1305">
        <v>170</v>
      </c>
      <c r="F1305">
        <v>170</v>
      </c>
      <c r="G1305">
        <v>170</v>
      </c>
      <c r="H1305">
        <v>8</v>
      </c>
      <c r="L1305" t="s">
        <v>929</v>
      </c>
    </row>
    <row r="1306" spans="2:13" x14ac:dyDescent="0.25">
      <c r="B1306">
        <v>1024</v>
      </c>
      <c r="C1306" t="s">
        <v>20963</v>
      </c>
      <c r="E1306">
        <v>170</v>
      </c>
      <c r="F1306">
        <v>170</v>
      </c>
      <c r="G1306">
        <v>170</v>
      </c>
      <c r="H1306">
        <v>1</v>
      </c>
      <c r="K1306" t="s">
        <v>20964</v>
      </c>
    </row>
    <row r="1307" spans="2:13" x14ac:dyDescent="0.25">
      <c r="B1307">
        <v>1032</v>
      </c>
      <c r="C1307" t="s">
        <v>20965</v>
      </c>
      <c r="E1307">
        <v>170</v>
      </c>
      <c r="F1307">
        <v>170</v>
      </c>
      <c r="G1307">
        <v>170</v>
      </c>
      <c r="H1307">
        <v>7</v>
      </c>
      <c r="L1307" t="s">
        <v>20966</v>
      </c>
    </row>
    <row r="1308" spans="2:13" x14ac:dyDescent="0.25">
      <c r="B1308">
        <v>1055</v>
      </c>
      <c r="C1308" t="s">
        <v>20967</v>
      </c>
      <c r="E1308">
        <v>170</v>
      </c>
      <c r="F1308">
        <v>170</v>
      </c>
      <c r="G1308">
        <v>170</v>
      </c>
      <c r="H1308">
        <v>8</v>
      </c>
      <c r="M1308" t="s">
        <v>20968</v>
      </c>
    </row>
    <row r="1309" spans="2:13" x14ac:dyDescent="0.25">
      <c r="B1309">
        <v>1063</v>
      </c>
      <c r="C1309" t="s">
        <v>20969</v>
      </c>
      <c r="E1309">
        <v>170</v>
      </c>
      <c r="F1309">
        <v>170</v>
      </c>
      <c r="G1309">
        <v>170</v>
      </c>
      <c r="H1309">
        <v>8</v>
      </c>
      <c r="M1309" t="s">
        <v>2297</v>
      </c>
    </row>
    <row r="1310" spans="2:13" x14ac:dyDescent="0.25">
      <c r="B1310">
        <v>1071</v>
      </c>
      <c r="C1310" t="s">
        <v>18491</v>
      </c>
      <c r="E1310">
        <v>170</v>
      </c>
      <c r="F1310">
        <v>170</v>
      </c>
      <c r="G1310">
        <v>170</v>
      </c>
      <c r="H1310">
        <v>8</v>
      </c>
      <c r="M1310" t="s">
        <v>4753</v>
      </c>
    </row>
    <row r="1311" spans="2:13" x14ac:dyDescent="0.25">
      <c r="B1311">
        <v>1078</v>
      </c>
      <c r="C1311" t="s">
        <v>20970</v>
      </c>
      <c r="E1311">
        <v>170</v>
      </c>
      <c r="F1311">
        <v>170</v>
      </c>
      <c r="G1311">
        <v>170</v>
      </c>
      <c r="H1311">
        <v>8</v>
      </c>
      <c r="M1311" t="s">
        <v>4894</v>
      </c>
    </row>
    <row r="1312" spans="2:13" x14ac:dyDescent="0.25">
      <c r="B1312">
        <v>1040</v>
      </c>
      <c r="C1312" t="s">
        <v>20971</v>
      </c>
      <c r="E1312">
        <v>170</v>
      </c>
      <c r="F1312">
        <v>170</v>
      </c>
      <c r="G1312">
        <v>170</v>
      </c>
      <c r="H1312">
        <v>7</v>
      </c>
      <c r="L1312" t="s">
        <v>20972</v>
      </c>
    </row>
    <row r="1313" spans="2:13" x14ac:dyDescent="0.25">
      <c r="B1313">
        <v>1087</v>
      </c>
      <c r="C1313" t="s">
        <v>20973</v>
      </c>
      <c r="E1313">
        <v>170</v>
      </c>
      <c r="F1313">
        <v>170</v>
      </c>
      <c r="G1313">
        <v>170</v>
      </c>
      <c r="H1313">
        <v>8</v>
      </c>
      <c r="M1313" t="s">
        <v>4057</v>
      </c>
    </row>
    <row r="1314" spans="2:13" x14ac:dyDescent="0.25">
      <c r="B1314">
        <v>1095</v>
      </c>
      <c r="C1314" t="s">
        <v>20974</v>
      </c>
      <c r="E1314">
        <v>170</v>
      </c>
      <c r="F1314">
        <v>170</v>
      </c>
      <c r="G1314">
        <v>170</v>
      </c>
      <c r="H1314">
        <v>8</v>
      </c>
      <c r="M1314" t="s">
        <v>4069</v>
      </c>
    </row>
    <row r="1315" spans="2:13" x14ac:dyDescent="0.25">
      <c r="B1315">
        <v>1103</v>
      </c>
      <c r="C1315" t="s">
        <v>20975</v>
      </c>
      <c r="E1315">
        <v>170</v>
      </c>
      <c r="F1315">
        <v>170</v>
      </c>
      <c r="G1315">
        <v>170</v>
      </c>
      <c r="H1315">
        <v>8</v>
      </c>
      <c r="M1315" t="s">
        <v>4130</v>
      </c>
    </row>
    <row r="1316" spans="2:13" x14ac:dyDescent="0.25">
      <c r="B1316">
        <v>1112</v>
      </c>
      <c r="C1316" t="s">
        <v>20976</v>
      </c>
      <c r="E1316">
        <v>170</v>
      </c>
      <c r="F1316">
        <v>170</v>
      </c>
      <c r="G1316">
        <v>170</v>
      </c>
      <c r="H1316">
        <v>8</v>
      </c>
      <c r="M1316" t="s">
        <v>3999</v>
      </c>
    </row>
    <row r="1317" spans="2:13" x14ac:dyDescent="0.25">
      <c r="B1317">
        <v>1119</v>
      </c>
      <c r="C1317" t="s">
        <v>20977</v>
      </c>
      <c r="E1317">
        <v>170</v>
      </c>
      <c r="F1317">
        <v>170</v>
      </c>
      <c r="G1317">
        <v>170</v>
      </c>
      <c r="H1317">
        <v>8</v>
      </c>
      <c r="M1317" t="s">
        <v>4104</v>
      </c>
    </row>
    <row r="1318" spans="2:13" x14ac:dyDescent="0.25">
      <c r="B1318">
        <v>3</v>
      </c>
      <c r="C1318" t="s">
        <v>20978</v>
      </c>
      <c r="E1318">
        <v>170</v>
      </c>
      <c r="F1318">
        <v>170</v>
      </c>
      <c r="G1318">
        <v>170</v>
      </c>
      <c r="H1318">
        <v>8</v>
      </c>
      <c r="M1318" t="s">
        <v>4945</v>
      </c>
    </row>
    <row r="1319" spans="2:13" x14ac:dyDescent="0.25">
      <c r="B1319">
        <v>11</v>
      </c>
      <c r="C1319" t="s">
        <v>20979</v>
      </c>
      <c r="E1319">
        <v>170</v>
      </c>
      <c r="F1319">
        <v>170</v>
      </c>
      <c r="G1319">
        <v>170</v>
      </c>
      <c r="H1319">
        <v>8</v>
      </c>
      <c r="M1319" t="s">
        <v>4011</v>
      </c>
    </row>
    <row r="1320" spans="2:13" x14ac:dyDescent="0.25">
      <c r="B1320">
        <v>18</v>
      </c>
      <c r="C1320" t="s">
        <v>20980</v>
      </c>
      <c r="E1320">
        <v>170</v>
      </c>
      <c r="F1320">
        <v>170</v>
      </c>
      <c r="G1320">
        <v>170</v>
      </c>
      <c r="H1320">
        <v>8</v>
      </c>
      <c r="M1320" t="s">
        <v>20981</v>
      </c>
    </row>
    <row r="1321" spans="2:13" x14ac:dyDescent="0.25">
      <c r="B1321">
        <v>25</v>
      </c>
      <c r="C1321" t="s">
        <v>20982</v>
      </c>
      <c r="E1321">
        <v>170</v>
      </c>
      <c r="F1321">
        <v>170</v>
      </c>
      <c r="G1321">
        <v>170</v>
      </c>
      <c r="H1321">
        <v>8</v>
      </c>
      <c r="M1321" t="s">
        <v>20983</v>
      </c>
    </row>
    <row r="1322" spans="2:13" x14ac:dyDescent="0.25">
      <c r="B1322">
        <v>34</v>
      </c>
      <c r="C1322" t="s">
        <v>20984</v>
      </c>
      <c r="E1322">
        <v>170</v>
      </c>
      <c r="F1322">
        <v>170</v>
      </c>
      <c r="G1322">
        <v>170</v>
      </c>
      <c r="H1322">
        <v>8</v>
      </c>
      <c r="M1322" t="s">
        <v>20985</v>
      </c>
    </row>
    <row r="1323" spans="2:13" x14ac:dyDescent="0.25">
      <c r="B1323">
        <v>43</v>
      </c>
      <c r="C1323" t="s">
        <v>20986</v>
      </c>
      <c r="E1323">
        <v>170</v>
      </c>
      <c r="F1323">
        <v>170</v>
      </c>
      <c r="G1323">
        <v>170</v>
      </c>
      <c r="H1323">
        <v>8</v>
      </c>
      <c r="M1323" t="s">
        <v>301</v>
      </c>
    </row>
    <row r="1324" spans="2:13" x14ac:dyDescent="0.25">
      <c r="B1324">
        <v>49</v>
      </c>
      <c r="C1324" t="s">
        <v>20987</v>
      </c>
      <c r="E1324">
        <v>170</v>
      </c>
      <c r="F1324">
        <v>170</v>
      </c>
      <c r="G1324">
        <v>170</v>
      </c>
      <c r="H1324">
        <v>8</v>
      </c>
      <c r="M1324" t="s">
        <v>20988</v>
      </c>
    </row>
    <row r="1325" spans="2:13" x14ac:dyDescent="0.25">
      <c r="B1325">
        <v>57</v>
      </c>
      <c r="C1325" t="s">
        <v>20989</v>
      </c>
      <c r="E1325">
        <v>170</v>
      </c>
      <c r="F1325">
        <v>170</v>
      </c>
      <c r="G1325">
        <v>170</v>
      </c>
      <c r="H1325">
        <v>8</v>
      </c>
      <c r="M1325" t="s">
        <v>20990</v>
      </c>
    </row>
    <row r="1326" spans="2:13" x14ac:dyDescent="0.25">
      <c r="B1326">
        <v>65</v>
      </c>
      <c r="C1326" t="s">
        <v>20991</v>
      </c>
      <c r="E1326">
        <v>170</v>
      </c>
      <c r="F1326">
        <v>170</v>
      </c>
      <c r="G1326">
        <v>170</v>
      </c>
      <c r="H1326">
        <v>8</v>
      </c>
      <c r="M1326" t="s">
        <v>20992</v>
      </c>
    </row>
    <row r="1327" spans="2:13" x14ac:dyDescent="0.25">
      <c r="B1327">
        <v>624</v>
      </c>
      <c r="C1327" t="s">
        <v>20993</v>
      </c>
      <c r="E1327">
        <v>170</v>
      </c>
      <c r="F1327">
        <v>170</v>
      </c>
      <c r="G1327">
        <v>170</v>
      </c>
      <c r="H1327">
        <v>7</v>
      </c>
      <c r="L1327" t="s">
        <v>20994</v>
      </c>
    </row>
    <row r="1328" spans="2:13" x14ac:dyDescent="0.25">
      <c r="B1328">
        <v>304325711</v>
      </c>
      <c r="C1328" t="s">
        <v>4706</v>
      </c>
      <c r="E1328">
        <v>127</v>
      </c>
      <c r="F1328">
        <v>46</v>
      </c>
      <c r="G1328">
        <v>126</v>
      </c>
      <c r="H1328">
        <v>1</v>
      </c>
      <c r="K1328" t="s">
        <v>4706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79AA0-89BD-4FD1-974F-416BFC9EDEB6}">
  <dimension ref="A1:W2693"/>
  <sheetViews>
    <sheetView topLeftCell="A2619" workbookViewId="0">
      <selection activeCell="C2663" sqref="C2663"/>
    </sheetView>
  </sheetViews>
  <sheetFormatPr defaultRowHeight="15" x14ac:dyDescent="0.25"/>
  <sheetData>
    <row r="1" spans="1:19" x14ac:dyDescent="0.25">
      <c r="A1" t="s">
        <v>15179</v>
      </c>
      <c r="B1" t="s">
        <v>15180</v>
      </c>
      <c r="C1" t="s">
        <v>15181</v>
      </c>
      <c r="D1" t="s">
        <v>15182</v>
      </c>
      <c r="E1" t="s">
        <v>15183</v>
      </c>
      <c r="F1" t="s">
        <v>15184</v>
      </c>
      <c r="G1" t="s">
        <v>15185</v>
      </c>
      <c r="H1" t="s">
        <v>15186</v>
      </c>
      <c r="I1" t="s">
        <v>15187</v>
      </c>
      <c r="J1" t="s">
        <v>15188</v>
      </c>
    </row>
    <row r="2" spans="1:19" x14ac:dyDescent="0.25">
      <c r="B2">
        <v>15564</v>
      </c>
      <c r="C2" t="s">
        <v>15189</v>
      </c>
      <c r="E2">
        <v>200</v>
      </c>
      <c r="F2">
        <v>106</v>
      </c>
      <c r="G2">
        <v>57</v>
      </c>
      <c r="H2">
        <v>-1</v>
      </c>
      <c r="J2" t="s">
        <v>15190</v>
      </c>
    </row>
    <row r="3" spans="1:19" x14ac:dyDescent="0.25">
      <c r="B3">
        <v>15565</v>
      </c>
      <c r="C3" t="s">
        <v>15191</v>
      </c>
      <c r="E3">
        <v>200</v>
      </c>
      <c r="F3">
        <v>106</v>
      </c>
      <c r="G3">
        <v>57</v>
      </c>
      <c r="H3">
        <v>0</v>
      </c>
      <c r="K3" t="s">
        <v>3225</v>
      </c>
    </row>
    <row r="4" spans="1:19" x14ac:dyDescent="0.25">
      <c r="B4">
        <v>15566</v>
      </c>
      <c r="C4" t="s">
        <v>15192</v>
      </c>
      <c r="E4">
        <v>200</v>
      </c>
      <c r="F4">
        <v>106</v>
      </c>
      <c r="G4">
        <v>57</v>
      </c>
      <c r="H4">
        <v>1</v>
      </c>
      <c r="L4" t="s">
        <v>1993</v>
      </c>
    </row>
    <row r="5" spans="1:19" x14ac:dyDescent="0.25">
      <c r="B5">
        <v>15567</v>
      </c>
      <c r="C5" t="s">
        <v>15193</v>
      </c>
      <c r="E5">
        <v>168</v>
      </c>
      <c r="F5">
        <v>77</v>
      </c>
      <c r="G5">
        <v>16</v>
      </c>
      <c r="H5">
        <v>2</v>
      </c>
      <c r="M5" t="s">
        <v>4949</v>
      </c>
    </row>
    <row r="6" spans="1:19" x14ac:dyDescent="0.25">
      <c r="B6">
        <v>15568</v>
      </c>
      <c r="C6" t="s">
        <v>15194</v>
      </c>
      <c r="E6">
        <v>168</v>
      </c>
      <c r="F6">
        <v>77</v>
      </c>
      <c r="G6">
        <v>16</v>
      </c>
      <c r="H6">
        <v>3</v>
      </c>
      <c r="N6" t="s">
        <v>15195</v>
      </c>
    </row>
    <row r="7" spans="1:19" x14ac:dyDescent="0.25">
      <c r="B7">
        <v>15569</v>
      </c>
      <c r="C7" t="s">
        <v>15196</v>
      </c>
      <c r="E7">
        <v>168</v>
      </c>
      <c r="F7">
        <v>77</v>
      </c>
      <c r="G7">
        <v>16</v>
      </c>
      <c r="H7">
        <v>4</v>
      </c>
      <c r="O7" t="s">
        <v>15197</v>
      </c>
    </row>
    <row r="8" spans="1:19" x14ac:dyDescent="0.25">
      <c r="B8">
        <v>15570</v>
      </c>
      <c r="C8" t="s">
        <v>15198</v>
      </c>
      <c r="E8">
        <v>200</v>
      </c>
      <c r="F8">
        <v>106</v>
      </c>
      <c r="G8">
        <v>57</v>
      </c>
      <c r="H8">
        <v>5</v>
      </c>
      <c r="P8" t="s">
        <v>15199</v>
      </c>
    </row>
    <row r="9" spans="1:19" x14ac:dyDescent="0.25">
      <c r="B9">
        <v>15571</v>
      </c>
      <c r="C9" t="s">
        <v>15200</v>
      </c>
      <c r="E9">
        <v>200</v>
      </c>
      <c r="F9">
        <v>106</v>
      </c>
      <c r="G9">
        <v>57</v>
      </c>
      <c r="H9">
        <v>8</v>
      </c>
      <c r="Q9" t="s">
        <v>15201</v>
      </c>
    </row>
    <row r="10" spans="1:19" x14ac:dyDescent="0.25">
      <c r="B10">
        <v>15572</v>
      </c>
      <c r="C10" t="s">
        <v>15202</v>
      </c>
      <c r="E10">
        <v>195</v>
      </c>
      <c r="F10">
        <v>92</v>
      </c>
      <c r="G10">
        <v>46</v>
      </c>
      <c r="H10">
        <v>9</v>
      </c>
      <c r="R10" t="s">
        <v>15203</v>
      </c>
    </row>
    <row r="11" spans="1:19" x14ac:dyDescent="0.25">
      <c r="B11">
        <v>15573</v>
      </c>
      <c r="C11" t="s">
        <v>15204</v>
      </c>
      <c r="E11">
        <v>200</v>
      </c>
      <c r="F11">
        <v>106</v>
      </c>
      <c r="G11">
        <v>57</v>
      </c>
      <c r="H11">
        <v>11</v>
      </c>
      <c r="S11" t="s">
        <v>15205</v>
      </c>
    </row>
    <row r="12" spans="1:19" x14ac:dyDescent="0.25">
      <c r="B12">
        <v>15574</v>
      </c>
      <c r="C12" t="s">
        <v>15206</v>
      </c>
      <c r="E12">
        <v>200</v>
      </c>
      <c r="F12">
        <v>106</v>
      </c>
      <c r="G12">
        <v>57</v>
      </c>
      <c r="H12">
        <v>9</v>
      </c>
      <c r="R12" t="s">
        <v>15207</v>
      </c>
    </row>
    <row r="13" spans="1:19" x14ac:dyDescent="0.25">
      <c r="B13">
        <v>15575</v>
      </c>
      <c r="C13" t="s">
        <v>15208</v>
      </c>
      <c r="E13">
        <v>200</v>
      </c>
      <c r="F13">
        <v>106</v>
      </c>
      <c r="G13">
        <v>57</v>
      </c>
      <c r="H13">
        <v>11</v>
      </c>
      <c r="S13" t="s">
        <v>15209</v>
      </c>
    </row>
    <row r="14" spans="1:19" x14ac:dyDescent="0.25">
      <c r="B14">
        <v>15576</v>
      </c>
      <c r="C14" t="s">
        <v>15210</v>
      </c>
      <c r="E14">
        <v>168</v>
      </c>
      <c r="F14">
        <v>77</v>
      </c>
      <c r="G14">
        <v>16</v>
      </c>
      <c r="H14">
        <v>5</v>
      </c>
      <c r="P14" t="s">
        <v>15211</v>
      </c>
    </row>
    <row r="15" spans="1:19" x14ac:dyDescent="0.25">
      <c r="B15">
        <v>15577</v>
      </c>
      <c r="C15" t="s">
        <v>15212</v>
      </c>
      <c r="E15">
        <v>168</v>
      </c>
      <c r="F15">
        <v>77</v>
      </c>
      <c r="G15">
        <v>16</v>
      </c>
      <c r="H15">
        <v>6</v>
      </c>
      <c r="Q15" t="s">
        <v>4097</v>
      </c>
    </row>
    <row r="16" spans="1:19" x14ac:dyDescent="0.25">
      <c r="B16">
        <v>111220530</v>
      </c>
      <c r="C16" t="s">
        <v>15213</v>
      </c>
      <c r="E16">
        <v>168</v>
      </c>
      <c r="F16">
        <v>77</v>
      </c>
      <c r="G16">
        <v>16</v>
      </c>
      <c r="H16">
        <v>9</v>
      </c>
      <c r="R16" t="s">
        <v>15214</v>
      </c>
    </row>
    <row r="17" spans="2:21" x14ac:dyDescent="0.25">
      <c r="B17">
        <v>111220532</v>
      </c>
      <c r="C17" t="s">
        <v>15215</v>
      </c>
      <c r="E17">
        <v>180</v>
      </c>
      <c r="F17">
        <v>102</v>
      </c>
      <c r="G17">
        <v>50</v>
      </c>
      <c r="H17">
        <v>9</v>
      </c>
      <c r="R17" t="s">
        <v>15216</v>
      </c>
    </row>
    <row r="18" spans="2:21" x14ac:dyDescent="0.25">
      <c r="B18">
        <v>15578</v>
      </c>
      <c r="C18" t="s">
        <v>15217</v>
      </c>
      <c r="E18">
        <v>180</v>
      </c>
      <c r="F18">
        <v>102</v>
      </c>
      <c r="G18">
        <v>50</v>
      </c>
      <c r="H18">
        <v>8</v>
      </c>
      <c r="R18" t="s">
        <v>15218</v>
      </c>
    </row>
    <row r="19" spans="2:21" x14ac:dyDescent="0.25">
      <c r="B19">
        <v>15579</v>
      </c>
      <c r="C19" t="s">
        <v>15219</v>
      </c>
      <c r="E19">
        <v>168</v>
      </c>
      <c r="F19">
        <v>77</v>
      </c>
      <c r="G19">
        <v>16</v>
      </c>
      <c r="H19">
        <v>9</v>
      </c>
      <c r="S19" t="s">
        <v>15220</v>
      </c>
    </row>
    <row r="20" spans="2:21" x14ac:dyDescent="0.25">
      <c r="B20">
        <v>15580</v>
      </c>
      <c r="C20" t="s">
        <v>15221</v>
      </c>
      <c r="E20">
        <v>180</v>
      </c>
      <c r="F20">
        <v>102</v>
      </c>
      <c r="G20">
        <v>50</v>
      </c>
      <c r="H20">
        <v>9</v>
      </c>
      <c r="S20" t="s">
        <v>15222</v>
      </c>
    </row>
    <row r="21" spans="2:21" x14ac:dyDescent="0.25">
      <c r="B21">
        <v>15581</v>
      </c>
      <c r="C21" t="s">
        <v>15223</v>
      </c>
      <c r="E21">
        <v>180</v>
      </c>
      <c r="F21">
        <v>102</v>
      </c>
      <c r="G21">
        <v>50</v>
      </c>
      <c r="H21">
        <v>10</v>
      </c>
      <c r="T21" t="s">
        <v>15224</v>
      </c>
    </row>
    <row r="22" spans="2:21" x14ac:dyDescent="0.25">
      <c r="B22">
        <v>15582</v>
      </c>
      <c r="C22" t="s">
        <v>15225</v>
      </c>
      <c r="E22">
        <v>180</v>
      </c>
      <c r="F22">
        <v>102</v>
      </c>
      <c r="G22">
        <v>50</v>
      </c>
      <c r="H22">
        <v>11</v>
      </c>
      <c r="U22" t="s">
        <v>14882</v>
      </c>
    </row>
    <row r="23" spans="2:21" x14ac:dyDescent="0.25">
      <c r="B23">
        <v>15583</v>
      </c>
      <c r="C23" t="s">
        <v>15226</v>
      </c>
      <c r="E23">
        <v>180</v>
      </c>
      <c r="F23">
        <v>102</v>
      </c>
      <c r="G23">
        <v>50</v>
      </c>
      <c r="H23">
        <v>10</v>
      </c>
      <c r="T23" t="s">
        <v>15227</v>
      </c>
    </row>
    <row r="24" spans="2:21" x14ac:dyDescent="0.25">
      <c r="B24">
        <v>15584</v>
      </c>
      <c r="C24" t="s">
        <v>15228</v>
      </c>
      <c r="E24">
        <v>180</v>
      </c>
      <c r="F24">
        <v>102</v>
      </c>
      <c r="G24">
        <v>50</v>
      </c>
      <c r="H24">
        <v>11</v>
      </c>
      <c r="U24" t="s">
        <v>15229</v>
      </c>
    </row>
    <row r="25" spans="2:21" x14ac:dyDescent="0.25">
      <c r="B25">
        <v>15585</v>
      </c>
      <c r="C25" t="s">
        <v>15230</v>
      </c>
      <c r="E25">
        <v>180</v>
      </c>
      <c r="F25">
        <v>102</v>
      </c>
      <c r="G25">
        <v>50</v>
      </c>
      <c r="H25">
        <v>10</v>
      </c>
      <c r="T25" t="s">
        <v>15231</v>
      </c>
    </row>
    <row r="26" spans="2:21" x14ac:dyDescent="0.25">
      <c r="B26">
        <v>15586</v>
      </c>
      <c r="C26" t="s">
        <v>15232</v>
      </c>
      <c r="E26">
        <v>180</v>
      </c>
      <c r="F26">
        <v>102</v>
      </c>
      <c r="G26">
        <v>50</v>
      </c>
      <c r="H26">
        <v>11</v>
      </c>
      <c r="U26" t="s">
        <v>15233</v>
      </c>
    </row>
    <row r="27" spans="2:21" x14ac:dyDescent="0.25">
      <c r="B27">
        <v>15587</v>
      </c>
      <c r="C27" t="s">
        <v>15234</v>
      </c>
      <c r="E27">
        <v>168</v>
      </c>
      <c r="F27">
        <v>77</v>
      </c>
      <c r="G27">
        <v>16</v>
      </c>
      <c r="H27">
        <v>8</v>
      </c>
      <c r="R27" t="s">
        <v>15235</v>
      </c>
    </row>
    <row r="28" spans="2:21" x14ac:dyDescent="0.25">
      <c r="B28">
        <v>15588</v>
      </c>
      <c r="C28" t="s">
        <v>15236</v>
      </c>
      <c r="E28">
        <v>168</v>
      </c>
      <c r="F28">
        <v>77</v>
      </c>
      <c r="G28">
        <v>16</v>
      </c>
      <c r="H28">
        <v>9</v>
      </c>
      <c r="S28" t="s">
        <v>15237</v>
      </c>
    </row>
    <row r="29" spans="2:21" x14ac:dyDescent="0.25">
      <c r="B29">
        <v>15589</v>
      </c>
      <c r="C29" t="s">
        <v>15238</v>
      </c>
      <c r="E29">
        <v>180</v>
      </c>
      <c r="F29">
        <v>102</v>
      </c>
      <c r="G29">
        <v>50</v>
      </c>
      <c r="H29">
        <v>9</v>
      </c>
      <c r="S29" t="s">
        <v>15239</v>
      </c>
    </row>
    <row r="30" spans="2:21" x14ac:dyDescent="0.25">
      <c r="B30">
        <v>15590</v>
      </c>
      <c r="C30" t="s">
        <v>15240</v>
      </c>
      <c r="E30">
        <v>180</v>
      </c>
      <c r="F30">
        <v>102</v>
      </c>
      <c r="G30">
        <v>50</v>
      </c>
      <c r="H30">
        <v>10</v>
      </c>
      <c r="T30" t="s">
        <v>15241</v>
      </c>
    </row>
    <row r="31" spans="2:21" x14ac:dyDescent="0.25">
      <c r="B31">
        <v>15591</v>
      </c>
      <c r="C31" t="s">
        <v>15242</v>
      </c>
      <c r="E31">
        <v>180</v>
      </c>
      <c r="F31">
        <v>102</v>
      </c>
      <c r="G31">
        <v>50</v>
      </c>
      <c r="H31">
        <v>11</v>
      </c>
      <c r="U31" t="s">
        <v>15243</v>
      </c>
    </row>
    <row r="32" spans="2:21" x14ac:dyDescent="0.25">
      <c r="B32">
        <v>15592</v>
      </c>
      <c r="C32" t="s">
        <v>15244</v>
      </c>
      <c r="E32">
        <v>180</v>
      </c>
      <c r="F32">
        <v>102</v>
      </c>
      <c r="G32">
        <v>50</v>
      </c>
      <c r="H32">
        <v>11</v>
      </c>
      <c r="U32" t="s">
        <v>15245</v>
      </c>
    </row>
    <row r="33" spans="2:22" x14ac:dyDescent="0.25">
      <c r="B33">
        <v>15593</v>
      </c>
      <c r="C33" t="s">
        <v>15246</v>
      </c>
      <c r="E33">
        <v>180</v>
      </c>
      <c r="F33">
        <v>102</v>
      </c>
      <c r="G33">
        <v>50</v>
      </c>
      <c r="H33">
        <v>10</v>
      </c>
      <c r="T33" t="s">
        <v>15247</v>
      </c>
    </row>
    <row r="34" spans="2:22" x14ac:dyDescent="0.25">
      <c r="B34">
        <v>15594</v>
      </c>
      <c r="C34" t="s">
        <v>15248</v>
      </c>
      <c r="E34">
        <v>180</v>
      </c>
      <c r="F34">
        <v>102</v>
      </c>
      <c r="G34">
        <v>50</v>
      </c>
      <c r="H34">
        <v>11</v>
      </c>
      <c r="U34" t="s">
        <v>15249</v>
      </c>
    </row>
    <row r="35" spans="2:22" x14ac:dyDescent="0.25">
      <c r="B35">
        <v>15595</v>
      </c>
      <c r="C35" t="s">
        <v>15250</v>
      </c>
      <c r="E35">
        <v>180</v>
      </c>
      <c r="F35">
        <v>102</v>
      </c>
      <c r="G35">
        <v>50</v>
      </c>
      <c r="H35">
        <v>11</v>
      </c>
      <c r="U35" t="s">
        <v>15251</v>
      </c>
    </row>
    <row r="36" spans="2:22" x14ac:dyDescent="0.25">
      <c r="B36">
        <v>15596</v>
      </c>
      <c r="C36" t="s">
        <v>15252</v>
      </c>
      <c r="E36">
        <v>180</v>
      </c>
      <c r="F36">
        <v>102</v>
      </c>
      <c r="G36">
        <v>50</v>
      </c>
      <c r="H36">
        <v>11</v>
      </c>
      <c r="U36" t="s">
        <v>15253</v>
      </c>
    </row>
    <row r="37" spans="2:22" x14ac:dyDescent="0.25">
      <c r="B37">
        <v>15597</v>
      </c>
      <c r="C37" t="s">
        <v>15254</v>
      </c>
      <c r="E37">
        <v>180</v>
      </c>
      <c r="F37">
        <v>102</v>
      </c>
      <c r="G37">
        <v>50</v>
      </c>
      <c r="H37">
        <v>10</v>
      </c>
      <c r="T37" t="s">
        <v>15255</v>
      </c>
    </row>
    <row r="38" spans="2:22" x14ac:dyDescent="0.25">
      <c r="B38">
        <v>15598</v>
      </c>
      <c r="C38" t="s">
        <v>15256</v>
      </c>
      <c r="E38">
        <v>180</v>
      </c>
      <c r="F38">
        <v>102</v>
      </c>
      <c r="G38">
        <v>50</v>
      </c>
      <c r="H38">
        <v>11</v>
      </c>
      <c r="U38" t="s">
        <v>15257</v>
      </c>
    </row>
    <row r="39" spans="2:22" x14ac:dyDescent="0.25">
      <c r="B39">
        <v>15599</v>
      </c>
      <c r="C39" t="s">
        <v>15258</v>
      </c>
      <c r="E39">
        <v>168</v>
      </c>
      <c r="F39">
        <v>77</v>
      </c>
      <c r="G39">
        <v>16</v>
      </c>
      <c r="H39">
        <v>8</v>
      </c>
      <c r="R39" t="s">
        <v>15259</v>
      </c>
    </row>
    <row r="40" spans="2:22" x14ac:dyDescent="0.25">
      <c r="B40">
        <v>15600</v>
      </c>
      <c r="C40" t="s">
        <v>15260</v>
      </c>
      <c r="E40">
        <v>168</v>
      </c>
      <c r="F40">
        <v>77</v>
      </c>
      <c r="G40">
        <v>16</v>
      </c>
      <c r="H40">
        <v>9</v>
      </c>
      <c r="S40" t="s">
        <v>15261</v>
      </c>
    </row>
    <row r="41" spans="2:22" x14ac:dyDescent="0.25">
      <c r="B41">
        <v>15601</v>
      </c>
      <c r="C41" t="s">
        <v>15262</v>
      </c>
      <c r="E41">
        <v>180</v>
      </c>
      <c r="F41">
        <v>102</v>
      </c>
      <c r="G41">
        <v>50</v>
      </c>
      <c r="H41">
        <v>9</v>
      </c>
      <c r="S41" t="s">
        <v>15263</v>
      </c>
    </row>
    <row r="42" spans="2:22" x14ac:dyDescent="0.25">
      <c r="B42">
        <v>15602</v>
      </c>
      <c r="C42" t="s">
        <v>15264</v>
      </c>
      <c r="E42">
        <v>180</v>
      </c>
      <c r="F42">
        <v>102</v>
      </c>
      <c r="G42">
        <v>50</v>
      </c>
      <c r="H42">
        <v>10</v>
      </c>
      <c r="T42" t="s">
        <v>15265</v>
      </c>
    </row>
    <row r="43" spans="2:22" x14ac:dyDescent="0.25">
      <c r="B43">
        <v>15603</v>
      </c>
      <c r="C43" t="s">
        <v>15266</v>
      </c>
      <c r="E43">
        <v>180</v>
      </c>
      <c r="F43">
        <v>102</v>
      </c>
      <c r="G43">
        <v>50</v>
      </c>
      <c r="H43">
        <v>11</v>
      </c>
      <c r="U43" t="s">
        <v>15267</v>
      </c>
    </row>
    <row r="44" spans="2:22" x14ac:dyDescent="0.25">
      <c r="B44">
        <v>15604</v>
      </c>
      <c r="C44" t="s">
        <v>15268</v>
      </c>
      <c r="E44">
        <v>180</v>
      </c>
      <c r="F44">
        <v>102</v>
      </c>
      <c r="G44">
        <v>50</v>
      </c>
      <c r="H44">
        <v>11</v>
      </c>
      <c r="U44" t="s">
        <v>650</v>
      </c>
    </row>
    <row r="45" spans="2:22" x14ac:dyDescent="0.25">
      <c r="B45">
        <v>15605</v>
      </c>
      <c r="C45" t="s">
        <v>15269</v>
      </c>
      <c r="E45">
        <v>180</v>
      </c>
      <c r="F45">
        <v>102</v>
      </c>
      <c r="G45">
        <v>50</v>
      </c>
      <c r="H45">
        <v>12</v>
      </c>
      <c r="V45" t="s">
        <v>15270</v>
      </c>
    </row>
    <row r="46" spans="2:22" x14ac:dyDescent="0.25">
      <c r="B46">
        <v>15606</v>
      </c>
      <c r="C46" t="s">
        <v>15271</v>
      </c>
      <c r="E46">
        <v>180</v>
      </c>
      <c r="F46">
        <v>102</v>
      </c>
      <c r="G46">
        <v>50</v>
      </c>
      <c r="H46">
        <v>12</v>
      </c>
      <c r="V46" t="s">
        <v>15272</v>
      </c>
    </row>
    <row r="47" spans="2:22" x14ac:dyDescent="0.25">
      <c r="B47">
        <v>15607</v>
      </c>
      <c r="C47" t="s">
        <v>15273</v>
      </c>
      <c r="E47">
        <v>180</v>
      </c>
      <c r="F47">
        <v>102</v>
      </c>
      <c r="G47">
        <v>50</v>
      </c>
      <c r="H47">
        <v>12</v>
      </c>
      <c r="V47" t="s">
        <v>15274</v>
      </c>
    </row>
    <row r="48" spans="2:22" x14ac:dyDescent="0.25">
      <c r="B48">
        <v>15608</v>
      </c>
      <c r="C48" t="s">
        <v>15275</v>
      </c>
      <c r="E48">
        <v>180</v>
      </c>
      <c r="F48">
        <v>102</v>
      </c>
      <c r="G48">
        <v>50</v>
      </c>
      <c r="H48">
        <v>10</v>
      </c>
      <c r="T48" t="s">
        <v>15276</v>
      </c>
    </row>
    <row r="49" spans="2:21" x14ac:dyDescent="0.25">
      <c r="B49">
        <v>15609</v>
      </c>
      <c r="C49" t="s">
        <v>15277</v>
      </c>
      <c r="E49">
        <v>180</v>
      </c>
      <c r="F49">
        <v>102</v>
      </c>
      <c r="G49">
        <v>50</v>
      </c>
      <c r="H49">
        <v>11</v>
      </c>
      <c r="U49" t="s">
        <v>15278</v>
      </c>
    </row>
    <row r="50" spans="2:21" x14ac:dyDescent="0.25">
      <c r="B50">
        <v>15610</v>
      </c>
      <c r="C50" t="s">
        <v>15279</v>
      </c>
      <c r="E50">
        <v>180</v>
      </c>
      <c r="F50">
        <v>102</v>
      </c>
      <c r="G50">
        <v>50</v>
      </c>
      <c r="H50">
        <v>10</v>
      </c>
      <c r="T50" t="s">
        <v>15280</v>
      </c>
    </row>
    <row r="51" spans="2:21" x14ac:dyDescent="0.25">
      <c r="B51">
        <v>15611</v>
      </c>
      <c r="C51" t="s">
        <v>15281</v>
      </c>
      <c r="E51">
        <v>180</v>
      </c>
      <c r="F51">
        <v>102</v>
      </c>
      <c r="G51">
        <v>50</v>
      </c>
      <c r="H51">
        <v>11</v>
      </c>
      <c r="U51" t="s">
        <v>15282</v>
      </c>
    </row>
    <row r="52" spans="2:21" x14ac:dyDescent="0.25">
      <c r="B52">
        <v>15612</v>
      </c>
      <c r="C52" t="s">
        <v>15283</v>
      </c>
      <c r="E52">
        <v>180</v>
      </c>
      <c r="F52">
        <v>102</v>
      </c>
      <c r="G52">
        <v>50</v>
      </c>
      <c r="H52">
        <v>11</v>
      </c>
      <c r="U52" t="s">
        <v>3744</v>
      </c>
    </row>
    <row r="53" spans="2:21" x14ac:dyDescent="0.25">
      <c r="B53">
        <v>15613</v>
      </c>
      <c r="C53" t="s">
        <v>15284</v>
      </c>
      <c r="E53">
        <v>168</v>
      </c>
      <c r="F53">
        <v>77</v>
      </c>
      <c r="G53">
        <v>16</v>
      </c>
      <c r="H53">
        <v>6</v>
      </c>
      <c r="Q53" t="s">
        <v>15285</v>
      </c>
    </row>
    <row r="54" spans="2:21" x14ac:dyDescent="0.25">
      <c r="B54">
        <v>15614</v>
      </c>
      <c r="C54" t="s">
        <v>15286</v>
      </c>
      <c r="E54">
        <v>168</v>
      </c>
      <c r="F54">
        <v>77</v>
      </c>
      <c r="G54">
        <v>16</v>
      </c>
      <c r="H54">
        <v>9</v>
      </c>
      <c r="R54" t="s">
        <v>15287</v>
      </c>
    </row>
    <row r="55" spans="2:21" x14ac:dyDescent="0.25">
      <c r="B55">
        <v>15615</v>
      </c>
      <c r="C55" t="s">
        <v>15288</v>
      </c>
      <c r="E55">
        <v>180</v>
      </c>
      <c r="F55">
        <v>102</v>
      </c>
      <c r="G55">
        <v>50</v>
      </c>
      <c r="H55">
        <v>9</v>
      </c>
      <c r="R55" t="s">
        <v>15289</v>
      </c>
    </row>
    <row r="56" spans="2:21" x14ac:dyDescent="0.25">
      <c r="B56">
        <v>15616</v>
      </c>
      <c r="C56" t="s">
        <v>15290</v>
      </c>
      <c r="E56">
        <v>180</v>
      </c>
      <c r="F56">
        <v>102</v>
      </c>
      <c r="G56">
        <v>50</v>
      </c>
      <c r="H56">
        <v>10</v>
      </c>
      <c r="S56" t="s">
        <v>15291</v>
      </c>
    </row>
    <row r="57" spans="2:21" x14ac:dyDescent="0.25">
      <c r="B57">
        <v>15617</v>
      </c>
      <c r="C57" t="s">
        <v>15292</v>
      </c>
      <c r="E57">
        <v>180</v>
      </c>
      <c r="F57">
        <v>102</v>
      </c>
      <c r="G57">
        <v>50</v>
      </c>
      <c r="H57">
        <v>10</v>
      </c>
      <c r="S57" t="s">
        <v>15293</v>
      </c>
    </row>
    <row r="58" spans="2:21" x14ac:dyDescent="0.25">
      <c r="B58">
        <v>15618</v>
      </c>
      <c r="C58" t="s">
        <v>15294</v>
      </c>
      <c r="E58">
        <v>180</v>
      </c>
      <c r="F58">
        <v>102</v>
      </c>
      <c r="G58">
        <v>50</v>
      </c>
      <c r="H58">
        <v>11</v>
      </c>
      <c r="T58" t="s">
        <v>15295</v>
      </c>
    </row>
    <row r="59" spans="2:21" x14ac:dyDescent="0.25">
      <c r="B59">
        <v>15619</v>
      </c>
      <c r="C59" t="s">
        <v>15296</v>
      </c>
      <c r="E59">
        <v>180</v>
      </c>
      <c r="F59">
        <v>102</v>
      </c>
      <c r="G59">
        <v>50</v>
      </c>
      <c r="H59">
        <v>11</v>
      </c>
      <c r="T59" t="s">
        <v>15297</v>
      </c>
    </row>
    <row r="60" spans="2:21" x14ac:dyDescent="0.25">
      <c r="B60">
        <v>15620</v>
      </c>
      <c r="C60" t="s">
        <v>15298</v>
      </c>
      <c r="E60">
        <v>180</v>
      </c>
      <c r="F60">
        <v>102</v>
      </c>
      <c r="G60">
        <v>50</v>
      </c>
      <c r="H60">
        <v>10</v>
      </c>
      <c r="S60" t="s">
        <v>15299</v>
      </c>
    </row>
    <row r="61" spans="2:21" x14ac:dyDescent="0.25">
      <c r="B61">
        <v>15621</v>
      </c>
      <c r="C61" t="s">
        <v>15300</v>
      </c>
      <c r="E61">
        <v>180</v>
      </c>
      <c r="F61">
        <v>102</v>
      </c>
      <c r="G61">
        <v>50</v>
      </c>
      <c r="H61">
        <v>11</v>
      </c>
      <c r="T61" t="s">
        <v>15301</v>
      </c>
    </row>
    <row r="62" spans="2:21" x14ac:dyDescent="0.25">
      <c r="B62">
        <v>15622</v>
      </c>
      <c r="C62" t="s">
        <v>15302</v>
      </c>
      <c r="E62">
        <v>168</v>
      </c>
      <c r="F62">
        <v>102</v>
      </c>
      <c r="G62">
        <v>58</v>
      </c>
      <c r="H62">
        <v>4</v>
      </c>
      <c r="O62" t="s">
        <v>15303</v>
      </c>
    </row>
    <row r="63" spans="2:21" x14ac:dyDescent="0.25">
      <c r="B63">
        <v>15623</v>
      </c>
      <c r="C63" t="s">
        <v>15304</v>
      </c>
      <c r="E63">
        <v>168</v>
      </c>
      <c r="F63">
        <v>102</v>
      </c>
      <c r="G63">
        <v>58</v>
      </c>
      <c r="H63">
        <v>5</v>
      </c>
      <c r="P63" t="s">
        <v>15305</v>
      </c>
    </row>
    <row r="64" spans="2:21" x14ac:dyDescent="0.25">
      <c r="B64">
        <v>15624</v>
      </c>
      <c r="C64" t="s">
        <v>15306</v>
      </c>
      <c r="E64">
        <v>168</v>
      </c>
      <c r="F64">
        <v>102</v>
      </c>
      <c r="G64">
        <v>58</v>
      </c>
      <c r="H64">
        <v>6</v>
      </c>
      <c r="Q64" t="s">
        <v>15307</v>
      </c>
    </row>
    <row r="65" spans="2:20" x14ac:dyDescent="0.25">
      <c r="B65">
        <v>15625</v>
      </c>
      <c r="C65" t="s">
        <v>15308</v>
      </c>
      <c r="E65">
        <v>168</v>
      </c>
      <c r="F65">
        <v>102</v>
      </c>
      <c r="G65">
        <v>58</v>
      </c>
      <c r="H65">
        <v>9</v>
      </c>
      <c r="R65" t="s">
        <v>15309</v>
      </c>
    </row>
    <row r="66" spans="2:20" x14ac:dyDescent="0.25">
      <c r="B66">
        <v>15626</v>
      </c>
      <c r="C66" t="s">
        <v>15310</v>
      </c>
      <c r="E66">
        <v>176</v>
      </c>
      <c r="F66">
        <v>117</v>
      </c>
      <c r="G66">
        <v>77</v>
      </c>
      <c r="H66">
        <v>9</v>
      </c>
      <c r="R66" t="s">
        <v>15311</v>
      </c>
    </row>
    <row r="67" spans="2:20" x14ac:dyDescent="0.25">
      <c r="B67">
        <v>15627</v>
      </c>
      <c r="C67" t="s">
        <v>15312</v>
      </c>
      <c r="E67">
        <v>176</v>
      </c>
      <c r="F67">
        <v>117</v>
      </c>
      <c r="G67">
        <v>77</v>
      </c>
      <c r="H67">
        <v>10</v>
      </c>
      <c r="S67" t="s">
        <v>15313</v>
      </c>
    </row>
    <row r="68" spans="2:20" x14ac:dyDescent="0.25">
      <c r="B68">
        <v>15628</v>
      </c>
      <c r="C68" t="s">
        <v>15314</v>
      </c>
      <c r="E68">
        <v>176</v>
      </c>
      <c r="F68">
        <v>117</v>
      </c>
      <c r="G68">
        <v>77</v>
      </c>
      <c r="H68">
        <v>11</v>
      </c>
      <c r="T68" t="s">
        <v>15315</v>
      </c>
    </row>
    <row r="69" spans="2:20" x14ac:dyDescent="0.25">
      <c r="B69">
        <v>15629</v>
      </c>
      <c r="C69" t="s">
        <v>15316</v>
      </c>
      <c r="E69">
        <v>176</v>
      </c>
      <c r="F69">
        <v>117</v>
      </c>
      <c r="G69">
        <v>77</v>
      </c>
      <c r="H69">
        <v>10</v>
      </c>
      <c r="S69" t="s">
        <v>15317</v>
      </c>
    </row>
    <row r="70" spans="2:20" x14ac:dyDescent="0.25">
      <c r="B70">
        <v>15630</v>
      </c>
      <c r="C70" t="s">
        <v>15318</v>
      </c>
      <c r="E70">
        <v>176</v>
      </c>
      <c r="F70">
        <v>117</v>
      </c>
      <c r="G70">
        <v>77</v>
      </c>
      <c r="H70">
        <v>11</v>
      </c>
      <c r="T70" t="s">
        <v>15319</v>
      </c>
    </row>
    <row r="71" spans="2:20" x14ac:dyDescent="0.25">
      <c r="B71">
        <v>15631</v>
      </c>
      <c r="C71" t="s">
        <v>15320</v>
      </c>
      <c r="E71">
        <v>176</v>
      </c>
      <c r="F71">
        <v>117</v>
      </c>
      <c r="G71">
        <v>77</v>
      </c>
      <c r="H71">
        <v>11</v>
      </c>
      <c r="T71" t="s">
        <v>15321</v>
      </c>
    </row>
    <row r="72" spans="2:20" x14ac:dyDescent="0.25">
      <c r="B72">
        <v>15632</v>
      </c>
      <c r="C72" t="s">
        <v>15322</v>
      </c>
      <c r="E72">
        <v>176</v>
      </c>
      <c r="F72">
        <v>117</v>
      </c>
      <c r="G72">
        <v>77</v>
      </c>
      <c r="H72">
        <v>10</v>
      </c>
      <c r="S72" t="s">
        <v>15323</v>
      </c>
    </row>
    <row r="73" spans="2:20" x14ac:dyDescent="0.25">
      <c r="B73">
        <v>15633</v>
      </c>
      <c r="C73" t="s">
        <v>15324</v>
      </c>
      <c r="E73">
        <v>176</v>
      </c>
      <c r="F73">
        <v>117</v>
      </c>
      <c r="G73">
        <v>77</v>
      </c>
      <c r="H73">
        <v>11</v>
      </c>
      <c r="T73" t="s">
        <v>652</v>
      </c>
    </row>
    <row r="74" spans="2:20" x14ac:dyDescent="0.25">
      <c r="B74">
        <v>15634</v>
      </c>
      <c r="C74" t="s">
        <v>15325</v>
      </c>
      <c r="E74">
        <v>168</v>
      </c>
      <c r="F74">
        <v>102</v>
      </c>
      <c r="G74">
        <v>58</v>
      </c>
      <c r="H74">
        <v>6</v>
      </c>
      <c r="Q74" t="s">
        <v>15326</v>
      </c>
    </row>
    <row r="75" spans="2:20" x14ac:dyDescent="0.25">
      <c r="B75">
        <v>15635</v>
      </c>
      <c r="C75" t="s">
        <v>15327</v>
      </c>
      <c r="E75">
        <v>168</v>
      </c>
      <c r="F75">
        <v>102</v>
      </c>
      <c r="G75">
        <v>58</v>
      </c>
      <c r="H75">
        <v>6</v>
      </c>
      <c r="Q75" t="s">
        <v>15328</v>
      </c>
    </row>
    <row r="76" spans="2:20" x14ac:dyDescent="0.25">
      <c r="B76">
        <v>15636</v>
      </c>
      <c r="C76" t="s">
        <v>15329</v>
      </c>
      <c r="E76">
        <v>168</v>
      </c>
      <c r="F76">
        <v>102</v>
      </c>
      <c r="G76">
        <v>58</v>
      </c>
      <c r="H76">
        <v>6</v>
      </c>
      <c r="Q76" t="s">
        <v>15330</v>
      </c>
    </row>
    <row r="77" spans="2:20" x14ac:dyDescent="0.25">
      <c r="B77">
        <v>15637</v>
      </c>
      <c r="C77" t="s">
        <v>15331</v>
      </c>
      <c r="E77">
        <v>168</v>
      </c>
      <c r="F77">
        <v>102</v>
      </c>
      <c r="G77">
        <v>58</v>
      </c>
      <c r="H77">
        <v>9</v>
      </c>
      <c r="R77" t="s">
        <v>15332</v>
      </c>
    </row>
    <row r="78" spans="2:20" x14ac:dyDescent="0.25">
      <c r="B78">
        <v>15638</v>
      </c>
      <c r="C78" t="s">
        <v>15333</v>
      </c>
      <c r="E78">
        <v>176</v>
      </c>
      <c r="F78">
        <v>117</v>
      </c>
      <c r="G78">
        <v>77</v>
      </c>
      <c r="H78">
        <v>9</v>
      </c>
      <c r="R78" t="s">
        <v>15334</v>
      </c>
    </row>
    <row r="79" spans="2:20" x14ac:dyDescent="0.25">
      <c r="B79">
        <v>15639</v>
      </c>
      <c r="C79" t="s">
        <v>15335</v>
      </c>
      <c r="E79">
        <v>176</v>
      </c>
      <c r="F79">
        <v>117</v>
      </c>
      <c r="G79">
        <v>77</v>
      </c>
      <c r="H79">
        <v>10</v>
      </c>
      <c r="S79" t="s">
        <v>15336</v>
      </c>
    </row>
    <row r="80" spans="2:20" x14ac:dyDescent="0.25">
      <c r="B80">
        <v>15640</v>
      </c>
      <c r="C80" t="s">
        <v>15337</v>
      </c>
      <c r="E80">
        <v>176</v>
      </c>
      <c r="F80">
        <v>117</v>
      </c>
      <c r="G80">
        <v>77</v>
      </c>
      <c r="H80">
        <v>11</v>
      </c>
      <c r="T80" t="s">
        <v>15338</v>
      </c>
    </row>
    <row r="81" spans="2:21" x14ac:dyDescent="0.25">
      <c r="B81">
        <v>15641</v>
      </c>
      <c r="C81" t="s">
        <v>15339</v>
      </c>
      <c r="E81">
        <v>176</v>
      </c>
      <c r="F81">
        <v>117</v>
      </c>
      <c r="G81">
        <v>77</v>
      </c>
      <c r="H81">
        <v>11</v>
      </c>
      <c r="T81" t="s">
        <v>15340</v>
      </c>
    </row>
    <row r="82" spans="2:21" x14ac:dyDescent="0.25">
      <c r="B82">
        <v>15642</v>
      </c>
      <c r="C82" t="s">
        <v>15341</v>
      </c>
      <c r="E82">
        <v>176</v>
      </c>
      <c r="F82">
        <v>117</v>
      </c>
      <c r="G82">
        <v>77</v>
      </c>
      <c r="H82">
        <v>10</v>
      </c>
      <c r="S82" t="s">
        <v>15342</v>
      </c>
    </row>
    <row r="83" spans="2:21" x14ac:dyDescent="0.25">
      <c r="B83">
        <v>15643</v>
      </c>
      <c r="C83" t="s">
        <v>15343</v>
      </c>
      <c r="E83">
        <v>176</v>
      </c>
      <c r="F83">
        <v>117</v>
      </c>
      <c r="G83">
        <v>77</v>
      </c>
      <c r="H83">
        <v>11</v>
      </c>
      <c r="T83" t="s">
        <v>15344</v>
      </c>
    </row>
    <row r="84" spans="2:21" x14ac:dyDescent="0.25">
      <c r="B84">
        <v>15644</v>
      </c>
      <c r="C84" t="s">
        <v>15345</v>
      </c>
      <c r="E84">
        <v>176</v>
      </c>
      <c r="F84">
        <v>117</v>
      </c>
      <c r="G84">
        <v>77</v>
      </c>
      <c r="H84">
        <v>11</v>
      </c>
      <c r="T84" t="s">
        <v>15346</v>
      </c>
    </row>
    <row r="85" spans="2:21" x14ac:dyDescent="0.25">
      <c r="B85">
        <v>15645</v>
      </c>
      <c r="C85" t="s">
        <v>15347</v>
      </c>
      <c r="E85">
        <v>176</v>
      </c>
      <c r="F85">
        <v>117</v>
      </c>
      <c r="G85">
        <v>77</v>
      </c>
      <c r="H85">
        <v>11</v>
      </c>
      <c r="T85" t="s">
        <v>15348</v>
      </c>
    </row>
    <row r="86" spans="2:21" x14ac:dyDescent="0.25">
      <c r="B86">
        <v>15646</v>
      </c>
      <c r="C86" t="s">
        <v>15349</v>
      </c>
      <c r="E86">
        <v>176</v>
      </c>
      <c r="F86">
        <v>117</v>
      </c>
      <c r="G86">
        <v>77</v>
      </c>
      <c r="H86">
        <v>11</v>
      </c>
      <c r="T86" t="s">
        <v>15350</v>
      </c>
    </row>
    <row r="87" spans="2:21" x14ac:dyDescent="0.25">
      <c r="B87">
        <v>15647</v>
      </c>
      <c r="C87" t="s">
        <v>15351</v>
      </c>
      <c r="E87">
        <v>176</v>
      </c>
      <c r="F87">
        <v>117</v>
      </c>
      <c r="G87">
        <v>77</v>
      </c>
      <c r="H87">
        <v>11</v>
      </c>
      <c r="T87" t="s">
        <v>15352</v>
      </c>
    </row>
    <row r="88" spans="2:21" x14ac:dyDescent="0.25">
      <c r="B88">
        <v>15648</v>
      </c>
      <c r="C88" t="s">
        <v>15353</v>
      </c>
      <c r="E88">
        <v>176</v>
      </c>
      <c r="F88">
        <v>117</v>
      </c>
      <c r="G88">
        <v>77</v>
      </c>
      <c r="H88">
        <v>10</v>
      </c>
      <c r="S88" t="s">
        <v>15354</v>
      </c>
    </row>
    <row r="89" spans="2:21" x14ac:dyDescent="0.25">
      <c r="B89">
        <v>15649</v>
      </c>
      <c r="C89" t="s">
        <v>15355</v>
      </c>
      <c r="E89">
        <v>176</v>
      </c>
      <c r="F89">
        <v>117</v>
      </c>
      <c r="G89">
        <v>77</v>
      </c>
      <c r="H89">
        <v>11</v>
      </c>
      <c r="T89" t="s">
        <v>15356</v>
      </c>
    </row>
    <row r="90" spans="2:21" x14ac:dyDescent="0.25">
      <c r="B90">
        <v>15650</v>
      </c>
      <c r="C90" t="s">
        <v>15357</v>
      </c>
      <c r="E90">
        <v>176</v>
      </c>
      <c r="F90">
        <v>117</v>
      </c>
      <c r="G90">
        <v>77</v>
      </c>
      <c r="H90">
        <v>12</v>
      </c>
      <c r="U90" t="s">
        <v>15358</v>
      </c>
    </row>
    <row r="91" spans="2:21" x14ac:dyDescent="0.25">
      <c r="B91">
        <v>15651</v>
      </c>
      <c r="C91" t="s">
        <v>15359</v>
      </c>
      <c r="E91">
        <v>176</v>
      </c>
      <c r="F91">
        <v>117</v>
      </c>
      <c r="G91">
        <v>77</v>
      </c>
      <c r="H91">
        <v>12</v>
      </c>
      <c r="U91" t="s">
        <v>15360</v>
      </c>
    </row>
    <row r="92" spans="2:21" x14ac:dyDescent="0.25">
      <c r="B92">
        <v>15652</v>
      </c>
      <c r="C92" t="s">
        <v>15361</v>
      </c>
      <c r="E92">
        <v>176</v>
      </c>
      <c r="F92">
        <v>117</v>
      </c>
      <c r="G92">
        <v>77</v>
      </c>
      <c r="H92">
        <v>11</v>
      </c>
      <c r="T92" t="s">
        <v>975</v>
      </c>
    </row>
    <row r="93" spans="2:21" x14ac:dyDescent="0.25">
      <c r="B93">
        <v>15653</v>
      </c>
      <c r="C93" t="s">
        <v>15362</v>
      </c>
      <c r="E93">
        <v>168</v>
      </c>
      <c r="F93">
        <v>102</v>
      </c>
      <c r="G93">
        <v>58</v>
      </c>
      <c r="H93">
        <v>6</v>
      </c>
      <c r="Q93" t="s">
        <v>15363</v>
      </c>
    </row>
    <row r="94" spans="2:21" x14ac:dyDescent="0.25">
      <c r="B94">
        <v>15654</v>
      </c>
      <c r="C94" t="s">
        <v>15364</v>
      </c>
      <c r="E94">
        <v>168</v>
      </c>
      <c r="F94">
        <v>102</v>
      </c>
      <c r="G94">
        <v>58</v>
      </c>
      <c r="H94">
        <v>9</v>
      </c>
      <c r="R94" t="s">
        <v>15365</v>
      </c>
    </row>
    <row r="95" spans="2:21" x14ac:dyDescent="0.25">
      <c r="B95">
        <v>15655</v>
      </c>
      <c r="C95" t="s">
        <v>15366</v>
      </c>
      <c r="E95">
        <v>176</v>
      </c>
      <c r="F95">
        <v>117</v>
      </c>
      <c r="G95">
        <v>77</v>
      </c>
      <c r="H95">
        <v>9</v>
      </c>
      <c r="R95" t="s">
        <v>15367</v>
      </c>
    </row>
    <row r="96" spans="2:21" x14ac:dyDescent="0.25">
      <c r="B96">
        <v>15656</v>
      </c>
      <c r="C96" t="s">
        <v>15368</v>
      </c>
      <c r="E96">
        <v>176</v>
      </c>
      <c r="F96">
        <v>117</v>
      </c>
      <c r="G96">
        <v>77</v>
      </c>
      <c r="H96">
        <v>10</v>
      </c>
      <c r="S96" t="s">
        <v>15369</v>
      </c>
    </row>
    <row r="97" spans="2:21" x14ac:dyDescent="0.25">
      <c r="B97">
        <v>15657</v>
      </c>
      <c r="C97" t="s">
        <v>15370</v>
      </c>
      <c r="E97">
        <v>176</v>
      </c>
      <c r="F97">
        <v>117</v>
      </c>
      <c r="G97">
        <v>77</v>
      </c>
      <c r="H97">
        <v>11</v>
      </c>
      <c r="T97" t="s">
        <v>15371</v>
      </c>
    </row>
    <row r="98" spans="2:21" x14ac:dyDescent="0.25">
      <c r="B98">
        <v>15658</v>
      </c>
      <c r="C98" t="s">
        <v>15372</v>
      </c>
      <c r="E98">
        <v>176</v>
      </c>
      <c r="F98">
        <v>117</v>
      </c>
      <c r="G98">
        <v>77</v>
      </c>
      <c r="H98">
        <v>11</v>
      </c>
      <c r="T98" t="s">
        <v>15373</v>
      </c>
    </row>
    <row r="99" spans="2:21" x14ac:dyDescent="0.25">
      <c r="B99">
        <v>15659</v>
      </c>
      <c r="C99" t="s">
        <v>15374</v>
      </c>
      <c r="E99">
        <v>176</v>
      </c>
      <c r="F99">
        <v>117</v>
      </c>
      <c r="G99">
        <v>77</v>
      </c>
      <c r="H99">
        <v>10</v>
      </c>
      <c r="S99" t="s">
        <v>15375</v>
      </c>
    </row>
    <row r="100" spans="2:21" x14ac:dyDescent="0.25">
      <c r="B100">
        <v>15660</v>
      </c>
      <c r="C100" t="s">
        <v>15376</v>
      </c>
      <c r="E100">
        <v>176</v>
      </c>
      <c r="F100">
        <v>117</v>
      </c>
      <c r="G100">
        <v>77</v>
      </c>
      <c r="H100">
        <v>11</v>
      </c>
      <c r="T100" t="s">
        <v>654</v>
      </c>
    </row>
    <row r="101" spans="2:21" x14ac:dyDescent="0.25">
      <c r="B101">
        <v>15661</v>
      </c>
      <c r="C101" t="s">
        <v>15377</v>
      </c>
      <c r="E101">
        <v>176</v>
      </c>
      <c r="F101">
        <v>117</v>
      </c>
      <c r="G101">
        <v>77</v>
      </c>
      <c r="H101">
        <v>12</v>
      </c>
      <c r="U101" t="s">
        <v>15378</v>
      </c>
    </row>
    <row r="102" spans="2:21" x14ac:dyDescent="0.25">
      <c r="B102">
        <v>15662</v>
      </c>
      <c r="C102" t="s">
        <v>15379</v>
      </c>
      <c r="E102">
        <v>176</v>
      </c>
      <c r="F102">
        <v>117</v>
      </c>
      <c r="G102">
        <v>77</v>
      </c>
      <c r="H102">
        <v>11</v>
      </c>
      <c r="T102" t="s">
        <v>363</v>
      </c>
    </row>
    <row r="103" spans="2:21" x14ac:dyDescent="0.25">
      <c r="B103">
        <v>15663</v>
      </c>
      <c r="C103" t="s">
        <v>15380</v>
      </c>
      <c r="E103">
        <v>176</v>
      </c>
      <c r="F103">
        <v>117</v>
      </c>
      <c r="G103">
        <v>77</v>
      </c>
      <c r="H103">
        <v>10</v>
      </c>
      <c r="S103" t="s">
        <v>15381</v>
      </c>
    </row>
    <row r="104" spans="2:21" x14ac:dyDescent="0.25">
      <c r="B104">
        <v>15664</v>
      </c>
      <c r="C104" t="s">
        <v>15382</v>
      </c>
      <c r="E104">
        <v>176</v>
      </c>
      <c r="F104">
        <v>117</v>
      </c>
      <c r="G104">
        <v>77</v>
      </c>
      <c r="H104">
        <v>12</v>
      </c>
      <c r="T104" t="s">
        <v>15383</v>
      </c>
    </row>
    <row r="105" spans="2:21" x14ac:dyDescent="0.25">
      <c r="B105">
        <v>15665</v>
      </c>
      <c r="C105" t="s">
        <v>15384</v>
      </c>
      <c r="E105">
        <v>176</v>
      </c>
      <c r="F105">
        <v>117</v>
      </c>
      <c r="G105">
        <v>77</v>
      </c>
      <c r="H105">
        <v>11</v>
      </c>
      <c r="T105" t="s">
        <v>14990</v>
      </c>
    </row>
    <row r="106" spans="2:21" x14ac:dyDescent="0.25">
      <c r="B106">
        <v>15666</v>
      </c>
      <c r="C106" t="s">
        <v>15385</v>
      </c>
      <c r="E106">
        <v>134</v>
      </c>
      <c r="F106">
        <v>82</v>
      </c>
      <c r="G106">
        <v>46</v>
      </c>
      <c r="H106">
        <v>5</v>
      </c>
      <c r="P106" t="s">
        <v>15386</v>
      </c>
    </row>
    <row r="107" spans="2:21" x14ac:dyDescent="0.25">
      <c r="B107">
        <v>15667</v>
      </c>
      <c r="C107" t="s">
        <v>15387</v>
      </c>
      <c r="E107">
        <v>134</v>
      </c>
      <c r="F107">
        <v>82</v>
      </c>
      <c r="G107">
        <v>46</v>
      </c>
      <c r="H107">
        <v>6</v>
      </c>
      <c r="Q107" t="s">
        <v>15388</v>
      </c>
    </row>
    <row r="108" spans="2:21" x14ac:dyDescent="0.25">
      <c r="B108">
        <v>15668</v>
      </c>
      <c r="C108" t="s">
        <v>15389</v>
      </c>
      <c r="E108">
        <v>134</v>
      </c>
      <c r="F108">
        <v>82</v>
      </c>
      <c r="G108">
        <v>46</v>
      </c>
      <c r="H108">
        <v>9</v>
      </c>
      <c r="R108" t="s">
        <v>15390</v>
      </c>
    </row>
    <row r="109" spans="2:21" x14ac:dyDescent="0.25">
      <c r="B109">
        <v>15669</v>
      </c>
      <c r="C109" t="s">
        <v>15391</v>
      </c>
      <c r="E109">
        <v>151</v>
      </c>
      <c r="F109">
        <v>92</v>
      </c>
      <c r="G109">
        <v>52</v>
      </c>
      <c r="H109">
        <v>9</v>
      </c>
      <c r="R109" t="s">
        <v>15392</v>
      </c>
    </row>
    <row r="110" spans="2:21" x14ac:dyDescent="0.25">
      <c r="B110">
        <v>15670</v>
      </c>
      <c r="C110" t="s">
        <v>15393</v>
      </c>
      <c r="E110">
        <v>151</v>
      </c>
      <c r="F110">
        <v>92</v>
      </c>
      <c r="G110">
        <v>52</v>
      </c>
      <c r="H110">
        <v>10</v>
      </c>
      <c r="S110" t="s">
        <v>15394</v>
      </c>
    </row>
    <row r="111" spans="2:21" x14ac:dyDescent="0.25">
      <c r="B111">
        <v>15671</v>
      </c>
      <c r="C111" t="s">
        <v>15395</v>
      </c>
      <c r="E111">
        <v>151</v>
      </c>
      <c r="F111">
        <v>92</v>
      </c>
      <c r="G111">
        <v>52</v>
      </c>
      <c r="H111">
        <v>11</v>
      </c>
      <c r="T111" t="s">
        <v>15396</v>
      </c>
    </row>
    <row r="112" spans="2:21" x14ac:dyDescent="0.25">
      <c r="B112">
        <v>15672</v>
      </c>
      <c r="C112" t="s">
        <v>15397</v>
      </c>
      <c r="E112">
        <v>151</v>
      </c>
      <c r="F112">
        <v>92</v>
      </c>
      <c r="G112">
        <v>52</v>
      </c>
      <c r="H112">
        <v>11</v>
      </c>
      <c r="T112" t="s">
        <v>15398</v>
      </c>
    </row>
    <row r="113" spans="2:21" x14ac:dyDescent="0.25">
      <c r="B113">
        <v>15673</v>
      </c>
      <c r="C113" t="s">
        <v>15399</v>
      </c>
      <c r="E113">
        <v>151</v>
      </c>
      <c r="F113">
        <v>92</v>
      </c>
      <c r="G113">
        <v>52</v>
      </c>
      <c r="H113">
        <v>10</v>
      </c>
      <c r="S113" t="s">
        <v>15400</v>
      </c>
    </row>
    <row r="114" spans="2:21" x14ac:dyDescent="0.25">
      <c r="B114">
        <v>15674</v>
      </c>
      <c r="C114" t="s">
        <v>15401</v>
      </c>
      <c r="E114">
        <v>151</v>
      </c>
      <c r="F114">
        <v>92</v>
      </c>
      <c r="G114">
        <v>52</v>
      </c>
      <c r="H114">
        <v>11</v>
      </c>
      <c r="T114" t="s">
        <v>15402</v>
      </c>
    </row>
    <row r="115" spans="2:21" x14ac:dyDescent="0.25">
      <c r="B115">
        <v>15675</v>
      </c>
      <c r="C115" t="s">
        <v>15403</v>
      </c>
      <c r="E115">
        <v>151</v>
      </c>
      <c r="F115">
        <v>92</v>
      </c>
      <c r="G115">
        <v>52</v>
      </c>
      <c r="H115">
        <v>11</v>
      </c>
      <c r="T115" t="s">
        <v>656</v>
      </c>
    </row>
    <row r="116" spans="2:21" x14ac:dyDescent="0.25">
      <c r="B116">
        <v>15676</v>
      </c>
      <c r="C116" t="s">
        <v>15404</v>
      </c>
      <c r="E116">
        <v>151</v>
      </c>
      <c r="F116">
        <v>92</v>
      </c>
      <c r="G116">
        <v>52</v>
      </c>
      <c r="H116">
        <v>12</v>
      </c>
      <c r="U116" t="s">
        <v>15405</v>
      </c>
    </row>
    <row r="117" spans="2:21" x14ac:dyDescent="0.25">
      <c r="B117">
        <v>15677</v>
      </c>
      <c r="C117" t="s">
        <v>15406</v>
      </c>
      <c r="E117">
        <v>151</v>
      </c>
      <c r="F117">
        <v>92</v>
      </c>
      <c r="G117">
        <v>52</v>
      </c>
      <c r="H117">
        <v>12</v>
      </c>
      <c r="U117" t="s">
        <v>15407</v>
      </c>
    </row>
    <row r="118" spans="2:21" x14ac:dyDescent="0.25">
      <c r="B118">
        <v>15678</v>
      </c>
      <c r="C118" t="s">
        <v>15408</v>
      </c>
      <c r="E118">
        <v>151</v>
      </c>
      <c r="F118">
        <v>92</v>
      </c>
      <c r="G118">
        <v>52</v>
      </c>
      <c r="H118">
        <v>12</v>
      </c>
      <c r="U118" t="s">
        <v>15409</v>
      </c>
    </row>
    <row r="119" spans="2:21" x14ac:dyDescent="0.25">
      <c r="B119">
        <v>15679</v>
      </c>
      <c r="C119" t="s">
        <v>15410</v>
      </c>
      <c r="E119">
        <v>151</v>
      </c>
      <c r="F119">
        <v>92</v>
      </c>
      <c r="G119">
        <v>52</v>
      </c>
      <c r="H119">
        <v>12</v>
      </c>
      <c r="U119" t="s">
        <v>15411</v>
      </c>
    </row>
    <row r="120" spans="2:21" x14ac:dyDescent="0.25">
      <c r="B120">
        <v>15680</v>
      </c>
      <c r="C120" t="s">
        <v>15412</v>
      </c>
      <c r="E120">
        <v>151</v>
      </c>
      <c r="F120">
        <v>92</v>
      </c>
      <c r="G120">
        <v>52</v>
      </c>
      <c r="H120">
        <v>10</v>
      </c>
      <c r="S120" t="s">
        <v>15413</v>
      </c>
    </row>
    <row r="121" spans="2:21" x14ac:dyDescent="0.25">
      <c r="B121">
        <v>15681</v>
      </c>
      <c r="C121" t="s">
        <v>15414</v>
      </c>
      <c r="E121">
        <v>151</v>
      </c>
      <c r="F121">
        <v>92</v>
      </c>
      <c r="G121">
        <v>52</v>
      </c>
      <c r="H121">
        <v>11</v>
      </c>
      <c r="T121" t="s">
        <v>15415</v>
      </c>
    </row>
    <row r="122" spans="2:21" x14ac:dyDescent="0.25">
      <c r="B122">
        <v>15682</v>
      </c>
      <c r="C122" t="s">
        <v>15416</v>
      </c>
      <c r="E122">
        <v>151</v>
      </c>
      <c r="F122">
        <v>92</v>
      </c>
      <c r="G122">
        <v>52</v>
      </c>
      <c r="H122">
        <v>11</v>
      </c>
      <c r="T122" t="s">
        <v>15417</v>
      </c>
    </row>
    <row r="123" spans="2:21" x14ac:dyDescent="0.25">
      <c r="B123">
        <v>15683</v>
      </c>
      <c r="C123" t="s">
        <v>15418</v>
      </c>
      <c r="E123">
        <v>151</v>
      </c>
      <c r="F123">
        <v>92</v>
      </c>
      <c r="G123">
        <v>52</v>
      </c>
      <c r="H123">
        <v>11</v>
      </c>
      <c r="T123" t="s">
        <v>810</v>
      </c>
    </row>
    <row r="124" spans="2:21" x14ac:dyDescent="0.25">
      <c r="B124">
        <v>15684</v>
      </c>
      <c r="C124" t="s">
        <v>15419</v>
      </c>
      <c r="E124">
        <v>134</v>
      </c>
      <c r="F124">
        <v>82</v>
      </c>
      <c r="G124">
        <v>46</v>
      </c>
      <c r="H124">
        <v>6</v>
      </c>
      <c r="Q124" t="s">
        <v>15420</v>
      </c>
    </row>
    <row r="125" spans="2:21" x14ac:dyDescent="0.25">
      <c r="B125">
        <v>15685</v>
      </c>
      <c r="C125" t="s">
        <v>15421</v>
      </c>
      <c r="E125">
        <v>134</v>
      </c>
      <c r="F125">
        <v>82</v>
      </c>
      <c r="G125">
        <v>46</v>
      </c>
      <c r="H125">
        <v>9</v>
      </c>
      <c r="R125" t="s">
        <v>15422</v>
      </c>
    </row>
    <row r="126" spans="2:21" x14ac:dyDescent="0.25">
      <c r="B126">
        <v>15686</v>
      </c>
      <c r="C126" t="s">
        <v>15423</v>
      </c>
      <c r="E126">
        <v>151</v>
      </c>
      <c r="F126">
        <v>92</v>
      </c>
      <c r="G126">
        <v>52</v>
      </c>
      <c r="H126">
        <v>9</v>
      </c>
      <c r="R126" t="s">
        <v>15424</v>
      </c>
    </row>
    <row r="127" spans="2:21" x14ac:dyDescent="0.25">
      <c r="B127">
        <v>15687</v>
      </c>
      <c r="C127" t="s">
        <v>15425</v>
      </c>
      <c r="E127">
        <v>151</v>
      </c>
      <c r="F127">
        <v>92</v>
      </c>
      <c r="G127">
        <v>52</v>
      </c>
      <c r="H127">
        <v>10</v>
      </c>
      <c r="S127" t="s">
        <v>15426</v>
      </c>
    </row>
    <row r="128" spans="2:21" x14ac:dyDescent="0.25">
      <c r="B128">
        <v>15688</v>
      </c>
      <c r="C128" t="s">
        <v>15427</v>
      </c>
      <c r="E128">
        <v>151</v>
      </c>
      <c r="F128">
        <v>92</v>
      </c>
      <c r="G128">
        <v>52</v>
      </c>
      <c r="H128">
        <v>11</v>
      </c>
      <c r="T128" t="s">
        <v>15428</v>
      </c>
    </row>
    <row r="129" spans="2:21" x14ac:dyDescent="0.25">
      <c r="B129">
        <v>15689</v>
      </c>
      <c r="C129" t="s">
        <v>15429</v>
      </c>
      <c r="E129">
        <v>151</v>
      </c>
      <c r="F129">
        <v>92</v>
      </c>
      <c r="G129">
        <v>52</v>
      </c>
      <c r="H129">
        <v>11</v>
      </c>
      <c r="T129" t="s">
        <v>3053</v>
      </c>
    </row>
    <row r="130" spans="2:21" x14ac:dyDescent="0.25">
      <c r="B130">
        <v>15690</v>
      </c>
      <c r="C130" t="s">
        <v>15430</v>
      </c>
      <c r="E130">
        <v>151</v>
      </c>
      <c r="F130">
        <v>92</v>
      </c>
      <c r="G130">
        <v>52</v>
      </c>
      <c r="H130">
        <v>11</v>
      </c>
      <c r="T130" t="s">
        <v>3850</v>
      </c>
    </row>
    <row r="131" spans="2:21" x14ac:dyDescent="0.25">
      <c r="B131">
        <v>15691</v>
      </c>
      <c r="C131" t="s">
        <v>15431</v>
      </c>
      <c r="E131">
        <v>151</v>
      </c>
      <c r="F131">
        <v>92</v>
      </c>
      <c r="G131">
        <v>52</v>
      </c>
      <c r="H131">
        <v>11</v>
      </c>
      <c r="T131" t="s">
        <v>3232</v>
      </c>
    </row>
    <row r="132" spans="2:21" x14ac:dyDescent="0.25">
      <c r="B132">
        <v>15692</v>
      </c>
      <c r="C132" t="s">
        <v>15432</v>
      </c>
      <c r="E132">
        <v>151</v>
      </c>
      <c r="F132">
        <v>92</v>
      </c>
      <c r="G132">
        <v>52</v>
      </c>
      <c r="H132">
        <v>11</v>
      </c>
      <c r="T132" t="s">
        <v>15433</v>
      </c>
    </row>
    <row r="133" spans="2:21" x14ac:dyDescent="0.25">
      <c r="B133">
        <v>15693</v>
      </c>
      <c r="C133" t="s">
        <v>15434</v>
      </c>
      <c r="E133">
        <v>151</v>
      </c>
      <c r="F133">
        <v>92</v>
      </c>
      <c r="G133">
        <v>52</v>
      </c>
      <c r="H133">
        <v>10</v>
      </c>
      <c r="S133" t="s">
        <v>15435</v>
      </c>
    </row>
    <row r="134" spans="2:21" x14ac:dyDescent="0.25">
      <c r="B134">
        <v>15694</v>
      </c>
      <c r="C134" t="s">
        <v>15436</v>
      </c>
      <c r="E134">
        <v>151</v>
      </c>
      <c r="F134">
        <v>92</v>
      </c>
      <c r="G134">
        <v>52</v>
      </c>
      <c r="H134">
        <v>11</v>
      </c>
      <c r="T134" t="s">
        <v>15437</v>
      </c>
    </row>
    <row r="135" spans="2:21" x14ac:dyDescent="0.25">
      <c r="B135">
        <v>15695</v>
      </c>
      <c r="C135" t="s">
        <v>15438</v>
      </c>
      <c r="E135">
        <v>151</v>
      </c>
      <c r="F135">
        <v>92</v>
      </c>
      <c r="G135">
        <v>52</v>
      </c>
      <c r="H135">
        <v>12</v>
      </c>
      <c r="U135" t="s">
        <v>15439</v>
      </c>
    </row>
    <row r="136" spans="2:21" x14ac:dyDescent="0.25">
      <c r="B136">
        <v>15696</v>
      </c>
      <c r="C136" t="s">
        <v>15440</v>
      </c>
      <c r="E136">
        <v>151</v>
      </c>
      <c r="F136">
        <v>92</v>
      </c>
      <c r="G136">
        <v>52</v>
      </c>
      <c r="H136">
        <v>12</v>
      </c>
      <c r="U136" t="s">
        <v>15441</v>
      </c>
    </row>
    <row r="137" spans="2:21" x14ac:dyDescent="0.25">
      <c r="B137">
        <v>15697</v>
      </c>
      <c r="C137" t="s">
        <v>15442</v>
      </c>
      <c r="E137">
        <v>151</v>
      </c>
      <c r="F137">
        <v>92</v>
      </c>
      <c r="G137">
        <v>52</v>
      </c>
      <c r="H137">
        <v>11</v>
      </c>
      <c r="T137" t="s">
        <v>15443</v>
      </c>
    </row>
    <row r="138" spans="2:21" x14ac:dyDescent="0.25">
      <c r="B138">
        <v>15698</v>
      </c>
      <c r="C138" t="s">
        <v>15444</v>
      </c>
      <c r="E138">
        <v>151</v>
      </c>
      <c r="F138">
        <v>92</v>
      </c>
      <c r="G138">
        <v>52</v>
      </c>
      <c r="H138">
        <v>11</v>
      </c>
      <c r="T138" t="s">
        <v>15445</v>
      </c>
    </row>
    <row r="139" spans="2:21" x14ac:dyDescent="0.25">
      <c r="B139">
        <v>15699</v>
      </c>
      <c r="C139" t="s">
        <v>15446</v>
      </c>
      <c r="E139">
        <v>151</v>
      </c>
      <c r="F139">
        <v>92</v>
      </c>
      <c r="G139">
        <v>52</v>
      </c>
      <c r="H139">
        <v>10</v>
      </c>
      <c r="S139" t="s">
        <v>15447</v>
      </c>
    </row>
    <row r="140" spans="2:21" x14ac:dyDescent="0.25">
      <c r="B140">
        <v>15700</v>
      </c>
      <c r="C140" t="s">
        <v>15448</v>
      </c>
      <c r="E140">
        <v>151</v>
      </c>
      <c r="F140">
        <v>92</v>
      </c>
      <c r="G140">
        <v>52</v>
      </c>
      <c r="H140">
        <v>11</v>
      </c>
      <c r="T140" t="s">
        <v>15449</v>
      </c>
    </row>
    <row r="141" spans="2:21" x14ac:dyDescent="0.25">
      <c r="B141">
        <v>15701</v>
      </c>
      <c r="C141" t="s">
        <v>15450</v>
      </c>
      <c r="E141">
        <v>151</v>
      </c>
      <c r="F141">
        <v>92</v>
      </c>
      <c r="G141">
        <v>52</v>
      </c>
      <c r="H141">
        <v>11</v>
      </c>
      <c r="T141" t="s">
        <v>15451</v>
      </c>
    </row>
    <row r="142" spans="2:21" x14ac:dyDescent="0.25">
      <c r="B142">
        <v>15702</v>
      </c>
      <c r="C142" t="s">
        <v>15452</v>
      </c>
      <c r="E142">
        <v>134</v>
      </c>
      <c r="F142">
        <v>82</v>
      </c>
      <c r="G142">
        <v>46</v>
      </c>
      <c r="H142">
        <v>6</v>
      </c>
      <c r="Q142" t="s">
        <v>15453</v>
      </c>
    </row>
    <row r="143" spans="2:21" x14ac:dyDescent="0.25">
      <c r="B143">
        <v>15703</v>
      </c>
      <c r="C143" t="s">
        <v>15454</v>
      </c>
      <c r="E143">
        <v>134</v>
      </c>
      <c r="F143">
        <v>82</v>
      </c>
      <c r="G143">
        <v>46</v>
      </c>
      <c r="H143">
        <v>9</v>
      </c>
      <c r="R143" t="s">
        <v>15455</v>
      </c>
    </row>
    <row r="144" spans="2:21" x14ac:dyDescent="0.25">
      <c r="B144">
        <v>15704</v>
      </c>
      <c r="C144" t="s">
        <v>15456</v>
      </c>
      <c r="E144">
        <v>151</v>
      </c>
      <c r="F144">
        <v>92</v>
      </c>
      <c r="G144">
        <v>52</v>
      </c>
      <c r="H144">
        <v>11</v>
      </c>
      <c r="S144" t="s">
        <v>15457</v>
      </c>
    </row>
    <row r="145" spans="2:20" x14ac:dyDescent="0.25">
      <c r="B145">
        <v>15705</v>
      </c>
      <c r="C145" t="s">
        <v>15458</v>
      </c>
      <c r="E145">
        <v>151</v>
      </c>
      <c r="F145">
        <v>92</v>
      </c>
      <c r="G145">
        <v>52</v>
      </c>
      <c r="H145">
        <v>9</v>
      </c>
      <c r="R145" t="s">
        <v>15459</v>
      </c>
    </row>
    <row r="146" spans="2:20" x14ac:dyDescent="0.25">
      <c r="B146">
        <v>15706</v>
      </c>
      <c r="C146" t="s">
        <v>15460</v>
      </c>
      <c r="E146">
        <v>151</v>
      </c>
      <c r="F146">
        <v>92</v>
      </c>
      <c r="G146">
        <v>52</v>
      </c>
      <c r="H146">
        <v>10</v>
      </c>
      <c r="S146" t="s">
        <v>15461</v>
      </c>
    </row>
    <row r="147" spans="2:20" x14ac:dyDescent="0.25">
      <c r="B147">
        <v>15707</v>
      </c>
      <c r="C147" t="s">
        <v>15462</v>
      </c>
      <c r="E147">
        <v>151</v>
      </c>
      <c r="F147">
        <v>92</v>
      </c>
      <c r="G147">
        <v>52</v>
      </c>
      <c r="H147">
        <v>11</v>
      </c>
      <c r="T147" t="s">
        <v>15463</v>
      </c>
    </row>
    <row r="148" spans="2:20" x14ac:dyDescent="0.25">
      <c r="B148">
        <v>15708</v>
      </c>
      <c r="C148" t="s">
        <v>15464</v>
      </c>
      <c r="E148">
        <v>151</v>
      </c>
      <c r="F148">
        <v>92</v>
      </c>
      <c r="G148">
        <v>52</v>
      </c>
      <c r="H148">
        <v>10</v>
      </c>
      <c r="S148" t="s">
        <v>15465</v>
      </c>
    </row>
    <row r="149" spans="2:20" x14ac:dyDescent="0.25">
      <c r="B149">
        <v>15709</v>
      </c>
      <c r="C149" t="s">
        <v>15466</v>
      </c>
      <c r="E149">
        <v>151</v>
      </c>
      <c r="F149">
        <v>92</v>
      </c>
      <c r="G149">
        <v>52</v>
      </c>
      <c r="H149">
        <v>11</v>
      </c>
      <c r="T149" t="s">
        <v>15467</v>
      </c>
    </row>
    <row r="150" spans="2:20" x14ac:dyDescent="0.25">
      <c r="B150">
        <v>15710</v>
      </c>
      <c r="C150" t="s">
        <v>15468</v>
      </c>
      <c r="E150">
        <v>151</v>
      </c>
      <c r="F150">
        <v>92</v>
      </c>
      <c r="G150">
        <v>52</v>
      </c>
      <c r="H150">
        <v>10</v>
      </c>
      <c r="S150" t="s">
        <v>15469</v>
      </c>
    </row>
    <row r="151" spans="2:20" x14ac:dyDescent="0.25">
      <c r="B151">
        <v>15711</v>
      </c>
      <c r="C151" t="s">
        <v>15470</v>
      </c>
      <c r="E151">
        <v>151</v>
      </c>
      <c r="F151">
        <v>92</v>
      </c>
      <c r="G151">
        <v>52</v>
      </c>
      <c r="H151">
        <v>11</v>
      </c>
      <c r="T151" t="s">
        <v>15471</v>
      </c>
    </row>
    <row r="152" spans="2:20" x14ac:dyDescent="0.25">
      <c r="B152">
        <v>15712</v>
      </c>
      <c r="C152" t="s">
        <v>15472</v>
      </c>
      <c r="E152">
        <v>134</v>
      </c>
      <c r="F152">
        <v>82</v>
      </c>
      <c r="G152">
        <v>46</v>
      </c>
      <c r="H152">
        <v>6</v>
      </c>
      <c r="Q152" t="s">
        <v>15473</v>
      </c>
    </row>
    <row r="153" spans="2:20" x14ac:dyDescent="0.25">
      <c r="B153">
        <v>15713</v>
      </c>
      <c r="C153" t="s">
        <v>15474</v>
      </c>
      <c r="E153">
        <v>134</v>
      </c>
      <c r="F153">
        <v>82</v>
      </c>
      <c r="G153">
        <v>46</v>
      </c>
      <c r="H153">
        <v>9</v>
      </c>
      <c r="R153" t="s">
        <v>15475</v>
      </c>
    </row>
    <row r="154" spans="2:20" x14ac:dyDescent="0.25">
      <c r="B154">
        <v>15714</v>
      </c>
      <c r="C154" t="s">
        <v>15476</v>
      </c>
      <c r="E154">
        <v>151</v>
      </c>
      <c r="F154">
        <v>92</v>
      </c>
      <c r="G154">
        <v>52</v>
      </c>
      <c r="H154">
        <v>11</v>
      </c>
      <c r="S154" t="s">
        <v>15477</v>
      </c>
    </row>
    <row r="155" spans="2:20" x14ac:dyDescent="0.25">
      <c r="B155">
        <v>15715</v>
      </c>
      <c r="C155" t="s">
        <v>15478</v>
      </c>
      <c r="E155">
        <v>151</v>
      </c>
      <c r="F155">
        <v>92</v>
      </c>
      <c r="G155">
        <v>52</v>
      </c>
      <c r="H155">
        <v>9</v>
      </c>
      <c r="R155" t="s">
        <v>15479</v>
      </c>
    </row>
    <row r="156" spans="2:20" x14ac:dyDescent="0.25">
      <c r="B156">
        <v>15716</v>
      </c>
      <c r="C156" t="s">
        <v>15480</v>
      </c>
      <c r="E156">
        <v>151</v>
      </c>
      <c r="F156">
        <v>92</v>
      </c>
      <c r="G156">
        <v>52</v>
      </c>
      <c r="H156">
        <v>10</v>
      </c>
      <c r="S156" t="s">
        <v>15481</v>
      </c>
    </row>
    <row r="157" spans="2:20" x14ac:dyDescent="0.25">
      <c r="B157">
        <v>15717</v>
      </c>
      <c r="C157" t="s">
        <v>15482</v>
      </c>
      <c r="E157">
        <v>151</v>
      </c>
      <c r="F157">
        <v>92</v>
      </c>
      <c r="G157">
        <v>52</v>
      </c>
      <c r="H157">
        <v>11</v>
      </c>
      <c r="T157" t="s">
        <v>15483</v>
      </c>
    </row>
    <row r="158" spans="2:20" x14ac:dyDescent="0.25">
      <c r="B158">
        <v>15718</v>
      </c>
      <c r="C158" t="s">
        <v>15484</v>
      </c>
      <c r="E158">
        <v>151</v>
      </c>
      <c r="F158">
        <v>92</v>
      </c>
      <c r="G158">
        <v>52</v>
      </c>
      <c r="H158">
        <v>10</v>
      </c>
      <c r="S158" t="s">
        <v>15485</v>
      </c>
    </row>
    <row r="159" spans="2:20" x14ac:dyDescent="0.25">
      <c r="B159">
        <v>15719</v>
      </c>
      <c r="C159" t="s">
        <v>15486</v>
      </c>
      <c r="E159">
        <v>151</v>
      </c>
      <c r="F159">
        <v>92</v>
      </c>
      <c r="G159">
        <v>52</v>
      </c>
      <c r="H159">
        <v>11</v>
      </c>
      <c r="T159" t="s">
        <v>658</v>
      </c>
    </row>
    <row r="160" spans="2:20" x14ac:dyDescent="0.25">
      <c r="B160">
        <v>15720</v>
      </c>
      <c r="C160" t="s">
        <v>15487</v>
      </c>
      <c r="E160">
        <v>151</v>
      </c>
      <c r="F160">
        <v>92</v>
      </c>
      <c r="G160">
        <v>52</v>
      </c>
      <c r="H160">
        <v>10</v>
      </c>
      <c r="S160" t="s">
        <v>15488</v>
      </c>
    </row>
    <row r="161" spans="2:22" x14ac:dyDescent="0.25">
      <c r="B161">
        <v>15721</v>
      </c>
      <c r="C161" t="s">
        <v>15489</v>
      </c>
      <c r="E161">
        <v>151</v>
      </c>
      <c r="F161">
        <v>92</v>
      </c>
      <c r="G161">
        <v>52</v>
      </c>
      <c r="H161">
        <v>11</v>
      </c>
      <c r="T161" t="s">
        <v>15490</v>
      </c>
    </row>
    <row r="162" spans="2:22" x14ac:dyDescent="0.25">
      <c r="B162">
        <v>15722</v>
      </c>
      <c r="C162" t="s">
        <v>15491</v>
      </c>
      <c r="E162">
        <v>134</v>
      </c>
      <c r="F162">
        <v>82</v>
      </c>
      <c r="G162">
        <v>46</v>
      </c>
      <c r="H162">
        <v>6</v>
      </c>
      <c r="Q162" t="s">
        <v>15492</v>
      </c>
    </row>
    <row r="163" spans="2:22" x14ac:dyDescent="0.25">
      <c r="B163">
        <v>15723</v>
      </c>
      <c r="C163" t="s">
        <v>15493</v>
      </c>
      <c r="E163">
        <v>134</v>
      </c>
      <c r="F163">
        <v>82</v>
      </c>
      <c r="G163">
        <v>46</v>
      </c>
      <c r="H163">
        <v>8</v>
      </c>
      <c r="R163" t="s">
        <v>2856</v>
      </c>
    </row>
    <row r="164" spans="2:22" x14ac:dyDescent="0.25">
      <c r="B164">
        <v>15724</v>
      </c>
      <c r="C164" t="s">
        <v>15494</v>
      </c>
      <c r="E164">
        <v>134</v>
      </c>
      <c r="F164">
        <v>82</v>
      </c>
      <c r="G164">
        <v>46</v>
      </c>
      <c r="H164">
        <v>9</v>
      </c>
      <c r="S164" t="s">
        <v>15495</v>
      </c>
    </row>
    <row r="165" spans="2:22" x14ac:dyDescent="0.25">
      <c r="B165">
        <v>15725</v>
      </c>
      <c r="C165" t="s">
        <v>15496</v>
      </c>
      <c r="E165">
        <v>151</v>
      </c>
      <c r="F165">
        <v>92</v>
      </c>
      <c r="G165">
        <v>52</v>
      </c>
      <c r="H165">
        <v>9</v>
      </c>
      <c r="S165" t="s">
        <v>15497</v>
      </c>
    </row>
    <row r="166" spans="2:22" x14ac:dyDescent="0.25">
      <c r="B166">
        <v>15726</v>
      </c>
      <c r="C166" t="s">
        <v>15498</v>
      </c>
      <c r="E166">
        <v>151</v>
      </c>
      <c r="F166">
        <v>92</v>
      </c>
      <c r="G166">
        <v>52</v>
      </c>
      <c r="H166">
        <v>10</v>
      </c>
      <c r="T166" t="s">
        <v>15499</v>
      </c>
    </row>
    <row r="167" spans="2:22" x14ac:dyDescent="0.25">
      <c r="B167">
        <v>15727</v>
      </c>
      <c r="C167" t="s">
        <v>15500</v>
      </c>
      <c r="E167">
        <v>151</v>
      </c>
      <c r="F167">
        <v>92</v>
      </c>
      <c r="G167">
        <v>52</v>
      </c>
      <c r="H167">
        <v>11</v>
      </c>
      <c r="U167" t="s">
        <v>15501</v>
      </c>
    </row>
    <row r="168" spans="2:22" x14ac:dyDescent="0.25">
      <c r="B168">
        <v>15728</v>
      </c>
      <c r="C168" t="s">
        <v>15502</v>
      </c>
      <c r="E168">
        <v>151</v>
      </c>
      <c r="F168">
        <v>92</v>
      </c>
      <c r="G168">
        <v>52</v>
      </c>
      <c r="H168">
        <v>10</v>
      </c>
      <c r="T168" t="s">
        <v>15503</v>
      </c>
    </row>
    <row r="169" spans="2:22" x14ac:dyDescent="0.25">
      <c r="B169">
        <v>15729</v>
      </c>
      <c r="C169" t="s">
        <v>15504</v>
      </c>
      <c r="E169">
        <v>151</v>
      </c>
      <c r="F169">
        <v>92</v>
      </c>
      <c r="G169">
        <v>52</v>
      </c>
      <c r="H169">
        <v>11</v>
      </c>
      <c r="U169" t="s">
        <v>660</v>
      </c>
    </row>
    <row r="170" spans="2:22" x14ac:dyDescent="0.25">
      <c r="B170">
        <v>15730</v>
      </c>
      <c r="C170" t="s">
        <v>15505</v>
      </c>
      <c r="E170">
        <v>151</v>
      </c>
      <c r="F170">
        <v>92</v>
      </c>
      <c r="G170">
        <v>52</v>
      </c>
      <c r="H170">
        <v>12</v>
      </c>
      <c r="V170" t="s">
        <v>2988</v>
      </c>
    </row>
    <row r="171" spans="2:22" x14ac:dyDescent="0.25">
      <c r="B171">
        <v>15731</v>
      </c>
      <c r="C171" t="s">
        <v>15506</v>
      </c>
      <c r="E171">
        <v>151</v>
      </c>
      <c r="F171">
        <v>92</v>
      </c>
      <c r="G171">
        <v>52</v>
      </c>
      <c r="H171">
        <v>12</v>
      </c>
      <c r="V171" t="s">
        <v>2675</v>
      </c>
    </row>
    <row r="172" spans="2:22" x14ac:dyDescent="0.25">
      <c r="B172">
        <v>15732</v>
      </c>
      <c r="C172" t="s">
        <v>15507</v>
      </c>
      <c r="E172">
        <v>151</v>
      </c>
      <c r="F172">
        <v>92</v>
      </c>
      <c r="G172">
        <v>52</v>
      </c>
      <c r="H172">
        <v>12</v>
      </c>
      <c r="V172" t="s">
        <v>15508</v>
      </c>
    </row>
    <row r="173" spans="2:22" x14ac:dyDescent="0.25">
      <c r="B173">
        <v>15733</v>
      </c>
      <c r="C173" t="s">
        <v>15509</v>
      </c>
      <c r="E173">
        <v>151</v>
      </c>
      <c r="F173">
        <v>92</v>
      </c>
      <c r="G173">
        <v>52</v>
      </c>
      <c r="H173">
        <v>10</v>
      </c>
      <c r="T173" t="s">
        <v>15510</v>
      </c>
    </row>
    <row r="174" spans="2:22" x14ac:dyDescent="0.25">
      <c r="B174">
        <v>15734</v>
      </c>
      <c r="C174" t="s">
        <v>15511</v>
      </c>
      <c r="E174">
        <v>151</v>
      </c>
      <c r="F174">
        <v>92</v>
      </c>
      <c r="G174">
        <v>52</v>
      </c>
      <c r="H174">
        <v>11</v>
      </c>
      <c r="U174" t="s">
        <v>662</v>
      </c>
    </row>
    <row r="175" spans="2:22" x14ac:dyDescent="0.25">
      <c r="B175">
        <v>15735</v>
      </c>
      <c r="C175" t="s">
        <v>15512</v>
      </c>
      <c r="E175">
        <v>151</v>
      </c>
      <c r="F175">
        <v>92</v>
      </c>
      <c r="G175">
        <v>52</v>
      </c>
      <c r="H175">
        <v>11</v>
      </c>
      <c r="U175" t="s">
        <v>15513</v>
      </c>
    </row>
    <row r="176" spans="2:22" x14ac:dyDescent="0.25">
      <c r="B176">
        <v>15736</v>
      </c>
      <c r="C176" t="s">
        <v>15514</v>
      </c>
      <c r="E176">
        <v>109</v>
      </c>
      <c r="F176">
        <v>66</v>
      </c>
      <c r="G176">
        <v>38</v>
      </c>
      <c r="H176">
        <v>5</v>
      </c>
      <c r="P176" t="s">
        <v>15515</v>
      </c>
    </row>
    <row r="177" spans="2:20" x14ac:dyDescent="0.25">
      <c r="B177">
        <v>15737</v>
      </c>
      <c r="C177" t="s">
        <v>15516</v>
      </c>
      <c r="E177">
        <v>97</v>
      </c>
      <c r="F177">
        <v>58</v>
      </c>
      <c r="G177">
        <v>31</v>
      </c>
      <c r="H177">
        <v>6</v>
      </c>
      <c r="Q177" t="s">
        <v>15517</v>
      </c>
    </row>
    <row r="178" spans="2:20" x14ac:dyDescent="0.25">
      <c r="B178">
        <v>15738</v>
      </c>
      <c r="C178" t="s">
        <v>15518</v>
      </c>
      <c r="E178">
        <v>237</v>
      </c>
      <c r="F178">
        <v>152</v>
      </c>
      <c r="G178">
        <v>92</v>
      </c>
      <c r="H178">
        <v>3</v>
      </c>
      <c r="N178" t="s">
        <v>15519</v>
      </c>
    </row>
    <row r="179" spans="2:20" x14ac:dyDescent="0.25">
      <c r="B179">
        <v>15739</v>
      </c>
      <c r="C179" t="s">
        <v>15520</v>
      </c>
      <c r="E179">
        <v>237</v>
      </c>
      <c r="F179">
        <v>152</v>
      </c>
      <c r="G179">
        <v>92</v>
      </c>
      <c r="H179">
        <v>4</v>
      </c>
      <c r="O179" t="s">
        <v>1191</v>
      </c>
    </row>
    <row r="180" spans="2:20" x14ac:dyDescent="0.25">
      <c r="B180">
        <v>15740</v>
      </c>
      <c r="C180" t="s">
        <v>15521</v>
      </c>
      <c r="E180">
        <v>250</v>
      </c>
      <c r="F180">
        <v>177</v>
      </c>
      <c r="G180">
        <v>124</v>
      </c>
      <c r="H180">
        <v>5</v>
      </c>
      <c r="P180" t="s">
        <v>9357</v>
      </c>
    </row>
    <row r="181" spans="2:20" x14ac:dyDescent="0.25">
      <c r="B181">
        <v>15741</v>
      </c>
      <c r="C181" t="s">
        <v>15522</v>
      </c>
      <c r="E181">
        <v>250</v>
      </c>
      <c r="F181">
        <v>177</v>
      </c>
      <c r="G181">
        <v>124</v>
      </c>
      <c r="H181">
        <v>8</v>
      </c>
      <c r="Q181" t="s">
        <v>9359</v>
      </c>
    </row>
    <row r="182" spans="2:20" x14ac:dyDescent="0.25">
      <c r="B182">
        <v>15742</v>
      </c>
      <c r="C182" t="s">
        <v>15523</v>
      </c>
      <c r="E182">
        <v>237</v>
      </c>
      <c r="F182">
        <v>152</v>
      </c>
      <c r="G182">
        <v>92</v>
      </c>
      <c r="H182">
        <v>9</v>
      </c>
      <c r="R182" t="s">
        <v>9361</v>
      </c>
    </row>
    <row r="183" spans="2:20" x14ac:dyDescent="0.25">
      <c r="B183">
        <v>15743</v>
      </c>
      <c r="C183" t="s">
        <v>15524</v>
      </c>
      <c r="E183">
        <v>250</v>
      </c>
      <c r="F183">
        <v>177</v>
      </c>
      <c r="G183">
        <v>124</v>
      </c>
      <c r="H183">
        <v>11</v>
      </c>
      <c r="S183" t="s">
        <v>9363</v>
      </c>
    </row>
    <row r="184" spans="2:20" x14ac:dyDescent="0.25">
      <c r="B184">
        <v>15744</v>
      </c>
      <c r="C184" t="s">
        <v>15525</v>
      </c>
      <c r="E184">
        <v>250</v>
      </c>
      <c r="F184">
        <v>177</v>
      </c>
      <c r="G184">
        <v>124</v>
      </c>
      <c r="H184">
        <v>9</v>
      </c>
      <c r="R184" t="s">
        <v>9365</v>
      </c>
    </row>
    <row r="185" spans="2:20" x14ac:dyDescent="0.25">
      <c r="B185">
        <v>15745</v>
      </c>
      <c r="C185" t="s">
        <v>15526</v>
      </c>
      <c r="E185">
        <v>250</v>
      </c>
      <c r="F185">
        <v>177</v>
      </c>
      <c r="G185">
        <v>124</v>
      </c>
      <c r="H185">
        <v>10</v>
      </c>
      <c r="S185" t="s">
        <v>9367</v>
      </c>
    </row>
    <row r="186" spans="2:20" x14ac:dyDescent="0.25">
      <c r="B186">
        <v>15746</v>
      </c>
      <c r="C186" t="s">
        <v>15527</v>
      </c>
      <c r="E186">
        <v>250</v>
      </c>
      <c r="F186">
        <v>177</v>
      </c>
      <c r="G186">
        <v>124</v>
      </c>
      <c r="H186">
        <v>11</v>
      </c>
      <c r="T186" t="s">
        <v>9369</v>
      </c>
    </row>
    <row r="187" spans="2:20" x14ac:dyDescent="0.25">
      <c r="B187">
        <v>15747</v>
      </c>
      <c r="C187" t="s">
        <v>15528</v>
      </c>
      <c r="E187">
        <v>250</v>
      </c>
      <c r="F187">
        <v>177</v>
      </c>
      <c r="G187">
        <v>124</v>
      </c>
      <c r="H187">
        <v>10</v>
      </c>
      <c r="S187" t="s">
        <v>9371</v>
      </c>
    </row>
    <row r="188" spans="2:20" x14ac:dyDescent="0.25">
      <c r="B188">
        <v>15748</v>
      </c>
      <c r="C188" t="s">
        <v>15529</v>
      </c>
      <c r="E188">
        <v>250</v>
      </c>
      <c r="F188">
        <v>177</v>
      </c>
      <c r="G188">
        <v>124</v>
      </c>
      <c r="H188">
        <v>10</v>
      </c>
      <c r="S188" t="s">
        <v>9373</v>
      </c>
    </row>
    <row r="189" spans="2:20" x14ac:dyDescent="0.25">
      <c r="B189">
        <v>15749</v>
      </c>
      <c r="C189" t="s">
        <v>15530</v>
      </c>
      <c r="E189">
        <v>250</v>
      </c>
      <c r="F189">
        <v>177</v>
      </c>
      <c r="G189">
        <v>124</v>
      </c>
      <c r="H189">
        <v>6</v>
      </c>
      <c r="Q189" t="s">
        <v>9375</v>
      </c>
    </row>
    <row r="190" spans="2:20" x14ac:dyDescent="0.25">
      <c r="B190">
        <v>15750</v>
      </c>
      <c r="C190" t="s">
        <v>15531</v>
      </c>
      <c r="E190">
        <v>237</v>
      </c>
      <c r="F190">
        <v>152</v>
      </c>
      <c r="G190">
        <v>92</v>
      </c>
      <c r="H190">
        <v>5</v>
      </c>
      <c r="P190" t="s">
        <v>9377</v>
      </c>
    </row>
    <row r="191" spans="2:20" x14ac:dyDescent="0.25">
      <c r="B191">
        <v>15751</v>
      </c>
      <c r="C191" t="s">
        <v>15532</v>
      </c>
      <c r="E191">
        <v>243</v>
      </c>
      <c r="F191">
        <v>115</v>
      </c>
      <c r="G191">
        <v>33</v>
      </c>
      <c r="H191">
        <v>6</v>
      </c>
      <c r="Q191" t="s">
        <v>15068</v>
      </c>
    </row>
    <row r="192" spans="2:20" x14ac:dyDescent="0.25">
      <c r="B192">
        <v>111220534</v>
      </c>
      <c r="C192" t="s">
        <v>15533</v>
      </c>
      <c r="E192">
        <v>243</v>
      </c>
      <c r="F192">
        <v>115</v>
      </c>
      <c r="G192">
        <v>33</v>
      </c>
      <c r="H192">
        <v>9</v>
      </c>
      <c r="R192" t="s">
        <v>8657</v>
      </c>
    </row>
    <row r="193" spans="2:22" x14ac:dyDescent="0.25">
      <c r="B193">
        <v>111220536</v>
      </c>
      <c r="C193" t="s">
        <v>15534</v>
      </c>
      <c r="E193">
        <v>245</v>
      </c>
      <c r="F193">
        <v>133</v>
      </c>
      <c r="G193">
        <v>58</v>
      </c>
      <c r="H193">
        <v>9</v>
      </c>
      <c r="R193" t="s">
        <v>8659</v>
      </c>
    </row>
    <row r="194" spans="2:22" x14ac:dyDescent="0.25">
      <c r="B194">
        <v>15752</v>
      </c>
      <c r="C194" t="s">
        <v>15535</v>
      </c>
      <c r="E194">
        <v>250</v>
      </c>
      <c r="F194">
        <v>164</v>
      </c>
      <c r="G194">
        <v>26</v>
      </c>
      <c r="H194">
        <v>7</v>
      </c>
      <c r="R194" t="s">
        <v>9379</v>
      </c>
    </row>
    <row r="195" spans="2:22" x14ac:dyDescent="0.25">
      <c r="B195">
        <v>15753</v>
      </c>
      <c r="C195" t="s">
        <v>15536</v>
      </c>
      <c r="E195">
        <v>250</v>
      </c>
      <c r="F195">
        <v>164</v>
      </c>
      <c r="G195">
        <v>26</v>
      </c>
      <c r="H195">
        <v>8</v>
      </c>
      <c r="S195" t="s">
        <v>9381</v>
      </c>
    </row>
    <row r="196" spans="2:22" x14ac:dyDescent="0.25">
      <c r="B196">
        <v>15754</v>
      </c>
      <c r="C196" t="s">
        <v>15537</v>
      </c>
      <c r="E196">
        <v>250</v>
      </c>
      <c r="F196">
        <v>164</v>
      </c>
      <c r="G196">
        <v>26</v>
      </c>
      <c r="H196">
        <v>9</v>
      </c>
      <c r="T196" t="s">
        <v>9383</v>
      </c>
    </row>
    <row r="197" spans="2:22" x14ac:dyDescent="0.25">
      <c r="B197">
        <v>15755</v>
      </c>
      <c r="C197" t="s">
        <v>15538</v>
      </c>
      <c r="E197">
        <v>251</v>
      </c>
      <c r="F197">
        <v>177</v>
      </c>
      <c r="G197">
        <v>59</v>
      </c>
      <c r="H197">
        <v>9</v>
      </c>
      <c r="T197" t="s">
        <v>9385</v>
      </c>
    </row>
    <row r="198" spans="2:22" x14ac:dyDescent="0.25">
      <c r="B198">
        <v>15756</v>
      </c>
      <c r="C198" t="s">
        <v>15539</v>
      </c>
      <c r="E198">
        <v>251</v>
      </c>
      <c r="F198">
        <v>177</v>
      </c>
      <c r="G198">
        <v>59</v>
      </c>
      <c r="H198">
        <v>10</v>
      </c>
      <c r="U198" t="s">
        <v>9387</v>
      </c>
    </row>
    <row r="199" spans="2:22" x14ac:dyDescent="0.25">
      <c r="B199">
        <v>15757</v>
      </c>
      <c r="C199" t="s">
        <v>15540</v>
      </c>
      <c r="E199">
        <v>251</v>
      </c>
      <c r="F199">
        <v>177</v>
      </c>
      <c r="G199">
        <v>59</v>
      </c>
      <c r="H199">
        <v>11</v>
      </c>
      <c r="V199" t="s">
        <v>9389</v>
      </c>
    </row>
    <row r="200" spans="2:22" x14ac:dyDescent="0.25">
      <c r="B200">
        <v>15758</v>
      </c>
      <c r="C200" t="s">
        <v>15541</v>
      </c>
      <c r="E200">
        <v>251</v>
      </c>
      <c r="F200">
        <v>177</v>
      </c>
      <c r="G200">
        <v>59</v>
      </c>
      <c r="H200">
        <v>11</v>
      </c>
      <c r="V200" t="s">
        <v>9391</v>
      </c>
    </row>
    <row r="201" spans="2:22" x14ac:dyDescent="0.25">
      <c r="B201">
        <v>15759</v>
      </c>
      <c r="C201" t="s">
        <v>15542</v>
      </c>
      <c r="E201">
        <v>251</v>
      </c>
      <c r="F201">
        <v>177</v>
      </c>
      <c r="G201">
        <v>59</v>
      </c>
      <c r="H201">
        <v>10</v>
      </c>
      <c r="U201" t="s">
        <v>9393</v>
      </c>
    </row>
    <row r="202" spans="2:22" x14ac:dyDescent="0.25">
      <c r="B202">
        <v>15760</v>
      </c>
      <c r="C202" t="s">
        <v>15543</v>
      </c>
      <c r="E202">
        <v>251</v>
      </c>
      <c r="F202">
        <v>177</v>
      </c>
      <c r="G202">
        <v>59</v>
      </c>
      <c r="H202">
        <v>11</v>
      </c>
      <c r="V202" t="s">
        <v>9395</v>
      </c>
    </row>
    <row r="203" spans="2:22" x14ac:dyDescent="0.25">
      <c r="B203">
        <v>15761</v>
      </c>
      <c r="C203" t="s">
        <v>15544</v>
      </c>
      <c r="E203">
        <v>251</v>
      </c>
      <c r="F203">
        <v>177</v>
      </c>
      <c r="G203">
        <v>59</v>
      </c>
      <c r="H203">
        <v>11</v>
      </c>
      <c r="V203" t="s">
        <v>4971</v>
      </c>
    </row>
    <row r="204" spans="2:22" x14ac:dyDescent="0.25">
      <c r="B204">
        <v>15762</v>
      </c>
      <c r="C204" t="s">
        <v>15545</v>
      </c>
      <c r="E204">
        <v>251</v>
      </c>
      <c r="F204">
        <v>177</v>
      </c>
      <c r="G204">
        <v>59</v>
      </c>
      <c r="H204">
        <v>10</v>
      </c>
      <c r="U204" t="s">
        <v>9397</v>
      </c>
    </row>
    <row r="205" spans="2:22" x14ac:dyDescent="0.25">
      <c r="B205">
        <v>15763</v>
      </c>
      <c r="C205" t="s">
        <v>15546</v>
      </c>
      <c r="E205">
        <v>251</v>
      </c>
      <c r="F205">
        <v>177</v>
      </c>
      <c r="G205">
        <v>59</v>
      </c>
      <c r="H205">
        <v>11</v>
      </c>
      <c r="V205" t="s">
        <v>9399</v>
      </c>
    </row>
    <row r="206" spans="2:22" x14ac:dyDescent="0.25">
      <c r="B206">
        <v>15764</v>
      </c>
      <c r="C206" t="s">
        <v>15547</v>
      </c>
      <c r="E206">
        <v>251</v>
      </c>
      <c r="F206">
        <v>177</v>
      </c>
      <c r="G206">
        <v>59</v>
      </c>
      <c r="H206">
        <v>11</v>
      </c>
      <c r="V206" t="s">
        <v>3024</v>
      </c>
    </row>
    <row r="207" spans="2:22" x14ac:dyDescent="0.25">
      <c r="B207">
        <v>15765</v>
      </c>
      <c r="C207" t="s">
        <v>15548</v>
      </c>
      <c r="E207">
        <v>250</v>
      </c>
      <c r="F207">
        <v>164</v>
      </c>
      <c r="G207">
        <v>26</v>
      </c>
      <c r="H207">
        <v>8</v>
      </c>
      <c r="S207" t="s">
        <v>9401</v>
      </c>
    </row>
    <row r="208" spans="2:22" x14ac:dyDescent="0.25">
      <c r="B208">
        <v>15766</v>
      </c>
      <c r="C208" t="s">
        <v>15549</v>
      </c>
      <c r="E208">
        <v>250</v>
      </c>
      <c r="F208">
        <v>164</v>
      </c>
      <c r="G208">
        <v>26</v>
      </c>
      <c r="H208">
        <v>9</v>
      </c>
      <c r="T208" t="s">
        <v>9403</v>
      </c>
    </row>
    <row r="209" spans="2:22" x14ac:dyDescent="0.25">
      <c r="B209">
        <v>15767</v>
      </c>
      <c r="C209" t="s">
        <v>15550</v>
      </c>
      <c r="E209">
        <v>251</v>
      </c>
      <c r="F209">
        <v>177</v>
      </c>
      <c r="G209">
        <v>59</v>
      </c>
      <c r="H209">
        <v>9</v>
      </c>
      <c r="T209" t="s">
        <v>9405</v>
      </c>
    </row>
    <row r="210" spans="2:22" x14ac:dyDescent="0.25">
      <c r="B210">
        <v>15768</v>
      </c>
      <c r="C210" t="s">
        <v>15551</v>
      </c>
      <c r="E210">
        <v>251</v>
      </c>
      <c r="F210">
        <v>177</v>
      </c>
      <c r="G210">
        <v>59</v>
      </c>
      <c r="H210">
        <v>10</v>
      </c>
      <c r="U210" t="s">
        <v>9407</v>
      </c>
    </row>
    <row r="211" spans="2:22" x14ac:dyDescent="0.25">
      <c r="B211">
        <v>15769</v>
      </c>
      <c r="C211" t="s">
        <v>15552</v>
      </c>
      <c r="E211">
        <v>251</v>
      </c>
      <c r="F211">
        <v>177</v>
      </c>
      <c r="G211">
        <v>59</v>
      </c>
      <c r="H211">
        <v>11</v>
      </c>
      <c r="V211" t="s">
        <v>9409</v>
      </c>
    </row>
    <row r="212" spans="2:22" x14ac:dyDescent="0.25">
      <c r="B212">
        <v>15770</v>
      </c>
      <c r="C212" t="s">
        <v>15553</v>
      </c>
      <c r="E212">
        <v>251</v>
      </c>
      <c r="F212">
        <v>177</v>
      </c>
      <c r="G212">
        <v>59</v>
      </c>
      <c r="H212">
        <v>10</v>
      </c>
      <c r="U212" t="s">
        <v>9411</v>
      </c>
    </row>
    <row r="213" spans="2:22" x14ac:dyDescent="0.25">
      <c r="B213">
        <v>15771</v>
      </c>
      <c r="C213" t="s">
        <v>15554</v>
      </c>
      <c r="E213">
        <v>251</v>
      </c>
      <c r="F213">
        <v>177</v>
      </c>
      <c r="G213">
        <v>59</v>
      </c>
      <c r="H213">
        <v>11</v>
      </c>
      <c r="V213" t="s">
        <v>9413</v>
      </c>
    </row>
    <row r="214" spans="2:22" x14ac:dyDescent="0.25">
      <c r="B214">
        <v>15772</v>
      </c>
      <c r="C214" t="s">
        <v>15555</v>
      </c>
      <c r="E214">
        <v>251</v>
      </c>
      <c r="F214">
        <v>177</v>
      </c>
      <c r="G214">
        <v>59</v>
      </c>
      <c r="H214">
        <v>11</v>
      </c>
      <c r="V214" t="s">
        <v>7962</v>
      </c>
    </row>
    <row r="215" spans="2:22" x14ac:dyDescent="0.25">
      <c r="B215">
        <v>15773</v>
      </c>
      <c r="C215" t="s">
        <v>15556</v>
      </c>
      <c r="E215">
        <v>251</v>
      </c>
      <c r="F215">
        <v>177</v>
      </c>
      <c r="G215">
        <v>59</v>
      </c>
      <c r="H215">
        <v>10</v>
      </c>
      <c r="U215" t="s">
        <v>9416</v>
      </c>
    </row>
    <row r="216" spans="2:22" x14ac:dyDescent="0.25">
      <c r="B216">
        <v>15774</v>
      </c>
      <c r="C216" t="s">
        <v>15557</v>
      </c>
      <c r="E216">
        <v>250</v>
      </c>
      <c r="F216">
        <v>164</v>
      </c>
      <c r="G216">
        <v>26</v>
      </c>
      <c r="H216">
        <v>8</v>
      </c>
      <c r="S216" t="s">
        <v>9418</v>
      </c>
    </row>
    <row r="217" spans="2:22" x14ac:dyDescent="0.25">
      <c r="B217">
        <v>15775</v>
      </c>
      <c r="C217" t="s">
        <v>15558</v>
      </c>
      <c r="E217">
        <v>250</v>
      </c>
      <c r="F217">
        <v>164</v>
      </c>
      <c r="G217">
        <v>26</v>
      </c>
      <c r="H217">
        <v>9</v>
      </c>
      <c r="T217" t="s">
        <v>9420</v>
      </c>
    </row>
    <row r="218" spans="2:22" x14ac:dyDescent="0.25">
      <c r="B218">
        <v>15776</v>
      </c>
      <c r="C218" t="s">
        <v>15559</v>
      </c>
      <c r="E218">
        <v>251</v>
      </c>
      <c r="F218">
        <v>177</v>
      </c>
      <c r="G218">
        <v>59</v>
      </c>
      <c r="H218">
        <v>9</v>
      </c>
      <c r="T218" t="s">
        <v>9422</v>
      </c>
    </row>
    <row r="219" spans="2:22" x14ac:dyDescent="0.25">
      <c r="B219">
        <v>15777</v>
      </c>
      <c r="C219" t="s">
        <v>15560</v>
      </c>
      <c r="E219">
        <v>251</v>
      </c>
      <c r="F219">
        <v>177</v>
      </c>
      <c r="G219">
        <v>59</v>
      </c>
      <c r="H219">
        <v>10</v>
      </c>
      <c r="U219" t="s">
        <v>9424</v>
      </c>
    </row>
    <row r="220" spans="2:22" x14ac:dyDescent="0.25">
      <c r="B220">
        <v>15778</v>
      </c>
      <c r="C220" t="s">
        <v>15561</v>
      </c>
      <c r="E220">
        <v>251</v>
      </c>
      <c r="F220">
        <v>177</v>
      </c>
      <c r="G220">
        <v>59</v>
      </c>
      <c r="H220">
        <v>11</v>
      </c>
      <c r="V220" t="s">
        <v>9426</v>
      </c>
    </row>
    <row r="221" spans="2:22" x14ac:dyDescent="0.25">
      <c r="B221">
        <v>15779</v>
      </c>
      <c r="C221" t="s">
        <v>15562</v>
      </c>
      <c r="E221">
        <v>251</v>
      </c>
      <c r="F221">
        <v>177</v>
      </c>
      <c r="G221">
        <v>59</v>
      </c>
      <c r="H221">
        <v>11</v>
      </c>
      <c r="V221" t="s">
        <v>8507</v>
      </c>
    </row>
    <row r="222" spans="2:22" x14ac:dyDescent="0.25">
      <c r="B222">
        <v>15780</v>
      </c>
      <c r="C222" t="s">
        <v>15563</v>
      </c>
      <c r="E222">
        <v>251</v>
      </c>
      <c r="F222">
        <v>177</v>
      </c>
      <c r="G222">
        <v>59</v>
      </c>
      <c r="H222">
        <v>11</v>
      </c>
      <c r="V222" t="s">
        <v>4962</v>
      </c>
    </row>
    <row r="223" spans="2:22" x14ac:dyDescent="0.25">
      <c r="B223">
        <v>15781</v>
      </c>
      <c r="C223" t="s">
        <v>15564</v>
      </c>
      <c r="E223">
        <v>251</v>
      </c>
      <c r="F223">
        <v>177</v>
      </c>
      <c r="G223">
        <v>59</v>
      </c>
      <c r="H223">
        <v>10</v>
      </c>
      <c r="U223" t="s">
        <v>9429</v>
      </c>
    </row>
    <row r="224" spans="2:22" x14ac:dyDescent="0.25">
      <c r="B224">
        <v>15782</v>
      </c>
      <c r="C224" t="s">
        <v>15565</v>
      </c>
      <c r="E224">
        <v>251</v>
      </c>
      <c r="F224">
        <v>177</v>
      </c>
      <c r="G224">
        <v>59</v>
      </c>
      <c r="H224">
        <v>11</v>
      </c>
      <c r="V224" t="s">
        <v>9431</v>
      </c>
    </row>
    <row r="225" spans="2:23" x14ac:dyDescent="0.25">
      <c r="B225">
        <v>15783</v>
      </c>
      <c r="C225" t="s">
        <v>15566</v>
      </c>
      <c r="E225">
        <v>251</v>
      </c>
      <c r="F225">
        <v>177</v>
      </c>
      <c r="G225">
        <v>59</v>
      </c>
      <c r="H225">
        <v>10</v>
      </c>
      <c r="U225" t="s">
        <v>9433</v>
      </c>
    </row>
    <row r="226" spans="2:23" x14ac:dyDescent="0.25">
      <c r="B226">
        <v>15784</v>
      </c>
      <c r="C226" t="s">
        <v>15567</v>
      </c>
      <c r="E226">
        <v>243</v>
      </c>
      <c r="F226">
        <v>115</v>
      </c>
      <c r="G226">
        <v>33</v>
      </c>
      <c r="H226">
        <v>7</v>
      </c>
      <c r="R226" t="s">
        <v>9435</v>
      </c>
    </row>
    <row r="227" spans="2:23" x14ac:dyDescent="0.25">
      <c r="B227">
        <v>15785</v>
      </c>
      <c r="C227" t="s">
        <v>15568</v>
      </c>
      <c r="E227">
        <v>243</v>
      </c>
      <c r="F227">
        <v>115</v>
      </c>
      <c r="G227">
        <v>33</v>
      </c>
      <c r="H227">
        <v>8</v>
      </c>
      <c r="S227" t="s">
        <v>9437</v>
      </c>
    </row>
    <row r="228" spans="2:23" x14ac:dyDescent="0.25">
      <c r="B228">
        <v>15786</v>
      </c>
      <c r="C228" t="s">
        <v>15569</v>
      </c>
      <c r="E228">
        <v>243</v>
      </c>
      <c r="F228">
        <v>115</v>
      </c>
      <c r="G228">
        <v>33</v>
      </c>
      <c r="H228">
        <v>9</v>
      </c>
      <c r="T228" t="s">
        <v>9439</v>
      </c>
    </row>
    <row r="229" spans="2:23" x14ac:dyDescent="0.25">
      <c r="B229">
        <v>15787</v>
      </c>
      <c r="C229" t="s">
        <v>15570</v>
      </c>
      <c r="E229">
        <v>245</v>
      </c>
      <c r="F229">
        <v>133</v>
      </c>
      <c r="G229">
        <v>58</v>
      </c>
      <c r="H229">
        <v>9</v>
      </c>
      <c r="T229" t="s">
        <v>9441</v>
      </c>
    </row>
    <row r="230" spans="2:23" x14ac:dyDescent="0.25">
      <c r="B230">
        <v>15788</v>
      </c>
      <c r="C230" t="s">
        <v>15571</v>
      </c>
      <c r="E230">
        <v>245</v>
      </c>
      <c r="F230">
        <v>133</v>
      </c>
      <c r="G230">
        <v>58</v>
      </c>
      <c r="H230">
        <v>10</v>
      </c>
      <c r="U230" t="s">
        <v>9443</v>
      </c>
    </row>
    <row r="231" spans="2:23" x14ac:dyDescent="0.25">
      <c r="B231">
        <v>15789</v>
      </c>
      <c r="C231" t="s">
        <v>15572</v>
      </c>
      <c r="E231">
        <v>245</v>
      </c>
      <c r="F231">
        <v>133</v>
      </c>
      <c r="G231">
        <v>58</v>
      </c>
      <c r="H231">
        <v>11</v>
      </c>
      <c r="V231" t="s">
        <v>9445</v>
      </c>
    </row>
    <row r="232" spans="2:23" x14ac:dyDescent="0.25">
      <c r="B232">
        <v>15790</v>
      </c>
      <c r="C232" t="s">
        <v>15573</v>
      </c>
      <c r="E232">
        <v>245</v>
      </c>
      <c r="F232">
        <v>133</v>
      </c>
      <c r="G232">
        <v>58</v>
      </c>
      <c r="H232">
        <v>12</v>
      </c>
      <c r="W232" t="s">
        <v>9447</v>
      </c>
    </row>
    <row r="233" spans="2:23" x14ac:dyDescent="0.25">
      <c r="B233">
        <v>15791</v>
      </c>
      <c r="C233" t="s">
        <v>15574</v>
      </c>
      <c r="E233">
        <v>245</v>
      </c>
      <c r="F233">
        <v>133</v>
      </c>
      <c r="G233">
        <v>58</v>
      </c>
      <c r="H233">
        <v>12</v>
      </c>
      <c r="W233" t="s">
        <v>9449</v>
      </c>
    </row>
    <row r="234" spans="2:23" x14ac:dyDescent="0.25">
      <c r="B234">
        <v>15792</v>
      </c>
      <c r="C234" t="s">
        <v>15575</v>
      </c>
      <c r="E234">
        <v>245</v>
      </c>
      <c r="F234">
        <v>133</v>
      </c>
      <c r="G234">
        <v>58</v>
      </c>
      <c r="H234">
        <v>10</v>
      </c>
      <c r="U234" t="s">
        <v>9451</v>
      </c>
    </row>
    <row r="235" spans="2:23" x14ac:dyDescent="0.25">
      <c r="B235">
        <v>15793</v>
      </c>
      <c r="C235" t="s">
        <v>15576</v>
      </c>
      <c r="E235">
        <v>245</v>
      </c>
      <c r="F235">
        <v>133</v>
      </c>
      <c r="G235">
        <v>58</v>
      </c>
      <c r="H235">
        <v>11</v>
      </c>
      <c r="V235" t="s">
        <v>9453</v>
      </c>
    </row>
    <row r="236" spans="2:23" x14ac:dyDescent="0.25">
      <c r="B236">
        <v>15794</v>
      </c>
      <c r="C236" t="s">
        <v>15577</v>
      </c>
      <c r="E236">
        <v>245</v>
      </c>
      <c r="F236">
        <v>133</v>
      </c>
      <c r="G236">
        <v>58</v>
      </c>
      <c r="H236">
        <v>11</v>
      </c>
      <c r="V236" t="s">
        <v>3265</v>
      </c>
    </row>
    <row r="237" spans="2:23" x14ac:dyDescent="0.25">
      <c r="B237">
        <v>15795</v>
      </c>
      <c r="C237" t="s">
        <v>15578</v>
      </c>
      <c r="E237">
        <v>245</v>
      </c>
      <c r="F237">
        <v>133</v>
      </c>
      <c r="G237">
        <v>58</v>
      </c>
      <c r="H237">
        <v>10</v>
      </c>
      <c r="U237" t="s">
        <v>9455</v>
      </c>
    </row>
    <row r="238" spans="2:23" x14ac:dyDescent="0.25">
      <c r="B238">
        <v>15796</v>
      </c>
      <c r="C238" t="s">
        <v>15579</v>
      </c>
      <c r="E238">
        <v>245</v>
      </c>
      <c r="F238">
        <v>133</v>
      </c>
      <c r="G238">
        <v>58</v>
      </c>
      <c r="H238">
        <v>11</v>
      </c>
      <c r="V238" t="s">
        <v>9457</v>
      </c>
    </row>
    <row r="239" spans="2:23" x14ac:dyDescent="0.25">
      <c r="B239">
        <v>15797</v>
      </c>
      <c r="C239" t="s">
        <v>15580</v>
      </c>
      <c r="E239">
        <v>243</v>
      </c>
      <c r="F239">
        <v>115</v>
      </c>
      <c r="G239">
        <v>33</v>
      </c>
      <c r="H239">
        <v>8</v>
      </c>
      <c r="S239" t="s">
        <v>9459</v>
      </c>
    </row>
    <row r="240" spans="2:23" x14ac:dyDescent="0.25">
      <c r="B240">
        <v>15798</v>
      </c>
      <c r="C240" t="s">
        <v>15581</v>
      </c>
      <c r="E240">
        <v>243</v>
      </c>
      <c r="F240">
        <v>115</v>
      </c>
      <c r="G240">
        <v>33</v>
      </c>
      <c r="H240">
        <v>9</v>
      </c>
      <c r="T240" t="s">
        <v>9461</v>
      </c>
    </row>
    <row r="241" spans="2:23" x14ac:dyDescent="0.25">
      <c r="B241">
        <v>15799</v>
      </c>
      <c r="C241" t="s">
        <v>15582</v>
      </c>
      <c r="E241">
        <v>245</v>
      </c>
      <c r="F241">
        <v>133</v>
      </c>
      <c r="G241">
        <v>58</v>
      </c>
      <c r="H241">
        <v>9</v>
      </c>
      <c r="T241" t="s">
        <v>9463</v>
      </c>
    </row>
    <row r="242" spans="2:23" x14ac:dyDescent="0.25">
      <c r="B242">
        <v>15800</v>
      </c>
      <c r="C242" t="s">
        <v>15583</v>
      </c>
      <c r="E242">
        <v>245</v>
      </c>
      <c r="F242">
        <v>133</v>
      </c>
      <c r="G242">
        <v>58</v>
      </c>
      <c r="H242">
        <v>10</v>
      </c>
      <c r="U242" t="s">
        <v>9465</v>
      </c>
    </row>
    <row r="243" spans="2:23" x14ac:dyDescent="0.25">
      <c r="B243">
        <v>15801</v>
      </c>
      <c r="C243" t="s">
        <v>15584</v>
      </c>
      <c r="E243">
        <v>245</v>
      </c>
      <c r="F243">
        <v>133</v>
      </c>
      <c r="G243">
        <v>58</v>
      </c>
      <c r="H243">
        <v>11</v>
      </c>
      <c r="V243" t="s">
        <v>9467</v>
      </c>
    </row>
    <row r="244" spans="2:23" x14ac:dyDescent="0.25">
      <c r="B244">
        <v>15802</v>
      </c>
      <c r="C244" t="s">
        <v>15585</v>
      </c>
      <c r="E244">
        <v>245</v>
      </c>
      <c r="F244">
        <v>133</v>
      </c>
      <c r="G244">
        <v>58</v>
      </c>
      <c r="H244">
        <v>12</v>
      </c>
      <c r="W244" t="s">
        <v>9469</v>
      </c>
    </row>
    <row r="245" spans="2:23" x14ac:dyDescent="0.25">
      <c r="B245">
        <v>15803</v>
      </c>
      <c r="C245" t="s">
        <v>15586</v>
      </c>
      <c r="E245">
        <v>245</v>
      </c>
      <c r="F245">
        <v>133</v>
      </c>
      <c r="G245">
        <v>58</v>
      </c>
      <c r="H245">
        <v>10</v>
      </c>
      <c r="U245" t="s">
        <v>9471</v>
      </c>
    </row>
    <row r="246" spans="2:23" x14ac:dyDescent="0.25">
      <c r="B246">
        <v>15804</v>
      </c>
      <c r="C246" t="s">
        <v>15587</v>
      </c>
      <c r="E246">
        <v>245</v>
      </c>
      <c r="F246">
        <v>133</v>
      </c>
      <c r="G246">
        <v>58</v>
      </c>
      <c r="H246">
        <v>11</v>
      </c>
      <c r="V246" t="s">
        <v>9473</v>
      </c>
    </row>
    <row r="247" spans="2:23" x14ac:dyDescent="0.25">
      <c r="B247">
        <v>15805</v>
      </c>
      <c r="C247" t="s">
        <v>15588</v>
      </c>
      <c r="E247">
        <v>245</v>
      </c>
      <c r="F247">
        <v>133</v>
      </c>
      <c r="G247">
        <v>58</v>
      </c>
      <c r="H247">
        <v>11</v>
      </c>
      <c r="V247" t="s">
        <v>9475</v>
      </c>
    </row>
    <row r="248" spans="2:23" x14ac:dyDescent="0.25">
      <c r="B248">
        <v>15806</v>
      </c>
      <c r="C248" t="s">
        <v>15589</v>
      </c>
      <c r="E248">
        <v>245</v>
      </c>
      <c r="F248">
        <v>133</v>
      </c>
      <c r="G248">
        <v>58</v>
      </c>
      <c r="H248">
        <v>10</v>
      </c>
      <c r="U248" t="s">
        <v>9477</v>
      </c>
    </row>
    <row r="249" spans="2:23" x14ac:dyDescent="0.25">
      <c r="B249">
        <v>15807</v>
      </c>
      <c r="C249" t="s">
        <v>15590</v>
      </c>
      <c r="E249">
        <v>245</v>
      </c>
      <c r="F249">
        <v>133</v>
      </c>
      <c r="G249">
        <v>58</v>
      </c>
      <c r="H249">
        <v>11</v>
      </c>
      <c r="V249" t="s">
        <v>9479</v>
      </c>
    </row>
    <row r="250" spans="2:23" x14ac:dyDescent="0.25">
      <c r="B250">
        <v>15808</v>
      </c>
      <c r="C250" t="s">
        <v>15591</v>
      </c>
      <c r="E250">
        <v>245</v>
      </c>
      <c r="F250">
        <v>133</v>
      </c>
      <c r="G250">
        <v>58</v>
      </c>
      <c r="H250">
        <v>11</v>
      </c>
      <c r="V250" t="s">
        <v>9481</v>
      </c>
    </row>
    <row r="251" spans="2:23" x14ac:dyDescent="0.25">
      <c r="B251">
        <v>15809</v>
      </c>
      <c r="C251" t="s">
        <v>15592</v>
      </c>
      <c r="E251">
        <v>243</v>
      </c>
      <c r="F251">
        <v>115</v>
      </c>
      <c r="G251">
        <v>33</v>
      </c>
      <c r="H251">
        <v>8</v>
      </c>
      <c r="S251" t="s">
        <v>9483</v>
      </c>
    </row>
    <row r="252" spans="2:23" x14ac:dyDescent="0.25">
      <c r="B252">
        <v>15810</v>
      </c>
      <c r="C252" t="s">
        <v>15593</v>
      </c>
      <c r="E252">
        <v>243</v>
      </c>
      <c r="F252">
        <v>115</v>
      </c>
      <c r="G252">
        <v>33</v>
      </c>
      <c r="H252">
        <v>9</v>
      </c>
      <c r="T252" t="s">
        <v>9485</v>
      </c>
    </row>
    <row r="253" spans="2:23" x14ac:dyDescent="0.25">
      <c r="B253">
        <v>15811</v>
      </c>
      <c r="C253" t="s">
        <v>15594</v>
      </c>
      <c r="E253">
        <v>245</v>
      </c>
      <c r="F253">
        <v>133</v>
      </c>
      <c r="G253">
        <v>58</v>
      </c>
      <c r="H253">
        <v>9</v>
      </c>
      <c r="T253" t="s">
        <v>9487</v>
      </c>
    </row>
    <row r="254" spans="2:23" x14ac:dyDescent="0.25">
      <c r="B254">
        <v>15812</v>
      </c>
      <c r="C254" t="s">
        <v>15595</v>
      </c>
      <c r="E254">
        <v>245</v>
      </c>
      <c r="F254">
        <v>133</v>
      </c>
      <c r="G254">
        <v>58</v>
      </c>
      <c r="H254">
        <v>10</v>
      </c>
      <c r="U254" t="s">
        <v>9489</v>
      </c>
    </row>
    <row r="255" spans="2:23" x14ac:dyDescent="0.25">
      <c r="B255">
        <v>15813</v>
      </c>
      <c r="C255" t="s">
        <v>15596</v>
      </c>
      <c r="E255">
        <v>245</v>
      </c>
      <c r="F255">
        <v>133</v>
      </c>
      <c r="G255">
        <v>58</v>
      </c>
      <c r="H255">
        <v>11</v>
      </c>
      <c r="V255" t="s">
        <v>9491</v>
      </c>
    </row>
    <row r="256" spans="2:23" x14ac:dyDescent="0.25">
      <c r="B256">
        <v>15814</v>
      </c>
      <c r="C256" t="s">
        <v>15597</v>
      </c>
      <c r="E256">
        <v>245</v>
      </c>
      <c r="F256">
        <v>133</v>
      </c>
      <c r="G256">
        <v>58</v>
      </c>
      <c r="H256">
        <v>10</v>
      </c>
      <c r="U256" t="s">
        <v>9493</v>
      </c>
    </row>
    <row r="257" spans="2:23" x14ac:dyDescent="0.25">
      <c r="B257">
        <v>15815</v>
      </c>
      <c r="C257" t="s">
        <v>15598</v>
      </c>
      <c r="E257">
        <v>245</v>
      </c>
      <c r="F257">
        <v>133</v>
      </c>
      <c r="G257">
        <v>58</v>
      </c>
      <c r="H257">
        <v>11</v>
      </c>
      <c r="V257" t="s">
        <v>9495</v>
      </c>
    </row>
    <row r="258" spans="2:23" x14ac:dyDescent="0.25">
      <c r="B258">
        <v>15816</v>
      </c>
      <c r="C258" t="s">
        <v>15599</v>
      </c>
      <c r="E258">
        <v>245</v>
      </c>
      <c r="F258">
        <v>133</v>
      </c>
      <c r="G258">
        <v>58</v>
      </c>
      <c r="H258">
        <v>10</v>
      </c>
      <c r="U258" t="s">
        <v>9497</v>
      </c>
    </row>
    <row r="259" spans="2:23" x14ac:dyDescent="0.25">
      <c r="B259">
        <v>15817</v>
      </c>
      <c r="C259" t="s">
        <v>15600</v>
      </c>
      <c r="E259">
        <v>245</v>
      </c>
      <c r="F259">
        <v>133</v>
      </c>
      <c r="G259">
        <v>58</v>
      </c>
      <c r="H259">
        <v>11</v>
      </c>
      <c r="V259" t="s">
        <v>9499</v>
      </c>
    </row>
    <row r="260" spans="2:23" x14ac:dyDescent="0.25">
      <c r="B260">
        <v>15818</v>
      </c>
      <c r="C260" t="s">
        <v>15601</v>
      </c>
      <c r="E260">
        <v>229</v>
      </c>
      <c r="F260">
        <v>135</v>
      </c>
      <c r="G260">
        <v>36</v>
      </c>
      <c r="H260">
        <v>7</v>
      </c>
      <c r="R260" t="s">
        <v>9501</v>
      </c>
    </row>
    <row r="261" spans="2:23" x14ac:dyDescent="0.25">
      <c r="B261">
        <v>111220538</v>
      </c>
      <c r="C261" t="s">
        <v>15602</v>
      </c>
      <c r="E261">
        <v>229</v>
      </c>
      <c r="F261">
        <v>135</v>
      </c>
      <c r="G261">
        <v>36</v>
      </c>
      <c r="H261">
        <v>9</v>
      </c>
      <c r="S261" t="s">
        <v>8661</v>
      </c>
    </row>
    <row r="262" spans="2:23" x14ac:dyDescent="0.25">
      <c r="B262">
        <v>111220540</v>
      </c>
      <c r="C262" t="s">
        <v>15603</v>
      </c>
      <c r="E262">
        <v>234</v>
      </c>
      <c r="F262">
        <v>158</v>
      </c>
      <c r="G262">
        <v>78</v>
      </c>
      <c r="H262">
        <v>9</v>
      </c>
      <c r="S262" t="s">
        <v>8663</v>
      </c>
    </row>
    <row r="263" spans="2:23" x14ac:dyDescent="0.25">
      <c r="B263">
        <v>111220542</v>
      </c>
      <c r="C263" t="s">
        <v>15604</v>
      </c>
      <c r="E263">
        <v>234</v>
      </c>
      <c r="F263">
        <v>158</v>
      </c>
      <c r="G263">
        <v>78</v>
      </c>
      <c r="H263">
        <v>10</v>
      </c>
      <c r="T263" t="s">
        <v>8665</v>
      </c>
    </row>
    <row r="264" spans="2:23" x14ac:dyDescent="0.25">
      <c r="B264">
        <v>111220544</v>
      </c>
      <c r="C264" t="s">
        <v>15605</v>
      </c>
      <c r="E264">
        <v>234</v>
      </c>
      <c r="F264">
        <v>158</v>
      </c>
      <c r="G264">
        <v>78</v>
      </c>
      <c r="H264">
        <v>10</v>
      </c>
      <c r="T264" t="s">
        <v>8667</v>
      </c>
    </row>
    <row r="265" spans="2:23" x14ac:dyDescent="0.25">
      <c r="B265">
        <v>111220546</v>
      </c>
      <c r="C265" t="s">
        <v>15606</v>
      </c>
      <c r="E265">
        <v>234</v>
      </c>
      <c r="F265">
        <v>158</v>
      </c>
      <c r="G265">
        <v>78</v>
      </c>
      <c r="H265">
        <v>10</v>
      </c>
      <c r="T265" t="s">
        <v>8669</v>
      </c>
    </row>
    <row r="266" spans="2:23" x14ac:dyDescent="0.25">
      <c r="B266">
        <v>15819</v>
      </c>
      <c r="C266" t="s">
        <v>15607</v>
      </c>
      <c r="E266">
        <v>229</v>
      </c>
      <c r="F266">
        <v>135</v>
      </c>
      <c r="G266">
        <v>36</v>
      </c>
      <c r="H266">
        <v>8</v>
      </c>
      <c r="S266" t="s">
        <v>9503</v>
      </c>
    </row>
    <row r="267" spans="2:23" x14ac:dyDescent="0.25">
      <c r="B267">
        <v>15820</v>
      </c>
      <c r="C267" t="s">
        <v>15608</v>
      </c>
      <c r="E267">
        <v>229</v>
      </c>
      <c r="F267">
        <v>135</v>
      </c>
      <c r="G267">
        <v>36</v>
      </c>
      <c r="H267">
        <v>9</v>
      </c>
      <c r="T267" t="s">
        <v>9505</v>
      </c>
    </row>
    <row r="268" spans="2:23" x14ac:dyDescent="0.25">
      <c r="B268">
        <v>15821</v>
      </c>
      <c r="C268" t="s">
        <v>15609</v>
      </c>
      <c r="E268">
        <v>234</v>
      </c>
      <c r="F268">
        <v>158</v>
      </c>
      <c r="G268">
        <v>78</v>
      </c>
      <c r="H268">
        <v>9</v>
      </c>
      <c r="T268" t="s">
        <v>9507</v>
      </c>
    </row>
    <row r="269" spans="2:23" x14ac:dyDescent="0.25">
      <c r="B269">
        <v>15822</v>
      </c>
      <c r="C269" t="s">
        <v>15610</v>
      </c>
      <c r="E269">
        <v>234</v>
      </c>
      <c r="F269">
        <v>158</v>
      </c>
      <c r="G269">
        <v>78</v>
      </c>
      <c r="H269">
        <v>10</v>
      </c>
      <c r="U269" t="s">
        <v>9509</v>
      </c>
    </row>
    <row r="270" spans="2:23" x14ac:dyDescent="0.25">
      <c r="B270">
        <v>15823</v>
      </c>
      <c r="C270" t="s">
        <v>15611</v>
      </c>
      <c r="E270">
        <v>234</v>
      </c>
      <c r="F270">
        <v>158</v>
      </c>
      <c r="G270">
        <v>78</v>
      </c>
      <c r="H270">
        <v>11</v>
      </c>
      <c r="V270" t="s">
        <v>9511</v>
      </c>
    </row>
    <row r="271" spans="2:23" x14ac:dyDescent="0.25">
      <c r="B271">
        <v>15824</v>
      </c>
      <c r="C271" t="s">
        <v>15612</v>
      </c>
      <c r="E271">
        <v>234</v>
      </c>
      <c r="F271">
        <v>158</v>
      </c>
      <c r="G271">
        <v>78</v>
      </c>
      <c r="H271">
        <v>12</v>
      </c>
      <c r="W271" t="s">
        <v>9513</v>
      </c>
    </row>
    <row r="272" spans="2:23" x14ac:dyDescent="0.25">
      <c r="B272">
        <v>15825</v>
      </c>
      <c r="C272" t="s">
        <v>15613</v>
      </c>
      <c r="E272">
        <v>234</v>
      </c>
      <c r="F272">
        <v>158</v>
      </c>
      <c r="G272">
        <v>78</v>
      </c>
      <c r="H272">
        <v>12</v>
      </c>
      <c r="W272" t="s">
        <v>9515</v>
      </c>
    </row>
    <row r="273" spans="2:23" x14ac:dyDescent="0.25">
      <c r="B273">
        <v>15826</v>
      </c>
      <c r="C273" t="s">
        <v>15614</v>
      </c>
      <c r="E273">
        <v>234</v>
      </c>
      <c r="F273">
        <v>158</v>
      </c>
      <c r="G273">
        <v>78</v>
      </c>
      <c r="H273">
        <v>12</v>
      </c>
      <c r="W273" t="s">
        <v>9517</v>
      </c>
    </row>
    <row r="274" spans="2:23" x14ac:dyDescent="0.25">
      <c r="B274">
        <v>15827</v>
      </c>
      <c r="C274" t="s">
        <v>15615</v>
      </c>
      <c r="E274">
        <v>234</v>
      </c>
      <c r="F274">
        <v>158</v>
      </c>
      <c r="G274">
        <v>78</v>
      </c>
      <c r="H274">
        <v>11</v>
      </c>
      <c r="V274" t="s">
        <v>9519</v>
      </c>
    </row>
    <row r="275" spans="2:23" x14ac:dyDescent="0.25">
      <c r="B275">
        <v>15828</v>
      </c>
      <c r="C275" t="s">
        <v>15616</v>
      </c>
      <c r="E275">
        <v>234</v>
      </c>
      <c r="F275">
        <v>158</v>
      </c>
      <c r="G275">
        <v>78</v>
      </c>
      <c r="H275">
        <v>10</v>
      </c>
      <c r="U275" t="s">
        <v>9521</v>
      </c>
    </row>
    <row r="276" spans="2:23" x14ac:dyDescent="0.25">
      <c r="B276">
        <v>15829</v>
      </c>
      <c r="C276" t="s">
        <v>15617</v>
      </c>
      <c r="E276">
        <v>234</v>
      </c>
      <c r="F276">
        <v>158</v>
      </c>
      <c r="G276">
        <v>78</v>
      </c>
      <c r="H276">
        <v>11</v>
      </c>
      <c r="V276" t="s">
        <v>9523</v>
      </c>
    </row>
    <row r="277" spans="2:23" x14ac:dyDescent="0.25">
      <c r="B277">
        <v>15830</v>
      </c>
      <c r="C277" t="s">
        <v>15618</v>
      </c>
      <c r="E277">
        <v>234</v>
      </c>
      <c r="F277">
        <v>158</v>
      </c>
      <c r="G277">
        <v>78</v>
      </c>
      <c r="H277">
        <v>11</v>
      </c>
      <c r="V277" t="s">
        <v>2913</v>
      </c>
    </row>
    <row r="278" spans="2:23" x14ac:dyDescent="0.25">
      <c r="B278">
        <v>15831</v>
      </c>
      <c r="C278" t="s">
        <v>15619</v>
      </c>
      <c r="E278">
        <v>234</v>
      </c>
      <c r="F278">
        <v>158</v>
      </c>
      <c r="G278">
        <v>78</v>
      </c>
      <c r="H278">
        <v>10</v>
      </c>
      <c r="U278" t="s">
        <v>9525</v>
      </c>
    </row>
    <row r="279" spans="2:23" x14ac:dyDescent="0.25">
      <c r="B279">
        <v>15832</v>
      </c>
      <c r="C279" t="s">
        <v>15620</v>
      </c>
      <c r="E279">
        <v>234</v>
      </c>
      <c r="F279">
        <v>158</v>
      </c>
      <c r="G279">
        <v>78</v>
      </c>
      <c r="H279">
        <v>11</v>
      </c>
      <c r="V279" t="s">
        <v>9527</v>
      </c>
    </row>
    <row r="280" spans="2:23" x14ac:dyDescent="0.25">
      <c r="B280">
        <v>15833</v>
      </c>
      <c r="C280" t="s">
        <v>15621</v>
      </c>
      <c r="E280">
        <v>234</v>
      </c>
      <c r="F280">
        <v>158</v>
      </c>
      <c r="G280">
        <v>78</v>
      </c>
      <c r="H280">
        <v>11</v>
      </c>
      <c r="V280" t="s">
        <v>9529</v>
      </c>
    </row>
    <row r="281" spans="2:23" x14ac:dyDescent="0.25">
      <c r="B281">
        <v>15834</v>
      </c>
      <c r="C281" t="s">
        <v>15622</v>
      </c>
      <c r="E281">
        <v>229</v>
      </c>
      <c r="F281">
        <v>135</v>
      </c>
      <c r="G281">
        <v>36</v>
      </c>
      <c r="H281">
        <v>8</v>
      </c>
      <c r="S281" t="s">
        <v>9531</v>
      </c>
    </row>
    <row r="282" spans="2:23" x14ac:dyDescent="0.25">
      <c r="B282">
        <v>15835</v>
      </c>
      <c r="C282" t="s">
        <v>15623</v>
      </c>
      <c r="E282">
        <v>229</v>
      </c>
      <c r="F282">
        <v>135</v>
      </c>
      <c r="G282">
        <v>36</v>
      </c>
      <c r="H282">
        <v>9</v>
      </c>
      <c r="T282" t="s">
        <v>9533</v>
      </c>
    </row>
    <row r="283" spans="2:23" x14ac:dyDescent="0.25">
      <c r="B283">
        <v>15836</v>
      </c>
      <c r="C283" t="s">
        <v>15624</v>
      </c>
      <c r="E283">
        <v>234</v>
      </c>
      <c r="F283">
        <v>158</v>
      </c>
      <c r="G283">
        <v>78</v>
      </c>
      <c r="H283">
        <v>9</v>
      </c>
      <c r="T283" t="s">
        <v>9535</v>
      </c>
    </row>
    <row r="284" spans="2:23" x14ac:dyDescent="0.25">
      <c r="B284">
        <v>15837</v>
      </c>
      <c r="C284" t="s">
        <v>15625</v>
      </c>
      <c r="E284">
        <v>234</v>
      </c>
      <c r="F284">
        <v>158</v>
      </c>
      <c r="G284">
        <v>78</v>
      </c>
      <c r="H284">
        <v>10</v>
      </c>
      <c r="U284" t="s">
        <v>9537</v>
      </c>
    </row>
    <row r="285" spans="2:23" x14ac:dyDescent="0.25">
      <c r="B285">
        <v>15838</v>
      </c>
      <c r="C285" t="s">
        <v>15626</v>
      </c>
      <c r="E285">
        <v>234</v>
      </c>
      <c r="F285">
        <v>158</v>
      </c>
      <c r="G285">
        <v>78</v>
      </c>
      <c r="H285">
        <v>11</v>
      </c>
      <c r="V285" t="s">
        <v>9539</v>
      </c>
    </row>
    <row r="286" spans="2:23" x14ac:dyDescent="0.25">
      <c r="B286">
        <v>15839</v>
      </c>
      <c r="C286" t="s">
        <v>15627</v>
      </c>
      <c r="E286">
        <v>234</v>
      </c>
      <c r="F286">
        <v>158</v>
      </c>
      <c r="G286">
        <v>78</v>
      </c>
      <c r="H286">
        <v>12</v>
      </c>
      <c r="W286" t="s">
        <v>9541</v>
      </c>
    </row>
    <row r="287" spans="2:23" x14ac:dyDescent="0.25">
      <c r="B287">
        <v>15840</v>
      </c>
      <c r="C287" t="s">
        <v>15628</v>
      </c>
      <c r="E287">
        <v>234</v>
      </c>
      <c r="F287">
        <v>158</v>
      </c>
      <c r="G287">
        <v>78</v>
      </c>
      <c r="H287">
        <v>12</v>
      </c>
      <c r="W287" t="s">
        <v>9543</v>
      </c>
    </row>
    <row r="288" spans="2:23" x14ac:dyDescent="0.25">
      <c r="B288">
        <v>15841</v>
      </c>
      <c r="C288" t="s">
        <v>15629</v>
      </c>
      <c r="E288">
        <v>234</v>
      </c>
      <c r="F288">
        <v>158</v>
      </c>
      <c r="G288">
        <v>78</v>
      </c>
      <c r="H288">
        <v>12</v>
      </c>
      <c r="W288" t="s">
        <v>9545</v>
      </c>
    </row>
    <row r="289" spans="2:23" x14ac:dyDescent="0.25">
      <c r="B289">
        <v>15842</v>
      </c>
      <c r="C289" t="s">
        <v>15630</v>
      </c>
      <c r="E289">
        <v>234</v>
      </c>
      <c r="F289">
        <v>158</v>
      </c>
      <c r="G289">
        <v>78</v>
      </c>
      <c r="H289">
        <v>10</v>
      </c>
      <c r="U289" t="s">
        <v>9547</v>
      </c>
    </row>
    <row r="290" spans="2:23" x14ac:dyDescent="0.25">
      <c r="B290">
        <v>15843</v>
      </c>
      <c r="C290" t="s">
        <v>15631</v>
      </c>
      <c r="E290">
        <v>234</v>
      </c>
      <c r="F290">
        <v>158</v>
      </c>
      <c r="G290">
        <v>78</v>
      </c>
      <c r="H290">
        <v>11</v>
      </c>
      <c r="V290" t="s">
        <v>9549</v>
      </c>
    </row>
    <row r="291" spans="2:23" x14ac:dyDescent="0.25">
      <c r="B291">
        <v>15844</v>
      </c>
      <c r="C291" t="s">
        <v>15632</v>
      </c>
      <c r="E291">
        <v>234</v>
      </c>
      <c r="F291">
        <v>158</v>
      </c>
      <c r="G291">
        <v>78</v>
      </c>
      <c r="H291">
        <v>11</v>
      </c>
      <c r="V291" t="s">
        <v>15060</v>
      </c>
    </row>
    <row r="292" spans="2:23" x14ac:dyDescent="0.25">
      <c r="B292">
        <v>15845</v>
      </c>
      <c r="C292" t="s">
        <v>15633</v>
      </c>
      <c r="E292">
        <v>234</v>
      </c>
      <c r="F292">
        <v>158</v>
      </c>
      <c r="G292">
        <v>78</v>
      </c>
      <c r="H292">
        <v>10</v>
      </c>
      <c r="U292" t="s">
        <v>9551</v>
      </c>
    </row>
    <row r="293" spans="2:23" x14ac:dyDescent="0.25">
      <c r="B293">
        <v>15846</v>
      </c>
      <c r="C293" t="s">
        <v>15634</v>
      </c>
      <c r="E293">
        <v>234</v>
      </c>
      <c r="F293">
        <v>158</v>
      </c>
      <c r="G293">
        <v>78</v>
      </c>
      <c r="H293">
        <v>11</v>
      </c>
      <c r="V293" t="s">
        <v>9553</v>
      </c>
    </row>
    <row r="294" spans="2:23" x14ac:dyDescent="0.25">
      <c r="B294">
        <v>15847</v>
      </c>
      <c r="C294" t="s">
        <v>15635</v>
      </c>
      <c r="E294">
        <v>234</v>
      </c>
      <c r="F294">
        <v>158</v>
      </c>
      <c r="G294">
        <v>78</v>
      </c>
      <c r="H294">
        <v>12</v>
      </c>
      <c r="W294" t="s">
        <v>9555</v>
      </c>
    </row>
    <row r="295" spans="2:23" x14ac:dyDescent="0.25">
      <c r="B295">
        <v>15848</v>
      </c>
      <c r="C295" t="s">
        <v>15636</v>
      </c>
      <c r="E295">
        <v>234</v>
      </c>
      <c r="F295">
        <v>158</v>
      </c>
      <c r="G295">
        <v>78</v>
      </c>
      <c r="H295">
        <v>12</v>
      </c>
      <c r="W295" t="s">
        <v>9557</v>
      </c>
    </row>
    <row r="296" spans="2:23" x14ac:dyDescent="0.25">
      <c r="B296">
        <v>15849</v>
      </c>
      <c r="C296" t="s">
        <v>15637</v>
      </c>
      <c r="E296">
        <v>234</v>
      </c>
      <c r="F296">
        <v>158</v>
      </c>
      <c r="G296">
        <v>78</v>
      </c>
      <c r="H296">
        <v>12</v>
      </c>
      <c r="W296" t="s">
        <v>9559</v>
      </c>
    </row>
    <row r="297" spans="2:23" x14ac:dyDescent="0.25">
      <c r="B297">
        <v>15850</v>
      </c>
      <c r="C297" t="s">
        <v>15638</v>
      </c>
      <c r="E297">
        <v>234</v>
      </c>
      <c r="F297">
        <v>158</v>
      </c>
      <c r="G297">
        <v>78</v>
      </c>
      <c r="H297">
        <v>11</v>
      </c>
      <c r="V297" t="s">
        <v>9561</v>
      </c>
    </row>
    <row r="298" spans="2:23" x14ac:dyDescent="0.25">
      <c r="B298">
        <v>15851</v>
      </c>
      <c r="C298" t="s">
        <v>15639</v>
      </c>
      <c r="E298">
        <v>229</v>
      </c>
      <c r="F298">
        <v>135</v>
      </c>
      <c r="G298">
        <v>36</v>
      </c>
      <c r="H298">
        <v>8</v>
      </c>
      <c r="S298" t="s">
        <v>1196</v>
      </c>
    </row>
    <row r="299" spans="2:23" x14ac:dyDescent="0.25">
      <c r="B299">
        <v>15852</v>
      </c>
      <c r="C299" t="s">
        <v>15640</v>
      </c>
      <c r="E299">
        <v>229</v>
      </c>
      <c r="F299">
        <v>135</v>
      </c>
      <c r="G299">
        <v>36</v>
      </c>
      <c r="H299">
        <v>9</v>
      </c>
      <c r="T299" t="s">
        <v>9563</v>
      </c>
    </row>
    <row r="300" spans="2:23" x14ac:dyDescent="0.25">
      <c r="B300">
        <v>15853</v>
      </c>
      <c r="C300" t="s">
        <v>15641</v>
      </c>
      <c r="E300">
        <v>234</v>
      </c>
      <c r="F300">
        <v>158</v>
      </c>
      <c r="G300">
        <v>78</v>
      </c>
      <c r="H300">
        <v>9</v>
      </c>
      <c r="T300" t="s">
        <v>9565</v>
      </c>
    </row>
    <row r="301" spans="2:23" x14ac:dyDescent="0.25">
      <c r="B301">
        <v>15854</v>
      </c>
      <c r="C301" t="s">
        <v>15642</v>
      </c>
      <c r="E301">
        <v>234</v>
      </c>
      <c r="F301">
        <v>158</v>
      </c>
      <c r="G301">
        <v>78</v>
      </c>
      <c r="H301">
        <v>10</v>
      </c>
      <c r="U301" t="s">
        <v>9567</v>
      </c>
    </row>
    <row r="302" spans="2:23" x14ac:dyDescent="0.25">
      <c r="B302">
        <v>15855</v>
      </c>
      <c r="C302" t="s">
        <v>15643</v>
      </c>
      <c r="E302">
        <v>234</v>
      </c>
      <c r="F302">
        <v>158</v>
      </c>
      <c r="G302">
        <v>78</v>
      </c>
      <c r="H302">
        <v>11</v>
      </c>
      <c r="V302" t="s">
        <v>902</v>
      </c>
    </row>
    <row r="303" spans="2:23" x14ac:dyDescent="0.25">
      <c r="B303">
        <v>15856</v>
      </c>
      <c r="C303" t="s">
        <v>15644</v>
      </c>
      <c r="E303">
        <v>234</v>
      </c>
      <c r="F303">
        <v>158</v>
      </c>
      <c r="G303">
        <v>78</v>
      </c>
      <c r="H303">
        <v>10</v>
      </c>
      <c r="U303" t="s">
        <v>9569</v>
      </c>
    </row>
    <row r="304" spans="2:23" x14ac:dyDescent="0.25">
      <c r="B304">
        <v>15857</v>
      </c>
      <c r="C304" t="s">
        <v>15645</v>
      </c>
      <c r="E304">
        <v>234</v>
      </c>
      <c r="F304">
        <v>158</v>
      </c>
      <c r="G304">
        <v>78</v>
      </c>
      <c r="H304">
        <v>11</v>
      </c>
      <c r="V304" t="s">
        <v>4204</v>
      </c>
    </row>
    <row r="305" spans="2:23" x14ac:dyDescent="0.25">
      <c r="B305">
        <v>15858</v>
      </c>
      <c r="C305" t="s">
        <v>15646</v>
      </c>
      <c r="E305">
        <v>234</v>
      </c>
      <c r="F305">
        <v>158</v>
      </c>
      <c r="G305">
        <v>78</v>
      </c>
      <c r="H305">
        <v>11</v>
      </c>
      <c r="V305" t="s">
        <v>1198</v>
      </c>
    </row>
    <row r="306" spans="2:23" x14ac:dyDescent="0.25">
      <c r="B306">
        <v>15859</v>
      </c>
      <c r="C306" t="s">
        <v>15647</v>
      </c>
      <c r="E306">
        <v>234</v>
      </c>
      <c r="F306">
        <v>158</v>
      </c>
      <c r="G306">
        <v>78</v>
      </c>
      <c r="H306">
        <v>11</v>
      </c>
      <c r="V306" t="s">
        <v>9571</v>
      </c>
    </row>
    <row r="307" spans="2:23" x14ac:dyDescent="0.25">
      <c r="B307">
        <v>15860</v>
      </c>
      <c r="C307" t="s">
        <v>15648</v>
      </c>
      <c r="E307">
        <v>234</v>
      </c>
      <c r="F307">
        <v>158</v>
      </c>
      <c r="G307">
        <v>78</v>
      </c>
      <c r="H307">
        <v>11</v>
      </c>
      <c r="V307" t="s">
        <v>9573</v>
      </c>
    </row>
    <row r="308" spans="2:23" x14ac:dyDescent="0.25">
      <c r="B308">
        <v>15861</v>
      </c>
      <c r="C308" t="s">
        <v>15649</v>
      </c>
      <c r="E308">
        <v>234</v>
      </c>
      <c r="F308">
        <v>158</v>
      </c>
      <c r="G308">
        <v>78</v>
      </c>
      <c r="H308">
        <v>10</v>
      </c>
      <c r="U308" t="s">
        <v>9575</v>
      </c>
    </row>
    <row r="309" spans="2:23" x14ac:dyDescent="0.25">
      <c r="B309">
        <v>15862</v>
      </c>
      <c r="C309" t="s">
        <v>15650</v>
      </c>
      <c r="E309">
        <v>234</v>
      </c>
      <c r="F309">
        <v>158</v>
      </c>
      <c r="G309">
        <v>78</v>
      </c>
      <c r="H309">
        <v>11</v>
      </c>
      <c r="V309" t="s">
        <v>9577</v>
      </c>
    </row>
    <row r="310" spans="2:23" x14ac:dyDescent="0.25">
      <c r="B310">
        <v>15863</v>
      </c>
      <c r="C310" t="s">
        <v>15651</v>
      </c>
      <c r="E310">
        <v>234</v>
      </c>
      <c r="F310">
        <v>158</v>
      </c>
      <c r="G310">
        <v>78</v>
      </c>
      <c r="H310">
        <v>12</v>
      </c>
      <c r="W310" t="s">
        <v>9579</v>
      </c>
    </row>
    <row r="311" spans="2:23" x14ac:dyDescent="0.25">
      <c r="B311">
        <v>15864</v>
      </c>
      <c r="C311" t="s">
        <v>15652</v>
      </c>
      <c r="E311">
        <v>234</v>
      </c>
      <c r="F311">
        <v>158</v>
      </c>
      <c r="G311">
        <v>78</v>
      </c>
      <c r="H311">
        <v>12</v>
      </c>
      <c r="W311" t="s">
        <v>9581</v>
      </c>
    </row>
    <row r="312" spans="2:23" x14ac:dyDescent="0.25">
      <c r="B312">
        <v>15865</v>
      </c>
      <c r="C312" t="s">
        <v>15653</v>
      </c>
      <c r="E312">
        <v>234</v>
      </c>
      <c r="F312">
        <v>158</v>
      </c>
      <c r="G312">
        <v>78</v>
      </c>
      <c r="H312">
        <v>12</v>
      </c>
      <c r="W312" t="s">
        <v>9583</v>
      </c>
    </row>
    <row r="313" spans="2:23" x14ac:dyDescent="0.25">
      <c r="B313">
        <v>15866</v>
      </c>
      <c r="C313" t="s">
        <v>15654</v>
      </c>
      <c r="E313">
        <v>234</v>
      </c>
      <c r="F313">
        <v>158</v>
      </c>
      <c r="G313">
        <v>78</v>
      </c>
      <c r="H313">
        <v>11</v>
      </c>
      <c r="V313" t="s">
        <v>9585</v>
      </c>
    </row>
    <row r="314" spans="2:23" x14ac:dyDescent="0.25">
      <c r="B314">
        <v>15867</v>
      </c>
      <c r="C314" t="s">
        <v>15655</v>
      </c>
      <c r="E314">
        <v>230</v>
      </c>
      <c r="F314">
        <v>167</v>
      </c>
      <c r="G314">
        <v>35</v>
      </c>
      <c r="H314">
        <v>7</v>
      </c>
      <c r="R314" t="s">
        <v>9587</v>
      </c>
    </row>
    <row r="315" spans="2:23" x14ac:dyDescent="0.25">
      <c r="B315">
        <v>15868</v>
      </c>
      <c r="C315" t="s">
        <v>15656</v>
      </c>
      <c r="E315">
        <v>230</v>
      </c>
      <c r="F315">
        <v>167</v>
      </c>
      <c r="G315">
        <v>35</v>
      </c>
      <c r="H315">
        <v>8</v>
      </c>
      <c r="S315" t="s">
        <v>9589</v>
      </c>
    </row>
    <row r="316" spans="2:23" x14ac:dyDescent="0.25">
      <c r="B316">
        <v>15869</v>
      </c>
      <c r="C316" t="s">
        <v>15657</v>
      </c>
      <c r="E316">
        <v>230</v>
      </c>
      <c r="F316">
        <v>167</v>
      </c>
      <c r="G316">
        <v>35</v>
      </c>
      <c r="H316">
        <v>9</v>
      </c>
      <c r="T316" t="s">
        <v>9591</v>
      </c>
    </row>
    <row r="317" spans="2:23" x14ac:dyDescent="0.25">
      <c r="B317">
        <v>15870</v>
      </c>
      <c r="C317" t="s">
        <v>15658</v>
      </c>
      <c r="E317">
        <v>234</v>
      </c>
      <c r="F317">
        <v>180</v>
      </c>
      <c r="G317">
        <v>66</v>
      </c>
      <c r="H317">
        <v>9</v>
      </c>
      <c r="T317" t="s">
        <v>9593</v>
      </c>
    </row>
    <row r="318" spans="2:23" x14ac:dyDescent="0.25">
      <c r="B318">
        <v>15871</v>
      </c>
      <c r="C318" t="s">
        <v>15659</v>
      </c>
      <c r="E318">
        <v>234</v>
      </c>
      <c r="F318">
        <v>180</v>
      </c>
      <c r="G318">
        <v>66</v>
      </c>
      <c r="H318">
        <v>10</v>
      </c>
      <c r="U318" t="s">
        <v>9595</v>
      </c>
    </row>
    <row r="319" spans="2:23" x14ac:dyDescent="0.25">
      <c r="B319">
        <v>15872</v>
      </c>
      <c r="C319" t="s">
        <v>15660</v>
      </c>
      <c r="E319">
        <v>234</v>
      </c>
      <c r="F319">
        <v>180</v>
      </c>
      <c r="G319">
        <v>66</v>
      </c>
      <c r="H319">
        <v>11</v>
      </c>
      <c r="V319" t="s">
        <v>9597</v>
      </c>
    </row>
    <row r="320" spans="2:23" x14ac:dyDescent="0.25">
      <c r="B320">
        <v>15873</v>
      </c>
      <c r="C320" t="s">
        <v>15661</v>
      </c>
      <c r="E320">
        <v>234</v>
      </c>
      <c r="F320">
        <v>180</v>
      </c>
      <c r="G320">
        <v>66</v>
      </c>
      <c r="H320">
        <v>10</v>
      </c>
      <c r="U320" t="s">
        <v>9599</v>
      </c>
    </row>
    <row r="321" spans="2:22" x14ac:dyDescent="0.25">
      <c r="B321">
        <v>15874</v>
      </c>
      <c r="C321" t="s">
        <v>15662</v>
      </c>
      <c r="E321">
        <v>234</v>
      </c>
      <c r="F321">
        <v>180</v>
      </c>
      <c r="G321">
        <v>66</v>
      </c>
      <c r="H321">
        <v>11</v>
      </c>
      <c r="V321" t="s">
        <v>9601</v>
      </c>
    </row>
    <row r="322" spans="2:22" x14ac:dyDescent="0.25">
      <c r="B322">
        <v>15875</v>
      </c>
      <c r="C322" t="s">
        <v>15663</v>
      </c>
      <c r="E322">
        <v>234</v>
      </c>
      <c r="F322">
        <v>180</v>
      </c>
      <c r="G322">
        <v>66</v>
      </c>
      <c r="H322">
        <v>11</v>
      </c>
      <c r="V322" t="s">
        <v>9603</v>
      </c>
    </row>
    <row r="323" spans="2:22" x14ac:dyDescent="0.25">
      <c r="B323">
        <v>15876</v>
      </c>
      <c r="C323" t="s">
        <v>15664</v>
      </c>
      <c r="E323">
        <v>234</v>
      </c>
      <c r="F323">
        <v>180</v>
      </c>
      <c r="G323">
        <v>66</v>
      </c>
      <c r="H323">
        <v>11</v>
      </c>
      <c r="V323" t="s">
        <v>2448</v>
      </c>
    </row>
    <row r="324" spans="2:22" x14ac:dyDescent="0.25">
      <c r="B324">
        <v>15877</v>
      </c>
      <c r="C324" t="s">
        <v>15665</v>
      </c>
      <c r="E324">
        <v>234</v>
      </c>
      <c r="F324">
        <v>180</v>
      </c>
      <c r="G324">
        <v>66</v>
      </c>
      <c r="H324">
        <v>10</v>
      </c>
      <c r="U324" t="s">
        <v>9605</v>
      </c>
    </row>
    <row r="325" spans="2:22" x14ac:dyDescent="0.25">
      <c r="B325">
        <v>15878</v>
      </c>
      <c r="C325" t="s">
        <v>15666</v>
      </c>
      <c r="E325">
        <v>230</v>
      </c>
      <c r="F325">
        <v>167</v>
      </c>
      <c r="G325">
        <v>35</v>
      </c>
      <c r="H325">
        <v>8</v>
      </c>
      <c r="S325" t="s">
        <v>9607</v>
      </c>
    </row>
    <row r="326" spans="2:22" x14ac:dyDescent="0.25">
      <c r="B326">
        <v>15879</v>
      </c>
      <c r="C326" t="s">
        <v>15667</v>
      </c>
      <c r="E326">
        <v>230</v>
      </c>
      <c r="F326">
        <v>167</v>
      </c>
      <c r="G326">
        <v>35</v>
      </c>
      <c r="H326">
        <v>9</v>
      </c>
      <c r="T326" t="s">
        <v>9609</v>
      </c>
    </row>
    <row r="327" spans="2:22" x14ac:dyDescent="0.25">
      <c r="B327">
        <v>15880</v>
      </c>
      <c r="C327" t="s">
        <v>15668</v>
      </c>
      <c r="E327">
        <v>234</v>
      </c>
      <c r="F327">
        <v>180</v>
      </c>
      <c r="G327">
        <v>66</v>
      </c>
      <c r="H327">
        <v>9</v>
      </c>
      <c r="T327" t="s">
        <v>9611</v>
      </c>
    </row>
    <row r="328" spans="2:22" x14ac:dyDescent="0.25">
      <c r="B328">
        <v>15881</v>
      </c>
      <c r="C328" t="s">
        <v>15669</v>
      </c>
      <c r="E328">
        <v>234</v>
      </c>
      <c r="F328">
        <v>180</v>
      </c>
      <c r="G328">
        <v>66</v>
      </c>
      <c r="H328">
        <v>10</v>
      </c>
      <c r="U328" t="s">
        <v>9613</v>
      </c>
    </row>
    <row r="329" spans="2:22" x14ac:dyDescent="0.25">
      <c r="B329">
        <v>15882</v>
      </c>
      <c r="C329" t="s">
        <v>15670</v>
      </c>
      <c r="E329">
        <v>234</v>
      </c>
      <c r="F329">
        <v>180</v>
      </c>
      <c r="G329">
        <v>66</v>
      </c>
      <c r="H329">
        <v>11</v>
      </c>
      <c r="V329" t="s">
        <v>9615</v>
      </c>
    </row>
    <row r="330" spans="2:22" x14ac:dyDescent="0.25">
      <c r="B330">
        <v>15883</v>
      </c>
      <c r="C330" t="s">
        <v>15671</v>
      </c>
      <c r="E330">
        <v>234</v>
      </c>
      <c r="F330">
        <v>180</v>
      </c>
      <c r="G330">
        <v>66</v>
      </c>
      <c r="H330">
        <v>10</v>
      </c>
      <c r="U330" t="s">
        <v>9617</v>
      </c>
    </row>
    <row r="331" spans="2:22" x14ac:dyDescent="0.25">
      <c r="B331">
        <v>15884</v>
      </c>
      <c r="C331" t="s">
        <v>15672</v>
      </c>
      <c r="E331">
        <v>234</v>
      </c>
      <c r="F331">
        <v>180</v>
      </c>
      <c r="G331">
        <v>66</v>
      </c>
      <c r="H331">
        <v>11</v>
      </c>
      <c r="V331" t="s">
        <v>9619</v>
      </c>
    </row>
    <row r="332" spans="2:22" x14ac:dyDescent="0.25">
      <c r="B332">
        <v>15885</v>
      </c>
      <c r="C332" t="s">
        <v>15673</v>
      </c>
      <c r="E332">
        <v>234</v>
      </c>
      <c r="F332">
        <v>180</v>
      </c>
      <c r="G332">
        <v>66</v>
      </c>
      <c r="H332">
        <v>10</v>
      </c>
      <c r="U332" t="s">
        <v>9621</v>
      </c>
    </row>
    <row r="333" spans="2:22" x14ac:dyDescent="0.25">
      <c r="B333">
        <v>15886</v>
      </c>
      <c r="C333" t="s">
        <v>15674</v>
      </c>
      <c r="E333">
        <v>230</v>
      </c>
      <c r="F333">
        <v>167</v>
      </c>
      <c r="G333">
        <v>35</v>
      </c>
      <c r="H333">
        <v>8</v>
      </c>
      <c r="S333" t="s">
        <v>9623</v>
      </c>
    </row>
    <row r="334" spans="2:22" x14ac:dyDescent="0.25">
      <c r="B334">
        <v>15887</v>
      </c>
      <c r="C334" t="s">
        <v>15675</v>
      </c>
      <c r="E334">
        <v>230</v>
      </c>
      <c r="F334">
        <v>167</v>
      </c>
      <c r="G334">
        <v>35</v>
      </c>
      <c r="H334">
        <v>9</v>
      </c>
      <c r="T334" t="s">
        <v>9625</v>
      </c>
    </row>
    <row r="335" spans="2:22" x14ac:dyDescent="0.25">
      <c r="B335">
        <v>15888</v>
      </c>
      <c r="C335" t="s">
        <v>15676</v>
      </c>
      <c r="E335">
        <v>234</v>
      </c>
      <c r="F335">
        <v>180</v>
      </c>
      <c r="G335">
        <v>66</v>
      </c>
      <c r="H335">
        <v>9</v>
      </c>
      <c r="T335" t="s">
        <v>9627</v>
      </c>
    </row>
    <row r="336" spans="2:22" x14ac:dyDescent="0.25">
      <c r="B336">
        <v>15889</v>
      </c>
      <c r="C336" t="s">
        <v>15677</v>
      </c>
      <c r="E336">
        <v>234</v>
      </c>
      <c r="F336">
        <v>180</v>
      </c>
      <c r="G336">
        <v>66</v>
      </c>
      <c r="H336">
        <v>10</v>
      </c>
      <c r="U336" t="s">
        <v>9629</v>
      </c>
    </row>
    <row r="337" spans="2:22" x14ac:dyDescent="0.25">
      <c r="B337">
        <v>15890</v>
      </c>
      <c r="C337" t="s">
        <v>15678</v>
      </c>
      <c r="E337">
        <v>234</v>
      </c>
      <c r="F337">
        <v>180</v>
      </c>
      <c r="G337">
        <v>66</v>
      </c>
      <c r="H337">
        <v>11</v>
      </c>
      <c r="V337" t="s">
        <v>9631</v>
      </c>
    </row>
    <row r="338" spans="2:22" x14ac:dyDescent="0.25">
      <c r="B338">
        <v>15891</v>
      </c>
      <c r="C338" t="s">
        <v>15679</v>
      </c>
      <c r="E338">
        <v>234</v>
      </c>
      <c r="F338">
        <v>180</v>
      </c>
      <c r="G338">
        <v>66</v>
      </c>
      <c r="H338">
        <v>10</v>
      </c>
      <c r="U338" t="s">
        <v>9633</v>
      </c>
    </row>
    <row r="339" spans="2:22" x14ac:dyDescent="0.25">
      <c r="B339">
        <v>15892</v>
      </c>
      <c r="C339" t="s">
        <v>15680</v>
      </c>
      <c r="E339">
        <v>234</v>
      </c>
      <c r="F339">
        <v>180</v>
      </c>
      <c r="G339">
        <v>66</v>
      </c>
      <c r="H339">
        <v>10</v>
      </c>
      <c r="U339" t="s">
        <v>9635</v>
      </c>
    </row>
    <row r="340" spans="2:22" x14ac:dyDescent="0.25">
      <c r="B340">
        <v>15893</v>
      </c>
      <c r="C340" t="s">
        <v>15681</v>
      </c>
      <c r="E340">
        <v>230</v>
      </c>
      <c r="F340">
        <v>167</v>
      </c>
      <c r="G340">
        <v>35</v>
      </c>
      <c r="H340">
        <v>8</v>
      </c>
      <c r="S340" t="s">
        <v>9637</v>
      </c>
    </row>
    <row r="341" spans="2:22" x14ac:dyDescent="0.25">
      <c r="B341">
        <v>15894</v>
      </c>
      <c r="C341" t="s">
        <v>15682</v>
      </c>
      <c r="E341">
        <v>230</v>
      </c>
      <c r="F341">
        <v>167</v>
      </c>
      <c r="G341">
        <v>35</v>
      </c>
      <c r="H341">
        <v>9</v>
      </c>
      <c r="T341" t="s">
        <v>9639</v>
      </c>
    </row>
    <row r="342" spans="2:22" x14ac:dyDescent="0.25">
      <c r="B342">
        <v>15895</v>
      </c>
      <c r="C342" t="s">
        <v>15683</v>
      </c>
      <c r="E342">
        <v>234</v>
      </c>
      <c r="F342">
        <v>180</v>
      </c>
      <c r="G342">
        <v>66</v>
      </c>
      <c r="H342">
        <v>9</v>
      </c>
      <c r="T342" t="s">
        <v>9641</v>
      </c>
    </row>
    <row r="343" spans="2:22" x14ac:dyDescent="0.25">
      <c r="B343">
        <v>15896</v>
      </c>
      <c r="C343" t="s">
        <v>15684</v>
      </c>
      <c r="E343">
        <v>234</v>
      </c>
      <c r="F343">
        <v>180</v>
      </c>
      <c r="G343">
        <v>66</v>
      </c>
      <c r="H343">
        <v>10</v>
      </c>
      <c r="U343" t="s">
        <v>9643</v>
      </c>
    </row>
    <row r="344" spans="2:22" x14ac:dyDescent="0.25">
      <c r="B344">
        <v>15897</v>
      </c>
      <c r="C344" t="s">
        <v>15685</v>
      </c>
      <c r="E344">
        <v>234</v>
      </c>
      <c r="F344">
        <v>180</v>
      </c>
      <c r="G344">
        <v>66</v>
      </c>
      <c r="H344">
        <v>10</v>
      </c>
      <c r="U344" t="s">
        <v>9645</v>
      </c>
    </row>
    <row r="345" spans="2:22" x14ac:dyDescent="0.25">
      <c r="B345">
        <v>15898</v>
      </c>
      <c r="C345" t="s">
        <v>15686</v>
      </c>
      <c r="E345">
        <v>234</v>
      </c>
      <c r="F345">
        <v>180</v>
      </c>
      <c r="G345">
        <v>66</v>
      </c>
      <c r="H345">
        <v>10</v>
      </c>
      <c r="U345" t="s">
        <v>9647</v>
      </c>
    </row>
    <row r="346" spans="2:22" x14ac:dyDescent="0.25">
      <c r="B346">
        <v>15899</v>
      </c>
      <c r="C346" t="s">
        <v>15687</v>
      </c>
      <c r="E346">
        <v>234</v>
      </c>
      <c r="F346">
        <v>180</v>
      </c>
      <c r="G346">
        <v>66</v>
      </c>
      <c r="H346">
        <v>11</v>
      </c>
      <c r="V346" t="s">
        <v>9649</v>
      </c>
    </row>
    <row r="347" spans="2:22" x14ac:dyDescent="0.25">
      <c r="B347">
        <v>15900</v>
      </c>
      <c r="C347" t="s">
        <v>15688</v>
      </c>
      <c r="E347">
        <v>234</v>
      </c>
      <c r="F347">
        <v>180</v>
      </c>
      <c r="G347">
        <v>66</v>
      </c>
      <c r="H347">
        <v>11</v>
      </c>
      <c r="V347" t="s">
        <v>9651</v>
      </c>
    </row>
    <row r="348" spans="2:22" x14ac:dyDescent="0.25">
      <c r="B348">
        <v>15901</v>
      </c>
      <c r="C348" t="s">
        <v>15689</v>
      </c>
      <c r="E348">
        <v>234</v>
      </c>
      <c r="F348">
        <v>180</v>
      </c>
      <c r="G348">
        <v>66</v>
      </c>
      <c r="H348">
        <v>11</v>
      </c>
      <c r="V348" t="s">
        <v>9653</v>
      </c>
    </row>
    <row r="349" spans="2:22" x14ac:dyDescent="0.25">
      <c r="B349">
        <v>15902</v>
      </c>
      <c r="C349" t="s">
        <v>15690</v>
      </c>
      <c r="E349">
        <v>234</v>
      </c>
      <c r="F349">
        <v>180</v>
      </c>
      <c r="G349">
        <v>66</v>
      </c>
      <c r="H349">
        <v>11</v>
      </c>
      <c r="V349" t="s">
        <v>9655</v>
      </c>
    </row>
    <row r="350" spans="2:22" x14ac:dyDescent="0.25">
      <c r="B350">
        <v>15903</v>
      </c>
      <c r="C350" t="s">
        <v>15691</v>
      </c>
      <c r="E350">
        <v>214</v>
      </c>
      <c r="F350">
        <v>24</v>
      </c>
      <c r="G350">
        <v>55</v>
      </c>
      <c r="H350">
        <v>6</v>
      </c>
      <c r="Q350" t="s">
        <v>3554</v>
      </c>
    </row>
    <row r="351" spans="2:22" x14ac:dyDescent="0.25">
      <c r="B351">
        <v>111220548</v>
      </c>
      <c r="C351" t="s">
        <v>15692</v>
      </c>
      <c r="E351">
        <v>214</v>
      </c>
      <c r="F351">
        <v>24</v>
      </c>
      <c r="G351">
        <v>55</v>
      </c>
      <c r="H351">
        <v>9</v>
      </c>
      <c r="R351" t="s">
        <v>8671</v>
      </c>
    </row>
    <row r="352" spans="2:22" x14ac:dyDescent="0.25">
      <c r="B352">
        <v>111220550</v>
      </c>
      <c r="C352" t="s">
        <v>15693</v>
      </c>
      <c r="E352">
        <v>218</v>
      </c>
      <c r="F352">
        <v>46</v>
      </c>
      <c r="G352">
        <v>74</v>
      </c>
      <c r="H352">
        <v>9</v>
      </c>
      <c r="R352" t="s">
        <v>8673</v>
      </c>
    </row>
    <row r="353" spans="2:22" x14ac:dyDescent="0.25">
      <c r="B353">
        <v>15904</v>
      </c>
      <c r="C353" t="s">
        <v>15694</v>
      </c>
      <c r="E353">
        <v>218</v>
      </c>
      <c r="F353">
        <v>67</v>
      </c>
      <c r="G353">
        <v>53</v>
      </c>
      <c r="H353">
        <v>7</v>
      </c>
      <c r="R353" t="s">
        <v>15065</v>
      </c>
    </row>
    <row r="354" spans="2:22" x14ac:dyDescent="0.25">
      <c r="B354">
        <v>15905</v>
      </c>
      <c r="C354" t="s">
        <v>15695</v>
      </c>
      <c r="E354">
        <v>218</v>
      </c>
      <c r="F354">
        <v>67</v>
      </c>
      <c r="G354">
        <v>53</v>
      </c>
      <c r="H354">
        <v>8</v>
      </c>
      <c r="S354" t="s">
        <v>9657</v>
      </c>
    </row>
    <row r="355" spans="2:22" x14ac:dyDescent="0.25">
      <c r="B355">
        <v>15906</v>
      </c>
      <c r="C355" t="s">
        <v>15696</v>
      </c>
      <c r="E355">
        <v>218</v>
      </c>
      <c r="F355">
        <v>67</v>
      </c>
      <c r="G355">
        <v>53</v>
      </c>
      <c r="H355">
        <v>9</v>
      </c>
      <c r="T355" t="s">
        <v>9659</v>
      </c>
    </row>
    <row r="356" spans="2:22" x14ac:dyDescent="0.25">
      <c r="B356">
        <v>15907</v>
      </c>
      <c r="C356" t="s">
        <v>15697</v>
      </c>
      <c r="E356">
        <v>222</v>
      </c>
      <c r="F356">
        <v>85</v>
      </c>
      <c r="G356">
        <v>72</v>
      </c>
      <c r="H356">
        <v>9</v>
      </c>
      <c r="T356" t="s">
        <v>9661</v>
      </c>
    </row>
    <row r="357" spans="2:22" x14ac:dyDescent="0.25">
      <c r="B357">
        <v>15908</v>
      </c>
      <c r="C357" t="s">
        <v>15698</v>
      </c>
      <c r="E357">
        <v>222</v>
      </c>
      <c r="F357">
        <v>85</v>
      </c>
      <c r="G357">
        <v>72</v>
      </c>
      <c r="H357">
        <v>10</v>
      </c>
      <c r="U357" t="s">
        <v>9663</v>
      </c>
    </row>
    <row r="358" spans="2:22" x14ac:dyDescent="0.25">
      <c r="B358">
        <v>15909</v>
      </c>
      <c r="C358" t="s">
        <v>15699</v>
      </c>
      <c r="E358">
        <v>185</v>
      </c>
      <c r="F358">
        <v>57</v>
      </c>
      <c r="G358">
        <v>45</v>
      </c>
      <c r="H358">
        <v>11</v>
      </c>
      <c r="V358" t="s">
        <v>3430</v>
      </c>
    </row>
    <row r="359" spans="2:22" x14ac:dyDescent="0.25">
      <c r="B359">
        <v>15910</v>
      </c>
      <c r="C359" t="s">
        <v>15700</v>
      </c>
      <c r="E359">
        <v>222</v>
      </c>
      <c r="F359">
        <v>85</v>
      </c>
      <c r="G359">
        <v>72</v>
      </c>
      <c r="H359">
        <v>11</v>
      </c>
      <c r="V359" t="s">
        <v>3437</v>
      </c>
    </row>
    <row r="360" spans="2:22" x14ac:dyDescent="0.25">
      <c r="B360">
        <v>15911</v>
      </c>
      <c r="C360" t="s">
        <v>15701</v>
      </c>
      <c r="E360">
        <v>222</v>
      </c>
      <c r="F360">
        <v>85</v>
      </c>
      <c r="G360">
        <v>72</v>
      </c>
      <c r="H360">
        <v>10</v>
      </c>
      <c r="U360" t="s">
        <v>9665</v>
      </c>
    </row>
    <row r="361" spans="2:22" x14ac:dyDescent="0.25">
      <c r="B361">
        <v>15912</v>
      </c>
      <c r="C361" t="s">
        <v>15702</v>
      </c>
      <c r="E361">
        <v>196</v>
      </c>
      <c r="F361">
        <v>60</v>
      </c>
      <c r="G361">
        <v>48</v>
      </c>
      <c r="H361">
        <v>11</v>
      </c>
      <c r="V361" t="s">
        <v>3445</v>
      </c>
    </row>
    <row r="362" spans="2:22" x14ac:dyDescent="0.25">
      <c r="B362">
        <v>15913</v>
      </c>
      <c r="C362" t="s">
        <v>15703</v>
      </c>
      <c r="E362">
        <v>222</v>
      </c>
      <c r="F362">
        <v>85</v>
      </c>
      <c r="G362">
        <v>72</v>
      </c>
      <c r="H362">
        <v>11</v>
      </c>
      <c r="V362" t="s">
        <v>3422</v>
      </c>
    </row>
    <row r="363" spans="2:22" x14ac:dyDescent="0.25">
      <c r="B363">
        <v>15914</v>
      </c>
      <c r="C363" t="s">
        <v>15704</v>
      </c>
      <c r="E363">
        <v>222</v>
      </c>
      <c r="F363">
        <v>85</v>
      </c>
      <c r="G363">
        <v>72</v>
      </c>
      <c r="H363">
        <v>10</v>
      </c>
      <c r="U363" t="s">
        <v>9667</v>
      </c>
    </row>
    <row r="364" spans="2:22" x14ac:dyDescent="0.25">
      <c r="B364">
        <v>15915</v>
      </c>
      <c r="C364" t="s">
        <v>15705</v>
      </c>
      <c r="E364">
        <v>218</v>
      </c>
      <c r="F364">
        <v>67</v>
      </c>
      <c r="G364">
        <v>53</v>
      </c>
      <c r="H364">
        <v>11</v>
      </c>
      <c r="V364" t="s">
        <v>9669</v>
      </c>
    </row>
    <row r="365" spans="2:22" x14ac:dyDescent="0.25">
      <c r="B365">
        <v>15916</v>
      </c>
      <c r="C365" t="s">
        <v>15706</v>
      </c>
      <c r="E365">
        <v>222</v>
      </c>
      <c r="F365">
        <v>85</v>
      </c>
      <c r="G365">
        <v>72</v>
      </c>
      <c r="H365">
        <v>11</v>
      </c>
      <c r="V365" t="s">
        <v>9671</v>
      </c>
    </row>
    <row r="366" spans="2:22" x14ac:dyDescent="0.25">
      <c r="B366">
        <v>15917</v>
      </c>
      <c r="C366" t="s">
        <v>15707</v>
      </c>
      <c r="E366">
        <v>218</v>
      </c>
      <c r="F366">
        <v>67</v>
      </c>
      <c r="G366">
        <v>53</v>
      </c>
      <c r="H366">
        <v>8</v>
      </c>
      <c r="S366" t="s">
        <v>9673</v>
      </c>
    </row>
    <row r="367" spans="2:22" x14ac:dyDescent="0.25">
      <c r="B367">
        <v>15918</v>
      </c>
      <c r="C367" t="s">
        <v>15708</v>
      </c>
      <c r="E367">
        <v>218</v>
      </c>
      <c r="F367">
        <v>67</v>
      </c>
      <c r="G367">
        <v>53</v>
      </c>
      <c r="H367">
        <v>9</v>
      </c>
      <c r="T367" t="s">
        <v>9675</v>
      </c>
    </row>
    <row r="368" spans="2:22" x14ac:dyDescent="0.25">
      <c r="B368">
        <v>15919</v>
      </c>
      <c r="C368" t="s">
        <v>15709</v>
      </c>
      <c r="E368">
        <v>222</v>
      </c>
      <c r="F368">
        <v>85</v>
      </c>
      <c r="G368">
        <v>72</v>
      </c>
      <c r="H368">
        <v>9</v>
      </c>
      <c r="T368" t="s">
        <v>9677</v>
      </c>
    </row>
    <row r="369" spans="2:22" x14ac:dyDescent="0.25">
      <c r="B369">
        <v>15920</v>
      </c>
      <c r="C369" t="s">
        <v>15710</v>
      </c>
      <c r="E369">
        <v>222</v>
      </c>
      <c r="F369">
        <v>85</v>
      </c>
      <c r="G369">
        <v>72</v>
      </c>
      <c r="H369">
        <v>10</v>
      </c>
      <c r="U369" t="s">
        <v>9679</v>
      </c>
    </row>
    <row r="370" spans="2:22" x14ac:dyDescent="0.25">
      <c r="B370">
        <v>15921</v>
      </c>
      <c r="C370" t="s">
        <v>15711</v>
      </c>
      <c r="E370">
        <v>222</v>
      </c>
      <c r="F370">
        <v>85</v>
      </c>
      <c r="G370">
        <v>72</v>
      </c>
      <c r="H370">
        <v>10</v>
      </c>
      <c r="U370" t="s">
        <v>9681</v>
      </c>
    </row>
    <row r="371" spans="2:22" x14ac:dyDescent="0.25">
      <c r="B371">
        <v>15922</v>
      </c>
      <c r="C371" t="s">
        <v>15712</v>
      </c>
      <c r="E371">
        <v>222</v>
      </c>
      <c r="F371">
        <v>85</v>
      </c>
      <c r="G371">
        <v>72</v>
      </c>
      <c r="H371">
        <v>10</v>
      </c>
      <c r="U371" t="s">
        <v>9683</v>
      </c>
    </row>
    <row r="372" spans="2:22" x14ac:dyDescent="0.25">
      <c r="B372">
        <v>15923</v>
      </c>
      <c r="C372" t="s">
        <v>15713</v>
      </c>
      <c r="E372">
        <v>222</v>
      </c>
      <c r="F372">
        <v>85</v>
      </c>
      <c r="G372">
        <v>72</v>
      </c>
      <c r="H372">
        <v>11</v>
      </c>
      <c r="V372" t="s">
        <v>9685</v>
      </c>
    </row>
    <row r="373" spans="2:22" x14ac:dyDescent="0.25">
      <c r="B373">
        <v>15924</v>
      </c>
      <c r="C373" t="s">
        <v>15714</v>
      </c>
      <c r="E373">
        <v>196</v>
      </c>
      <c r="F373">
        <v>60</v>
      </c>
      <c r="G373">
        <v>48</v>
      </c>
      <c r="H373">
        <v>11</v>
      </c>
      <c r="V373" t="s">
        <v>9687</v>
      </c>
    </row>
    <row r="374" spans="2:22" x14ac:dyDescent="0.25">
      <c r="B374">
        <v>15925</v>
      </c>
      <c r="C374" t="s">
        <v>15715</v>
      </c>
      <c r="E374">
        <v>222</v>
      </c>
      <c r="F374">
        <v>85</v>
      </c>
      <c r="G374">
        <v>72</v>
      </c>
      <c r="H374">
        <v>11</v>
      </c>
      <c r="V374" t="s">
        <v>9689</v>
      </c>
    </row>
    <row r="375" spans="2:22" x14ac:dyDescent="0.25">
      <c r="B375">
        <v>15926</v>
      </c>
      <c r="C375" t="s">
        <v>15716</v>
      </c>
      <c r="E375">
        <v>222</v>
      </c>
      <c r="F375">
        <v>85</v>
      </c>
      <c r="G375">
        <v>72</v>
      </c>
      <c r="H375">
        <v>11</v>
      </c>
      <c r="V375" t="s">
        <v>9691</v>
      </c>
    </row>
    <row r="376" spans="2:22" x14ac:dyDescent="0.25">
      <c r="B376">
        <v>15927</v>
      </c>
      <c r="C376" t="s">
        <v>15717</v>
      </c>
      <c r="E376">
        <v>222</v>
      </c>
      <c r="F376">
        <v>85</v>
      </c>
      <c r="G376">
        <v>72</v>
      </c>
      <c r="H376">
        <v>11</v>
      </c>
      <c r="V376" t="s">
        <v>9693</v>
      </c>
    </row>
    <row r="377" spans="2:22" x14ac:dyDescent="0.25">
      <c r="B377">
        <v>15928</v>
      </c>
      <c r="C377" t="s">
        <v>15718</v>
      </c>
      <c r="E377">
        <v>218</v>
      </c>
      <c r="F377">
        <v>67</v>
      </c>
      <c r="G377">
        <v>53</v>
      </c>
      <c r="H377">
        <v>8</v>
      </c>
      <c r="S377" t="s">
        <v>9695</v>
      </c>
    </row>
    <row r="378" spans="2:22" x14ac:dyDescent="0.25">
      <c r="B378">
        <v>15929</v>
      </c>
      <c r="C378" t="s">
        <v>15719</v>
      </c>
      <c r="E378">
        <v>218</v>
      </c>
      <c r="F378">
        <v>67</v>
      </c>
      <c r="G378">
        <v>53</v>
      </c>
      <c r="H378">
        <v>9</v>
      </c>
      <c r="T378" t="s">
        <v>9697</v>
      </c>
    </row>
    <row r="379" spans="2:22" x14ac:dyDescent="0.25">
      <c r="B379">
        <v>15930</v>
      </c>
      <c r="C379" t="s">
        <v>15720</v>
      </c>
      <c r="E379">
        <v>222</v>
      </c>
      <c r="F379">
        <v>85</v>
      </c>
      <c r="G379">
        <v>72</v>
      </c>
      <c r="H379">
        <v>9</v>
      </c>
      <c r="T379" t="s">
        <v>9699</v>
      </c>
    </row>
    <row r="380" spans="2:22" x14ac:dyDescent="0.25">
      <c r="B380">
        <v>15931</v>
      </c>
      <c r="C380" t="s">
        <v>15721</v>
      </c>
      <c r="E380">
        <v>222</v>
      </c>
      <c r="F380">
        <v>85</v>
      </c>
      <c r="G380">
        <v>72</v>
      </c>
      <c r="H380">
        <v>10</v>
      </c>
      <c r="U380" t="s">
        <v>9701</v>
      </c>
    </row>
    <row r="381" spans="2:22" x14ac:dyDescent="0.25">
      <c r="B381">
        <v>15932</v>
      </c>
      <c r="C381" t="s">
        <v>15722</v>
      </c>
      <c r="E381">
        <v>222</v>
      </c>
      <c r="F381">
        <v>85</v>
      </c>
      <c r="G381">
        <v>72</v>
      </c>
      <c r="H381">
        <v>10</v>
      </c>
      <c r="U381" t="s">
        <v>9703</v>
      </c>
    </row>
    <row r="382" spans="2:22" x14ac:dyDescent="0.25">
      <c r="B382">
        <v>15933</v>
      </c>
      <c r="C382" t="s">
        <v>15723</v>
      </c>
      <c r="E382">
        <v>222</v>
      </c>
      <c r="F382">
        <v>85</v>
      </c>
      <c r="G382">
        <v>72</v>
      </c>
      <c r="H382">
        <v>11</v>
      </c>
      <c r="V382" t="s">
        <v>9705</v>
      </c>
    </row>
    <row r="383" spans="2:22" x14ac:dyDescent="0.25">
      <c r="B383">
        <v>15934</v>
      </c>
      <c r="C383" t="s">
        <v>15724</v>
      </c>
      <c r="E383">
        <v>222</v>
      </c>
      <c r="F383">
        <v>85</v>
      </c>
      <c r="G383">
        <v>72</v>
      </c>
      <c r="H383">
        <v>11</v>
      </c>
      <c r="V383" t="s">
        <v>9707</v>
      </c>
    </row>
    <row r="384" spans="2:22" x14ac:dyDescent="0.25">
      <c r="B384">
        <v>15935</v>
      </c>
      <c r="C384" t="s">
        <v>15725</v>
      </c>
      <c r="E384">
        <v>222</v>
      </c>
      <c r="F384">
        <v>85</v>
      </c>
      <c r="G384">
        <v>72</v>
      </c>
      <c r="H384">
        <v>11</v>
      </c>
      <c r="V384" t="s">
        <v>9709</v>
      </c>
    </row>
    <row r="385" spans="2:22" x14ac:dyDescent="0.25">
      <c r="B385">
        <v>15936</v>
      </c>
      <c r="C385" t="s">
        <v>15726</v>
      </c>
      <c r="E385">
        <v>222</v>
      </c>
      <c r="F385">
        <v>85</v>
      </c>
      <c r="G385">
        <v>72</v>
      </c>
      <c r="H385">
        <v>10</v>
      </c>
      <c r="U385" t="s">
        <v>9711</v>
      </c>
    </row>
    <row r="386" spans="2:22" x14ac:dyDescent="0.25">
      <c r="B386">
        <v>15937</v>
      </c>
      <c r="C386" t="s">
        <v>15727</v>
      </c>
      <c r="E386">
        <v>222</v>
      </c>
      <c r="F386">
        <v>85</v>
      </c>
      <c r="G386">
        <v>72</v>
      </c>
      <c r="H386">
        <v>11</v>
      </c>
      <c r="V386" t="s">
        <v>9713</v>
      </c>
    </row>
    <row r="387" spans="2:22" x14ac:dyDescent="0.25">
      <c r="B387">
        <v>15938</v>
      </c>
      <c r="C387" t="s">
        <v>15728</v>
      </c>
      <c r="E387">
        <v>196</v>
      </c>
      <c r="F387">
        <v>60</v>
      </c>
      <c r="G387">
        <v>48</v>
      </c>
      <c r="H387">
        <v>11</v>
      </c>
      <c r="V387" t="s">
        <v>9715</v>
      </c>
    </row>
    <row r="388" spans="2:22" x14ac:dyDescent="0.25">
      <c r="B388">
        <v>15939</v>
      </c>
      <c r="C388" t="s">
        <v>15729</v>
      </c>
      <c r="E388">
        <v>222</v>
      </c>
      <c r="F388">
        <v>85</v>
      </c>
      <c r="G388">
        <v>72</v>
      </c>
      <c r="H388">
        <v>11</v>
      </c>
      <c r="V388" t="s">
        <v>9717</v>
      </c>
    </row>
    <row r="389" spans="2:22" x14ac:dyDescent="0.25">
      <c r="B389">
        <v>15940</v>
      </c>
      <c r="C389" t="s">
        <v>15730</v>
      </c>
      <c r="E389">
        <v>218</v>
      </c>
      <c r="F389">
        <v>67</v>
      </c>
      <c r="G389">
        <v>53</v>
      </c>
      <c r="H389">
        <v>8</v>
      </c>
      <c r="S389" t="s">
        <v>9719</v>
      </c>
    </row>
    <row r="390" spans="2:22" x14ac:dyDescent="0.25">
      <c r="B390">
        <v>15941</v>
      </c>
      <c r="C390" t="s">
        <v>15731</v>
      </c>
      <c r="E390">
        <v>218</v>
      </c>
      <c r="F390">
        <v>67</v>
      </c>
      <c r="G390">
        <v>53</v>
      </c>
      <c r="H390">
        <v>9</v>
      </c>
      <c r="T390" t="s">
        <v>9721</v>
      </c>
    </row>
    <row r="391" spans="2:22" x14ac:dyDescent="0.25">
      <c r="B391">
        <v>15942</v>
      </c>
      <c r="C391" t="s">
        <v>15732</v>
      </c>
      <c r="E391">
        <v>222</v>
      </c>
      <c r="F391">
        <v>85</v>
      </c>
      <c r="G391">
        <v>72</v>
      </c>
      <c r="H391">
        <v>9</v>
      </c>
      <c r="T391" t="s">
        <v>9723</v>
      </c>
    </row>
    <row r="392" spans="2:22" x14ac:dyDescent="0.25">
      <c r="B392">
        <v>15943</v>
      </c>
      <c r="C392" t="s">
        <v>15733</v>
      </c>
      <c r="E392">
        <v>222</v>
      </c>
      <c r="F392">
        <v>85</v>
      </c>
      <c r="G392">
        <v>72</v>
      </c>
      <c r="H392">
        <v>10</v>
      </c>
      <c r="U392" t="s">
        <v>9725</v>
      </c>
    </row>
    <row r="393" spans="2:22" x14ac:dyDescent="0.25">
      <c r="B393">
        <v>15944</v>
      </c>
      <c r="C393" t="s">
        <v>15734</v>
      </c>
      <c r="E393">
        <v>222</v>
      </c>
      <c r="F393">
        <v>85</v>
      </c>
      <c r="G393">
        <v>72</v>
      </c>
      <c r="H393">
        <v>11</v>
      </c>
      <c r="V393" t="s">
        <v>2559</v>
      </c>
    </row>
    <row r="394" spans="2:22" x14ac:dyDescent="0.25">
      <c r="B394">
        <v>15945</v>
      </c>
      <c r="C394" t="s">
        <v>15735</v>
      </c>
      <c r="E394">
        <v>222</v>
      </c>
      <c r="F394">
        <v>85</v>
      </c>
      <c r="G394">
        <v>72</v>
      </c>
      <c r="H394">
        <v>11</v>
      </c>
      <c r="V394" t="s">
        <v>237</v>
      </c>
    </row>
    <row r="395" spans="2:22" x14ac:dyDescent="0.25">
      <c r="B395">
        <v>15946</v>
      </c>
      <c r="C395" t="s">
        <v>15736</v>
      </c>
      <c r="E395">
        <v>222</v>
      </c>
      <c r="F395">
        <v>85</v>
      </c>
      <c r="G395">
        <v>72</v>
      </c>
      <c r="H395">
        <v>10</v>
      </c>
      <c r="U395" t="s">
        <v>9727</v>
      </c>
    </row>
    <row r="396" spans="2:22" x14ac:dyDescent="0.25">
      <c r="B396">
        <v>15947</v>
      </c>
      <c r="C396" t="s">
        <v>15737</v>
      </c>
      <c r="E396">
        <v>222</v>
      </c>
      <c r="F396">
        <v>85</v>
      </c>
      <c r="G396">
        <v>72</v>
      </c>
      <c r="H396">
        <v>11</v>
      </c>
      <c r="V396" t="s">
        <v>2981</v>
      </c>
    </row>
    <row r="397" spans="2:22" x14ac:dyDescent="0.25">
      <c r="B397">
        <v>15948</v>
      </c>
      <c r="C397" t="s">
        <v>15738</v>
      </c>
      <c r="E397">
        <v>222</v>
      </c>
      <c r="F397">
        <v>85</v>
      </c>
      <c r="G397">
        <v>72</v>
      </c>
      <c r="H397">
        <v>11</v>
      </c>
      <c r="V397" t="s">
        <v>9729</v>
      </c>
    </row>
    <row r="398" spans="2:22" x14ac:dyDescent="0.25">
      <c r="B398">
        <v>15949</v>
      </c>
      <c r="C398" t="s">
        <v>15739</v>
      </c>
      <c r="E398">
        <v>222</v>
      </c>
      <c r="F398">
        <v>85</v>
      </c>
      <c r="G398">
        <v>72</v>
      </c>
      <c r="H398">
        <v>10</v>
      </c>
      <c r="U398" t="s">
        <v>9731</v>
      </c>
    </row>
    <row r="399" spans="2:22" x14ac:dyDescent="0.25">
      <c r="B399">
        <v>15950</v>
      </c>
      <c r="C399" t="s">
        <v>15740</v>
      </c>
      <c r="E399">
        <v>222</v>
      </c>
      <c r="F399">
        <v>85</v>
      </c>
      <c r="G399">
        <v>72</v>
      </c>
      <c r="H399">
        <v>11</v>
      </c>
      <c r="V399" t="s">
        <v>4021</v>
      </c>
    </row>
    <row r="400" spans="2:22" x14ac:dyDescent="0.25">
      <c r="B400">
        <v>15951</v>
      </c>
      <c r="C400" t="s">
        <v>15741</v>
      </c>
      <c r="E400">
        <v>222</v>
      </c>
      <c r="F400">
        <v>85</v>
      </c>
      <c r="G400">
        <v>72</v>
      </c>
      <c r="H400">
        <v>11</v>
      </c>
      <c r="V400" t="s">
        <v>3285</v>
      </c>
    </row>
    <row r="401" spans="2:23" x14ac:dyDescent="0.25">
      <c r="B401">
        <v>15952</v>
      </c>
      <c r="C401" t="s">
        <v>15742</v>
      </c>
      <c r="E401">
        <v>222</v>
      </c>
      <c r="F401">
        <v>85</v>
      </c>
      <c r="G401">
        <v>72</v>
      </c>
      <c r="H401">
        <v>12</v>
      </c>
      <c r="W401" t="s">
        <v>9733</v>
      </c>
    </row>
    <row r="402" spans="2:23" x14ac:dyDescent="0.25">
      <c r="B402">
        <v>15953</v>
      </c>
      <c r="C402" t="s">
        <v>15743</v>
      </c>
      <c r="E402">
        <v>222</v>
      </c>
      <c r="F402">
        <v>85</v>
      </c>
      <c r="G402">
        <v>72</v>
      </c>
      <c r="H402">
        <v>12</v>
      </c>
      <c r="W402" t="s">
        <v>9735</v>
      </c>
    </row>
    <row r="403" spans="2:23" x14ac:dyDescent="0.25">
      <c r="B403">
        <v>15954</v>
      </c>
      <c r="C403" t="s">
        <v>15744</v>
      </c>
      <c r="E403">
        <v>222</v>
      </c>
      <c r="F403">
        <v>85</v>
      </c>
      <c r="G403">
        <v>72</v>
      </c>
      <c r="H403">
        <v>12</v>
      </c>
      <c r="W403" t="s">
        <v>9737</v>
      </c>
    </row>
    <row r="404" spans="2:23" x14ac:dyDescent="0.25">
      <c r="B404">
        <v>15955</v>
      </c>
      <c r="C404" t="s">
        <v>15745</v>
      </c>
      <c r="E404">
        <v>222</v>
      </c>
      <c r="F404">
        <v>85</v>
      </c>
      <c r="G404">
        <v>72</v>
      </c>
      <c r="H404">
        <v>11</v>
      </c>
      <c r="V404" t="s">
        <v>9739</v>
      </c>
    </row>
    <row r="405" spans="2:23" x14ac:dyDescent="0.25">
      <c r="B405">
        <v>15956</v>
      </c>
      <c r="C405" t="s">
        <v>15746</v>
      </c>
      <c r="E405">
        <v>231</v>
      </c>
      <c r="F405">
        <v>110</v>
      </c>
      <c r="G405">
        <v>62</v>
      </c>
      <c r="H405">
        <v>7</v>
      </c>
      <c r="R405" t="s">
        <v>2656</v>
      </c>
    </row>
    <row r="406" spans="2:23" x14ac:dyDescent="0.25">
      <c r="B406">
        <v>15957</v>
      </c>
      <c r="C406" t="s">
        <v>15747</v>
      </c>
      <c r="E406">
        <v>231</v>
      </c>
      <c r="F406">
        <v>110</v>
      </c>
      <c r="G406">
        <v>62</v>
      </c>
      <c r="H406">
        <v>8</v>
      </c>
      <c r="S406" t="s">
        <v>190</v>
      </c>
    </row>
    <row r="407" spans="2:23" x14ac:dyDescent="0.25">
      <c r="B407">
        <v>15958</v>
      </c>
      <c r="C407" t="s">
        <v>15748</v>
      </c>
      <c r="E407">
        <v>231</v>
      </c>
      <c r="F407">
        <v>110</v>
      </c>
      <c r="G407">
        <v>62</v>
      </c>
      <c r="H407">
        <v>9</v>
      </c>
      <c r="T407" t="s">
        <v>9741</v>
      </c>
    </row>
    <row r="408" spans="2:23" x14ac:dyDescent="0.25">
      <c r="B408">
        <v>15959</v>
      </c>
      <c r="C408" t="s">
        <v>15749</v>
      </c>
      <c r="E408">
        <v>243</v>
      </c>
      <c r="F408">
        <v>116</v>
      </c>
      <c r="G408">
        <v>65</v>
      </c>
      <c r="H408">
        <v>9</v>
      </c>
      <c r="T408" t="s">
        <v>9743</v>
      </c>
    </row>
    <row r="409" spans="2:23" x14ac:dyDescent="0.25">
      <c r="B409">
        <v>15960</v>
      </c>
      <c r="C409" t="s">
        <v>15750</v>
      </c>
      <c r="E409">
        <v>243</v>
      </c>
      <c r="F409">
        <v>116</v>
      </c>
      <c r="G409">
        <v>65</v>
      </c>
      <c r="H409">
        <v>10</v>
      </c>
      <c r="U409" t="s">
        <v>9745</v>
      </c>
    </row>
    <row r="410" spans="2:23" x14ac:dyDescent="0.25">
      <c r="B410">
        <v>15961</v>
      </c>
      <c r="C410" t="s">
        <v>15751</v>
      </c>
      <c r="E410">
        <v>219</v>
      </c>
      <c r="F410">
        <v>104</v>
      </c>
      <c r="G410">
        <v>59</v>
      </c>
      <c r="H410">
        <v>11</v>
      </c>
      <c r="V410" t="s">
        <v>202</v>
      </c>
    </row>
    <row r="411" spans="2:23" x14ac:dyDescent="0.25">
      <c r="B411">
        <v>15962</v>
      </c>
      <c r="C411" t="s">
        <v>15752</v>
      </c>
      <c r="E411">
        <v>243</v>
      </c>
      <c r="F411">
        <v>116</v>
      </c>
      <c r="G411">
        <v>65</v>
      </c>
      <c r="H411">
        <v>11</v>
      </c>
      <c r="V411" t="s">
        <v>207</v>
      </c>
    </row>
    <row r="412" spans="2:23" x14ac:dyDescent="0.25">
      <c r="B412">
        <v>15963</v>
      </c>
      <c r="C412" t="s">
        <v>15753</v>
      </c>
      <c r="E412">
        <v>243</v>
      </c>
      <c r="F412">
        <v>116</v>
      </c>
      <c r="G412">
        <v>65</v>
      </c>
      <c r="H412">
        <v>10</v>
      </c>
      <c r="U412" t="s">
        <v>9747</v>
      </c>
    </row>
    <row r="413" spans="2:23" x14ac:dyDescent="0.25">
      <c r="B413">
        <v>15964</v>
      </c>
      <c r="C413" t="s">
        <v>15754</v>
      </c>
      <c r="E413">
        <v>243</v>
      </c>
      <c r="F413">
        <v>116</v>
      </c>
      <c r="G413">
        <v>65</v>
      </c>
      <c r="H413">
        <v>11</v>
      </c>
      <c r="V413" t="s">
        <v>9749</v>
      </c>
    </row>
    <row r="414" spans="2:23" x14ac:dyDescent="0.25">
      <c r="B414">
        <v>15965</v>
      </c>
      <c r="C414" t="s">
        <v>15755</v>
      </c>
      <c r="E414">
        <v>243</v>
      </c>
      <c r="F414">
        <v>116</v>
      </c>
      <c r="G414">
        <v>65</v>
      </c>
      <c r="H414">
        <v>11</v>
      </c>
      <c r="V414" t="s">
        <v>194</v>
      </c>
    </row>
    <row r="415" spans="2:23" x14ac:dyDescent="0.25">
      <c r="B415">
        <v>15966</v>
      </c>
      <c r="C415" t="s">
        <v>15756</v>
      </c>
      <c r="E415">
        <v>243</v>
      </c>
      <c r="F415">
        <v>116</v>
      </c>
      <c r="G415">
        <v>65</v>
      </c>
      <c r="H415">
        <v>10</v>
      </c>
      <c r="U415" t="s">
        <v>9751</v>
      </c>
    </row>
    <row r="416" spans="2:23" x14ac:dyDescent="0.25">
      <c r="B416">
        <v>15967</v>
      </c>
      <c r="C416" t="s">
        <v>15757</v>
      </c>
      <c r="E416">
        <v>243</v>
      </c>
      <c r="F416">
        <v>116</v>
      </c>
      <c r="G416">
        <v>65</v>
      </c>
      <c r="H416">
        <v>11</v>
      </c>
      <c r="V416" t="s">
        <v>197</v>
      </c>
    </row>
    <row r="417" spans="2:22" x14ac:dyDescent="0.25">
      <c r="B417">
        <v>15968</v>
      </c>
      <c r="C417" t="s">
        <v>15758</v>
      </c>
      <c r="E417">
        <v>243</v>
      </c>
      <c r="F417">
        <v>116</v>
      </c>
      <c r="G417">
        <v>65</v>
      </c>
      <c r="H417">
        <v>11</v>
      </c>
      <c r="V417" t="s">
        <v>9753</v>
      </c>
    </row>
    <row r="418" spans="2:22" x14ac:dyDescent="0.25">
      <c r="B418">
        <v>15969</v>
      </c>
      <c r="C418" t="s">
        <v>15759</v>
      </c>
      <c r="E418">
        <v>231</v>
      </c>
      <c r="F418">
        <v>110</v>
      </c>
      <c r="G418">
        <v>62</v>
      </c>
      <c r="H418">
        <v>8</v>
      </c>
      <c r="S418" t="s">
        <v>9755</v>
      </c>
    </row>
    <row r="419" spans="2:22" x14ac:dyDescent="0.25">
      <c r="B419">
        <v>15970</v>
      </c>
      <c r="C419" t="s">
        <v>15760</v>
      </c>
      <c r="E419">
        <v>231</v>
      </c>
      <c r="F419">
        <v>110</v>
      </c>
      <c r="G419">
        <v>62</v>
      </c>
      <c r="H419">
        <v>9</v>
      </c>
      <c r="T419" t="s">
        <v>9757</v>
      </c>
    </row>
    <row r="420" spans="2:22" x14ac:dyDescent="0.25">
      <c r="B420">
        <v>15971</v>
      </c>
      <c r="C420" t="s">
        <v>15761</v>
      </c>
      <c r="E420">
        <v>243</v>
      </c>
      <c r="F420">
        <v>116</v>
      </c>
      <c r="G420">
        <v>65</v>
      </c>
      <c r="H420">
        <v>9</v>
      </c>
      <c r="T420" t="s">
        <v>9759</v>
      </c>
    </row>
    <row r="421" spans="2:22" x14ac:dyDescent="0.25">
      <c r="B421">
        <v>15972</v>
      </c>
      <c r="C421" t="s">
        <v>15762</v>
      </c>
      <c r="E421">
        <v>243</v>
      </c>
      <c r="F421">
        <v>116</v>
      </c>
      <c r="G421">
        <v>65</v>
      </c>
      <c r="H421">
        <v>10</v>
      </c>
      <c r="U421" t="s">
        <v>9761</v>
      </c>
    </row>
    <row r="422" spans="2:22" x14ac:dyDescent="0.25">
      <c r="B422">
        <v>15973</v>
      </c>
      <c r="C422" t="s">
        <v>15763</v>
      </c>
      <c r="E422">
        <v>243</v>
      </c>
      <c r="F422">
        <v>116</v>
      </c>
      <c r="G422">
        <v>65</v>
      </c>
      <c r="H422">
        <v>10</v>
      </c>
      <c r="U422" t="s">
        <v>9763</v>
      </c>
    </row>
    <row r="423" spans="2:22" x14ac:dyDescent="0.25">
      <c r="B423">
        <v>15974</v>
      </c>
      <c r="C423" t="s">
        <v>15764</v>
      </c>
      <c r="E423">
        <v>243</v>
      </c>
      <c r="F423">
        <v>116</v>
      </c>
      <c r="G423">
        <v>65</v>
      </c>
      <c r="H423">
        <v>10</v>
      </c>
      <c r="U423" t="s">
        <v>9765</v>
      </c>
    </row>
    <row r="424" spans="2:22" x14ac:dyDescent="0.25">
      <c r="B424">
        <v>15975</v>
      </c>
      <c r="C424" t="s">
        <v>15765</v>
      </c>
      <c r="E424">
        <v>243</v>
      </c>
      <c r="F424">
        <v>116</v>
      </c>
      <c r="G424">
        <v>65</v>
      </c>
      <c r="H424">
        <v>11</v>
      </c>
      <c r="V424" t="s">
        <v>9767</v>
      </c>
    </row>
    <row r="425" spans="2:22" x14ac:dyDescent="0.25">
      <c r="B425">
        <v>15976</v>
      </c>
      <c r="C425" t="s">
        <v>15766</v>
      </c>
      <c r="E425">
        <v>219</v>
      </c>
      <c r="F425">
        <v>104</v>
      </c>
      <c r="G425">
        <v>59</v>
      </c>
      <c r="H425">
        <v>11</v>
      </c>
      <c r="V425" t="s">
        <v>9769</v>
      </c>
    </row>
    <row r="426" spans="2:22" x14ac:dyDescent="0.25">
      <c r="B426">
        <v>15977</v>
      </c>
      <c r="C426" t="s">
        <v>15767</v>
      </c>
      <c r="E426">
        <v>243</v>
      </c>
      <c r="F426">
        <v>116</v>
      </c>
      <c r="G426">
        <v>65</v>
      </c>
      <c r="H426">
        <v>11</v>
      </c>
      <c r="V426" t="s">
        <v>9771</v>
      </c>
    </row>
    <row r="427" spans="2:22" x14ac:dyDescent="0.25">
      <c r="B427">
        <v>15978</v>
      </c>
      <c r="C427" t="s">
        <v>15768</v>
      </c>
      <c r="E427">
        <v>243</v>
      </c>
      <c r="F427">
        <v>116</v>
      </c>
      <c r="G427">
        <v>65</v>
      </c>
      <c r="H427">
        <v>11</v>
      </c>
      <c r="V427" t="s">
        <v>9773</v>
      </c>
    </row>
    <row r="428" spans="2:22" x14ac:dyDescent="0.25">
      <c r="B428">
        <v>15979</v>
      </c>
      <c r="C428" t="s">
        <v>15769</v>
      </c>
      <c r="E428">
        <v>231</v>
      </c>
      <c r="F428">
        <v>110</v>
      </c>
      <c r="G428">
        <v>62</v>
      </c>
      <c r="H428">
        <v>8</v>
      </c>
      <c r="S428" t="s">
        <v>9775</v>
      </c>
    </row>
    <row r="429" spans="2:22" x14ac:dyDescent="0.25">
      <c r="B429">
        <v>15980</v>
      </c>
      <c r="C429" t="s">
        <v>15770</v>
      </c>
      <c r="E429">
        <v>231</v>
      </c>
      <c r="F429">
        <v>110</v>
      </c>
      <c r="G429">
        <v>62</v>
      </c>
      <c r="H429">
        <v>9</v>
      </c>
      <c r="T429" t="s">
        <v>9777</v>
      </c>
    </row>
    <row r="430" spans="2:22" x14ac:dyDescent="0.25">
      <c r="B430">
        <v>15981</v>
      </c>
      <c r="C430" t="s">
        <v>15771</v>
      </c>
      <c r="E430">
        <v>243</v>
      </c>
      <c r="F430">
        <v>116</v>
      </c>
      <c r="G430">
        <v>65</v>
      </c>
      <c r="H430">
        <v>9</v>
      </c>
      <c r="T430" t="s">
        <v>9779</v>
      </c>
    </row>
    <row r="431" spans="2:22" x14ac:dyDescent="0.25">
      <c r="B431">
        <v>15982</v>
      </c>
      <c r="C431" t="s">
        <v>15772</v>
      </c>
      <c r="E431">
        <v>243</v>
      </c>
      <c r="F431">
        <v>116</v>
      </c>
      <c r="G431">
        <v>65</v>
      </c>
      <c r="H431">
        <v>10</v>
      </c>
      <c r="U431" t="s">
        <v>9781</v>
      </c>
    </row>
    <row r="432" spans="2:22" x14ac:dyDescent="0.25">
      <c r="B432">
        <v>15983</v>
      </c>
      <c r="C432" t="s">
        <v>15773</v>
      </c>
      <c r="E432">
        <v>243</v>
      </c>
      <c r="F432">
        <v>116</v>
      </c>
      <c r="G432">
        <v>65</v>
      </c>
      <c r="H432">
        <v>10</v>
      </c>
      <c r="U432" t="s">
        <v>9783</v>
      </c>
    </row>
    <row r="433" spans="2:22" x14ac:dyDescent="0.25">
      <c r="B433">
        <v>15984</v>
      </c>
      <c r="C433" t="s">
        <v>15774</v>
      </c>
      <c r="E433">
        <v>243</v>
      </c>
      <c r="F433">
        <v>116</v>
      </c>
      <c r="G433">
        <v>65</v>
      </c>
      <c r="H433">
        <v>11</v>
      </c>
      <c r="V433" t="s">
        <v>1268</v>
      </c>
    </row>
    <row r="434" spans="2:22" x14ac:dyDescent="0.25">
      <c r="B434">
        <v>15985</v>
      </c>
      <c r="C434" t="s">
        <v>15775</v>
      </c>
      <c r="E434">
        <v>243</v>
      </c>
      <c r="F434">
        <v>116</v>
      </c>
      <c r="G434">
        <v>65</v>
      </c>
      <c r="H434">
        <v>10</v>
      </c>
      <c r="U434" t="s">
        <v>9785</v>
      </c>
    </row>
    <row r="435" spans="2:22" x14ac:dyDescent="0.25">
      <c r="B435">
        <v>15986</v>
      </c>
      <c r="C435" t="s">
        <v>15776</v>
      </c>
      <c r="E435">
        <v>243</v>
      </c>
      <c r="F435">
        <v>116</v>
      </c>
      <c r="G435">
        <v>65</v>
      </c>
      <c r="H435">
        <v>11</v>
      </c>
      <c r="V435" t="s">
        <v>9787</v>
      </c>
    </row>
    <row r="436" spans="2:22" x14ac:dyDescent="0.25">
      <c r="B436">
        <v>15987</v>
      </c>
      <c r="C436" t="s">
        <v>15777</v>
      </c>
      <c r="E436">
        <v>219</v>
      </c>
      <c r="F436">
        <v>104</v>
      </c>
      <c r="G436">
        <v>59</v>
      </c>
      <c r="H436">
        <v>11</v>
      </c>
      <c r="V436" t="s">
        <v>9789</v>
      </c>
    </row>
    <row r="437" spans="2:22" x14ac:dyDescent="0.25">
      <c r="B437">
        <v>15988</v>
      </c>
      <c r="C437" t="s">
        <v>15778</v>
      </c>
      <c r="E437">
        <v>243</v>
      </c>
      <c r="F437">
        <v>116</v>
      </c>
      <c r="G437">
        <v>65</v>
      </c>
      <c r="H437">
        <v>11</v>
      </c>
      <c r="V437" t="s">
        <v>9791</v>
      </c>
    </row>
    <row r="438" spans="2:22" x14ac:dyDescent="0.25">
      <c r="B438">
        <v>15989</v>
      </c>
      <c r="C438" t="s">
        <v>15779</v>
      </c>
      <c r="E438">
        <v>231</v>
      </c>
      <c r="F438">
        <v>110</v>
      </c>
      <c r="G438">
        <v>62</v>
      </c>
      <c r="H438">
        <v>8</v>
      </c>
      <c r="S438" t="s">
        <v>9793</v>
      </c>
    </row>
    <row r="439" spans="2:22" x14ac:dyDescent="0.25">
      <c r="B439">
        <v>15990</v>
      </c>
      <c r="C439" t="s">
        <v>15780</v>
      </c>
      <c r="E439">
        <v>231</v>
      </c>
      <c r="F439">
        <v>110</v>
      </c>
      <c r="G439">
        <v>62</v>
      </c>
      <c r="H439">
        <v>9</v>
      </c>
      <c r="T439" t="s">
        <v>9795</v>
      </c>
    </row>
    <row r="440" spans="2:22" x14ac:dyDescent="0.25">
      <c r="B440">
        <v>15991</v>
      </c>
      <c r="C440" t="s">
        <v>15781</v>
      </c>
      <c r="E440">
        <v>243</v>
      </c>
      <c r="F440">
        <v>116</v>
      </c>
      <c r="G440">
        <v>65</v>
      </c>
      <c r="H440">
        <v>9</v>
      </c>
      <c r="T440" t="s">
        <v>9797</v>
      </c>
    </row>
    <row r="441" spans="2:22" x14ac:dyDescent="0.25">
      <c r="B441">
        <v>15992</v>
      </c>
      <c r="C441" t="s">
        <v>15782</v>
      </c>
      <c r="E441">
        <v>243</v>
      </c>
      <c r="F441">
        <v>116</v>
      </c>
      <c r="G441">
        <v>65</v>
      </c>
      <c r="H441">
        <v>10</v>
      </c>
      <c r="U441" t="s">
        <v>9799</v>
      </c>
    </row>
    <row r="442" spans="2:22" x14ac:dyDescent="0.25">
      <c r="B442">
        <v>15993</v>
      </c>
      <c r="C442" t="s">
        <v>15783</v>
      </c>
      <c r="E442">
        <v>243</v>
      </c>
      <c r="F442">
        <v>116</v>
      </c>
      <c r="G442">
        <v>65</v>
      </c>
      <c r="H442">
        <v>10</v>
      </c>
      <c r="U442" t="s">
        <v>9801</v>
      </c>
    </row>
    <row r="443" spans="2:22" x14ac:dyDescent="0.25">
      <c r="B443">
        <v>15994</v>
      </c>
      <c r="C443" t="s">
        <v>15784</v>
      </c>
      <c r="E443">
        <v>243</v>
      </c>
      <c r="F443">
        <v>116</v>
      </c>
      <c r="G443">
        <v>65</v>
      </c>
      <c r="H443">
        <v>11</v>
      </c>
      <c r="V443" t="s">
        <v>308</v>
      </c>
    </row>
    <row r="444" spans="2:22" x14ac:dyDescent="0.25">
      <c r="B444">
        <v>15995</v>
      </c>
      <c r="C444" t="s">
        <v>15785</v>
      </c>
      <c r="E444">
        <v>243</v>
      </c>
      <c r="F444">
        <v>116</v>
      </c>
      <c r="G444">
        <v>65</v>
      </c>
      <c r="H444">
        <v>11</v>
      </c>
      <c r="V444" t="s">
        <v>9803</v>
      </c>
    </row>
    <row r="445" spans="2:22" x14ac:dyDescent="0.25">
      <c r="B445">
        <v>15996</v>
      </c>
      <c r="C445" t="s">
        <v>15786</v>
      </c>
      <c r="E445">
        <v>243</v>
      </c>
      <c r="F445">
        <v>116</v>
      </c>
      <c r="G445">
        <v>65</v>
      </c>
      <c r="H445">
        <v>11</v>
      </c>
      <c r="V445" t="s">
        <v>9805</v>
      </c>
    </row>
    <row r="446" spans="2:22" x14ac:dyDescent="0.25">
      <c r="B446">
        <v>15997</v>
      </c>
      <c r="C446" t="s">
        <v>15787</v>
      </c>
      <c r="E446">
        <v>243</v>
      </c>
      <c r="F446">
        <v>116</v>
      </c>
      <c r="G446">
        <v>65</v>
      </c>
      <c r="H446">
        <v>10</v>
      </c>
      <c r="U446" t="s">
        <v>9807</v>
      </c>
    </row>
    <row r="447" spans="2:22" x14ac:dyDescent="0.25">
      <c r="B447">
        <v>15998</v>
      </c>
      <c r="C447" t="s">
        <v>15788</v>
      </c>
      <c r="E447">
        <v>243</v>
      </c>
      <c r="F447">
        <v>116</v>
      </c>
      <c r="G447">
        <v>65</v>
      </c>
      <c r="H447">
        <v>11</v>
      </c>
      <c r="V447" t="s">
        <v>9809</v>
      </c>
    </row>
    <row r="448" spans="2:22" x14ac:dyDescent="0.25">
      <c r="B448">
        <v>15999</v>
      </c>
      <c r="C448" t="s">
        <v>15789</v>
      </c>
      <c r="E448">
        <v>243</v>
      </c>
      <c r="F448">
        <v>116</v>
      </c>
      <c r="G448">
        <v>65</v>
      </c>
      <c r="H448">
        <v>11</v>
      </c>
      <c r="V448" t="s">
        <v>4008</v>
      </c>
    </row>
    <row r="449" spans="2:22" x14ac:dyDescent="0.25">
      <c r="B449">
        <v>16000</v>
      </c>
      <c r="C449" t="s">
        <v>15790</v>
      </c>
      <c r="E449">
        <v>243</v>
      </c>
      <c r="F449">
        <v>116</v>
      </c>
      <c r="G449">
        <v>65</v>
      </c>
      <c r="H449">
        <v>11</v>
      </c>
      <c r="V449" t="s">
        <v>329</v>
      </c>
    </row>
    <row r="450" spans="2:22" x14ac:dyDescent="0.25">
      <c r="B450">
        <v>16001</v>
      </c>
      <c r="C450" t="s">
        <v>15791</v>
      </c>
      <c r="E450">
        <v>242</v>
      </c>
      <c r="F450">
        <v>25</v>
      </c>
      <c r="G450">
        <v>60</v>
      </c>
      <c r="H450">
        <v>7</v>
      </c>
      <c r="R450" t="s">
        <v>9811</v>
      </c>
    </row>
    <row r="451" spans="2:22" x14ac:dyDescent="0.25">
      <c r="B451">
        <v>111220552</v>
      </c>
      <c r="C451" t="s">
        <v>15792</v>
      </c>
      <c r="E451">
        <v>242</v>
      </c>
      <c r="F451">
        <v>25</v>
      </c>
      <c r="G451">
        <v>60</v>
      </c>
      <c r="H451">
        <v>9</v>
      </c>
      <c r="S451" t="s">
        <v>8675</v>
      </c>
    </row>
    <row r="452" spans="2:22" x14ac:dyDescent="0.25">
      <c r="B452">
        <v>111220554</v>
      </c>
      <c r="C452" t="s">
        <v>15793</v>
      </c>
      <c r="E452">
        <v>243</v>
      </c>
      <c r="F452">
        <v>47</v>
      </c>
      <c r="G452">
        <v>79</v>
      </c>
      <c r="H452">
        <v>9</v>
      </c>
      <c r="S452" t="s">
        <v>8677</v>
      </c>
    </row>
    <row r="453" spans="2:22" x14ac:dyDescent="0.25">
      <c r="B453">
        <v>111220556</v>
      </c>
      <c r="C453" t="s">
        <v>15794</v>
      </c>
      <c r="E453">
        <v>243</v>
      </c>
      <c r="F453">
        <v>47</v>
      </c>
      <c r="G453">
        <v>79</v>
      </c>
      <c r="H453">
        <v>10</v>
      </c>
      <c r="T453" t="s">
        <v>8679</v>
      </c>
    </row>
    <row r="454" spans="2:22" x14ac:dyDescent="0.25">
      <c r="B454">
        <v>111220558</v>
      </c>
      <c r="C454" t="s">
        <v>15795</v>
      </c>
      <c r="E454">
        <v>243</v>
      </c>
      <c r="F454">
        <v>47</v>
      </c>
      <c r="G454">
        <v>79</v>
      </c>
      <c r="H454">
        <v>10</v>
      </c>
      <c r="T454" t="s">
        <v>8681</v>
      </c>
    </row>
    <row r="455" spans="2:22" x14ac:dyDescent="0.25">
      <c r="B455">
        <v>111220560</v>
      </c>
      <c r="C455" t="s">
        <v>15796</v>
      </c>
      <c r="E455">
        <v>243</v>
      </c>
      <c r="F455">
        <v>47</v>
      </c>
      <c r="G455">
        <v>79</v>
      </c>
      <c r="H455">
        <v>10</v>
      </c>
      <c r="T455" t="s">
        <v>8683</v>
      </c>
    </row>
    <row r="456" spans="2:22" x14ac:dyDescent="0.25">
      <c r="B456">
        <v>16002</v>
      </c>
      <c r="C456" t="s">
        <v>15797</v>
      </c>
      <c r="E456">
        <v>242</v>
      </c>
      <c r="F456">
        <v>25</v>
      </c>
      <c r="G456">
        <v>60</v>
      </c>
      <c r="H456">
        <v>8</v>
      </c>
      <c r="S456" t="s">
        <v>2016</v>
      </c>
    </row>
    <row r="457" spans="2:22" x14ac:dyDescent="0.25">
      <c r="B457">
        <v>16003</v>
      </c>
      <c r="C457" t="s">
        <v>15798</v>
      </c>
      <c r="E457">
        <v>242</v>
      </c>
      <c r="F457">
        <v>25</v>
      </c>
      <c r="G457">
        <v>60</v>
      </c>
      <c r="H457">
        <v>9</v>
      </c>
      <c r="T457" t="s">
        <v>9813</v>
      </c>
    </row>
    <row r="458" spans="2:22" x14ac:dyDescent="0.25">
      <c r="B458">
        <v>16004</v>
      </c>
      <c r="C458" t="s">
        <v>15799</v>
      </c>
      <c r="E458">
        <v>243</v>
      </c>
      <c r="F458">
        <v>47</v>
      </c>
      <c r="G458">
        <v>79</v>
      </c>
      <c r="H458">
        <v>9</v>
      </c>
      <c r="T458" t="s">
        <v>9815</v>
      </c>
    </row>
    <row r="459" spans="2:22" x14ac:dyDescent="0.25">
      <c r="B459">
        <v>16005</v>
      </c>
      <c r="C459" t="s">
        <v>15800</v>
      </c>
      <c r="E459">
        <v>243</v>
      </c>
      <c r="F459">
        <v>47</v>
      </c>
      <c r="G459">
        <v>79</v>
      </c>
      <c r="H459">
        <v>10</v>
      </c>
      <c r="U459" t="s">
        <v>9817</v>
      </c>
    </row>
    <row r="460" spans="2:22" x14ac:dyDescent="0.25">
      <c r="B460">
        <v>16006</v>
      </c>
      <c r="C460" t="s">
        <v>15801</v>
      </c>
      <c r="E460">
        <v>243</v>
      </c>
      <c r="F460">
        <v>47</v>
      </c>
      <c r="G460">
        <v>79</v>
      </c>
      <c r="H460">
        <v>10</v>
      </c>
      <c r="U460" t="s">
        <v>9819</v>
      </c>
    </row>
    <row r="461" spans="2:22" x14ac:dyDescent="0.25">
      <c r="B461">
        <v>16007</v>
      </c>
      <c r="C461" t="s">
        <v>15802</v>
      </c>
      <c r="E461">
        <v>243</v>
      </c>
      <c r="F461">
        <v>47</v>
      </c>
      <c r="G461">
        <v>79</v>
      </c>
      <c r="H461">
        <v>10</v>
      </c>
      <c r="U461" t="s">
        <v>9821</v>
      </c>
    </row>
    <row r="462" spans="2:22" x14ac:dyDescent="0.25">
      <c r="B462">
        <v>16008</v>
      </c>
      <c r="C462" t="s">
        <v>15803</v>
      </c>
      <c r="E462">
        <v>243</v>
      </c>
      <c r="F462">
        <v>47</v>
      </c>
      <c r="G462">
        <v>79</v>
      </c>
      <c r="H462">
        <v>11</v>
      </c>
      <c r="V462" t="s">
        <v>9823</v>
      </c>
    </row>
    <row r="463" spans="2:22" x14ac:dyDescent="0.25">
      <c r="B463">
        <v>16009</v>
      </c>
      <c r="C463" t="s">
        <v>15804</v>
      </c>
      <c r="E463">
        <v>243</v>
      </c>
      <c r="F463">
        <v>47</v>
      </c>
      <c r="G463">
        <v>79</v>
      </c>
      <c r="H463">
        <v>11</v>
      </c>
      <c r="V463" t="s">
        <v>9825</v>
      </c>
    </row>
    <row r="464" spans="2:22" x14ac:dyDescent="0.25">
      <c r="B464">
        <v>16010</v>
      </c>
      <c r="C464" t="s">
        <v>15805</v>
      </c>
      <c r="E464">
        <v>243</v>
      </c>
      <c r="F464">
        <v>47</v>
      </c>
      <c r="G464">
        <v>79</v>
      </c>
      <c r="H464">
        <v>11</v>
      </c>
      <c r="V464" t="s">
        <v>9827</v>
      </c>
    </row>
    <row r="465" spans="2:23" x14ac:dyDescent="0.25">
      <c r="B465">
        <v>16011</v>
      </c>
      <c r="C465" t="s">
        <v>15806</v>
      </c>
      <c r="E465">
        <v>243</v>
      </c>
      <c r="F465">
        <v>47</v>
      </c>
      <c r="G465">
        <v>79</v>
      </c>
      <c r="H465">
        <v>11</v>
      </c>
      <c r="V465" t="s">
        <v>9829</v>
      </c>
    </row>
    <row r="466" spans="2:23" x14ac:dyDescent="0.25">
      <c r="B466">
        <v>16012</v>
      </c>
      <c r="C466" t="s">
        <v>15807</v>
      </c>
      <c r="E466">
        <v>243</v>
      </c>
      <c r="F466">
        <v>47</v>
      </c>
      <c r="G466">
        <v>79</v>
      </c>
      <c r="H466">
        <v>11</v>
      </c>
      <c r="V466" t="s">
        <v>9831</v>
      </c>
    </row>
    <row r="467" spans="2:23" x14ac:dyDescent="0.25">
      <c r="B467">
        <v>16013</v>
      </c>
      <c r="C467" t="s">
        <v>15808</v>
      </c>
      <c r="E467">
        <v>243</v>
      </c>
      <c r="F467">
        <v>47</v>
      </c>
      <c r="G467">
        <v>79</v>
      </c>
      <c r="H467">
        <v>11</v>
      </c>
      <c r="V467" t="s">
        <v>9833</v>
      </c>
    </row>
    <row r="468" spans="2:23" x14ac:dyDescent="0.25">
      <c r="B468">
        <v>16014</v>
      </c>
      <c r="C468" t="s">
        <v>15809</v>
      </c>
      <c r="E468">
        <v>243</v>
      </c>
      <c r="F468">
        <v>47</v>
      </c>
      <c r="G468">
        <v>79</v>
      </c>
      <c r="H468">
        <v>12</v>
      </c>
      <c r="W468" t="s">
        <v>9835</v>
      </c>
    </row>
    <row r="469" spans="2:23" x14ac:dyDescent="0.25">
      <c r="B469">
        <v>16015</v>
      </c>
      <c r="C469" t="s">
        <v>15810</v>
      </c>
      <c r="E469">
        <v>243</v>
      </c>
      <c r="F469">
        <v>47</v>
      </c>
      <c r="G469">
        <v>79</v>
      </c>
      <c r="H469">
        <v>12</v>
      </c>
      <c r="W469" t="s">
        <v>9837</v>
      </c>
    </row>
    <row r="470" spans="2:23" x14ac:dyDescent="0.25">
      <c r="B470">
        <v>16016</v>
      </c>
      <c r="C470" t="s">
        <v>15811</v>
      </c>
      <c r="E470">
        <v>242</v>
      </c>
      <c r="F470">
        <v>25</v>
      </c>
      <c r="G470">
        <v>60</v>
      </c>
      <c r="H470">
        <v>8</v>
      </c>
      <c r="S470" t="s">
        <v>3729</v>
      </c>
    </row>
    <row r="471" spans="2:23" x14ac:dyDescent="0.25">
      <c r="B471">
        <v>16017</v>
      </c>
      <c r="C471" t="s">
        <v>15812</v>
      </c>
      <c r="E471">
        <v>242</v>
      </c>
      <c r="F471">
        <v>25</v>
      </c>
      <c r="G471">
        <v>60</v>
      </c>
      <c r="H471">
        <v>9</v>
      </c>
      <c r="T471" t="s">
        <v>9839</v>
      </c>
    </row>
    <row r="472" spans="2:23" x14ac:dyDescent="0.25">
      <c r="B472">
        <v>16018</v>
      </c>
      <c r="C472" t="s">
        <v>15813</v>
      </c>
      <c r="E472">
        <v>243</v>
      </c>
      <c r="F472">
        <v>47</v>
      </c>
      <c r="G472">
        <v>79</v>
      </c>
      <c r="H472">
        <v>9</v>
      </c>
      <c r="T472" t="s">
        <v>9841</v>
      </c>
    </row>
    <row r="473" spans="2:23" x14ac:dyDescent="0.25">
      <c r="B473">
        <v>16019</v>
      </c>
      <c r="C473" t="s">
        <v>15814</v>
      </c>
      <c r="E473">
        <v>243</v>
      </c>
      <c r="F473">
        <v>47</v>
      </c>
      <c r="G473">
        <v>79</v>
      </c>
      <c r="H473">
        <v>10</v>
      </c>
      <c r="U473" t="s">
        <v>9843</v>
      </c>
    </row>
    <row r="474" spans="2:23" x14ac:dyDescent="0.25">
      <c r="B474">
        <v>16020</v>
      </c>
      <c r="C474" t="s">
        <v>15815</v>
      </c>
      <c r="E474">
        <v>243</v>
      </c>
      <c r="F474">
        <v>47</v>
      </c>
      <c r="G474">
        <v>79</v>
      </c>
      <c r="H474">
        <v>10</v>
      </c>
      <c r="U474" t="s">
        <v>9845</v>
      </c>
    </row>
    <row r="475" spans="2:23" x14ac:dyDescent="0.25">
      <c r="B475">
        <v>16021</v>
      </c>
      <c r="C475" t="s">
        <v>15816</v>
      </c>
      <c r="E475">
        <v>243</v>
      </c>
      <c r="F475">
        <v>47</v>
      </c>
      <c r="G475">
        <v>79</v>
      </c>
      <c r="H475">
        <v>10</v>
      </c>
      <c r="U475" t="s">
        <v>9847</v>
      </c>
    </row>
    <row r="476" spans="2:23" x14ac:dyDescent="0.25">
      <c r="B476">
        <v>16022</v>
      </c>
      <c r="C476" t="s">
        <v>15817</v>
      </c>
      <c r="E476">
        <v>243</v>
      </c>
      <c r="F476">
        <v>47</v>
      </c>
      <c r="G476">
        <v>79</v>
      </c>
      <c r="H476">
        <v>11</v>
      </c>
      <c r="V476" t="s">
        <v>9849</v>
      </c>
    </row>
    <row r="477" spans="2:23" x14ac:dyDescent="0.25">
      <c r="B477">
        <v>16023</v>
      </c>
      <c r="C477" t="s">
        <v>15818</v>
      </c>
      <c r="E477">
        <v>243</v>
      </c>
      <c r="F477">
        <v>47</v>
      </c>
      <c r="G477">
        <v>79</v>
      </c>
      <c r="H477">
        <v>11</v>
      </c>
      <c r="V477" t="s">
        <v>9851</v>
      </c>
    </row>
    <row r="478" spans="2:23" x14ac:dyDescent="0.25">
      <c r="B478">
        <v>16024</v>
      </c>
      <c r="C478" t="s">
        <v>15819</v>
      </c>
      <c r="E478">
        <v>243</v>
      </c>
      <c r="F478">
        <v>47</v>
      </c>
      <c r="G478">
        <v>79</v>
      </c>
      <c r="H478">
        <v>11</v>
      </c>
      <c r="V478" t="s">
        <v>9853</v>
      </c>
    </row>
    <row r="479" spans="2:23" x14ac:dyDescent="0.25">
      <c r="B479">
        <v>16025</v>
      </c>
      <c r="C479" t="s">
        <v>15820</v>
      </c>
      <c r="E479">
        <v>243</v>
      </c>
      <c r="F479">
        <v>47</v>
      </c>
      <c r="G479">
        <v>79</v>
      </c>
      <c r="H479">
        <v>11</v>
      </c>
      <c r="V479" t="s">
        <v>9855</v>
      </c>
    </row>
    <row r="480" spans="2:23" x14ac:dyDescent="0.25">
      <c r="B480">
        <v>16026</v>
      </c>
      <c r="C480" t="s">
        <v>15821</v>
      </c>
      <c r="E480">
        <v>243</v>
      </c>
      <c r="F480">
        <v>47</v>
      </c>
      <c r="G480">
        <v>79</v>
      </c>
      <c r="H480">
        <v>11</v>
      </c>
      <c r="V480" t="s">
        <v>9857</v>
      </c>
    </row>
    <row r="481" spans="2:23" x14ac:dyDescent="0.25">
      <c r="B481">
        <v>16027</v>
      </c>
      <c r="C481" t="s">
        <v>15822</v>
      </c>
      <c r="E481">
        <v>243</v>
      </c>
      <c r="F481">
        <v>47</v>
      </c>
      <c r="G481">
        <v>79</v>
      </c>
      <c r="H481">
        <v>11</v>
      </c>
      <c r="V481" t="s">
        <v>9859</v>
      </c>
    </row>
    <row r="482" spans="2:23" x14ac:dyDescent="0.25">
      <c r="B482">
        <v>16028</v>
      </c>
      <c r="C482" t="s">
        <v>15823</v>
      </c>
      <c r="E482">
        <v>243</v>
      </c>
      <c r="F482">
        <v>47</v>
      </c>
      <c r="G482">
        <v>79</v>
      </c>
      <c r="H482">
        <v>12</v>
      </c>
      <c r="W482" t="s">
        <v>9861</v>
      </c>
    </row>
    <row r="483" spans="2:23" x14ac:dyDescent="0.25">
      <c r="B483">
        <v>16029</v>
      </c>
      <c r="C483" t="s">
        <v>15824</v>
      </c>
      <c r="E483">
        <v>243</v>
      </c>
      <c r="F483">
        <v>47</v>
      </c>
      <c r="G483">
        <v>79</v>
      </c>
      <c r="H483">
        <v>12</v>
      </c>
      <c r="W483" t="s">
        <v>9863</v>
      </c>
    </row>
    <row r="484" spans="2:23" x14ac:dyDescent="0.25">
      <c r="B484">
        <v>16030</v>
      </c>
      <c r="C484" t="s">
        <v>15825</v>
      </c>
      <c r="E484">
        <v>242</v>
      </c>
      <c r="F484">
        <v>25</v>
      </c>
      <c r="G484">
        <v>60</v>
      </c>
      <c r="H484">
        <v>8</v>
      </c>
      <c r="S484" t="s">
        <v>3376</v>
      </c>
    </row>
    <row r="485" spans="2:23" x14ac:dyDescent="0.25">
      <c r="B485">
        <v>16031</v>
      </c>
      <c r="C485" t="s">
        <v>15826</v>
      </c>
      <c r="E485">
        <v>242</v>
      </c>
      <c r="F485">
        <v>25</v>
      </c>
      <c r="G485">
        <v>60</v>
      </c>
      <c r="H485">
        <v>9</v>
      </c>
      <c r="T485" t="s">
        <v>9865</v>
      </c>
    </row>
    <row r="486" spans="2:23" x14ac:dyDescent="0.25">
      <c r="B486">
        <v>16032</v>
      </c>
      <c r="C486" t="s">
        <v>15827</v>
      </c>
      <c r="E486">
        <v>243</v>
      </c>
      <c r="F486">
        <v>47</v>
      </c>
      <c r="G486">
        <v>79</v>
      </c>
      <c r="H486">
        <v>9</v>
      </c>
      <c r="T486" t="s">
        <v>9867</v>
      </c>
    </row>
    <row r="487" spans="2:23" x14ac:dyDescent="0.25">
      <c r="B487">
        <v>16033</v>
      </c>
      <c r="C487" t="s">
        <v>15828</v>
      </c>
      <c r="E487">
        <v>243</v>
      </c>
      <c r="F487">
        <v>47</v>
      </c>
      <c r="G487">
        <v>79</v>
      </c>
      <c r="H487">
        <v>10</v>
      </c>
      <c r="U487" t="s">
        <v>9869</v>
      </c>
    </row>
    <row r="488" spans="2:23" x14ac:dyDescent="0.25">
      <c r="B488">
        <v>16034</v>
      </c>
      <c r="C488" t="s">
        <v>15829</v>
      </c>
      <c r="E488">
        <v>243</v>
      </c>
      <c r="F488">
        <v>47</v>
      </c>
      <c r="G488">
        <v>79</v>
      </c>
      <c r="H488">
        <v>10</v>
      </c>
      <c r="U488" t="s">
        <v>9871</v>
      </c>
    </row>
    <row r="489" spans="2:23" x14ac:dyDescent="0.25">
      <c r="B489">
        <v>16035</v>
      </c>
      <c r="C489" t="s">
        <v>15830</v>
      </c>
      <c r="E489">
        <v>243</v>
      </c>
      <c r="F489">
        <v>47</v>
      </c>
      <c r="G489">
        <v>79</v>
      </c>
      <c r="H489">
        <v>10</v>
      </c>
      <c r="U489" t="s">
        <v>9873</v>
      </c>
    </row>
    <row r="490" spans="2:23" x14ac:dyDescent="0.25">
      <c r="B490">
        <v>16036</v>
      </c>
      <c r="C490" t="s">
        <v>15831</v>
      </c>
      <c r="E490">
        <v>243</v>
      </c>
      <c r="F490">
        <v>47</v>
      </c>
      <c r="G490">
        <v>79</v>
      </c>
      <c r="H490">
        <v>11</v>
      </c>
      <c r="V490" t="s">
        <v>9875</v>
      </c>
    </row>
    <row r="491" spans="2:23" x14ac:dyDescent="0.25">
      <c r="B491">
        <v>16037</v>
      </c>
      <c r="C491" t="s">
        <v>15832</v>
      </c>
      <c r="E491">
        <v>243</v>
      </c>
      <c r="F491">
        <v>47</v>
      </c>
      <c r="G491">
        <v>79</v>
      </c>
      <c r="H491">
        <v>11</v>
      </c>
      <c r="V491" t="s">
        <v>9877</v>
      </c>
    </row>
    <row r="492" spans="2:23" x14ac:dyDescent="0.25">
      <c r="B492">
        <v>16038</v>
      </c>
      <c r="C492" t="s">
        <v>15833</v>
      </c>
      <c r="E492">
        <v>243</v>
      </c>
      <c r="F492">
        <v>47</v>
      </c>
      <c r="G492">
        <v>79</v>
      </c>
      <c r="H492">
        <v>11</v>
      </c>
      <c r="V492" t="s">
        <v>9879</v>
      </c>
    </row>
    <row r="493" spans="2:23" x14ac:dyDescent="0.25">
      <c r="B493">
        <v>16039</v>
      </c>
      <c r="C493" t="s">
        <v>15834</v>
      </c>
      <c r="E493">
        <v>243</v>
      </c>
      <c r="F493">
        <v>47</v>
      </c>
      <c r="G493">
        <v>79</v>
      </c>
      <c r="H493">
        <v>11</v>
      </c>
      <c r="V493" t="s">
        <v>9881</v>
      </c>
    </row>
    <row r="494" spans="2:23" x14ac:dyDescent="0.25">
      <c r="B494">
        <v>16040</v>
      </c>
      <c r="C494" t="s">
        <v>15835</v>
      </c>
      <c r="E494">
        <v>243</v>
      </c>
      <c r="F494">
        <v>47</v>
      </c>
      <c r="G494">
        <v>79</v>
      </c>
      <c r="H494">
        <v>11</v>
      </c>
      <c r="V494" t="s">
        <v>9883</v>
      </c>
    </row>
    <row r="495" spans="2:23" x14ac:dyDescent="0.25">
      <c r="B495">
        <v>16041</v>
      </c>
      <c r="C495" t="s">
        <v>15836</v>
      </c>
      <c r="E495">
        <v>243</v>
      </c>
      <c r="F495">
        <v>47</v>
      </c>
      <c r="G495">
        <v>79</v>
      </c>
      <c r="H495">
        <v>11</v>
      </c>
      <c r="V495" t="s">
        <v>9885</v>
      </c>
    </row>
    <row r="496" spans="2:23" x14ac:dyDescent="0.25">
      <c r="B496">
        <v>16042</v>
      </c>
      <c r="C496" t="s">
        <v>15837</v>
      </c>
      <c r="E496">
        <v>243</v>
      </c>
      <c r="F496">
        <v>47</v>
      </c>
      <c r="G496">
        <v>79</v>
      </c>
      <c r="H496">
        <v>12</v>
      </c>
      <c r="W496" t="s">
        <v>9887</v>
      </c>
    </row>
    <row r="497" spans="2:23" x14ac:dyDescent="0.25">
      <c r="B497">
        <v>16043</v>
      </c>
      <c r="C497" t="s">
        <v>15838</v>
      </c>
      <c r="E497">
        <v>243</v>
      </c>
      <c r="F497">
        <v>47</v>
      </c>
      <c r="G497">
        <v>79</v>
      </c>
      <c r="H497">
        <v>12</v>
      </c>
      <c r="W497" t="s">
        <v>9889</v>
      </c>
    </row>
    <row r="498" spans="2:23" x14ac:dyDescent="0.25">
      <c r="B498">
        <v>16044</v>
      </c>
      <c r="C498" t="s">
        <v>15839</v>
      </c>
      <c r="E498">
        <v>242</v>
      </c>
      <c r="F498">
        <v>25</v>
      </c>
      <c r="G498">
        <v>60</v>
      </c>
      <c r="H498">
        <v>8</v>
      </c>
      <c r="S498" t="s">
        <v>9891</v>
      </c>
    </row>
    <row r="499" spans="2:23" x14ac:dyDescent="0.25">
      <c r="B499">
        <v>16045</v>
      </c>
      <c r="C499" t="s">
        <v>15840</v>
      </c>
      <c r="E499">
        <v>242</v>
      </c>
      <c r="F499">
        <v>25</v>
      </c>
      <c r="G499">
        <v>60</v>
      </c>
      <c r="H499">
        <v>9</v>
      </c>
      <c r="T499" t="s">
        <v>9893</v>
      </c>
    </row>
    <row r="500" spans="2:23" x14ac:dyDescent="0.25">
      <c r="B500">
        <v>16046</v>
      </c>
      <c r="C500" t="s">
        <v>15841</v>
      </c>
      <c r="E500">
        <v>243</v>
      </c>
      <c r="F500">
        <v>47</v>
      </c>
      <c r="G500">
        <v>79</v>
      </c>
      <c r="H500">
        <v>9</v>
      </c>
      <c r="T500" t="s">
        <v>9895</v>
      </c>
    </row>
    <row r="501" spans="2:23" x14ac:dyDescent="0.25">
      <c r="B501">
        <v>16047</v>
      </c>
      <c r="C501" t="s">
        <v>15842</v>
      </c>
      <c r="E501">
        <v>243</v>
      </c>
      <c r="F501">
        <v>47</v>
      </c>
      <c r="G501">
        <v>79</v>
      </c>
      <c r="H501">
        <v>10</v>
      </c>
      <c r="U501" t="s">
        <v>9897</v>
      </c>
    </row>
    <row r="502" spans="2:23" x14ac:dyDescent="0.25">
      <c r="B502">
        <v>16048</v>
      </c>
      <c r="C502" t="s">
        <v>15843</v>
      </c>
      <c r="E502">
        <v>243</v>
      </c>
      <c r="F502">
        <v>47</v>
      </c>
      <c r="G502">
        <v>79</v>
      </c>
      <c r="H502">
        <v>10</v>
      </c>
      <c r="U502" t="s">
        <v>9899</v>
      </c>
    </row>
    <row r="503" spans="2:23" x14ac:dyDescent="0.25">
      <c r="B503">
        <v>16049</v>
      </c>
      <c r="C503" t="s">
        <v>15844</v>
      </c>
      <c r="E503">
        <v>243</v>
      </c>
      <c r="F503">
        <v>47</v>
      </c>
      <c r="G503">
        <v>79</v>
      </c>
      <c r="H503">
        <v>10</v>
      </c>
      <c r="U503" t="s">
        <v>9901</v>
      </c>
    </row>
    <row r="504" spans="2:23" x14ac:dyDescent="0.25">
      <c r="B504">
        <v>16050</v>
      </c>
      <c r="C504" t="s">
        <v>15845</v>
      </c>
      <c r="E504">
        <v>243</v>
      </c>
      <c r="F504">
        <v>47</v>
      </c>
      <c r="G504">
        <v>79</v>
      </c>
      <c r="H504">
        <v>11</v>
      </c>
      <c r="V504" t="s">
        <v>9903</v>
      </c>
    </row>
    <row r="505" spans="2:23" x14ac:dyDescent="0.25">
      <c r="B505">
        <v>16051</v>
      </c>
      <c r="C505" t="s">
        <v>15846</v>
      </c>
      <c r="E505">
        <v>243</v>
      </c>
      <c r="F505">
        <v>47</v>
      </c>
      <c r="G505">
        <v>79</v>
      </c>
      <c r="H505">
        <v>11</v>
      </c>
      <c r="V505" t="s">
        <v>9905</v>
      </c>
    </row>
    <row r="506" spans="2:23" x14ac:dyDescent="0.25">
      <c r="B506">
        <v>16052</v>
      </c>
      <c r="C506" t="s">
        <v>15847</v>
      </c>
      <c r="E506">
        <v>243</v>
      </c>
      <c r="F506">
        <v>47</v>
      </c>
      <c r="G506">
        <v>79</v>
      </c>
      <c r="H506">
        <v>11</v>
      </c>
      <c r="V506" t="s">
        <v>9907</v>
      </c>
    </row>
    <row r="507" spans="2:23" x14ac:dyDescent="0.25">
      <c r="B507">
        <v>16053</v>
      </c>
      <c r="C507" t="s">
        <v>15848</v>
      </c>
      <c r="E507">
        <v>243</v>
      </c>
      <c r="F507">
        <v>47</v>
      </c>
      <c r="G507">
        <v>79</v>
      </c>
      <c r="H507">
        <v>11</v>
      </c>
      <c r="V507" t="s">
        <v>9909</v>
      </c>
    </row>
    <row r="508" spans="2:23" x14ac:dyDescent="0.25">
      <c r="B508">
        <v>16054</v>
      </c>
      <c r="C508" t="s">
        <v>15849</v>
      </c>
      <c r="E508">
        <v>243</v>
      </c>
      <c r="F508">
        <v>47</v>
      </c>
      <c r="G508">
        <v>79</v>
      </c>
      <c r="H508">
        <v>11</v>
      </c>
      <c r="V508" t="s">
        <v>9911</v>
      </c>
    </row>
    <row r="509" spans="2:23" x14ac:dyDescent="0.25">
      <c r="B509">
        <v>16055</v>
      </c>
      <c r="C509" t="s">
        <v>15850</v>
      </c>
      <c r="E509">
        <v>243</v>
      </c>
      <c r="F509">
        <v>47</v>
      </c>
      <c r="G509">
        <v>79</v>
      </c>
      <c r="H509">
        <v>11</v>
      </c>
      <c r="V509" t="s">
        <v>9913</v>
      </c>
    </row>
    <row r="510" spans="2:23" x14ac:dyDescent="0.25">
      <c r="B510">
        <v>16056</v>
      </c>
      <c r="C510" t="s">
        <v>15851</v>
      </c>
      <c r="E510">
        <v>243</v>
      </c>
      <c r="F510">
        <v>47</v>
      </c>
      <c r="G510">
        <v>79</v>
      </c>
      <c r="H510">
        <v>12</v>
      </c>
      <c r="W510" t="s">
        <v>9915</v>
      </c>
    </row>
    <row r="511" spans="2:23" x14ac:dyDescent="0.25">
      <c r="B511">
        <v>16057</v>
      </c>
      <c r="C511" t="s">
        <v>15852</v>
      </c>
      <c r="E511">
        <v>243</v>
      </c>
      <c r="F511">
        <v>47</v>
      </c>
      <c r="G511">
        <v>79</v>
      </c>
      <c r="H511">
        <v>12</v>
      </c>
      <c r="W511" t="s">
        <v>9917</v>
      </c>
    </row>
    <row r="512" spans="2:23" x14ac:dyDescent="0.25">
      <c r="B512">
        <v>16058</v>
      </c>
      <c r="C512" t="s">
        <v>15853</v>
      </c>
      <c r="E512">
        <v>242</v>
      </c>
      <c r="F512">
        <v>25</v>
      </c>
      <c r="G512">
        <v>60</v>
      </c>
      <c r="H512">
        <v>8</v>
      </c>
      <c r="S512" t="s">
        <v>2440</v>
      </c>
    </row>
    <row r="513" spans="2:23" x14ac:dyDescent="0.25">
      <c r="B513">
        <v>16059</v>
      </c>
      <c r="C513" t="s">
        <v>15854</v>
      </c>
      <c r="E513">
        <v>242</v>
      </c>
      <c r="F513">
        <v>25</v>
      </c>
      <c r="G513">
        <v>60</v>
      </c>
      <c r="H513">
        <v>9</v>
      </c>
      <c r="T513" t="s">
        <v>9919</v>
      </c>
    </row>
    <row r="514" spans="2:23" x14ac:dyDescent="0.25">
      <c r="B514">
        <v>16060</v>
      </c>
      <c r="C514" t="s">
        <v>15855</v>
      </c>
      <c r="E514">
        <v>243</v>
      </c>
      <c r="F514">
        <v>47</v>
      </c>
      <c r="G514">
        <v>79</v>
      </c>
      <c r="H514">
        <v>9</v>
      </c>
      <c r="T514" t="s">
        <v>9921</v>
      </c>
    </row>
    <row r="515" spans="2:23" x14ac:dyDescent="0.25">
      <c r="B515">
        <v>16061</v>
      </c>
      <c r="C515" t="s">
        <v>15856</v>
      </c>
      <c r="E515">
        <v>243</v>
      </c>
      <c r="F515">
        <v>47</v>
      </c>
      <c r="G515">
        <v>79</v>
      </c>
      <c r="H515">
        <v>10</v>
      </c>
      <c r="U515" t="s">
        <v>9923</v>
      </c>
    </row>
    <row r="516" spans="2:23" x14ac:dyDescent="0.25">
      <c r="B516">
        <v>16062</v>
      </c>
      <c r="C516" t="s">
        <v>15857</v>
      </c>
      <c r="E516">
        <v>243</v>
      </c>
      <c r="F516">
        <v>47</v>
      </c>
      <c r="G516">
        <v>79</v>
      </c>
      <c r="H516">
        <v>10</v>
      </c>
      <c r="U516" t="s">
        <v>9925</v>
      </c>
    </row>
    <row r="517" spans="2:23" x14ac:dyDescent="0.25">
      <c r="B517">
        <v>16063</v>
      </c>
      <c r="C517" t="s">
        <v>15858</v>
      </c>
      <c r="E517">
        <v>243</v>
      </c>
      <c r="F517">
        <v>47</v>
      </c>
      <c r="G517">
        <v>79</v>
      </c>
      <c r="H517">
        <v>10</v>
      </c>
      <c r="U517" t="s">
        <v>9927</v>
      </c>
    </row>
    <row r="518" spans="2:23" x14ac:dyDescent="0.25">
      <c r="B518">
        <v>16064</v>
      </c>
      <c r="C518" t="s">
        <v>15859</v>
      </c>
      <c r="E518">
        <v>243</v>
      </c>
      <c r="F518">
        <v>47</v>
      </c>
      <c r="G518">
        <v>79</v>
      </c>
      <c r="H518">
        <v>11</v>
      </c>
      <c r="V518" t="s">
        <v>9929</v>
      </c>
    </row>
    <row r="519" spans="2:23" x14ac:dyDescent="0.25">
      <c r="B519">
        <v>16065</v>
      </c>
      <c r="C519" t="s">
        <v>15860</v>
      </c>
      <c r="E519">
        <v>243</v>
      </c>
      <c r="F519">
        <v>47</v>
      </c>
      <c r="G519">
        <v>79</v>
      </c>
      <c r="H519">
        <v>11</v>
      </c>
      <c r="V519" t="s">
        <v>9931</v>
      </c>
    </row>
    <row r="520" spans="2:23" x14ac:dyDescent="0.25">
      <c r="B520">
        <v>16066</v>
      </c>
      <c r="C520" t="s">
        <v>15861</v>
      </c>
      <c r="E520">
        <v>243</v>
      </c>
      <c r="F520">
        <v>47</v>
      </c>
      <c r="G520">
        <v>79</v>
      </c>
      <c r="H520">
        <v>11</v>
      </c>
      <c r="V520" t="s">
        <v>9933</v>
      </c>
    </row>
    <row r="521" spans="2:23" x14ac:dyDescent="0.25">
      <c r="B521">
        <v>16067</v>
      </c>
      <c r="C521" t="s">
        <v>15862</v>
      </c>
      <c r="E521">
        <v>243</v>
      </c>
      <c r="F521">
        <v>47</v>
      </c>
      <c r="G521">
        <v>79</v>
      </c>
      <c r="H521">
        <v>11</v>
      </c>
      <c r="V521" t="s">
        <v>9935</v>
      </c>
    </row>
    <row r="522" spans="2:23" x14ac:dyDescent="0.25">
      <c r="B522">
        <v>16068</v>
      </c>
      <c r="C522" t="s">
        <v>15863</v>
      </c>
      <c r="E522">
        <v>243</v>
      </c>
      <c r="F522">
        <v>47</v>
      </c>
      <c r="G522">
        <v>79</v>
      </c>
      <c r="H522">
        <v>11</v>
      </c>
      <c r="V522" t="s">
        <v>9937</v>
      </c>
    </row>
    <row r="523" spans="2:23" x14ac:dyDescent="0.25">
      <c r="B523">
        <v>16069</v>
      </c>
      <c r="C523" t="s">
        <v>15864</v>
      </c>
      <c r="E523">
        <v>243</v>
      </c>
      <c r="F523">
        <v>47</v>
      </c>
      <c r="G523">
        <v>79</v>
      </c>
      <c r="H523">
        <v>11</v>
      </c>
      <c r="V523" t="s">
        <v>9939</v>
      </c>
    </row>
    <row r="524" spans="2:23" x14ac:dyDescent="0.25">
      <c r="B524">
        <v>16070</v>
      </c>
      <c r="C524" t="s">
        <v>15865</v>
      </c>
      <c r="E524">
        <v>243</v>
      </c>
      <c r="F524">
        <v>47</v>
      </c>
      <c r="G524">
        <v>79</v>
      </c>
      <c r="H524">
        <v>12</v>
      </c>
      <c r="W524" t="s">
        <v>9941</v>
      </c>
    </row>
    <row r="525" spans="2:23" x14ac:dyDescent="0.25">
      <c r="B525">
        <v>16071</v>
      </c>
      <c r="C525" t="s">
        <v>15866</v>
      </c>
      <c r="E525">
        <v>243</v>
      </c>
      <c r="F525">
        <v>47</v>
      </c>
      <c r="G525">
        <v>79</v>
      </c>
      <c r="H525">
        <v>12</v>
      </c>
      <c r="W525" t="s">
        <v>9943</v>
      </c>
    </row>
    <row r="526" spans="2:23" x14ac:dyDescent="0.25">
      <c r="B526">
        <v>16072</v>
      </c>
      <c r="C526" t="s">
        <v>15867</v>
      </c>
      <c r="E526">
        <v>242</v>
      </c>
      <c r="F526">
        <v>25</v>
      </c>
      <c r="G526">
        <v>60</v>
      </c>
      <c r="H526">
        <v>8</v>
      </c>
      <c r="S526" t="s">
        <v>1242</v>
      </c>
    </row>
    <row r="527" spans="2:23" x14ac:dyDescent="0.25">
      <c r="B527">
        <v>16073</v>
      </c>
      <c r="C527" t="s">
        <v>15868</v>
      </c>
      <c r="E527">
        <v>242</v>
      </c>
      <c r="F527">
        <v>25</v>
      </c>
      <c r="G527">
        <v>60</v>
      </c>
      <c r="H527">
        <v>9</v>
      </c>
      <c r="T527" t="s">
        <v>9945</v>
      </c>
    </row>
    <row r="528" spans="2:23" x14ac:dyDescent="0.25">
      <c r="B528">
        <v>16074</v>
      </c>
      <c r="C528" t="s">
        <v>15869</v>
      </c>
      <c r="E528">
        <v>243</v>
      </c>
      <c r="F528">
        <v>47</v>
      </c>
      <c r="G528">
        <v>79</v>
      </c>
      <c r="H528">
        <v>9</v>
      </c>
      <c r="T528" t="s">
        <v>9947</v>
      </c>
    </row>
    <row r="529" spans="2:23" x14ac:dyDescent="0.25">
      <c r="B529">
        <v>16075</v>
      </c>
      <c r="C529" t="s">
        <v>15870</v>
      </c>
      <c r="E529">
        <v>243</v>
      </c>
      <c r="F529">
        <v>47</v>
      </c>
      <c r="G529">
        <v>79</v>
      </c>
      <c r="H529">
        <v>10</v>
      </c>
      <c r="U529" t="s">
        <v>9949</v>
      </c>
    </row>
    <row r="530" spans="2:23" x14ac:dyDescent="0.25">
      <c r="B530">
        <v>16076</v>
      </c>
      <c r="C530" t="s">
        <v>15871</v>
      </c>
      <c r="E530">
        <v>243</v>
      </c>
      <c r="F530">
        <v>47</v>
      </c>
      <c r="G530">
        <v>79</v>
      </c>
      <c r="H530">
        <v>10</v>
      </c>
      <c r="U530" t="s">
        <v>9951</v>
      </c>
    </row>
    <row r="531" spans="2:23" x14ac:dyDescent="0.25">
      <c r="B531">
        <v>16077</v>
      </c>
      <c r="C531" t="s">
        <v>15872</v>
      </c>
      <c r="E531">
        <v>243</v>
      </c>
      <c r="F531">
        <v>47</v>
      </c>
      <c r="G531">
        <v>79</v>
      </c>
      <c r="H531">
        <v>10</v>
      </c>
      <c r="U531" t="s">
        <v>9953</v>
      </c>
    </row>
    <row r="532" spans="2:23" x14ac:dyDescent="0.25">
      <c r="B532">
        <v>16078</v>
      </c>
      <c r="C532" t="s">
        <v>15873</v>
      </c>
      <c r="E532">
        <v>243</v>
      </c>
      <c r="F532">
        <v>47</v>
      </c>
      <c r="G532">
        <v>79</v>
      </c>
      <c r="H532">
        <v>11</v>
      </c>
      <c r="V532" t="s">
        <v>9955</v>
      </c>
    </row>
    <row r="533" spans="2:23" x14ac:dyDescent="0.25">
      <c r="B533">
        <v>16079</v>
      </c>
      <c r="C533" t="s">
        <v>15874</v>
      </c>
      <c r="E533">
        <v>243</v>
      </c>
      <c r="F533">
        <v>47</v>
      </c>
      <c r="G533">
        <v>79</v>
      </c>
      <c r="H533">
        <v>11</v>
      </c>
      <c r="V533" t="s">
        <v>9957</v>
      </c>
    </row>
    <row r="534" spans="2:23" x14ac:dyDescent="0.25">
      <c r="B534">
        <v>16080</v>
      </c>
      <c r="C534" t="s">
        <v>15875</v>
      </c>
      <c r="E534">
        <v>243</v>
      </c>
      <c r="F534">
        <v>47</v>
      </c>
      <c r="G534">
        <v>79</v>
      </c>
      <c r="H534">
        <v>11</v>
      </c>
      <c r="V534" t="s">
        <v>9959</v>
      </c>
    </row>
    <row r="535" spans="2:23" x14ac:dyDescent="0.25">
      <c r="B535">
        <v>16081</v>
      </c>
      <c r="C535" t="s">
        <v>15876</v>
      </c>
      <c r="E535">
        <v>243</v>
      </c>
      <c r="F535">
        <v>47</v>
      </c>
      <c r="G535">
        <v>79</v>
      </c>
      <c r="H535">
        <v>11</v>
      </c>
      <c r="V535" t="s">
        <v>9961</v>
      </c>
    </row>
    <row r="536" spans="2:23" x14ac:dyDescent="0.25">
      <c r="B536">
        <v>16082</v>
      </c>
      <c r="C536" t="s">
        <v>15877</v>
      </c>
      <c r="E536">
        <v>243</v>
      </c>
      <c r="F536">
        <v>47</v>
      </c>
      <c r="G536">
        <v>79</v>
      </c>
      <c r="H536">
        <v>11</v>
      </c>
      <c r="V536" t="s">
        <v>9963</v>
      </c>
    </row>
    <row r="537" spans="2:23" x14ac:dyDescent="0.25">
      <c r="B537">
        <v>16083</v>
      </c>
      <c r="C537" t="s">
        <v>15878</v>
      </c>
      <c r="E537">
        <v>243</v>
      </c>
      <c r="F537">
        <v>47</v>
      </c>
      <c r="G537">
        <v>79</v>
      </c>
      <c r="H537">
        <v>11</v>
      </c>
      <c r="V537" t="s">
        <v>9965</v>
      </c>
    </row>
    <row r="538" spans="2:23" x14ac:dyDescent="0.25">
      <c r="B538">
        <v>16084</v>
      </c>
      <c r="C538" t="s">
        <v>15879</v>
      </c>
      <c r="E538">
        <v>243</v>
      </c>
      <c r="F538">
        <v>47</v>
      </c>
      <c r="G538">
        <v>79</v>
      </c>
      <c r="H538">
        <v>12</v>
      </c>
      <c r="W538" t="s">
        <v>9967</v>
      </c>
    </row>
    <row r="539" spans="2:23" x14ac:dyDescent="0.25">
      <c r="B539">
        <v>16085</v>
      </c>
      <c r="C539" t="s">
        <v>15880</v>
      </c>
      <c r="E539">
        <v>243</v>
      </c>
      <c r="F539">
        <v>47</v>
      </c>
      <c r="G539">
        <v>79</v>
      </c>
      <c r="H539">
        <v>12</v>
      </c>
      <c r="W539" t="s">
        <v>9969</v>
      </c>
    </row>
    <row r="540" spans="2:23" x14ac:dyDescent="0.25">
      <c r="B540">
        <v>16086</v>
      </c>
      <c r="C540" t="s">
        <v>15881</v>
      </c>
      <c r="E540">
        <v>242</v>
      </c>
      <c r="F540">
        <v>25</v>
      </c>
      <c r="G540">
        <v>60</v>
      </c>
      <c r="H540">
        <v>8</v>
      </c>
      <c r="S540" t="s">
        <v>37</v>
      </c>
    </row>
    <row r="541" spans="2:23" x14ac:dyDescent="0.25">
      <c r="B541">
        <v>16087</v>
      </c>
      <c r="C541" t="s">
        <v>15882</v>
      </c>
      <c r="E541">
        <v>243</v>
      </c>
      <c r="F541">
        <v>47</v>
      </c>
      <c r="G541">
        <v>79</v>
      </c>
      <c r="H541">
        <v>11</v>
      </c>
      <c r="T541" t="s">
        <v>9971</v>
      </c>
    </row>
    <row r="542" spans="2:23" x14ac:dyDescent="0.25">
      <c r="B542">
        <v>16088</v>
      </c>
      <c r="C542" t="s">
        <v>15883</v>
      </c>
      <c r="E542">
        <v>243</v>
      </c>
      <c r="F542">
        <v>47</v>
      </c>
      <c r="G542">
        <v>79</v>
      </c>
      <c r="H542">
        <v>11</v>
      </c>
      <c r="T542" t="s">
        <v>9973</v>
      </c>
    </row>
    <row r="543" spans="2:23" x14ac:dyDescent="0.25">
      <c r="B543">
        <v>16089</v>
      </c>
      <c r="C543" t="s">
        <v>15884</v>
      </c>
      <c r="E543">
        <v>243</v>
      </c>
      <c r="F543">
        <v>47</v>
      </c>
      <c r="G543">
        <v>79</v>
      </c>
      <c r="H543">
        <v>11</v>
      </c>
      <c r="T543" t="s">
        <v>9975</v>
      </c>
    </row>
    <row r="544" spans="2:23" x14ac:dyDescent="0.25">
      <c r="B544">
        <v>16090</v>
      </c>
      <c r="C544" t="s">
        <v>15885</v>
      </c>
      <c r="E544">
        <v>243</v>
      </c>
      <c r="F544">
        <v>47</v>
      </c>
      <c r="G544">
        <v>79</v>
      </c>
      <c r="H544">
        <v>11</v>
      </c>
      <c r="T544" t="s">
        <v>9977</v>
      </c>
    </row>
    <row r="545" spans="2:21" x14ac:dyDescent="0.25">
      <c r="B545">
        <v>16091</v>
      </c>
      <c r="C545" t="s">
        <v>15886</v>
      </c>
      <c r="E545">
        <v>243</v>
      </c>
      <c r="F545">
        <v>47</v>
      </c>
      <c r="G545">
        <v>79</v>
      </c>
      <c r="H545">
        <v>11</v>
      </c>
      <c r="T545" t="s">
        <v>9979</v>
      </c>
    </row>
    <row r="546" spans="2:21" x14ac:dyDescent="0.25">
      <c r="B546">
        <v>16092</v>
      </c>
      <c r="C546" t="s">
        <v>15887</v>
      </c>
      <c r="E546">
        <v>243</v>
      </c>
      <c r="F546">
        <v>47</v>
      </c>
      <c r="G546">
        <v>79</v>
      </c>
      <c r="H546">
        <v>11</v>
      </c>
      <c r="T546" t="s">
        <v>9981</v>
      </c>
    </row>
    <row r="547" spans="2:21" x14ac:dyDescent="0.25">
      <c r="B547">
        <v>16093</v>
      </c>
      <c r="C547" t="s">
        <v>15888</v>
      </c>
      <c r="E547">
        <v>242</v>
      </c>
      <c r="F547">
        <v>25</v>
      </c>
      <c r="G547">
        <v>60</v>
      </c>
      <c r="H547">
        <v>8</v>
      </c>
      <c r="S547" t="s">
        <v>4735</v>
      </c>
    </row>
    <row r="548" spans="2:21" x14ac:dyDescent="0.25">
      <c r="B548">
        <v>16094</v>
      </c>
      <c r="C548" t="s">
        <v>15889</v>
      </c>
      <c r="E548">
        <v>243</v>
      </c>
      <c r="F548">
        <v>47</v>
      </c>
      <c r="G548">
        <v>79</v>
      </c>
      <c r="H548">
        <v>11</v>
      </c>
      <c r="T548" t="s">
        <v>9983</v>
      </c>
    </row>
    <row r="549" spans="2:21" x14ac:dyDescent="0.25">
      <c r="B549">
        <v>16095</v>
      </c>
      <c r="C549" t="s">
        <v>15890</v>
      </c>
      <c r="E549">
        <v>243</v>
      </c>
      <c r="F549">
        <v>47</v>
      </c>
      <c r="G549">
        <v>79</v>
      </c>
      <c r="H549">
        <v>11</v>
      </c>
      <c r="T549" t="s">
        <v>9985</v>
      </c>
    </row>
    <row r="550" spans="2:21" x14ac:dyDescent="0.25">
      <c r="B550">
        <v>16096</v>
      </c>
      <c r="C550" t="s">
        <v>15891</v>
      </c>
      <c r="E550">
        <v>243</v>
      </c>
      <c r="F550">
        <v>47</v>
      </c>
      <c r="G550">
        <v>79</v>
      </c>
      <c r="H550">
        <v>11</v>
      </c>
      <c r="T550" t="s">
        <v>9987</v>
      </c>
    </row>
    <row r="551" spans="2:21" x14ac:dyDescent="0.25">
      <c r="B551">
        <v>16097</v>
      </c>
      <c r="C551" t="s">
        <v>15892</v>
      </c>
      <c r="E551">
        <v>243</v>
      </c>
      <c r="F551">
        <v>47</v>
      </c>
      <c r="G551">
        <v>79</v>
      </c>
      <c r="H551">
        <v>11</v>
      </c>
      <c r="T551" t="s">
        <v>9989</v>
      </c>
    </row>
    <row r="552" spans="2:21" x14ac:dyDescent="0.25">
      <c r="B552">
        <v>16098</v>
      </c>
      <c r="C552" t="s">
        <v>15893</v>
      </c>
      <c r="E552">
        <v>243</v>
      </c>
      <c r="F552">
        <v>47</v>
      </c>
      <c r="G552">
        <v>79</v>
      </c>
      <c r="H552">
        <v>11</v>
      </c>
      <c r="T552" t="s">
        <v>9991</v>
      </c>
    </row>
    <row r="553" spans="2:21" x14ac:dyDescent="0.25">
      <c r="B553">
        <v>16099</v>
      </c>
      <c r="C553" t="s">
        <v>15894</v>
      </c>
      <c r="E553">
        <v>243</v>
      </c>
      <c r="F553">
        <v>47</v>
      </c>
      <c r="G553">
        <v>79</v>
      </c>
      <c r="H553">
        <v>11</v>
      </c>
      <c r="T553" t="s">
        <v>9993</v>
      </c>
    </row>
    <row r="554" spans="2:21" x14ac:dyDescent="0.25">
      <c r="B554">
        <v>16100</v>
      </c>
      <c r="C554" t="s">
        <v>15895</v>
      </c>
      <c r="E554">
        <v>243</v>
      </c>
      <c r="F554">
        <v>47</v>
      </c>
      <c r="G554">
        <v>79</v>
      </c>
      <c r="H554">
        <v>12</v>
      </c>
      <c r="U554" t="s">
        <v>9995</v>
      </c>
    </row>
    <row r="555" spans="2:21" x14ac:dyDescent="0.25">
      <c r="B555">
        <v>16101</v>
      </c>
      <c r="C555" t="s">
        <v>15896</v>
      </c>
      <c r="E555">
        <v>243</v>
      </c>
      <c r="F555">
        <v>47</v>
      </c>
      <c r="G555">
        <v>79</v>
      </c>
      <c r="H555">
        <v>12</v>
      </c>
      <c r="U555" t="s">
        <v>9997</v>
      </c>
    </row>
    <row r="556" spans="2:21" x14ac:dyDescent="0.25">
      <c r="B556">
        <v>16102</v>
      </c>
      <c r="C556" t="s">
        <v>15897</v>
      </c>
      <c r="E556">
        <v>242</v>
      </c>
      <c r="F556">
        <v>25</v>
      </c>
      <c r="G556">
        <v>60</v>
      </c>
      <c r="H556">
        <v>8</v>
      </c>
      <c r="S556" t="s">
        <v>1765</v>
      </c>
    </row>
    <row r="557" spans="2:21" x14ac:dyDescent="0.25">
      <c r="B557">
        <v>16103</v>
      </c>
      <c r="C557" t="s">
        <v>15898</v>
      </c>
      <c r="E557">
        <v>242</v>
      </c>
      <c r="F557">
        <v>25</v>
      </c>
      <c r="G557">
        <v>60</v>
      </c>
      <c r="H557">
        <v>9</v>
      </c>
      <c r="T557" t="s">
        <v>9999</v>
      </c>
    </row>
    <row r="558" spans="2:21" x14ac:dyDescent="0.25">
      <c r="B558">
        <v>16104</v>
      </c>
      <c r="C558" t="s">
        <v>15899</v>
      </c>
      <c r="E558">
        <v>243</v>
      </c>
      <c r="F558">
        <v>47</v>
      </c>
      <c r="G558">
        <v>79</v>
      </c>
      <c r="H558">
        <v>9</v>
      </c>
      <c r="T558" t="s">
        <v>10001</v>
      </c>
    </row>
    <row r="559" spans="2:21" x14ac:dyDescent="0.25">
      <c r="B559">
        <v>16105</v>
      </c>
      <c r="C559" t="s">
        <v>15900</v>
      </c>
      <c r="E559">
        <v>243</v>
      </c>
      <c r="F559">
        <v>47</v>
      </c>
      <c r="G559">
        <v>79</v>
      </c>
      <c r="H559">
        <v>10</v>
      </c>
      <c r="U559" t="s">
        <v>10003</v>
      </c>
    </row>
    <row r="560" spans="2:21" x14ac:dyDescent="0.25">
      <c r="B560">
        <v>16106</v>
      </c>
      <c r="C560" t="s">
        <v>15901</v>
      </c>
      <c r="E560">
        <v>243</v>
      </c>
      <c r="F560">
        <v>47</v>
      </c>
      <c r="G560">
        <v>79</v>
      </c>
      <c r="H560">
        <v>10</v>
      </c>
      <c r="U560" t="s">
        <v>10005</v>
      </c>
    </row>
    <row r="561" spans="2:22" x14ac:dyDescent="0.25">
      <c r="B561">
        <v>16107</v>
      </c>
      <c r="C561" t="s">
        <v>15902</v>
      </c>
      <c r="E561">
        <v>243</v>
      </c>
      <c r="F561">
        <v>47</v>
      </c>
      <c r="G561">
        <v>79</v>
      </c>
      <c r="H561">
        <v>10</v>
      </c>
      <c r="U561" t="s">
        <v>10007</v>
      </c>
    </row>
    <row r="562" spans="2:22" x14ac:dyDescent="0.25">
      <c r="B562">
        <v>16108</v>
      </c>
      <c r="C562" t="s">
        <v>15903</v>
      </c>
      <c r="E562">
        <v>243</v>
      </c>
      <c r="F562">
        <v>47</v>
      </c>
      <c r="G562">
        <v>79</v>
      </c>
      <c r="H562">
        <v>11</v>
      </c>
      <c r="V562" t="s">
        <v>10009</v>
      </c>
    </row>
    <row r="563" spans="2:22" x14ac:dyDescent="0.25">
      <c r="B563">
        <v>16109</v>
      </c>
      <c r="C563" t="s">
        <v>15904</v>
      </c>
      <c r="E563">
        <v>243</v>
      </c>
      <c r="F563">
        <v>47</v>
      </c>
      <c r="G563">
        <v>79</v>
      </c>
      <c r="H563">
        <v>11</v>
      </c>
      <c r="V563" t="s">
        <v>10011</v>
      </c>
    </row>
    <row r="564" spans="2:22" x14ac:dyDescent="0.25">
      <c r="B564">
        <v>16110</v>
      </c>
      <c r="C564" t="s">
        <v>15905</v>
      </c>
      <c r="E564">
        <v>243</v>
      </c>
      <c r="F564">
        <v>47</v>
      </c>
      <c r="G564">
        <v>79</v>
      </c>
      <c r="H564">
        <v>11</v>
      </c>
      <c r="V564" t="s">
        <v>10013</v>
      </c>
    </row>
    <row r="565" spans="2:22" x14ac:dyDescent="0.25">
      <c r="B565">
        <v>16111</v>
      </c>
      <c r="C565" t="s">
        <v>15906</v>
      </c>
      <c r="E565">
        <v>243</v>
      </c>
      <c r="F565">
        <v>47</v>
      </c>
      <c r="G565">
        <v>79</v>
      </c>
      <c r="H565">
        <v>11</v>
      </c>
      <c r="V565" t="s">
        <v>10015</v>
      </c>
    </row>
    <row r="566" spans="2:22" x14ac:dyDescent="0.25">
      <c r="B566">
        <v>16112</v>
      </c>
      <c r="C566" t="s">
        <v>15907</v>
      </c>
      <c r="E566">
        <v>243</v>
      </c>
      <c r="F566">
        <v>47</v>
      </c>
      <c r="G566">
        <v>79</v>
      </c>
      <c r="H566">
        <v>11</v>
      </c>
      <c r="V566" t="s">
        <v>10017</v>
      </c>
    </row>
    <row r="567" spans="2:22" x14ac:dyDescent="0.25">
      <c r="B567">
        <v>16113</v>
      </c>
      <c r="C567" t="s">
        <v>15908</v>
      </c>
      <c r="E567">
        <v>243</v>
      </c>
      <c r="F567">
        <v>47</v>
      </c>
      <c r="G567">
        <v>79</v>
      </c>
      <c r="H567">
        <v>11</v>
      </c>
      <c r="V567" t="s">
        <v>10019</v>
      </c>
    </row>
    <row r="568" spans="2:22" x14ac:dyDescent="0.25">
      <c r="B568">
        <v>16114</v>
      </c>
      <c r="C568" t="s">
        <v>15909</v>
      </c>
      <c r="E568">
        <v>255</v>
      </c>
      <c r="F568">
        <v>72</v>
      </c>
      <c r="G568">
        <v>101</v>
      </c>
      <c r="H568">
        <v>7</v>
      </c>
      <c r="R568" t="s">
        <v>10021</v>
      </c>
    </row>
    <row r="569" spans="2:22" x14ac:dyDescent="0.25">
      <c r="B569">
        <v>111220562</v>
      </c>
      <c r="C569" t="s">
        <v>15910</v>
      </c>
      <c r="E569">
        <v>255</v>
      </c>
      <c r="F569">
        <v>72</v>
      </c>
      <c r="G569">
        <v>101</v>
      </c>
      <c r="H569">
        <v>9</v>
      </c>
      <c r="S569" t="s">
        <v>8685</v>
      </c>
    </row>
    <row r="570" spans="2:22" x14ac:dyDescent="0.25">
      <c r="B570">
        <v>111220564</v>
      </c>
      <c r="C570" t="s">
        <v>15911</v>
      </c>
      <c r="E570">
        <v>255</v>
      </c>
      <c r="F570">
        <v>89</v>
      </c>
      <c r="G570">
        <v>116</v>
      </c>
      <c r="H570">
        <v>9</v>
      </c>
      <c r="S570" t="s">
        <v>8687</v>
      </c>
    </row>
    <row r="571" spans="2:22" x14ac:dyDescent="0.25">
      <c r="B571">
        <v>111220566</v>
      </c>
      <c r="C571" t="s">
        <v>15912</v>
      </c>
      <c r="E571">
        <v>255</v>
      </c>
      <c r="F571">
        <v>89</v>
      </c>
      <c r="G571">
        <v>116</v>
      </c>
      <c r="H571">
        <v>10</v>
      </c>
      <c r="T571" t="s">
        <v>8689</v>
      </c>
    </row>
    <row r="572" spans="2:22" x14ac:dyDescent="0.25">
      <c r="B572">
        <v>111220568</v>
      </c>
      <c r="C572" t="s">
        <v>15913</v>
      </c>
      <c r="E572">
        <v>255</v>
      </c>
      <c r="F572">
        <v>89</v>
      </c>
      <c r="G572">
        <v>116</v>
      </c>
      <c r="H572">
        <v>10</v>
      </c>
      <c r="T572" t="s">
        <v>8691</v>
      </c>
    </row>
    <row r="573" spans="2:22" x14ac:dyDescent="0.25">
      <c r="B573">
        <v>111220570</v>
      </c>
      <c r="C573" t="s">
        <v>15914</v>
      </c>
      <c r="E573">
        <v>255</v>
      </c>
      <c r="F573">
        <v>89</v>
      </c>
      <c r="G573">
        <v>116</v>
      </c>
      <c r="H573">
        <v>10</v>
      </c>
      <c r="T573" t="s">
        <v>8693</v>
      </c>
    </row>
    <row r="574" spans="2:22" x14ac:dyDescent="0.25">
      <c r="B574">
        <v>16115</v>
      </c>
      <c r="C574" t="s">
        <v>15915</v>
      </c>
      <c r="E574">
        <v>255</v>
      </c>
      <c r="F574">
        <v>72</v>
      </c>
      <c r="G574">
        <v>101</v>
      </c>
      <c r="H574">
        <v>8</v>
      </c>
      <c r="S574" t="s">
        <v>1461</v>
      </c>
    </row>
    <row r="575" spans="2:22" x14ac:dyDescent="0.25">
      <c r="B575">
        <v>16116</v>
      </c>
      <c r="C575" t="s">
        <v>15916</v>
      </c>
      <c r="E575">
        <v>255</v>
      </c>
      <c r="F575">
        <v>72</v>
      </c>
      <c r="G575">
        <v>101</v>
      </c>
      <c r="H575">
        <v>9</v>
      </c>
      <c r="T575" t="s">
        <v>10023</v>
      </c>
    </row>
    <row r="576" spans="2:22" x14ac:dyDescent="0.25">
      <c r="B576">
        <v>16117</v>
      </c>
      <c r="C576" t="s">
        <v>15917</v>
      </c>
      <c r="E576">
        <v>255</v>
      </c>
      <c r="F576">
        <v>89</v>
      </c>
      <c r="G576">
        <v>116</v>
      </c>
      <c r="H576">
        <v>9</v>
      </c>
      <c r="T576" t="s">
        <v>10025</v>
      </c>
    </row>
    <row r="577" spans="2:23" x14ac:dyDescent="0.25">
      <c r="B577">
        <v>16118</v>
      </c>
      <c r="C577" t="s">
        <v>15918</v>
      </c>
      <c r="E577">
        <v>255</v>
      </c>
      <c r="F577">
        <v>89</v>
      </c>
      <c r="G577">
        <v>116</v>
      </c>
      <c r="H577">
        <v>10</v>
      </c>
      <c r="U577" t="s">
        <v>10027</v>
      </c>
    </row>
    <row r="578" spans="2:23" x14ac:dyDescent="0.25">
      <c r="B578">
        <v>16119</v>
      </c>
      <c r="C578" t="s">
        <v>15919</v>
      </c>
      <c r="E578">
        <v>255</v>
      </c>
      <c r="F578">
        <v>89</v>
      </c>
      <c r="G578">
        <v>116</v>
      </c>
      <c r="H578">
        <v>10</v>
      </c>
      <c r="U578" t="s">
        <v>10029</v>
      </c>
    </row>
    <row r="579" spans="2:23" x14ac:dyDescent="0.25">
      <c r="B579">
        <v>16120</v>
      </c>
      <c r="C579" t="s">
        <v>15920</v>
      </c>
      <c r="E579">
        <v>255</v>
      </c>
      <c r="F579">
        <v>89</v>
      </c>
      <c r="G579">
        <v>116</v>
      </c>
      <c r="H579">
        <v>11</v>
      </c>
      <c r="V579" t="s">
        <v>10031</v>
      </c>
    </row>
    <row r="580" spans="2:23" x14ac:dyDescent="0.25">
      <c r="B580">
        <v>16121</v>
      </c>
      <c r="C580" t="s">
        <v>15921</v>
      </c>
      <c r="E580">
        <v>255</v>
      </c>
      <c r="F580">
        <v>89</v>
      </c>
      <c r="G580">
        <v>116</v>
      </c>
      <c r="H580">
        <v>10</v>
      </c>
      <c r="U580" t="s">
        <v>10033</v>
      </c>
    </row>
    <row r="581" spans="2:23" x14ac:dyDescent="0.25">
      <c r="B581">
        <v>16122</v>
      </c>
      <c r="C581" t="s">
        <v>15922</v>
      </c>
      <c r="E581">
        <v>217</v>
      </c>
      <c r="F581">
        <v>61</v>
      </c>
      <c r="G581">
        <v>86</v>
      </c>
      <c r="H581">
        <v>11</v>
      </c>
      <c r="V581" t="s">
        <v>1451</v>
      </c>
    </row>
    <row r="582" spans="2:23" x14ac:dyDescent="0.25">
      <c r="B582">
        <v>16123</v>
      </c>
      <c r="C582" t="s">
        <v>15923</v>
      </c>
      <c r="E582">
        <v>255</v>
      </c>
      <c r="F582">
        <v>89</v>
      </c>
      <c r="G582">
        <v>116</v>
      </c>
      <c r="H582">
        <v>11</v>
      </c>
      <c r="V582" t="s">
        <v>10035</v>
      </c>
    </row>
    <row r="583" spans="2:23" x14ac:dyDescent="0.25">
      <c r="B583">
        <v>16124</v>
      </c>
      <c r="C583" t="s">
        <v>15924</v>
      </c>
      <c r="E583">
        <v>255</v>
      </c>
      <c r="F583">
        <v>72</v>
      </c>
      <c r="G583">
        <v>101</v>
      </c>
      <c r="H583">
        <v>8</v>
      </c>
      <c r="S583" t="s">
        <v>10</v>
      </c>
    </row>
    <row r="584" spans="2:23" x14ac:dyDescent="0.25">
      <c r="B584">
        <v>16125</v>
      </c>
      <c r="C584" t="s">
        <v>15925</v>
      </c>
      <c r="E584">
        <v>255</v>
      </c>
      <c r="F584">
        <v>72</v>
      </c>
      <c r="G584">
        <v>101</v>
      </c>
      <c r="H584">
        <v>9</v>
      </c>
      <c r="T584" t="s">
        <v>10037</v>
      </c>
    </row>
    <row r="585" spans="2:23" x14ac:dyDescent="0.25">
      <c r="B585">
        <v>16126</v>
      </c>
      <c r="C585" t="s">
        <v>15926</v>
      </c>
      <c r="E585">
        <v>255</v>
      </c>
      <c r="F585">
        <v>89</v>
      </c>
      <c r="G585">
        <v>116</v>
      </c>
      <c r="H585">
        <v>9</v>
      </c>
      <c r="T585" t="s">
        <v>10039</v>
      </c>
    </row>
    <row r="586" spans="2:23" x14ac:dyDescent="0.25">
      <c r="B586">
        <v>16127</v>
      </c>
      <c r="C586" t="s">
        <v>15927</v>
      </c>
      <c r="E586">
        <v>255</v>
      </c>
      <c r="F586">
        <v>89</v>
      </c>
      <c r="G586">
        <v>116</v>
      </c>
      <c r="H586">
        <v>10</v>
      </c>
      <c r="U586" t="s">
        <v>10041</v>
      </c>
    </row>
    <row r="587" spans="2:23" x14ac:dyDescent="0.25">
      <c r="B587">
        <v>16128</v>
      </c>
      <c r="C587" t="s">
        <v>15928</v>
      </c>
      <c r="E587">
        <v>255</v>
      </c>
      <c r="F587">
        <v>89</v>
      </c>
      <c r="G587">
        <v>116</v>
      </c>
      <c r="H587">
        <v>10</v>
      </c>
      <c r="U587" t="s">
        <v>10043</v>
      </c>
    </row>
    <row r="588" spans="2:23" x14ac:dyDescent="0.25">
      <c r="B588">
        <v>16130</v>
      </c>
      <c r="C588" t="s">
        <v>15929</v>
      </c>
      <c r="E588">
        <v>255</v>
      </c>
      <c r="F588">
        <v>89</v>
      </c>
      <c r="G588">
        <v>116</v>
      </c>
      <c r="H588">
        <v>10</v>
      </c>
      <c r="U588" t="s">
        <v>10045</v>
      </c>
    </row>
    <row r="589" spans="2:23" x14ac:dyDescent="0.25">
      <c r="B589">
        <v>16131</v>
      </c>
      <c r="C589" t="s">
        <v>15930</v>
      </c>
      <c r="E589">
        <v>255</v>
      </c>
      <c r="F589">
        <v>89</v>
      </c>
      <c r="G589">
        <v>116</v>
      </c>
      <c r="H589">
        <v>11</v>
      </c>
      <c r="V589" t="s">
        <v>42</v>
      </c>
    </row>
    <row r="590" spans="2:23" x14ac:dyDescent="0.25">
      <c r="B590">
        <v>16132</v>
      </c>
      <c r="C590" t="s">
        <v>15931</v>
      </c>
      <c r="E590">
        <v>255</v>
      </c>
      <c r="F590">
        <v>89</v>
      </c>
      <c r="G590">
        <v>116</v>
      </c>
      <c r="H590">
        <v>12</v>
      </c>
      <c r="W590" t="s">
        <v>58</v>
      </c>
    </row>
    <row r="591" spans="2:23" x14ac:dyDescent="0.25">
      <c r="B591">
        <v>16133</v>
      </c>
      <c r="C591" t="s">
        <v>15932</v>
      </c>
      <c r="E591">
        <v>217</v>
      </c>
      <c r="F591">
        <v>61</v>
      </c>
      <c r="G591">
        <v>86</v>
      </c>
      <c r="H591">
        <v>12</v>
      </c>
      <c r="W591" t="s">
        <v>4220</v>
      </c>
    </row>
    <row r="592" spans="2:23" x14ac:dyDescent="0.25">
      <c r="B592">
        <v>16134</v>
      </c>
      <c r="C592" t="s">
        <v>15933</v>
      </c>
      <c r="E592">
        <v>255</v>
      </c>
      <c r="F592">
        <v>89</v>
      </c>
      <c r="G592">
        <v>116</v>
      </c>
      <c r="H592">
        <v>12</v>
      </c>
      <c r="W592" t="s">
        <v>65</v>
      </c>
    </row>
    <row r="593" spans="2:23" x14ac:dyDescent="0.25">
      <c r="B593">
        <v>16135</v>
      </c>
      <c r="C593" t="s">
        <v>15934</v>
      </c>
      <c r="E593">
        <v>255</v>
      </c>
      <c r="F593">
        <v>89</v>
      </c>
      <c r="G593">
        <v>116</v>
      </c>
      <c r="H593">
        <v>12</v>
      </c>
      <c r="W593" t="s">
        <v>51</v>
      </c>
    </row>
    <row r="594" spans="2:23" x14ac:dyDescent="0.25">
      <c r="B594">
        <v>16136</v>
      </c>
      <c r="C594" t="s">
        <v>15935</v>
      </c>
      <c r="E594">
        <v>255</v>
      </c>
      <c r="F594">
        <v>89</v>
      </c>
      <c r="G594">
        <v>116</v>
      </c>
      <c r="H594">
        <v>11</v>
      </c>
      <c r="V594" t="s">
        <v>74</v>
      </c>
    </row>
    <row r="595" spans="2:23" x14ac:dyDescent="0.25">
      <c r="B595">
        <v>16137</v>
      </c>
      <c r="C595" t="s">
        <v>15936</v>
      </c>
      <c r="E595">
        <v>255</v>
      </c>
      <c r="F595">
        <v>89</v>
      </c>
      <c r="G595">
        <v>116</v>
      </c>
      <c r="H595">
        <v>12</v>
      </c>
      <c r="W595" t="s">
        <v>83</v>
      </c>
    </row>
    <row r="596" spans="2:23" x14ac:dyDescent="0.25">
      <c r="B596">
        <v>16138</v>
      </c>
      <c r="C596" t="s">
        <v>15937</v>
      </c>
      <c r="E596">
        <v>255</v>
      </c>
      <c r="F596">
        <v>89</v>
      </c>
      <c r="G596">
        <v>116</v>
      </c>
      <c r="H596">
        <v>12</v>
      </c>
      <c r="W596" t="s">
        <v>90</v>
      </c>
    </row>
    <row r="597" spans="2:23" x14ac:dyDescent="0.25">
      <c r="B597">
        <v>16139</v>
      </c>
      <c r="C597" t="s">
        <v>15938</v>
      </c>
      <c r="E597">
        <v>217</v>
      </c>
      <c r="F597">
        <v>61</v>
      </c>
      <c r="G597">
        <v>86</v>
      </c>
      <c r="H597">
        <v>12</v>
      </c>
      <c r="W597" t="s">
        <v>10047</v>
      </c>
    </row>
    <row r="598" spans="2:23" x14ac:dyDescent="0.25">
      <c r="B598">
        <v>16140</v>
      </c>
      <c r="C598" t="s">
        <v>15939</v>
      </c>
      <c r="E598">
        <v>255</v>
      </c>
      <c r="F598">
        <v>89</v>
      </c>
      <c r="G598">
        <v>116</v>
      </c>
      <c r="H598">
        <v>12</v>
      </c>
      <c r="W598" t="s">
        <v>97</v>
      </c>
    </row>
    <row r="599" spans="2:23" x14ac:dyDescent="0.25">
      <c r="B599">
        <v>16141</v>
      </c>
      <c r="C599" t="s">
        <v>15940</v>
      </c>
      <c r="E599">
        <v>255</v>
      </c>
      <c r="F599">
        <v>89</v>
      </c>
      <c r="G599">
        <v>116</v>
      </c>
      <c r="H599">
        <v>11</v>
      </c>
      <c r="V599" t="s">
        <v>106</v>
      </c>
    </row>
    <row r="600" spans="2:23" x14ac:dyDescent="0.25">
      <c r="B600">
        <v>16142</v>
      </c>
      <c r="C600" t="s">
        <v>15941</v>
      </c>
      <c r="E600">
        <v>255</v>
      </c>
      <c r="F600">
        <v>89</v>
      </c>
      <c r="G600">
        <v>116</v>
      </c>
      <c r="H600">
        <v>12</v>
      </c>
      <c r="W600" t="s">
        <v>129</v>
      </c>
    </row>
    <row r="601" spans="2:23" x14ac:dyDescent="0.25">
      <c r="B601">
        <v>16143</v>
      </c>
      <c r="C601" t="s">
        <v>15942</v>
      </c>
      <c r="E601">
        <v>217</v>
      </c>
      <c r="F601">
        <v>61</v>
      </c>
      <c r="G601">
        <v>86</v>
      </c>
      <c r="H601">
        <v>12</v>
      </c>
      <c r="W601" t="s">
        <v>10049</v>
      </c>
    </row>
    <row r="602" spans="2:23" x14ac:dyDescent="0.25">
      <c r="B602">
        <v>16144</v>
      </c>
      <c r="C602" t="s">
        <v>15943</v>
      </c>
      <c r="E602">
        <v>255</v>
      </c>
      <c r="F602">
        <v>89</v>
      </c>
      <c r="G602">
        <v>116</v>
      </c>
      <c r="H602">
        <v>12</v>
      </c>
      <c r="W602" t="s">
        <v>122</v>
      </c>
    </row>
    <row r="603" spans="2:23" x14ac:dyDescent="0.25">
      <c r="B603">
        <v>16145</v>
      </c>
      <c r="C603" t="s">
        <v>15944</v>
      </c>
      <c r="E603">
        <v>255</v>
      </c>
      <c r="F603">
        <v>89</v>
      </c>
      <c r="G603">
        <v>116</v>
      </c>
      <c r="H603">
        <v>12</v>
      </c>
      <c r="W603" t="s">
        <v>136</v>
      </c>
    </row>
    <row r="604" spans="2:23" x14ac:dyDescent="0.25">
      <c r="B604">
        <v>16146</v>
      </c>
      <c r="C604" t="s">
        <v>15945</v>
      </c>
      <c r="E604">
        <v>255</v>
      </c>
      <c r="F604">
        <v>89</v>
      </c>
      <c r="G604">
        <v>116</v>
      </c>
      <c r="H604">
        <v>12</v>
      </c>
      <c r="W604" t="s">
        <v>115</v>
      </c>
    </row>
    <row r="605" spans="2:23" x14ac:dyDescent="0.25">
      <c r="B605">
        <v>16147</v>
      </c>
      <c r="C605" t="s">
        <v>15946</v>
      </c>
      <c r="E605">
        <v>255</v>
      </c>
      <c r="F605">
        <v>72</v>
      </c>
      <c r="G605">
        <v>101</v>
      </c>
      <c r="H605">
        <v>8</v>
      </c>
      <c r="S605" t="s">
        <v>2345</v>
      </c>
    </row>
    <row r="606" spans="2:23" x14ac:dyDescent="0.25">
      <c r="B606">
        <v>16148</v>
      </c>
      <c r="C606" t="s">
        <v>15947</v>
      </c>
      <c r="E606">
        <v>255</v>
      </c>
      <c r="F606">
        <v>72</v>
      </c>
      <c r="G606">
        <v>101</v>
      </c>
      <c r="H606">
        <v>9</v>
      </c>
      <c r="T606" t="s">
        <v>10051</v>
      </c>
    </row>
    <row r="607" spans="2:23" x14ac:dyDescent="0.25">
      <c r="B607">
        <v>16149</v>
      </c>
      <c r="C607" t="s">
        <v>15948</v>
      </c>
      <c r="E607">
        <v>255</v>
      </c>
      <c r="F607">
        <v>89</v>
      </c>
      <c r="G607">
        <v>116</v>
      </c>
      <c r="H607">
        <v>9</v>
      </c>
      <c r="T607" t="s">
        <v>10053</v>
      </c>
    </row>
    <row r="608" spans="2:23" x14ac:dyDescent="0.25">
      <c r="B608">
        <v>16150</v>
      </c>
      <c r="C608" t="s">
        <v>15949</v>
      </c>
      <c r="E608">
        <v>255</v>
      </c>
      <c r="F608">
        <v>89</v>
      </c>
      <c r="G608">
        <v>116</v>
      </c>
      <c r="H608">
        <v>10</v>
      </c>
      <c r="U608" t="s">
        <v>10055</v>
      </c>
    </row>
    <row r="609" spans="2:22" x14ac:dyDescent="0.25">
      <c r="B609">
        <v>16151</v>
      </c>
      <c r="C609" t="s">
        <v>15950</v>
      </c>
      <c r="E609">
        <v>255</v>
      </c>
      <c r="F609">
        <v>89</v>
      </c>
      <c r="G609">
        <v>116</v>
      </c>
      <c r="H609">
        <v>10</v>
      </c>
      <c r="U609" t="s">
        <v>10057</v>
      </c>
    </row>
    <row r="610" spans="2:22" x14ac:dyDescent="0.25">
      <c r="B610">
        <v>16152</v>
      </c>
      <c r="C610" t="s">
        <v>15951</v>
      </c>
      <c r="E610">
        <v>255</v>
      </c>
      <c r="F610">
        <v>89</v>
      </c>
      <c r="G610">
        <v>116</v>
      </c>
      <c r="H610">
        <v>10</v>
      </c>
      <c r="U610" t="s">
        <v>10059</v>
      </c>
    </row>
    <row r="611" spans="2:22" x14ac:dyDescent="0.25">
      <c r="B611">
        <v>16153</v>
      </c>
      <c r="C611" t="s">
        <v>15952</v>
      </c>
      <c r="E611">
        <v>255</v>
      </c>
      <c r="F611">
        <v>89</v>
      </c>
      <c r="G611">
        <v>116</v>
      </c>
      <c r="H611">
        <v>11</v>
      </c>
      <c r="V611" t="s">
        <v>10061</v>
      </c>
    </row>
    <row r="612" spans="2:22" x14ac:dyDescent="0.25">
      <c r="B612">
        <v>16154</v>
      </c>
      <c r="C612" t="s">
        <v>15953</v>
      </c>
      <c r="E612">
        <v>255</v>
      </c>
      <c r="F612">
        <v>72</v>
      </c>
      <c r="G612">
        <v>101</v>
      </c>
      <c r="H612">
        <v>8</v>
      </c>
      <c r="S612" t="s">
        <v>10063</v>
      </c>
    </row>
    <row r="613" spans="2:22" x14ac:dyDescent="0.25">
      <c r="B613">
        <v>16155</v>
      </c>
      <c r="C613" t="s">
        <v>15954</v>
      </c>
      <c r="E613">
        <v>255</v>
      </c>
      <c r="F613">
        <v>72</v>
      </c>
      <c r="G613">
        <v>101</v>
      </c>
      <c r="H613">
        <v>9</v>
      </c>
      <c r="T613" t="s">
        <v>10065</v>
      </c>
    </row>
    <row r="614" spans="2:22" x14ac:dyDescent="0.25">
      <c r="B614">
        <v>16156</v>
      </c>
      <c r="C614" t="s">
        <v>15955</v>
      </c>
      <c r="E614">
        <v>255</v>
      </c>
      <c r="F614">
        <v>89</v>
      </c>
      <c r="G614">
        <v>116</v>
      </c>
      <c r="H614">
        <v>9</v>
      </c>
      <c r="T614" t="s">
        <v>10067</v>
      </c>
    </row>
    <row r="615" spans="2:22" x14ac:dyDescent="0.25">
      <c r="B615">
        <v>16157</v>
      </c>
      <c r="C615" t="s">
        <v>15956</v>
      </c>
      <c r="E615">
        <v>255</v>
      </c>
      <c r="F615">
        <v>89</v>
      </c>
      <c r="G615">
        <v>116</v>
      </c>
      <c r="H615">
        <v>10</v>
      </c>
      <c r="U615" t="s">
        <v>10069</v>
      </c>
    </row>
    <row r="616" spans="2:22" x14ac:dyDescent="0.25">
      <c r="B616">
        <v>16158</v>
      </c>
      <c r="C616" t="s">
        <v>15957</v>
      </c>
      <c r="E616">
        <v>255</v>
      </c>
      <c r="F616">
        <v>89</v>
      </c>
      <c r="G616">
        <v>116</v>
      </c>
      <c r="H616">
        <v>11</v>
      </c>
      <c r="V616" t="s">
        <v>10071</v>
      </c>
    </row>
    <row r="617" spans="2:22" x14ac:dyDescent="0.25">
      <c r="B617">
        <v>16159</v>
      </c>
      <c r="C617" t="s">
        <v>15958</v>
      </c>
      <c r="E617">
        <v>255</v>
      </c>
      <c r="F617">
        <v>89</v>
      </c>
      <c r="G617">
        <v>116</v>
      </c>
      <c r="H617">
        <v>10</v>
      </c>
      <c r="U617" t="s">
        <v>10073</v>
      </c>
    </row>
    <row r="618" spans="2:22" x14ac:dyDescent="0.25">
      <c r="B618">
        <v>16160</v>
      </c>
      <c r="C618" t="s">
        <v>15959</v>
      </c>
      <c r="E618">
        <v>255</v>
      </c>
      <c r="F618">
        <v>89</v>
      </c>
      <c r="G618">
        <v>116</v>
      </c>
      <c r="H618">
        <v>11</v>
      </c>
      <c r="V618" t="s">
        <v>10075</v>
      </c>
    </row>
    <row r="619" spans="2:22" x14ac:dyDescent="0.25">
      <c r="B619">
        <v>16161</v>
      </c>
      <c r="C619" t="s">
        <v>15960</v>
      </c>
      <c r="E619">
        <v>255</v>
      </c>
      <c r="F619">
        <v>89</v>
      </c>
      <c r="G619">
        <v>116</v>
      </c>
      <c r="H619">
        <v>10</v>
      </c>
      <c r="U619" t="s">
        <v>10077</v>
      </c>
    </row>
    <row r="620" spans="2:22" x14ac:dyDescent="0.25">
      <c r="B620">
        <v>16162</v>
      </c>
      <c r="C620" t="s">
        <v>15961</v>
      </c>
      <c r="E620">
        <v>255</v>
      </c>
      <c r="F620">
        <v>89</v>
      </c>
      <c r="G620">
        <v>116</v>
      </c>
      <c r="H620">
        <v>11</v>
      </c>
      <c r="V620" t="s">
        <v>10079</v>
      </c>
    </row>
    <row r="621" spans="2:22" x14ac:dyDescent="0.25">
      <c r="B621">
        <v>16163</v>
      </c>
      <c r="C621" t="s">
        <v>15962</v>
      </c>
      <c r="E621">
        <v>255</v>
      </c>
      <c r="F621">
        <v>72</v>
      </c>
      <c r="G621">
        <v>101</v>
      </c>
      <c r="H621">
        <v>8</v>
      </c>
      <c r="S621" t="s">
        <v>14722</v>
      </c>
    </row>
    <row r="622" spans="2:22" x14ac:dyDescent="0.25">
      <c r="B622">
        <v>16164</v>
      </c>
      <c r="C622" t="s">
        <v>15963</v>
      </c>
      <c r="E622">
        <v>255</v>
      </c>
      <c r="F622">
        <v>72</v>
      </c>
      <c r="G622">
        <v>101</v>
      </c>
      <c r="H622">
        <v>9</v>
      </c>
      <c r="T622" t="s">
        <v>10081</v>
      </c>
    </row>
    <row r="623" spans="2:22" x14ac:dyDescent="0.25">
      <c r="B623">
        <v>16165</v>
      </c>
      <c r="C623" t="s">
        <v>15964</v>
      </c>
      <c r="E623">
        <v>255</v>
      </c>
      <c r="F623">
        <v>89</v>
      </c>
      <c r="G623">
        <v>116</v>
      </c>
      <c r="H623">
        <v>9</v>
      </c>
      <c r="T623" t="s">
        <v>10083</v>
      </c>
    </row>
    <row r="624" spans="2:22" x14ac:dyDescent="0.25">
      <c r="B624">
        <v>16166</v>
      </c>
      <c r="C624" t="s">
        <v>15965</v>
      </c>
      <c r="E624">
        <v>255</v>
      </c>
      <c r="F624">
        <v>89</v>
      </c>
      <c r="G624">
        <v>116</v>
      </c>
      <c r="H624">
        <v>10</v>
      </c>
      <c r="U624" t="s">
        <v>10085</v>
      </c>
    </row>
    <row r="625" spans="2:22" x14ac:dyDescent="0.25">
      <c r="B625">
        <v>16167</v>
      </c>
      <c r="C625" t="s">
        <v>15966</v>
      </c>
      <c r="E625">
        <v>255</v>
      </c>
      <c r="F625">
        <v>89</v>
      </c>
      <c r="G625">
        <v>116</v>
      </c>
      <c r="H625">
        <v>10</v>
      </c>
      <c r="U625" t="s">
        <v>10087</v>
      </c>
    </row>
    <row r="626" spans="2:22" x14ac:dyDescent="0.25">
      <c r="B626">
        <v>16169</v>
      </c>
      <c r="C626" t="s">
        <v>15967</v>
      </c>
      <c r="E626">
        <v>255</v>
      </c>
      <c r="F626">
        <v>89</v>
      </c>
      <c r="G626">
        <v>116</v>
      </c>
      <c r="H626">
        <v>10</v>
      </c>
      <c r="U626" t="s">
        <v>10089</v>
      </c>
    </row>
    <row r="627" spans="2:22" x14ac:dyDescent="0.25">
      <c r="B627">
        <v>16170</v>
      </c>
      <c r="C627" t="s">
        <v>15968</v>
      </c>
      <c r="E627">
        <v>255</v>
      </c>
      <c r="F627">
        <v>89</v>
      </c>
      <c r="G627">
        <v>116</v>
      </c>
      <c r="H627">
        <v>11</v>
      </c>
      <c r="V627" t="s">
        <v>10091</v>
      </c>
    </row>
    <row r="628" spans="2:22" x14ac:dyDescent="0.25">
      <c r="B628">
        <v>16171</v>
      </c>
      <c r="C628" t="s">
        <v>15969</v>
      </c>
      <c r="E628">
        <v>255</v>
      </c>
      <c r="F628">
        <v>89</v>
      </c>
      <c r="G628">
        <v>116</v>
      </c>
      <c r="H628">
        <v>11</v>
      </c>
      <c r="V628" t="s">
        <v>10093</v>
      </c>
    </row>
    <row r="629" spans="2:22" x14ac:dyDescent="0.25">
      <c r="B629">
        <v>16172</v>
      </c>
      <c r="C629" t="s">
        <v>15970</v>
      </c>
      <c r="E629">
        <v>255</v>
      </c>
      <c r="F629">
        <v>72</v>
      </c>
      <c r="G629">
        <v>101</v>
      </c>
      <c r="H629">
        <v>8</v>
      </c>
      <c r="S629" t="s">
        <v>4116</v>
      </c>
    </row>
    <row r="630" spans="2:22" x14ac:dyDescent="0.25">
      <c r="B630">
        <v>16173</v>
      </c>
      <c r="C630" t="s">
        <v>15971</v>
      </c>
      <c r="E630">
        <v>255</v>
      </c>
      <c r="F630">
        <v>72</v>
      </c>
      <c r="G630">
        <v>101</v>
      </c>
      <c r="H630">
        <v>9</v>
      </c>
      <c r="T630" t="s">
        <v>10095</v>
      </c>
    </row>
    <row r="631" spans="2:22" x14ac:dyDescent="0.25">
      <c r="B631">
        <v>16174</v>
      </c>
      <c r="C631" t="s">
        <v>15972</v>
      </c>
      <c r="E631">
        <v>255</v>
      </c>
      <c r="F631">
        <v>89</v>
      </c>
      <c r="G631">
        <v>116</v>
      </c>
      <c r="H631">
        <v>9</v>
      </c>
      <c r="T631" t="s">
        <v>10097</v>
      </c>
    </row>
    <row r="632" spans="2:22" x14ac:dyDescent="0.25">
      <c r="B632">
        <v>16175</v>
      </c>
      <c r="C632" t="s">
        <v>15973</v>
      </c>
      <c r="E632">
        <v>255</v>
      </c>
      <c r="F632">
        <v>89</v>
      </c>
      <c r="G632">
        <v>116</v>
      </c>
      <c r="H632">
        <v>10</v>
      </c>
      <c r="U632" t="s">
        <v>10099</v>
      </c>
    </row>
    <row r="633" spans="2:22" x14ac:dyDescent="0.25">
      <c r="B633">
        <v>16176</v>
      </c>
      <c r="C633" t="s">
        <v>15974</v>
      </c>
      <c r="E633">
        <v>255</v>
      </c>
      <c r="F633">
        <v>89</v>
      </c>
      <c r="G633">
        <v>116</v>
      </c>
      <c r="H633">
        <v>10</v>
      </c>
      <c r="U633" t="s">
        <v>10101</v>
      </c>
    </row>
    <row r="634" spans="2:22" x14ac:dyDescent="0.25">
      <c r="B634">
        <v>16177</v>
      </c>
      <c r="C634" t="s">
        <v>15975</v>
      </c>
      <c r="E634">
        <v>255</v>
      </c>
      <c r="F634">
        <v>89</v>
      </c>
      <c r="G634">
        <v>116</v>
      </c>
      <c r="H634">
        <v>10</v>
      </c>
      <c r="U634" t="s">
        <v>10103</v>
      </c>
    </row>
    <row r="635" spans="2:22" x14ac:dyDescent="0.25">
      <c r="B635">
        <v>16178</v>
      </c>
      <c r="C635" t="s">
        <v>15976</v>
      </c>
      <c r="E635">
        <v>255</v>
      </c>
      <c r="F635">
        <v>89</v>
      </c>
      <c r="G635">
        <v>116</v>
      </c>
      <c r="H635">
        <v>11</v>
      </c>
      <c r="V635" t="s">
        <v>10105</v>
      </c>
    </row>
    <row r="636" spans="2:22" x14ac:dyDescent="0.25">
      <c r="B636">
        <v>16179</v>
      </c>
      <c r="C636" t="s">
        <v>15977</v>
      </c>
      <c r="E636">
        <v>255</v>
      </c>
      <c r="F636">
        <v>89</v>
      </c>
      <c r="G636">
        <v>116</v>
      </c>
      <c r="H636">
        <v>11</v>
      </c>
      <c r="V636" t="s">
        <v>10107</v>
      </c>
    </row>
    <row r="637" spans="2:22" x14ac:dyDescent="0.25">
      <c r="B637">
        <v>16180</v>
      </c>
      <c r="C637" t="s">
        <v>15978</v>
      </c>
      <c r="E637">
        <v>255</v>
      </c>
      <c r="F637">
        <v>89</v>
      </c>
      <c r="G637">
        <v>116</v>
      </c>
      <c r="H637">
        <v>11</v>
      </c>
      <c r="V637" t="s">
        <v>10109</v>
      </c>
    </row>
    <row r="638" spans="2:22" x14ac:dyDescent="0.25">
      <c r="B638">
        <v>16181</v>
      </c>
      <c r="C638" t="s">
        <v>15979</v>
      </c>
      <c r="E638">
        <v>255</v>
      </c>
      <c r="F638">
        <v>89</v>
      </c>
      <c r="G638">
        <v>116</v>
      </c>
      <c r="H638">
        <v>11</v>
      </c>
      <c r="V638" t="s">
        <v>10111</v>
      </c>
    </row>
    <row r="639" spans="2:22" x14ac:dyDescent="0.25">
      <c r="B639">
        <v>16182</v>
      </c>
      <c r="C639" t="s">
        <v>15980</v>
      </c>
      <c r="E639">
        <v>255</v>
      </c>
      <c r="F639">
        <v>89</v>
      </c>
      <c r="G639">
        <v>116</v>
      </c>
      <c r="H639">
        <v>11</v>
      </c>
      <c r="V639" t="s">
        <v>10113</v>
      </c>
    </row>
    <row r="640" spans="2:22" x14ac:dyDescent="0.25">
      <c r="B640">
        <v>16183</v>
      </c>
      <c r="C640" t="s">
        <v>15981</v>
      </c>
      <c r="E640">
        <v>255</v>
      </c>
      <c r="F640">
        <v>89</v>
      </c>
      <c r="G640">
        <v>116</v>
      </c>
      <c r="H640">
        <v>11</v>
      </c>
      <c r="V640" t="s">
        <v>10115</v>
      </c>
    </row>
    <row r="641" spans="2:23" x14ac:dyDescent="0.25">
      <c r="B641">
        <v>16184</v>
      </c>
      <c r="C641" t="s">
        <v>15982</v>
      </c>
      <c r="E641">
        <v>255</v>
      </c>
      <c r="F641">
        <v>89</v>
      </c>
      <c r="G641">
        <v>116</v>
      </c>
      <c r="H641">
        <v>12</v>
      </c>
      <c r="W641" t="s">
        <v>10117</v>
      </c>
    </row>
    <row r="642" spans="2:23" x14ac:dyDescent="0.25">
      <c r="B642">
        <v>16185</v>
      </c>
      <c r="C642" t="s">
        <v>15983</v>
      </c>
      <c r="E642">
        <v>255</v>
      </c>
      <c r="F642">
        <v>89</v>
      </c>
      <c r="G642">
        <v>116</v>
      </c>
      <c r="H642">
        <v>12</v>
      </c>
      <c r="W642" t="s">
        <v>10119</v>
      </c>
    </row>
    <row r="643" spans="2:23" x14ac:dyDescent="0.25">
      <c r="B643">
        <v>16186</v>
      </c>
      <c r="C643" t="s">
        <v>15984</v>
      </c>
      <c r="E643">
        <v>255</v>
      </c>
      <c r="F643">
        <v>72</v>
      </c>
      <c r="G643">
        <v>101</v>
      </c>
      <c r="H643">
        <v>8</v>
      </c>
      <c r="S643" t="s">
        <v>3614</v>
      </c>
    </row>
    <row r="644" spans="2:23" x14ac:dyDescent="0.25">
      <c r="B644">
        <v>16187</v>
      </c>
      <c r="C644" t="s">
        <v>15985</v>
      </c>
      <c r="E644">
        <v>255</v>
      </c>
      <c r="F644">
        <v>72</v>
      </c>
      <c r="G644">
        <v>101</v>
      </c>
      <c r="H644">
        <v>9</v>
      </c>
      <c r="T644" t="s">
        <v>10121</v>
      </c>
    </row>
    <row r="645" spans="2:23" x14ac:dyDescent="0.25">
      <c r="B645">
        <v>16188</v>
      </c>
      <c r="C645" t="s">
        <v>15986</v>
      </c>
      <c r="E645">
        <v>255</v>
      </c>
      <c r="F645">
        <v>89</v>
      </c>
      <c r="G645">
        <v>116</v>
      </c>
      <c r="H645">
        <v>9</v>
      </c>
      <c r="T645" t="s">
        <v>10123</v>
      </c>
    </row>
    <row r="646" spans="2:23" x14ac:dyDescent="0.25">
      <c r="B646">
        <v>16189</v>
      </c>
      <c r="C646" t="s">
        <v>15987</v>
      </c>
      <c r="E646">
        <v>255</v>
      </c>
      <c r="F646">
        <v>89</v>
      </c>
      <c r="G646">
        <v>116</v>
      </c>
      <c r="H646">
        <v>10</v>
      </c>
      <c r="U646" t="s">
        <v>10125</v>
      </c>
    </row>
    <row r="647" spans="2:23" x14ac:dyDescent="0.25">
      <c r="B647">
        <v>16190</v>
      </c>
      <c r="C647" t="s">
        <v>15988</v>
      </c>
      <c r="E647">
        <v>255</v>
      </c>
      <c r="F647">
        <v>89</v>
      </c>
      <c r="G647">
        <v>116</v>
      </c>
      <c r="H647">
        <v>10</v>
      </c>
      <c r="U647" t="s">
        <v>10127</v>
      </c>
    </row>
    <row r="648" spans="2:23" x14ac:dyDescent="0.25">
      <c r="B648">
        <v>16191</v>
      </c>
      <c r="C648" t="s">
        <v>15989</v>
      </c>
      <c r="E648">
        <v>255</v>
      </c>
      <c r="F648">
        <v>89</v>
      </c>
      <c r="G648">
        <v>116</v>
      </c>
      <c r="H648">
        <v>10</v>
      </c>
      <c r="U648" t="s">
        <v>10129</v>
      </c>
    </row>
    <row r="649" spans="2:23" x14ac:dyDescent="0.25">
      <c r="B649">
        <v>16192</v>
      </c>
      <c r="C649" t="s">
        <v>15990</v>
      </c>
      <c r="E649">
        <v>255</v>
      </c>
      <c r="F649">
        <v>89</v>
      </c>
      <c r="G649">
        <v>116</v>
      </c>
      <c r="H649">
        <v>11</v>
      </c>
      <c r="V649" t="s">
        <v>10131</v>
      </c>
    </row>
    <row r="650" spans="2:23" x14ac:dyDescent="0.25">
      <c r="B650">
        <v>16193</v>
      </c>
      <c r="C650" t="s">
        <v>15991</v>
      </c>
      <c r="E650">
        <v>255</v>
      </c>
      <c r="F650">
        <v>89</v>
      </c>
      <c r="G650">
        <v>116</v>
      </c>
      <c r="H650">
        <v>11</v>
      </c>
      <c r="V650" t="s">
        <v>10133</v>
      </c>
    </row>
    <row r="651" spans="2:23" x14ac:dyDescent="0.25">
      <c r="B651">
        <v>16194</v>
      </c>
      <c r="C651" t="s">
        <v>15992</v>
      </c>
      <c r="E651">
        <v>255</v>
      </c>
      <c r="F651">
        <v>89</v>
      </c>
      <c r="G651">
        <v>116</v>
      </c>
      <c r="H651">
        <v>11</v>
      </c>
      <c r="V651" t="s">
        <v>10135</v>
      </c>
    </row>
    <row r="652" spans="2:23" x14ac:dyDescent="0.25">
      <c r="B652">
        <v>16195</v>
      </c>
      <c r="C652" t="s">
        <v>15993</v>
      </c>
      <c r="E652">
        <v>255</v>
      </c>
      <c r="F652">
        <v>89</v>
      </c>
      <c r="G652">
        <v>116</v>
      </c>
      <c r="H652">
        <v>11</v>
      </c>
      <c r="V652" t="s">
        <v>10137</v>
      </c>
    </row>
    <row r="653" spans="2:23" x14ac:dyDescent="0.25">
      <c r="B653">
        <v>16196</v>
      </c>
      <c r="C653" t="s">
        <v>15994</v>
      </c>
      <c r="E653">
        <v>255</v>
      </c>
      <c r="F653">
        <v>89</v>
      </c>
      <c r="G653">
        <v>116</v>
      </c>
      <c r="H653">
        <v>11</v>
      </c>
      <c r="V653" t="s">
        <v>10139</v>
      </c>
    </row>
    <row r="654" spans="2:23" x14ac:dyDescent="0.25">
      <c r="B654">
        <v>16197</v>
      </c>
      <c r="C654" t="s">
        <v>15995</v>
      </c>
      <c r="E654">
        <v>255</v>
      </c>
      <c r="F654">
        <v>89</v>
      </c>
      <c r="G654">
        <v>116</v>
      </c>
      <c r="H654">
        <v>11</v>
      </c>
      <c r="V654" t="s">
        <v>10141</v>
      </c>
    </row>
    <row r="655" spans="2:23" x14ac:dyDescent="0.25">
      <c r="B655">
        <v>111220572</v>
      </c>
      <c r="C655" t="s">
        <v>15996</v>
      </c>
      <c r="E655">
        <v>255</v>
      </c>
      <c r="F655">
        <v>89</v>
      </c>
      <c r="G655">
        <v>116</v>
      </c>
      <c r="H655">
        <v>12</v>
      </c>
      <c r="W655" t="s">
        <v>8695</v>
      </c>
    </row>
    <row r="656" spans="2:23" x14ac:dyDescent="0.25">
      <c r="B656">
        <v>111220574</v>
      </c>
      <c r="C656" t="s">
        <v>15997</v>
      </c>
      <c r="E656">
        <v>255</v>
      </c>
      <c r="F656">
        <v>89</v>
      </c>
      <c r="G656">
        <v>116</v>
      </c>
      <c r="H656">
        <v>12</v>
      </c>
      <c r="W656" t="s">
        <v>8697</v>
      </c>
    </row>
    <row r="657" spans="2:22" x14ac:dyDescent="0.25">
      <c r="B657">
        <v>112892265</v>
      </c>
      <c r="C657" t="s">
        <v>15998</v>
      </c>
      <c r="E657">
        <v>255</v>
      </c>
      <c r="F657">
        <v>72</v>
      </c>
      <c r="G657">
        <v>101</v>
      </c>
      <c r="H657">
        <v>8</v>
      </c>
      <c r="S657" t="s">
        <v>1834</v>
      </c>
    </row>
    <row r="658" spans="2:22" x14ac:dyDescent="0.25">
      <c r="B658">
        <v>112892267</v>
      </c>
      <c r="C658" t="s">
        <v>15999</v>
      </c>
      <c r="E658">
        <v>255</v>
      </c>
      <c r="F658">
        <v>72</v>
      </c>
      <c r="G658">
        <v>101</v>
      </c>
      <c r="H658">
        <v>9</v>
      </c>
      <c r="T658" t="s">
        <v>9029</v>
      </c>
    </row>
    <row r="659" spans="2:22" x14ac:dyDescent="0.25">
      <c r="B659">
        <v>112892269</v>
      </c>
      <c r="C659" t="s">
        <v>16000</v>
      </c>
      <c r="E659">
        <v>255</v>
      </c>
      <c r="F659">
        <v>89</v>
      </c>
      <c r="G659">
        <v>116</v>
      </c>
      <c r="H659">
        <v>9</v>
      </c>
      <c r="T659" t="s">
        <v>9031</v>
      </c>
    </row>
    <row r="660" spans="2:22" x14ac:dyDescent="0.25">
      <c r="B660">
        <v>112892271</v>
      </c>
      <c r="C660" t="s">
        <v>16001</v>
      </c>
      <c r="E660">
        <v>255</v>
      </c>
      <c r="F660">
        <v>89</v>
      </c>
      <c r="G660">
        <v>116</v>
      </c>
      <c r="H660">
        <v>10</v>
      </c>
      <c r="U660" t="s">
        <v>9033</v>
      </c>
    </row>
    <row r="661" spans="2:22" x14ac:dyDescent="0.25">
      <c r="B661">
        <v>112892273</v>
      </c>
      <c r="C661" t="s">
        <v>16002</v>
      </c>
      <c r="E661">
        <v>255</v>
      </c>
      <c r="F661">
        <v>89</v>
      </c>
      <c r="G661">
        <v>116</v>
      </c>
      <c r="H661">
        <v>10</v>
      </c>
      <c r="U661" t="s">
        <v>9035</v>
      </c>
    </row>
    <row r="662" spans="2:22" x14ac:dyDescent="0.25">
      <c r="B662">
        <v>112892275</v>
      </c>
      <c r="C662" t="s">
        <v>16003</v>
      </c>
      <c r="E662">
        <v>255</v>
      </c>
      <c r="F662">
        <v>89</v>
      </c>
      <c r="G662">
        <v>116</v>
      </c>
      <c r="H662">
        <v>10</v>
      </c>
      <c r="U662" t="s">
        <v>9037</v>
      </c>
    </row>
    <row r="663" spans="2:22" x14ac:dyDescent="0.25">
      <c r="B663">
        <v>112892277</v>
      </c>
      <c r="C663" t="s">
        <v>16004</v>
      </c>
      <c r="E663">
        <v>255</v>
      </c>
      <c r="F663">
        <v>89</v>
      </c>
      <c r="G663">
        <v>116</v>
      </c>
      <c r="H663">
        <v>11</v>
      </c>
      <c r="V663" t="s">
        <v>9039</v>
      </c>
    </row>
    <row r="664" spans="2:22" x14ac:dyDescent="0.25">
      <c r="B664">
        <v>112892279</v>
      </c>
      <c r="C664" t="s">
        <v>16005</v>
      </c>
      <c r="E664">
        <v>255</v>
      </c>
      <c r="F664">
        <v>89</v>
      </c>
      <c r="G664">
        <v>116</v>
      </c>
      <c r="H664">
        <v>11</v>
      </c>
      <c r="V664" t="s">
        <v>9041</v>
      </c>
    </row>
    <row r="665" spans="2:22" x14ac:dyDescent="0.25">
      <c r="B665">
        <v>16198</v>
      </c>
      <c r="C665" t="s">
        <v>16006</v>
      </c>
      <c r="E665">
        <v>200</v>
      </c>
      <c r="F665">
        <v>124</v>
      </c>
      <c r="G665">
        <v>44</v>
      </c>
      <c r="H665">
        <v>7</v>
      </c>
      <c r="R665" t="s">
        <v>10143</v>
      </c>
    </row>
    <row r="666" spans="2:22" x14ac:dyDescent="0.25">
      <c r="B666">
        <v>16199</v>
      </c>
      <c r="C666" t="s">
        <v>16007</v>
      </c>
      <c r="E666">
        <v>200</v>
      </c>
      <c r="F666">
        <v>124</v>
      </c>
      <c r="G666">
        <v>44</v>
      </c>
      <c r="H666">
        <v>9</v>
      </c>
      <c r="S666" t="s">
        <v>10145</v>
      </c>
    </row>
    <row r="667" spans="2:22" x14ac:dyDescent="0.25">
      <c r="B667">
        <v>16200</v>
      </c>
      <c r="C667" t="s">
        <v>16008</v>
      </c>
      <c r="E667">
        <v>208</v>
      </c>
      <c r="F667">
        <v>143</v>
      </c>
      <c r="G667">
        <v>74</v>
      </c>
      <c r="H667">
        <v>9</v>
      </c>
      <c r="S667" t="s">
        <v>10147</v>
      </c>
    </row>
    <row r="668" spans="2:22" x14ac:dyDescent="0.25">
      <c r="B668">
        <v>16201</v>
      </c>
      <c r="C668" t="s">
        <v>16009</v>
      </c>
      <c r="E668">
        <v>208</v>
      </c>
      <c r="F668">
        <v>143</v>
      </c>
      <c r="G668">
        <v>74</v>
      </c>
      <c r="H668">
        <v>10</v>
      </c>
      <c r="T668" t="s">
        <v>10149</v>
      </c>
    </row>
    <row r="669" spans="2:22" x14ac:dyDescent="0.25">
      <c r="B669">
        <v>16202</v>
      </c>
      <c r="C669" t="s">
        <v>16010</v>
      </c>
      <c r="E669">
        <v>208</v>
      </c>
      <c r="F669">
        <v>143</v>
      </c>
      <c r="G669">
        <v>74</v>
      </c>
      <c r="H669">
        <v>10</v>
      </c>
      <c r="T669" t="s">
        <v>10151</v>
      </c>
    </row>
    <row r="670" spans="2:22" x14ac:dyDescent="0.25">
      <c r="B670">
        <v>16203</v>
      </c>
      <c r="C670" t="s">
        <v>16011</v>
      </c>
      <c r="E670">
        <v>208</v>
      </c>
      <c r="F670">
        <v>143</v>
      </c>
      <c r="G670">
        <v>74</v>
      </c>
      <c r="H670">
        <v>10</v>
      </c>
      <c r="T670" t="s">
        <v>10153</v>
      </c>
    </row>
    <row r="671" spans="2:22" x14ac:dyDescent="0.25">
      <c r="B671">
        <v>16204</v>
      </c>
      <c r="C671" t="s">
        <v>16012</v>
      </c>
      <c r="E671">
        <v>208</v>
      </c>
      <c r="F671">
        <v>143</v>
      </c>
      <c r="G671">
        <v>74</v>
      </c>
      <c r="H671">
        <v>11</v>
      </c>
      <c r="U671" t="s">
        <v>4967</v>
      </c>
    </row>
    <row r="672" spans="2:22" x14ac:dyDescent="0.25">
      <c r="B672">
        <v>16205</v>
      </c>
      <c r="C672" t="s">
        <v>16013</v>
      </c>
      <c r="E672">
        <v>171</v>
      </c>
      <c r="F672">
        <v>56</v>
      </c>
      <c r="G672">
        <v>46</v>
      </c>
      <c r="H672">
        <v>6</v>
      </c>
      <c r="Q672" t="s">
        <v>10155</v>
      </c>
    </row>
    <row r="673" spans="2:22" x14ac:dyDescent="0.25">
      <c r="B673">
        <v>16206</v>
      </c>
      <c r="C673" t="s">
        <v>16014</v>
      </c>
      <c r="E673">
        <v>171</v>
      </c>
      <c r="F673">
        <v>56</v>
      </c>
      <c r="G673">
        <v>46</v>
      </c>
      <c r="H673">
        <v>9</v>
      </c>
      <c r="R673" t="s">
        <v>10157</v>
      </c>
    </row>
    <row r="674" spans="2:22" x14ac:dyDescent="0.25">
      <c r="B674">
        <v>16207</v>
      </c>
      <c r="C674" t="s">
        <v>16015</v>
      </c>
      <c r="E674">
        <v>183</v>
      </c>
      <c r="F674">
        <v>84</v>
      </c>
      <c r="G674">
        <v>76</v>
      </c>
      <c r="H674">
        <v>9</v>
      </c>
      <c r="R674" t="s">
        <v>10159</v>
      </c>
    </row>
    <row r="675" spans="2:22" x14ac:dyDescent="0.25">
      <c r="B675">
        <v>16208</v>
      </c>
      <c r="C675" t="s">
        <v>16016</v>
      </c>
      <c r="E675">
        <v>183</v>
      </c>
      <c r="F675">
        <v>84</v>
      </c>
      <c r="G675">
        <v>76</v>
      </c>
      <c r="H675">
        <v>10</v>
      </c>
      <c r="S675" t="s">
        <v>10161</v>
      </c>
    </row>
    <row r="676" spans="2:22" x14ac:dyDescent="0.25">
      <c r="B676">
        <v>16209</v>
      </c>
      <c r="C676" t="s">
        <v>16017</v>
      </c>
      <c r="E676">
        <v>183</v>
      </c>
      <c r="F676">
        <v>84</v>
      </c>
      <c r="G676">
        <v>76</v>
      </c>
      <c r="H676">
        <v>10</v>
      </c>
      <c r="S676" t="s">
        <v>10163</v>
      </c>
    </row>
    <row r="677" spans="2:22" x14ac:dyDescent="0.25">
      <c r="B677">
        <v>16210</v>
      </c>
      <c r="C677" t="s">
        <v>16018</v>
      </c>
      <c r="E677">
        <v>183</v>
      </c>
      <c r="F677">
        <v>84</v>
      </c>
      <c r="G677">
        <v>76</v>
      </c>
      <c r="H677">
        <v>10</v>
      </c>
      <c r="S677" t="s">
        <v>10165</v>
      </c>
    </row>
    <row r="678" spans="2:22" x14ac:dyDescent="0.25">
      <c r="B678">
        <v>16211</v>
      </c>
      <c r="C678" t="s">
        <v>16019</v>
      </c>
      <c r="E678">
        <v>223</v>
      </c>
      <c r="F678">
        <v>114</v>
      </c>
      <c r="G678">
        <v>87</v>
      </c>
      <c r="H678">
        <v>4</v>
      </c>
      <c r="O678" t="s">
        <v>16020</v>
      </c>
    </row>
    <row r="679" spans="2:22" x14ac:dyDescent="0.25">
      <c r="B679">
        <v>16212</v>
      </c>
      <c r="C679" t="s">
        <v>16021</v>
      </c>
      <c r="E679">
        <v>223</v>
      </c>
      <c r="F679">
        <v>114</v>
      </c>
      <c r="G679">
        <v>87</v>
      </c>
      <c r="H679">
        <v>5</v>
      </c>
      <c r="P679" t="s">
        <v>16022</v>
      </c>
    </row>
    <row r="680" spans="2:22" x14ac:dyDescent="0.25">
      <c r="B680">
        <v>16213</v>
      </c>
      <c r="C680" t="s">
        <v>16023</v>
      </c>
      <c r="E680">
        <v>223</v>
      </c>
      <c r="F680">
        <v>114</v>
      </c>
      <c r="G680">
        <v>87</v>
      </c>
      <c r="H680">
        <v>6</v>
      </c>
      <c r="Q680" t="s">
        <v>16024</v>
      </c>
    </row>
    <row r="681" spans="2:22" x14ac:dyDescent="0.25">
      <c r="B681">
        <v>16214</v>
      </c>
      <c r="C681" t="s">
        <v>16025</v>
      </c>
      <c r="E681">
        <v>223</v>
      </c>
      <c r="F681">
        <v>114</v>
      </c>
      <c r="G681">
        <v>87</v>
      </c>
      <c r="H681">
        <v>9</v>
      </c>
      <c r="R681" t="s">
        <v>16026</v>
      </c>
    </row>
    <row r="682" spans="2:22" x14ac:dyDescent="0.25">
      <c r="B682">
        <v>16215</v>
      </c>
      <c r="C682" t="s">
        <v>16027</v>
      </c>
      <c r="E682">
        <v>228</v>
      </c>
      <c r="F682">
        <v>134</v>
      </c>
      <c r="G682">
        <v>111</v>
      </c>
      <c r="H682">
        <v>9</v>
      </c>
      <c r="R682" t="s">
        <v>16028</v>
      </c>
    </row>
    <row r="683" spans="2:22" x14ac:dyDescent="0.25">
      <c r="B683">
        <v>16216</v>
      </c>
      <c r="C683" t="s">
        <v>16029</v>
      </c>
      <c r="E683">
        <v>228</v>
      </c>
      <c r="F683">
        <v>134</v>
      </c>
      <c r="G683">
        <v>111</v>
      </c>
      <c r="H683">
        <v>10</v>
      </c>
      <c r="S683" t="s">
        <v>16030</v>
      </c>
    </row>
    <row r="684" spans="2:22" x14ac:dyDescent="0.25">
      <c r="B684">
        <v>16217</v>
      </c>
      <c r="C684" t="s">
        <v>16031</v>
      </c>
      <c r="E684">
        <v>228</v>
      </c>
      <c r="F684">
        <v>134</v>
      </c>
      <c r="G684">
        <v>111</v>
      </c>
      <c r="H684">
        <v>11</v>
      </c>
      <c r="T684" t="s">
        <v>16032</v>
      </c>
    </row>
    <row r="685" spans="2:22" x14ac:dyDescent="0.25">
      <c r="B685">
        <v>16218</v>
      </c>
      <c r="C685" t="s">
        <v>16033</v>
      </c>
      <c r="E685">
        <v>228</v>
      </c>
      <c r="F685">
        <v>134</v>
      </c>
      <c r="G685">
        <v>111</v>
      </c>
      <c r="H685">
        <v>12</v>
      </c>
      <c r="U685" t="s">
        <v>16034</v>
      </c>
    </row>
    <row r="686" spans="2:22" x14ac:dyDescent="0.25">
      <c r="B686">
        <v>16219</v>
      </c>
      <c r="C686" t="s">
        <v>16035</v>
      </c>
      <c r="E686">
        <v>228</v>
      </c>
      <c r="F686">
        <v>134</v>
      </c>
      <c r="G686">
        <v>111</v>
      </c>
      <c r="H686">
        <v>12</v>
      </c>
      <c r="U686" t="s">
        <v>16036</v>
      </c>
    </row>
    <row r="687" spans="2:22" x14ac:dyDescent="0.25">
      <c r="B687">
        <v>16220</v>
      </c>
      <c r="C687" t="s">
        <v>16037</v>
      </c>
      <c r="E687">
        <v>228</v>
      </c>
      <c r="F687">
        <v>134</v>
      </c>
      <c r="G687">
        <v>111</v>
      </c>
      <c r="H687">
        <v>13</v>
      </c>
      <c r="V687" t="s">
        <v>16038</v>
      </c>
    </row>
    <row r="688" spans="2:22" x14ac:dyDescent="0.25">
      <c r="B688">
        <v>16221</v>
      </c>
      <c r="C688" t="s">
        <v>16039</v>
      </c>
      <c r="E688">
        <v>228</v>
      </c>
      <c r="F688">
        <v>134</v>
      </c>
      <c r="G688">
        <v>111</v>
      </c>
      <c r="H688">
        <v>13</v>
      </c>
      <c r="V688" t="s">
        <v>16040</v>
      </c>
    </row>
    <row r="689" spans="2:22" x14ac:dyDescent="0.25">
      <c r="B689">
        <v>16222</v>
      </c>
      <c r="C689" t="s">
        <v>16041</v>
      </c>
      <c r="E689">
        <v>228</v>
      </c>
      <c r="F689">
        <v>134</v>
      </c>
      <c r="G689">
        <v>111</v>
      </c>
      <c r="H689">
        <v>13</v>
      </c>
      <c r="V689" t="s">
        <v>16042</v>
      </c>
    </row>
    <row r="690" spans="2:22" x14ac:dyDescent="0.25">
      <c r="B690">
        <v>16223</v>
      </c>
      <c r="C690" t="s">
        <v>16043</v>
      </c>
      <c r="E690">
        <v>228</v>
      </c>
      <c r="F690">
        <v>134</v>
      </c>
      <c r="G690">
        <v>111</v>
      </c>
      <c r="H690">
        <v>13</v>
      </c>
      <c r="V690" t="s">
        <v>16044</v>
      </c>
    </row>
    <row r="691" spans="2:22" x14ac:dyDescent="0.25">
      <c r="B691">
        <v>16224</v>
      </c>
      <c r="C691" t="s">
        <v>16045</v>
      </c>
      <c r="E691">
        <v>228</v>
      </c>
      <c r="F691">
        <v>134</v>
      </c>
      <c r="G691">
        <v>111</v>
      </c>
      <c r="H691">
        <v>12</v>
      </c>
      <c r="U691" t="s">
        <v>16046</v>
      </c>
    </row>
    <row r="692" spans="2:22" x14ac:dyDescent="0.25">
      <c r="B692">
        <v>16225</v>
      </c>
      <c r="C692" t="s">
        <v>16047</v>
      </c>
      <c r="E692">
        <v>228</v>
      </c>
      <c r="F692">
        <v>134</v>
      </c>
      <c r="G692">
        <v>111</v>
      </c>
      <c r="H692">
        <v>10</v>
      </c>
      <c r="S692" t="s">
        <v>16048</v>
      </c>
    </row>
    <row r="693" spans="2:22" x14ac:dyDescent="0.25">
      <c r="B693">
        <v>16226</v>
      </c>
      <c r="C693" t="s">
        <v>16049</v>
      </c>
      <c r="E693">
        <v>228</v>
      </c>
      <c r="F693">
        <v>134</v>
      </c>
      <c r="G693">
        <v>111</v>
      </c>
      <c r="H693">
        <v>11</v>
      </c>
      <c r="T693" t="s">
        <v>16050</v>
      </c>
    </row>
    <row r="694" spans="2:22" x14ac:dyDescent="0.25">
      <c r="B694">
        <v>16227</v>
      </c>
      <c r="C694" t="s">
        <v>16051</v>
      </c>
      <c r="E694">
        <v>228</v>
      </c>
      <c r="F694">
        <v>134</v>
      </c>
      <c r="G694">
        <v>111</v>
      </c>
      <c r="H694">
        <v>11</v>
      </c>
      <c r="T694" t="s">
        <v>16052</v>
      </c>
    </row>
    <row r="695" spans="2:22" x14ac:dyDescent="0.25">
      <c r="B695">
        <v>16228</v>
      </c>
      <c r="C695" t="s">
        <v>16053</v>
      </c>
      <c r="E695">
        <v>228</v>
      </c>
      <c r="F695">
        <v>134</v>
      </c>
      <c r="G695">
        <v>111</v>
      </c>
      <c r="H695">
        <v>11</v>
      </c>
      <c r="T695" t="s">
        <v>16054</v>
      </c>
    </row>
    <row r="696" spans="2:22" x14ac:dyDescent="0.25">
      <c r="B696">
        <v>16229</v>
      </c>
      <c r="C696" t="s">
        <v>16055</v>
      </c>
      <c r="E696">
        <v>228</v>
      </c>
      <c r="F696">
        <v>134</v>
      </c>
      <c r="G696">
        <v>111</v>
      </c>
      <c r="H696">
        <v>11</v>
      </c>
      <c r="T696" t="s">
        <v>692</v>
      </c>
    </row>
    <row r="697" spans="2:22" x14ac:dyDescent="0.25">
      <c r="B697">
        <v>16230</v>
      </c>
      <c r="C697" t="s">
        <v>16056</v>
      </c>
      <c r="E697">
        <v>228</v>
      </c>
      <c r="F697">
        <v>134</v>
      </c>
      <c r="G697">
        <v>111</v>
      </c>
      <c r="H697">
        <v>11</v>
      </c>
      <c r="T697" t="s">
        <v>16057</v>
      </c>
    </row>
    <row r="698" spans="2:22" x14ac:dyDescent="0.25">
      <c r="B698">
        <v>16231</v>
      </c>
      <c r="C698" t="s">
        <v>16058</v>
      </c>
      <c r="E698">
        <v>228</v>
      </c>
      <c r="F698">
        <v>134</v>
      </c>
      <c r="G698">
        <v>111</v>
      </c>
      <c r="H698">
        <v>10</v>
      </c>
      <c r="S698" t="s">
        <v>16059</v>
      </c>
    </row>
    <row r="699" spans="2:22" x14ac:dyDescent="0.25">
      <c r="B699">
        <v>16232</v>
      </c>
      <c r="C699" t="s">
        <v>16060</v>
      </c>
      <c r="E699">
        <v>228</v>
      </c>
      <c r="F699">
        <v>134</v>
      </c>
      <c r="G699">
        <v>111</v>
      </c>
      <c r="H699">
        <v>11</v>
      </c>
      <c r="T699" t="s">
        <v>16061</v>
      </c>
    </row>
    <row r="700" spans="2:22" x14ac:dyDescent="0.25">
      <c r="B700">
        <v>16233</v>
      </c>
      <c r="C700" t="s">
        <v>16062</v>
      </c>
      <c r="E700">
        <v>223</v>
      </c>
      <c r="F700">
        <v>114</v>
      </c>
      <c r="G700">
        <v>87</v>
      </c>
      <c r="H700">
        <v>6</v>
      </c>
      <c r="Q700" t="s">
        <v>16063</v>
      </c>
    </row>
    <row r="701" spans="2:22" x14ac:dyDescent="0.25">
      <c r="B701">
        <v>16234</v>
      </c>
      <c r="C701" t="s">
        <v>16064</v>
      </c>
      <c r="E701">
        <v>223</v>
      </c>
      <c r="F701">
        <v>114</v>
      </c>
      <c r="G701">
        <v>87</v>
      </c>
      <c r="H701">
        <v>9</v>
      </c>
      <c r="R701" t="s">
        <v>16065</v>
      </c>
    </row>
    <row r="702" spans="2:22" x14ac:dyDescent="0.25">
      <c r="B702">
        <v>16235</v>
      </c>
      <c r="C702" t="s">
        <v>16066</v>
      </c>
      <c r="E702">
        <v>228</v>
      </c>
      <c r="F702">
        <v>134</v>
      </c>
      <c r="G702">
        <v>111</v>
      </c>
      <c r="H702">
        <v>9</v>
      </c>
      <c r="R702" t="s">
        <v>16067</v>
      </c>
    </row>
    <row r="703" spans="2:22" x14ac:dyDescent="0.25">
      <c r="B703">
        <v>16236</v>
      </c>
      <c r="C703" t="s">
        <v>16068</v>
      </c>
      <c r="E703">
        <v>228</v>
      </c>
      <c r="F703">
        <v>134</v>
      </c>
      <c r="G703">
        <v>111</v>
      </c>
      <c r="H703">
        <v>10</v>
      </c>
      <c r="S703" t="s">
        <v>16069</v>
      </c>
    </row>
    <row r="704" spans="2:22" x14ac:dyDescent="0.25">
      <c r="B704">
        <v>16237</v>
      </c>
      <c r="C704" t="s">
        <v>16070</v>
      </c>
      <c r="E704">
        <v>228</v>
      </c>
      <c r="F704">
        <v>134</v>
      </c>
      <c r="G704">
        <v>111</v>
      </c>
      <c r="H704">
        <v>11</v>
      </c>
      <c r="T704" t="s">
        <v>16071</v>
      </c>
    </row>
    <row r="705" spans="2:21" x14ac:dyDescent="0.25">
      <c r="B705">
        <v>16238</v>
      </c>
      <c r="C705" t="s">
        <v>16072</v>
      </c>
      <c r="E705">
        <v>228</v>
      </c>
      <c r="F705">
        <v>134</v>
      </c>
      <c r="G705">
        <v>111</v>
      </c>
      <c r="H705">
        <v>11</v>
      </c>
      <c r="T705" t="s">
        <v>16073</v>
      </c>
    </row>
    <row r="706" spans="2:21" x14ac:dyDescent="0.25">
      <c r="B706">
        <v>16239</v>
      </c>
      <c r="C706" t="s">
        <v>16074</v>
      </c>
      <c r="E706">
        <v>228</v>
      </c>
      <c r="F706">
        <v>134</v>
      </c>
      <c r="G706">
        <v>111</v>
      </c>
      <c r="H706">
        <v>10</v>
      </c>
      <c r="S706" t="s">
        <v>16075</v>
      </c>
    </row>
    <row r="707" spans="2:21" x14ac:dyDescent="0.25">
      <c r="B707">
        <v>16240</v>
      </c>
      <c r="C707" t="s">
        <v>16076</v>
      </c>
      <c r="E707">
        <v>228</v>
      </c>
      <c r="F707">
        <v>134</v>
      </c>
      <c r="G707">
        <v>111</v>
      </c>
      <c r="H707">
        <v>11</v>
      </c>
      <c r="T707" t="s">
        <v>378</v>
      </c>
    </row>
    <row r="708" spans="2:21" x14ac:dyDescent="0.25">
      <c r="B708">
        <v>16241</v>
      </c>
      <c r="C708" t="s">
        <v>16077</v>
      </c>
      <c r="E708">
        <v>228</v>
      </c>
      <c r="F708">
        <v>134</v>
      </c>
      <c r="G708">
        <v>111</v>
      </c>
      <c r="H708">
        <v>12</v>
      </c>
      <c r="U708" t="s">
        <v>16078</v>
      </c>
    </row>
    <row r="709" spans="2:21" x14ac:dyDescent="0.25">
      <c r="B709">
        <v>16242</v>
      </c>
      <c r="C709" t="s">
        <v>16079</v>
      </c>
      <c r="E709">
        <v>228</v>
      </c>
      <c r="F709">
        <v>134</v>
      </c>
      <c r="G709">
        <v>111</v>
      </c>
      <c r="H709">
        <v>11</v>
      </c>
      <c r="T709" t="s">
        <v>16080</v>
      </c>
    </row>
    <row r="710" spans="2:21" x14ac:dyDescent="0.25">
      <c r="B710">
        <v>16243</v>
      </c>
      <c r="C710" t="s">
        <v>16081</v>
      </c>
      <c r="E710">
        <v>228</v>
      </c>
      <c r="F710">
        <v>134</v>
      </c>
      <c r="G710">
        <v>111</v>
      </c>
      <c r="H710">
        <v>11</v>
      </c>
      <c r="T710" t="s">
        <v>16082</v>
      </c>
    </row>
    <row r="711" spans="2:21" x14ac:dyDescent="0.25">
      <c r="B711">
        <v>16244</v>
      </c>
      <c r="C711" t="s">
        <v>16083</v>
      </c>
      <c r="E711">
        <v>228</v>
      </c>
      <c r="F711">
        <v>134</v>
      </c>
      <c r="G711">
        <v>111</v>
      </c>
      <c r="H711">
        <v>10</v>
      </c>
      <c r="S711" t="s">
        <v>16084</v>
      </c>
    </row>
    <row r="712" spans="2:21" x14ac:dyDescent="0.25">
      <c r="B712">
        <v>16245</v>
      </c>
      <c r="C712" t="s">
        <v>16085</v>
      </c>
      <c r="E712">
        <v>228</v>
      </c>
      <c r="F712">
        <v>134</v>
      </c>
      <c r="G712">
        <v>111</v>
      </c>
      <c r="H712">
        <v>11</v>
      </c>
      <c r="T712" t="s">
        <v>16086</v>
      </c>
    </row>
    <row r="713" spans="2:21" x14ac:dyDescent="0.25">
      <c r="B713">
        <v>16246</v>
      </c>
      <c r="C713" t="s">
        <v>16087</v>
      </c>
      <c r="E713">
        <v>228</v>
      </c>
      <c r="F713">
        <v>134</v>
      </c>
      <c r="G713">
        <v>111</v>
      </c>
      <c r="H713">
        <v>11</v>
      </c>
      <c r="T713" t="s">
        <v>16088</v>
      </c>
    </row>
    <row r="714" spans="2:21" x14ac:dyDescent="0.25">
      <c r="B714">
        <v>16247</v>
      </c>
      <c r="C714" t="s">
        <v>16089</v>
      </c>
      <c r="E714">
        <v>178</v>
      </c>
      <c r="F714">
        <v>91</v>
      </c>
      <c r="G714">
        <v>70</v>
      </c>
      <c r="H714">
        <v>5</v>
      </c>
      <c r="P714" t="s">
        <v>16090</v>
      </c>
    </row>
    <row r="715" spans="2:21" x14ac:dyDescent="0.25">
      <c r="B715">
        <v>16248</v>
      </c>
      <c r="C715" t="s">
        <v>16091</v>
      </c>
      <c r="E715">
        <v>178</v>
      </c>
      <c r="F715">
        <v>91</v>
      </c>
      <c r="G715">
        <v>70</v>
      </c>
      <c r="H715">
        <v>6</v>
      </c>
      <c r="Q715" t="s">
        <v>16092</v>
      </c>
    </row>
    <row r="716" spans="2:21" x14ac:dyDescent="0.25">
      <c r="B716">
        <v>16249</v>
      </c>
      <c r="C716" t="s">
        <v>16093</v>
      </c>
      <c r="E716">
        <v>178</v>
      </c>
      <c r="F716">
        <v>91</v>
      </c>
      <c r="G716">
        <v>70</v>
      </c>
      <c r="H716">
        <v>9</v>
      </c>
      <c r="R716" t="s">
        <v>16094</v>
      </c>
    </row>
    <row r="717" spans="2:21" x14ac:dyDescent="0.25">
      <c r="B717">
        <v>16250</v>
      </c>
      <c r="C717" t="s">
        <v>16095</v>
      </c>
      <c r="E717">
        <v>201</v>
      </c>
      <c r="F717">
        <v>103</v>
      </c>
      <c r="G717">
        <v>78</v>
      </c>
      <c r="H717">
        <v>9</v>
      </c>
      <c r="R717" t="s">
        <v>16096</v>
      </c>
    </row>
    <row r="718" spans="2:21" x14ac:dyDescent="0.25">
      <c r="B718">
        <v>16251</v>
      </c>
      <c r="C718" t="s">
        <v>16097</v>
      </c>
      <c r="E718">
        <v>201</v>
      </c>
      <c r="F718">
        <v>103</v>
      </c>
      <c r="G718">
        <v>78</v>
      </c>
      <c r="H718">
        <v>10</v>
      </c>
      <c r="S718" t="s">
        <v>16098</v>
      </c>
    </row>
    <row r="719" spans="2:21" x14ac:dyDescent="0.25">
      <c r="B719">
        <v>16252</v>
      </c>
      <c r="C719" t="s">
        <v>16099</v>
      </c>
      <c r="E719">
        <v>201</v>
      </c>
      <c r="F719">
        <v>103</v>
      </c>
      <c r="G719">
        <v>78</v>
      </c>
      <c r="H719">
        <v>11</v>
      </c>
      <c r="T719" t="s">
        <v>16100</v>
      </c>
    </row>
    <row r="720" spans="2:21" x14ac:dyDescent="0.25">
      <c r="B720">
        <v>16253</v>
      </c>
      <c r="C720" t="s">
        <v>16101</v>
      </c>
      <c r="E720">
        <v>201</v>
      </c>
      <c r="F720">
        <v>103</v>
      </c>
      <c r="G720">
        <v>78</v>
      </c>
      <c r="H720">
        <v>10</v>
      </c>
      <c r="S720" t="s">
        <v>16102</v>
      </c>
    </row>
    <row r="721" spans="2:21" x14ac:dyDescent="0.25">
      <c r="B721">
        <v>16254</v>
      </c>
      <c r="C721" t="s">
        <v>16103</v>
      </c>
      <c r="E721">
        <v>201</v>
      </c>
      <c r="F721">
        <v>103</v>
      </c>
      <c r="G721">
        <v>78</v>
      </c>
      <c r="H721">
        <v>11</v>
      </c>
      <c r="T721" t="s">
        <v>16104</v>
      </c>
    </row>
    <row r="722" spans="2:21" x14ac:dyDescent="0.25">
      <c r="B722">
        <v>16255</v>
      </c>
      <c r="C722" t="s">
        <v>16105</v>
      </c>
      <c r="E722">
        <v>201</v>
      </c>
      <c r="F722">
        <v>103</v>
      </c>
      <c r="G722">
        <v>78</v>
      </c>
      <c r="H722">
        <v>11</v>
      </c>
      <c r="T722" t="s">
        <v>16106</v>
      </c>
    </row>
    <row r="723" spans="2:21" x14ac:dyDescent="0.25">
      <c r="B723">
        <v>16256</v>
      </c>
      <c r="C723" t="s">
        <v>16107</v>
      </c>
      <c r="E723">
        <v>201</v>
      </c>
      <c r="F723">
        <v>103</v>
      </c>
      <c r="G723">
        <v>78</v>
      </c>
      <c r="H723">
        <v>11</v>
      </c>
      <c r="T723" t="s">
        <v>16108</v>
      </c>
    </row>
    <row r="724" spans="2:21" x14ac:dyDescent="0.25">
      <c r="B724">
        <v>16257</v>
      </c>
      <c r="C724" t="s">
        <v>16109</v>
      </c>
      <c r="E724">
        <v>201</v>
      </c>
      <c r="F724">
        <v>103</v>
      </c>
      <c r="G724">
        <v>78</v>
      </c>
      <c r="H724">
        <v>10</v>
      </c>
      <c r="S724" t="s">
        <v>16110</v>
      </c>
    </row>
    <row r="725" spans="2:21" x14ac:dyDescent="0.25">
      <c r="B725">
        <v>16258</v>
      </c>
      <c r="C725" t="s">
        <v>16111</v>
      </c>
      <c r="E725">
        <v>201</v>
      </c>
      <c r="F725">
        <v>103</v>
      </c>
      <c r="G725">
        <v>78</v>
      </c>
      <c r="H725">
        <v>11</v>
      </c>
      <c r="T725" t="s">
        <v>16112</v>
      </c>
    </row>
    <row r="726" spans="2:21" x14ac:dyDescent="0.25">
      <c r="B726">
        <v>16259</v>
      </c>
      <c r="C726" t="s">
        <v>16113</v>
      </c>
      <c r="E726">
        <v>178</v>
      </c>
      <c r="F726">
        <v>91</v>
      </c>
      <c r="G726">
        <v>70</v>
      </c>
      <c r="H726">
        <v>6</v>
      </c>
      <c r="Q726" t="s">
        <v>16114</v>
      </c>
    </row>
    <row r="727" spans="2:21" x14ac:dyDescent="0.25">
      <c r="B727">
        <v>16260</v>
      </c>
      <c r="C727" t="s">
        <v>16115</v>
      </c>
      <c r="E727">
        <v>178</v>
      </c>
      <c r="F727">
        <v>91</v>
      </c>
      <c r="G727">
        <v>70</v>
      </c>
      <c r="H727">
        <v>9</v>
      </c>
      <c r="R727" t="s">
        <v>16116</v>
      </c>
    </row>
    <row r="728" spans="2:21" x14ac:dyDescent="0.25">
      <c r="B728">
        <v>16261</v>
      </c>
      <c r="C728" t="s">
        <v>16117</v>
      </c>
      <c r="E728">
        <v>201</v>
      </c>
      <c r="F728">
        <v>103</v>
      </c>
      <c r="G728">
        <v>78</v>
      </c>
      <c r="H728">
        <v>9</v>
      </c>
      <c r="R728" t="s">
        <v>16118</v>
      </c>
    </row>
    <row r="729" spans="2:21" x14ac:dyDescent="0.25">
      <c r="B729">
        <v>16262</v>
      </c>
      <c r="C729" t="s">
        <v>16119</v>
      </c>
      <c r="E729">
        <v>201</v>
      </c>
      <c r="F729">
        <v>103</v>
      </c>
      <c r="G729">
        <v>78</v>
      </c>
      <c r="H729">
        <v>10</v>
      </c>
      <c r="S729" t="s">
        <v>16120</v>
      </c>
    </row>
    <row r="730" spans="2:21" x14ac:dyDescent="0.25">
      <c r="B730">
        <v>16263</v>
      </c>
      <c r="C730" t="s">
        <v>16121</v>
      </c>
      <c r="E730">
        <v>201</v>
      </c>
      <c r="F730">
        <v>103</v>
      </c>
      <c r="G730">
        <v>78</v>
      </c>
      <c r="H730">
        <v>11</v>
      </c>
      <c r="T730" t="s">
        <v>16122</v>
      </c>
    </row>
    <row r="731" spans="2:21" x14ac:dyDescent="0.25">
      <c r="B731">
        <v>16264</v>
      </c>
      <c r="C731" t="s">
        <v>16123</v>
      </c>
      <c r="E731">
        <v>201</v>
      </c>
      <c r="F731">
        <v>103</v>
      </c>
      <c r="G731">
        <v>78</v>
      </c>
      <c r="H731">
        <v>10</v>
      </c>
      <c r="S731" t="s">
        <v>16124</v>
      </c>
    </row>
    <row r="732" spans="2:21" x14ac:dyDescent="0.25">
      <c r="B732">
        <v>16265</v>
      </c>
      <c r="C732" t="s">
        <v>16125</v>
      </c>
      <c r="E732">
        <v>201</v>
      </c>
      <c r="F732">
        <v>103</v>
      </c>
      <c r="G732">
        <v>78</v>
      </c>
      <c r="H732">
        <v>11</v>
      </c>
      <c r="T732" t="s">
        <v>16126</v>
      </c>
    </row>
    <row r="733" spans="2:21" x14ac:dyDescent="0.25">
      <c r="B733">
        <v>16266</v>
      </c>
      <c r="C733" t="s">
        <v>16127</v>
      </c>
      <c r="E733">
        <v>201</v>
      </c>
      <c r="F733">
        <v>103</v>
      </c>
      <c r="G733">
        <v>78</v>
      </c>
      <c r="H733">
        <v>12</v>
      </c>
      <c r="U733" t="s">
        <v>16128</v>
      </c>
    </row>
    <row r="734" spans="2:21" x14ac:dyDescent="0.25">
      <c r="B734">
        <v>16267</v>
      </c>
      <c r="C734" t="s">
        <v>16129</v>
      </c>
      <c r="E734">
        <v>201</v>
      </c>
      <c r="F734">
        <v>103</v>
      </c>
      <c r="G734">
        <v>78</v>
      </c>
      <c r="H734">
        <v>12</v>
      </c>
      <c r="U734" t="s">
        <v>16130</v>
      </c>
    </row>
    <row r="735" spans="2:21" x14ac:dyDescent="0.25">
      <c r="B735">
        <v>16268</v>
      </c>
      <c r="C735" t="s">
        <v>16131</v>
      </c>
      <c r="E735">
        <v>201</v>
      </c>
      <c r="F735">
        <v>103</v>
      </c>
      <c r="G735">
        <v>78</v>
      </c>
      <c r="H735">
        <v>11</v>
      </c>
      <c r="T735" t="s">
        <v>16132</v>
      </c>
    </row>
    <row r="736" spans="2:21" x14ac:dyDescent="0.25">
      <c r="B736">
        <v>16269</v>
      </c>
      <c r="C736" t="s">
        <v>16133</v>
      </c>
      <c r="E736">
        <v>201</v>
      </c>
      <c r="F736">
        <v>103</v>
      </c>
      <c r="G736">
        <v>78</v>
      </c>
      <c r="H736">
        <v>11</v>
      </c>
      <c r="T736" t="s">
        <v>16134</v>
      </c>
    </row>
    <row r="737" spans="2:20" x14ac:dyDescent="0.25">
      <c r="B737">
        <v>16270</v>
      </c>
      <c r="C737" t="s">
        <v>16135</v>
      </c>
      <c r="E737">
        <v>201</v>
      </c>
      <c r="F737">
        <v>103</v>
      </c>
      <c r="G737">
        <v>78</v>
      </c>
      <c r="H737">
        <v>10</v>
      </c>
      <c r="S737" t="s">
        <v>16136</v>
      </c>
    </row>
    <row r="738" spans="2:20" x14ac:dyDescent="0.25">
      <c r="B738">
        <v>16271</v>
      </c>
      <c r="C738" t="s">
        <v>16137</v>
      </c>
      <c r="E738">
        <v>201</v>
      </c>
      <c r="F738">
        <v>103</v>
      </c>
      <c r="G738">
        <v>78</v>
      </c>
      <c r="H738">
        <v>11</v>
      </c>
      <c r="T738" t="s">
        <v>664</v>
      </c>
    </row>
    <row r="739" spans="2:20" x14ac:dyDescent="0.25">
      <c r="B739">
        <v>16272</v>
      </c>
      <c r="C739" t="s">
        <v>16138</v>
      </c>
      <c r="E739">
        <v>201</v>
      </c>
      <c r="F739">
        <v>103</v>
      </c>
      <c r="G739">
        <v>78</v>
      </c>
      <c r="H739">
        <v>11</v>
      </c>
      <c r="T739" t="s">
        <v>16139</v>
      </c>
    </row>
    <row r="740" spans="2:20" x14ac:dyDescent="0.25">
      <c r="B740">
        <v>16273</v>
      </c>
      <c r="C740" t="s">
        <v>16140</v>
      </c>
      <c r="E740">
        <v>201</v>
      </c>
      <c r="F740">
        <v>103</v>
      </c>
      <c r="G740">
        <v>78</v>
      </c>
      <c r="H740">
        <v>11</v>
      </c>
      <c r="T740" t="s">
        <v>16141</v>
      </c>
    </row>
    <row r="741" spans="2:20" x14ac:dyDescent="0.25">
      <c r="B741">
        <v>16274</v>
      </c>
      <c r="C741" t="s">
        <v>16142</v>
      </c>
      <c r="E741">
        <v>178</v>
      </c>
      <c r="F741">
        <v>91</v>
      </c>
      <c r="G741">
        <v>70</v>
      </c>
      <c r="H741">
        <v>6</v>
      </c>
      <c r="Q741" t="s">
        <v>16143</v>
      </c>
    </row>
    <row r="742" spans="2:20" x14ac:dyDescent="0.25">
      <c r="B742">
        <v>16275</v>
      </c>
      <c r="C742" t="s">
        <v>16144</v>
      </c>
      <c r="E742">
        <v>178</v>
      </c>
      <c r="F742">
        <v>91</v>
      </c>
      <c r="G742">
        <v>70</v>
      </c>
      <c r="H742">
        <v>9</v>
      </c>
      <c r="R742" t="s">
        <v>16145</v>
      </c>
    </row>
    <row r="743" spans="2:20" x14ac:dyDescent="0.25">
      <c r="B743">
        <v>16276</v>
      </c>
      <c r="C743" t="s">
        <v>16146</v>
      </c>
      <c r="E743">
        <v>201</v>
      </c>
      <c r="F743">
        <v>103</v>
      </c>
      <c r="G743">
        <v>78</v>
      </c>
      <c r="H743">
        <v>11</v>
      </c>
      <c r="S743" t="s">
        <v>16147</v>
      </c>
    </row>
    <row r="744" spans="2:20" x14ac:dyDescent="0.25">
      <c r="B744">
        <v>16277</v>
      </c>
      <c r="C744" t="s">
        <v>16148</v>
      </c>
      <c r="E744">
        <v>201</v>
      </c>
      <c r="F744">
        <v>103</v>
      </c>
      <c r="G744">
        <v>78</v>
      </c>
      <c r="H744">
        <v>9</v>
      </c>
      <c r="R744" t="s">
        <v>16149</v>
      </c>
    </row>
    <row r="745" spans="2:20" x14ac:dyDescent="0.25">
      <c r="B745">
        <v>16278</v>
      </c>
      <c r="C745" t="s">
        <v>16150</v>
      </c>
      <c r="E745">
        <v>201</v>
      </c>
      <c r="F745">
        <v>103</v>
      </c>
      <c r="G745">
        <v>78</v>
      </c>
      <c r="H745">
        <v>10</v>
      </c>
      <c r="S745" t="s">
        <v>16151</v>
      </c>
    </row>
    <row r="746" spans="2:20" x14ac:dyDescent="0.25">
      <c r="B746">
        <v>16279</v>
      </c>
      <c r="C746" t="s">
        <v>16152</v>
      </c>
      <c r="E746">
        <v>201</v>
      </c>
      <c r="F746">
        <v>103</v>
      </c>
      <c r="G746">
        <v>78</v>
      </c>
      <c r="H746">
        <v>11</v>
      </c>
      <c r="T746" t="s">
        <v>16153</v>
      </c>
    </row>
    <row r="747" spans="2:20" x14ac:dyDescent="0.25">
      <c r="B747">
        <v>16280</v>
      </c>
      <c r="C747" t="s">
        <v>16154</v>
      </c>
      <c r="E747">
        <v>201</v>
      </c>
      <c r="F747">
        <v>103</v>
      </c>
      <c r="G747">
        <v>78</v>
      </c>
      <c r="H747">
        <v>10</v>
      </c>
      <c r="S747" t="s">
        <v>16155</v>
      </c>
    </row>
    <row r="748" spans="2:20" x14ac:dyDescent="0.25">
      <c r="B748">
        <v>16281</v>
      </c>
      <c r="C748" t="s">
        <v>16156</v>
      </c>
      <c r="E748">
        <v>201</v>
      </c>
      <c r="F748">
        <v>103</v>
      </c>
      <c r="G748">
        <v>78</v>
      </c>
      <c r="H748">
        <v>11</v>
      </c>
      <c r="T748" t="s">
        <v>16157</v>
      </c>
    </row>
    <row r="749" spans="2:20" x14ac:dyDescent="0.25">
      <c r="B749">
        <v>16282</v>
      </c>
      <c r="C749" t="s">
        <v>16158</v>
      </c>
      <c r="E749">
        <v>201</v>
      </c>
      <c r="F749">
        <v>103</v>
      </c>
      <c r="G749">
        <v>78</v>
      </c>
      <c r="H749">
        <v>10</v>
      </c>
      <c r="S749" t="s">
        <v>16159</v>
      </c>
    </row>
    <row r="750" spans="2:20" x14ac:dyDescent="0.25">
      <c r="B750">
        <v>16283</v>
      </c>
      <c r="C750" t="s">
        <v>16160</v>
      </c>
      <c r="E750">
        <v>201</v>
      </c>
      <c r="F750">
        <v>103</v>
      </c>
      <c r="G750">
        <v>78</v>
      </c>
      <c r="H750">
        <v>11</v>
      </c>
      <c r="T750" t="s">
        <v>16161</v>
      </c>
    </row>
    <row r="751" spans="2:20" x14ac:dyDescent="0.25">
      <c r="B751">
        <v>16284</v>
      </c>
      <c r="C751" t="s">
        <v>16162</v>
      </c>
      <c r="E751">
        <v>201</v>
      </c>
      <c r="F751">
        <v>103</v>
      </c>
      <c r="G751">
        <v>78</v>
      </c>
      <c r="H751">
        <v>11</v>
      </c>
      <c r="T751" t="s">
        <v>16163</v>
      </c>
    </row>
    <row r="752" spans="2:20" x14ac:dyDescent="0.25">
      <c r="B752">
        <v>16285</v>
      </c>
      <c r="C752" t="s">
        <v>16164</v>
      </c>
      <c r="E752">
        <v>178</v>
      </c>
      <c r="F752">
        <v>91</v>
      </c>
      <c r="G752">
        <v>70</v>
      </c>
      <c r="H752">
        <v>6</v>
      </c>
      <c r="Q752" t="s">
        <v>16165</v>
      </c>
    </row>
    <row r="753" spans="2:21" x14ac:dyDescent="0.25">
      <c r="B753">
        <v>16286</v>
      </c>
      <c r="C753" t="s">
        <v>16166</v>
      </c>
      <c r="E753">
        <v>178</v>
      </c>
      <c r="F753">
        <v>91</v>
      </c>
      <c r="G753">
        <v>70</v>
      </c>
      <c r="H753">
        <v>9</v>
      </c>
      <c r="R753" t="s">
        <v>16167</v>
      </c>
    </row>
    <row r="754" spans="2:21" x14ac:dyDescent="0.25">
      <c r="B754">
        <v>16287</v>
      </c>
      <c r="C754" t="s">
        <v>16168</v>
      </c>
      <c r="E754">
        <v>201</v>
      </c>
      <c r="F754">
        <v>103</v>
      </c>
      <c r="G754">
        <v>78</v>
      </c>
      <c r="H754">
        <v>9</v>
      </c>
      <c r="R754" t="s">
        <v>16169</v>
      </c>
    </row>
    <row r="755" spans="2:21" x14ac:dyDescent="0.25">
      <c r="B755">
        <v>16288</v>
      </c>
      <c r="C755" t="s">
        <v>16170</v>
      </c>
      <c r="E755">
        <v>201</v>
      </c>
      <c r="F755">
        <v>103</v>
      </c>
      <c r="G755">
        <v>78</v>
      </c>
      <c r="H755">
        <v>10</v>
      </c>
      <c r="S755" t="s">
        <v>16171</v>
      </c>
    </row>
    <row r="756" spans="2:21" x14ac:dyDescent="0.25">
      <c r="B756">
        <v>16289</v>
      </c>
      <c r="C756" t="s">
        <v>16172</v>
      </c>
      <c r="E756">
        <v>201</v>
      </c>
      <c r="F756">
        <v>103</v>
      </c>
      <c r="G756">
        <v>78</v>
      </c>
      <c r="H756">
        <v>11</v>
      </c>
      <c r="T756" t="s">
        <v>16173</v>
      </c>
    </row>
    <row r="757" spans="2:21" x14ac:dyDescent="0.25">
      <c r="B757">
        <v>16290</v>
      </c>
      <c r="C757" t="s">
        <v>16174</v>
      </c>
      <c r="E757">
        <v>201</v>
      </c>
      <c r="F757">
        <v>103</v>
      </c>
      <c r="G757">
        <v>78</v>
      </c>
      <c r="H757">
        <v>10</v>
      </c>
      <c r="S757" t="s">
        <v>16175</v>
      </c>
    </row>
    <row r="758" spans="2:21" x14ac:dyDescent="0.25">
      <c r="B758">
        <v>16291</v>
      </c>
      <c r="C758" t="s">
        <v>16176</v>
      </c>
      <c r="E758">
        <v>201</v>
      </c>
      <c r="F758">
        <v>103</v>
      </c>
      <c r="G758">
        <v>78</v>
      </c>
      <c r="H758">
        <v>11</v>
      </c>
      <c r="T758" t="s">
        <v>16177</v>
      </c>
    </row>
    <row r="759" spans="2:21" x14ac:dyDescent="0.25">
      <c r="B759">
        <v>16292</v>
      </c>
      <c r="C759" t="s">
        <v>16178</v>
      </c>
      <c r="E759">
        <v>201</v>
      </c>
      <c r="F759">
        <v>103</v>
      </c>
      <c r="G759">
        <v>78</v>
      </c>
      <c r="H759">
        <v>10</v>
      </c>
      <c r="S759" t="s">
        <v>16179</v>
      </c>
    </row>
    <row r="760" spans="2:21" x14ac:dyDescent="0.25">
      <c r="B760">
        <v>16293</v>
      </c>
      <c r="C760" t="s">
        <v>16180</v>
      </c>
      <c r="E760">
        <v>201</v>
      </c>
      <c r="F760">
        <v>103</v>
      </c>
      <c r="G760">
        <v>78</v>
      </c>
      <c r="H760">
        <v>11</v>
      </c>
      <c r="T760" t="s">
        <v>16181</v>
      </c>
    </row>
    <row r="761" spans="2:21" x14ac:dyDescent="0.25">
      <c r="B761">
        <v>16294</v>
      </c>
      <c r="C761" t="s">
        <v>16182</v>
      </c>
      <c r="E761">
        <v>178</v>
      </c>
      <c r="F761">
        <v>91</v>
      </c>
      <c r="G761">
        <v>70</v>
      </c>
      <c r="H761">
        <v>6</v>
      </c>
      <c r="Q761" t="s">
        <v>16183</v>
      </c>
    </row>
    <row r="762" spans="2:21" x14ac:dyDescent="0.25">
      <c r="B762">
        <v>16295</v>
      </c>
      <c r="C762" t="s">
        <v>16184</v>
      </c>
      <c r="E762">
        <v>178</v>
      </c>
      <c r="F762">
        <v>91</v>
      </c>
      <c r="G762">
        <v>70</v>
      </c>
      <c r="H762">
        <v>7</v>
      </c>
      <c r="R762" t="s">
        <v>16185</v>
      </c>
    </row>
    <row r="763" spans="2:21" x14ac:dyDescent="0.25">
      <c r="B763">
        <v>16296</v>
      </c>
      <c r="C763" t="s">
        <v>16186</v>
      </c>
      <c r="E763">
        <v>178</v>
      </c>
      <c r="F763">
        <v>91</v>
      </c>
      <c r="G763">
        <v>70</v>
      </c>
      <c r="H763">
        <v>9</v>
      </c>
      <c r="S763" t="s">
        <v>16187</v>
      </c>
    </row>
    <row r="764" spans="2:21" x14ac:dyDescent="0.25">
      <c r="B764">
        <v>16297</v>
      </c>
      <c r="C764" t="s">
        <v>16188</v>
      </c>
      <c r="E764">
        <v>201</v>
      </c>
      <c r="F764">
        <v>103</v>
      </c>
      <c r="G764">
        <v>78</v>
      </c>
      <c r="H764">
        <v>9</v>
      </c>
      <c r="S764" t="s">
        <v>16189</v>
      </c>
    </row>
    <row r="765" spans="2:21" x14ac:dyDescent="0.25">
      <c r="B765">
        <v>16298</v>
      </c>
      <c r="C765" t="s">
        <v>16190</v>
      </c>
      <c r="E765">
        <v>201</v>
      </c>
      <c r="F765">
        <v>103</v>
      </c>
      <c r="G765">
        <v>78</v>
      </c>
      <c r="H765">
        <v>10</v>
      </c>
      <c r="T765" t="s">
        <v>16191</v>
      </c>
    </row>
    <row r="766" spans="2:21" x14ac:dyDescent="0.25">
      <c r="B766">
        <v>16299</v>
      </c>
      <c r="C766" t="s">
        <v>16192</v>
      </c>
      <c r="E766">
        <v>201</v>
      </c>
      <c r="F766">
        <v>103</v>
      </c>
      <c r="G766">
        <v>78</v>
      </c>
      <c r="H766">
        <v>11</v>
      </c>
      <c r="U766" t="s">
        <v>16193</v>
      </c>
    </row>
    <row r="767" spans="2:21" x14ac:dyDescent="0.25">
      <c r="B767">
        <v>16300</v>
      </c>
      <c r="C767" t="s">
        <v>16194</v>
      </c>
      <c r="E767">
        <v>201</v>
      </c>
      <c r="F767">
        <v>103</v>
      </c>
      <c r="G767">
        <v>78</v>
      </c>
      <c r="H767">
        <v>11</v>
      </c>
      <c r="U767" t="s">
        <v>16195</v>
      </c>
    </row>
    <row r="768" spans="2:21" x14ac:dyDescent="0.25">
      <c r="B768">
        <v>16301</v>
      </c>
      <c r="C768" t="s">
        <v>16196</v>
      </c>
      <c r="E768">
        <v>201</v>
      </c>
      <c r="F768">
        <v>103</v>
      </c>
      <c r="G768">
        <v>78</v>
      </c>
      <c r="H768">
        <v>10</v>
      </c>
      <c r="T768" t="s">
        <v>16197</v>
      </c>
    </row>
    <row r="769" spans="2:21" x14ac:dyDescent="0.25">
      <c r="B769">
        <v>16302</v>
      </c>
      <c r="C769" t="s">
        <v>16198</v>
      </c>
      <c r="E769">
        <v>201</v>
      </c>
      <c r="F769">
        <v>103</v>
      </c>
      <c r="G769">
        <v>78</v>
      </c>
      <c r="H769">
        <v>11</v>
      </c>
      <c r="U769" t="s">
        <v>16199</v>
      </c>
    </row>
    <row r="770" spans="2:21" x14ac:dyDescent="0.25">
      <c r="B770">
        <v>16303</v>
      </c>
      <c r="C770" t="s">
        <v>16200</v>
      </c>
      <c r="E770">
        <v>201</v>
      </c>
      <c r="F770">
        <v>103</v>
      </c>
      <c r="G770">
        <v>78</v>
      </c>
      <c r="H770">
        <v>10</v>
      </c>
      <c r="T770" t="s">
        <v>16201</v>
      </c>
    </row>
    <row r="771" spans="2:21" x14ac:dyDescent="0.25">
      <c r="B771">
        <v>16304</v>
      </c>
      <c r="C771" t="s">
        <v>16202</v>
      </c>
      <c r="E771">
        <v>201</v>
      </c>
      <c r="F771">
        <v>103</v>
      </c>
      <c r="G771">
        <v>78</v>
      </c>
      <c r="H771">
        <v>11</v>
      </c>
      <c r="U771" t="s">
        <v>16203</v>
      </c>
    </row>
    <row r="772" spans="2:21" x14ac:dyDescent="0.25">
      <c r="B772">
        <v>16305</v>
      </c>
      <c r="C772" t="s">
        <v>16204</v>
      </c>
      <c r="E772">
        <v>201</v>
      </c>
      <c r="F772">
        <v>103</v>
      </c>
      <c r="G772">
        <v>78</v>
      </c>
      <c r="H772">
        <v>11</v>
      </c>
      <c r="U772" t="s">
        <v>16205</v>
      </c>
    </row>
    <row r="773" spans="2:21" x14ac:dyDescent="0.25">
      <c r="B773">
        <v>16306</v>
      </c>
      <c r="C773" t="s">
        <v>16206</v>
      </c>
      <c r="E773">
        <v>171</v>
      </c>
      <c r="F773">
        <v>101</v>
      </c>
      <c r="G773">
        <v>83</v>
      </c>
      <c r="H773">
        <v>5</v>
      </c>
      <c r="P773" t="s">
        <v>16207</v>
      </c>
    </row>
    <row r="774" spans="2:21" x14ac:dyDescent="0.25">
      <c r="B774">
        <v>16307</v>
      </c>
      <c r="C774" t="s">
        <v>16208</v>
      </c>
      <c r="E774">
        <v>158</v>
      </c>
      <c r="F774">
        <v>93</v>
      </c>
      <c r="G774">
        <v>76</v>
      </c>
      <c r="H774">
        <v>6</v>
      </c>
      <c r="Q774" t="s">
        <v>16209</v>
      </c>
    </row>
    <row r="775" spans="2:21" x14ac:dyDescent="0.25">
      <c r="B775">
        <v>16308</v>
      </c>
      <c r="C775" t="s">
        <v>16210</v>
      </c>
      <c r="E775">
        <v>255</v>
      </c>
      <c r="F775">
        <v>249</v>
      </c>
      <c r="G775">
        <v>199</v>
      </c>
      <c r="H775">
        <v>2</v>
      </c>
      <c r="M775" t="s">
        <v>1488</v>
      </c>
    </row>
    <row r="776" spans="2:21" x14ac:dyDescent="0.25">
      <c r="B776">
        <v>16309</v>
      </c>
      <c r="C776" t="s">
        <v>16211</v>
      </c>
      <c r="E776">
        <v>255</v>
      </c>
      <c r="F776">
        <v>249</v>
      </c>
      <c r="G776">
        <v>199</v>
      </c>
      <c r="H776">
        <v>3</v>
      </c>
      <c r="N776" t="s">
        <v>16212</v>
      </c>
    </row>
    <row r="777" spans="2:21" x14ac:dyDescent="0.25">
      <c r="B777">
        <v>16310</v>
      </c>
      <c r="C777" t="s">
        <v>16213</v>
      </c>
      <c r="E777">
        <v>255</v>
      </c>
      <c r="F777">
        <v>249</v>
      </c>
      <c r="G777">
        <v>199</v>
      </c>
      <c r="H777">
        <v>4</v>
      </c>
      <c r="O777" t="s">
        <v>15095</v>
      </c>
    </row>
    <row r="778" spans="2:21" x14ac:dyDescent="0.25">
      <c r="B778">
        <v>16311</v>
      </c>
      <c r="C778" t="s">
        <v>16214</v>
      </c>
      <c r="E778">
        <v>255</v>
      </c>
      <c r="F778">
        <v>249</v>
      </c>
      <c r="G778">
        <v>199</v>
      </c>
      <c r="H778">
        <v>5</v>
      </c>
      <c r="P778" t="s">
        <v>16215</v>
      </c>
    </row>
    <row r="779" spans="2:21" x14ac:dyDescent="0.25">
      <c r="B779">
        <v>16312</v>
      </c>
      <c r="C779" t="s">
        <v>16216</v>
      </c>
      <c r="E779">
        <v>255</v>
      </c>
      <c r="F779">
        <v>247</v>
      </c>
      <c r="G779">
        <v>189</v>
      </c>
      <c r="H779">
        <v>6</v>
      </c>
      <c r="Q779" t="s">
        <v>16217</v>
      </c>
    </row>
    <row r="780" spans="2:21" x14ac:dyDescent="0.25">
      <c r="B780">
        <v>111220576</v>
      </c>
      <c r="C780" t="s">
        <v>16218</v>
      </c>
      <c r="E780">
        <v>255</v>
      </c>
      <c r="F780">
        <v>247</v>
      </c>
      <c r="G780">
        <v>189</v>
      </c>
      <c r="H780">
        <v>9</v>
      </c>
      <c r="R780" t="s">
        <v>16219</v>
      </c>
    </row>
    <row r="781" spans="2:21" x14ac:dyDescent="0.25">
      <c r="B781">
        <v>111220578</v>
      </c>
      <c r="C781" t="s">
        <v>16220</v>
      </c>
      <c r="E781">
        <v>255</v>
      </c>
      <c r="F781">
        <v>249</v>
      </c>
      <c r="G781">
        <v>199</v>
      </c>
      <c r="H781">
        <v>9</v>
      </c>
      <c r="R781" t="s">
        <v>16221</v>
      </c>
    </row>
    <row r="782" spans="2:21" x14ac:dyDescent="0.25">
      <c r="B782">
        <v>16313</v>
      </c>
      <c r="C782" t="s">
        <v>16222</v>
      </c>
      <c r="E782">
        <v>255</v>
      </c>
      <c r="F782">
        <v>244</v>
      </c>
      <c r="G782">
        <v>164</v>
      </c>
      <c r="H782">
        <v>5</v>
      </c>
      <c r="P782" t="s">
        <v>16223</v>
      </c>
    </row>
    <row r="783" spans="2:21" x14ac:dyDescent="0.25">
      <c r="B783">
        <v>16314</v>
      </c>
      <c r="C783" t="s">
        <v>16224</v>
      </c>
      <c r="E783">
        <v>255</v>
      </c>
      <c r="F783">
        <v>244</v>
      </c>
      <c r="G783">
        <v>164</v>
      </c>
      <c r="H783">
        <v>6</v>
      </c>
      <c r="Q783" t="s">
        <v>16225</v>
      </c>
    </row>
    <row r="784" spans="2:21" x14ac:dyDescent="0.25">
      <c r="B784">
        <v>16315</v>
      </c>
      <c r="C784" t="s">
        <v>16226</v>
      </c>
      <c r="E784">
        <v>255</v>
      </c>
      <c r="F784">
        <v>244</v>
      </c>
      <c r="G784">
        <v>164</v>
      </c>
      <c r="H784">
        <v>7</v>
      </c>
      <c r="R784" t="s">
        <v>16227</v>
      </c>
    </row>
    <row r="785" spans="2:21" x14ac:dyDescent="0.25">
      <c r="B785">
        <v>16316</v>
      </c>
      <c r="C785" t="s">
        <v>16228</v>
      </c>
      <c r="E785">
        <v>255</v>
      </c>
      <c r="F785">
        <v>244</v>
      </c>
      <c r="G785">
        <v>164</v>
      </c>
      <c r="H785">
        <v>9</v>
      </c>
      <c r="S785" t="s">
        <v>16229</v>
      </c>
    </row>
    <row r="786" spans="2:21" x14ac:dyDescent="0.25">
      <c r="B786">
        <v>16317</v>
      </c>
      <c r="C786" t="s">
        <v>16230</v>
      </c>
      <c r="E786">
        <v>255</v>
      </c>
      <c r="F786">
        <v>247</v>
      </c>
      <c r="G786">
        <v>189</v>
      </c>
      <c r="H786">
        <v>9</v>
      </c>
      <c r="S786" t="s">
        <v>16231</v>
      </c>
    </row>
    <row r="787" spans="2:21" x14ac:dyDescent="0.25">
      <c r="B787">
        <v>16318</v>
      </c>
      <c r="C787" t="s">
        <v>16232</v>
      </c>
      <c r="E787">
        <v>255</v>
      </c>
      <c r="F787">
        <v>247</v>
      </c>
      <c r="G787">
        <v>189</v>
      </c>
      <c r="H787">
        <v>10</v>
      </c>
      <c r="T787" t="s">
        <v>16233</v>
      </c>
    </row>
    <row r="788" spans="2:21" x14ac:dyDescent="0.25">
      <c r="B788">
        <v>16319</v>
      </c>
      <c r="C788" t="s">
        <v>16234</v>
      </c>
      <c r="E788">
        <v>255</v>
      </c>
      <c r="F788">
        <v>247</v>
      </c>
      <c r="G788">
        <v>189</v>
      </c>
      <c r="H788">
        <v>10</v>
      </c>
      <c r="T788" t="s">
        <v>16235</v>
      </c>
    </row>
    <row r="789" spans="2:21" x14ac:dyDescent="0.25">
      <c r="B789">
        <v>16320</v>
      </c>
      <c r="C789" t="s">
        <v>16236</v>
      </c>
      <c r="E789">
        <v>255</v>
      </c>
      <c r="F789">
        <v>247</v>
      </c>
      <c r="G789">
        <v>189</v>
      </c>
      <c r="H789">
        <v>11</v>
      </c>
      <c r="U789" t="s">
        <v>16237</v>
      </c>
    </row>
    <row r="790" spans="2:21" x14ac:dyDescent="0.25">
      <c r="B790">
        <v>16321</v>
      </c>
      <c r="C790" t="s">
        <v>16238</v>
      </c>
      <c r="E790">
        <v>255</v>
      </c>
      <c r="F790">
        <v>247</v>
      </c>
      <c r="G790">
        <v>189</v>
      </c>
      <c r="H790">
        <v>10</v>
      </c>
      <c r="T790" t="s">
        <v>16239</v>
      </c>
    </row>
    <row r="791" spans="2:21" x14ac:dyDescent="0.25">
      <c r="B791">
        <v>16322</v>
      </c>
      <c r="C791" t="s">
        <v>16240</v>
      </c>
      <c r="E791">
        <v>255</v>
      </c>
      <c r="F791">
        <v>244</v>
      </c>
      <c r="G791">
        <v>164</v>
      </c>
      <c r="H791">
        <v>6</v>
      </c>
      <c r="Q791" t="s">
        <v>16241</v>
      </c>
    </row>
    <row r="792" spans="2:21" x14ac:dyDescent="0.25">
      <c r="B792">
        <v>16323</v>
      </c>
      <c r="C792" t="s">
        <v>16242</v>
      </c>
      <c r="E792">
        <v>255</v>
      </c>
      <c r="F792">
        <v>244</v>
      </c>
      <c r="G792">
        <v>164</v>
      </c>
      <c r="H792">
        <v>7</v>
      </c>
      <c r="R792" t="s">
        <v>16243</v>
      </c>
    </row>
    <row r="793" spans="2:21" x14ac:dyDescent="0.25">
      <c r="B793">
        <v>16324</v>
      </c>
      <c r="C793" t="s">
        <v>16244</v>
      </c>
      <c r="E793">
        <v>255</v>
      </c>
      <c r="F793">
        <v>244</v>
      </c>
      <c r="G793">
        <v>164</v>
      </c>
      <c r="H793">
        <v>9</v>
      </c>
      <c r="S793" t="s">
        <v>16245</v>
      </c>
    </row>
    <row r="794" spans="2:21" x14ac:dyDescent="0.25">
      <c r="B794">
        <v>16325</v>
      </c>
      <c r="C794" t="s">
        <v>16246</v>
      </c>
      <c r="E794">
        <v>255</v>
      </c>
      <c r="F794">
        <v>247</v>
      </c>
      <c r="G794">
        <v>189</v>
      </c>
      <c r="H794">
        <v>9</v>
      </c>
      <c r="S794" t="s">
        <v>16247</v>
      </c>
    </row>
    <row r="795" spans="2:21" x14ac:dyDescent="0.25">
      <c r="B795">
        <v>16326</v>
      </c>
      <c r="C795" t="s">
        <v>16248</v>
      </c>
      <c r="E795">
        <v>255</v>
      </c>
      <c r="F795">
        <v>247</v>
      </c>
      <c r="G795">
        <v>189</v>
      </c>
      <c r="H795">
        <v>10</v>
      </c>
      <c r="T795" t="s">
        <v>16249</v>
      </c>
    </row>
    <row r="796" spans="2:21" x14ac:dyDescent="0.25">
      <c r="B796">
        <v>16327</v>
      </c>
      <c r="C796" t="s">
        <v>16250</v>
      </c>
      <c r="E796">
        <v>255</v>
      </c>
      <c r="F796">
        <v>247</v>
      </c>
      <c r="G796">
        <v>189</v>
      </c>
      <c r="H796">
        <v>11</v>
      </c>
      <c r="U796" t="s">
        <v>16251</v>
      </c>
    </row>
    <row r="797" spans="2:21" x14ac:dyDescent="0.25">
      <c r="B797">
        <v>16328</v>
      </c>
      <c r="C797" t="s">
        <v>16252</v>
      </c>
      <c r="E797">
        <v>255</v>
      </c>
      <c r="F797">
        <v>247</v>
      </c>
      <c r="G797">
        <v>189</v>
      </c>
      <c r="H797">
        <v>10</v>
      </c>
      <c r="T797" t="s">
        <v>16253</v>
      </c>
    </row>
    <row r="798" spans="2:21" x14ac:dyDescent="0.25">
      <c r="B798">
        <v>16329</v>
      </c>
      <c r="C798" t="s">
        <v>16254</v>
      </c>
      <c r="E798">
        <v>255</v>
      </c>
      <c r="F798">
        <v>247</v>
      </c>
      <c r="G798">
        <v>189</v>
      </c>
      <c r="H798">
        <v>11</v>
      </c>
      <c r="U798" t="s">
        <v>16255</v>
      </c>
    </row>
    <row r="799" spans="2:21" x14ac:dyDescent="0.25">
      <c r="B799">
        <v>16330</v>
      </c>
      <c r="C799" t="s">
        <v>16256</v>
      </c>
      <c r="E799">
        <v>255</v>
      </c>
      <c r="F799">
        <v>247</v>
      </c>
      <c r="G799">
        <v>189</v>
      </c>
      <c r="H799">
        <v>10</v>
      </c>
      <c r="T799" t="s">
        <v>16257</v>
      </c>
    </row>
    <row r="800" spans="2:21" x14ac:dyDescent="0.25">
      <c r="B800">
        <v>16331</v>
      </c>
      <c r="C800" t="s">
        <v>16258</v>
      </c>
      <c r="E800">
        <v>255</v>
      </c>
      <c r="F800">
        <v>247</v>
      </c>
      <c r="G800">
        <v>189</v>
      </c>
      <c r="H800">
        <v>11</v>
      </c>
      <c r="U800" t="s">
        <v>16259</v>
      </c>
    </row>
    <row r="801" spans="2:21" x14ac:dyDescent="0.25">
      <c r="B801">
        <v>16332</v>
      </c>
      <c r="C801" t="s">
        <v>16260</v>
      </c>
      <c r="E801">
        <v>255</v>
      </c>
      <c r="F801">
        <v>244</v>
      </c>
      <c r="G801">
        <v>164</v>
      </c>
      <c r="H801">
        <v>6</v>
      </c>
      <c r="Q801" t="s">
        <v>16261</v>
      </c>
    </row>
    <row r="802" spans="2:21" x14ac:dyDescent="0.25">
      <c r="B802">
        <v>111220580</v>
      </c>
      <c r="C802" t="s">
        <v>16262</v>
      </c>
      <c r="E802">
        <v>255</v>
      </c>
      <c r="F802">
        <v>244</v>
      </c>
      <c r="G802">
        <v>164</v>
      </c>
      <c r="H802">
        <v>9</v>
      </c>
      <c r="R802" t="s">
        <v>16263</v>
      </c>
    </row>
    <row r="803" spans="2:21" x14ac:dyDescent="0.25">
      <c r="B803">
        <v>111220582</v>
      </c>
      <c r="C803" t="s">
        <v>16264</v>
      </c>
      <c r="E803">
        <v>255</v>
      </c>
      <c r="F803">
        <v>247</v>
      </c>
      <c r="G803">
        <v>189</v>
      </c>
      <c r="H803">
        <v>9</v>
      </c>
      <c r="R803" t="s">
        <v>16265</v>
      </c>
    </row>
    <row r="804" spans="2:21" x14ac:dyDescent="0.25">
      <c r="B804">
        <v>16333</v>
      </c>
      <c r="C804" t="s">
        <v>16266</v>
      </c>
      <c r="E804">
        <v>255</v>
      </c>
      <c r="F804">
        <v>244</v>
      </c>
      <c r="G804">
        <v>164</v>
      </c>
      <c r="H804">
        <v>7</v>
      </c>
      <c r="R804" t="s">
        <v>16267</v>
      </c>
    </row>
    <row r="805" spans="2:21" x14ac:dyDescent="0.25">
      <c r="B805">
        <v>16334</v>
      </c>
      <c r="C805" t="s">
        <v>16268</v>
      </c>
      <c r="E805">
        <v>255</v>
      </c>
      <c r="F805">
        <v>244</v>
      </c>
      <c r="G805">
        <v>164</v>
      </c>
      <c r="H805">
        <v>9</v>
      </c>
      <c r="S805" t="s">
        <v>16269</v>
      </c>
    </row>
    <row r="806" spans="2:21" x14ac:dyDescent="0.25">
      <c r="B806">
        <v>16335</v>
      </c>
      <c r="C806" t="s">
        <v>16270</v>
      </c>
      <c r="E806">
        <v>255</v>
      </c>
      <c r="F806">
        <v>247</v>
      </c>
      <c r="G806">
        <v>189</v>
      </c>
      <c r="H806">
        <v>9</v>
      </c>
      <c r="S806" t="s">
        <v>16271</v>
      </c>
    </row>
    <row r="807" spans="2:21" x14ac:dyDescent="0.25">
      <c r="B807">
        <v>16336</v>
      </c>
      <c r="C807" t="s">
        <v>16272</v>
      </c>
      <c r="E807">
        <v>255</v>
      </c>
      <c r="F807">
        <v>247</v>
      </c>
      <c r="G807">
        <v>189</v>
      </c>
      <c r="H807">
        <v>10</v>
      </c>
      <c r="T807" t="s">
        <v>16273</v>
      </c>
    </row>
    <row r="808" spans="2:21" x14ac:dyDescent="0.25">
      <c r="B808">
        <v>16337</v>
      </c>
      <c r="C808" t="s">
        <v>16274</v>
      </c>
      <c r="E808">
        <v>255</v>
      </c>
      <c r="F808">
        <v>247</v>
      </c>
      <c r="G808">
        <v>189</v>
      </c>
      <c r="H808">
        <v>11</v>
      </c>
      <c r="U808" t="s">
        <v>16275</v>
      </c>
    </row>
    <row r="809" spans="2:21" x14ac:dyDescent="0.25">
      <c r="B809">
        <v>16338</v>
      </c>
      <c r="C809" t="s">
        <v>16276</v>
      </c>
      <c r="E809">
        <v>255</v>
      </c>
      <c r="F809">
        <v>247</v>
      </c>
      <c r="G809">
        <v>189</v>
      </c>
      <c r="H809">
        <v>10</v>
      </c>
      <c r="T809" t="s">
        <v>16277</v>
      </c>
    </row>
    <row r="810" spans="2:21" x14ac:dyDescent="0.25">
      <c r="B810">
        <v>16339</v>
      </c>
      <c r="C810" t="s">
        <v>16278</v>
      </c>
      <c r="E810">
        <v>255</v>
      </c>
      <c r="F810">
        <v>247</v>
      </c>
      <c r="G810">
        <v>189</v>
      </c>
      <c r="H810">
        <v>11</v>
      </c>
      <c r="U810" t="s">
        <v>3258</v>
      </c>
    </row>
    <row r="811" spans="2:21" x14ac:dyDescent="0.25">
      <c r="B811">
        <v>16340</v>
      </c>
      <c r="C811" t="s">
        <v>16279</v>
      </c>
      <c r="E811">
        <v>255</v>
      </c>
      <c r="F811">
        <v>247</v>
      </c>
      <c r="G811">
        <v>189</v>
      </c>
      <c r="H811">
        <v>10</v>
      </c>
      <c r="T811" t="s">
        <v>16280</v>
      </c>
    </row>
    <row r="812" spans="2:21" x14ac:dyDescent="0.25">
      <c r="B812">
        <v>16341</v>
      </c>
      <c r="C812" t="s">
        <v>16281</v>
      </c>
      <c r="E812">
        <v>255</v>
      </c>
      <c r="F812">
        <v>247</v>
      </c>
      <c r="G812">
        <v>189</v>
      </c>
      <c r="H812">
        <v>11</v>
      </c>
      <c r="U812" t="s">
        <v>666</v>
      </c>
    </row>
    <row r="813" spans="2:21" x14ac:dyDescent="0.25">
      <c r="B813">
        <v>16342</v>
      </c>
      <c r="C813" t="s">
        <v>16282</v>
      </c>
      <c r="E813">
        <v>255</v>
      </c>
      <c r="F813">
        <v>247</v>
      </c>
      <c r="G813">
        <v>189</v>
      </c>
      <c r="H813">
        <v>11</v>
      </c>
      <c r="U813" t="s">
        <v>3336</v>
      </c>
    </row>
    <row r="814" spans="2:21" x14ac:dyDescent="0.25">
      <c r="B814">
        <v>16343</v>
      </c>
      <c r="C814" t="s">
        <v>16283</v>
      </c>
      <c r="E814">
        <v>255</v>
      </c>
      <c r="F814">
        <v>244</v>
      </c>
      <c r="G814">
        <v>164</v>
      </c>
      <c r="H814">
        <v>7</v>
      </c>
      <c r="R814" t="s">
        <v>16284</v>
      </c>
    </row>
    <row r="815" spans="2:21" x14ac:dyDescent="0.25">
      <c r="B815">
        <v>16344</v>
      </c>
      <c r="C815" t="s">
        <v>16285</v>
      </c>
      <c r="E815">
        <v>255</v>
      </c>
      <c r="F815">
        <v>244</v>
      </c>
      <c r="G815">
        <v>164</v>
      </c>
      <c r="H815">
        <v>9</v>
      </c>
      <c r="S815" t="s">
        <v>16286</v>
      </c>
    </row>
    <row r="816" spans="2:21" x14ac:dyDescent="0.25">
      <c r="B816">
        <v>16345</v>
      </c>
      <c r="C816" t="s">
        <v>16287</v>
      </c>
      <c r="E816">
        <v>255</v>
      </c>
      <c r="F816">
        <v>247</v>
      </c>
      <c r="G816">
        <v>189</v>
      </c>
      <c r="H816">
        <v>9</v>
      </c>
      <c r="S816" t="s">
        <v>16288</v>
      </c>
    </row>
    <row r="817" spans="2:21" x14ac:dyDescent="0.25">
      <c r="B817">
        <v>16346</v>
      </c>
      <c r="C817" t="s">
        <v>16289</v>
      </c>
      <c r="E817">
        <v>255</v>
      </c>
      <c r="F817">
        <v>247</v>
      </c>
      <c r="G817">
        <v>189</v>
      </c>
      <c r="H817">
        <v>10</v>
      </c>
      <c r="T817" t="s">
        <v>16290</v>
      </c>
    </row>
    <row r="818" spans="2:21" x14ac:dyDescent="0.25">
      <c r="B818">
        <v>16347</v>
      </c>
      <c r="C818" t="s">
        <v>16291</v>
      </c>
      <c r="E818">
        <v>255</v>
      </c>
      <c r="F818">
        <v>247</v>
      </c>
      <c r="G818">
        <v>189</v>
      </c>
      <c r="H818">
        <v>11</v>
      </c>
      <c r="U818" t="s">
        <v>16292</v>
      </c>
    </row>
    <row r="819" spans="2:21" x14ac:dyDescent="0.25">
      <c r="B819">
        <v>16348</v>
      </c>
      <c r="C819" t="s">
        <v>16293</v>
      </c>
      <c r="E819">
        <v>255</v>
      </c>
      <c r="F819">
        <v>247</v>
      </c>
      <c r="G819">
        <v>189</v>
      </c>
      <c r="H819">
        <v>10</v>
      </c>
      <c r="T819" t="s">
        <v>16294</v>
      </c>
    </row>
    <row r="820" spans="2:21" x14ac:dyDescent="0.25">
      <c r="B820">
        <v>16349</v>
      </c>
      <c r="C820" t="s">
        <v>16295</v>
      </c>
      <c r="E820">
        <v>255</v>
      </c>
      <c r="F820">
        <v>247</v>
      </c>
      <c r="G820">
        <v>189</v>
      </c>
      <c r="H820">
        <v>11</v>
      </c>
      <c r="U820" t="s">
        <v>16296</v>
      </c>
    </row>
    <row r="821" spans="2:21" x14ac:dyDescent="0.25">
      <c r="B821">
        <v>16350</v>
      </c>
      <c r="C821" t="s">
        <v>16297</v>
      </c>
      <c r="E821">
        <v>255</v>
      </c>
      <c r="F821">
        <v>247</v>
      </c>
      <c r="G821">
        <v>189</v>
      </c>
      <c r="H821">
        <v>10</v>
      </c>
      <c r="T821" t="s">
        <v>16298</v>
      </c>
    </row>
    <row r="822" spans="2:21" x14ac:dyDescent="0.25">
      <c r="B822">
        <v>16352</v>
      </c>
      <c r="C822" t="s">
        <v>16299</v>
      </c>
      <c r="E822">
        <v>204</v>
      </c>
      <c r="F822">
        <v>195</v>
      </c>
      <c r="G822">
        <v>131</v>
      </c>
      <c r="H822">
        <v>4</v>
      </c>
      <c r="O822" t="s">
        <v>16300</v>
      </c>
    </row>
    <row r="823" spans="2:21" x14ac:dyDescent="0.25">
      <c r="B823">
        <v>16353</v>
      </c>
      <c r="C823" t="s">
        <v>16301</v>
      </c>
      <c r="E823">
        <v>204</v>
      </c>
      <c r="F823">
        <v>195</v>
      </c>
      <c r="G823">
        <v>131</v>
      </c>
      <c r="H823">
        <v>5</v>
      </c>
      <c r="P823" t="s">
        <v>16302</v>
      </c>
    </row>
    <row r="824" spans="2:21" x14ac:dyDescent="0.25">
      <c r="B824">
        <v>16354</v>
      </c>
      <c r="C824" t="s">
        <v>16303</v>
      </c>
      <c r="E824">
        <v>204</v>
      </c>
      <c r="F824">
        <v>195</v>
      </c>
      <c r="G824">
        <v>131</v>
      </c>
      <c r="H824">
        <v>9</v>
      </c>
      <c r="Q824" t="s">
        <v>16304</v>
      </c>
    </row>
    <row r="825" spans="2:21" x14ac:dyDescent="0.25">
      <c r="B825">
        <v>16355</v>
      </c>
      <c r="C825" t="s">
        <v>16305</v>
      </c>
      <c r="E825">
        <v>218</v>
      </c>
      <c r="F825">
        <v>209</v>
      </c>
      <c r="G825">
        <v>141</v>
      </c>
      <c r="H825">
        <v>9</v>
      </c>
      <c r="Q825" t="s">
        <v>16306</v>
      </c>
    </row>
    <row r="826" spans="2:21" x14ac:dyDescent="0.25">
      <c r="B826">
        <v>16356</v>
      </c>
      <c r="C826" t="s">
        <v>16307</v>
      </c>
      <c r="E826">
        <v>218</v>
      </c>
      <c r="F826">
        <v>209</v>
      </c>
      <c r="G826">
        <v>141</v>
      </c>
      <c r="H826">
        <v>10</v>
      </c>
      <c r="R826" t="s">
        <v>16308</v>
      </c>
    </row>
    <row r="827" spans="2:21" x14ac:dyDescent="0.25">
      <c r="B827">
        <v>16357</v>
      </c>
      <c r="C827" t="s">
        <v>16309</v>
      </c>
      <c r="E827">
        <v>218</v>
      </c>
      <c r="F827">
        <v>209</v>
      </c>
      <c r="G827">
        <v>141</v>
      </c>
      <c r="H827">
        <v>11</v>
      </c>
      <c r="S827" t="s">
        <v>16310</v>
      </c>
    </row>
    <row r="828" spans="2:21" x14ac:dyDescent="0.25">
      <c r="B828">
        <v>16358</v>
      </c>
      <c r="C828" t="s">
        <v>16311</v>
      </c>
      <c r="E828">
        <v>218</v>
      </c>
      <c r="F828">
        <v>209</v>
      </c>
      <c r="G828">
        <v>141</v>
      </c>
      <c r="H828">
        <v>10</v>
      </c>
      <c r="R828" t="s">
        <v>16312</v>
      </c>
    </row>
    <row r="829" spans="2:21" x14ac:dyDescent="0.25">
      <c r="B829">
        <v>16359</v>
      </c>
      <c r="C829" t="s">
        <v>16313</v>
      </c>
      <c r="E829">
        <v>218</v>
      </c>
      <c r="F829">
        <v>209</v>
      </c>
      <c r="G829">
        <v>141</v>
      </c>
      <c r="H829">
        <v>11</v>
      </c>
      <c r="S829" t="s">
        <v>16314</v>
      </c>
    </row>
    <row r="830" spans="2:21" x14ac:dyDescent="0.25">
      <c r="B830">
        <v>16360</v>
      </c>
      <c r="C830" t="s">
        <v>16315</v>
      </c>
      <c r="E830">
        <v>218</v>
      </c>
      <c r="F830">
        <v>209</v>
      </c>
      <c r="G830">
        <v>141</v>
      </c>
      <c r="H830">
        <v>11</v>
      </c>
      <c r="S830" t="s">
        <v>16316</v>
      </c>
    </row>
    <row r="831" spans="2:21" x14ac:dyDescent="0.25">
      <c r="B831">
        <v>16361</v>
      </c>
      <c r="C831" t="s">
        <v>16317</v>
      </c>
      <c r="E831">
        <v>218</v>
      </c>
      <c r="F831">
        <v>209</v>
      </c>
      <c r="G831">
        <v>141</v>
      </c>
      <c r="H831">
        <v>11</v>
      </c>
      <c r="S831" t="s">
        <v>16318</v>
      </c>
    </row>
    <row r="832" spans="2:21" x14ac:dyDescent="0.25">
      <c r="B832">
        <v>16362</v>
      </c>
      <c r="C832" t="s">
        <v>16319</v>
      </c>
      <c r="E832">
        <v>218</v>
      </c>
      <c r="F832">
        <v>209</v>
      </c>
      <c r="G832">
        <v>141</v>
      </c>
      <c r="H832">
        <v>11</v>
      </c>
      <c r="S832" t="s">
        <v>16320</v>
      </c>
    </row>
    <row r="833" spans="2:19" x14ac:dyDescent="0.25">
      <c r="B833">
        <v>16363</v>
      </c>
      <c r="C833" t="s">
        <v>16321</v>
      </c>
      <c r="E833">
        <v>218</v>
      </c>
      <c r="F833">
        <v>209</v>
      </c>
      <c r="G833">
        <v>141</v>
      </c>
      <c r="H833">
        <v>11</v>
      </c>
      <c r="S833" t="s">
        <v>16322</v>
      </c>
    </row>
    <row r="834" spans="2:19" x14ac:dyDescent="0.25">
      <c r="B834">
        <v>16364</v>
      </c>
      <c r="C834" t="s">
        <v>16323</v>
      </c>
      <c r="E834">
        <v>218</v>
      </c>
      <c r="F834">
        <v>209</v>
      </c>
      <c r="G834">
        <v>141</v>
      </c>
      <c r="H834">
        <v>10</v>
      </c>
      <c r="R834" t="s">
        <v>16324</v>
      </c>
    </row>
    <row r="835" spans="2:19" x14ac:dyDescent="0.25">
      <c r="B835">
        <v>16351</v>
      </c>
      <c r="C835" t="s">
        <v>16325</v>
      </c>
      <c r="E835">
        <v>218</v>
      </c>
      <c r="F835">
        <v>209</v>
      </c>
      <c r="G835">
        <v>141</v>
      </c>
      <c r="H835">
        <v>11</v>
      </c>
      <c r="S835" t="s">
        <v>16326</v>
      </c>
    </row>
    <row r="836" spans="2:19" x14ac:dyDescent="0.25">
      <c r="B836">
        <v>16365</v>
      </c>
      <c r="C836" t="s">
        <v>16327</v>
      </c>
      <c r="E836">
        <v>218</v>
      </c>
      <c r="F836">
        <v>209</v>
      </c>
      <c r="G836">
        <v>141</v>
      </c>
      <c r="H836">
        <v>11</v>
      </c>
      <c r="S836" t="s">
        <v>16328</v>
      </c>
    </row>
    <row r="837" spans="2:19" x14ac:dyDescent="0.25">
      <c r="B837">
        <v>16366</v>
      </c>
      <c r="C837" t="s">
        <v>16329</v>
      </c>
      <c r="E837">
        <v>218</v>
      </c>
      <c r="F837">
        <v>209</v>
      </c>
      <c r="G837">
        <v>141</v>
      </c>
      <c r="H837">
        <v>11</v>
      </c>
      <c r="S837" t="s">
        <v>16330</v>
      </c>
    </row>
    <row r="838" spans="2:19" x14ac:dyDescent="0.25">
      <c r="B838">
        <v>16367</v>
      </c>
      <c r="C838" t="s">
        <v>16331</v>
      </c>
      <c r="E838">
        <v>218</v>
      </c>
      <c r="F838">
        <v>209</v>
      </c>
      <c r="G838">
        <v>141</v>
      </c>
      <c r="H838">
        <v>11</v>
      </c>
      <c r="S838" t="s">
        <v>16332</v>
      </c>
    </row>
    <row r="839" spans="2:19" x14ac:dyDescent="0.25">
      <c r="B839">
        <v>16368</v>
      </c>
      <c r="C839" t="s">
        <v>16333</v>
      </c>
      <c r="E839">
        <v>166</v>
      </c>
      <c r="F839">
        <v>159</v>
      </c>
      <c r="G839">
        <v>107</v>
      </c>
      <c r="H839">
        <v>5</v>
      </c>
      <c r="P839" t="s">
        <v>16334</v>
      </c>
    </row>
    <row r="840" spans="2:19" x14ac:dyDescent="0.25">
      <c r="B840">
        <v>16369</v>
      </c>
      <c r="C840" t="s">
        <v>16335</v>
      </c>
      <c r="E840">
        <v>141</v>
      </c>
      <c r="F840">
        <v>136</v>
      </c>
      <c r="G840">
        <v>91</v>
      </c>
      <c r="H840">
        <v>9</v>
      </c>
      <c r="Q840" t="s">
        <v>16336</v>
      </c>
    </row>
    <row r="841" spans="2:19" x14ac:dyDescent="0.25">
      <c r="B841">
        <v>16370</v>
      </c>
      <c r="C841" t="s">
        <v>16337</v>
      </c>
      <c r="E841">
        <v>204</v>
      </c>
      <c r="F841">
        <v>195</v>
      </c>
      <c r="G841">
        <v>131</v>
      </c>
      <c r="H841">
        <v>9</v>
      </c>
      <c r="Q841" t="s">
        <v>16338</v>
      </c>
    </row>
    <row r="842" spans="2:19" x14ac:dyDescent="0.25">
      <c r="B842">
        <v>16371</v>
      </c>
      <c r="C842" t="s">
        <v>16339</v>
      </c>
      <c r="E842">
        <v>204</v>
      </c>
      <c r="F842">
        <v>195</v>
      </c>
      <c r="G842">
        <v>131</v>
      </c>
      <c r="H842">
        <v>10</v>
      </c>
      <c r="R842" t="s">
        <v>16340</v>
      </c>
    </row>
    <row r="843" spans="2:19" x14ac:dyDescent="0.25">
      <c r="B843">
        <v>16372</v>
      </c>
      <c r="C843" t="s">
        <v>16341</v>
      </c>
      <c r="E843">
        <v>204</v>
      </c>
      <c r="F843">
        <v>195</v>
      </c>
      <c r="G843">
        <v>131</v>
      </c>
      <c r="H843">
        <v>10</v>
      </c>
      <c r="R843" t="s">
        <v>16342</v>
      </c>
    </row>
    <row r="844" spans="2:19" x14ac:dyDescent="0.25">
      <c r="B844">
        <v>16373</v>
      </c>
      <c r="C844" t="s">
        <v>16343</v>
      </c>
      <c r="E844">
        <v>204</v>
      </c>
      <c r="F844">
        <v>195</v>
      </c>
      <c r="G844">
        <v>131</v>
      </c>
      <c r="H844">
        <v>10</v>
      </c>
      <c r="R844" t="s">
        <v>16344</v>
      </c>
    </row>
    <row r="845" spans="2:19" x14ac:dyDescent="0.25">
      <c r="B845">
        <v>16374</v>
      </c>
      <c r="C845" t="s">
        <v>16345</v>
      </c>
      <c r="E845">
        <v>141</v>
      </c>
      <c r="F845">
        <v>136</v>
      </c>
      <c r="G845">
        <v>91</v>
      </c>
      <c r="H845">
        <v>11</v>
      </c>
      <c r="S845" t="s">
        <v>16346</v>
      </c>
    </row>
    <row r="846" spans="2:19" x14ac:dyDescent="0.25">
      <c r="B846">
        <v>16375</v>
      </c>
      <c r="C846" t="s">
        <v>16347</v>
      </c>
      <c r="E846">
        <v>255</v>
      </c>
      <c r="F846">
        <v>241</v>
      </c>
      <c r="G846">
        <v>137</v>
      </c>
      <c r="H846">
        <v>3</v>
      </c>
      <c r="N846" t="s">
        <v>16348</v>
      </c>
    </row>
    <row r="847" spans="2:19" x14ac:dyDescent="0.25">
      <c r="B847">
        <v>16376</v>
      </c>
      <c r="C847" t="s">
        <v>16349</v>
      </c>
      <c r="E847">
        <v>255</v>
      </c>
      <c r="F847">
        <v>241</v>
      </c>
      <c r="G847">
        <v>137</v>
      </c>
      <c r="H847">
        <v>4</v>
      </c>
      <c r="O847" t="s">
        <v>1588</v>
      </c>
    </row>
    <row r="848" spans="2:19" x14ac:dyDescent="0.25">
      <c r="B848">
        <v>16377</v>
      </c>
      <c r="C848" t="s">
        <v>16350</v>
      </c>
      <c r="E848">
        <v>254</v>
      </c>
      <c r="F848">
        <v>243</v>
      </c>
      <c r="G848">
        <v>168</v>
      </c>
      <c r="H848">
        <v>5</v>
      </c>
      <c r="P848" t="s">
        <v>16351</v>
      </c>
    </row>
    <row r="849" spans="2:21" x14ac:dyDescent="0.25">
      <c r="B849">
        <v>16378</v>
      </c>
      <c r="C849" t="s">
        <v>16352</v>
      </c>
      <c r="E849">
        <v>255</v>
      </c>
      <c r="F849">
        <v>241</v>
      </c>
      <c r="G849">
        <v>137</v>
      </c>
      <c r="H849">
        <v>6</v>
      </c>
      <c r="Q849" t="s">
        <v>16353</v>
      </c>
    </row>
    <row r="850" spans="2:21" x14ac:dyDescent="0.25">
      <c r="B850">
        <v>111220584</v>
      </c>
      <c r="C850" t="s">
        <v>16354</v>
      </c>
      <c r="E850">
        <v>255</v>
      </c>
      <c r="F850">
        <v>241</v>
      </c>
      <c r="G850">
        <v>137</v>
      </c>
      <c r="H850">
        <v>9</v>
      </c>
      <c r="R850" t="s">
        <v>16355</v>
      </c>
    </row>
    <row r="851" spans="2:21" x14ac:dyDescent="0.25">
      <c r="B851">
        <v>111220586</v>
      </c>
      <c r="C851" t="s">
        <v>16356</v>
      </c>
      <c r="E851">
        <v>254</v>
      </c>
      <c r="F851">
        <v>243</v>
      </c>
      <c r="G851">
        <v>168</v>
      </c>
      <c r="H851">
        <v>9</v>
      </c>
      <c r="R851" t="s">
        <v>16357</v>
      </c>
    </row>
    <row r="852" spans="2:21" x14ac:dyDescent="0.25">
      <c r="B852">
        <v>16379</v>
      </c>
      <c r="C852" t="s">
        <v>16358</v>
      </c>
      <c r="E852">
        <v>254</v>
      </c>
      <c r="F852">
        <v>243</v>
      </c>
      <c r="G852">
        <v>168</v>
      </c>
      <c r="H852">
        <v>11</v>
      </c>
      <c r="R852" t="s">
        <v>16359</v>
      </c>
    </row>
    <row r="853" spans="2:21" x14ac:dyDescent="0.25">
      <c r="B853">
        <v>16380</v>
      </c>
      <c r="C853" t="s">
        <v>16360</v>
      </c>
      <c r="E853">
        <v>254</v>
      </c>
      <c r="F853">
        <v>243</v>
      </c>
      <c r="G853">
        <v>168</v>
      </c>
      <c r="H853">
        <v>6</v>
      </c>
      <c r="Q853" t="s">
        <v>16361</v>
      </c>
    </row>
    <row r="854" spans="2:21" x14ac:dyDescent="0.25">
      <c r="B854">
        <v>16381</v>
      </c>
      <c r="C854" t="s">
        <v>16362</v>
      </c>
      <c r="E854">
        <v>254</v>
      </c>
      <c r="F854">
        <v>243</v>
      </c>
      <c r="G854">
        <v>168</v>
      </c>
      <c r="H854">
        <v>6</v>
      </c>
      <c r="Q854" t="s">
        <v>16363</v>
      </c>
    </row>
    <row r="855" spans="2:21" x14ac:dyDescent="0.25">
      <c r="B855">
        <v>16382</v>
      </c>
      <c r="C855" t="s">
        <v>16364</v>
      </c>
      <c r="E855">
        <v>255</v>
      </c>
      <c r="F855">
        <v>237</v>
      </c>
      <c r="G855">
        <v>100</v>
      </c>
      <c r="H855">
        <v>5</v>
      </c>
      <c r="P855" t="s">
        <v>16365</v>
      </c>
    </row>
    <row r="856" spans="2:21" x14ac:dyDescent="0.25">
      <c r="B856">
        <v>16383</v>
      </c>
      <c r="C856" t="s">
        <v>16366</v>
      </c>
      <c r="E856">
        <v>255</v>
      </c>
      <c r="F856">
        <v>237</v>
      </c>
      <c r="G856">
        <v>100</v>
      </c>
      <c r="H856">
        <v>6</v>
      </c>
      <c r="Q856" t="s">
        <v>16367</v>
      </c>
    </row>
    <row r="857" spans="2:21" x14ac:dyDescent="0.25">
      <c r="B857">
        <v>16384</v>
      </c>
      <c r="C857" t="s">
        <v>16368</v>
      </c>
      <c r="E857">
        <v>255</v>
      </c>
      <c r="F857">
        <v>237</v>
      </c>
      <c r="G857">
        <v>100</v>
      </c>
      <c r="H857">
        <v>7</v>
      </c>
      <c r="R857" t="s">
        <v>16369</v>
      </c>
    </row>
    <row r="858" spans="2:21" x14ac:dyDescent="0.25">
      <c r="B858">
        <v>16385</v>
      </c>
      <c r="C858" t="s">
        <v>16370</v>
      </c>
      <c r="E858">
        <v>255</v>
      </c>
      <c r="F858">
        <v>237</v>
      </c>
      <c r="G858">
        <v>100</v>
      </c>
      <c r="H858">
        <v>9</v>
      </c>
      <c r="S858" t="s">
        <v>16371</v>
      </c>
    </row>
    <row r="859" spans="2:21" x14ac:dyDescent="0.25">
      <c r="B859">
        <v>16386</v>
      </c>
      <c r="C859" t="s">
        <v>16372</v>
      </c>
      <c r="E859">
        <v>255</v>
      </c>
      <c r="F859">
        <v>241</v>
      </c>
      <c r="G859">
        <v>137</v>
      </c>
      <c r="H859">
        <v>9</v>
      </c>
      <c r="S859" t="s">
        <v>16373</v>
      </c>
    </row>
    <row r="860" spans="2:21" x14ac:dyDescent="0.25">
      <c r="B860">
        <v>16387</v>
      </c>
      <c r="C860" t="s">
        <v>16374</v>
      </c>
      <c r="E860">
        <v>255</v>
      </c>
      <c r="F860">
        <v>241</v>
      </c>
      <c r="G860">
        <v>137</v>
      </c>
      <c r="H860">
        <v>10</v>
      </c>
      <c r="T860" t="s">
        <v>16375</v>
      </c>
    </row>
    <row r="861" spans="2:21" x14ac:dyDescent="0.25">
      <c r="B861">
        <v>16388</v>
      </c>
      <c r="C861" t="s">
        <v>16376</v>
      </c>
      <c r="E861">
        <v>255</v>
      </c>
      <c r="F861">
        <v>241</v>
      </c>
      <c r="G861">
        <v>137</v>
      </c>
      <c r="H861">
        <v>11</v>
      </c>
      <c r="U861" t="s">
        <v>668</v>
      </c>
    </row>
    <row r="862" spans="2:21" x14ac:dyDescent="0.25">
      <c r="B862">
        <v>16389</v>
      </c>
      <c r="C862" t="s">
        <v>16377</v>
      </c>
      <c r="E862">
        <v>255</v>
      </c>
      <c r="F862">
        <v>241</v>
      </c>
      <c r="G862">
        <v>137</v>
      </c>
      <c r="H862">
        <v>11</v>
      </c>
      <c r="U862" t="s">
        <v>16378</v>
      </c>
    </row>
    <row r="863" spans="2:21" x14ac:dyDescent="0.25">
      <c r="B863">
        <v>16390</v>
      </c>
      <c r="C863" t="s">
        <v>16379</v>
      </c>
      <c r="E863">
        <v>255</v>
      </c>
      <c r="F863">
        <v>241</v>
      </c>
      <c r="G863">
        <v>137</v>
      </c>
      <c r="H863">
        <v>10</v>
      </c>
      <c r="T863" t="s">
        <v>16380</v>
      </c>
    </row>
    <row r="864" spans="2:21" x14ac:dyDescent="0.25">
      <c r="B864">
        <v>16391</v>
      </c>
      <c r="C864" t="s">
        <v>16381</v>
      </c>
      <c r="E864">
        <v>255</v>
      </c>
      <c r="F864">
        <v>241</v>
      </c>
      <c r="G864">
        <v>137</v>
      </c>
      <c r="H864">
        <v>11</v>
      </c>
      <c r="U864" t="s">
        <v>16382</v>
      </c>
    </row>
    <row r="865" spans="2:21" x14ac:dyDescent="0.25">
      <c r="B865">
        <v>16392</v>
      </c>
      <c r="C865" t="s">
        <v>16383</v>
      </c>
      <c r="E865">
        <v>255</v>
      </c>
      <c r="F865">
        <v>241</v>
      </c>
      <c r="G865">
        <v>137</v>
      </c>
      <c r="H865">
        <v>11</v>
      </c>
      <c r="U865" t="s">
        <v>16384</v>
      </c>
    </row>
    <row r="866" spans="2:21" x14ac:dyDescent="0.25">
      <c r="B866">
        <v>16393</v>
      </c>
      <c r="C866" t="s">
        <v>16385</v>
      </c>
      <c r="E866">
        <v>255</v>
      </c>
      <c r="F866">
        <v>241</v>
      </c>
      <c r="G866">
        <v>137</v>
      </c>
      <c r="H866">
        <v>10</v>
      </c>
      <c r="T866" t="s">
        <v>16386</v>
      </c>
    </row>
    <row r="867" spans="2:21" x14ac:dyDescent="0.25">
      <c r="B867">
        <v>16394</v>
      </c>
      <c r="C867" t="s">
        <v>16387</v>
      </c>
      <c r="E867">
        <v>255</v>
      </c>
      <c r="F867">
        <v>241</v>
      </c>
      <c r="G867">
        <v>137</v>
      </c>
      <c r="H867">
        <v>11</v>
      </c>
      <c r="U867" t="s">
        <v>16388</v>
      </c>
    </row>
    <row r="868" spans="2:21" x14ac:dyDescent="0.25">
      <c r="B868">
        <v>16395</v>
      </c>
      <c r="C868" t="s">
        <v>16389</v>
      </c>
      <c r="E868">
        <v>255</v>
      </c>
      <c r="F868">
        <v>237</v>
      </c>
      <c r="G868">
        <v>100</v>
      </c>
      <c r="H868">
        <v>6</v>
      </c>
      <c r="Q868" t="s">
        <v>16390</v>
      </c>
    </row>
    <row r="869" spans="2:21" x14ac:dyDescent="0.25">
      <c r="B869">
        <v>111220588</v>
      </c>
      <c r="C869" t="s">
        <v>16391</v>
      </c>
      <c r="E869">
        <v>255</v>
      </c>
      <c r="F869">
        <v>237</v>
      </c>
      <c r="G869">
        <v>100</v>
      </c>
      <c r="H869">
        <v>9</v>
      </c>
      <c r="R869" t="s">
        <v>16392</v>
      </c>
    </row>
    <row r="870" spans="2:21" x14ac:dyDescent="0.25">
      <c r="B870">
        <v>111220590</v>
      </c>
      <c r="C870" t="s">
        <v>16393</v>
      </c>
      <c r="E870">
        <v>255</v>
      </c>
      <c r="F870">
        <v>241</v>
      </c>
      <c r="G870">
        <v>137</v>
      </c>
      <c r="H870">
        <v>9</v>
      </c>
      <c r="R870" t="s">
        <v>16394</v>
      </c>
    </row>
    <row r="871" spans="2:21" x14ac:dyDescent="0.25">
      <c r="B871">
        <v>16396</v>
      </c>
      <c r="C871" t="s">
        <v>16395</v>
      </c>
      <c r="E871">
        <v>255</v>
      </c>
      <c r="F871">
        <v>237</v>
      </c>
      <c r="G871">
        <v>100</v>
      </c>
      <c r="H871">
        <v>7</v>
      </c>
      <c r="R871" t="s">
        <v>1622</v>
      </c>
    </row>
    <row r="872" spans="2:21" x14ac:dyDescent="0.25">
      <c r="B872">
        <v>16397</v>
      </c>
      <c r="C872" t="s">
        <v>16396</v>
      </c>
      <c r="E872">
        <v>255</v>
      </c>
      <c r="F872">
        <v>237</v>
      </c>
      <c r="G872">
        <v>100</v>
      </c>
      <c r="H872">
        <v>9</v>
      </c>
      <c r="S872" t="s">
        <v>16397</v>
      </c>
    </row>
    <row r="873" spans="2:21" x14ac:dyDescent="0.25">
      <c r="B873">
        <v>16398</v>
      </c>
      <c r="C873" t="s">
        <v>16398</v>
      </c>
      <c r="E873">
        <v>255</v>
      </c>
      <c r="F873">
        <v>241</v>
      </c>
      <c r="G873">
        <v>137</v>
      </c>
      <c r="H873">
        <v>9</v>
      </c>
      <c r="S873" t="s">
        <v>16399</v>
      </c>
    </row>
    <row r="874" spans="2:21" x14ac:dyDescent="0.25">
      <c r="B874">
        <v>16399</v>
      </c>
      <c r="C874" t="s">
        <v>16400</v>
      </c>
      <c r="E874">
        <v>255</v>
      </c>
      <c r="F874">
        <v>241</v>
      </c>
      <c r="G874">
        <v>137</v>
      </c>
      <c r="H874">
        <v>10</v>
      </c>
      <c r="T874" t="s">
        <v>16401</v>
      </c>
    </row>
    <row r="875" spans="2:21" x14ac:dyDescent="0.25">
      <c r="B875">
        <v>16400</v>
      </c>
      <c r="C875" t="s">
        <v>16402</v>
      </c>
      <c r="E875">
        <v>255</v>
      </c>
      <c r="F875">
        <v>241</v>
      </c>
      <c r="G875">
        <v>137</v>
      </c>
      <c r="H875">
        <v>11</v>
      </c>
      <c r="U875" t="s">
        <v>398</v>
      </c>
    </row>
    <row r="876" spans="2:21" x14ac:dyDescent="0.25">
      <c r="B876">
        <v>16401</v>
      </c>
      <c r="C876" t="s">
        <v>16403</v>
      </c>
      <c r="E876">
        <v>255</v>
      </c>
      <c r="F876">
        <v>241</v>
      </c>
      <c r="G876">
        <v>137</v>
      </c>
      <c r="H876">
        <v>11</v>
      </c>
      <c r="U876" t="s">
        <v>16404</v>
      </c>
    </row>
    <row r="877" spans="2:21" x14ac:dyDescent="0.25">
      <c r="B877">
        <v>16402</v>
      </c>
      <c r="C877" t="s">
        <v>16405</v>
      </c>
      <c r="E877">
        <v>255</v>
      </c>
      <c r="F877">
        <v>241</v>
      </c>
      <c r="G877">
        <v>137</v>
      </c>
      <c r="H877">
        <v>11</v>
      </c>
      <c r="U877" t="s">
        <v>670</v>
      </c>
    </row>
    <row r="878" spans="2:21" x14ac:dyDescent="0.25">
      <c r="B878">
        <v>16403</v>
      </c>
      <c r="C878" t="s">
        <v>16406</v>
      </c>
      <c r="E878">
        <v>255</v>
      </c>
      <c r="F878">
        <v>241</v>
      </c>
      <c r="G878">
        <v>137</v>
      </c>
      <c r="H878">
        <v>11</v>
      </c>
      <c r="U878" t="s">
        <v>16407</v>
      </c>
    </row>
    <row r="879" spans="2:21" x14ac:dyDescent="0.25">
      <c r="B879">
        <v>16404</v>
      </c>
      <c r="C879" t="s">
        <v>16408</v>
      </c>
      <c r="E879">
        <v>255</v>
      </c>
      <c r="F879">
        <v>241</v>
      </c>
      <c r="G879">
        <v>137</v>
      </c>
      <c r="H879">
        <v>11</v>
      </c>
      <c r="U879" t="s">
        <v>16409</v>
      </c>
    </row>
    <row r="880" spans="2:21" x14ac:dyDescent="0.25">
      <c r="B880">
        <v>16405</v>
      </c>
      <c r="C880" t="s">
        <v>16410</v>
      </c>
      <c r="E880">
        <v>255</v>
      </c>
      <c r="F880">
        <v>241</v>
      </c>
      <c r="G880">
        <v>137</v>
      </c>
      <c r="H880">
        <v>11</v>
      </c>
      <c r="U880" t="s">
        <v>672</v>
      </c>
    </row>
    <row r="881" spans="2:22" x14ac:dyDescent="0.25">
      <c r="B881">
        <v>16406</v>
      </c>
      <c r="C881" t="s">
        <v>16411</v>
      </c>
      <c r="E881">
        <v>255</v>
      </c>
      <c r="F881">
        <v>241</v>
      </c>
      <c r="G881">
        <v>137</v>
      </c>
      <c r="H881">
        <v>11</v>
      </c>
      <c r="U881" t="s">
        <v>16412</v>
      </c>
    </row>
    <row r="882" spans="2:22" x14ac:dyDescent="0.25">
      <c r="B882">
        <v>16407</v>
      </c>
      <c r="C882" t="s">
        <v>16413</v>
      </c>
      <c r="E882">
        <v>255</v>
      </c>
      <c r="F882">
        <v>241</v>
      </c>
      <c r="G882">
        <v>137</v>
      </c>
      <c r="H882">
        <v>11</v>
      </c>
      <c r="U882" t="s">
        <v>16414</v>
      </c>
    </row>
    <row r="883" spans="2:22" x14ac:dyDescent="0.25">
      <c r="B883">
        <v>16408</v>
      </c>
      <c r="C883" t="s">
        <v>16415</v>
      </c>
      <c r="E883">
        <v>255</v>
      </c>
      <c r="F883">
        <v>241</v>
      </c>
      <c r="G883">
        <v>137</v>
      </c>
      <c r="H883">
        <v>11</v>
      </c>
      <c r="U883" t="s">
        <v>16416</v>
      </c>
    </row>
    <row r="884" spans="2:22" x14ac:dyDescent="0.25">
      <c r="B884">
        <v>16409</v>
      </c>
      <c r="C884" t="s">
        <v>16417</v>
      </c>
      <c r="E884">
        <v>255</v>
      </c>
      <c r="F884">
        <v>241</v>
      </c>
      <c r="G884">
        <v>137</v>
      </c>
      <c r="H884">
        <v>10</v>
      </c>
      <c r="T884" t="s">
        <v>16418</v>
      </c>
    </row>
    <row r="885" spans="2:22" x14ac:dyDescent="0.25">
      <c r="B885">
        <v>16410</v>
      </c>
      <c r="C885" t="s">
        <v>16419</v>
      </c>
      <c r="E885">
        <v>255</v>
      </c>
      <c r="F885">
        <v>241</v>
      </c>
      <c r="G885">
        <v>137</v>
      </c>
      <c r="H885">
        <v>11</v>
      </c>
      <c r="U885" t="s">
        <v>674</v>
      </c>
    </row>
    <row r="886" spans="2:22" x14ac:dyDescent="0.25">
      <c r="B886">
        <v>16411</v>
      </c>
      <c r="C886" t="s">
        <v>16420</v>
      </c>
      <c r="E886">
        <v>255</v>
      </c>
      <c r="F886">
        <v>241</v>
      </c>
      <c r="G886">
        <v>137</v>
      </c>
      <c r="H886">
        <v>11</v>
      </c>
      <c r="U886" t="s">
        <v>16421</v>
      </c>
    </row>
    <row r="887" spans="2:22" x14ac:dyDescent="0.25">
      <c r="B887">
        <v>16412</v>
      </c>
      <c r="C887" t="s">
        <v>16422</v>
      </c>
      <c r="E887">
        <v>255</v>
      </c>
      <c r="F887">
        <v>241</v>
      </c>
      <c r="G887">
        <v>137</v>
      </c>
      <c r="H887">
        <v>12</v>
      </c>
      <c r="V887" t="s">
        <v>16423</v>
      </c>
    </row>
    <row r="888" spans="2:22" x14ac:dyDescent="0.25">
      <c r="B888">
        <v>16413</v>
      </c>
      <c r="C888" t="s">
        <v>16424</v>
      </c>
      <c r="E888">
        <v>255</v>
      </c>
      <c r="F888">
        <v>241</v>
      </c>
      <c r="G888">
        <v>137</v>
      </c>
      <c r="H888">
        <v>12</v>
      </c>
      <c r="V888" t="s">
        <v>16425</v>
      </c>
    </row>
    <row r="889" spans="2:22" x14ac:dyDescent="0.25">
      <c r="B889">
        <v>16414</v>
      </c>
      <c r="C889" t="s">
        <v>16426</v>
      </c>
      <c r="E889">
        <v>255</v>
      </c>
      <c r="F889">
        <v>241</v>
      </c>
      <c r="G889">
        <v>137</v>
      </c>
      <c r="H889">
        <v>12</v>
      </c>
      <c r="V889" t="s">
        <v>16427</v>
      </c>
    </row>
    <row r="890" spans="2:22" x14ac:dyDescent="0.25">
      <c r="B890">
        <v>16415</v>
      </c>
      <c r="C890" t="s">
        <v>16428</v>
      </c>
      <c r="E890">
        <v>255</v>
      </c>
      <c r="F890">
        <v>241</v>
      </c>
      <c r="G890">
        <v>137</v>
      </c>
      <c r="H890">
        <v>11</v>
      </c>
      <c r="U890" t="s">
        <v>16429</v>
      </c>
    </row>
    <row r="891" spans="2:22" x14ac:dyDescent="0.25">
      <c r="B891">
        <v>16416</v>
      </c>
      <c r="C891" t="s">
        <v>16430</v>
      </c>
      <c r="E891">
        <v>255</v>
      </c>
      <c r="F891">
        <v>241</v>
      </c>
      <c r="G891">
        <v>137</v>
      </c>
      <c r="H891">
        <v>12</v>
      </c>
      <c r="V891" t="s">
        <v>676</v>
      </c>
    </row>
    <row r="892" spans="2:22" x14ac:dyDescent="0.25">
      <c r="B892">
        <v>16417</v>
      </c>
      <c r="C892" t="s">
        <v>16431</v>
      </c>
      <c r="E892">
        <v>255</v>
      </c>
      <c r="F892">
        <v>241</v>
      </c>
      <c r="G892">
        <v>137</v>
      </c>
      <c r="H892">
        <v>12</v>
      </c>
      <c r="V892" t="s">
        <v>16432</v>
      </c>
    </row>
    <row r="893" spans="2:22" x14ac:dyDescent="0.25">
      <c r="B893">
        <v>16418</v>
      </c>
      <c r="C893" t="s">
        <v>16433</v>
      </c>
      <c r="E893">
        <v>255</v>
      </c>
      <c r="F893">
        <v>241</v>
      </c>
      <c r="G893">
        <v>137</v>
      </c>
      <c r="H893">
        <v>12</v>
      </c>
      <c r="V893" t="s">
        <v>678</v>
      </c>
    </row>
    <row r="894" spans="2:22" x14ac:dyDescent="0.25">
      <c r="B894">
        <v>16419</v>
      </c>
      <c r="C894" t="s">
        <v>16434</v>
      </c>
      <c r="E894">
        <v>255</v>
      </c>
      <c r="F894">
        <v>241</v>
      </c>
      <c r="G894">
        <v>137</v>
      </c>
      <c r="H894">
        <v>11</v>
      </c>
      <c r="U894" t="s">
        <v>16435</v>
      </c>
    </row>
    <row r="895" spans="2:22" x14ac:dyDescent="0.25">
      <c r="B895">
        <v>16420</v>
      </c>
      <c r="C895" t="s">
        <v>16436</v>
      </c>
      <c r="E895">
        <v>255</v>
      </c>
      <c r="F895">
        <v>241</v>
      </c>
      <c r="G895">
        <v>137</v>
      </c>
      <c r="H895">
        <v>12</v>
      </c>
      <c r="V895" t="s">
        <v>444</v>
      </c>
    </row>
    <row r="896" spans="2:22" x14ac:dyDescent="0.25">
      <c r="B896">
        <v>16421</v>
      </c>
      <c r="C896" t="s">
        <v>16437</v>
      </c>
      <c r="E896">
        <v>255</v>
      </c>
      <c r="F896">
        <v>241</v>
      </c>
      <c r="G896">
        <v>137</v>
      </c>
      <c r="H896">
        <v>12</v>
      </c>
      <c r="V896" t="s">
        <v>477</v>
      </c>
    </row>
    <row r="897" spans="2:22" x14ac:dyDescent="0.25">
      <c r="B897">
        <v>16422</v>
      </c>
      <c r="C897" t="s">
        <v>16438</v>
      </c>
      <c r="E897">
        <v>255</v>
      </c>
      <c r="F897">
        <v>241</v>
      </c>
      <c r="G897">
        <v>137</v>
      </c>
      <c r="H897">
        <v>12</v>
      </c>
      <c r="V897" t="s">
        <v>458</v>
      </c>
    </row>
    <row r="898" spans="2:22" x14ac:dyDescent="0.25">
      <c r="B898">
        <v>16423</v>
      </c>
      <c r="C898" t="s">
        <v>1093</v>
      </c>
      <c r="E898">
        <v>255</v>
      </c>
      <c r="F898">
        <v>241</v>
      </c>
      <c r="G898">
        <v>137</v>
      </c>
      <c r="H898">
        <v>11</v>
      </c>
      <c r="U898" t="s">
        <v>680</v>
      </c>
    </row>
    <row r="899" spans="2:22" x14ac:dyDescent="0.25">
      <c r="B899">
        <v>16424</v>
      </c>
      <c r="C899" t="s">
        <v>16439</v>
      </c>
      <c r="E899">
        <v>255</v>
      </c>
      <c r="F899">
        <v>241</v>
      </c>
      <c r="G899">
        <v>137</v>
      </c>
      <c r="H899">
        <v>12</v>
      </c>
      <c r="V899" t="s">
        <v>16440</v>
      </c>
    </row>
    <row r="900" spans="2:22" x14ac:dyDescent="0.25">
      <c r="B900">
        <v>16425</v>
      </c>
      <c r="C900" t="s">
        <v>16441</v>
      </c>
      <c r="E900">
        <v>255</v>
      </c>
      <c r="F900">
        <v>241</v>
      </c>
      <c r="G900">
        <v>137</v>
      </c>
      <c r="H900">
        <v>12</v>
      </c>
      <c r="V900" t="s">
        <v>16442</v>
      </c>
    </row>
    <row r="901" spans="2:22" x14ac:dyDescent="0.25">
      <c r="B901">
        <v>16426</v>
      </c>
      <c r="C901" t="s">
        <v>16443</v>
      </c>
      <c r="E901">
        <v>255</v>
      </c>
      <c r="F901">
        <v>241</v>
      </c>
      <c r="G901">
        <v>137</v>
      </c>
      <c r="H901">
        <v>12</v>
      </c>
      <c r="V901" t="s">
        <v>682</v>
      </c>
    </row>
    <row r="902" spans="2:22" x14ac:dyDescent="0.25">
      <c r="B902">
        <v>16427</v>
      </c>
      <c r="C902" t="s">
        <v>16444</v>
      </c>
      <c r="E902">
        <v>255</v>
      </c>
      <c r="F902">
        <v>241</v>
      </c>
      <c r="G902">
        <v>137</v>
      </c>
      <c r="H902">
        <v>12</v>
      </c>
      <c r="V902" t="s">
        <v>684</v>
      </c>
    </row>
    <row r="903" spans="2:22" x14ac:dyDescent="0.25">
      <c r="B903">
        <v>16428</v>
      </c>
      <c r="C903" t="s">
        <v>16445</v>
      </c>
      <c r="E903">
        <v>255</v>
      </c>
      <c r="F903">
        <v>241</v>
      </c>
      <c r="G903">
        <v>137</v>
      </c>
      <c r="H903">
        <v>12</v>
      </c>
      <c r="V903" t="s">
        <v>686</v>
      </c>
    </row>
    <row r="904" spans="2:22" x14ac:dyDescent="0.25">
      <c r="B904">
        <v>16429</v>
      </c>
      <c r="C904" t="s">
        <v>16446</v>
      </c>
      <c r="E904">
        <v>255</v>
      </c>
      <c r="F904">
        <v>241</v>
      </c>
      <c r="G904">
        <v>137</v>
      </c>
      <c r="H904">
        <v>12</v>
      </c>
      <c r="V904" t="s">
        <v>688</v>
      </c>
    </row>
    <row r="905" spans="2:22" x14ac:dyDescent="0.25">
      <c r="B905">
        <v>16430</v>
      </c>
      <c r="C905" t="s">
        <v>16447</v>
      </c>
      <c r="E905">
        <v>255</v>
      </c>
      <c r="F905">
        <v>241</v>
      </c>
      <c r="G905">
        <v>137</v>
      </c>
      <c r="H905">
        <v>12</v>
      </c>
      <c r="V905" t="s">
        <v>690</v>
      </c>
    </row>
    <row r="906" spans="2:22" x14ac:dyDescent="0.25">
      <c r="B906">
        <v>16431</v>
      </c>
      <c r="C906" t="s">
        <v>16448</v>
      </c>
      <c r="E906">
        <v>255</v>
      </c>
      <c r="F906">
        <v>241</v>
      </c>
      <c r="G906">
        <v>137</v>
      </c>
      <c r="H906">
        <v>12</v>
      </c>
      <c r="V906" t="s">
        <v>16449</v>
      </c>
    </row>
    <row r="907" spans="2:22" x14ac:dyDescent="0.25">
      <c r="B907">
        <v>16432</v>
      </c>
      <c r="C907" t="s">
        <v>16450</v>
      </c>
      <c r="E907">
        <v>255</v>
      </c>
      <c r="F907">
        <v>241</v>
      </c>
      <c r="G907">
        <v>137</v>
      </c>
      <c r="H907">
        <v>12</v>
      </c>
      <c r="V907" t="s">
        <v>16451</v>
      </c>
    </row>
    <row r="908" spans="2:22" x14ac:dyDescent="0.25">
      <c r="B908">
        <v>16433</v>
      </c>
      <c r="C908" t="s">
        <v>16452</v>
      </c>
      <c r="E908">
        <v>255</v>
      </c>
      <c r="F908">
        <v>241</v>
      </c>
      <c r="G908">
        <v>137</v>
      </c>
      <c r="H908">
        <v>10</v>
      </c>
      <c r="T908" t="s">
        <v>16453</v>
      </c>
    </row>
    <row r="909" spans="2:22" x14ac:dyDescent="0.25">
      <c r="B909">
        <v>16434</v>
      </c>
      <c r="C909" t="s">
        <v>16454</v>
      </c>
      <c r="E909">
        <v>255</v>
      </c>
      <c r="F909">
        <v>241</v>
      </c>
      <c r="G909">
        <v>137</v>
      </c>
      <c r="H909">
        <v>11</v>
      </c>
      <c r="U909" t="s">
        <v>16455</v>
      </c>
    </row>
    <row r="910" spans="2:22" x14ac:dyDescent="0.25">
      <c r="B910">
        <v>16435</v>
      </c>
      <c r="C910" t="s">
        <v>16456</v>
      </c>
      <c r="E910">
        <v>255</v>
      </c>
      <c r="F910">
        <v>241</v>
      </c>
      <c r="G910">
        <v>137</v>
      </c>
      <c r="H910">
        <v>11</v>
      </c>
      <c r="U910" t="s">
        <v>692</v>
      </c>
    </row>
    <row r="911" spans="2:22" x14ac:dyDescent="0.25">
      <c r="B911">
        <v>16436</v>
      </c>
      <c r="C911" t="s">
        <v>16457</v>
      </c>
      <c r="E911">
        <v>255</v>
      </c>
      <c r="F911">
        <v>241</v>
      </c>
      <c r="G911">
        <v>137</v>
      </c>
      <c r="H911">
        <v>11</v>
      </c>
      <c r="U911" t="s">
        <v>694</v>
      </c>
    </row>
    <row r="912" spans="2:22" x14ac:dyDescent="0.25">
      <c r="B912">
        <v>16437</v>
      </c>
      <c r="C912" t="s">
        <v>16458</v>
      </c>
      <c r="E912">
        <v>255</v>
      </c>
      <c r="F912">
        <v>237</v>
      </c>
      <c r="G912">
        <v>100</v>
      </c>
      <c r="H912">
        <v>7</v>
      </c>
      <c r="R912" t="s">
        <v>16459</v>
      </c>
    </row>
    <row r="913" spans="2:21" x14ac:dyDescent="0.25">
      <c r="B913">
        <v>16438</v>
      </c>
      <c r="C913" t="s">
        <v>16460</v>
      </c>
      <c r="E913">
        <v>255</v>
      </c>
      <c r="F913">
        <v>237</v>
      </c>
      <c r="G913">
        <v>100</v>
      </c>
      <c r="H913">
        <v>9</v>
      </c>
      <c r="S913" t="s">
        <v>16461</v>
      </c>
    </row>
    <row r="914" spans="2:21" x14ac:dyDescent="0.25">
      <c r="B914">
        <v>16439</v>
      </c>
      <c r="C914" t="s">
        <v>16462</v>
      </c>
      <c r="E914">
        <v>255</v>
      </c>
      <c r="F914">
        <v>241</v>
      </c>
      <c r="G914">
        <v>137</v>
      </c>
      <c r="H914">
        <v>9</v>
      </c>
      <c r="S914" t="s">
        <v>16463</v>
      </c>
    </row>
    <row r="915" spans="2:21" x14ac:dyDescent="0.25">
      <c r="B915">
        <v>16440</v>
      </c>
      <c r="C915" t="s">
        <v>16464</v>
      </c>
      <c r="E915">
        <v>255</v>
      </c>
      <c r="F915">
        <v>241</v>
      </c>
      <c r="G915">
        <v>137</v>
      </c>
      <c r="H915">
        <v>10</v>
      </c>
      <c r="T915" t="s">
        <v>16465</v>
      </c>
    </row>
    <row r="916" spans="2:21" x14ac:dyDescent="0.25">
      <c r="B916">
        <v>16441</v>
      </c>
      <c r="C916" t="s">
        <v>16466</v>
      </c>
      <c r="E916">
        <v>255</v>
      </c>
      <c r="F916">
        <v>241</v>
      </c>
      <c r="G916">
        <v>137</v>
      </c>
      <c r="H916">
        <v>11</v>
      </c>
      <c r="U916" t="s">
        <v>696</v>
      </c>
    </row>
    <row r="917" spans="2:21" x14ac:dyDescent="0.25">
      <c r="B917">
        <v>16442</v>
      </c>
      <c r="C917" t="s">
        <v>16467</v>
      </c>
      <c r="E917">
        <v>255</v>
      </c>
      <c r="F917">
        <v>241</v>
      </c>
      <c r="G917">
        <v>137</v>
      </c>
      <c r="H917">
        <v>11</v>
      </c>
      <c r="U917" t="s">
        <v>698</v>
      </c>
    </row>
    <row r="918" spans="2:21" x14ac:dyDescent="0.25">
      <c r="B918">
        <v>16443</v>
      </c>
      <c r="C918" t="s">
        <v>16468</v>
      </c>
      <c r="E918">
        <v>255</v>
      </c>
      <c r="F918">
        <v>241</v>
      </c>
      <c r="G918">
        <v>137</v>
      </c>
      <c r="H918">
        <v>10</v>
      </c>
      <c r="T918" t="s">
        <v>16469</v>
      </c>
    </row>
    <row r="919" spans="2:21" x14ac:dyDescent="0.25">
      <c r="B919">
        <v>16444</v>
      </c>
      <c r="C919" t="s">
        <v>16470</v>
      </c>
      <c r="E919">
        <v>255</v>
      </c>
      <c r="F919">
        <v>241</v>
      </c>
      <c r="G919">
        <v>137</v>
      </c>
      <c r="H919">
        <v>11</v>
      </c>
      <c r="U919" t="s">
        <v>16471</v>
      </c>
    </row>
    <row r="920" spans="2:21" x14ac:dyDescent="0.25">
      <c r="B920">
        <v>16445</v>
      </c>
      <c r="C920" t="s">
        <v>16472</v>
      </c>
      <c r="E920">
        <v>255</v>
      </c>
      <c r="F920">
        <v>241</v>
      </c>
      <c r="G920">
        <v>137</v>
      </c>
      <c r="H920">
        <v>11</v>
      </c>
      <c r="U920" t="s">
        <v>16473</v>
      </c>
    </row>
    <row r="921" spans="2:21" x14ac:dyDescent="0.25">
      <c r="B921">
        <v>16446</v>
      </c>
      <c r="C921" t="s">
        <v>16474</v>
      </c>
      <c r="E921">
        <v>255</v>
      </c>
      <c r="F921">
        <v>241</v>
      </c>
      <c r="G921">
        <v>137</v>
      </c>
      <c r="H921">
        <v>11</v>
      </c>
      <c r="U921" t="s">
        <v>16475</v>
      </c>
    </row>
    <row r="922" spans="2:21" x14ac:dyDescent="0.25">
      <c r="B922">
        <v>16447</v>
      </c>
      <c r="C922" t="s">
        <v>16476</v>
      </c>
      <c r="E922">
        <v>255</v>
      </c>
      <c r="F922">
        <v>241</v>
      </c>
      <c r="G922">
        <v>137</v>
      </c>
      <c r="H922">
        <v>11</v>
      </c>
      <c r="U922" t="s">
        <v>16477</v>
      </c>
    </row>
    <row r="923" spans="2:21" x14ac:dyDescent="0.25">
      <c r="B923">
        <v>16448</v>
      </c>
      <c r="C923" t="s">
        <v>16478</v>
      </c>
      <c r="E923">
        <v>255</v>
      </c>
      <c r="F923">
        <v>241</v>
      </c>
      <c r="G923">
        <v>137</v>
      </c>
      <c r="H923">
        <v>11</v>
      </c>
      <c r="U923" t="s">
        <v>16479</v>
      </c>
    </row>
    <row r="924" spans="2:21" x14ac:dyDescent="0.25">
      <c r="B924">
        <v>16449</v>
      </c>
      <c r="C924" t="s">
        <v>16480</v>
      </c>
      <c r="E924">
        <v>255</v>
      </c>
      <c r="F924">
        <v>241</v>
      </c>
      <c r="G924">
        <v>137</v>
      </c>
      <c r="H924">
        <v>11</v>
      </c>
      <c r="U924" t="s">
        <v>16481</v>
      </c>
    </row>
    <row r="925" spans="2:21" x14ac:dyDescent="0.25">
      <c r="B925">
        <v>16450</v>
      </c>
      <c r="C925" t="s">
        <v>16482</v>
      </c>
      <c r="E925">
        <v>255</v>
      </c>
      <c r="F925">
        <v>241</v>
      </c>
      <c r="G925">
        <v>137</v>
      </c>
      <c r="H925">
        <v>10</v>
      </c>
      <c r="T925" t="s">
        <v>16483</v>
      </c>
    </row>
    <row r="926" spans="2:21" x14ac:dyDescent="0.25">
      <c r="B926">
        <v>16451</v>
      </c>
      <c r="C926" t="s">
        <v>16484</v>
      </c>
      <c r="E926">
        <v>255</v>
      </c>
      <c r="F926">
        <v>241</v>
      </c>
      <c r="G926">
        <v>137</v>
      </c>
      <c r="H926">
        <v>11</v>
      </c>
      <c r="U926" t="s">
        <v>16485</v>
      </c>
    </row>
    <row r="927" spans="2:21" x14ac:dyDescent="0.25">
      <c r="B927">
        <v>16452</v>
      </c>
      <c r="C927" t="s">
        <v>16486</v>
      </c>
      <c r="E927">
        <v>255</v>
      </c>
      <c r="F927">
        <v>241</v>
      </c>
      <c r="G927">
        <v>137</v>
      </c>
      <c r="H927">
        <v>11</v>
      </c>
      <c r="U927" t="s">
        <v>700</v>
      </c>
    </row>
    <row r="928" spans="2:21" x14ac:dyDescent="0.25">
      <c r="B928">
        <v>16453</v>
      </c>
      <c r="C928" t="s">
        <v>16487</v>
      </c>
      <c r="E928">
        <v>255</v>
      </c>
      <c r="F928">
        <v>237</v>
      </c>
      <c r="G928">
        <v>100</v>
      </c>
      <c r="H928">
        <v>7</v>
      </c>
      <c r="R928" t="s">
        <v>16488</v>
      </c>
    </row>
    <row r="929" spans="2:22" x14ac:dyDescent="0.25">
      <c r="B929">
        <v>16454</v>
      </c>
      <c r="C929" t="s">
        <v>16489</v>
      </c>
      <c r="E929">
        <v>255</v>
      </c>
      <c r="F929">
        <v>237</v>
      </c>
      <c r="G929">
        <v>100</v>
      </c>
      <c r="H929">
        <v>9</v>
      </c>
      <c r="S929" t="s">
        <v>16490</v>
      </c>
    </row>
    <row r="930" spans="2:22" x14ac:dyDescent="0.25">
      <c r="B930">
        <v>16455</v>
      </c>
      <c r="C930" t="s">
        <v>16491</v>
      </c>
      <c r="E930">
        <v>255</v>
      </c>
      <c r="F930">
        <v>241</v>
      </c>
      <c r="G930">
        <v>137</v>
      </c>
      <c r="H930">
        <v>9</v>
      </c>
      <c r="S930" t="s">
        <v>16492</v>
      </c>
    </row>
    <row r="931" spans="2:22" x14ac:dyDescent="0.25">
      <c r="B931">
        <v>16456</v>
      </c>
      <c r="C931" t="s">
        <v>16493</v>
      </c>
      <c r="E931">
        <v>255</v>
      </c>
      <c r="F931">
        <v>241</v>
      </c>
      <c r="G931">
        <v>137</v>
      </c>
      <c r="H931">
        <v>10</v>
      </c>
      <c r="T931" t="s">
        <v>16494</v>
      </c>
    </row>
    <row r="932" spans="2:22" x14ac:dyDescent="0.25">
      <c r="B932">
        <v>16457</v>
      </c>
      <c r="C932" t="s">
        <v>16495</v>
      </c>
      <c r="E932">
        <v>255</v>
      </c>
      <c r="F932">
        <v>241</v>
      </c>
      <c r="G932">
        <v>137</v>
      </c>
      <c r="H932">
        <v>11</v>
      </c>
      <c r="U932" t="s">
        <v>16496</v>
      </c>
    </row>
    <row r="933" spans="2:22" x14ac:dyDescent="0.25">
      <c r="B933">
        <v>16458</v>
      </c>
      <c r="C933" t="s">
        <v>16497</v>
      </c>
      <c r="E933">
        <v>255</v>
      </c>
      <c r="F933">
        <v>241</v>
      </c>
      <c r="G933">
        <v>137</v>
      </c>
      <c r="H933">
        <v>10</v>
      </c>
      <c r="T933" t="s">
        <v>16498</v>
      </c>
    </row>
    <row r="934" spans="2:22" x14ac:dyDescent="0.25">
      <c r="B934">
        <v>16459</v>
      </c>
      <c r="C934" t="s">
        <v>16499</v>
      </c>
      <c r="E934">
        <v>255</v>
      </c>
      <c r="F934">
        <v>241</v>
      </c>
      <c r="G934">
        <v>137</v>
      </c>
      <c r="H934">
        <v>11</v>
      </c>
      <c r="U934" t="s">
        <v>16500</v>
      </c>
    </row>
    <row r="935" spans="2:22" x14ac:dyDescent="0.25">
      <c r="B935">
        <v>16460</v>
      </c>
      <c r="C935" t="s">
        <v>16501</v>
      </c>
      <c r="E935">
        <v>255</v>
      </c>
      <c r="F935">
        <v>241</v>
      </c>
      <c r="G935">
        <v>137</v>
      </c>
      <c r="H935">
        <v>11</v>
      </c>
      <c r="U935" t="s">
        <v>16502</v>
      </c>
    </row>
    <row r="936" spans="2:22" x14ac:dyDescent="0.25">
      <c r="B936">
        <v>16461</v>
      </c>
      <c r="C936" t="s">
        <v>16503</v>
      </c>
      <c r="E936">
        <v>255</v>
      </c>
      <c r="F936">
        <v>241</v>
      </c>
      <c r="G936">
        <v>137</v>
      </c>
      <c r="H936">
        <v>10</v>
      </c>
      <c r="T936" t="s">
        <v>16504</v>
      </c>
    </row>
    <row r="937" spans="2:22" x14ac:dyDescent="0.25">
      <c r="B937">
        <v>16462</v>
      </c>
      <c r="C937" t="s">
        <v>16505</v>
      </c>
      <c r="E937">
        <v>255</v>
      </c>
      <c r="F937">
        <v>241</v>
      </c>
      <c r="G937">
        <v>137</v>
      </c>
      <c r="H937">
        <v>11</v>
      </c>
      <c r="U937" t="s">
        <v>2905</v>
      </c>
    </row>
    <row r="938" spans="2:22" x14ac:dyDescent="0.25">
      <c r="B938">
        <v>16463</v>
      </c>
      <c r="C938" t="s">
        <v>16506</v>
      </c>
      <c r="E938">
        <v>255</v>
      </c>
      <c r="F938">
        <v>241</v>
      </c>
      <c r="G938">
        <v>137</v>
      </c>
      <c r="H938">
        <v>12</v>
      </c>
      <c r="V938" t="s">
        <v>16507</v>
      </c>
    </row>
    <row r="939" spans="2:22" x14ac:dyDescent="0.25">
      <c r="B939">
        <v>16464</v>
      </c>
      <c r="C939" t="s">
        <v>16508</v>
      </c>
      <c r="E939">
        <v>255</v>
      </c>
      <c r="F939">
        <v>241</v>
      </c>
      <c r="G939">
        <v>137</v>
      </c>
      <c r="H939">
        <v>12</v>
      </c>
      <c r="V939" t="s">
        <v>16509</v>
      </c>
    </row>
    <row r="940" spans="2:22" x14ac:dyDescent="0.25">
      <c r="B940">
        <v>16465</v>
      </c>
      <c r="C940" t="s">
        <v>16510</v>
      </c>
      <c r="E940">
        <v>255</v>
      </c>
      <c r="F940">
        <v>241</v>
      </c>
      <c r="G940">
        <v>137</v>
      </c>
      <c r="H940">
        <v>12</v>
      </c>
      <c r="V940" t="s">
        <v>16511</v>
      </c>
    </row>
    <row r="941" spans="2:22" x14ac:dyDescent="0.25">
      <c r="B941">
        <v>16466</v>
      </c>
      <c r="C941" t="s">
        <v>16512</v>
      </c>
      <c r="E941">
        <v>255</v>
      </c>
      <c r="F941">
        <v>237</v>
      </c>
      <c r="G941">
        <v>100</v>
      </c>
      <c r="H941">
        <v>6</v>
      </c>
      <c r="Q941" t="s">
        <v>16513</v>
      </c>
    </row>
    <row r="942" spans="2:22" x14ac:dyDescent="0.25">
      <c r="B942">
        <v>111220592</v>
      </c>
      <c r="C942" t="s">
        <v>16514</v>
      </c>
      <c r="E942">
        <v>255</v>
      </c>
      <c r="F942">
        <v>237</v>
      </c>
      <c r="G942">
        <v>100</v>
      </c>
      <c r="H942">
        <v>9</v>
      </c>
      <c r="R942" t="s">
        <v>16515</v>
      </c>
    </row>
    <row r="943" spans="2:22" x14ac:dyDescent="0.25">
      <c r="B943">
        <v>111220594</v>
      </c>
      <c r="C943" t="s">
        <v>16516</v>
      </c>
      <c r="E943">
        <v>255</v>
      </c>
      <c r="F943">
        <v>241</v>
      </c>
      <c r="G943">
        <v>137</v>
      </c>
      <c r="H943">
        <v>9</v>
      </c>
      <c r="R943" t="s">
        <v>16517</v>
      </c>
    </row>
    <row r="944" spans="2:22" x14ac:dyDescent="0.25">
      <c r="B944">
        <v>16467</v>
      </c>
      <c r="C944" t="s">
        <v>16518</v>
      </c>
      <c r="E944">
        <v>255</v>
      </c>
      <c r="F944">
        <v>237</v>
      </c>
      <c r="G944">
        <v>100</v>
      </c>
      <c r="H944">
        <v>7</v>
      </c>
      <c r="R944" t="s">
        <v>16519</v>
      </c>
    </row>
    <row r="945" spans="2:21" x14ac:dyDescent="0.25">
      <c r="B945">
        <v>16468</v>
      </c>
      <c r="C945" t="s">
        <v>16520</v>
      </c>
      <c r="E945">
        <v>255</v>
      </c>
      <c r="F945">
        <v>237</v>
      </c>
      <c r="G945">
        <v>100</v>
      </c>
      <c r="H945">
        <v>9</v>
      </c>
      <c r="S945" t="s">
        <v>16521</v>
      </c>
    </row>
    <row r="946" spans="2:21" x14ac:dyDescent="0.25">
      <c r="B946">
        <v>16469</v>
      </c>
      <c r="C946" t="s">
        <v>16522</v>
      </c>
      <c r="E946">
        <v>255</v>
      </c>
      <c r="F946">
        <v>241</v>
      </c>
      <c r="G946">
        <v>137</v>
      </c>
      <c r="H946">
        <v>9</v>
      </c>
      <c r="S946" t="s">
        <v>16523</v>
      </c>
    </row>
    <row r="947" spans="2:21" x14ac:dyDescent="0.25">
      <c r="B947">
        <v>16470</v>
      </c>
      <c r="C947" t="s">
        <v>16524</v>
      </c>
      <c r="E947">
        <v>255</v>
      </c>
      <c r="F947">
        <v>241</v>
      </c>
      <c r="G947">
        <v>137</v>
      </c>
      <c r="H947">
        <v>10</v>
      </c>
      <c r="T947" t="s">
        <v>16525</v>
      </c>
    </row>
    <row r="948" spans="2:21" x14ac:dyDescent="0.25">
      <c r="B948">
        <v>16471</v>
      </c>
      <c r="C948" t="s">
        <v>16526</v>
      </c>
      <c r="E948">
        <v>255</v>
      </c>
      <c r="F948">
        <v>241</v>
      </c>
      <c r="G948">
        <v>137</v>
      </c>
      <c r="H948">
        <v>11</v>
      </c>
      <c r="U948" t="s">
        <v>16527</v>
      </c>
    </row>
    <row r="949" spans="2:21" x14ac:dyDescent="0.25">
      <c r="B949">
        <v>16472</v>
      </c>
      <c r="C949" t="s">
        <v>16528</v>
      </c>
      <c r="E949">
        <v>255</v>
      </c>
      <c r="F949">
        <v>241</v>
      </c>
      <c r="G949">
        <v>137</v>
      </c>
      <c r="H949">
        <v>10</v>
      </c>
      <c r="T949" t="s">
        <v>16529</v>
      </c>
    </row>
    <row r="950" spans="2:21" x14ac:dyDescent="0.25">
      <c r="B950">
        <v>16473</v>
      </c>
      <c r="C950" t="s">
        <v>16530</v>
      </c>
      <c r="E950">
        <v>255</v>
      </c>
      <c r="F950">
        <v>241</v>
      </c>
      <c r="G950">
        <v>137</v>
      </c>
      <c r="H950">
        <v>11</v>
      </c>
      <c r="U950" t="s">
        <v>16531</v>
      </c>
    </row>
    <row r="951" spans="2:21" x14ac:dyDescent="0.25">
      <c r="B951">
        <v>16474</v>
      </c>
      <c r="C951" t="s">
        <v>16532</v>
      </c>
      <c r="E951">
        <v>255</v>
      </c>
      <c r="F951">
        <v>241</v>
      </c>
      <c r="G951">
        <v>137</v>
      </c>
      <c r="H951">
        <v>10</v>
      </c>
      <c r="T951" t="s">
        <v>16533</v>
      </c>
    </row>
    <row r="952" spans="2:21" x14ac:dyDescent="0.25">
      <c r="B952">
        <v>16475</v>
      </c>
      <c r="C952" t="s">
        <v>16534</v>
      </c>
      <c r="E952">
        <v>255</v>
      </c>
      <c r="F952">
        <v>241</v>
      </c>
      <c r="G952">
        <v>137</v>
      </c>
      <c r="H952">
        <v>11</v>
      </c>
      <c r="U952" t="s">
        <v>16535</v>
      </c>
    </row>
    <row r="953" spans="2:21" x14ac:dyDescent="0.25">
      <c r="B953">
        <v>16476</v>
      </c>
      <c r="C953" t="s">
        <v>16536</v>
      </c>
      <c r="E953">
        <v>255</v>
      </c>
      <c r="F953">
        <v>237</v>
      </c>
      <c r="G953">
        <v>100</v>
      </c>
      <c r="H953">
        <v>7</v>
      </c>
      <c r="R953" t="s">
        <v>16537</v>
      </c>
    </row>
    <row r="954" spans="2:21" x14ac:dyDescent="0.25">
      <c r="B954">
        <v>16477</v>
      </c>
      <c r="C954" t="s">
        <v>16538</v>
      </c>
      <c r="E954">
        <v>255</v>
      </c>
      <c r="F954">
        <v>237</v>
      </c>
      <c r="G954">
        <v>100</v>
      </c>
      <c r="H954">
        <v>9</v>
      </c>
      <c r="S954" t="s">
        <v>16539</v>
      </c>
    </row>
    <row r="955" spans="2:21" x14ac:dyDescent="0.25">
      <c r="B955">
        <v>16478</v>
      </c>
      <c r="C955" t="s">
        <v>16540</v>
      </c>
      <c r="E955">
        <v>255</v>
      </c>
      <c r="F955">
        <v>241</v>
      </c>
      <c r="G955">
        <v>137</v>
      </c>
      <c r="H955">
        <v>9</v>
      </c>
      <c r="S955" t="s">
        <v>16541</v>
      </c>
    </row>
    <row r="956" spans="2:21" x14ac:dyDescent="0.25">
      <c r="B956">
        <v>16479</v>
      </c>
      <c r="C956" t="s">
        <v>16542</v>
      </c>
      <c r="E956">
        <v>255</v>
      </c>
      <c r="F956">
        <v>241</v>
      </c>
      <c r="G956">
        <v>137</v>
      </c>
      <c r="H956">
        <v>10</v>
      </c>
      <c r="T956" t="s">
        <v>16543</v>
      </c>
    </row>
    <row r="957" spans="2:21" x14ac:dyDescent="0.25">
      <c r="B957">
        <v>16480</v>
      </c>
      <c r="C957" t="s">
        <v>16544</v>
      </c>
      <c r="E957">
        <v>255</v>
      </c>
      <c r="F957">
        <v>241</v>
      </c>
      <c r="G957">
        <v>137</v>
      </c>
      <c r="H957">
        <v>11</v>
      </c>
      <c r="U957" t="s">
        <v>16545</v>
      </c>
    </row>
    <row r="958" spans="2:21" x14ac:dyDescent="0.25">
      <c r="B958">
        <v>16481</v>
      </c>
      <c r="C958" t="s">
        <v>16546</v>
      </c>
      <c r="E958">
        <v>255</v>
      </c>
      <c r="F958">
        <v>241</v>
      </c>
      <c r="G958">
        <v>137</v>
      </c>
      <c r="H958">
        <v>10</v>
      </c>
      <c r="T958" t="s">
        <v>16547</v>
      </c>
    </row>
    <row r="959" spans="2:21" x14ac:dyDescent="0.25">
      <c r="B959">
        <v>16482</v>
      </c>
      <c r="C959" t="s">
        <v>16548</v>
      </c>
      <c r="E959">
        <v>255</v>
      </c>
      <c r="F959">
        <v>241</v>
      </c>
      <c r="G959">
        <v>137</v>
      </c>
      <c r="H959">
        <v>11</v>
      </c>
      <c r="U959" t="s">
        <v>16549</v>
      </c>
    </row>
    <row r="960" spans="2:21" x14ac:dyDescent="0.25">
      <c r="B960">
        <v>16483</v>
      </c>
      <c r="C960" t="s">
        <v>16550</v>
      </c>
      <c r="E960">
        <v>255</v>
      </c>
      <c r="F960">
        <v>241</v>
      </c>
      <c r="G960">
        <v>137</v>
      </c>
      <c r="H960">
        <v>10</v>
      </c>
      <c r="T960" t="s">
        <v>16551</v>
      </c>
    </row>
    <row r="961" spans="2:21" x14ac:dyDescent="0.25">
      <c r="B961">
        <v>16484</v>
      </c>
      <c r="C961" t="s">
        <v>16552</v>
      </c>
      <c r="E961">
        <v>255</v>
      </c>
      <c r="F961">
        <v>241</v>
      </c>
      <c r="G961">
        <v>137</v>
      </c>
      <c r="H961">
        <v>11</v>
      </c>
      <c r="U961" t="s">
        <v>16553</v>
      </c>
    </row>
    <row r="962" spans="2:21" x14ac:dyDescent="0.25">
      <c r="B962">
        <v>16485</v>
      </c>
      <c r="C962" t="s">
        <v>16554</v>
      </c>
      <c r="E962">
        <v>255</v>
      </c>
      <c r="F962">
        <v>241</v>
      </c>
      <c r="G962">
        <v>137</v>
      </c>
      <c r="H962">
        <v>11</v>
      </c>
      <c r="U962" t="s">
        <v>16555</v>
      </c>
    </row>
    <row r="963" spans="2:21" x14ac:dyDescent="0.25">
      <c r="B963">
        <v>16486</v>
      </c>
      <c r="C963" t="s">
        <v>16556</v>
      </c>
      <c r="E963">
        <v>204</v>
      </c>
      <c r="F963">
        <v>190</v>
      </c>
      <c r="G963">
        <v>80</v>
      </c>
      <c r="H963">
        <v>4</v>
      </c>
      <c r="O963" t="s">
        <v>16557</v>
      </c>
    </row>
    <row r="964" spans="2:21" x14ac:dyDescent="0.25">
      <c r="B964">
        <v>16487</v>
      </c>
      <c r="C964" t="s">
        <v>16558</v>
      </c>
      <c r="E964">
        <v>204</v>
      </c>
      <c r="F964">
        <v>190</v>
      </c>
      <c r="G964">
        <v>80</v>
      </c>
      <c r="H964">
        <v>5</v>
      </c>
      <c r="P964" t="s">
        <v>16559</v>
      </c>
    </row>
    <row r="965" spans="2:21" x14ac:dyDescent="0.25">
      <c r="B965">
        <v>16488</v>
      </c>
      <c r="C965" t="s">
        <v>16560</v>
      </c>
      <c r="E965">
        <v>204</v>
      </c>
      <c r="F965">
        <v>190</v>
      </c>
      <c r="G965">
        <v>80</v>
      </c>
      <c r="H965">
        <v>9</v>
      </c>
      <c r="Q965" t="s">
        <v>16561</v>
      </c>
    </row>
    <row r="966" spans="2:21" x14ac:dyDescent="0.25">
      <c r="B966">
        <v>16489</v>
      </c>
      <c r="C966" t="s">
        <v>16562</v>
      </c>
      <c r="E966">
        <v>224</v>
      </c>
      <c r="F966">
        <v>208</v>
      </c>
      <c r="G966">
        <v>88</v>
      </c>
      <c r="H966">
        <v>9</v>
      </c>
      <c r="Q966" t="s">
        <v>16563</v>
      </c>
    </row>
    <row r="967" spans="2:21" x14ac:dyDescent="0.25">
      <c r="B967">
        <v>16490</v>
      </c>
      <c r="C967" t="s">
        <v>16564</v>
      </c>
      <c r="E967">
        <v>224</v>
      </c>
      <c r="F967">
        <v>208</v>
      </c>
      <c r="G967">
        <v>88</v>
      </c>
      <c r="H967">
        <v>10</v>
      </c>
      <c r="R967" t="s">
        <v>16565</v>
      </c>
    </row>
    <row r="968" spans="2:21" x14ac:dyDescent="0.25">
      <c r="B968">
        <v>16491</v>
      </c>
      <c r="C968" t="s">
        <v>16566</v>
      </c>
      <c r="E968">
        <v>224</v>
      </c>
      <c r="F968">
        <v>208</v>
      </c>
      <c r="G968">
        <v>88</v>
      </c>
      <c r="H968">
        <v>11</v>
      </c>
      <c r="S968" t="s">
        <v>16567</v>
      </c>
    </row>
    <row r="969" spans="2:21" x14ac:dyDescent="0.25">
      <c r="B969">
        <v>16492</v>
      </c>
      <c r="C969" t="s">
        <v>16568</v>
      </c>
      <c r="E969">
        <v>224</v>
      </c>
      <c r="F969">
        <v>208</v>
      </c>
      <c r="G969">
        <v>88</v>
      </c>
      <c r="H969">
        <v>10</v>
      </c>
      <c r="R969" t="s">
        <v>16569</v>
      </c>
    </row>
    <row r="970" spans="2:21" x14ac:dyDescent="0.25">
      <c r="B970">
        <v>16493</v>
      </c>
      <c r="C970" t="s">
        <v>16570</v>
      </c>
      <c r="E970">
        <v>224</v>
      </c>
      <c r="F970">
        <v>208</v>
      </c>
      <c r="G970">
        <v>88</v>
      </c>
      <c r="H970">
        <v>11</v>
      </c>
      <c r="S970" t="s">
        <v>16571</v>
      </c>
    </row>
    <row r="971" spans="2:21" x14ac:dyDescent="0.25">
      <c r="B971">
        <v>16494</v>
      </c>
      <c r="C971" t="s">
        <v>16572</v>
      </c>
      <c r="E971">
        <v>224</v>
      </c>
      <c r="F971">
        <v>208</v>
      </c>
      <c r="G971">
        <v>88</v>
      </c>
      <c r="H971">
        <v>11</v>
      </c>
      <c r="S971" t="s">
        <v>16573</v>
      </c>
    </row>
    <row r="972" spans="2:21" x14ac:dyDescent="0.25">
      <c r="B972">
        <v>16495</v>
      </c>
      <c r="C972" t="s">
        <v>16574</v>
      </c>
      <c r="E972">
        <v>224</v>
      </c>
      <c r="F972">
        <v>208</v>
      </c>
      <c r="G972">
        <v>88</v>
      </c>
      <c r="H972">
        <v>11</v>
      </c>
      <c r="S972" t="s">
        <v>16575</v>
      </c>
    </row>
    <row r="973" spans="2:21" x14ac:dyDescent="0.25">
      <c r="B973">
        <v>16496</v>
      </c>
      <c r="C973" t="s">
        <v>16576</v>
      </c>
      <c r="E973">
        <v>224</v>
      </c>
      <c r="F973">
        <v>208</v>
      </c>
      <c r="G973">
        <v>88</v>
      </c>
      <c r="H973">
        <v>11</v>
      </c>
      <c r="S973" t="s">
        <v>16577</v>
      </c>
    </row>
    <row r="974" spans="2:21" x14ac:dyDescent="0.25">
      <c r="B974">
        <v>16497</v>
      </c>
      <c r="C974" t="s">
        <v>16578</v>
      </c>
      <c r="E974">
        <v>224</v>
      </c>
      <c r="F974">
        <v>208</v>
      </c>
      <c r="G974">
        <v>88</v>
      </c>
      <c r="H974">
        <v>10</v>
      </c>
      <c r="R974" t="s">
        <v>16579</v>
      </c>
    </row>
    <row r="975" spans="2:21" x14ac:dyDescent="0.25">
      <c r="B975">
        <v>16498</v>
      </c>
      <c r="C975" t="s">
        <v>16580</v>
      </c>
      <c r="E975">
        <v>224</v>
      </c>
      <c r="F975">
        <v>208</v>
      </c>
      <c r="G975">
        <v>88</v>
      </c>
      <c r="H975">
        <v>11</v>
      </c>
      <c r="S975" t="s">
        <v>16581</v>
      </c>
    </row>
    <row r="976" spans="2:21" x14ac:dyDescent="0.25">
      <c r="B976">
        <v>16499</v>
      </c>
      <c r="C976" t="s">
        <v>16582</v>
      </c>
      <c r="E976">
        <v>224</v>
      </c>
      <c r="F976">
        <v>208</v>
      </c>
      <c r="G976">
        <v>88</v>
      </c>
      <c r="H976">
        <v>11</v>
      </c>
      <c r="S976" t="s">
        <v>16583</v>
      </c>
    </row>
    <row r="977" spans="2:19" x14ac:dyDescent="0.25">
      <c r="B977">
        <v>16500</v>
      </c>
      <c r="C977" t="s">
        <v>16584</v>
      </c>
      <c r="E977">
        <v>224</v>
      </c>
      <c r="F977">
        <v>208</v>
      </c>
      <c r="G977">
        <v>88</v>
      </c>
      <c r="H977">
        <v>11</v>
      </c>
      <c r="S977" t="s">
        <v>16585</v>
      </c>
    </row>
    <row r="978" spans="2:19" x14ac:dyDescent="0.25">
      <c r="B978">
        <v>16501</v>
      </c>
      <c r="C978" t="s">
        <v>16586</v>
      </c>
      <c r="E978">
        <v>224</v>
      </c>
      <c r="F978">
        <v>208</v>
      </c>
      <c r="G978">
        <v>88</v>
      </c>
      <c r="H978">
        <v>11</v>
      </c>
      <c r="S978" t="s">
        <v>16587</v>
      </c>
    </row>
    <row r="979" spans="2:19" x14ac:dyDescent="0.25">
      <c r="B979">
        <v>16502</v>
      </c>
      <c r="C979" t="s">
        <v>16588</v>
      </c>
      <c r="E979">
        <v>179</v>
      </c>
      <c r="F979">
        <v>166</v>
      </c>
      <c r="G979">
        <v>70</v>
      </c>
      <c r="H979">
        <v>5</v>
      </c>
      <c r="P979" t="s">
        <v>16589</v>
      </c>
    </row>
    <row r="980" spans="2:19" x14ac:dyDescent="0.25">
      <c r="B980">
        <v>16503</v>
      </c>
      <c r="C980" t="s">
        <v>16590</v>
      </c>
      <c r="E980">
        <v>166</v>
      </c>
      <c r="F980">
        <v>154</v>
      </c>
      <c r="G980">
        <v>65</v>
      </c>
      <c r="H980">
        <v>9</v>
      </c>
      <c r="Q980" t="s">
        <v>16591</v>
      </c>
    </row>
    <row r="981" spans="2:19" x14ac:dyDescent="0.25">
      <c r="B981">
        <v>16504</v>
      </c>
      <c r="C981" t="s">
        <v>16592</v>
      </c>
      <c r="E981">
        <v>204</v>
      </c>
      <c r="F981">
        <v>190</v>
      </c>
      <c r="G981">
        <v>80</v>
      </c>
      <c r="H981">
        <v>9</v>
      </c>
      <c r="Q981" t="s">
        <v>16593</v>
      </c>
    </row>
    <row r="982" spans="2:19" x14ac:dyDescent="0.25">
      <c r="B982">
        <v>16505</v>
      </c>
      <c r="C982" t="s">
        <v>16594</v>
      </c>
      <c r="E982">
        <v>204</v>
      </c>
      <c r="F982">
        <v>190</v>
      </c>
      <c r="G982">
        <v>80</v>
      </c>
      <c r="H982">
        <v>10</v>
      </c>
      <c r="R982" t="s">
        <v>16595</v>
      </c>
    </row>
    <row r="983" spans="2:19" x14ac:dyDescent="0.25">
      <c r="B983">
        <v>16506</v>
      </c>
      <c r="C983" t="s">
        <v>16596</v>
      </c>
      <c r="E983">
        <v>204</v>
      </c>
      <c r="F983">
        <v>190</v>
      </c>
      <c r="G983">
        <v>80</v>
      </c>
      <c r="H983">
        <v>10</v>
      </c>
      <c r="R983" t="s">
        <v>16597</v>
      </c>
    </row>
    <row r="984" spans="2:19" x14ac:dyDescent="0.25">
      <c r="B984">
        <v>16507</v>
      </c>
      <c r="C984" t="s">
        <v>16598</v>
      </c>
      <c r="E984">
        <v>204</v>
      </c>
      <c r="F984">
        <v>190</v>
      </c>
      <c r="G984">
        <v>80</v>
      </c>
      <c r="H984">
        <v>10</v>
      </c>
      <c r="R984" t="s">
        <v>16599</v>
      </c>
    </row>
    <row r="985" spans="2:19" x14ac:dyDescent="0.25">
      <c r="B985">
        <v>16508</v>
      </c>
      <c r="C985" t="s">
        <v>16600</v>
      </c>
      <c r="E985">
        <v>166</v>
      </c>
      <c r="F985">
        <v>154</v>
      </c>
      <c r="G985">
        <v>65</v>
      </c>
      <c r="H985">
        <v>11</v>
      </c>
      <c r="S985" t="s">
        <v>16601</v>
      </c>
    </row>
    <row r="986" spans="2:19" x14ac:dyDescent="0.25">
      <c r="B986">
        <v>16509</v>
      </c>
      <c r="C986" t="s">
        <v>16602</v>
      </c>
      <c r="E986">
        <v>255</v>
      </c>
      <c r="F986">
        <v>229</v>
      </c>
      <c r="G986">
        <v>36</v>
      </c>
      <c r="H986">
        <v>3</v>
      </c>
      <c r="N986" t="s">
        <v>16603</v>
      </c>
    </row>
    <row r="987" spans="2:19" x14ac:dyDescent="0.25">
      <c r="B987">
        <v>16510</v>
      </c>
      <c r="C987" t="s">
        <v>16604</v>
      </c>
      <c r="E987">
        <v>255</v>
      </c>
      <c r="F987">
        <v>229</v>
      </c>
      <c r="G987">
        <v>36</v>
      </c>
      <c r="H987">
        <v>4</v>
      </c>
      <c r="O987" t="s">
        <v>2110</v>
      </c>
    </row>
    <row r="988" spans="2:19" x14ac:dyDescent="0.25">
      <c r="B988">
        <v>16511</v>
      </c>
      <c r="C988" t="s">
        <v>16605</v>
      </c>
      <c r="E988">
        <v>255</v>
      </c>
      <c r="F988">
        <v>235</v>
      </c>
      <c r="G988">
        <v>115</v>
      </c>
      <c r="H988">
        <v>5</v>
      </c>
      <c r="P988" t="s">
        <v>16606</v>
      </c>
    </row>
    <row r="989" spans="2:19" x14ac:dyDescent="0.25">
      <c r="B989">
        <v>16512</v>
      </c>
      <c r="C989" t="s">
        <v>16607</v>
      </c>
      <c r="E989">
        <v>244</v>
      </c>
      <c r="F989">
        <v>227</v>
      </c>
      <c r="G989">
        <v>95</v>
      </c>
      <c r="H989">
        <v>6</v>
      </c>
      <c r="Q989" t="s">
        <v>16608</v>
      </c>
    </row>
    <row r="990" spans="2:19" x14ac:dyDescent="0.25">
      <c r="B990">
        <v>16513</v>
      </c>
      <c r="C990" t="s">
        <v>16609</v>
      </c>
      <c r="E990">
        <v>244</v>
      </c>
      <c r="F990">
        <v>227</v>
      </c>
      <c r="G990">
        <v>95</v>
      </c>
      <c r="H990">
        <v>9</v>
      </c>
      <c r="R990" t="s">
        <v>16610</v>
      </c>
    </row>
    <row r="991" spans="2:19" x14ac:dyDescent="0.25">
      <c r="B991">
        <v>16514</v>
      </c>
      <c r="C991" t="s">
        <v>16611</v>
      </c>
      <c r="E991">
        <v>255</v>
      </c>
      <c r="F991">
        <v>235</v>
      </c>
      <c r="G991">
        <v>115</v>
      </c>
      <c r="H991">
        <v>11</v>
      </c>
      <c r="S991" t="s">
        <v>2079</v>
      </c>
    </row>
    <row r="992" spans="2:19" x14ac:dyDescent="0.25">
      <c r="B992">
        <v>16515</v>
      </c>
      <c r="C992" t="s">
        <v>16612</v>
      </c>
      <c r="E992">
        <v>255</v>
      </c>
      <c r="F992">
        <v>235</v>
      </c>
      <c r="G992">
        <v>115</v>
      </c>
      <c r="H992">
        <v>9</v>
      </c>
      <c r="R992" t="s">
        <v>16613</v>
      </c>
    </row>
    <row r="993" spans="2:21" x14ac:dyDescent="0.25">
      <c r="B993">
        <v>16516</v>
      </c>
      <c r="C993" t="s">
        <v>16614</v>
      </c>
      <c r="E993">
        <v>255</v>
      </c>
      <c r="F993">
        <v>235</v>
      </c>
      <c r="G993">
        <v>115</v>
      </c>
      <c r="H993">
        <v>10</v>
      </c>
      <c r="S993" t="s">
        <v>16615</v>
      </c>
    </row>
    <row r="994" spans="2:21" x14ac:dyDescent="0.25">
      <c r="B994">
        <v>16517</v>
      </c>
      <c r="C994" t="s">
        <v>16616</v>
      </c>
      <c r="E994">
        <v>255</v>
      </c>
      <c r="F994">
        <v>235</v>
      </c>
      <c r="G994">
        <v>115</v>
      </c>
      <c r="H994">
        <v>10</v>
      </c>
      <c r="S994" t="s">
        <v>16617</v>
      </c>
    </row>
    <row r="995" spans="2:21" x14ac:dyDescent="0.25">
      <c r="B995">
        <v>16518</v>
      </c>
      <c r="C995" t="s">
        <v>16618</v>
      </c>
      <c r="E995">
        <v>255</v>
      </c>
      <c r="F995">
        <v>235</v>
      </c>
      <c r="G995">
        <v>115</v>
      </c>
      <c r="H995">
        <v>10</v>
      </c>
      <c r="S995" t="s">
        <v>16619</v>
      </c>
    </row>
    <row r="996" spans="2:21" x14ac:dyDescent="0.25">
      <c r="B996">
        <v>16519</v>
      </c>
      <c r="C996" t="s">
        <v>16620</v>
      </c>
      <c r="E996">
        <v>255</v>
      </c>
      <c r="F996">
        <v>229</v>
      </c>
      <c r="G996">
        <v>36</v>
      </c>
      <c r="H996">
        <v>5</v>
      </c>
      <c r="P996" t="s">
        <v>16621</v>
      </c>
    </row>
    <row r="997" spans="2:21" x14ac:dyDescent="0.25">
      <c r="B997">
        <v>16520</v>
      </c>
      <c r="C997" t="s">
        <v>16622</v>
      </c>
      <c r="E997">
        <v>255</v>
      </c>
      <c r="F997">
        <v>229</v>
      </c>
      <c r="G997">
        <v>36</v>
      </c>
      <c r="H997">
        <v>6</v>
      </c>
      <c r="Q997" t="s">
        <v>16623</v>
      </c>
    </row>
    <row r="998" spans="2:21" x14ac:dyDescent="0.25">
      <c r="B998">
        <v>111220596</v>
      </c>
      <c r="C998" t="s">
        <v>16624</v>
      </c>
      <c r="E998">
        <v>255</v>
      </c>
      <c r="F998">
        <v>229</v>
      </c>
      <c r="G998">
        <v>36</v>
      </c>
      <c r="H998">
        <v>9</v>
      </c>
      <c r="R998" t="s">
        <v>16625</v>
      </c>
    </row>
    <row r="999" spans="2:21" x14ac:dyDescent="0.25">
      <c r="B999">
        <v>111220598</v>
      </c>
      <c r="C999" t="s">
        <v>16626</v>
      </c>
      <c r="E999">
        <v>244</v>
      </c>
      <c r="F999">
        <v>227</v>
      </c>
      <c r="G999">
        <v>95</v>
      </c>
      <c r="H999">
        <v>9</v>
      </c>
      <c r="R999" t="s">
        <v>16627</v>
      </c>
    </row>
    <row r="1000" spans="2:21" x14ac:dyDescent="0.25">
      <c r="B1000">
        <v>16521</v>
      </c>
      <c r="C1000" t="s">
        <v>16628</v>
      </c>
      <c r="E1000">
        <v>244</v>
      </c>
      <c r="F1000">
        <v>227</v>
      </c>
      <c r="G1000">
        <v>95</v>
      </c>
      <c r="H1000">
        <v>7</v>
      </c>
      <c r="R1000" t="s">
        <v>16629</v>
      </c>
    </row>
    <row r="1001" spans="2:21" x14ac:dyDescent="0.25">
      <c r="B1001">
        <v>16522</v>
      </c>
      <c r="C1001" t="s">
        <v>16630</v>
      </c>
      <c r="E1001">
        <v>255</v>
      </c>
      <c r="F1001">
        <v>229</v>
      </c>
      <c r="G1001">
        <v>36</v>
      </c>
      <c r="H1001">
        <v>9</v>
      </c>
      <c r="S1001" t="s">
        <v>16631</v>
      </c>
    </row>
    <row r="1002" spans="2:21" x14ac:dyDescent="0.25">
      <c r="B1002">
        <v>16523</v>
      </c>
      <c r="C1002" t="s">
        <v>16632</v>
      </c>
      <c r="E1002">
        <v>244</v>
      </c>
      <c r="F1002">
        <v>227</v>
      </c>
      <c r="G1002">
        <v>95</v>
      </c>
      <c r="H1002">
        <v>9</v>
      </c>
      <c r="S1002" t="s">
        <v>16633</v>
      </c>
    </row>
    <row r="1003" spans="2:21" x14ac:dyDescent="0.25">
      <c r="B1003">
        <v>16524</v>
      </c>
      <c r="C1003" t="s">
        <v>16634</v>
      </c>
      <c r="E1003">
        <v>244</v>
      </c>
      <c r="F1003">
        <v>227</v>
      </c>
      <c r="G1003">
        <v>95</v>
      </c>
      <c r="H1003">
        <v>10</v>
      </c>
      <c r="T1003" t="s">
        <v>16635</v>
      </c>
    </row>
    <row r="1004" spans="2:21" x14ac:dyDescent="0.25">
      <c r="B1004">
        <v>16525</v>
      </c>
      <c r="C1004" t="s">
        <v>16636</v>
      </c>
      <c r="E1004">
        <v>244</v>
      </c>
      <c r="F1004">
        <v>227</v>
      </c>
      <c r="G1004">
        <v>95</v>
      </c>
      <c r="H1004">
        <v>11</v>
      </c>
      <c r="U1004" t="s">
        <v>16637</v>
      </c>
    </row>
    <row r="1005" spans="2:21" x14ac:dyDescent="0.25">
      <c r="B1005">
        <v>16526</v>
      </c>
      <c r="C1005" t="s">
        <v>16638</v>
      </c>
      <c r="E1005">
        <v>244</v>
      </c>
      <c r="F1005">
        <v>227</v>
      </c>
      <c r="G1005">
        <v>95</v>
      </c>
      <c r="H1005">
        <v>10</v>
      </c>
      <c r="T1005" t="s">
        <v>16639</v>
      </c>
    </row>
    <row r="1006" spans="2:21" x14ac:dyDescent="0.25">
      <c r="B1006">
        <v>16527</v>
      </c>
      <c r="C1006" t="s">
        <v>16640</v>
      </c>
      <c r="E1006">
        <v>244</v>
      </c>
      <c r="F1006">
        <v>227</v>
      </c>
      <c r="G1006">
        <v>95</v>
      </c>
      <c r="H1006">
        <v>11</v>
      </c>
      <c r="U1006" t="s">
        <v>16641</v>
      </c>
    </row>
    <row r="1007" spans="2:21" x14ac:dyDescent="0.25">
      <c r="B1007">
        <v>16528</v>
      </c>
      <c r="C1007" t="s">
        <v>16642</v>
      </c>
      <c r="E1007">
        <v>244</v>
      </c>
      <c r="F1007">
        <v>227</v>
      </c>
      <c r="G1007">
        <v>95</v>
      </c>
      <c r="H1007">
        <v>10</v>
      </c>
      <c r="T1007" t="s">
        <v>16643</v>
      </c>
    </row>
    <row r="1008" spans="2:21" x14ac:dyDescent="0.25">
      <c r="B1008">
        <v>16529</v>
      </c>
      <c r="C1008" t="s">
        <v>16644</v>
      </c>
      <c r="E1008">
        <v>244</v>
      </c>
      <c r="F1008">
        <v>227</v>
      </c>
      <c r="G1008">
        <v>95</v>
      </c>
      <c r="H1008">
        <v>11</v>
      </c>
      <c r="U1008" t="s">
        <v>16645</v>
      </c>
    </row>
    <row r="1009" spans="2:21" x14ac:dyDescent="0.25">
      <c r="B1009">
        <v>16530</v>
      </c>
      <c r="C1009" t="s">
        <v>16646</v>
      </c>
      <c r="E1009">
        <v>255</v>
      </c>
      <c r="F1009">
        <v>229</v>
      </c>
      <c r="G1009">
        <v>36</v>
      </c>
      <c r="H1009">
        <v>7</v>
      </c>
      <c r="R1009" t="s">
        <v>16647</v>
      </c>
    </row>
    <row r="1010" spans="2:21" x14ac:dyDescent="0.25">
      <c r="B1010">
        <v>16531</v>
      </c>
      <c r="C1010" t="s">
        <v>16648</v>
      </c>
      <c r="E1010">
        <v>255</v>
      </c>
      <c r="F1010">
        <v>229</v>
      </c>
      <c r="G1010">
        <v>36</v>
      </c>
      <c r="H1010">
        <v>9</v>
      </c>
      <c r="S1010" t="s">
        <v>16649</v>
      </c>
    </row>
    <row r="1011" spans="2:21" x14ac:dyDescent="0.25">
      <c r="B1011">
        <v>16532</v>
      </c>
      <c r="C1011" t="s">
        <v>16650</v>
      </c>
      <c r="E1011">
        <v>244</v>
      </c>
      <c r="F1011">
        <v>227</v>
      </c>
      <c r="G1011">
        <v>95</v>
      </c>
      <c r="H1011">
        <v>9</v>
      </c>
      <c r="S1011" t="s">
        <v>16651</v>
      </c>
    </row>
    <row r="1012" spans="2:21" x14ac:dyDescent="0.25">
      <c r="B1012">
        <v>16533</v>
      </c>
      <c r="C1012" t="s">
        <v>16652</v>
      </c>
      <c r="E1012">
        <v>244</v>
      </c>
      <c r="F1012">
        <v>227</v>
      </c>
      <c r="G1012">
        <v>95</v>
      </c>
      <c r="H1012">
        <v>10</v>
      </c>
      <c r="T1012" t="s">
        <v>16653</v>
      </c>
    </row>
    <row r="1013" spans="2:21" x14ac:dyDescent="0.25">
      <c r="B1013">
        <v>16534</v>
      </c>
      <c r="C1013" t="s">
        <v>16654</v>
      </c>
      <c r="E1013">
        <v>244</v>
      </c>
      <c r="F1013">
        <v>227</v>
      </c>
      <c r="G1013">
        <v>95</v>
      </c>
      <c r="H1013">
        <v>11</v>
      </c>
      <c r="U1013" t="s">
        <v>16655</v>
      </c>
    </row>
    <row r="1014" spans="2:21" x14ac:dyDescent="0.25">
      <c r="B1014">
        <v>16535</v>
      </c>
      <c r="C1014" t="s">
        <v>16656</v>
      </c>
      <c r="E1014">
        <v>244</v>
      </c>
      <c r="F1014">
        <v>227</v>
      </c>
      <c r="G1014">
        <v>95</v>
      </c>
      <c r="H1014">
        <v>10</v>
      </c>
      <c r="T1014" t="s">
        <v>16657</v>
      </c>
    </row>
    <row r="1015" spans="2:21" x14ac:dyDescent="0.25">
      <c r="B1015">
        <v>16536</v>
      </c>
      <c r="C1015" t="s">
        <v>16658</v>
      </c>
      <c r="E1015">
        <v>244</v>
      </c>
      <c r="F1015">
        <v>227</v>
      </c>
      <c r="G1015">
        <v>95</v>
      </c>
      <c r="H1015">
        <v>11</v>
      </c>
      <c r="U1015" t="s">
        <v>16659</v>
      </c>
    </row>
    <row r="1016" spans="2:21" x14ac:dyDescent="0.25">
      <c r="B1016">
        <v>16537</v>
      </c>
      <c r="C1016" t="s">
        <v>16660</v>
      </c>
      <c r="E1016">
        <v>244</v>
      </c>
      <c r="F1016">
        <v>227</v>
      </c>
      <c r="G1016">
        <v>95</v>
      </c>
      <c r="H1016">
        <v>10</v>
      </c>
      <c r="T1016" t="s">
        <v>16661</v>
      </c>
    </row>
    <row r="1017" spans="2:21" x14ac:dyDescent="0.25">
      <c r="B1017">
        <v>16538</v>
      </c>
      <c r="C1017" t="s">
        <v>16662</v>
      </c>
      <c r="E1017">
        <v>244</v>
      </c>
      <c r="F1017">
        <v>227</v>
      </c>
      <c r="G1017">
        <v>95</v>
      </c>
      <c r="H1017">
        <v>11</v>
      </c>
      <c r="U1017" t="s">
        <v>16663</v>
      </c>
    </row>
    <row r="1018" spans="2:21" x14ac:dyDescent="0.25">
      <c r="B1018">
        <v>16539</v>
      </c>
      <c r="C1018" t="s">
        <v>16664</v>
      </c>
      <c r="E1018">
        <v>255</v>
      </c>
      <c r="F1018">
        <v>229</v>
      </c>
      <c r="G1018">
        <v>36</v>
      </c>
      <c r="H1018">
        <v>7</v>
      </c>
      <c r="R1018" t="s">
        <v>16665</v>
      </c>
    </row>
    <row r="1019" spans="2:21" x14ac:dyDescent="0.25">
      <c r="B1019">
        <v>16540</v>
      </c>
      <c r="C1019" t="s">
        <v>16666</v>
      </c>
      <c r="E1019">
        <v>255</v>
      </c>
      <c r="F1019">
        <v>229</v>
      </c>
      <c r="G1019">
        <v>36</v>
      </c>
      <c r="H1019">
        <v>9</v>
      </c>
      <c r="S1019" t="s">
        <v>16667</v>
      </c>
    </row>
    <row r="1020" spans="2:21" x14ac:dyDescent="0.25">
      <c r="B1020">
        <v>16541</v>
      </c>
      <c r="C1020" t="s">
        <v>16668</v>
      </c>
      <c r="E1020">
        <v>244</v>
      </c>
      <c r="F1020">
        <v>227</v>
      </c>
      <c r="G1020">
        <v>95</v>
      </c>
      <c r="H1020">
        <v>9</v>
      </c>
      <c r="S1020" t="s">
        <v>16669</v>
      </c>
    </row>
    <row r="1021" spans="2:21" x14ac:dyDescent="0.25">
      <c r="B1021">
        <v>16542</v>
      </c>
      <c r="C1021" t="s">
        <v>16670</v>
      </c>
      <c r="E1021">
        <v>244</v>
      </c>
      <c r="F1021">
        <v>227</v>
      </c>
      <c r="G1021">
        <v>95</v>
      </c>
      <c r="H1021">
        <v>10</v>
      </c>
      <c r="T1021" t="s">
        <v>16671</v>
      </c>
    </row>
    <row r="1022" spans="2:21" x14ac:dyDescent="0.25">
      <c r="B1022">
        <v>16543</v>
      </c>
      <c r="C1022" t="s">
        <v>16672</v>
      </c>
      <c r="E1022">
        <v>244</v>
      </c>
      <c r="F1022">
        <v>227</v>
      </c>
      <c r="G1022">
        <v>95</v>
      </c>
      <c r="H1022">
        <v>11</v>
      </c>
      <c r="U1022" t="s">
        <v>16673</v>
      </c>
    </row>
    <row r="1023" spans="2:21" x14ac:dyDescent="0.25">
      <c r="B1023">
        <v>16544</v>
      </c>
      <c r="C1023" t="s">
        <v>16674</v>
      </c>
      <c r="E1023">
        <v>244</v>
      </c>
      <c r="F1023">
        <v>227</v>
      </c>
      <c r="G1023">
        <v>95</v>
      </c>
      <c r="H1023">
        <v>10</v>
      </c>
      <c r="T1023" t="s">
        <v>16675</v>
      </c>
    </row>
    <row r="1024" spans="2:21" x14ac:dyDescent="0.25">
      <c r="B1024">
        <v>16545</v>
      </c>
      <c r="C1024" t="s">
        <v>16676</v>
      </c>
      <c r="E1024">
        <v>244</v>
      </c>
      <c r="F1024">
        <v>227</v>
      </c>
      <c r="G1024">
        <v>95</v>
      </c>
      <c r="H1024">
        <v>11</v>
      </c>
      <c r="U1024" t="s">
        <v>16677</v>
      </c>
    </row>
    <row r="1025" spans="2:21" x14ac:dyDescent="0.25">
      <c r="B1025">
        <v>16546</v>
      </c>
      <c r="C1025" t="s">
        <v>16678</v>
      </c>
      <c r="E1025">
        <v>244</v>
      </c>
      <c r="F1025">
        <v>227</v>
      </c>
      <c r="G1025">
        <v>95</v>
      </c>
      <c r="H1025">
        <v>10</v>
      </c>
      <c r="T1025" t="s">
        <v>16679</v>
      </c>
    </row>
    <row r="1026" spans="2:21" x14ac:dyDescent="0.25">
      <c r="B1026">
        <v>16547</v>
      </c>
      <c r="C1026" t="s">
        <v>16680</v>
      </c>
      <c r="E1026">
        <v>244</v>
      </c>
      <c r="F1026">
        <v>227</v>
      </c>
      <c r="G1026">
        <v>95</v>
      </c>
      <c r="H1026">
        <v>11</v>
      </c>
      <c r="U1026" t="s">
        <v>16681</v>
      </c>
    </row>
    <row r="1027" spans="2:21" x14ac:dyDescent="0.25">
      <c r="B1027">
        <v>16548</v>
      </c>
      <c r="C1027" t="s">
        <v>16682</v>
      </c>
      <c r="E1027">
        <v>255</v>
      </c>
      <c r="F1027">
        <v>229</v>
      </c>
      <c r="G1027">
        <v>36</v>
      </c>
      <c r="H1027">
        <v>6</v>
      </c>
      <c r="Q1027" t="s">
        <v>16683</v>
      </c>
    </row>
    <row r="1028" spans="2:21" x14ac:dyDescent="0.25">
      <c r="B1028">
        <v>111220600</v>
      </c>
      <c r="C1028" t="s">
        <v>16684</v>
      </c>
      <c r="E1028">
        <v>255</v>
      </c>
      <c r="F1028">
        <v>229</v>
      </c>
      <c r="G1028">
        <v>36</v>
      </c>
      <c r="H1028">
        <v>9</v>
      </c>
      <c r="R1028" t="s">
        <v>16685</v>
      </c>
    </row>
    <row r="1029" spans="2:21" x14ac:dyDescent="0.25">
      <c r="B1029">
        <v>111220602</v>
      </c>
      <c r="C1029" t="s">
        <v>16686</v>
      </c>
      <c r="E1029">
        <v>244</v>
      </c>
      <c r="F1029">
        <v>227</v>
      </c>
      <c r="G1029">
        <v>95</v>
      </c>
      <c r="H1029">
        <v>9</v>
      </c>
      <c r="R1029" t="s">
        <v>16687</v>
      </c>
    </row>
    <row r="1030" spans="2:21" x14ac:dyDescent="0.25">
      <c r="B1030">
        <v>16549</v>
      </c>
      <c r="C1030" t="s">
        <v>16688</v>
      </c>
      <c r="E1030">
        <v>255</v>
      </c>
      <c r="F1030">
        <v>229</v>
      </c>
      <c r="G1030">
        <v>36</v>
      </c>
      <c r="H1030">
        <v>7</v>
      </c>
      <c r="R1030" t="s">
        <v>16689</v>
      </c>
    </row>
    <row r="1031" spans="2:21" x14ac:dyDescent="0.25">
      <c r="B1031">
        <v>16550</v>
      </c>
      <c r="C1031" t="s">
        <v>16690</v>
      </c>
      <c r="E1031">
        <v>255</v>
      </c>
      <c r="F1031">
        <v>229</v>
      </c>
      <c r="G1031">
        <v>36</v>
      </c>
      <c r="H1031">
        <v>9</v>
      </c>
      <c r="S1031" t="s">
        <v>16691</v>
      </c>
    </row>
    <row r="1032" spans="2:21" x14ac:dyDescent="0.25">
      <c r="B1032">
        <v>16551</v>
      </c>
      <c r="C1032" t="s">
        <v>16692</v>
      </c>
      <c r="E1032">
        <v>244</v>
      </c>
      <c r="F1032">
        <v>227</v>
      </c>
      <c r="G1032">
        <v>95</v>
      </c>
      <c r="H1032">
        <v>9</v>
      </c>
      <c r="S1032" t="s">
        <v>16693</v>
      </c>
    </row>
    <row r="1033" spans="2:21" x14ac:dyDescent="0.25">
      <c r="B1033">
        <v>16552</v>
      </c>
      <c r="C1033" t="s">
        <v>16694</v>
      </c>
      <c r="E1033">
        <v>244</v>
      </c>
      <c r="F1033">
        <v>227</v>
      </c>
      <c r="G1033">
        <v>95</v>
      </c>
      <c r="H1033">
        <v>10</v>
      </c>
      <c r="T1033" t="s">
        <v>16695</v>
      </c>
    </row>
    <row r="1034" spans="2:21" x14ac:dyDescent="0.25">
      <c r="B1034">
        <v>16553</v>
      </c>
      <c r="C1034" t="s">
        <v>16696</v>
      </c>
      <c r="E1034">
        <v>244</v>
      </c>
      <c r="F1034">
        <v>227</v>
      </c>
      <c r="G1034">
        <v>95</v>
      </c>
      <c r="H1034">
        <v>11</v>
      </c>
      <c r="U1034" t="s">
        <v>16697</v>
      </c>
    </row>
    <row r="1035" spans="2:21" x14ac:dyDescent="0.25">
      <c r="B1035">
        <v>16554</v>
      </c>
      <c r="C1035" t="s">
        <v>16698</v>
      </c>
      <c r="E1035">
        <v>244</v>
      </c>
      <c r="F1035">
        <v>227</v>
      </c>
      <c r="G1035">
        <v>95</v>
      </c>
      <c r="H1035">
        <v>10</v>
      </c>
      <c r="T1035" t="s">
        <v>16699</v>
      </c>
    </row>
    <row r="1036" spans="2:21" x14ac:dyDescent="0.25">
      <c r="B1036">
        <v>16555</v>
      </c>
      <c r="C1036" t="s">
        <v>16700</v>
      </c>
      <c r="E1036">
        <v>244</v>
      </c>
      <c r="F1036">
        <v>227</v>
      </c>
      <c r="G1036">
        <v>95</v>
      </c>
      <c r="H1036">
        <v>11</v>
      </c>
      <c r="U1036" t="s">
        <v>16701</v>
      </c>
    </row>
    <row r="1037" spans="2:21" x14ac:dyDescent="0.25">
      <c r="B1037">
        <v>16556</v>
      </c>
      <c r="C1037" t="s">
        <v>16702</v>
      </c>
      <c r="E1037">
        <v>244</v>
      </c>
      <c r="F1037">
        <v>227</v>
      </c>
      <c r="G1037">
        <v>95</v>
      </c>
      <c r="H1037">
        <v>11</v>
      </c>
      <c r="U1037" t="s">
        <v>16703</v>
      </c>
    </row>
    <row r="1038" spans="2:21" x14ac:dyDescent="0.25">
      <c r="B1038">
        <v>16557</v>
      </c>
      <c r="C1038" t="s">
        <v>16704</v>
      </c>
      <c r="E1038">
        <v>244</v>
      </c>
      <c r="F1038">
        <v>227</v>
      </c>
      <c r="G1038">
        <v>95</v>
      </c>
      <c r="H1038">
        <v>10</v>
      </c>
      <c r="T1038" t="s">
        <v>16705</v>
      </c>
    </row>
    <row r="1039" spans="2:21" x14ac:dyDescent="0.25">
      <c r="B1039">
        <v>16558</v>
      </c>
      <c r="C1039" t="s">
        <v>16706</v>
      </c>
      <c r="E1039">
        <v>244</v>
      </c>
      <c r="F1039">
        <v>227</v>
      </c>
      <c r="G1039">
        <v>95</v>
      </c>
      <c r="H1039">
        <v>11</v>
      </c>
      <c r="U1039" t="s">
        <v>16707</v>
      </c>
    </row>
    <row r="1040" spans="2:21" x14ac:dyDescent="0.25">
      <c r="B1040">
        <v>16559</v>
      </c>
      <c r="C1040" t="s">
        <v>16708</v>
      </c>
      <c r="E1040">
        <v>255</v>
      </c>
      <c r="F1040">
        <v>229</v>
      </c>
      <c r="G1040">
        <v>36</v>
      </c>
      <c r="H1040">
        <v>7</v>
      </c>
      <c r="R1040" t="s">
        <v>16709</v>
      </c>
    </row>
    <row r="1041" spans="2:21" x14ac:dyDescent="0.25">
      <c r="B1041">
        <v>16560</v>
      </c>
      <c r="C1041" t="s">
        <v>16710</v>
      </c>
      <c r="E1041">
        <v>255</v>
      </c>
      <c r="F1041">
        <v>229</v>
      </c>
      <c r="G1041">
        <v>36</v>
      </c>
      <c r="H1041">
        <v>9</v>
      </c>
      <c r="S1041" t="s">
        <v>16711</v>
      </c>
    </row>
    <row r="1042" spans="2:21" x14ac:dyDescent="0.25">
      <c r="B1042">
        <v>16561</v>
      </c>
      <c r="C1042" t="s">
        <v>16712</v>
      </c>
      <c r="E1042">
        <v>244</v>
      </c>
      <c r="F1042">
        <v>227</v>
      </c>
      <c r="G1042">
        <v>95</v>
      </c>
      <c r="H1042">
        <v>9</v>
      </c>
      <c r="S1042" t="s">
        <v>16713</v>
      </c>
    </row>
    <row r="1043" spans="2:21" x14ac:dyDescent="0.25">
      <c r="B1043">
        <v>16562</v>
      </c>
      <c r="C1043" t="s">
        <v>16714</v>
      </c>
      <c r="E1043">
        <v>244</v>
      </c>
      <c r="F1043">
        <v>227</v>
      </c>
      <c r="G1043">
        <v>95</v>
      </c>
      <c r="H1043">
        <v>10</v>
      </c>
      <c r="T1043" t="s">
        <v>16715</v>
      </c>
    </row>
    <row r="1044" spans="2:21" x14ac:dyDescent="0.25">
      <c r="B1044">
        <v>16563</v>
      </c>
      <c r="C1044" t="s">
        <v>16716</v>
      </c>
      <c r="E1044">
        <v>244</v>
      </c>
      <c r="F1044">
        <v>227</v>
      </c>
      <c r="G1044">
        <v>95</v>
      </c>
      <c r="H1044">
        <v>11</v>
      </c>
      <c r="U1044" t="s">
        <v>16717</v>
      </c>
    </row>
    <row r="1045" spans="2:21" x14ac:dyDescent="0.25">
      <c r="B1045">
        <v>16564</v>
      </c>
      <c r="C1045" t="s">
        <v>16718</v>
      </c>
      <c r="E1045">
        <v>244</v>
      </c>
      <c r="F1045">
        <v>227</v>
      </c>
      <c r="G1045">
        <v>95</v>
      </c>
      <c r="H1045">
        <v>10</v>
      </c>
      <c r="T1045" t="s">
        <v>16719</v>
      </c>
    </row>
    <row r="1046" spans="2:21" x14ac:dyDescent="0.25">
      <c r="B1046">
        <v>16565</v>
      </c>
      <c r="C1046" t="s">
        <v>16720</v>
      </c>
      <c r="E1046">
        <v>244</v>
      </c>
      <c r="F1046">
        <v>227</v>
      </c>
      <c r="G1046">
        <v>95</v>
      </c>
      <c r="H1046">
        <v>11</v>
      </c>
      <c r="U1046" t="s">
        <v>16721</v>
      </c>
    </row>
    <row r="1047" spans="2:21" x14ac:dyDescent="0.25">
      <c r="B1047">
        <v>16566</v>
      </c>
      <c r="C1047" t="s">
        <v>16722</v>
      </c>
      <c r="E1047">
        <v>244</v>
      </c>
      <c r="F1047">
        <v>227</v>
      </c>
      <c r="G1047">
        <v>95</v>
      </c>
      <c r="H1047">
        <v>11</v>
      </c>
      <c r="U1047" t="s">
        <v>16723</v>
      </c>
    </row>
    <row r="1048" spans="2:21" x14ac:dyDescent="0.25">
      <c r="B1048">
        <v>16567</v>
      </c>
      <c r="C1048" t="s">
        <v>16724</v>
      </c>
      <c r="E1048">
        <v>244</v>
      </c>
      <c r="F1048">
        <v>227</v>
      </c>
      <c r="G1048">
        <v>95</v>
      </c>
      <c r="H1048">
        <v>10</v>
      </c>
      <c r="T1048" t="s">
        <v>16725</v>
      </c>
    </row>
    <row r="1049" spans="2:21" x14ac:dyDescent="0.25">
      <c r="B1049">
        <v>16568</v>
      </c>
      <c r="C1049" t="s">
        <v>16726</v>
      </c>
      <c r="E1049">
        <v>244</v>
      </c>
      <c r="F1049">
        <v>227</v>
      </c>
      <c r="G1049">
        <v>95</v>
      </c>
      <c r="H1049">
        <v>11</v>
      </c>
      <c r="U1049" t="s">
        <v>16727</v>
      </c>
    </row>
    <row r="1050" spans="2:21" x14ac:dyDescent="0.25">
      <c r="B1050">
        <v>16569</v>
      </c>
      <c r="C1050" t="s">
        <v>16728</v>
      </c>
      <c r="E1050">
        <v>255</v>
      </c>
      <c r="F1050">
        <v>229</v>
      </c>
      <c r="G1050">
        <v>36</v>
      </c>
      <c r="H1050">
        <v>7</v>
      </c>
      <c r="R1050" t="s">
        <v>16729</v>
      </c>
    </row>
    <row r="1051" spans="2:21" x14ac:dyDescent="0.25">
      <c r="B1051">
        <v>16570</v>
      </c>
      <c r="C1051" t="s">
        <v>16730</v>
      </c>
      <c r="E1051">
        <v>255</v>
      </c>
      <c r="F1051">
        <v>229</v>
      </c>
      <c r="G1051">
        <v>36</v>
      </c>
      <c r="H1051">
        <v>9</v>
      </c>
      <c r="S1051" t="s">
        <v>16731</v>
      </c>
    </row>
    <row r="1052" spans="2:21" x14ac:dyDescent="0.25">
      <c r="B1052">
        <v>16571</v>
      </c>
      <c r="C1052" t="s">
        <v>16732</v>
      </c>
      <c r="E1052">
        <v>244</v>
      </c>
      <c r="F1052">
        <v>227</v>
      </c>
      <c r="G1052">
        <v>95</v>
      </c>
      <c r="H1052">
        <v>9</v>
      </c>
      <c r="S1052" t="s">
        <v>16733</v>
      </c>
    </row>
    <row r="1053" spans="2:21" x14ac:dyDescent="0.25">
      <c r="B1053">
        <v>16572</v>
      </c>
      <c r="C1053" t="s">
        <v>16734</v>
      </c>
      <c r="E1053">
        <v>244</v>
      </c>
      <c r="F1053">
        <v>227</v>
      </c>
      <c r="G1053">
        <v>95</v>
      </c>
      <c r="H1053">
        <v>10</v>
      </c>
      <c r="T1053" t="s">
        <v>16735</v>
      </c>
    </row>
    <row r="1054" spans="2:21" x14ac:dyDescent="0.25">
      <c r="B1054">
        <v>16573</v>
      </c>
      <c r="C1054" t="s">
        <v>16736</v>
      </c>
      <c r="E1054">
        <v>244</v>
      </c>
      <c r="F1054">
        <v>227</v>
      </c>
      <c r="G1054">
        <v>95</v>
      </c>
      <c r="H1054">
        <v>11</v>
      </c>
      <c r="U1054" t="s">
        <v>16737</v>
      </c>
    </row>
    <row r="1055" spans="2:21" x14ac:dyDescent="0.25">
      <c r="B1055">
        <v>16574</v>
      </c>
      <c r="C1055" t="s">
        <v>16738</v>
      </c>
      <c r="E1055">
        <v>244</v>
      </c>
      <c r="F1055">
        <v>227</v>
      </c>
      <c r="G1055">
        <v>95</v>
      </c>
      <c r="H1055">
        <v>10</v>
      </c>
      <c r="T1055" t="s">
        <v>16739</v>
      </c>
    </row>
    <row r="1056" spans="2:21" x14ac:dyDescent="0.25">
      <c r="B1056">
        <v>16575</v>
      </c>
      <c r="C1056" t="s">
        <v>16740</v>
      </c>
      <c r="E1056">
        <v>244</v>
      </c>
      <c r="F1056">
        <v>227</v>
      </c>
      <c r="G1056">
        <v>95</v>
      </c>
      <c r="H1056">
        <v>11</v>
      </c>
      <c r="U1056" t="s">
        <v>16741</v>
      </c>
    </row>
    <row r="1057" spans="2:21" x14ac:dyDescent="0.25">
      <c r="B1057">
        <v>16576</v>
      </c>
      <c r="C1057" t="s">
        <v>16742</v>
      </c>
      <c r="E1057">
        <v>244</v>
      </c>
      <c r="F1057">
        <v>227</v>
      </c>
      <c r="G1057">
        <v>95</v>
      </c>
      <c r="H1057">
        <v>10</v>
      </c>
      <c r="T1057" t="s">
        <v>16743</v>
      </c>
    </row>
    <row r="1058" spans="2:21" x14ac:dyDescent="0.25">
      <c r="B1058">
        <v>16577</v>
      </c>
      <c r="C1058" t="s">
        <v>16744</v>
      </c>
      <c r="E1058">
        <v>244</v>
      </c>
      <c r="F1058">
        <v>227</v>
      </c>
      <c r="G1058">
        <v>95</v>
      </c>
      <c r="H1058">
        <v>11</v>
      </c>
      <c r="U1058" t="s">
        <v>16745</v>
      </c>
    </row>
    <row r="1059" spans="2:21" x14ac:dyDescent="0.25">
      <c r="B1059">
        <v>16578</v>
      </c>
      <c r="C1059" t="s">
        <v>16746</v>
      </c>
      <c r="E1059">
        <v>255</v>
      </c>
      <c r="F1059">
        <v>229</v>
      </c>
      <c r="G1059">
        <v>36</v>
      </c>
      <c r="H1059">
        <v>6</v>
      </c>
      <c r="Q1059" t="s">
        <v>16747</v>
      </c>
    </row>
    <row r="1060" spans="2:21" x14ac:dyDescent="0.25">
      <c r="B1060">
        <v>111220604</v>
      </c>
      <c r="C1060" t="s">
        <v>16748</v>
      </c>
      <c r="E1060">
        <v>255</v>
      </c>
      <c r="F1060">
        <v>229</v>
      </c>
      <c r="G1060">
        <v>36</v>
      </c>
      <c r="H1060">
        <v>9</v>
      </c>
      <c r="R1060" t="s">
        <v>16749</v>
      </c>
    </row>
    <row r="1061" spans="2:21" x14ac:dyDescent="0.25">
      <c r="B1061">
        <v>111220606</v>
      </c>
      <c r="C1061" t="s">
        <v>16750</v>
      </c>
      <c r="E1061">
        <v>244</v>
      </c>
      <c r="F1061">
        <v>227</v>
      </c>
      <c r="G1061">
        <v>95</v>
      </c>
      <c r="H1061">
        <v>9</v>
      </c>
      <c r="R1061" t="s">
        <v>16751</v>
      </c>
    </row>
    <row r="1062" spans="2:21" x14ac:dyDescent="0.25">
      <c r="B1062">
        <v>16579</v>
      </c>
      <c r="C1062" t="s">
        <v>16752</v>
      </c>
      <c r="E1062">
        <v>255</v>
      </c>
      <c r="F1062">
        <v>229</v>
      </c>
      <c r="G1062">
        <v>36</v>
      </c>
      <c r="H1062">
        <v>7</v>
      </c>
      <c r="R1062" t="s">
        <v>16753</v>
      </c>
    </row>
    <row r="1063" spans="2:21" x14ac:dyDescent="0.25">
      <c r="B1063">
        <v>16580</v>
      </c>
      <c r="C1063" t="s">
        <v>16754</v>
      </c>
      <c r="E1063">
        <v>255</v>
      </c>
      <c r="F1063">
        <v>229</v>
      </c>
      <c r="G1063">
        <v>36</v>
      </c>
      <c r="H1063">
        <v>9</v>
      </c>
      <c r="S1063" t="s">
        <v>16755</v>
      </c>
    </row>
    <row r="1064" spans="2:21" x14ac:dyDescent="0.25">
      <c r="B1064">
        <v>16581</v>
      </c>
      <c r="C1064" t="s">
        <v>16756</v>
      </c>
      <c r="E1064">
        <v>244</v>
      </c>
      <c r="F1064">
        <v>227</v>
      </c>
      <c r="G1064">
        <v>95</v>
      </c>
      <c r="H1064">
        <v>9</v>
      </c>
      <c r="S1064" t="s">
        <v>16757</v>
      </c>
    </row>
    <row r="1065" spans="2:21" x14ac:dyDescent="0.25">
      <c r="B1065">
        <v>16582</v>
      </c>
      <c r="C1065" t="s">
        <v>16758</v>
      </c>
      <c r="E1065">
        <v>244</v>
      </c>
      <c r="F1065">
        <v>227</v>
      </c>
      <c r="G1065">
        <v>95</v>
      </c>
      <c r="H1065">
        <v>10</v>
      </c>
      <c r="T1065" t="s">
        <v>16759</v>
      </c>
    </row>
    <row r="1066" spans="2:21" x14ac:dyDescent="0.25">
      <c r="B1066">
        <v>16583</v>
      </c>
      <c r="C1066" t="s">
        <v>16760</v>
      </c>
      <c r="E1066">
        <v>244</v>
      </c>
      <c r="F1066">
        <v>227</v>
      </c>
      <c r="G1066">
        <v>95</v>
      </c>
      <c r="H1066">
        <v>11</v>
      </c>
      <c r="U1066" t="s">
        <v>16761</v>
      </c>
    </row>
    <row r="1067" spans="2:21" x14ac:dyDescent="0.25">
      <c r="B1067">
        <v>16584</v>
      </c>
      <c r="C1067" t="s">
        <v>16762</v>
      </c>
      <c r="E1067">
        <v>244</v>
      </c>
      <c r="F1067">
        <v>227</v>
      </c>
      <c r="G1067">
        <v>95</v>
      </c>
      <c r="H1067">
        <v>10</v>
      </c>
      <c r="T1067" t="s">
        <v>16763</v>
      </c>
    </row>
    <row r="1068" spans="2:21" x14ac:dyDescent="0.25">
      <c r="B1068">
        <v>16585</v>
      </c>
      <c r="C1068" t="s">
        <v>16764</v>
      </c>
      <c r="E1068">
        <v>244</v>
      </c>
      <c r="F1068">
        <v>227</v>
      </c>
      <c r="G1068">
        <v>95</v>
      </c>
      <c r="H1068">
        <v>11</v>
      </c>
      <c r="U1068" t="s">
        <v>702</v>
      </c>
    </row>
    <row r="1069" spans="2:21" x14ac:dyDescent="0.25">
      <c r="B1069">
        <v>16586</v>
      </c>
      <c r="C1069" t="s">
        <v>16765</v>
      </c>
      <c r="E1069">
        <v>244</v>
      </c>
      <c r="F1069">
        <v>227</v>
      </c>
      <c r="G1069">
        <v>95</v>
      </c>
      <c r="H1069">
        <v>11</v>
      </c>
      <c r="U1069" t="s">
        <v>704</v>
      </c>
    </row>
    <row r="1070" spans="2:21" x14ac:dyDescent="0.25">
      <c r="B1070">
        <v>16587</v>
      </c>
      <c r="C1070" t="s">
        <v>16766</v>
      </c>
      <c r="E1070">
        <v>244</v>
      </c>
      <c r="F1070">
        <v>227</v>
      </c>
      <c r="G1070">
        <v>95</v>
      </c>
      <c r="H1070">
        <v>11</v>
      </c>
      <c r="U1070" t="s">
        <v>16767</v>
      </c>
    </row>
    <row r="1071" spans="2:21" x14ac:dyDescent="0.25">
      <c r="B1071">
        <v>16588</v>
      </c>
      <c r="C1071" t="s">
        <v>16768</v>
      </c>
      <c r="E1071">
        <v>244</v>
      </c>
      <c r="F1071">
        <v>227</v>
      </c>
      <c r="G1071">
        <v>95</v>
      </c>
      <c r="H1071">
        <v>10</v>
      </c>
      <c r="T1071" t="s">
        <v>16769</v>
      </c>
    </row>
    <row r="1072" spans="2:21" x14ac:dyDescent="0.25">
      <c r="B1072">
        <v>16589</v>
      </c>
      <c r="C1072" t="s">
        <v>16770</v>
      </c>
      <c r="E1072">
        <v>244</v>
      </c>
      <c r="F1072">
        <v>227</v>
      </c>
      <c r="G1072">
        <v>95</v>
      </c>
      <c r="H1072">
        <v>11</v>
      </c>
      <c r="U1072" t="s">
        <v>706</v>
      </c>
    </row>
    <row r="1073" spans="2:21" x14ac:dyDescent="0.25">
      <c r="B1073">
        <v>16590</v>
      </c>
      <c r="C1073" t="s">
        <v>16771</v>
      </c>
      <c r="E1073">
        <v>244</v>
      </c>
      <c r="F1073">
        <v>227</v>
      </c>
      <c r="G1073">
        <v>95</v>
      </c>
      <c r="H1073">
        <v>11</v>
      </c>
      <c r="U1073" t="s">
        <v>708</v>
      </c>
    </row>
    <row r="1074" spans="2:21" x14ac:dyDescent="0.25">
      <c r="B1074">
        <v>16591</v>
      </c>
      <c r="C1074" t="s">
        <v>16772</v>
      </c>
      <c r="E1074">
        <v>255</v>
      </c>
      <c r="F1074">
        <v>229</v>
      </c>
      <c r="G1074">
        <v>36</v>
      </c>
      <c r="H1074">
        <v>7</v>
      </c>
      <c r="R1074" t="s">
        <v>16773</v>
      </c>
    </row>
    <row r="1075" spans="2:21" x14ac:dyDescent="0.25">
      <c r="B1075">
        <v>16592</v>
      </c>
      <c r="C1075" t="s">
        <v>16774</v>
      </c>
      <c r="E1075">
        <v>255</v>
      </c>
      <c r="F1075">
        <v>229</v>
      </c>
      <c r="G1075">
        <v>36</v>
      </c>
      <c r="H1075">
        <v>9</v>
      </c>
      <c r="S1075" t="s">
        <v>16775</v>
      </c>
    </row>
    <row r="1076" spans="2:21" x14ac:dyDescent="0.25">
      <c r="B1076">
        <v>16593</v>
      </c>
      <c r="C1076" t="s">
        <v>16776</v>
      </c>
      <c r="E1076">
        <v>244</v>
      </c>
      <c r="F1076">
        <v>227</v>
      </c>
      <c r="G1076">
        <v>95</v>
      </c>
      <c r="H1076">
        <v>9</v>
      </c>
      <c r="S1076" t="s">
        <v>16777</v>
      </c>
    </row>
    <row r="1077" spans="2:21" x14ac:dyDescent="0.25">
      <c r="B1077">
        <v>16594</v>
      </c>
      <c r="C1077" t="s">
        <v>16778</v>
      </c>
      <c r="E1077">
        <v>244</v>
      </c>
      <c r="F1077">
        <v>227</v>
      </c>
      <c r="G1077">
        <v>95</v>
      </c>
      <c r="H1077">
        <v>10</v>
      </c>
      <c r="T1077" t="s">
        <v>16779</v>
      </c>
    </row>
    <row r="1078" spans="2:21" x14ac:dyDescent="0.25">
      <c r="B1078">
        <v>16595</v>
      </c>
      <c r="C1078" t="s">
        <v>16780</v>
      </c>
      <c r="E1078">
        <v>244</v>
      </c>
      <c r="F1078">
        <v>227</v>
      </c>
      <c r="G1078">
        <v>95</v>
      </c>
      <c r="H1078">
        <v>11</v>
      </c>
      <c r="U1078" t="s">
        <v>16781</v>
      </c>
    </row>
    <row r="1079" spans="2:21" x14ac:dyDescent="0.25">
      <c r="B1079">
        <v>16596</v>
      </c>
      <c r="C1079" t="s">
        <v>16782</v>
      </c>
      <c r="E1079">
        <v>244</v>
      </c>
      <c r="F1079">
        <v>227</v>
      </c>
      <c r="G1079">
        <v>95</v>
      </c>
      <c r="H1079">
        <v>10</v>
      </c>
      <c r="T1079" t="s">
        <v>16783</v>
      </c>
    </row>
    <row r="1080" spans="2:21" x14ac:dyDescent="0.25">
      <c r="B1080">
        <v>16597</v>
      </c>
      <c r="C1080" t="s">
        <v>16784</v>
      </c>
      <c r="E1080">
        <v>244</v>
      </c>
      <c r="F1080">
        <v>227</v>
      </c>
      <c r="G1080">
        <v>95</v>
      </c>
      <c r="H1080">
        <v>11</v>
      </c>
      <c r="U1080" t="s">
        <v>16785</v>
      </c>
    </row>
    <row r="1081" spans="2:21" x14ac:dyDescent="0.25">
      <c r="B1081">
        <v>16598</v>
      </c>
      <c r="C1081" t="s">
        <v>16786</v>
      </c>
      <c r="E1081">
        <v>244</v>
      </c>
      <c r="F1081">
        <v>227</v>
      </c>
      <c r="G1081">
        <v>95</v>
      </c>
      <c r="H1081">
        <v>11</v>
      </c>
      <c r="U1081" t="s">
        <v>710</v>
      </c>
    </row>
    <row r="1082" spans="2:21" x14ac:dyDescent="0.25">
      <c r="B1082">
        <v>16599</v>
      </c>
      <c r="C1082" t="s">
        <v>16787</v>
      </c>
      <c r="E1082">
        <v>244</v>
      </c>
      <c r="F1082">
        <v>227</v>
      </c>
      <c r="G1082">
        <v>95</v>
      </c>
      <c r="H1082">
        <v>11</v>
      </c>
      <c r="U1082" t="s">
        <v>16788</v>
      </c>
    </row>
    <row r="1083" spans="2:21" x14ac:dyDescent="0.25">
      <c r="B1083">
        <v>16600</v>
      </c>
      <c r="C1083" t="s">
        <v>16789</v>
      </c>
      <c r="E1083">
        <v>244</v>
      </c>
      <c r="F1083">
        <v>227</v>
      </c>
      <c r="G1083">
        <v>95</v>
      </c>
      <c r="H1083">
        <v>10</v>
      </c>
      <c r="T1083" t="s">
        <v>16790</v>
      </c>
    </row>
    <row r="1084" spans="2:21" x14ac:dyDescent="0.25">
      <c r="B1084">
        <v>16601</v>
      </c>
      <c r="C1084" t="s">
        <v>16791</v>
      </c>
      <c r="E1084">
        <v>244</v>
      </c>
      <c r="F1084">
        <v>227</v>
      </c>
      <c r="G1084">
        <v>95</v>
      </c>
      <c r="H1084">
        <v>11</v>
      </c>
      <c r="U1084" t="s">
        <v>16792</v>
      </c>
    </row>
    <row r="1085" spans="2:21" x14ac:dyDescent="0.25">
      <c r="B1085">
        <v>16602</v>
      </c>
      <c r="C1085" t="s">
        <v>16793</v>
      </c>
      <c r="E1085">
        <v>255</v>
      </c>
      <c r="F1085">
        <v>229</v>
      </c>
      <c r="G1085">
        <v>36</v>
      </c>
      <c r="H1085">
        <v>7</v>
      </c>
      <c r="R1085" t="s">
        <v>16794</v>
      </c>
    </row>
    <row r="1086" spans="2:21" x14ac:dyDescent="0.25">
      <c r="B1086">
        <v>16603</v>
      </c>
      <c r="C1086" t="s">
        <v>16795</v>
      </c>
      <c r="E1086">
        <v>255</v>
      </c>
      <c r="F1086">
        <v>229</v>
      </c>
      <c r="G1086">
        <v>36</v>
      </c>
      <c r="H1086">
        <v>9</v>
      </c>
      <c r="S1086" t="s">
        <v>16796</v>
      </c>
    </row>
    <row r="1087" spans="2:21" x14ac:dyDescent="0.25">
      <c r="B1087">
        <v>16604</v>
      </c>
      <c r="C1087" t="s">
        <v>16797</v>
      </c>
      <c r="E1087">
        <v>244</v>
      </c>
      <c r="F1087">
        <v>227</v>
      </c>
      <c r="G1087">
        <v>95</v>
      </c>
      <c r="H1087">
        <v>9</v>
      </c>
      <c r="S1087" t="s">
        <v>16798</v>
      </c>
    </row>
    <row r="1088" spans="2:21" x14ac:dyDescent="0.25">
      <c r="B1088">
        <v>16605</v>
      </c>
      <c r="C1088" t="s">
        <v>16799</v>
      </c>
      <c r="E1088">
        <v>244</v>
      </c>
      <c r="F1088">
        <v>227</v>
      </c>
      <c r="G1088">
        <v>95</v>
      </c>
      <c r="H1088">
        <v>10</v>
      </c>
      <c r="T1088" t="s">
        <v>16800</v>
      </c>
    </row>
    <row r="1089" spans="2:21" x14ac:dyDescent="0.25">
      <c r="B1089">
        <v>16606</v>
      </c>
      <c r="C1089" t="s">
        <v>16801</v>
      </c>
      <c r="E1089">
        <v>244</v>
      </c>
      <c r="F1089">
        <v>227</v>
      </c>
      <c r="G1089">
        <v>95</v>
      </c>
      <c r="H1089">
        <v>11</v>
      </c>
      <c r="U1089" t="s">
        <v>16802</v>
      </c>
    </row>
    <row r="1090" spans="2:21" x14ac:dyDescent="0.25">
      <c r="B1090">
        <v>16607</v>
      </c>
      <c r="C1090" t="s">
        <v>16803</v>
      </c>
      <c r="E1090">
        <v>244</v>
      </c>
      <c r="F1090">
        <v>227</v>
      </c>
      <c r="G1090">
        <v>95</v>
      </c>
      <c r="H1090">
        <v>10</v>
      </c>
      <c r="T1090" t="s">
        <v>16804</v>
      </c>
    </row>
    <row r="1091" spans="2:21" x14ac:dyDescent="0.25">
      <c r="B1091">
        <v>16608</v>
      </c>
      <c r="C1091" t="s">
        <v>16805</v>
      </c>
      <c r="E1091">
        <v>244</v>
      </c>
      <c r="F1091">
        <v>227</v>
      </c>
      <c r="G1091">
        <v>95</v>
      </c>
      <c r="H1091">
        <v>11</v>
      </c>
      <c r="U1091" t="s">
        <v>16806</v>
      </c>
    </row>
    <row r="1092" spans="2:21" x14ac:dyDescent="0.25">
      <c r="B1092">
        <v>16609</v>
      </c>
      <c r="C1092" t="s">
        <v>16807</v>
      </c>
      <c r="E1092">
        <v>244</v>
      </c>
      <c r="F1092">
        <v>227</v>
      </c>
      <c r="G1092">
        <v>95</v>
      </c>
      <c r="H1092">
        <v>11</v>
      </c>
      <c r="U1092" t="s">
        <v>16808</v>
      </c>
    </row>
    <row r="1093" spans="2:21" x14ac:dyDescent="0.25">
      <c r="B1093">
        <v>16610</v>
      </c>
      <c r="C1093" t="s">
        <v>16809</v>
      </c>
      <c r="E1093">
        <v>244</v>
      </c>
      <c r="F1093">
        <v>227</v>
      </c>
      <c r="G1093">
        <v>95</v>
      </c>
      <c r="H1093">
        <v>10</v>
      </c>
      <c r="T1093" t="s">
        <v>16810</v>
      </c>
    </row>
    <row r="1094" spans="2:21" x14ac:dyDescent="0.25">
      <c r="B1094">
        <v>16611</v>
      </c>
      <c r="C1094" t="s">
        <v>16811</v>
      </c>
      <c r="E1094">
        <v>244</v>
      </c>
      <c r="F1094">
        <v>227</v>
      </c>
      <c r="G1094">
        <v>95</v>
      </c>
      <c r="H1094">
        <v>11</v>
      </c>
      <c r="U1094" t="s">
        <v>16812</v>
      </c>
    </row>
    <row r="1095" spans="2:21" x14ac:dyDescent="0.25">
      <c r="B1095">
        <v>16612</v>
      </c>
      <c r="C1095" t="s">
        <v>16813</v>
      </c>
      <c r="E1095">
        <v>255</v>
      </c>
      <c r="F1095">
        <v>229</v>
      </c>
      <c r="G1095">
        <v>36</v>
      </c>
      <c r="H1095">
        <v>6</v>
      </c>
      <c r="Q1095" t="s">
        <v>16814</v>
      </c>
    </row>
    <row r="1096" spans="2:21" x14ac:dyDescent="0.25">
      <c r="B1096">
        <v>111220608</v>
      </c>
      <c r="C1096" t="s">
        <v>16815</v>
      </c>
      <c r="E1096">
        <v>255</v>
      </c>
      <c r="F1096">
        <v>229</v>
      </c>
      <c r="G1096">
        <v>36</v>
      </c>
      <c r="H1096">
        <v>9</v>
      </c>
      <c r="R1096" t="s">
        <v>16816</v>
      </c>
    </row>
    <row r="1097" spans="2:21" x14ac:dyDescent="0.25">
      <c r="B1097">
        <v>111220610</v>
      </c>
      <c r="C1097" t="s">
        <v>16817</v>
      </c>
      <c r="E1097">
        <v>244</v>
      </c>
      <c r="F1097">
        <v>227</v>
      </c>
      <c r="G1097">
        <v>95</v>
      </c>
      <c r="H1097">
        <v>9</v>
      </c>
      <c r="R1097" t="s">
        <v>16818</v>
      </c>
    </row>
    <row r="1098" spans="2:21" x14ac:dyDescent="0.25">
      <c r="B1098">
        <v>16613</v>
      </c>
      <c r="C1098" t="s">
        <v>16819</v>
      </c>
      <c r="E1098">
        <v>255</v>
      </c>
      <c r="F1098">
        <v>229</v>
      </c>
      <c r="G1098">
        <v>36</v>
      </c>
      <c r="H1098">
        <v>7</v>
      </c>
      <c r="R1098" t="s">
        <v>16820</v>
      </c>
    </row>
    <row r="1099" spans="2:21" x14ac:dyDescent="0.25">
      <c r="B1099">
        <v>16614</v>
      </c>
      <c r="C1099" t="s">
        <v>16821</v>
      </c>
      <c r="E1099">
        <v>255</v>
      </c>
      <c r="F1099">
        <v>229</v>
      </c>
      <c r="G1099">
        <v>36</v>
      </c>
      <c r="H1099">
        <v>9</v>
      </c>
      <c r="S1099" t="s">
        <v>16822</v>
      </c>
    </row>
    <row r="1100" spans="2:21" x14ac:dyDescent="0.25">
      <c r="B1100">
        <v>16615</v>
      </c>
      <c r="C1100" t="s">
        <v>16823</v>
      </c>
      <c r="E1100">
        <v>244</v>
      </c>
      <c r="F1100">
        <v>227</v>
      </c>
      <c r="G1100">
        <v>95</v>
      </c>
      <c r="H1100">
        <v>9</v>
      </c>
      <c r="S1100" t="s">
        <v>16824</v>
      </c>
    </row>
    <row r="1101" spans="2:21" x14ac:dyDescent="0.25">
      <c r="B1101">
        <v>16616</v>
      </c>
      <c r="C1101" t="s">
        <v>16825</v>
      </c>
      <c r="E1101">
        <v>244</v>
      </c>
      <c r="F1101">
        <v>227</v>
      </c>
      <c r="G1101">
        <v>95</v>
      </c>
      <c r="H1101">
        <v>10</v>
      </c>
      <c r="T1101" t="s">
        <v>16826</v>
      </c>
    </row>
    <row r="1102" spans="2:21" x14ac:dyDescent="0.25">
      <c r="B1102">
        <v>16617</v>
      </c>
      <c r="C1102" t="s">
        <v>16827</v>
      </c>
      <c r="E1102">
        <v>244</v>
      </c>
      <c r="F1102">
        <v>227</v>
      </c>
      <c r="G1102">
        <v>95</v>
      </c>
      <c r="H1102">
        <v>11</v>
      </c>
      <c r="U1102" t="s">
        <v>16828</v>
      </c>
    </row>
    <row r="1103" spans="2:21" x14ac:dyDescent="0.25">
      <c r="B1103">
        <v>16618</v>
      </c>
      <c r="C1103" t="s">
        <v>16829</v>
      </c>
      <c r="E1103">
        <v>244</v>
      </c>
      <c r="F1103">
        <v>227</v>
      </c>
      <c r="G1103">
        <v>95</v>
      </c>
      <c r="H1103">
        <v>10</v>
      </c>
      <c r="T1103" t="s">
        <v>16830</v>
      </c>
    </row>
    <row r="1104" spans="2:21" x14ac:dyDescent="0.25">
      <c r="B1104">
        <v>16619</v>
      </c>
      <c r="C1104" t="s">
        <v>16831</v>
      </c>
      <c r="E1104">
        <v>244</v>
      </c>
      <c r="F1104">
        <v>227</v>
      </c>
      <c r="G1104">
        <v>95</v>
      </c>
      <c r="H1104">
        <v>11</v>
      </c>
      <c r="U1104" t="s">
        <v>16832</v>
      </c>
    </row>
    <row r="1105" spans="2:21" x14ac:dyDescent="0.25">
      <c r="B1105">
        <v>16621</v>
      </c>
      <c r="C1105" t="s">
        <v>16833</v>
      </c>
      <c r="E1105">
        <v>244</v>
      </c>
      <c r="F1105">
        <v>227</v>
      </c>
      <c r="G1105">
        <v>95</v>
      </c>
      <c r="H1105">
        <v>10</v>
      </c>
      <c r="T1105" t="s">
        <v>16834</v>
      </c>
    </row>
    <row r="1106" spans="2:21" x14ac:dyDescent="0.25">
      <c r="B1106">
        <v>16622</v>
      </c>
      <c r="C1106" t="s">
        <v>16835</v>
      </c>
      <c r="E1106">
        <v>244</v>
      </c>
      <c r="F1106">
        <v>227</v>
      </c>
      <c r="G1106">
        <v>95</v>
      </c>
      <c r="H1106">
        <v>11</v>
      </c>
      <c r="U1106" t="s">
        <v>16836</v>
      </c>
    </row>
    <row r="1107" spans="2:21" x14ac:dyDescent="0.25">
      <c r="B1107">
        <v>16623</v>
      </c>
      <c r="C1107" t="s">
        <v>16837</v>
      </c>
      <c r="E1107">
        <v>204</v>
      </c>
      <c r="F1107">
        <v>183</v>
      </c>
      <c r="G1107">
        <v>29</v>
      </c>
      <c r="H1107">
        <v>4</v>
      </c>
      <c r="O1107" t="s">
        <v>16838</v>
      </c>
    </row>
    <row r="1108" spans="2:21" x14ac:dyDescent="0.25">
      <c r="B1108">
        <v>16624</v>
      </c>
      <c r="C1108" t="s">
        <v>16839</v>
      </c>
      <c r="E1108">
        <v>204</v>
      </c>
      <c r="F1108">
        <v>183</v>
      </c>
      <c r="G1108">
        <v>29</v>
      </c>
      <c r="H1108">
        <v>5</v>
      </c>
      <c r="P1108" t="s">
        <v>16840</v>
      </c>
    </row>
    <row r="1109" spans="2:21" x14ac:dyDescent="0.25">
      <c r="B1109">
        <v>16625</v>
      </c>
      <c r="C1109" t="s">
        <v>16841</v>
      </c>
      <c r="E1109">
        <v>204</v>
      </c>
      <c r="F1109">
        <v>183</v>
      </c>
      <c r="G1109">
        <v>29</v>
      </c>
      <c r="H1109">
        <v>9</v>
      </c>
      <c r="Q1109" t="s">
        <v>16842</v>
      </c>
    </row>
    <row r="1110" spans="2:21" x14ac:dyDescent="0.25">
      <c r="B1110">
        <v>16626</v>
      </c>
      <c r="C1110" t="s">
        <v>16843</v>
      </c>
      <c r="E1110">
        <v>230</v>
      </c>
      <c r="F1110">
        <v>206</v>
      </c>
      <c r="G1110">
        <v>32</v>
      </c>
      <c r="H1110">
        <v>9</v>
      </c>
      <c r="Q1110" t="s">
        <v>16844</v>
      </c>
    </row>
    <row r="1111" spans="2:21" x14ac:dyDescent="0.25">
      <c r="B1111">
        <v>16627</v>
      </c>
      <c r="C1111" t="s">
        <v>16845</v>
      </c>
      <c r="E1111">
        <v>230</v>
      </c>
      <c r="F1111">
        <v>206</v>
      </c>
      <c r="G1111">
        <v>32</v>
      </c>
      <c r="H1111">
        <v>10</v>
      </c>
      <c r="R1111" t="s">
        <v>16846</v>
      </c>
    </row>
    <row r="1112" spans="2:21" x14ac:dyDescent="0.25">
      <c r="B1112">
        <v>16628</v>
      </c>
      <c r="C1112" t="s">
        <v>16847</v>
      </c>
      <c r="E1112">
        <v>230</v>
      </c>
      <c r="F1112">
        <v>206</v>
      </c>
      <c r="G1112">
        <v>32</v>
      </c>
      <c r="H1112">
        <v>11</v>
      </c>
      <c r="S1112" t="s">
        <v>16848</v>
      </c>
    </row>
    <row r="1113" spans="2:21" x14ac:dyDescent="0.25">
      <c r="B1113">
        <v>16629</v>
      </c>
      <c r="C1113" t="s">
        <v>16849</v>
      </c>
      <c r="E1113">
        <v>230</v>
      </c>
      <c r="F1113">
        <v>206</v>
      </c>
      <c r="G1113">
        <v>32</v>
      </c>
      <c r="H1113">
        <v>11</v>
      </c>
      <c r="S1113" t="s">
        <v>1482</v>
      </c>
    </row>
    <row r="1114" spans="2:21" x14ac:dyDescent="0.25">
      <c r="B1114">
        <v>16630</v>
      </c>
      <c r="C1114" t="s">
        <v>16850</v>
      </c>
      <c r="E1114">
        <v>230</v>
      </c>
      <c r="F1114">
        <v>206</v>
      </c>
      <c r="G1114">
        <v>32</v>
      </c>
      <c r="H1114">
        <v>11</v>
      </c>
      <c r="S1114" t="s">
        <v>16851</v>
      </c>
    </row>
    <row r="1115" spans="2:21" x14ac:dyDescent="0.25">
      <c r="B1115">
        <v>16631</v>
      </c>
      <c r="C1115" t="s">
        <v>16852</v>
      </c>
      <c r="E1115">
        <v>230</v>
      </c>
      <c r="F1115">
        <v>206</v>
      </c>
      <c r="G1115">
        <v>32</v>
      </c>
      <c r="H1115">
        <v>10</v>
      </c>
      <c r="R1115" t="s">
        <v>16853</v>
      </c>
    </row>
    <row r="1116" spans="2:21" x14ac:dyDescent="0.25">
      <c r="B1116">
        <v>16620</v>
      </c>
      <c r="C1116" t="s">
        <v>16854</v>
      </c>
      <c r="E1116">
        <v>230</v>
      </c>
      <c r="F1116">
        <v>206</v>
      </c>
      <c r="G1116">
        <v>32</v>
      </c>
      <c r="H1116">
        <v>11</v>
      </c>
      <c r="S1116" t="s">
        <v>16855</v>
      </c>
    </row>
    <row r="1117" spans="2:21" x14ac:dyDescent="0.25">
      <c r="B1117">
        <v>16632</v>
      </c>
      <c r="C1117" t="s">
        <v>16856</v>
      </c>
      <c r="E1117">
        <v>230</v>
      </c>
      <c r="F1117">
        <v>206</v>
      </c>
      <c r="G1117">
        <v>32</v>
      </c>
      <c r="H1117">
        <v>11</v>
      </c>
      <c r="S1117" t="s">
        <v>16857</v>
      </c>
    </row>
    <row r="1118" spans="2:21" x14ac:dyDescent="0.25">
      <c r="B1118">
        <v>16633</v>
      </c>
      <c r="C1118" t="s">
        <v>16858</v>
      </c>
      <c r="E1118">
        <v>230</v>
      </c>
      <c r="F1118">
        <v>206</v>
      </c>
      <c r="G1118">
        <v>32</v>
      </c>
      <c r="H1118">
        <v>11</v>
      </c>
      <c r="S1118" t="s">
        <v>2112</v>
      </c>
    </row>
    <row r="1119" spans="2:21" x14ac:dyDescent="0.25">
      <c r="B1119">
        <v>16634</v>
      </c>
      <c r="C1119" t="s">
        <v>16859</v>
      </c>
      <c r="E1119">
        <v>230</v>
      </c>
      <c r="F1119">
        <v>206</v>
      </c>
      <c r="G1119">
        <v>32</v>
      </c>
      <c r="H1119">
        <v>11</v>
      </c>
      <c r="S1119" t="s">
        <v>16860</v>
      </c>
    </row>
    <row r="1120" spans="2:21" x14ac:dyDescent="0.25">
      <c r="B1120">
        <v>16635</v>
      </c>
      <c r="C1120" t="s">
        <v>16861</v>
      </c>
      <c r="E1120">
        <v>230</v>
      </c>
      <c r="F1120">
        <v>206</v>
      </c>
      <c r="G1120">
        <v>32</v>
      </c>
      <c r="H1120">
        <v>11</v>
      </c>
      <c r="S1120" t="s">
        <v>16862</v>
      </c>
    </row>
    <row r="1121" spans="2:19" x14ac:dyDescent="0.25">
      <c r="B1121">
        <v>16636</v>
      </c>
      <c r="C1121" t="s">
        <v>16863</v>
      </c>
      <c r="E1121">
        <v>230</v>
      </c>
      <c r="F1121">
        <v>206</v>
      </c>
      <c r="G1121">
        <v>32</v>
      </c>
      <c r="H1121">
        <v>10</v>
      </c>
      <c r="R1121" t="s">
        <v>16864</v>
      </c>
    </row>
    <row r="1122" spans="2:19" x14ac:dyDescent="0.25">
      <c r="B1122">
        <v>16637</v>
      </c>
      <c r="C1122" t="s">
        <v>16865</v>
      </c>
      <c r="E1122">
        <v>230</v>
      </c>
      <c r="F1122">
        <v>206</v>
      </c>
      <c r="G1122">
        <v>32</v>
      </c>
      <c r="H1122">
        <v>11</v>
      </c>
      <c r="S1122" t="s">
        <v>16866</v>
      </c>
    </row>
    <row r="1123" spans="2:19" x14ac:dyDescent="0.25">
      <c r="B1123">
        <v>16638</v>
      </c>
      <c r="C1123" t="s">
        <v>16867</v>
      </c>
      <c r="E1123">
        <v>230</v>
      </c>
      <c r="F1123">
        <v>206</v>
      </c>
      <c r="G1123">
        <v>32</v>
      </c>
      <c r="H1123">
        <v>11</v>
      </c>
      <c r="S1123" t="s">
        <v>16868</v>
      </c>
    </row>
    <row r="1124" spans="2:19" x14ac:dyDescent="0.25">
      <c r="B1124">
        <v>16639</v>
      </c>
      <c r="C1124" t="s">
        <v>16869</v>
      </c>
      <c r="E1124">
        <v>230</v>
      </c>
      <c r="F1124">
        <v>206</v>
      </c>
      <c r="G1124">
        <v>32</v>
      </c>
      <c r="H1124">
        <v>11</v>
      </c>
      <c r="S1124" t="s">
        <v>16870</v>
      </c>
    </row>
    <row r="1125" spans="2:19" x14ac:dyDescent="0.25">
      <c r="B1125">
        <v>16640</v>
      </c>
      <c r="C1125" t="s">
        <v>16871</v>
      </c>
      <c r="E1125">
        <v>230</v>
      </c>
      <c r="F1125">
        <v>206</v>
      </c>
      <c r="G1125">
        <v>32</v>
      </c>
      <c r="H1125">
        <v>11</v>
      </c>
      <c r="S1125" t="s">
        <v>16872</v>
      </c>
    </row>
    <row r="1126" spans="2:19" x14ac:dyDescent="0.25">
      <c r="B1126">
        <v>16641</v>
      </c>
      <c r="C1126" t="s">
        <v>16873</v>
      </c>
      <c r="E1126">
        <v>179</v>
      </c>
      <c r="F1126">
        <v>160</v>
      </c>
      <c r="G1126">
        <v>25</v>
      </c>
      <c r="H1126">
        <v>5</v>
      </c>
      <c r="P1126" t="s">
        <v>16874</v>
      </c>
    </row>
    <row r="1127" spans="2:19" x14ac:dyDescent="0.25">
      <c r="B1127">
        <v>16642</v>
      </c>
      <c r="C1127" t="s">
        <v>16875</v>
      </c>
      <c r="E1127">
        <v>166</v>
      </c>
      <c r="F1127">
        <v>149</v>
      </c>
      <c r="G1127">
        <v>23</v>
      </c>
      <c r="H1127">
        <v>9</v>
      </c>
      <c r="Q1127" t="s">
        <v>16876</v>
      </c>
    </row>
    <row r="1128" spans="2:19" x14ac:dyDescent="0.25">
      <c r="B1128">
        <v>16643</v>
      </c>
      <c r="C1128" t="s">
        <v>16877</v>
      </c>
      <c r="E1128">
        <v>204</v>
      </c>
      <c r="F1128">
        <v>183</v>
      </c>
      <c r="G1128">
        <v>29</v>
      </c>
      <c r="H1128">
        <v>9</v>
      </c>
      <c r="Q1128" t="s">
        <v>16878</v>
      </c>
    </row>
    <row r="1129" spans="2:19" x14ac:dyDescent="0.25">
      <c r="B1129">
        <v>16644</v>
      </c>
      <c r="C1129" t="s">
        <v>16879</v>
      </c>
      <c r="E1129">
        <v>204</v>
      </c>
      <c r="F1129">
        <v>183</v>
      </c>
      <c r="G1129">
        <v>29</v>
      </c>
      <c r="H1129">
        <v>10</v>
      </c>
      <c r="R1129" t="s">
        <v>16880</v>
      </c>
    </row>
    <row r="1130" spans="2:19" x14ac:dyDescent="0.25">
      <c r="B1130">
        <v>16645</v>
      </c>
      <c r="C1130" t="s">
        <v>16881</v>
      </c>
      <c r="E1130">
        <v>166</v>
      </c>
      <c r="F1130">
        <v>149</v>
      </c>
      <c r="G1130">
        <v>23</v>
      </c>
      <c r="H1130">
        <v>11</v>
      </c>
      <c r="S1130" t="s">
        <v>16882</v>
      </c>
    </row>
    <row r="1131" spans="2:19" x14ac:dyDescent="0.25">
      <c r="B1131">
        <v>16646</v>
      </c>
      <c r="C1131" t="s">
        <v>16883</v>
      </c>
      <c r="E1131">
        <v>204</v>
      </c>
      <c r="F1131">
        <v>183</v>
      </c>
      <c r="G1131">
        <v>29</v>
      </c>
      <c r="H1131">
        <v>10</v>
      </c>
      <c r="R1131" t="s">
        <v>16884</v>
      </c>
    </row>
    <row r="1132" spans="2:19" x14ac:dyDescent="0.25">
      <c r="B1132">
        <v>16647</v>
      </c>
      <c r="C1132" t="s">
        <v>16885</v>
      </c>
      <c r="E1132">
        <v>204</v>
      </c>
      <c r="F1132">
        <v>183</v>
      </c>
      <c r="G1132">
        <v>29</v>
      </c>
      <c r="H1132">
        <v>10</v>
      </c>
      <c r="R1132" t="s">
        <v>16886</v>
      </c>
    </row>
    <row r="1133" spans="2:19" x14ac:dyDescent="0.25">
      <c r="B1133">
        <v>16648</v>
      </c>
      <c r="C1133" t="s">
        <v>16887</v>
      </c>
      <c r="E1133">
        <v>166</v>
      </c>
      <c r="F1133">
        <v>149</v>
      </c>
      <c r="G1133">
        <v>23</v>
      </c>
      <c r="H1133">
        <v>11</v>
      </c>
      <c r="S1133" t="s">
        <v>16888</v>
      </c>
    </row>
    <row r="1134" spans="2:19" x14ac:dyDescent="0.25">
      <c r="B1134">
        <v>16649</v>
      </c>
      <c r="C1134" t="s">
        <v>16889</v>
      </c>
      <c r="E1134">
        <v>23</v>
      </c>
      <c r="F1134">
        <v>179</v>
      </c>
      <c r="G1134">
        <v>23</v>
      </c>
      <c r="H1134">
        <v>1</v>
      </c>
      <c r="L1134" t="s">
        <v>3102</v>
      </c>
    </row>
    <row r="1135" spans="2:19" x14ac:dyDescent="0.25">
      <c r="B1135">
        <v>16650</v>
      </c>
      <c r="C1135" t="s">
        <v>16890</v>
      </c>
      <c r="E1135">
        <v>23</v>
      </c>
      <c r="F1135">
        <v>179</v>
      </c>
      <c r="G1135">
        <v>23</v>
      </c>
      <c r="H1135">
        <v>3</v>
      </c>
      <c r="M1135" t="s">
        <v>3086</v>
      </c>
    </row>
    <row r="1136" spans="2:19" x14ac:dyDescent="0.25">
      <c r="B1136">
        <v>16651</v>
      </c>
      <c r="C1136" t="s">
        <v>16891</v>
      </c>
      <c r="E1136">
        <v>23</v>
      </c>
      <c r="F1136">
        <v>179</v>
      </c>
      <c r="G1136">
        <v>23</v>
      </c>
      <c r="H1136">
        <v>4</v>
      </c>
      <c r="N1136" t="s">
        <v>16892</v>
      </c>
    </row>
    <row r="1137" spans="2:19" x14ac:dyDescent="0.25">
      <c r="B1137">
        <v>16652</v>
      </c>
      <c r="C1137" t="s">
        <v>16893</v>
      </c>
      <c r="E1137">
        <v>137</v>
      </c>
      <c r="F1137">
        <v>216</v>
      </c>
      <c r="G1137">
        <v>137</v>
      </c>
      <c r="H1137">
        <v>5</v>
      </c>
      <c r="O1137" t="s">
        <v>16894</v>
      </c>
    </row>
    <row r="1138" spans="2:19" x14ac:dyDescent="0.25">
      <c r="B1138">
        <v>16653</v>
      </c>
      <c r="C1138" t="s">
        <v>16895</v>
      </c>
      <c r="E1138">
        <v>78</v>
      </c>
      <c r="F1138">
        <v>197</v>
      </c>
      <c r="G1138">
        <v>78</v>
      </c>
      <c r="H1138">
        <v>9</v>
      </c>
      <c r="P1138" t="s">
        <v>16896</v>
      </c>
    </row>
    <row r="1139" spans="2:19" x14ac:dyDescent="0.25">
      <c r="B1139">
        <v>16654</v>
      </c>
      <c r="C1139" t="s">
        <v>16897</v>
      </c>
      <c r="E1139">
        <v>137</v>
      </c>
      <c r="F1139">
        <v>216</v>
      </c>
      <c r="G1139">
        <v>137</v>
      </c>
      <c r="H1139">
        <v>9</v>
      </c>
      <c r="P1139" t="s">
        <v>16898</v>
      </c>
    </row>
    <row r="1140" spans="2:19" x14ac:dyDescent="0.25">
      <c r="B1140">
        <v>114403703</v>
      </c>
      <c r="C1140" t="s">
        <v>16899</v>
      </c>
      <c r="E1140">
        <v>137</v>
      </c>
      <c r="F1140">
        <v>216</v>
      </c>
      <c r="G1140">
        <v>137</v>
      </c>
      <c r="H1140">
        <v>10</v>
      </c>
      <c r="Q1140" t="s">
        <v>16900</v>
      </c>
    </row>
    <row r="1141" spans="2:19" x14ac:dyDescent="0.25">
      <c r="B1141">
        <v>114403707</v>
      </c>
      <c r="C1141" t="s">
        <v>16901</v>
      </c>
      <c r="E1141">
        <v>137</v>
      </c>
      <c r="F1141">
        <v>216</v>
      </c>
      <c r="G1141">
        <v>137</v>
      </c>
      <c r="H1141">
        <v>10</v>
      </c>
      <c r="Q1141" t="s">
        <v>16902</v>
      </c>
    </row>
    <row r="1142" spans="2:19" x14ac:dyDescent="0.25">
      <c r="B1142">
        <v>114403711</v>
      </c>
      <c r="C1142" t="s">
        <v>16903</v>
      </c>
      <c r="E1142">
        <v>137</v>
      </c>
      <c r="F1142">
        <v>216</v>
      </c>
      <c r="G1142">
        <v>137</v>
      </c>
      <c r="H1142">
        <v>10</v>
      </c>
      <c r="Q1142" t="s">
        <v>16904</v>
      </c>
    </row>
    <row r="1143" spans="2:19" x14ac:dyDescent="0.25">
      <c r="B1143">
        <v>16655</v>
      </c>
      <c r="C1143" t="s">
        <v>16905</v>
      </c>
      <c r="E1143">
        <v>137</v>
      </c>
      <c r="F1143">
        <v>216</v>
      </c>
      <c r="G1143">
        <v>137</v>
      </c>
      <c r="H1143">
        <v>11</v>
      </c>
      <c r="Q1143" t="s">
        <v>16906</v>
      </c>
    </row>
    <row r="1144" spans="2:19" x14ac:dyDescent="0.25">
      <c r="B1144">
        <v>16656</v>
      </c>
      <c r="C1144" t="s">
        <v>16907</v>
      </c>
      <c r="E1144">
        <v>137</v>
      </c>
      <c r="F1144">
        <v>216</v>
      </c>
      <c r="G1144">
        <v>137</v>
      </c>
      <c r="H1144">
        <v>11</v>
      </c>
      <c r="Q1144" t="s">
        <v>16908</v>
      </c>
    </row>
    <row r="1145" spans="2:19" x14ac:dyDescent="0.25">
      <c r="B1145">
        <v>16657</v>
      </c>
      <c r="C1145" t="s">
        <v>16909</v>
      </c>
      <c r="E1145">
        <v>137</v>
      </c>
      <c r="F1145">
        <v>216</v>
      </c>
      <c r="G1145">
        <v>137</v>
      </c>
      <c r="H1145">
        <v>11</v>
      </c>
      <c r="Q1145" t="s">
        <v>16910</v>
      </c>
    </row>
    <row r="1146" spans="2:19" x14ac:dyDescent="0.25">
      <c r="B1146">
        <v>16658</v>
      </c>
      <c r="C1146" t="s">
        <v>16911</v>
      </c>
      <c r="E1146">
        <v>23</v>
      </c>
      <c r="F1146">
        <v>179</v>
      </c>
      <c r="G1146">
        <v>23</v>
      </c>
      <c r="H1146">
        <v>5</v>
      </c>
      <c r="O1146" t="s">
        <v>16912</v>
      </c>
    </row>
    <row r="1147" spans="2:19" x14ac:dyDescent="0.25">
      <c r="B1147">
        <v>16659</v>
      </c>
      <c r="C1147" t="s">
        <v>16913</v>
      </c>
      <c r="E1147">
        <v>23</v>
      </c>
      <c r="F1147">
        <v>179</v>
      </c>
      <c r="G1147">
        <v>23</v>
      </c>
      <c r="H1147">
        <v>6</v>
      </c>
      <c r="P1147" t="s">
        <v>16914</v>
      </c>
    </row>
    <row r="1148" spans="2:19" x14ac:dyDescent="0.25">
      <c r="B1148">
        <v>16660</v>
      </c>
      <c r="C1148" t="s">
        <v>16915</v>
      </c>
      <c r="E1148">
        <v>23</v>
      </c>
      <c r="F1148">
        <v>179</v>
      </c>
      <c r="G1148">
        <v>23</v>
      </c>
      <c r="H1148">
        <v>9</v>
      </c>
      <c r="Q1148" t="s">
        <v>16916</v>
      </c>
    </row>
    <row r="1149" spans="2:19" x14ac:dyDescent="0.25">
      <c r="B1149">
        <v>16661</v>
      </c>
      <c r="C1149" t="s">
        <v>16917</v>
      </c>
      <c r="E1149">
        <v>78</v>
      </c>
      <c r="F1149">
        <v>197</v>
      </c>
      <c r="G1149">
        <v>78</v>
      </c>
      <c r="H1149">
        <v>9</v>
      </c>
      <c r="Q1149" t="s">
        <v>16918</v>
      </c>
    </row>
    <row r="1150" spans="2:19" x14ac:dyDescent="0.25">
      <c r="B1150">
        <v>16662</v>
      </c>
      <c r="C1150" t="s">
        <v>16919</v>
      </c>
      <c r="E1150">
        <v>78</v>
      </c>
      <c r="F1150">
        <v>197</v>
      </c>
      <c r="G1150">
        <v>78</v>
      </c>
      <c r="H1150">
        <v>10</v>
      </c>
      <c r="R1150" t="s">
        <v>16920</v>
      </c>
    </row>
    <row r="1151" spans="2:19" x14ac:dyDescent="0.25">
      <c r="B1151">
        <v>16663</v>
      </c>
      <c r="C1151" t="s">
        <v>16921</v>
      </c>
      <c r="E1151">
        <v>78</v>
      </c>
      <c r="F1151">
        <v>197</v>
      </c>
      <c r="G1151">
        <v>78</v>
      </c>
      <c r="H1151">
        <v>11</v>
      </c>
      <c r="S1151" t="s">
        <v>16922</v>
      </c>
    </row>
    <row r="1152" spans="2:19" x14ac:dyDescent="0.25">
      <c r="B1152">
        <v>16664</v>
      </c>
      <c r="C1152" t="s">
        <v>16923</v>
      </c>
      <c r="E1152">
        <v>78</v>
      </c>
      <c r="F1152">
        <v>197</v>
      </c>
      <c r="G1152">
        <v>78</v>
      </c>
      <c r="H1152">
        <v>10</v>
      </c>
      <c r="R1152" t="s">
        <v>16924</v>
      </c>
    </row>
    <row r="1153" spans="2:20" x14ac:dyDescent="0.25">
      <c r="B1153">
        <v>16665</v>
      </c>
      <c r="C1153" t="s">
        <v>16925</v>
      </c>
      <c r="E1153">
        <v>78</v>
      </c>
      <c r="F1153">
        <v>197</v>
      </c>
      <c r="G1153">
        <v>78</v>
      </c>
      <c r="H1153">
        <v>11</v>
      </c>
      <c r="S1153" t="s">
        <v>16926</v>
      </c>
    </row>
    <row r="1154" spans="2:20" x14ac:dyDescent="0.25">
      <c r="B1154">
        <v>16666</v>
      </c>
      <c r="C1154" t="s">
        <v>16927</v>
      </c>
      <c r="E1154">
        <v>78</v>
      </c>
      <c r="F1154">
        <v>197</v>
      </c>
      <c r="G1154">
        <v>78</v>
      </c>
      <c r="H1154">
        <v>10</v>
      </c>
      <c r="R1154" t="s">
        <v>16928</v>
      </c>
    </row>
    <row r="1155" spans="2:20" x14ac:dyDescent="0.25">
      <c r="B1155">
        <v>16667</v>
      </c>
      <c r="C1155" t="s">
        <v>16929</v>
      </c>
      <c r="E1155">
        <v>78</v>
      </c>
      <c r="F1155">
        <v>197</v>
      </c>
      <c r="G1155">
        <v>78</v>
      </c>
      <c r="H1155">
        <v>11</v>
      </c>
      <c r="S1155" t="s">
        <v>16930</v>
      </c>
    </row>
    <row r="1156" spans="2:20" x14ac:dyDescent="0.25">
      <c r="B1156">
        <v>16668</v>
      </c>
      <c r="C1156" t="s">
        <v>16931</v>
      </c>
      <c r="E1156">
        <v>23</v>
      </c>
      <c r="F1156">
        <v>179</v>
      </c>
      <c r="G1156">
        <v>23</v>
      </c>
      <c r="H1156">
        <v>6</v>
      </c>
      <c r="P1156" t="s">
        <v>16932</v>
      </c>
    </row>
    <row r="1157" spans="2:20" x14ac:dyDescent="0.25">
      <c r="B1157">
        <v>16669</v>
      </c>
      <c r="C1157" t="s">
        <v>16933</v>
      </c>
      <c r="E1157">
        <v>23</v>
      </c>
      <c r="F1157">
        <v>179</v>
      </c>
      <c r="G1157">
        <v>23</v>
      </c>
      <c r="H1157">
        <v>7</v>
      </c>
      <c r="Q1157" t="s">
        <v>16934</v>
      </c>
    </row>
    <row r="1158" spans="2:20" x14ac:dyDescent="0.25">
      <c r="B1158">
        <v>16670</v>
      </c>
      <c r="C1158" t="s">
        <v>16935</v>
      </c>
      <c r="E1158">
        <v>23</v>
      </c>
      <c r="F1158">
        <v>179</v>
      </c>
      <c r="G1158">
        <v>23</v>
      </c>
      <c r="H1158">
        <v>9</v>
      </c>
      <c r="R1158" t="s">
        <v>16936</v>
      </c>
    </row>
    <row r="1159" spans="2:20" x14ac:dyDescent="0.25">
      <c r="B1159">
        <v>16671</v>
      </c>
      <c r="C1159" t="s">
        <v>16937</v>
      </c>
      <c r="E1159">
        <v>78</v>
      </c>
      <c r="F1159">
        <v>197</v>
      </c>
      <c r="G1159">
        <v>78</v>
      </c>
      <c r="H1159">
        <v>9</v>
      </c>
      <c r="R1159" t="s">
        <v>16938</v>
      </c>
    </row>
    <row r="1160" spans="2:20" x14ac:dyDescent="0.25">
      <c r="B1160">
        <v>16672</v>
      </c>
      <c r="C1160" t="s">
        <v>16939</v>
      </c>
      <c r="E1160">
        <v>78</v>
      </c>
      <c r="F1160">
        <v>197</v>
      </c>
      <c r="G1160">
        <v>78</v>
      </c>
      <c r="H1160">
        <v>10</v>
      </c>
      <c r="S1160" t="s">
        <v>16940</v>
      </c>
    </row>
    <row r="1161" spans="2:20" x14ac:dyDescent="0.25">
      <c r="B1161">
        <v>16673</v>
      </c>
      <c r="C1161" t="s">
        <v>16941</v>
      </c>
      <c r="E1161">
        <v>78</v>
      </c>
      <c r="F1161">
        <v>197</v>
      </c>
      <c r="G1161">
        <v>78</v>
      </c>
      <c r="H1161">
        <v>11</v>
      </c>
      <c r="T1161" t="s">
        <v>16942</v>
      </c>
    </row>
    <row r="1162" spans="2:20" x14ac:dyDescent="0.25">
      <c r="B1162">
        <v>16674</v>
      </c>
      <c r="C1162" t="s">
        <v>16943</v>
      </c>
      <c r="E1162">
        <v>78</v>
      </c>
      <c r="F1162">
        <v>197</v>
      </c>
      <c r="G1162">
        <v>78</v>
      </c>
      <c r="H1162">
        <v>10</v>
      </c>
      <c r="S1162" t="s">
        <v>16944</v>
      </c>
    </row>
    <row r="1163" spans="2:20" x14ac:dyDescent="0.25">
      <c r="B1163">
        <v>16675</v>
      </c>
      <c r="C1163" t="s">
        <v>16945</v>
      </c>
      <c r="E1163">
        <v>78</v>
      </c>
      <c r="F1163">
        <v>197</v>
      </c>
      <c r="G1163">
        <v>78</v>
      </c>
      <c r="H1163">
        <v>11</v>
      </c>
      <c r="T1163" t="s">
        <v>16946</v>
      </c>
    </row>
    <row r="1164" spans="2:20" x14ac:dyDescent="0.25">
      <c r="B1164">
        <v>16676</v>
      </c>
      <c r="C1164" t="s">
        <v>16947</v>
      </c>
      <c r="E1164">
        <v>78</v>
      </c>
      <c r="F1164">
        <v>197</v>
      </c>
      <c r="G1164">
        <v>78</v>
      </c>
      <c r="H1164">
        <v>10</v>
      </c>
      <c r="S1164" t="s">
        <v>16948</v>
      </c>
    </row>
    <row r="1165" spans="2:20" x14ac:dyDescent="0.25">
      <c r="B1165">
        <v>16677</v>
      </c>
      <c r="C1165" t="s">
        <v>16949</v>
      </c>
      <c r="E1165">
        <v>78</v>
      </c>
      <c r="F1165">
        <v>197</v>
      </c>
      <c r="G1165">
        <v>78</v>
      </c>
      <c r="H1165">
        <v>11</v>
      </c>
      <c r="T1165" t="s">
        <v>16950</v>
      </c>
    </row>
    <row r="1166" spans="2:20" x14ac:dyDescent="0.25">
      <c r="B1166">
        <v>16678</v>
      </c>
      <c r="C1166" t="s">
        <v>16951</v>
      </c>
      <c r="E1166">
        <v>23</v>
      </c>
      <c r="F1166">
        <v>179</v>
      </c>
      <c r="G1166">
        <v>23</v>
      </c>
      <c r="H1166">
        <v>7</v>
      </c>
      <c r="Q1166" t="s">
        <v>14800</v>
      </c>
    </row>
    <row r="1167" spans="2:20" x14ac:dyDescent="0.25">
      <c r="B1167">
        <v>16679</v>
      </c>
      <c r="C1167" t="s">
        <v>16952</v>
      </c>
      <c r="E1167">
        <v>23</v>
      </c>
      <c r="F1167">
        <v>179</v>
      </c>
      <c r="G1167">
        <v>23</v>
      </c>
      <c r="H1167">
        <v>9</v>
      </c>
      <c r="R1167" t="s">
        <v>16953</v>
      </c>
    </row>
    <row r="1168" spans="2:20" x14ac:dyDescent="0.25">
      <c r="B1168">
        <v>16680</v>
      </c>
      <c r="C1168" t="s">
        <v>16954</v>
      </c>
      <c r="E1168">
        <v>78</v>
      </c>
      <c r="F1168">
        <v>197</v>
      </c>
      <c r="G1168">
        <v>78</v>
      </c>
      <c r="H1168">
        <v>9</v>
      </c>
      <c r="R1168" t="s">
        <v>16955</v>
      </c>
    </row>
    <row r="1169" spans="2:20" x14ac:dyDescent="0.25">
      <c r="B1169">
        <v>16681</v>
      </c>
      <c r="C1169" t="s">
        <v>16956</v>
      </c>
      <c r="E1169">
        <v>78</v>
      </c>
      <c r="F1169">
        <v>197</v>
      </c>
      <c r="G1169">
        <v>78</v>
      </c>
      <c r="H1169">
        <v>10</v>
      </c>
      <c r="S1169" t="s">
        <v>16957</v>
      </c>
    </row>
    <row r="1170" spans="2:20" x14ac:dyDescent="0.25">
      <c r="B1170">
        <v>16682</v>
      </c>
      <c r="C1170" t="s">
        <v>16958</v>
      </c>
      <c r="E1170">
        <v>78</v>
      </c>
      <c r="F1170">
        <v>197</v>
      </c>
      <c r="G1170">
        <v>78</v>
      </c>
      <c r="H1170">
        <v>11</v>
      </c>
      <c r="T1170" t="s">
        <v>16959</v>
      </c>
    </row>
    <row r="1171" spans="2:20" x14ac:dyDescent="0.25">
      <c r="B1171">
        <v>16683</v>
      </c>
      <c r="C1171" t="s">
        <v>16960</v>
      </c>
      <c r="E1171">
        <v>78</v>
      </c>
      <c r="F1171">
        <v>197</v>
      </c>
      <c r="G1171">
        <v>78</v>
      </c>
      <c r="H1171">
        <v>11</v>
      </c>
      <c r="T1171" t="s">
        <v>16961</v>
      </c>
    </row>
    <row r="1172" spans="2:20" x14ac:dyDescent="0.25">
      <c r="B1172">
        <v>16684</v>
      </c>
      <c r="C1172" t="s">
        <v>16962</v>
      </c>
      <c r="E1172">
        <v>78</v>
      </c>
      <c r="F1172">
        <v>197</v>
      </c>
      <c r="G1172">
        <v>78</v>
      </c>
      <c r="H1172">
        <v>10</v>
      </c>
      <c r="S1172" t="s">
        <v>16963</v>
      </c>
    </row>
    <row r="1173" spans="2:20" x14ac:dyDescent="0.25">
      <c r="B1173">
        <v>16685</v>
      </c>
      <c r="C1173" t="s">
        <v>16964</v>
      </c>
      <c r="E1173">
        <v>78</v>
      </c>
      <c r="F1173">
        <v>197</v>
      </c>
      <c r="G1173">
        <v>78</v>
      </c>
      <c r="H1173">
        <v>11</v>
      </c>
      <c r="T1173" t="s">
        <v>16965</v>
      </c>
    </row>
    <row r="1174" spans="2:20" x14ac:dyDescent="0.25">
      <c r="B1174">
        <v>16686</v>
      </c>
      <c r="C1174" t="s">
        <v>16966</v>
      </c>
      <c r="E1174">
        <v>78</v>
      </c>
      <c r="F1174">
        <v>197</v>
      </c>
      <c r="G1174">
        <v>78</v>
      </c>
      <c r="H1174">
        <v>11</v>
      </c>
      <c r="T1174" t="s">
        <v>16967</v>
      </c>
    </row>
    <row r="1175" spans="2:20" x14ac:dyDescent="0.25">
      <c r="B1175">
        <v>16687</v>
      </c>
      <c r="C1175" t="s">
        <v>16968</v>
      </c>
      <c r="E1175">
        <v>78</v>
      </c>
      <c r="F1175">
        <v>197</v>
      </c>
      <c r="G1175">
        <v>78</v>
      </c>
      <c r="H1175">
        <v>11</v>
      </c>
      <c r="T1175" t="s">
        <v>16969</v>
      </c>
    </row>
    <row r="1176" spans="2:20" x14ac:dyDescent="0.25">
      <c r="B1176">
        <v>16688</v>
      </c>
      <c r="C1176" t="s">
        <v>16970</v>
      </c>
      <c r="E1176">
        <v>78</v>
      </c>
      <c r="F1176">
        <v>197</v>
      </c>
      <c r="G1176">
        <v>78</v>
      </c>
      <c r="H1176">
        <v>10</v>
      </c>
      <c r="S1176" t="s">
        <v>16971</v>
      </c>
    </row>
    <row r="1177" spans="2:20" x14ac:dyDescent="0.25">
      <c r="B1177">
        <v>16689</v>
      </c>
      <c r="C1177" t="s">
        <v>16972</v>
      </c>
      <c r="E1177">
        <v>78</v>
      </c>
      <c r="F1177">
        <v>197</v>
      </c>
      <c r="G1177">
        <v>78</v>
      </c>
      <c r="H1177">
        <v>11</v>
      </c>
      <c r="T1177" t="s">
        <v>16973</v>
      </c>
    </row>
    <row r="1178" spans="2:20" x14ac:dyDescent="0.25">
      <c r="B1178">
        <v>16690</v>
      </c>
      <c r="C1178" t="s">
        <v>16974</v>
      </c>
      <c r="E1178">
        <v>78</v>
      </c>
      <c r="F1178">
        <v>197</v>
      </c>
      <c r="G1178">
        <v>78</v>
      </c>
      <c r="H1178">
        <v>11</v>
      </c>
      <c r="T1178" t="s">
        <v>16975</v>
      </c>
    </row>
    <row r="1179" spans="2:20" x14ac:dyDescent="0.25">
      <c r="B1179">
        <v>16691</v>
      </c>
      <c r="C1179" t="s">
        <v>16976</v>
      </c>
      <c r="E1179">
        <v>78</v>
      </c>
      <c r="F1179">
        <v>197</v>
      </c>
      <c r="G1179">
        <v>78</v>
      </c>
      <c r="H1179">
        <v>11</v>
      </c>
      <c r="T1179" t="s">
        <v>16977</v>
      </c>
    </row>
    <row r="1180" spans="2:20" x14ac:dyDescent="0.25">
      <c r="B1180">
        <v>16692</v>
      </c>
      <c r="C1180" t="s">
        <v>16978</v>
      </c>
      <c r="E1180">
        <v>23</v>
      </c>
      <c r="F1180">
        <v>179</v>
      </c>
      <c r="G1180">
        <v>23</v>
      </c>
      <c r="H1180">
        <v>7</v>
      </c>
      <c r="Q1180" t="s">
        <v>2357</v>
      </c>
    </row>
    <row r="1181" spans="2:20" x14ac:dyDescent="0.25">
      <c r="B1181">
        <v>16693</v>
      </c>
      <c r="C1181" t="s">
        <v>16979</v>
      </c>
      <c r="E1181">
        <v>23</v>
      </c>
      <c r="F1181">
        <v>179</v>
      </c>
      <c r="G1181">
        <v>23</v>
      </c>
      <c r="H1181">
        <v>9</v>
      </c>
      <c r="R1181" t="s">
        <v>16980</v>
      </c>
    </row>
    <row r="1182" spans="2:20" x14ac:dyDescent="0.25">
      <c r="B1182">
        <v>16694</v>
      </c>
      <c r="C1182" t="s">
        <v>16981</v>
      </c>
      <c r="E1182">
        <v>78</v>
      </c>
      <c r="F1182">
        <v>197</v>
      </c>
      <c r="G1182">
        <v>78</v>
      </c>
      <c r="H1182">
        <v>9</v>
      </c>
      <c r="R1182" t="s">
        <v>16982</v>
      </c>
    </row>
    <row r="1183" spans="2:20" x14ac:dyDescent="0.25">
      <c r="B1183">
        <v>16695</v>
      </c>
      <c r="C1183" t="s">
        <v>16983</v>
      </c>
      <c r="E1183">
        <v>78</v>
      </c>
      <c r="F1183">
        <v>197</v>
      </c>
      <c r="G1183">
        <v>78</v>
      </c>
      <c r="H1183">
        <v>10</v>
      </c>
      <c r="S1183" t="s">
        <v>16984</v>
      </c>
    </row>
    <row r="1184" spans="2:20" x14ac:dyDescent="0.25">
      <c r="B1184">
        <v>16696</v>
      </c>
      <c r="C1184" t="s">
        <v>16985</v>
      </c>
      <c r="E1184">
        <v>78</v>
      </c>
      <c r="F1184">
        <v>197</v>
      </c>
      <c r="G1184">
        <v>78</v>
      </c>
      <c r="H1184">
        <v>11</v>
      </c>
      <c r="T1184" t="s">
        <v>16986</v>
      </c>
    </row>
    <row r="1185" spans="2:20" x14ac:dyDescent="0.25">
      <c r="B1185">
        <v>16697</v>
      </c>
      <c r="C1185" t="s">
        <v>16987</v>
      </c>
      <c r="E1185">
        <v>78</v>
      </c>
      <c r="F1185">
        <v>197</v>
      </c>
      <c r="G1185">
        <v>78</v>
      </c>
      <c r="H1185">
        <v>10</v>
      </c>
      <c r="S1185" t="s">
        <v>16988</v>
      </c>
    </row>
    <row r="1186" spans="2:20" x14ac:dyDescent="0.25">
      <c r="B1186">
        <v>16698</v>
      </c>
      <c r="C1186" t="s">
        <v>16989</v>
      </c>
      <c r="E1186">
        <v>78</v>
      </c>
      <c r="F1186">
        <v>197</v>
      </c>
      <c r="G1186">
        <v>78</v>
      </c>
      <c r="H1186">
        <v>11</v>
      </c>
      <c r="T1186" t="s">
        <v>712</v>
      </c>
    </row>
    <row r="1187" spans="2:20" x14ac:dyDescent="0.25">
      <c r="B1187">
        <v>112892281</v>
      </c>
      <c r="C1187" t="s">
        <v>16990</v>
      </c>
      <c r="E1187">
        <v>78</v>
      </c>
      <c r="F1187">
        <v>197</v>
      </c>
      <c r="G1187">
        <v>78</v>
      </c>
      <c r="H1187">
        <v>11</v>
      </c>
      <c r="T1187" t="s">
        <v>16991</v>
      </c>
    </row>
    <row r="1188" spans="2:20" x14ac:dyDescent="0.25">
      <c r="B1188">
        <v>16699</v>
      </c>
      <c r="C1188" t="s">
        <v>16992</v>
      </c>
      <c r="E1188">
        <v>78</v>
      </c>
      <c r="F1188">
        <v>197</v>
      </c>
      <c r="G1188">
        <v>78</v>
      </c>
      <c r="H1188">
        <v>10</v>
      </c>
      <c r="S1188" t="s">
        <v>16993</v>
      </c>
    </row>
    <row r="1189" spans="2:20" x14ac:dyDescent="0.25">
      <c r="B1189">
        <v>16700</v>
      </c>
      <c r="C1189" t="s">
        <v>16994</v>
      </c>
      <c r="E1189">
        <v>78</v>
      </c>
      <c r="F1189">
        <v>197</v>
      </c>
      <c r="G1189">
        <v>78</v>
      </c>
      <c r="H1189">
        <v>11</v>
      </c>
      <c r="T1189" t="s">
        <v>16995</v>
      </c>
    </row>
    <row r="1190" spans="2:20" x14ac:dyDescent="0.25">
      <c r="B1190">
        <v>16701</v>
      </c>
      <c r="C1190" t="s">
        <v>16996</v>
      </c>
      <c r="E1190">
        <v>78</v>
      </c>
      <c r="F1190">
        <v>197</v>
      </c>
      <c r="G1190">
        <v>78</v>
      </c>
      <c r="H1190">
        <v>11</v>
      </c>
      <c r="T1190" t="s">
        <v>16997</v>
      </c>
    </row>
    <row r="1191" spans="2:20" x14ac:dyDescent="0.25">
      <c r="B1191">
        <v>16702</v>
      </c>
      <c r="C1191" t="s">
        <v>16998</v>
      </c>
      <c r="E1191">
        <v>78</v>
      </c>
      <c r="F1191">
        <v>197</v>
      </c>
      <c r="G1191">
        <v>78</v>
      </c>
      <c r="H1191">
        <v>11</v>
      </c>
      <c r="T1191" t="s">
        <v>16999</v>
      </c>
    </row>
    <row r="1192" spans="2:20" x14ac:dyDescent="0.25">
      <c r="B1192">
        <v>16703</v>
      </c>
      <c r="C1192" t="s">
        <v>17000</v>
      </c>
      <c r="E1192">
        <v>23</v>
      </c>
      <c r="F1192">
        <v>179</v>
      </c>
      <c r="G1192">
        <v>23</v>
      </c>
      <c r="H1192">
        <v>6</v>
      </c>
      <c r="P1192" t="s">
        <v>17001</v>
      </c>
    </row>
    <row r="1193" spans="2:20" x14ac:dyDescent="0.25">
      <c r="B1193">
        <v>16704</v>
      </c>
      <c r="C1193" t="s">
        <v>17002</v>
      </c>
      <c r="E1193">
        <v>23</v>
      </c>
      <c r="F1193">
        <v>179</v>
      </c>
      <c r="G1193">
        <v>23</v>
      </c>
      <c r="H1193">
        <v>9</v>
      </c>
      <c r="Q1193" t="s">
        <v>17003</v>
      </c>
    </row>
    <row r="1194" spans="2:20" x14ac:dyDescent="0.25">
      <c r="B1194">
        <v>16705</v>
      </c>
      <c r="C1194" t="s">
        <v>17004</v>
      </c>
      <c r="E1194">
        <v>78</v>
      </c>
      <c r="F1194">
        <v>197</v>
      </c>
      <c r="G1194">
        <v>78</v>
      </c>
      <c r="H1194">
        <v>9</v>
      </c>
      <c r="Q1194" t="s">
        <v>17005</v>
      </c>
    </row>
    <row r="1195" spans="2:20" x14ac:dyDescent="0.25">
      <c r="B1195">
        <v>16706</v>
      </c>
      <c r="C1195" t="s">
        <v>17006</v>
      </c>
      <c r="E1195">
        <v>78</v>
      </c>
      <c r="F1195">
        <v>197</v>
      </c>
      <c r="G1195">
        <v>78</v>
      </c>
      <c r="H1195">
        <v>10</v>
      </c>
      <c r="R1195" t="s">
        <v>17007</v>
      </c>
    </row>
    <row r="1196" spans="2:20" x14ac:dyDescent="0.25">
      <c r="B1196">
        <v>16707</v>
      </c>
      <c r="C1196" t="s">
        <v>17008</v>
      </c>
      <c r="E1196">
        <v>78</v>
      </c>
      <c r="F1196">
        <v>197</v>
      </c>
      <c r="G1196">
        <v>78</v>
      </c>
      <c r="H1196">
        <v>11</v>
      </c>
      <c r="S1196" t="s">
        <v>17009</v>
      </c>
    </row>
    <row r="1197" spans="2:20" x14ac:dyDescent="0.25">
      <c r="B1197">
        <v>16708</v>
      </c>
      <c r="C1197" t="s">
        <v>17010</v>
      </c>
      <c r="E1197">
        <v>78</v>
      </c>
      <c r="F1197">
        <v>197</v>
      </c>
      <c r="G1197">
        <v>78</v>
      </c>
      <c r="H1197">
        <v>11</v>
      </c>
      <c r="S1197" t="s">
        <v>17011</v>
      </c>
    </row>
    <row r="1198" spans="2:20" x14ac:dyDescent="0.25">
      <c r="B1198">
        <v>16709</v>
      </c>
      <c r="C1198" t="s">
        <v>17012</v>
      </c>
      <c r="E1198">
        <v>78</v>
      </c>
      <c r="F1198">
        <v>197</v>
      </c>
      <c r="G1198">
        <v>78</v>
      </c>
      <c r="H1198">
        <v>11</v>
      </c>
      <c r="S1198" t="s">
        <v>17013</v>
      </c>
    </row>
    <row r="1199" spans="2:20" x14ac:dyDescent="0.25">
      <c r="B1199">
        <v>16710</v>
      </c>
      <c r="C1199" t="s">
        <v>17014</v>
      </c>
      <c r="E1199">
        <v>78</v>
      </c>
      <c r="F1199">
        <v>197</v>
      </c>
      <c r="G1199">
        <v>78</v>
      </c>
      <c r="H1199">
        <v>10</v>
      </c>
      <c r="R1199" t="s">
        <v>17015</v>
      </c>
    </row>
    <row r="1200" spans="2:20" x14ac:dyDescent="0.25">
      <c r="B1200">
        <v>16711</v>
      </c>
      <c r="C1200" t="s">
        <v>17016</v>
      </c>
      <c r="E1200">
        <v>78</v>
      </c>
      <c r="F1200">
        <v>197</v>
      </c>
      <c r="G1200">
        <v>78</v>
      </c>
      <c r="H1200">
        <v>11</v>
      </c>
      <c r="S1200" t="s">
        <v>17017</v>
      </c>
    </row>
    <row r="1201" spans="2:20" x14ac:dyDescent="0.25">
      <c r="B1201">
        <v>16712</v>
      </c>
      <c r="C1201" t="s">
        <v>17018</v>
      </c>
      <c r="E1201">
        <v>78</v>
      </c>
      <c r="F1201">
        <v>197</v>
      </c>
      <c r="G1201">
        <v>78</v>
      </c>
      <c r="H1201">
        <v>11</v>
      </c>
      <c r="S1201" t="s">
        <v>17019</v>
      </c>
    </row>
    <row r="1202" spans="2:20" x14ac:dyDescent="0.25">
      <c r="B1202">
        <v>16713</v>
      </c>
      <c r="C1202" t="s">
        <v>17020</v>
      </c>
      <c r="E1202">
        <v>78</v>
      </c>
      <c r="F1202">
        <v>197</v>
      </c>
      <c r="G1202">
        <v>78</v>
      </c>
      <c r="H1202">
        <v>10</v>
      </c>
      <c r="R1202" t="s">
        <v>17021</v>
      </c>
    </row>
    <row r="1203" spans="2:20" x14ac:dyDescent="0.25">
      <c r="B1203">
        <v>16714</v>
      </c>
      <c r="C1203" t="s">
        <v>17022</v>
      </c>
      <c r="E1203">
        <v>78</v>
      </c>
      <c r="F1203">
        <v>197</v>
      </c>
      <c r="G1203">
        <v>78</v>
      </c>
      <c r="H1203">
        <v>11</v>
      </c>
      <c r="S1203" t="s">
        <v>17023</v>
      </c>
    </row>
    <row r="1204" spans="2:20" x14ac:dyDescent="0.25">
      <c r="B1204">
        <v>16715</v>
      </c>
      <c r="C1204" t="s">
        <v>17024</v>
      </c>
      <c r="E1204">
        <v>78</v>
      </c>
      <c r="F1204">
        <v>197</v>
      </c>
      <c r="G1204">
        <v>78</v>
      </c>
      <c r="H1204">
        <v>11</v>
      </c>
      <c r="S1204" t="s">
        <v>17025</v>
      </c>
    </row>
    <row r="1205" spans="2:20" x14ac:dyDescent="0.25">
      <c r="B1205">
        <v>16716</v>
      </c>
      <c r="C1205" t="s">
        <v>17026</v>
      </c>
      <c r="E1205">
        <v>23</v>
      </c>
      <c r="F1205">
        <v>179</v>
      </c>
      <c r="G1205">
        <v>23</v>
      </c>
      <c r="H1205">
        <v>6</v>
      </c>
      <c r="P1205" t="s">
        <v>17027</v>
      </c>
    </row>
    <row r="1206" spans="2:20" x14ac:dyDescent="0.25">
      <c r="B1206">
        <v>16717</v>
      </c>
      <c r="C1206" t="s">
        <v>17028</v>
      </c>
      <c r="E1206">
        <v>23</v>
      </c>
      <c r="F1206">
        <v>179</v>
      </c>
      <c r="G1206">
        <v>23</v>
      </c>
      <c r="H1206">
        <v>7</v>
      </c>
      <c r="Q1206" t="s">
        <v>17029</v>
      </c>
    </row>
    <row r="1207" spans="2:20" x14ac:dyDescent="0.25">
      <c r="B1207">
        <v>16718</v>
      </c>
      <c r="C1207" t="s">
        <v>17030</v>
      </c>
      <c r="E1207">
        <v>23</v>
      </c>
      <c r="F1207">
        <v>179</v>
      </c>
      <c r="G1207">
        <v>23</v>
      </c>
      <c r="H1207">
        <v>9</v>
      </c>
      <c r="R1207" t="s">
        <v>17031</v>
      </c>
    </row>
    <row r="1208" spans="2:20" x14ac:dyDescent="0.25">
      <c r="B1208">
        <v>16719</v>
      </c>
      <c r="C1208" t="s">
        <v>17032</v>
      </c>
      <c r="E1208">
        <v>78</v>
      </c>
      <c r="F1208">
        <v>197</v>
      </c>
      <c r="G1208">
        <v>78</v>
      </c>
      <c r="H1208">
        <v>9</v>
      </c>
      <c r="R1208" t="s">
        <v>17033</v>
      </c>
    </row>
    <row r="1209" spans="2:20" x14ac:dyDescent="0.25">
      <c r="B1209">
        <v>16720</v>
      </c>
      <c r="C1209" t="s">
        <v>17034</v>
      </c>
      <c r="E1209">
        <v>78</v>
      </c>
      <c r="F1209">
        <v>197</v>
      </c>
      <c r="G1209">
        <v>78</v>
      </c>
      <c r="H1209">
        <v>10</v>
      </c>
      <c r="S1209" t="s">
        <v>17035</v>
      </c>
    </row>
    <row r="1210" spans="2:20" x14ac:dyDescent="0.25">
      <c r="B1210">
        <v>16721</v>
      </c>
      <c r="C1210" t="s">
        <v>17036</v>
      </c>
      <c r="E1210">
        <v>78</v>
      </c>
      <c r="F1210">
        <v>197</v>
      </c>
      <c r="G1210">
        <v>78</v>
      </c>
      <c r="H1210">
        <v>11</v>
      </c>
      <c r="T1210" t="s">
        <v>17037</v>
      </c>
    </row>
    <row r="1211" spans="2:20" x14ac:dyDescent="0.25">
      <c r="B1211">
        <v>16722</v>
      </c>
      <c r="C1211" t="s">
        <v>17038</v>
      </c>
      <c r="E1211">
        <v>78</v>
      </c>
      <c r="F1211">
        <v>197</v>
      </c>
      <c r="G1211">
        <v>78</v>
      </c>
      <c r="H1211">
        <v>10</v>
      </c>
      <c r="S1211" t="s">
        <v>17039</v>
      </c>
    </row>
    <row r="1212" spans="2:20" x14ac:dyDescent="0.25">
      <c r="B1212">
        <v>16723</v>
      </c>
      <c r="C1212" t="s">
        <v>17040</v>
      </c>
      <c r="E1212">
        <v>78</v>
      </c>
      <c r="F1212">
        <v>197</v>
      </c>
      <c r="G1212">
        <v>78</v>
      </c>
      <c r="H1212">
        <v>11</v>
      </c>
      <c r="T1212" t="s">
        <v>17041</v>
      </c>
    </row>
    <row r="1213" spans="2:20" x14ac:dyDescent="0.25">
      <c r="B1213">
        <v>16724</v>
      </c>
      <c r="C1213" t="s">
        <v>17042</v>
      </c>
      <c r="E1213">
        <v>78</v>
      </c>
      <c r="F1213">
        <v>197</v>
      </c>
      <c r="G1213">
        <v>78</v>
      </c>
      <c r="H1213">
        <v>10</v>
      </c>
      <c r="S1213" t="s">
        <v>17043</v>
      </c>
    </row>
    <row r="1214" spans="2:20" x14ac:dyDescent="0.25">
      <c r="B1214">
        <v>16725</v>
      </c>
      <c r="C1214" t="s">
        <v>17044</v>
      </c>
      <c r="E1214">
        <v>18</v>
      </c>
      <c r="F1214">
        <v>143</v>
      </c>
      <c r="G1214">
        <v>18</v>
      </c>
      <c r="H1214">
        <v>4</v>
      </c>
      <c r="N1214" t="s">
        <v>17045</v>
      </c>
    </row>
    <row r="1215" spans="2:20" x14ac:dyDescent="0.25">
      <c r="B1215">
        <v>16726</v>
      </c>
      <c r="C1215" t="s">
        <v>17046</v>
      </c>
      <c r="E1215">
        <v>18</v>
      </c>
      <c r="F1215">
        <v>143</v>
      </c>
      <c r="G1215">
        <v>18</v>
      </c>
      <c r="H1215">
        <v>5</v>
      </c>
      <c r="O1215" t="s">
        <v>17047</v>
      </c>
    </row>
    <row r="1216" spans="2:20" x14ac:dyDescent="0.25">
      <c r="B1216">
        <v>16727</v>
      </c>
      <c r="C1216" t="s">
        <v>17048</v>
      </c>
      <c r="E1216">
        <v>18</v>
      </c>
      <c r="F1216">
        <v>143</v>
      </c>
      <c r="G1216">
        <v>18</v>
      </c>
      <c r="H1216">
        <v>9</v>
      </c>
      <c r="P1216" t="s">
        <v>17049</v>
      </c>
    </row>
    <row r="1217" spans="2:18" x14ac:dyDescent="0.25">
      <c r="B1217">
        <v>16728</v>
      </c>
      <c r="C1217" t="s">
        <v>17050</v>
      </c>
      <c r="E1217">
        <v>69</v>
      </c>
      <c r="F1217">
        <v>172</v>
      </c>
      <c r="G1217">
        <v>71</v>
      </c>
      <c r="H1217">
        <v>9</v>
      </c>
      <c r="P1217" t="s">
        <v>17051</v>
      </c>
    </row>
    <row r="1218" spans="2:18" x14ac:dyDescent="0.25">
      <c r="B1218">
        <v>16729</v>
      </c>
      <c r="C1218" t="s">
        <v>17052</v>
      </c>
      <c r="E1218">
        <v>69</v>
      </c>
      <c r="F1218">
        <v>172</v>
      </c>
      <c r="G1218">
        <v>71</v>
      </c>
      <c r="H1218">
        <v>10</v>
      </c>
      <c r="Q1218" t="s">
        <v>17053</v>
      </c>
    </row>
    <row r="1219" spans="2:18" x14ac:dyDescent="0.25">
      <c r="B1219">
        <v>16730</v>
      </c>
      <c r="C1219" t="s">
        <v>17054</v>
      </c>
      <c r="E1219">
        <v>69</v>
      </c>
      <c r="F1219">
        <v>172</v>
      </c>
      <c r="G1219">
        <v>71</v>
      </c>
      <c r="H1219">
        <v>11</v>
      </c>
      <c r="R1219" t="s">
        <v>17055</v>
      </c>
    </row>
    <row r="1220" spans="2:18" x14ac:dyDescent="0.25">
      <c r="B1220">
        <v>16731</v>
      </c>
      <c r="C1220" t="s">
        <v>17056</v>
      </c>
      <c r="E1220">
        <v>69</v>
      </c>
      <c r="F1220">
        <v>172</v>
      </c>
      <c r="G1220">
        <v>71</v>
      </c>
      <c r="H1220">
        <v>11</v>
      </c>
      <c r="R1220" t="s">
        <v>17057</v>
      </c>
    </row>
    <row r="1221" spans="2:18" x14ac:dyDescent="0.25">
      <c r="B1221">
        <v>16732</v>
      </c>
      <c r="C1221" t="s">
        <v>17058</v>
      </c>
      <c r="E1221">
        <v>69</v>
      </c>
      <c r="F1221">
        <v>172</v>
      </c>
      <c r="G1221">
        <v>71</v>
      </c>
      <c r="H1221">
        <v>10</v>
      </c>
      <c r="Q1221" t="s">
        <v>17059</v>
      </c>
    </row>
    <row r="1222" spans="2:18" x14ac:dyDescent="0.25">
      <c r="B1222">
        <v>16748</v>
      </c>
      <c r="C1222" t="s">
        <v>17060</v>
      </c>
      <c r="E1222">
        <v>69</v>
      </c>
      <c r="F1222">
        <v>172</v>
      </c>
      <c r="G1222">
        <v>71</v>
      </c>
      <c r="H1222">
        <v>11</v>
      </c>
      <c r="R1222" t="s">
        <v>4904</v>
      </c>
    </row>
    <row r="1223" spans="2:18" x14ac:dyDescent="0.25">
      <c r="B1223">
        <v>16733</v>
      </c>
      <c r="C1223" t="s">
        <v>17061</v>
      </c>
      <c r="E1223">
        <v>69</v>
      </c>
      <c r="F1223">
        <v>172</v>
      </c>
      <c r="G1223">
        <v>71</v>
      </c>
      <c r="H1223">
        <v>11</v>
      </c>
      <c r="R1223" t="s">
        <v>17062</v>
      </c>
    </row>
    <row r="1224" spans="2:18" x14ac:dyDescent="0.25">
      <c r="B1224">
        <v>16734</v>
      </c>
      <c r="C1224" t="s">
        <v>17063</v>
      </c>
      <c r="E1224">
        <v>69</v>
      </c>
      <c r="F1224">
        <v>172</v>
      </c>
      <c r="G1224">
        <v>71</v>
      </c>
      <c r="H1224">
        <v>11</v>
      </c>
      <c r="R1224" t="s">
        <v>17064</v>
      </c>
    </row>
    <row r="1225" spans="2:18" x14ac:dyDescent="0.25">
      <c r="B1225">
        <v>16735</v>
      </c>
      <c r="C1225" t="s">
        <v>17065</v>
      </c>
      <c r="E1225">
        <v>69</v>
      </c>
      <c r="F1225">
        <v>172</v>
      </c>
      <c r="G1225">
        <v>71</v>
      </c>
      <c r="H1225">
        <v>11</v>
      </c>
      <c r="R1225" t="s">
        <v>17066</v>
      </c>
    </row>
    <row r="1226" spans="2:18" x14ac:dyDescent="0.25">
      <c r="B1226">
        <v>16736</v>
      </c>
      <c r="C1226" t="s">
        <v>17067</v>
      </c>
      <c r="E1226">
        <v>69</v>
      </c>
      <c r="F1226">
        <v>172</v>
      </c>
      <c r="G1226">
        <v>71</v>
      </c>
      <c r="H1226">
        <v>11</v>
      </c>
      <c r="R1226" t="s">
        <v>17068</v>
      </c>
    </row>
    <row r="1227" spans="2:18" x14ac:dyDescent="0.25">
      <c r="B1227">
        <v>16737</v>
      </c>
      <c r="C1227" t="s">
        <v>17069</v>
      </c>
      <c r="E1227">
        <v>69</v>
      </c>
      <c r="F1227">
        <v>172</v>
      </c>
      <c r="G1227">
        <v>71</v>
      </c>
      <c r="H1227">
        <v>11</v>
      </c>
      <c r="R1227" t="s">
        <v>2840</v>
      </c>
    </row>
    <row r="1228" spans="2:18" x14ac:dyDescent="0.25">
      <c r="B1228">
        <v>16738</v>
      </c>
      <c r="C1228" t="s">
        <v>17070</v>
      </c>
      <c r="E1228">
        <v>69</v>
      </c>
      <c r="F1228">
        <v>172</v>
      </c>
      <c r="G1228">
        <v>71</v>
      </c>
      <c r="H1228">
        <v>10</v>
      </c>
      <c r="Q1228" t="s">
        <v>17071</v>
      </c>
    </row>
    <row r="1229" spans="2:18" x14ac:dyDescent="0.25">
      <c r="B1229">
        <v>16739</v>
      </c>
      <c r="C1229" t="s">
        <v>17072</v>
      </c>
      <c r="E1229">
        <v>69</v>
      </c>
      <c r="F1229">
        <v>172</v>
      </c>
      <c r="G1229">
        <v>71</v>
      </c>
      <c r="H1229">
        <v>11</v>
      </c>
      <c r="R1229" t="s">
        <v>17073</v>
      </c>
    </row>
    <row r="1230" spans="2:18" x14ac:dyDescent="0.25">
      <c r="B1230">
        <v>16740</v>
      </c>
      <c r="C1230" t="s">
        <v>17074</v>
      </c>
      <c r="E1230">
        <v>69</v>
      </c>
      <c r="F1230">
        <v>172</v>
      </c>
      <c r="G1230">
        <v>71</v>
      </c>
      <c r="H1230">
        <v>11</v>
      </c>
      <c r="R1230" t="s">
        <v>17075</v>
      </c>
    </row>
    <row r="1231" spans="2:18" x14ac:dyDescent="0.25">
      <c r="B1231">
        <v>16741</v>
      </c>
      <c r="C1231" t="s">
        <v>17076</v>
      </c>
      <c r="E1231">
        <v>69</v>
      </c>
      <c r="F1231">
        <v>172</v>
      </c>
      <c r="G1231">
        <v>71</v>
      </c>
      <c r="H1231">
        <v>11</v>
      </c>
      <c r="R1231" t="s">
        <v>17077</v>
      </c>
    </row>
    <row r="1232" spans="2:18" x14ac:dyDescent="0.25">
      <c r="B1232">
        <v>112892283</v>
      </c>
      <c r="C1232" t="s">
        <v>17078</v>
      </c>
      <c r="E1232">
        <v>69</v>
      </c>
      <c r="F1232">
        <v>172</v>
      </c>
      <c r="G1232">
        <v>71</v>
      </c>
      <c r="H1232">
        <v>11</v>
      </c>
      <c r="R1232" t="s">
        <v>17079</v>
      </c>
    </row>
    <row r="1233" spans="2:18" x14ac:dyDescent="0.25">
      <c r="B1233">
        <v>16742</v>
      </c>
      <c r="C1233" t="s">
        <v>17080</v>
      </c>
      <c r="E1233">
        <v>55</v>
      </c>
      <c r="F1233">
        <v>138</v>
      </c>
      <c r="G1233">
        <v>55</v>
      </c>
      <c r="H1233">
        <v>5</v>
      </c>
      <c r="O1233" t="s">
        <v>17081</v>
      </c>
    </row>
    <row r="1234" spans="2:18" x14ac:dyDescent="0.25">
      <c r="B1234">
        <v>16743</v>
      </c>
      <c r="C1234" t="s">
        <v>17082</v>
      </c>
      <c r="E1234">
        <v>51</v>
      </c>
      <c r="F1234">
        <v>128</v>
      </c>
      <c r="G1234">
        <v>51</v>
      </c>
      <c r="H1234">
        <v>9</v>
      </c>
      <c r="P1234" t="s">
        <v>17083</v>
      </c>
    </row>
    <row r="1235" spans="2:18" x14ac:dyDescent="0.25">
      <c r="B1235">
        <v>16744</v>
      </c>
      <c r="C1235" t="s">
        <v>17084</v>
      </c>
      <c r="E1235">
        <v>18</v>
      </c>
      <c r="F1235">
        <v>143</v>
      </c>
      <c r="G1235">
        <v>18</v>
      </c>
      <c r="H1235">
        <v>9</v>
      </c>
      <c r="P1235" t="s">
        <v>17085</v>
      </c>
    </row>
    <row r="1236" spans="2:18" x14ac:dyDescent="0.25">
      <c r="B1236">
        <v>16745</v>
      </c>
      <c r="C1236" t="s">
        <v>17086</v>
      </c>
      <c r="E1236">
        <v>18</v>
      </c>
      <c r="F1236">
        <v>143</v>
      </c>
      <c r="G1236">
        <v>18</v>
      </c>
      <c r="H1236">
        <v>10</v>
      </c>
      <c r="Q1236" t="s">
        <v>17087</v>
      </c>
    </row>
    <row r="1237" spans="2:18" x14ac:dyDescent="0.25">
      <c r="B1237">
        <v>16746</v>
      </c>
      <c r="C1237" t="s">
        <v>17088</v>
      </c>
      <c r="E1237">
        <v>51</v>
      </c>
      <c r="F1237">
        <v>128</v>
      </c>
      <c r="G1237">
        <v>51</v>
      </c>
      <c r="H1237">
        <v>11</v>
      </c>
      <c r="R1237" t="s">
        <v>17089</v>
      </c>
    </row>
    <row r="1238" spans="2:18" x14ac:dyDescent="0.25">
      <c r="B1238">
        <v>16747</v>
      </c>
      <c r="C1238" t="s">
        <v>17090</v>
      </c>
      <c r="E1238">
        <v>18</v>
      </c>
      <c r="F1238">
        <v>143</v>
      </c>
      <c r="G1238">
        <v>18</v>
      </c>
      <c r="H1238">
        <v>10</v>
      </c>
      <c r="Q1238" t="s">
        <v>17091</v>
      </c>
    </row>
    <row r="1239" spans="2:18" x14ac:dyDescent="0.25">
      <c r="B1239">
        <v>16749</v>
      </c>
      <c r="C1239" t="s">
        <v>17092</v>
      </c>
      <c r="E1239">
        <v>18</v>
      </c>
      <c r="F1239">
        <v>143</v>
      </c>
      <c r="G1239">
        <v>18</v>
      </c>
      <c r="H1239">
        <v>10</v>
      </c>
      <c r="Q1239" t="s">
        <v>17093</v>
      </c>
    </row>
    <row r="1240" spans="2:18" x14ac:dyDescent="0.25">
      <c r="B1240">
        <v>16750</v>
      </c>
      <c r="C1240" t="s">
        <v>17094</v>
      </c>
      <c r="E1240">
        <v>51</v>
      </c>
      <c r="F1240">
        <v>128</v>
      </c>
      <c r="G1240">
        <v>51</v>
      </c>
      <c r="H1240">
        <v>11</v>
      </c>
      <c r="R1240" t="s">
        <v>17095</v>
      </c>
    </row>
    <row r="1241" spans="2:18" x14ac:dyDescent="0.25">
      <c r="B1241">
        <v>16751</v>
      </c>
      <c r="C1241" t="s">
        <v>17096</v>
      </c>
      <c r="E1241">
        <v>0</v>
      </c>
      <c r="F1241">
        <v>209</v>
      </c>
      <c r="G1241">
        <v>0</v>
      </c>
      <c r="H1241">
        <v>3</v>
      </c>
      <c r="M1241" t="s">
        <v>3092</v>
      </c>
    </row>
    <row r="1242" spans="2:18" x14ac:dyDescent="0.25">
      <c r="B1242">
        <v>16752</v>
      </c>
      <c r="C1242" t="s">
        <v>17097</v>
      </c>
      <c r="E1242">
        <v>0</v>
      </c>
      <c r="F1242">
        <v>209</v>
      </c>
      <c r="G1242">
        <v>0</v>
      </c>
      <c r="H1242">
        <v>4</v>
      </c>
      <c r="N1242" t="s">
        <v>17098</v>
      </c>
    </row>
    <row r="1243" spans="2:18" x14ac:dyDescent="0.25">
      <c r="B1243">
        <v>16753</v>
      </c>
      <c r="C1243" t="s">
        <v>17099</v>
      </c>
      <c r="E1243">
        <v>147</v>
      </c>
      <c r="F1243">
        <v>236</v>
      </c>
      <c r="G1243">
        <v>147</v>
      </c>
      <c r="H1243">
        <v>5</v>
      </c>
      <c r="O1243" t="s">
        <v>17100</v>
      </c>
    </row>
    <row r="1244" spans="2:18" x14ac:dyDescent="0.25">
      <c r="B1244">
        <v>112892285</v>
      </c>
      <c r="C1244" t="s">
        <v>17101</v>
      </c>
      <c r="E1244">
        <v>97</v>
      </c>
      <c r="F1244">
        <v>227</v>
      </c>
      <c r="G1244">
        <v>97</v>
      </c>
      <c r="H1244">
        <v>9</v>
      </c>
      <c r="P1244" t="s">
        <v>17102</v>
      </c>
    </row>
    <row r="1245" spans="2:18" x14ac:dyDescent="0.25">
      <c r="B1245">
        <v>112892287</v>
      </c>
      <c r="C1245" t="s">
        <v>17103</v>
      </c>
      <c r="E1245">
        <v>147</v>
      </c>
      <c r="F1245">
        <v>236</v>
      </c>
      <c r="G1245">
        <v>147</v>
      </c>
      <c r="H1245">
        <v>9</v>
      </c>
      <c r="P1245" t="s">
        <v>17104</v>
      </c>
    </row>
    <row r="1246" spans="2:18" x14ac:dyDescent="0.25">
      <c r="B1246">
        <v>112892289</v>
      </c>
      <c r="C1246" t="s">
        <v>17105</v>
      </c>
      <c r="E1246">
        <v>147</v>
      </c>
      <c r="F1246">
        <v>236</v>
      </c>
      <c r="G1246">
        <v>147</v>
      </c>
      <c r="H1246">
        <v>10</v>
      </c>
      <c r="Q1246" t="s">
        <v>17106</v>
      </c>
    </row>
    <row r="1247" spans="2:18" x14ac:dyDescent="0.25">
      <c r="B1247">
        <v>112892291</v>
      </c>
      <c r="C1247" t="s">
        <v>17107</v>
      </c>
      <c r="E1247">
        <v>147</v>
      </c>
      <c r="F1247">
        <v>236</v>
      </c>
      <c r="G1247">
        <v>147</v>
      </c>
      <c r="H1247">
        <v>10</v>
      </c>
      <c r="Q1247" t="s">
        <v>17108</v>
      </c>
    </row>
    <row r="1248" spans="2:18" x14ac:dyDescent="0.25">
      <c r="B1248">
        <v>112892293</v>
      </c>
      <c r="C1248" t="s">
        <v>17109</v>
      </c>
      <c r="E1248">
        <v>147</v>
      </c>
      <c r="F1248">
        <v>236</v>
      </c>
      <c r="G1248">
        <v>147</v>
      </c>
      <c r="H1248">
        <v>10</v>
      </c>
      <c r="Q1248" t="s">
        <v>17110</v>
      </c>
    </row>
    <row r="1249" spans="2:19" x14ac:dyDescent="0.25">
      <c r="B1249">
        <v>16754</v>
      </c>
      <c r="C1249" t="s">
        <v>17111</v>
      </c>
      <c r="E1249">
        <v>0</v>
      </c>
      <c r="F1249">
        <v>209</v>
      </c>
      <c r="G1249">
        <v>0</v>
      </c>
      <c r="H1249">
        <v>5</v>
      </c>
      <c r="O1249" t="s">
        <v>17112</v>
      </c>
    </row>
    <row r="1250" spans="2:19" x14ac:dyDescent="0.25">
      <c r="B1250">
        <v>16755</v>
      </c>
      <c r="C1250" t="s">
        <v>17113</v>
      </c>
      <c r="E1250">
        <v>0</v>
      </c>
      <c r="F1250">
        <v>209</v>
      </c>
      <c r="G1250">
        <v>0</v>
      </c>
      <c r="H1250">
        <v>6</v>
      </c>
      <c r="P1250" t="s">
        <v>17114</v>
      </c>
    </row>
    <row r="1251" spans="2:19" x14ac:dyDescent="0.25">
      <c r="B1251">
        <v>16756</v>
      </c>
      <c r="C1251" t="s">
        <v>17115</v>
      </c>
      <c r="E1251">
        <v>0</v>
      </c>
      <c r="F1251">
        <v>209</v>
      </c>
      <c r="G1251">
        <v>0</v>
      </c>
      <c r="H1251">
        <v>9</v>
      </c>
      <c r="Q1251" t="s">
        <v>17116</v>
      </c>
    </row>
    <row r="1252" spans="2:19" x14ac:dyDescent="0.25">
      <c r="B1252">
        <v>16757</v>
      </c>
      <c r="C1252" t="s">
        <v>17117</v>
      </c>
      <c r="E1252">
        <v>97</v>
      </c>
      <c r="F1252">
        <v>227</v>
      </c>
      <c r="G1252">
        <v>97</v>
      </c>
      <c r="H1252">
        <v>9</v>
      </c>
      <c r="Q1252" t="s">
        <v>17118</v>
      </c>
    </row>
    <row r="1253" spans="2:19" x14ac:dyDescent="0.25">
      <c r="B1253">
        <v>16758</v>
      </c>
      <c r="C1253" t="s">
        <v>17119</v>
      </c>
      <c r="E1253">
        <v>97</v>
      </c>
      <c r="F1253">
        <v>227</v>
      </c>
      <c r="G1253">
        <v>97</v>
      </c>
      <c r="H1253">
        <v>10</v>
      </c>
      <c r="R1253" t="s">
        <v>17120</v>
      </c>
    </row>
    <row r="1254" spans="2:19" x14ac:dyDescent="0.25">
      <c r="B1254">
        <v>16759</v>
      </c>
      <c r="C1254" t="s">
        <v>17121</v>
      </c>
      <c r="E1254">
        <v>97</v>
      </c>
      <c r="F1254">
        <v>227</v>
      </c>
      <c r="G1254">
        <v>97</v>
      </c>
      <c r="H1254">
        <v>11</v>
      </c>
      <c r="S1254" t="s">
        <v>17122</v>
      </c>
    </row>
    <row r="1255" spans="2:19" x14ac:dyDescent="0.25">
      <c r="B1255">
        <v>16760</v>
      </c>
      <c r="C1255" t="s">
        <v>17123</v>
      </c>
      <c r="E1255">
        <v>97</v>
      </c>
      <c r="F1255">
        <v>227</v>
      </c>
      <c r="G1255">
        <v>97</v>
      </c>
      <c r="H1255">
        <v>10</v>
      </c>
      <c r="R1255" t="s">
        <v>17124</v>
      </c>
    </row>
    <row r="1256" spans="2:19" x14ac:dyDescent="0.25">
      <c r="B1256">
        <v>112892295</v>
      </c>
      <c r="C1256" t="s">
        <v>17125</v>
      </c>
      <c r="E1256">
        <v>97</v>
      </c>
      <c r="F1256">
        <v>227</v>
      </c>
      <c r="G1256">
        <v>97</v>
      </c>
      <c r="H1256">
        <v>11</v>
      </c>
      <c r="S1256" t="s">
        <v>17126</v>
      </c>
    </row>
    <row r="1257" spans="2:19" x14ac:dyDescent="0.25">
      <c r="B1257">
        <v>16761</v>
      </c>
      <c r="C1257" t="s">
        <v>17127</v>
      </c>
      <c r="E1257">
        <v>97</v>
      </c>
      <c r="F1257">
        <v>227</v>
      </c>
      <c r="G1257">
        <v>97</v>
      </c>
      <c r="H1257">
        <v>10</v>
      </c>
      <c r="R1257" t="s">
        <v>17128</v>
      </c>
    </row>
    <row r="1258" spans="2:19" x14ac:dyDescent="0.25">
      <c r="B1258">
        <v>112892297</v>
      </c>
      <c r="C1258" t="s">
        <v>17129</v>
      </c>
      <c r="E1258">
        <v>97</v>
      </c>
      <c r="F1258">
        <v>227</v>
      </c>
      <c r="G1258">
        <v>97</v>
      </c>
      <c r="H1258">
        <v>11</v>
      </c>
      <c r="S1258" t="s">
        <v>17130</v>
      </c>
    </row>
    <row r="1259" spans="2:19" x14ac:dyDescent="0.25">
      <c r="B1259">
        <v>16762</v>
      </c>
      <c r="C1259" t="s">
        <v>17131</v>
      </c>
      <c r="E1259">
        <v>0</v>
      </c>
      <c r="F1259">
        <v>209</v>
      </c>
      <c r="G1259">
        <v>0</v>
      </c>
      <c r="H1259">
        <v>6</v>
      </c>
      <c r="P1259" t="s">
        <v>17132</v>
      </c>
    </row>
    <row r="1260" spans="2:19" x14ac:dyDescent="0.25">
      <c r="B1260">
        <v>16763</v>
      </c>
      <c r="C1260" t="s">
        <v>17133</v>
      </c>
      <c r="E1260">
        <v>0</v>
      </c>
      <c r="F1260">
        <v>209</v>
      </c>
      <c r="G1260">
        <v>0</v>
      </c>
      <c r="H1260">
        <v>9</v>
      </c>
      <c r="Q1260" t="s">
        <v>17134</v>
      </c>
    </row>
    <row r="1261" spans="2:19" x14ac:dyDescent="0.25">
      <c r="B1261">
        <v>16764</v>
      </c>
      <c r="C1261" t="s">
        <v>17135</v>
      </c>
      <c r="E1261">
        <v>97</v>
      </c>
      <c r="F1261">
        <v>227</v>
      </c>
      <c r="G1261">
        <v>97</v>
      </c>
      <c r="H1261">
        <v>9</v>
      </c>
      <c r="Q1261" t="s">
        <v>17136</v>
      </c>
    </row>
    <row r="1262" spans="2:19" x14ac:dyDescent="0.25">
      <c r="B1262">
        <v>16765</v>
      </c>
      <c r="C1262" t="s">
        <v>17137</v>
      </c>
      <c r="E1262">
        <v>97</v>
      </c>
      <c r="F1262">
        <v>227</v>
      </c>
      <c r="G1262">
        <v>97</v>
      </c>
      <c r="H1262">
        <v>10</v>
      </c>
      <c r="R1262" t="s">
        <v>17138</v>
      </c>
    </row>
    <row r="1263" spans="2:19" x14ac:dyDescent="0.25">
      <c r="B1263">
        <v>16766</v>
      </c>
      <c r="C1263" t="s">
        <v>17139</v>
      </c>
      <c r="E1263">
        <v>97</v>
      </c>
      <c r="F1263">
        <v>227</v>
      </c>
      <c r="G1263">
        <v>97</v>
      </c>
      <c r="H1263">
        <v>11</v>
      </c>
      <c r="S1263" t="s">
        <v>17140</v>
      </c>
    </row>
    <row r="1264" spans="2:19" x14ac:dyDescent="0.25">
      <c r="B1264">
        <v>16767</v>
      </c>
      <c r="C1264" t="s">
        <v>17141</v>
      </c>
      <c r="E1264">
        <v>97</v>
      </c>
      <c r="F1264">
        <v>227</v>
      </c>
      <c r="G1264">
        <v>97</v>
      </c>
      <c r="H1264">
        <v>10</v>
      </c>
      <c r="R1264" t="s">
        <v>17142</v>
      </c>
    </row>
    <row r="1265" spans="2:19" x14ac:dyDescent="0.25">
      <c r="B1265">
        <v>16768</v>
      </c>
      <c r="C1265" t="s">
        <v>17143</v>
      </c>
      <c r="E1265">
        <v>97</v>
      </c>
      <c r="F1265">
        <v>227</v>
      </c>
      <c r="G1265">
        <v>97</v>
      </c>
      <c r="H1265">
        <v>11</v>
      </c>
      <c r="S1265" t="s">
        <v>17144</v>
      </c>
    </row>
    <row r="1266" spans="2:19" x14ac:dyDescent="0.25">
      <c r="B1266">
        <v>16769</v>
      </c>
      <c r="C1266" t="s">
        <v>17145</v>
      </c>
      <c r="E1266">
        <v>97</v>
      </c>
      <c r="F1266">
        <v>227</v>
      </c>
      <c r="G1266">
        <v>97</v>
      </c>
      <c r="H1266">
        <v>10</v>
      </c>
      <c r="R1266" t="s">
        <v>17146</v>
      </c>
    </row>
    <row r="1267" spans="2:19" x14ac:dyDescent="0.25">
      <c r="B1267">
        <v>16770</v>
      </c>
      <c r="C1267" t="s">
        <v>17147</v>
      </c>
      <c r="E1267">
        <v>97</v>
      </c>
      <c r="F1267">
        <v>227</v>
      </c>
      <c r="G1267">
        <v>97</v>
      </c>
      <c r="H1267">
        <v>11</v>
      </c>
      <c r="S1267" t="s">
        <v>17148</v>
      </c>
    </row>
    <row r="1268" spans="2:19" x14ac:dyDescent="0.25">
      <c r="B1268">
        <v>16771</v>
      </c>
      <c r="C1268" t="s">
        <v>17149</v>
      </c>
      <c r="E1268">
        <v>0</v>
      </c>
      <c r="F1268">
        <v>209</v>
      </c>
      <c r="G1268">
        <v>0</v>
      </c>
      <c r="H1268">
        <v>6</v>
      </c>
      <c r="P1268" t="s">
        <v>17150</v>
      </c>
    </row>
    <row r="1269" spans="2:19" x14ac:dyDescent="0.25">
      <c r="B1269">
        <v>16772</v>
      </c>
      <c r="C1269" t="s">
        <v>17151</v>
      </c>
      <c r="E1269">
        <v>0</v>
      </c>
      <c r="F1269">
        <v>209</v>
      </c>
      <c r="G1269">
        <v>0</v>
      </c>
      <c r="H1269">
        <v>9</v>
      </c>
      <c r="Q1269" t="s">
        <v>17152</v>
      </c>
    </row>
    <row r="1270" spans="2:19" x14ac:dyDescent="0.25">
      <c r="B1270">
        <v>16773</v>
      </c>
      <c r="C1270" t="s">
        <v>17153</v>
      </c>
      <c r="E1270">
        <v>97</v>
      </c>
      <c r="F1270">
        <v>227</v>
      </c>
      <c r="G1270">
        <v>97</v>
      </c>
      <c r="H1270">
        <v>9</v>
      </c>
      <c r="Q1270" t="s">
        <v>17154</v>
      </c>
    </row>
    <row r="1271" spans="2:19" x14ac:dyDescent="0.25">
      <c r="B1271">
        <v>16774</v>
      </c>
      <c r="C1271" t="s">
        <v>17155</v>
      </c>
      <c r="E1271">
        <v>97</v>
      </c>
      <c r="F1271">
        <v>227</v>
      </c>
      <c r="G1271">
        <v>97</v>
      </c>
      <c r="H1271">
        <v>10</v>
      </c>
      <c r="R1271" t="s">
        <v>17156</v>
      </c>
    </row>
    <row r="1272" spans="2:19" x14ac:dyDescent="0.25">
      <c r="B1272">
        <v>16775</v>
      </c>
      <c r="C1272" t="s">
        <v>17157</v>
      </c>
      <c r="E1272">
        <v>97</v>
      </c>
      <c r="F1272">
        <v>227</v>
      </c>
      <c r="G1272">
        <v>97</v>
      </c>
      <c r="H1272">
        <v>11</v>
      </c>
      <c r="S1272" t="s">
        <v>17158</v>
      </c>
    </row>
    <row r="1273" spans="2:19" x14ac:dyDescent="0.25">
      <c r="B1273">
        <v>16776</v>
      </c>
      <c r="C1273" t="s">
        <v>17159</v>
      </c>
      <c r="E1273">
        <v>97</v>
      </c>
      <c r="F1273">
        <v>227</v>
      </c>
      <c r="G1273">
        <v>97</v>
      </c>
      <c r="H1273">
        <v>10</v>
      </c>
      <c r="R1273" t="s">
        <v>17160</v>
      </c>
    </row>
    <row r="1274" spans="2:19" x14ac:dyDescent="0.25">
      <c r="B1274">
        <v>16777</v>
      </c>
      <c r="C1274" t="s">
        <v>17161</v>
      </c>
      <c r="E1274">
        <v>97</v>
      </c>
      <c r="F1274">
        <v>227</v>
      </c>
      <c r="G1274">
        <v>97</v>
      </c>
      <c r="H1274">
        <v>11</v>
      </c>
      <c r="S1274" t="s">
        <v>1401</v>
      </c>
    </row>
    <row r="1275" spans="2:19" x14ac:dyDescent="0.25">
      <c r="B1275">
        <v>16778</v>
      </c>
      <c r="C1275" t="s">
        <v>17162</v>
      </c>
      <c r="E1275">
        <v>97</v>
      </c>
      <c r="F1275">
        <v>227</v>
      </c>
      <c r="G1275">
        <v>97</v>
      </c>
      <c r="H1275">
        <v>10</v>
      </c>
      <c r="R1275" t="s">
        <v>17163</v>
      </c>
    </row>
    <row r="1276" spans="2:19" x14ac:dyDescent="0.25">
      <c r="B1276">
        <v>16779</v>
      </c>
      <c r="C1276" t="s">
        <v>17164</v>
      </c>
      <c r="E1276">
        <v>97</v>
      </c>
      <c r="F1276">
        <v>227</v>
      </c>
      <c r="G1276">
        <v>97</v>
      </c>
      <c r="H1276">
        <v>11</v>
      </c>
      <c r="S1276" t="s">
        <v>17165</v>
      </c>
    </row>
    <row r="1277" spans="2:19" x14ac:dyDescent="0.25">
      <c r="B1277">
        <v>16780</v>
      </c>
      <c r="C1277" t="s">
        <v>17166</v>
      </c>
      <c r="E1277">
        <v>0</v>
      </c>
      <c r="F1277">
        <v>209</v>
      </c>
      <c r="G1277">
        <v>0</v>
      </c>
      <c r="H1277">
        <v>6</v>
      </c>
      <c r="P1277" t="s">
        <v>17167</v>
      </c>
    </row>
    <row r="1278" spans="2:19" x14ac:dyDescent="0.25">
      <c r="B1278">
        <v>16781</v>
      </c>
      <c r="C1278" t="s">
        <v>17168</v>
      </c>
      <c r="E1278">
        <v>0</v>
      </c>
      <c r="F1278">
        <v>209</v>
      </c>
      <c r="G1278">
        <v>0</v>
      </c>
      <c r="H1278">
        <v>7</v>
      </c>
      <c r="Q1278" t="s">
        <v>17169</v>
      </c>
    </row>
    <row r="1279" spans="2:19" x14ac:dyDescent="0.25">
      <c r="B1279">
        <v>16782</v>
      </c>
      <c r="C1279" t="s">
        <v>17170</v>
      </c>
      <c r="E1279">
        <v>0</v>
      </c>
      <c r="F1279">
        <v>209</v>
      </c>
      <c r="G1279">
        <v>0</v>
      </c>
      <c r="H1279">
        <v>9</v>
      </c>
      <c r="R1279" t="s">
        <v>17171</v>
      </c>
    </row>
    <row r="1280" spans="2:19" x14ac:dyDescent="0.25">
      <c r="B1280">
        <v>16783</v>
      </c>
      <c r="C1280" t="s">
        <v>17172</v>
      </c>
      <c r="E1280">
        <v>97</v>
      </c>
      <c r="F1280">
        <v>227</v>
      </c>
      <c r="G1280">
        <v>97</v>
      </c>
      <c r="H1280">
        <v>9</v>
      </c>
      <c r="R1280" t="s">
        <v>17173</v>
      </c>
    </row>
    <row r="1281" spans="2:20" x14ac:dyDescent="0.25">
      <c r="B1281">
        <v>16784</v>
      </c>
      <c r="C1281" t="s">
        <v>17174</v>
      </c>
      <c r="E1281">
        <v>97</v>
      </c>
      <c r="F1281">
        <v>227</v>
      </c>
      <c r="G1281">
        <v>97</v>
      </c>
      <c r="H1281">
        <v>10</v>
      </c>
      <c r="S1281" t="s">
        <v>17175</v>
      </c>
    </row>
    <row r="1282" spans="2:20" x14ac:dyDescent="0.25">
      <c r="B1282">
        <v>16785</v>
      </c>
      <c r="C1282" t="s">
        <v>17176</v>
      </c>
      <c r="E1282">
        <v>97</v>
      </c>
      <c r="F1282">
        <v>227</v>
      </c>
      <c r="G1282">
        <v>97</v>
      </c>
      <c r="H1282">
        <v>11</v>
      </c>
      <c r="T1282" t="s">
        <v>17177</v>
      </c>
    </row>
    <row r="1283" spans="2:20" x14ac:dyDescent="0.25">
      <c r="B1283">
        <v>16786</v>
      </c>
      <c r="C1283" t="s">
        <v>17178</v>
      </c>
      <c r="E1283">
        <v>97</v>
      </c>
      <c r="F1283">
        <v>227</v>
      </c>
      <c r="G1283">
        <v>97</v>
      </c>
      <c r="H1283">
        <v>10</v>
      </c>
      <c r="S1283" t="s">
        <v>17179</v>
      </c>
    </row>
    <row r="1284" spans="2:20" x14ac:dyDescent="0.25">
      <c r="B1284">
        <v>16787</v>
      </c>
      <c r="C1284" t="s">
        <v>17180</v>
      </c>
      <c r="E1284">
        <v>97</v>
      </c>
      <c r="F1284">
        <v>227</v>
      </c>
      <c r="G1284">
        <v>97</v>
      </c>
      <c r="H1284">
        <v>11</v>
      </c>
      <c r="T1284" t="s">
        <v>14710</v>
      </c>
    </row>
    <row r="1285" spans="2:20" x14ac:dyDescent="0.25">
      <c r="B1285">
        <v>16788</v>
      </c>
      <c r="C1285" t="s">
        <v>17181</v>
      </c>
      <c r="E1285">
        <v>97</v>
      </c>
      <c r="F1285">
        <v>227</v>
      </c>
      <c r="G1285">
        <v>97</v>
      </c>
      <c r="H1285">
        <v>11</v>
      </c>
      <c r="T1285" t="s">
        <v>17182</v>
      </c>
    </row>
    <row r="1286" spans="2:20" x14ac:dyDescent="0.25">
      <c r="B1286">
        <v>16789</v>
      </c>
      <c r="C1286" t="s">
        <v>17183</v>
      </c>
      <c r="E1286">
        <v>97</v>
      </c>
      <c r="F1286">
        <v>227</v>
      </c>
      <c r="G1286">
        <v>97</v>
      </c>
      <c r="H1286">
        <v>10</v>
      </c>
      <c r="S1286" t="s">
        <v>17184</v>
      </c>
    </row>
    <row r="1287" spans="2:20" x14ac:dyDescent="0.25">
      <c r="B1287">
        <v>16790</v>
      </c>
      <c r="C1287" t="s">
        <v>17185</v>
      </c>
      <c r="E1287">
        <v>0</v>
      </c>
      <c r="F1287">
        <v>167</v>
      </c>
      <c r="G1287">
        <v>0</v>
      </c>
      <c r="H1287">
        <v>4</v>
      </c>
      <c r="N1287" t="s">
        <v>17186</v>
      </c>
    </row>
    <row r="1288" spans="2:20" x14ac:dyDescent="0.25">
      <c r="B1288">
        <v>16791</v>
      </c>
      <c r="C1288" t="s">
        <v>17187</v>
      </c>
      <c r="E1288">
        <v>0</v>
      </c>
      <c r="F1288">
        <v>167</v>
      </c>
      <c r="G1288">
        <v>0</v>
      </c>
      <c r="H1288">
        <v>5</v>
      </c>
      <c r="O1288" t="s">
        <v>17188</v>
      </c>
    </row>
    <row r="1289" spans="2:20" x14ac:dyDescent="0.25">
      <c r="B1289">
        <v>16792</v>
      </c>
      <c r="C1289" t="s">
        <v>17189</v>
      </c>
      <c r="E1289">
        <v>0</v>
      </c>
      <c r="F1289">
        <v>167</v>
      </c>
      <c r="G1289">
        <v>0</v>
      </c>
      <c r="H1289">
        <v>9</v>
      </c>
      <c r="P1289" t="s">
        <v>17190</v>
      </c>
    </row>
    <row r="1290" spans="2:20" x14ac:dyDescent="0.25">
      <c r="B1290">
        <v>16793</v>
      </c>
      <c r="C1290" t="s">
        <v>17191</v>
      </c>
      <c r="E1290">
        <v>12</v>
      </c>
      <c r="F1290">
        <v>191</v>
      </c>
      <c r="G1290">
        <v>12</v>
      </c>
      <c r="H1290">
        <v>9</v>
      </c>
      <c r="P1290" t="s">
        <v>17192</v>
      </c>
    </row>
    <row r="1291" spans="2:20" x14ac:dyDescent="0.25">
      <c r="B1291">
        <v>16794</v>
      </c>
      <c r="C1291" t="s">
        <v>17193</v>
      </c>
      <c r="E1291">
        <v>12</v>
      </c>
      <c r="F1291">
        <v>191</v>
      </c>
      <c r="G1291">
        <v>12</v>
      </c>
      <c r="H1291">
        <v>10</v>
      </c>
      <c r="Q1291" t="s">
        <v>17194</v>
      </c>
    </row>
    <row r="1292" spans="2:20" x14ac:dyDescent="0.25">
      <c r="B1292">
        <v>16795</v>
      </c>
      <c r="C1292" t="s">
        <v>17195</v>
      </c>
      <c r="E1292">
        <v>12</v>
      </c>
      <c r="F1292">
        <v>191</v>
      </c>
      <c r="G1292">
        <v>12</v>
      </c>
      <c r="H1292">
        <v>11</v>
      </c>
      <c r="R1292" t="s">
        <v>17196</v>
      </c>
    </row>
    <row r="1293" spans="2:20" x14ac:dyDescent="0.25">
      <c r="B1293">
        <v>16796</v>
      </c>
      <c r="C1293" t="s">
        <v>17197</v>
      </c>
      <c r="E1293">
        <v>12</v>
      </c>
      <c r="F1293">
        <v>191</v>
      </c>
      <c r="G1293">
        <v>12</v>
      </c>
      <c r="H1293">
        <v>11</v>
      </c>
      <c r="R1293" t="s">
        <v>17198</v>
      </c>
    </row>
    <row r="1294" spans="2:20" x14ac:dyDescent="0.25">
      <c r="B1294">
        <v>16797</v>
      </c>
      <c r="C1294" t="s">
        <v>17199</v>
      </c>
      <c r="E1294">
        <v>12</v>
      </c>
      <c r="F1294">
        <v>191</v>
      </c>
      <c r="G1294">
        <v>12</v>
      </c>
      <c r="H1294">
        <v>10</v>
      </c>
      <c r="Q1294" t="s">
        <v>17200</v>
      </c>
    </row>
    <row r="1295" spans="2:20" x14ac:dyDescent="0.25">
      <c r="B1295">
        <v>16798</v>
      </c>
      <c r="C1295" t="s">
        <v>17201</v>
      </c>
      <c r="E1295">
        <v>12</v>
      </c>
      <c r="F1295">
        <v>191</v>
      </c>
      <c r="G1295">
        <v>12</v>
      </c>
      <c r="H1295">
        <v>11</v>
      </c>
      <c r="R1295" t="s">
        <v>17202</v>
      </c>
    </row>
    <row r="1296" spans="2:20" x14ac:dyDescent="0.25">
      <c r="B1296">
        <v>16799</v>
      </c>
      <c r="C1296" t="s">
        <v>17203</v>
      </c>
      <c r="E1296">
        <v>12</v>
      </c>
      <c r="F1296">
        <v>191</v>
      </c>
      <c r="G1296">
        <v>12</v>
      </c>
      <c r="H1296">
        <v>11</v>
      </c>
      <c r="R1296" t="s">
        <v>17204</v>
      </c>
    </row>
    <row r="1297" spans="2:18" x14ac:dyDescent="0.25">
      <c r="B1297">
        <v>16800</v>
      </c>
      <c r="C1297" t="s">
        <v>17205</v>
      </c>
      <c r="E1297">
        <v>12</v>
      </c>
      <c r="F1297">
        <v>191</v>
      </c>
      <c r="G1297">
        <v>12</v>
      </c>
      <c r="H1297">
        <v>10</v>
      </c>
      <c r="Q1297" t="s">
        <v>17206</v>
      </c>
    </row>
    <row r="1298" spans="2:18" x14ac:dyDescent="0.25">
      <c r="B1298">
        <v>16801</v>
      </c>
      <c r="C1298" t="s">
        <v>17207</v>
      </c>
      <c r="E1298">
        <v>12</v>
      </c>
      <c r="F1298">
        <v>191</v>
      </c>
      <c r="G1298">
        <v>12</v>
      </c>
      <c r="H1298">
        <v>11</v>
      </c>
      <c r="R1298" t="s">
        <v>17208</v>
      </c>
    </row>
    <row r="1299" spans="2:18" x14ac:dyDescent="0.25">
      <c r="B1299">
        <v>16802</v>
      </c>
      <c r="C1299" t="s">
        <v>17209</v>
      </c>
      <c r="E1299">
        <v>12</v>
      </c>
      <c r="F1299">
        <v>191</v>
      </c>
      <c r="G1299">
        <v>12</v>
      </c>
      <c r="H1299">
        <v>11</v>
      </c>
      <c r="R1299" t="s">
        <v>17210</v>
      </c>
    </row>
    <row r="1300" spans="2:18" x14ac:dyDescent="0.25">
      <c r="B1300">
        <v>16803</v>
      </c>
      <c r="C1300" t="s">
        <v>17211</v>
      </c>
      <c r="E1300">
        <v>12</v>
      </c>
      <c r="F1300">
        <v>191</v>
      </c>
      <c r="G1300">
        <v>12</v>
      </c>
      <c r="H1300">
        <v>11</v>
      </c>
      <c r="R1300" t="s">
        <v>17212</v>
      </c>
    </row>
    <row r="1301" spans="2:18" x14ac:dyDescent="0.25">
      <c r="B1301">
        <v>16804</v>
      </c>
      <c r="C1301" t="s">
        <v>17213</v>
      </c>
      <c r="E1301">
        <v>12</v>
      </c>
      <c r="F1301">
        <v>191</v>
      </c>
      <c r="G1301">
        <v>12</v>
      </c>
      <c r="H1301">
        <v>11</v>
      </c>
      <c r="R1301" t="s">
        <v>17214</v>
      </c>
    </row>
    <row r="1302" spans="2:18" x14ac:dyDescent="0.25">
      <c r="B1302">
        <v>16805</v>
      </c>
      <c r="C1302" t="s">
        <v>17215</v>
      </c>
      <c r="E1302">
        <v>68</v>
      </c>
      <c r="F1302">
        <v>159</v>
      </c>
      <c r="G1302">
        <v>68</v>
      </c>
      <c r="H1302">
        <v>5</v>
      </c>
      <c r="O1302" t="s">
        <v>17216</v>
      </c>
    </row>
    <row r="1303" spans="2:18" x14ac:dyDescent="0.25">
      <c r="B1303">
        <v>112892299</v>
      </c>
      <c r="C1303" t="s">
        <v>17217</v>
      </c>
      <c r="E1303">
        <v>63</v>
      </c>
      <c r="F1303">
        <v>148</v>
      </c>
      <c r="G1303">
        <v>63</v>
      </c>
      <c r="H1303">
        <v>9</v>
      </c>
      <c r="P1303" t="s">
        <v>17218</v>
      </c>
    </row>
    <row r="1304" spans="2:18" x14ac:dyDescent="0.25">
      <c r="B1304">
        <v>112892301</v>
      </c>
      <c r="C1304" t="s">
        <v>17219</v>
      </c>
      <c r="E1304">
        <v>0</v>
      </c>
      <c r="F1304">
        <v>167</v>
      </c>
      <c r="G1304">
        <v>0</v>
      </c>
      <c r="H1304">
        <v>9</v>
      </c>
      <c r="P1304" t="s">
        <v>17220</v>
      </c>
    </row>
    <row r="1305" spans="2:18" x14ac:dyDescent="0.25">
      <c r="B1305">
        <v>112892303</v>
      </c>
      <c r="C1305" t="s">
        <v>17221</v>
      </c>
      <c r="E1305">
        <v>0</v>
      </c>
      <c r="F1305">
        <v>167</v>
      </c>
      <c r="G1305">
        <v>0</v>
      </c>
      <c r="H1305">
        <v>10</v>
      </c>
      <c r="Q1305" t="s">
        <v>17222</v>
      </c>
    </row>
    <row r="1306" spans="2:18" x14ac:dyDescent="0.25">
      <c r="B1306">
        <v>112892305</v>
      </c>
      <c r="C1306" t="s">
        <v>17223</v>
      </c>
      <c r="E1306">
        <v>0</v>
      </c>
      <c r="F1306">
        <v>167</v>
      </c>
      <c r="G1306">
        <v>0</v>
      </c>
      <c r="H1306">
        <v>10</v>
      </c>
      <c r="Q1306" t="s">
        <v>17224</v>
      </c>
    </row>
    <row r="1307" spans="2:18" x14ac:dyDescent="0.25">
      <c r="B1307">
        <v>112892307</v>
      </c>
      <c r="C1307" t="s">
        <v>17225</v>
      </c>
      <c r="E1307">
        <v>0</v>
      </c>
      <c r="F1307">
        <v>167</v>
      </c>
      <c r="G1307">
        <v>0</v>
      </c>
      <c r="H1307">
        <v>10</v>
      </c>
      <c r="Q1307" t="s">
        <v>17226</v>
      </c>
    </row>
    <row r="1308" spans="2:18" x14ac:dyDescent="0.25">
      <c r="B1308">
        <v>16806</v>
      </c>
      <c r="C1308" t="s">
        <v>17227</v>
      </c>
      <c r="E1308">
        <v>63</v>
      </c>
      <c r="F1308">
        <v>148</v>
      </c>
      <c r="G1308">
        <v>63</v>
      </c>
      <c r="H1308">
        <v>11</v>
      </c>
      <c r="R1308" t="s">
        <v>17228</v>
      </c>
    </row>
    <row r="1309" spans="2:18" x14ac:dyDescent="0.25">
      <c r="B1309">
        <v>16807</v>
      </c>
      <c r="C1309" t="s">
        <v>17229</v>
      </c>
      <c r="E1309">
        <v>63</v>
      </c>
      <c r="F1309">
        <v>148</v>
      </c>
      <c r="G1309">
        <v>63</v>
      </c>
      <c r="H1309">
        <v>11</v>
      </c>
      <c r="R1309" t="s">
        <v>640</v>
      </c>
    </row>
    <row r="1310" spans="2:18" x14ac:dyDescent="0.25">
      <c r="B1310">
        <v>16808</v>
      </c>
      <c r="C1310" t="s">
        <v>17230</v>
      </c>
      <c r="E1310">
        <v>234</v>
      </c>
      <c r="F1310">
        <v>55</v>
      </c>
      <c r="G1310">
        <v>255</v>
      </c>
      <c r="H1310">
        <v>1</v>
      </c>
      <c r="L1310" t="s">
        <v>2247</v>
      </c>
    </row>
    <row r="1311" spans="2:18" x14ac:dyDescent="0.25">
      <c r="B1311">
        <v>16809</v>
      </c>
      <c r="C1311" t="s">
        <v>17231</v>
      </c>
      <c r="E1311">
        <v>234</v>
      </c>
      <c r="F1311">
        <v>55</v>
      </c>
      <c r="G1311">
        <v>255</v>
      </c>
      <c r="H1311">
        <v>2</v>
      </c>
      <c r="M1311" t="s">
        <v>10167</v>
      </c>
    </row>
    <row r="1312" spans="2:18" x14ac:dyDescent="0.25">
      <c r="B1312">
        <v>16810</v>
      </c>
      <c r="C1312" t="s">
        <v>17232</v>
      </c>
      <c r="E1312">
        <v>234</v>
      </c>
      <c r="F1312">
        <v>55</v>
      </c>
      <c r="G1312">
        <v>255</v>
      </c>
      <c r="H1312">
        <v>3</v>
      </c>
      <c r="N1312" t="s">
        <v>3143</v>
      </c>
    </row>
    <row r="1313" spans="2:19" x14ac:dyDescent="0.25">
      <c r="B1313">
        <v>16811</v>
      </c>
      <c r="C1313" t="s">
        <v>17233</v>
      </c>
      <c r="E1313">
        <v>243</v>
      </c>
      <c r="F1313">
        <v>139</v>
      </c>
      <c r="G1313">
        <v>255</v>
      </c>
      <c r="H1313">
        <v>5</v>
      </c>
      <c r="O1313" t="s">
        <v>10169</v>
      </c>
    </row>
    <row r="1314" spans="2:19" x14ac:dyDescent="0.25">
      <c r="B1314">
        <v>16812</v>
      </c>
      <c r="C1314" t="s">
        <v>17234</v>
      </c>
      <c r="E1314">
        <v>240</v>
      </c>
      <c r="F1314">
        <v>112</v>
      </c>
      <c r="G1314">
        <v>255</v>
      </c>
      <c r="H1314">
        <v>9</v>
      </c>
      <c r="P1314" t="s">
        <v>10171</v>
      </c>
    </row>
    <row r="1315" spans="2:19" x14ac:dyDescent="0.25">
      <c r="B1315">
        <v>114403715</v>
      </c>
      <c r="C1315" t="s">
        <v>17235</v>
      </c>
      <c r="E1315">
        <v>243</v>
      </c>
      <c r="F1315">
        <v>139</v>
      </c>
      <c r="G1315">
        <v>255</v>
      </c>
      <c r="H1315">
        <v>9</v>
      </c>
      <c r="P1315" t="s">
        <v>9093</v>
      </c>
    </row>
    <row r="1316" spans="2:19" x14ac:dyDescent="0.25">
      <c r="B1316">
        <v>114403719</v>
      </c>
      <c r="C1316" t="s">
        <v>17236</v>
      </c>
      <c r="E1316">
        <v>243</v>
      </c>
      <c r="F1316">
        <v>139</v>
      </c>
      <c r="G1316">
        <v>255</v>
      </c>
      <c r="H1316">
        <v>10</v>
      </c>
      <c r="Q1316" t="s">
        <v>9095</v>
      </c>
    </row>
    <row r="1317" spans="2:19" x14ac:dyDescent="0.25">
      <c r="B1317">
        <v>114403723</v>
      </c>
      <c r="C1317" t="s">
        <v>17237</v>
      </c>
      <c r="E1317">
        <v>243</v>
      </c>
      <c r="F1317">
        <v>139</v>
      </c>
      <c r="G1317">
        <v>255</v>
      </c>
      <c r="H1317">
        <v>10</v>
      </c>
      <c r="Q1317" t="s">
        <v>9097</v>
      </c>
    </row>
    <row r="1318" spans="2:19" x14ac:dyDescent="0.25">
      <c r="B1318">
        <v>114403727</v>
      </c>
      <c r="C1318" t="s">
        <v>17238</v>
      </c>
      <c r="E1318">
        <v>243</v>
      </c>
      <c r="F1318">
        <v>139</v>
      </c>
      <c r="G1318">
        <v>255</v>
      </c>
      <c r="H1318">
        <v>10</v>
      </c>
      <c r="Q1318" t="s">
        <v>9099</v>
      </c>
    </row>
    <row r="1319" spans="2:19" x14ac:dyDescent="0.25">
      <c r="B1319">
        <v>16813</v>
      </c>
      <c r="C1319" t="s">
        <v>17239</v>
      </c>
      <c r="E1319">
        <v>234</v>
      </c>
      <c r="F1319">
        <v>55</v>
      </c>
      <c r="G1319">
        <v>255</v>
      </c>
      <c r="H1319">
        <v>5</v>
      </c>
      <c r="O1319" t="s">
        <v>10173</v>
      </c>
    </row>
    <row r="1320" spans="2:19" x14ac:dyDescent="0.25">
      <c r="B1320">
        <v>16814</v>
      </c>
      <c r="C1320" t="s">
        <v>17240</v>
      </c>
      <c r="E1320">
        <v>234</v>
      </c>
      <c r="F1320">
        <v>55</v>
      </c>
      <c r="G1320">
        <v>255</v>
      </c>
      <c r="H1320">
        <v>7</v>
      </c>
      <c r="P1320" t="s">
        <v>1045</v>
      </c>
    </row>
    <row r="1321" spans="2:19" x14ac:dyDescent="0.25">
      <c r="B1321">
        <v>16815</v>
      </c>
      <c r="C1321" t="s">
        <v>17241</v>
      </c>
      <c r="E1321">
        <v>234</v>
      </c>
      <c r="F1321">
        <v>55</v>
      </c>
      <c r="G1321">
        <v>255</v>
      </c>
      <c r="H1321">
        <v>12</v>
      </c>
      <c r="Q1321" t="s">
        <v>4342</v>
      </c>
    </row>
    <row r="1322" spans="2:19" x14ac:dyDescent="0.25">
      <c r="B1322">
        <v>16816</v>
      </c>
      <c r="C1322" t="s">
        <v>17242</v>
      </c>
      <c r="E1322">
        <v>234</v>
      </c>
      <c r="F1322">
        <v>55</v>
      </c>
      <c r="G1322">
        <v>255</v>
      </c>
      <c r="H1322">
        <v>12</v>
      </c>
      <c r="Q1322" t="s">
        <v>4344</v>
      </c>
    </row>
    <row r="1323" spans="2:19" x14ac:dyDescent="0.25">
      <c r="B1323">
        <v>16817</v>
      </c>
      <c r="C1323" t="s">
        <v>17243</v>
      </c>
      <c r="E1323">
        <v>234</v>
      </c>
      <c r="F1323">
        <v>55</v>
      </c>
      <c r="G1323">
        <v>255</v>
      </c>
      <c r="H1323">
        <v>9</v>
      </c>
      <c r="Q1323" t="s">
        <v>4346</v>
      </c>
    </row>
    <row r="1324" spans="2:19" x14ac:dyDescent="0.25">
      <c r="B1324">
        <v>16818</v>
      </c>
      <c r="C1324" t="s">
        <v>17244</v>
      </c>
      <c r="E1324">
        <v>240</v>
      </c>
      <c r="F1324">
        <v>112</v>
      </c>
      <c r="G1324">
        <v>255</v>
      </c>
      <c r="H1324">
        <v>9</v>
      </c>
      <c r="Q1324" t="s">
        <v>4348</v>
      </c>
    </row>
    <row r="1325" spans="2:19" x14ac:dyDescent="0.25">
      <c r="B1325">
        <v>16819</v>
      </c>
      <c r="C1325" t="s">
        <v>17245</v>
      </c>
      <c r="E1325">
        <v>240</v>
      </c>
      <c r="F1325">
        <v>112</v>
      </c>
      <c r="G1325">
        <v>255</v>
      </c>
      <c r="H1325">
        <v>10</v>
      </c>
      <c r="R1325" t="s">
        <v>4350</v>
      </c>
    </row>
    <row r="1326" spans="2:19" x14ac:dyDescent="0.25">
      <c r="B1326">
        <v>16820</v>
      </c>
      <c r="C1326" t="s">
        <v>17246</v>
      </c>
      <c r="E1326">
        <v>240</v>
      </c>
      <c r="F1326">
        <v>112</v>
      </c>
      <c r="G1326">
        <v>255</v>
      </c>
      <c r="H1326">
        <v>11</v>
      </c>
      <c r="S1326" t="s">
        <v>4352</v>
      </c>
    </row>
    <row r="1327" spans="2:19" x14ac:dyDescent="0.25">
      <c r="B1327">
        <v>16821</v>
      </c>
      <c r="C1327" t="s">
        <v>17247</v>
      </c>
      <c r="E1327">
        <v>240</v>
      </c>
      <c r="F1327">
        <v>112</v>
      </c>
      <c r="G1327">
        <v>255</v>
      </c>
      <c r="H1327">
        <v>10</v>
      </c>
      <c r="R1327" t="s">
        <v>4354</v>
      </c>
    </row>
    <row r="1328" spans="2:19" x14ac:dyDescent="0.25">
      <c r="B1328">
        <v>16822</v>
      </c>
      <c r="C1328" t="s">
        <v>17248</v>
      </c>
      <c r="E1328">
        <v>240</v>
      </c>
      <c r="F1328">
        <v>112</v>
      </c>
      <c r="G1328">
        <v>255</v>
      </c>
      <c r="H1328">
        <v>11</v>
      </c>
      <c r="S1328" t="s">
        <v>4356</v>
      </c>
    </row>
    <row r="1329" spans="2:21" x14ac:dyDescent="0.25">
      <c r="B1329">
        <v>16823</v>
      </c>
      <c r="C1329" t="s">
        <v>17249</v>
      </c>
      <c r="E1329">
        <v>240</v>
      </c>
      <c r="F1329">
        <v>112</v>
      </c>
      <c r="G1329">
        <v>255</v>
      </c>
      <c r="H1329">
        <v>12</v>
      </c>
      <c r="T1329" t="s">
        <v>714</v>
      </c>
    </row>
    <row r="1330" spans="2:21" x14ac:dyDescent="0.25">
      <c r="B1330">
        <v>16824</v>
      </c>
      <c r="C1330" t="s">
        <v>17250</v>
      </c>
      <c r="E1330">
        <v>240</v>
      </c>
      <c r="F1330">
        <v>112</v>
      </c>
      <c r="G1330">
        <v>255</v>
      </c>
      <c r="H1330">
        <v>13</v>
      </c>
      <c r="U1330" t="s">
        <v>4358</v>
      </c>
    </row>
    <row r="1331" spans="2:21" x14ac:dyDescent="0.25">
      <c r="B1331">
        <v>16825</v>
      </c>
      <c r="C1331" t="s">
        <v>17251</v>
      </c>
      <c r="E1331">
        <v>240</v>
      </c>
      <c r="F1331">
        <v>112</v>
      </c>
      <c r="G1331">
        <v>255</v>
      </c>
      <c r="H1331">
        <v>13</v>
      </c>
      <c r="U1331" t="s">
        <v>4360</v>
      </c>
    </row>
    <row r="1332" spans="2:21" x14ac:dyDescent="0.25">
      <c r="B1332">
        <v>16826</v>
      </c>
      <c r="C1332" t="s">
        <v>17252</v>
      </c>
      <c r="E1332">
        <v>240</v>
      </c>
      <c r="F1332">
        <v>112</v>
      </c>
      <c r="G1332">
        <v>255</v>
      </c>
      <c r="H1332">
        <v>13</v>
      </c>
      <c r="U1332" t="s">
        <v>4362</v>
      </c>
    </row>
    <row r="1333" spans="2:21" x14ac:dyDescent="0.25">
      <c r="B1333">
        <v>16827</v>
      </c>
      <c r="C1333" t="s">
        <v>17253</v>
      </c>
      <c r="E1333">
        <v>240</v>
      </c>
      <c r="F1333">
        <v>112</v>
      </c>
      <c r="G1333">
        <v>255</v>
      </c>
      <c r="H1333">
        <v>11</v>
      </c>
      <c r="S1333" t="s">
        <v>4364</v>
      </c>
    </row>
    <row r="1334" spans="2:21" x14ac:dyDescent="0.25">
      <c r="B1334">
        <v>16828</v>
      </c>
      <c r="C1334" t="s">
        <v>17254</v>
      </c>
      <c r="E1334">
        <v>240</v>
      </c>
      <c r="F1334">
        <v>112</v>
      </c>
      <c r="G1334">
        <v>255</v>
      </c>
      <c r="H1334">
        <v>10</v>
      </c>
      <c r="R1334" t="s">
        <v>4366</v>
      </c>
    </row>
    <row r="1335" spans="2:21" x14ac:dyDescent="0.25">
      <c r="B1335">
        <v>16829</v>
      </c>
      <c r="C1335" t="s">
        <v>17255</v>
      </c>
      <c r="E1335">
        <v>240</v>
      </c>
      <c r="F1335">
        <v>112</v>
      </c>
      <c r="G1335">
        <v>255</v>
      </c>
      <c r="H1335">
        <v>11</v>
      </c>
      <c r="S1335" t="s">
        <v>4368</v>
      </c>
    </row>
    <row r="1336" spans="2:21" x14ac:dyDescent="0.25">
      <c r="B1336">
        <v>16830</v>
      </c>
      <c r="C1336" t="s">
        <v>17256</v>
      </c>
      <c r="E1336">
        <v>240</v>
      </c>
      <c r="F1336">
        <v>112</v>
      </c>
      <c r="G1336">
        <v>255</v>
      </c>
      <c r="H1336">
        <v>12</v>
      </c>
      <c r="T1336" t="s">
        <v>4370</v>
      </c>
    </row>
    <row r="1337" spans="2:21" x14ac:dyDescent="0.25">
      <c r="B1337">
        <v>16831</v>
      </c>
      <c r="C1337" t="s">
        <v>17257</v>
      </c>
      <c r="E1337">
        <v>240</v>
      </c>
      <c r="F1337">
        <v>112</v>
      </c>
      <c r="G1337">
        <v>255</v>
      </c>
      <c r="H1337">
        <v>12</v>
      </c>
      <c r="T1337" t="s">
        <v>4372</v>
      </c>
    </row>
    <row r="1338" spans="2:21" x14ac:dyDescent="0.25">
      <c r="B1338">
        <v>16832</v>
      </c>
      <c r="C1338" t="s">
        <v>17258</v>
      </c>
      <c r="E1338">
        <v>240</v>
      </c>
      <c r="F1338">
        <v>112</v>
      </c>
      <c r="G1338">
        <v>255</v>
      </c>
      <c r="H1338">
        <v>12</v>
      </c>
      <c r="T1338" t="s">
        <v>4374</v>
      </c>
    </row>
    <row r="1339" spans="2:21" x14ac:dyDescent="0.25">
      <c r="B1339">
        <v>16833</v>
      </c>
      <c r="C1339" t="s">
        <v>17259</v>
      </c>
      <c r="E1339">
        <v>240</v>
      </c>
      <c r="F1339">
        <v>112</v>
      </c>
      <c r="G1339">
        <v>255</v>
      </c>
      <c r="H1339">
        <v>12</v>
      </c>
      <c r="T1339" t="s">
        <v>4376</v>
      </c>
    </row>
    <row r="1340" spans="2:21" x14ac:dyDescent="0.25">
      <c r="B1340">
        <v>16834</v>
      </c>
      <c r="C1340" t="s">
        <v>17260</v>
      </c>
      <c r="E1340">
        <v>240</v>
      </c>
      <c r="F1340">
        <v>112</v>
      </c>
      <c r="G1340">
        <v>255</v>
      </c>
      <c r="H1340">
        <v>12</v>
      </c>
      <c r="T1340" t="s">
        <v>4378</v>
      </c>
    </row>
    <row r="1341" spans="2:21" x14ac:dyDescent="0.25">
      <c r="B1341">
        <v>16835</v>
      </c>
      <c r="C1341" t="s">
        <v>17261</v>
      </c>
      <c r="E1341">
        <v>240</v>
      </c>
      <c r="F1341">
        <v>112</v>
      </c>
      <c r="G1341">
        <v>255</v>
      </c>
      <c r="H1341">
        <v>12</v>
      </c>
      <c r="T1341" t="s">
        <v>4380</v>
      </c>
    </row>
    <row r="1342" spans="2:21" x14ac:dyDescent="0.25">
      <c r="B1342">
        <v>16836</v>
      </c>
      <c r="C1342" t="s">
        <v>17262</v>
      </c>
      <c r="E1342">
        <v>240</v>
      </c>
      <c r="F1342">
        <v>112</v>
      </c>
      <c r="G1342">
        <v>255</v>
      </c>
      <c r="H1342">
        <v>12</v>
      </c>
      <c r="T1342" t="s">
        <v>4382</v>
      </c>
    </row>
    <row r="1343" spans="2:21" x14ac:dyDescent="0.25">
      <c r="B1343">
        <v>16837</v>
      </c>
      <c r="C1343" t="s">
        <v>17263</v>
      </c>
      <c r="E1343">
        <v>240</v>
      </c>
      <c r="F1343">
        <v>112</v>
      </c>
      <c r="G1343">
        <v>255</v>
      </c>
      <c r="H1343">
        <v>12</v>
      </c>
      <c r="T1343" t="s">
        <v>4384</v>
      </c>
    </row>
    <row r="1344" spans="2:21" x14ac:dyDescent="0.25">
      <c r="B1344">
        <v>16838</v>
      </c>
      <c r="C1344" t="s">
        <v>17264</v>
      </c>
      <c r="E1344">
        <v>240</v>
      </c>
      <c r="F1344">
        <v>112</v>
      </c>
      <c r="G1344">
        <v>255</v>
      </c>
      <c r="H1344">
        <v>12</v>
      </c>
      <c r="T1344" t="s">
        <v>4386</v>
      </c>
    </row>
    <row r="1345" spans="2:20" x14ac:dyDescent="0.25">
      <c r="B1345">
        <v>16839</v>
      </c>
      <c r="C1345" t="s">
        <v>17265</v>
      </c>
      <c r="E1345">
        <v>240</v>
      </c>
      <c r="F1345">
        <v>112</v>
      </c>
      <c r="G1345">
        <v>255</v>
      </c>
      <c r="H1345">
        <v>12</v>
      </c>
      <c r="T1345" t="s">
        <v>4388</v>
      </c>
    </row>
    <row r="1346" spans="2:20" x14ac:dyDescent="0.25">
      <c r="B1346">
        <v>16840</v>
      </c>
      <c r="C1346" t="s">
        <v>17266</v>
      </c>
      <c r="E1346">
        <v>240</v>
      </c>
      <c r="F1346">
        <v>112</v>
      </c>
      <c r="G1346">
        <v>255</v>
      </c>
      <c r="H1346">
        <v>12</v>
      </c>
      <c r="T1346" t="s">
        <v>4390</v>
      </c>
    </row>
    <row r="1347" spans="2:20" x14ac:dyDescent="0.25">
      <c r="B1347">
        <v>16841</v>
      </c>
      <c r="C1347" t="s">
        <v>17267</v>
      </c>
      <c r="E1347">
        <v>211</v>
      </c>
      <c r="F1347">
        <v>50</v>
      </c>
      <c r="G1347">
        <v>230</v>
      </c>
      <c r="H1347">
        <v>12</v>
      </c>
      <c r="T1347" t="s">
        <v>4392</v>
      </c>
    </row>
    <row r="1348" spans="2:20" x14ac:dyDescent="0.25">
      <c r="B1348">
        <v>16842</v>
      </c>
      <c r="C1348" t="s">
        <v>17268</v>
      </c>
      <c r="E1348">
        <v>187</v>
      </c>
      <c r="F1348">
        <v>44</v>
      </c>
      <c r="G1348">
        <v>204</v>
      </c>
      <c r="H1348">
        <v>12</v>
      </c>
      <c r="T1348" t="s">
        <v>4394</v>
      </c>
    </row>
    <row r="1349" spans="2:20" x14ac:dyDescent="0.25">
      <c r="B1349">
        <v>16843</v>
      </c>
      <c r="C1349" t="s">
        <v>17269</v>
      </c>
      <c r="E1349">
        <v>234</v>
      </c>
      <c r="F1349">
        <v>55</v>
      </c>
      <c r="G1349">
        <v>255</v>
      </c>
      <c r="H1349">
        <v>6</v>
      </c>
      <c r="P1349" t="s">
        <v>10175</v>
      </c>
    </row>
    <row r="1350" spans="2:20" x14ac:dyDescent="0.25">
      <c r="B1350">
        <v>111220612</v>
      </c>
      <c r="C1350" t="s">
        <v>17270</v>
      </c>
      <c r="E1350">
        <v>234</v>
      </c>
      <c r="F1350">
        <v>55</v>
      </c>
      <c r="G1350">
        <v>255</v>
      </c>
      <c r="H1350">
        <v>9</v>
      </c>
      <c r="Q1350" t="s">
        <v>8699</v>
      </c>
    </row>
    <row r="1351" spans="2:20" x14ac:dyDescent="0.25">
      <c r="B1351">
        <v>111220614</v>
      </c>
      <c r="C1351" t="s">
        <v>17271</v>
      </c>
      <c r="E1351">
        <v>240</v>
      </c>
      <c r="F1351">
        <v>112</v>
      </c>
      <c r="G1351">
        <v>255</v>
      </c>
      <c r="H1351">
        <v>9</v>
      </c>
      <c r="Q1351" t="s">
        <v>8701</v>
      </c>
    </row>
    <row r="1352" spans="2:20" x14ac:dyDescent="0.25">
      <c r="B1352">
        <v>112892309</v>
      </c>
      <c r="C1352" t="s">
        <v>17272</v>
      </c>
      <c r="E1352">
        <v>240</v>
      </c>
      <c r="F1352">
        <v>112</v>
      </c>
      <c r="G1352">
        <v>255</v>
      </c>
      <c r="H1352">
        <v>10</v>
      </c>
      <c r="R1352" t="s">
        <v>9043</v>
      </c>
    </row>
    <row r="1353" spans="2:20" x14ac:dyDescent="0.25">
      <c r="B1353">
        <v>112892311</v>
      </c>
      <c r="C1353" t="s">
        <v>17273</v>
      </c>
      <c r="E1353">
        <v>240</v>
      </c>
      <c r="F1353">
        <v>112</v>
      </c>
      <c r="G1353">
        <v>255</v>
      </c>
      <c r="H1353">
        <v>10</v>
      </c>
      <c r="R1353" t="s">
        <v>9045</v>
      </c>
    </row>
    <row r="1354" spans="2:20" x14ac:dyDescent="0.25">
      <c r="B1354">
        <v>112892313</v>
      </c>
      <c r="C1354" t="s">
        <v>17274</v>
      </c>
      <c r="E1354">
        <v>240</v>
      </c>
      <c r="F1354">
        <v>112</v>
      </c>
      <c r="G1354">
        <v>255</v>
      </c>
      <c r="H1354">
        <v>10</v>
      </c>
      <c r="R1354" t="s">
        <v>9047</v>
      </c>
    </row>
    <row r="1355" spans="2:20" x14ac:dyDescent="0.25">
      <c r="B1355">
        <v>16844</v>
      </c>
      <c r="C1355" t="s">
        <v>17275</v>
      </c>
      <c r="E1355">
        <v>234</v>
      </c>
      <c r="F1355">
        <v>55</v>
      </c>
      <c r="G1355">
        <v>255</v>
      </c>
      <c r="H1355">
        <v>7</v>
      </c>
      <c r="Q1355" t="s">
        <v>3560</v>
      </c>
    </row>
    <row r="1356" spans="2:20" x14ac:dyDescent="0.25">
      <c r="B1356">
        <v>16845</v>
      </c>
      <c r="C1356" t="s">
        <v>17276</v>
      </c>
      <c r="E1356">
        <v>234</v>
      </c>
      <c r="F1356">
        <v>55</v>
      </c>
      <c r="G1356">
        <v>255</v>
      </c>
      <c r="H1356">
        <v>9</v>
      </c>
      <c r="R1356" t="s">
        <v>10177</v>
      </c>
    </row>
    <row r="1357" spans="2:20" x14ac:dyDescent="0.25">
      <c r="B1357">
        <v>16846</v>
      </c>
      <c r="C1357" t="s">
        <v>17277</v>
      </c>
      <c r="E1357">
        <v>240</v>
      </c>
      <c r="F1357">
        <v>112</v>
      </c>
      <c r="G1357">
        <v>255</v>
      </c>
      <c r="H1357">
        <v>9</v>
      </c>
      <c r="R1357" t="s">
        <v>10179</v>
      </c>
    </row>
    <row r="1358" spans="2:20" x14ac:dyDescent="0.25">
      <c r="B1358">
        <v>16847</v>
      </c>
      <c r="C1358" t="s">
        <v>17278</v>
      </c>
      <c r="E1358">
        <v>240</v>
      </c>
      <c r="F1358">
        <v>112</v>
      </c>
      <c r="G1358">
        <v>255</v>
      </c>
      <c r="H1358">
        <v>10</v>
      </c>
      <c r="S1358" t="s">
        <v>10181</v>
      </c>
    </row>
    <row r="1359" spans="2:20" x14ac:dyDescent="0.25">
      <c r="B1359">
        <v>16848</v>
      </c>
      <c r="C1359" t="s">
        <v>17279</v>
      </c>
      <c r="E1359">
        <v>240</v>
      </c>
      <c r="F1359">
        <v>112</v>
      </c>
      <c r="G1359">
        <v>255</v>
      </c>
      <c r="H1359">
        <v>11</v>
      </c>
      <c r="T1359" t="s">
        <v>10183</v>
      </c>
    </row>
    <row r="1360" spans="2:20" x14ac:dyDescent="0.25">
      <c r="B1360">
        <v>16849</v>
      </c>
      <c r="C1360" t="s">
        <v>17280</v>
      </c>
      <c r="E1360">
        <v>240</v>
      </c>
      <c r="F1360">
        <v>112</v>
      </c>
      <c r="G1360">
        <v>255</v>
      </c>
      <c r="H1360">
        <v>10</v>
      </c>
      <c r="S1360" t="s">
        <v>10185</v>
      </c>
    </row>
    <row r="1361" spans="2:20" x14ac:dyDescent="0.25">
      <c r="B1361">
        <v>16850</v>
      </c>
      <c r="C1361" t="s">
        <v>17281</v>
      </c>
      <c r="E1361">
        <v>240</v>
      </c>
      <c r="F1361">
        <v>112</v>
      </c>
      <c r="G1361">
        <v>255</v>
      </c>
      <c r="H1361">
        <v>11</v>
      </c>
      <c r="T1361" t="s">
        <v>2973</v>
      </c>
    </row>
    <row r="1362" spans="2:20" x14ac:dyDescent="0.25">
      <c r="B1362">
        <v>16851</v>
      </c>
      <c r="C1362" t="s">
        <v>17282</v>
      </c>
      <c r="E1362">
        <v>240</v>
      </c>
      <c r="F1362">
        <v>112</v>
      </c>
      <c r="G1362">
        <v>255</v>
      </c>
      <c r="H1362">
        <v>10</v>
      </c>
      <c r="S1362" t="s">
        <v>10187</v>
      </c>
    </row>
    <row r="1363" spans="2:20" x14ac:dyDescent="0.25">
      <c r="B1363">
        <v>16852</v>
      </c>
      <c r="C1363" t="s">
        <v>17283</v>
      </c>
      <c r="E1363">
        <v>240</v>
      </c>
      <c r="F1363">
        <v>112</v>
      </c>
      <c r="G1363">
        <v>255</v>
      </c>
      <c r="H1363">
        <v>11</v>
      </c>
      <c r="T1363" t="s">
        <v>2659</v>
      </c>
    </row>
    <row r="1364" spans="2:20" x14ac:dyDescent="0.25">
      <c r="B1364">
        <v>16853</v>
      </c>
      <c r="C1364" t="s">
        <v>17284</v>
      </c>
      <c r="E1364">
        <v>240</v>
      </c>
      <c r="F1364">
        <v>112</v>
      </c>
      <c r="G1364">
        <v>255</v>
      </c>
      <c r="H1364">
        <v>11</v>
      </c>
      <c r="T1364" t="s">
        <v>1498</v>
      </c>
    </row>
    <row r="1365" spans="2:20" x14ac:dyDescent="0.25">
      <c r="B1365">
        <v>16854</v>
      </c>
      <c r="C1365" t="s">
        <v>17285</v>
      </c>
      <c r="E1365">
        <v>234</v>
      </c>
      <c r="F1365">
        <v>55</v>
      </c>
      <c r="G1365">
        <v>255</v>
      </c>
      <c r="H1365">
        <v>7</v>
      </c>
      <c r="Q1365" t="s">
        <v>10189</v>
      </c>
    </row>
    <row r="1366" spans="2:20" x14ac:dyDescent="0.25">
      <c r="B1366">
        <v>16855</v>
      </c>
      <c r="C1366" t="s">
        <v>17286</v>
      </c>
      <c r="E1366">
        <v>234</v>
      </c>
      <c r="F1366">
        <v>55</v>
      </c>
      <c r="G1366">
        <v>255</v>
      </c>
      <c r="H1366">
        <v>9</v>
      </c>
      <c r="R1366" t="s">
        <v>10191</v>
      </c>
    </row>
    <row r="1367" spans="2:20" x14ac:dyDescent="0.25">
      <c r="B1367">
        <v>16856</v>
      </c>
      <c r="C1367" t="s">
        <v>17287</v>
      </c>
      <c r="E1367">
        <v>240</v>
      </c>
      <c r="F1367">
        <v>112</v>
      </c>
      <c r="G1367">
        <v>255</v>
      </c>
      <c r="H1367">
        <v>9</v>
      </c>
      <c r="R1367" t="s">
        <v>10193</v>
      </c>
    </row>
    <row r="1368" spans="2:20" x14ac:dyDescent="0.25">
      <c r="B1368">
        <v>16857</v>
      </c>
      <c r="C1368" t="s">
        <v>17288</v>
      </c>
      <c r="E1368">
        <v>240</v>
      </c>
      <c r="F1368">
        <v>112</v>
      </c>
      <c r="G1368">
        <v>255</v>
      </c>
      <c r="H1368">
        <v>10</v>
      </c>
      <c r="S1368" t="s">
        <v>10195</v>
      </c>
    </row>
    <row r="1369" spans="2:20" x14ac:dyDescent="0.25">
      <c r="B1369">
        <v>16858</v>
      </c>
      <c r="C1369" t="s">
        <v>17289</v>
      </c>
      <c r="E1369">
        <v>240</v>
      </c>
      <c r="F1369">
        <v>112</v>
      </c>
      <c r="G1369">
        <v>255</v>
      </c>
      <c r="H1369">
        <v>11</v>
      </c>
      <c r="T1369" t="s">
        <v>10197</v>
      </c>
    </row>
    <row r="1370" spans="2:20" x14ac:dyDescent="0.25">
      <c r="B1370">
        <v>16859</v>
      </c>
      <c r="C1370" t="s">
        <v>17290</v>
      </c>
      <c r="E1370">
        <v>240</v>
      </c>
      <c r="F1370">
        <v>112</v>
      </c>
      <c r="G1370">
        <v>255</v>
      </c>
      <c r="H1370">
        <v>10</v>
      </c>
      <c r="S1370" t="s">
        <v>10199</v>
      </c>
    </row>
    <row r="1371" spans="2:20" x14ac:dyDescent="0.25">
      <c r="B1371">
        <v>16860</v>
      </c>
      <c r="C1371" t="s">
        <v>17291</v>
      </c>
      <c r="E1371">
        <v>240</v>
      </c>
      <c r="F1371">
        <v>112</v>
      </c>
      <c r="G1371">
        <v>255</v>
      </c>
      <c r="H1371">
        <v>11</v>
      </c>
      <c r="T1371" t="s">
        <v>1555</v>
      </c>
    </row>
    <row r="1372" spans="2:20" x14ac:dyDescent="0.25">
      <c r="B1372">
        <v>16861</v>
      </c>
      <c r="C1372" t="s">
        <v>17292</v>
      </c>
      <c r="E1372">
        <v>240</v>
      </c>
      <c r="F1372">
        <v>112</v>
      </c>
      <c r="G1372">
        <v>255</v>
      </c>
      <c r="H1372">
        <v>10</v>
      </c>
      <c r="S1372" t="s">
        <v>10201</v>
      </c>
    </row>
    <row r="1373" spans="2:20" x14ac:dyDescent="0.25">
      <c r="B1373">
        <v>16862</v>
      </c>
      <c r="C1373" t="s">
        <v>17293</v>
      </c>
      <c r="E1373">
        <v>240</v>
      </c>
      <c r="F1373">
        <v>112</v>
      </c>
      <c r="G1373">
        <v>255</v>
      </c>
      <c r="H1373">
        <v>11</v>
      </c>
      <c r="T1373" t="s">
        <v>716</v>
      </c>
    </row>
    <row r="1374" spans="2:20" x14ac:dyDescent="0.25">
      <c r="B1374">
        <v>16863</v>
      </c>
      <c r="C1374" t="s">
        <v>17294</v>
      </c>
      <c r="E1374">
        <v>240</v>
      </c>
      <c r="F1374">
        <v>112</v>
      </c>
      <c r="G1374">
        <v>255</v>
      </c>
      <c r="H1374">
        <v>11</v>
      </c>
      <c r="T1374" t="s">
        <v>10203</v>
      </c>
    </row>
    <row r="1375" spans="2:20" x14ac:dyDescent="0.25">
      <c r="B1375">
        <v>16864</v>
      </c>
      <c r="C1375" t="s">
        <v>17295</v>
      </c>
      <c r="E1375">
        <v>234</v>
      </c>
      <c r="F1375">
        <v>55</v>
      </c>
      <c r="G1375">
        <v>255</v>
      </c>
      <c r="H1375">
        <v>6</v>
      </c>
      <c r="P1375" t="s">
        <v>10205</v>
      </c>
    </row>
    <row r="1376" spans="2:20" x14ac:dyDescent="0.25">
      <c r="B1376">
        <v>16865</v>
      </c>
      <c r="C1376" t="s">
        <v>17296</v>
      </c>
      <c r="E1376">
        <v>234</v>
      </c>
      <c r="F1376">
        <v>55</v>
      </c>
      <c r="G1376">
        <v>255</v>
      </c>
      <c r="H1376">
        <v>7</v>
      </c>
      <c r="Q1376" t="s">
        <v>10207</v>
      </c>
    </row>
    <row r="1377" spans="2:20" x14ac:dyDescent="0.25">
      <c r="B1377">
        <v>16866</v>
      </c>
      <c r="C1377" t="s">
        <v>17297</v>
      </c>
      <c r="E1377">
        <v>234</v>
      </c>
      <c r="F1377">
        <v>55</v>
      </c>
      <c r="G1377">
        <v>255</v>
      </c>
      <c r="H1377">
        <v>9</v>
      </c>
      <c r="R1377" t="s">
        <v>10209</v>
      </c>
    </row>
    <row r="1378" spans="2:20" x14ac:dyDescent="0.25">
      <c r="B1378">
        <v>16867</v>
      </c>
      <c r="C1378" t="s">
        <v>17298</v>
      </c>
      <c r="E1378">
        <v>240</v>
      </c>
      <c r="F1378">
        <v>112</v>
      </c>
      <c r="G1378">
        <v>255</v>
      </c>
      <c r="H1378">
        <v>9</v>
      </c>
      <c r="R1378" t="s">
        <v>10211</v>
      </c>
    </row>
    <row r="1379" spans="2:20" x14ac:dyDescent="0.25">
      <c r="B1379">
        <v>16868</v>
      </c>
      <c r="C1379" t="s">
        <v>17299</v>
      </c>
      <c r="E1379">
        <v>240</v>
      </c>
      <c r="F1379">
        <v>112</v>
      </c>
      <c r="G1379">
        <v>255</v>
      </c>
      <c r="H1379">
        <v>10</v>
      </c>
      <c r="S1379" t="s">
        <v>10213</v>
      </c>
    </row>
    <row r="1380" spans="2:20" x14ac:dyDescent="0.25">
      <c r="B1380">
        <v>16869</v>
      </c>
      <c r="C1380" t="s">
        <v>17300</v>
      </c>
      <c r="E1380">
        <v>240</v>
      </c>
      <c r="F1380">
        <v>112</v>
      </c>
      <c r="G1380">
        <v>255</v>
      </c>
      <c r="H1380">
        <v>11</v>
      </c>
      <c r="T1380" t="s">
        <v>10215</v>
      </c>
    </row>
    <row r="1381" spans="2:20" x14ac:dyDescent="0.25">
      <c r="B1381">
        <v>16870</v>
      </c>
      <c r="C1381" t="s">
        <v>17301</v>
      </c>
      <c r="E1381">
        <v>240</v>
      </c>
      <c r="F1381">
        <v>112</v>
      </c>
      <c r="G1381">
        <v>255</v>
      </c>
      <c r="H1381">
        <v>11</v>
      </c>
      <c r="T1381" t="s">
        <v>10217</v>
      </c>
    </row>
    <row r="1382" spans="2:20" x14ac:dyDescent="0.25">
      <c r="B1382">
        <v>16871</v>
      </c>
      <c r="C1382" t="s">
        <v>17302</v>
      </c>
      <c r="E1382">
        <v>240</v>
      </c>
      <c r="F1382">
        <v>112</v>
      </c>
      <c r="G1382">
        <v>255</v>
      </c>
      <c r="H1382">
        <v>10</v>
      </c>
      <c r="S1382" t="s">
        <v>10219</v>
      </c>
    </row>
    <row r="1383" spans="2:20" x14ac:dyDescent="0.25">
      <c r="B1383">
        <v>16872</v>
      </c>
      <c r="C1383" t="s">
        <v>17303</v>
      </c>
      <c r="E1383">
        <v>240</v>
      </c>
      <c r="F1383">
        <v>112</v>
      </c>
      <c r="G1383">
        <v>255</v>
      </c>
      <c r="H1383">
        <v>11</v>
      </c>
      <c r="T1383" t="s">
        <v>10221</v>
      </c>
    </row>
    <row r="1384" spans="2:20" x14ac:dyDescent="0.25">
      <c r="B1384">
        <v>16873</v>
      </c>
      <c r="C1384" t="s">
        <v>17304</v>
      </c>
      <c r="E1384">
        <v>240</v>
      </c>
      <c r="F1384">
        <v>112</v>
      </c>
      <c r="G1384">
        <v>255</v>
      </c>
      <c r="H1384">
        <v>11</v>
      </c>
      <c r="T1384" t="s">
        <v>10223</v>
      </c>
    </row>
    <row r="1385" spans="2:20" x14ac:dyDescent="0.25">
      <c r="B1385">
        <v>16874</v>
      </c>
      <c r="C1385" t="s">
        <v>17305</v>
      </c>
      <c r="E1385">
        <v>240</v>
      </c>
      <c r="F1385">
        <v>112</v>
      </c>
      <c r="G1385">
        <v>255</v>
      </c>
      <c r="H1385">
        <v>10</v>
      </c>
      <c r="S1385" t="s">
        <v>10225</v>
      </c>
    </row>
    <row r="1386" spans="2:20" x14ac:dyDescent="0.25">
      <c r="B1386">
        <v>16875</v>
      </c>
      <c r="C1386" t="s">
        <v>17306</v>
      </c>
      <c r="E1386">
        <v>240</v>
      </c>
      <c r="F1386">
        <v>112</v>
      </c>
      <c r="G1386">
        <v>255</v>
      </c>
      <c r="H1386">
        <v>11</v>
      </c>
      <c r="T1386" t="s">
        <v>10227</v>
      </c>
    </row>
    <row r="1387" spans="2:20" x14ac:dyDescent="0.25">
      <c r="B1387">
        <v>16886</v>
      </c>
      <c r="C1387" t="s">
        <v>17307</v>
      </c>
      <c r="E1387">
        <v>240</v>
      </c>
      <c r="F1387">
        <v>112</v>
      </c>
      <c r="G1387">
        <v>255</v>
      </c>
      <c r="H1387">
        <v>11</v>
      </c>
      <c r="T1387" t="s">
        <v>10247</v>
      </c>
    </row>
    <row r="1388" spans="2:20" x14ac:dyDescent="0.25">
      <c r="B1388">
        <v>16876</v>
      </c>
      <c r="C1388" t="s">
        <v>17308</v>
      </c>
      <c r="E1388">
        <v>187</v>
      </c>
      <c r="F1388">
        <v>44</v>
      </c>
      <c r="G1388">
        <v>204</v>
      </c>
      <c r="H1388">
        <v>5</v>
      </c>
      <c r="O1388" t="s">
        <v>10229</v>
      </c>
    </row>
    <row r="1389" spans="2:20" x14ac:dyDescent="0.25">
      <c r="B1389">
        <v>111220616</v>
      </c>
      <c r="C1389" t="s">
        <v>17309</v>
      </c>
      <c r="E1389">
        <v>187</v>
      </c>
      <c r="F1389">
        <v>44</v>
      </c>
      <c r="G1389">
        <v>204</v>
      </c>
      <c r="H1389">
        <v>9</v>
      </c>
      <c r="P1389" t="s">
        <v>8703</v>
      </c>
    </row>
    <row r="1390" spans="2:20" x14ac:dyDescent="0.25">
      <c r="B1390">
        <v>111220618</v>
      </c>
      <c r="C1390" t="s">
        <v>17310</v>
      </c>
      <c r="E1390">
        <v>211</v>
      </c>
      <c r="F1390">
        <v>50</v>
      </c>
      <c r="G1390">
        <v>230</v>
      </c>
      <c r="H1390">
        <v>9</v>
      </c>
      <c r="P1390" t="s">
        <v>8705</v>
      </c>
    </row>
    <row r="1391" spans="2:20" x14ac:dyDescent="0.25">
      <c r="B1391">
        <v>16877</v>
      </c>
      <c r="C1391" t="s">
        <v>17311</v>
      </c>
      <c r="E1391">
        <v>211</v>
      </c>
      <c r="F1391">
        <v>50</v>
      </c>
      <c r="G1391">
        <v>230</v>
      </c>
      <c r="H1391">
        <v>7</v>
      </c>
      <c r="P1391" t="s">
        <v>10231</v>
      </c>
    </row>
    <row r="1392" spans="2:20" x14ac:dyDescent="0.25">
      <c r="B1392">
        <v>16878</v>
      </c>
      <c r="C1392" t="s">
        <v>17312</v>
      </c>
      <c r="E1392">
        <v>187</v>
      </c>
      <c r="F1392">
        <v>44</v>
      </c>
      <c r="G1392">
        <v>204</v>
      </c>
      <c r="H1392">
        <v>9</v>
      </c>
      <c r="Q1392" t="s">
        <v>10233</v>
      </c>
    </row>
    <row r="1393" spans="2:20" x14ac:dyDescent="0.25">
      <c r="B1393">
        <v>16879</v>
      </c>
      <c r="C1393" t="s">
        <v>17313</v>
      </c>
      <c r="E1393">
        <v>211</v>
      </c>
      <c r="F1393">
        <v>50</v>
      </c>
      <c r="G1393">
        <v>230</v>
      </c>
      <c r="H1393">
        <v>9</v>
      </c>
      <c r="Q1393" t="s">
        <v>10235</v>
      </c>
    </row>
    <row r="1394" spans="2:20" x14ac:dyDescent="0.25">
      <c r="B1394">
        <v>16880</v>
      </c>
      <c r="C1394" t="s">
        <v>17314</v>
      </c>
      <c r="E1394">
        <v>211</v>
      </c>
      <c r="F1394">
        <v>50</v>
      </c>
      <c r="G1394">
        <v>230</v>
      </c>
      <c r="H1394">
        <v>10</v>
      </c>
      <c r="R1394" t="s">
        <v>10237</v>
      </c>
    </row>
    <row r="1395" spans="2:20" x14ac:dyDescent="0.25">
      <c r="B1395">
        <v>16881</v>
      </c>
      <c r="C1395" t="s">
        <v>17315</v>
      </c>
      <c r="E1395">
        <v>211</v>
      </c>
      <c r="F1395">
        <v>50</v>
      </c>
      <c r="G1395">
        <v>230</v>
      </c>
      <c r="H1395">
        <v>11</v>
      </c>
      <c r="S1395" t="s">
        <v>10239</v>
      </c>
    </row>
    <row r="1396" spans="2:20" x14ac:dyDescent="0.25">
      <c r="B1396">
        <v>112892315</v>
      </c>
      <c r="C1396" t="s">
        <v>17316</v>
      </c>
      <c r="E1396">
        <v>211</v>
      </c>
      <c r="F1396">
        <v>50</v>
      </c>
      <c r="G1396">
        <v>230</v>
      </c>
      <c r="H1396">
        <v>11</v>
      </c>
      <c r="S1396" t="s">
        <v>9049</v>
      </c>
    </row>
    <row r="1397" spans="2:20" x14ac:dyDescent="0.25">
      <c r="B1397">
        <v>16882</v>
      </c>
      <c r="C1397" t="s">
        <v>17317</v>
      </c>
      <c r="E1397">
        <v>211</v>
      </c>
      <c r="F1397">
        <v>50</v>
      </c>
      <c r="G1397">
        <v>230</v>
      </c>
      <c r="H1397">
        <v>10</v>
      </c>
      <c r="R1397" t="s">
        <v>10241</v>
      </c>
    </row>
    <row r="1398" spans="2:20" x14ac:dyDescent="0.25">
      <c r="B1398">
        <v>16883</v>
      </c>
      <c r="C1398" t="s">
        <v>17318</v>
      </c>
      <c r="E1398">
        <v>211</v>
      </c>
      <c r="F1398">
        <v>50</v>
      </c>
      <c r="G1398">
        <v>230</v>
      </c>
      <c r="H1398">
        <v>11</v>
      </c>
      <c r="S1398" t="s">
        <v>10243</v>
      </c>
    </row>
    <row r="1399" spans="2:20" x14ac:dyDescent="0.25">
      <c r="B1399">
        <v>16884</v>
      </c>
      <c r="C1399" t="s">
        <v>17319</v>
      </c>
      <c r="E1399">
        <v>211</v>
      </c>
      <c r="F1399">
        <v>50</v>
      </c>
      <c r="G1399">
        <v>230</v>
      </c>
      <c r="H1399">
        <v>11</v>
      </c>
      <c r="S1399" t="s">
        <v>4726</v>
      </c>
    </row>
    <row r="1400" spans="2:20" x14ac:dyDescent="0.25">
      <c r="B1400">
        <v>16885</v>
      </c>
      <c r="C1400" t="s">
        <v>17320</v>
      </c>
      <c r="E1400">
        <v>211</v>
      </c>
      <c r="F1400">
        <v>50</v>
      </c>
      <c r="G1400">
        <v>230</v>
      </c>
      <c r="H1400">
        <v>10</v>
      </c>
      <c r="R1400" t="s">
        <v>10245</v>
      </c>
    </row>
    <row r="1401" spans="2:20" x14ac:dyDescent="0.25">
      <c r="B1401">
        <v>16887</v>
      </c>
      <c r="C1401" t="s">
        <v>17321</v>
      </c>
      <c r="E1401">
        <v>187</v>
      </c>
      <c r="F1401">
        <v>44</v>
      </c>
      <c r="G1401">
        <v>204</v>
      </c>
      <c r="H1401">
        <v>7</v>
      </c>
      <c r="Q1401" t="s">
        <v>10249</v>
      </c>
    </row>
    <row r="1402" spans="2:20" x14ac:dyDescent="0.25">
      <c r="B1402">
        <v>16888</v>
      </c>
      <c r="C1402" t="s">
        <v>17322</v>
      </c>
      <c r="E1402">
        <v>187</v>
      </c>
      <c r="F1402">
        <v>44</v>
      </c>
      <c r="G1402">
        <v>204</v>
      </c>
      <c r="H1402">
        <v>9</v>
      </c>
      <c r="R1402" t="s">
        <v>10251</v>
      </c>
    </row>
    <row r="1403" spans="2:20" x14ac:dyDescent="0.25">
      <c r="B1403">
        <v>16889</v>
      </c>
      <c r="C1403" t="s">
        <v>17323</v>
      </c>
      <c r="E1403">
        <v>211</v>
      </c>
      <c r="F1403">
        <v>50</v>
      </c>
      <c r="G1403">
        <v>230</v>
      </c>
      <c r="H1403">
        <v>9</v>
      </c>
      <c r="R1403" t="s">
        <v>10253</v>
      </c>
    </row>
    <row r="1404" spans="2:20" x14ac:dyDescent="0.25">
      <c r="B1404">
        <v>16890</v>
      </c>
      <c r="C1404" t="s">
        <v>17324</v>
      </c>
      <c r="E1404">
        <v>211</v>
      </c>
      <c r="F1404">
        <v>50</v>
      </c>
      <c r="G1404">
        <v>230</v>
      </c>
      <c r="H1404">
        <v>10</v>
      </c>
      <c r="S1404" t="s">
        <v>10255</v>
      </c>
    </row>
    <row r="1405" spans="2:20" x14ac:dyDescent="0.25">
      <c r="B1405">
        <v>16891</v>
      </c>
      <c r="C1405" t="s">
        <v>17325</v>
      </c>
      <c r="E1405">
        <v>211</v>
      </c>
      <c r="F1405">
        <v>50</v>
      </c>
      <c r="G1405">
        <v>230</v>
      </c>
      <c r="H1405">
        <v>11</v>
      </c>
      <c r="T1405" t="s">
        <v>10257</v>
      </c>
    </row>
    <row r="1406" spans="2:20" x14ac:dyDescent="0.25">
      <c r="B1406">
        <v>16892</v>
      </c>
      <c r="C1406" t="s">
        <v>17326</v>
      </c>
      <c r="E1406">
        <v>211</v>
      </c>
      <c r="F1406">
        <v>50</v>
      </c>
      <c r="G1406">
        <v>230</v>
      </c>
      <c r="H1406">
        <v>11</v>
      </c>
      <c r="T1406" t="s">
        <v>10259</v>
      </c>
    </row>
    <row r="1407" spans="2:20" x14ac:dyDescent="0.25">
      <c r="B1407">
        <v>16893</v>
      </c>
      <c r="C1407" t="s">
        <v>17327</v>
      </c>
      <c r="E1407">
        <v>211</v>
      </c>
      <c r="F1407">
        <v>50</v>
      </c>
      <c r="G1407">
        <v>230</v>
      </c>
      <c r="H1407">
        <v>10</v>
      </c>
      <c r="S1407" t="s">
        <v>10261</v>
      </c>
    </row>
    <row r="1408" spans="2:20" x14ac:dyDescent="0.25">
      <c r="B1408">
        <v>16894</v>
      </c>
      <c r="C1408" t="s">
        <v>17328</v>
      </c>
      <c r="E1408">
        <v>211</v>
      </c>
      <c r="F1408">
        <v>50</v>
      </c>
      <c r="G1408">
        <v>230</v>
      </c>
      <c r="H1408">
        <v>11</v>
      </c>
      <c r="T1408" t="s">
        <v>10263</v>
      </c>
    </row>
    <row r="1409" spans="2:20" x14ac:dyDescent="0.25">
      <c r="B1409">
        <v>16895</v>
      </c>
      <c r="C1409" t="s">
        <v>17329</v>
      </c>
      <c r="E1409">
        <v>211</v>
      </c>
      <c r="F1409">
        <v>50</v>
      </c>
      <c r="G1409">
        <v>230</v>
      </c>
      <c r="H1409">
        <v>10</v>
      </c>
      <c r="S1409" t="s">
        <v>10265</v>
      </c>
    </row>
    <row r="1410" spans="2:20" x14ac:dyDescent="0.25">
      <c r="B1410">
        <v>16896</v>
      </c>
      <c r="C1410" t="s">
        <v>17330</v>
      </c>
      <c r="E1410">
        <v>211</v>
      </c>
      <c r="F1410">
        <v>50</v>
      </c>
      <c r="G1410">
        <v>230</v>
      </c>
      <c r="H1410">
        <v>11</v>
      </c>
      <c r="T1410" t="s">
        <v>10267</v>
      </c>
    </row>
    <row r="1411" spans="2:20" x14ac:dyDescent="0.25">
      <c r="B1411">
        <v>16897</v>
      </c>
      <c r="C1411" t="s">
        <v>17331</v>
      </c>
      <c r="E1411">
        <v>187</v>
      </c>
      <c r="F1411">
        <v>44</v>
      </c>
      <c r="G1411">
        <v>204</v>
      </c>
      <c r="H1411">
        <v>7</v>
      </c>
      <c r="Q1411" t="s">
        <v>10269</v>
      </c>
    </row>
    <row r="1412" spans="2:20" x14ac:dyDescent="0.25">
      <c r="B1412">
        <v>16898</v>
      </c>
      <c r="C1412" t="s">
        <v>17332</v>
      </c>
      <c r="E1412">
        <v>187</v>
      </c>
      <c r="F1412">
        <v>44</v>
      </c>
      <c r="G1412">
        <v>204</v>
      </c>
      <c r="H1412">
        <v>9</v>
      </c>
      <c r="R1412" t="s">
        <v>10271</v>
      </c>
    </row>
    <row r="1413" spans="2:20" x14ac:dyDescent="0.25">
      <c r="B1413">
        <v>16899</v>
      </c>
      <c r="C1413" t="s">
        <v>17333</v>
      </c>
      <c r="E1413">
        <v>211</v>
      </c>
      <c r="F1413">
        <v>50</v>
      </c>
      <c r="G1413">
        <v>230</v>
      </c>
      <c r="H1413">
        <v>9</v>
      </c>
      <c r="R1413" t="s">
        <v>10273</v>
      </c>
    </row>
    <row r="1414" spans="2:20" x14ac:dyDescent="0.25">
      <c r="B1414">
        <v>16900</v>
      </c>
      <c r="C1414" t="s">
        <v>17334</v>
      </c>
      <c r="E1414">
        <v>211</v>
      </c>
      <c r="F1414">
        <v>50</v>
      </c>
      <c r="G1414">
        <v>230</v>
      </c>
      <c r="H1414">
        <v>10</v>
      </c>
      <c r="S1414" t="s">
        <v>10275</v>
      </c>
    </row>
    <row r="1415" spans="2:20" x14ac:dyDescent="0.25">
      <c r="B1415">
        <v>16901</v>
      </c>
      <c r="C1415" t="s">
        <v>17335</v>
      </c>
      <c r="E1415">
        <v>211</v>
      </c>
      <c r="F1415">
        <v>50</v>
      </c>
      <c r="G1415">
        <v>230</v>
      </c>
      <c r="H1415">
        <v>11</v>
      </c>
      <c r="T1415" t="s">
        <v>10277</v>
      </c>
    </row>
    <row r="1416" spans="2:20" x14ac:dyDescent="0.25">
      <c r="B1416">
        <v>16902</v>
      </c>
      <c r="C1416" t="s">
        <v>17336</v>
      </c>
      <c r="E1416">
        <v>211</v>
      </c>
      <c r="F1416">
        <v>50</v>
      </c>
      <c r="G1416">
        <v>230</v>
      </c>
      <c r="H1416">
        <v>10</v>
      </c>
      <c r="S1416" t="s">
        <v>10279</v>
      </c>
    </row>
    <row r="1417" spans="2:20" x14ac:dyDescent="0.25">
      <c r="B1417">
        <v>16903</v>
      </c>
      <c r="C1417" t="s">
        <v>17337</v>
      </c>
      <c r="E1417">
        <v>211</v>
      </c>
      <c r="F1417">
        <v>50</v>
      </c>
      <c r="G1417">
        <v>230</v>
      </c>
      <c r="H1417">
        <v>11</v>
      </c>
      <c r="T1417" t="s">
        <v>2263</v>
      </c>
    </row>
    <row r="1418" spans="2:20" x14ac:dyDescent="0.25">
      <c r="B1418">
        <v>16904</v>
      </c>
      <c r="C1418" t="s">
        <v>17338</v>
      </c>
      <c r="E1418">
        <v>211</v>
      </c>
      <c r="F1418">
        <v>50</v>
      </c>
      <c r="G1418">
        <v>230</v>
      </c>
      <c r="H1418">
        <v>11</v>
      </c>
      <c r="T1418" t="s">
        <v>10281</v>
      </c>
    </row>
    <row r="1419" spans="2:20" x14ac:dyDescent="0.25">
      <c r="B1419">
        <v>16905</v>
      </c>
      <c r="C1419" t="s">
        <v>17339</v>
      </c>
      <c r="E1419">
        <v>211</v>
      </c>
      <c r="F1419">
        <v>50</v>
      </c>
      <c r="G1419">
        <v>230</v>
      </c>
      <c r="H1419">
        <v>11</v>
      </c>
      <c r="T1419" t="s">
        <v>10283</v>
      </c>
    </row>
    <row r="1420" spans="2:20" x14ac:dyDescent="0.25">
      <c r="B1420">
        <v>16906</v>
      </c>
      <c r="C1420" t="s">
        <v>17340</v>
      </c>
      <c r="E1420">
        <v>211</v>
      </c>
      <c r="F1420">
        <v>50</v>
      </c>
      <c r="G1420">
        <v>230</v>
      </c>
      <c r="H1420">
        <v>11</v>
      </c>
      <c r="T1420" t="s">
        <v>10285</v>
      </c>
    </row>
    <row r="1421" spans="2:20" x14ac:dyDescent="0.25">
      <c r="B1421">
        <v>16907</v>
      </c>
      <c r="C1421" t="s">
        <v>17341</v>
      </c>
      <c r="E1421">
        <v>211</v>
      </c>
      <c r="F1421">
        <v>50</v>
      </c>
      <c r="G1421">
        <v>230</v>
      </c>
      <c r="H1421">
        <v>10</v>
      </c>
      <c r="S1421" t="s">
        <v>10287</v>
      </c>
    </row>
    <row r="1422" spans="2:20" x14ac:dyDescent="0.25">
      <c r="B1422">
        <v>16908</v>
      </c>
      <c r="C1422" t="s">
        <v>17342</v>
      </c>
      <c r="E1422">
        <v>211</v>
      </c>
      <c r="F1422">
        <v>50</v>
      </c>
      <c r="G1422">
        <v>230</v>
      </c>
      <c r="H1422">
        <v>11</v>
      </c>
      <c r="T1422" t="s">
        <v>10289</v>
      </c>
    </row>
    <row r="1423" spans="2:20" x14ac:dyDescent="0.25">
      <c r="B1423">
        <v>16909</v>
      </c>
      <c r="C1423" t="s">
        <v>17343</v>
      </c>
      <c r="E1423">
        <v>211</v>
      </c>
      <c r="F1423">
        <v>50</v>
      </c>
      <c r="G1423">
        <v>230</v>
      </c>
      <c r="H1423">
        <v>11</v>
      </c>
      <c r="T1423" t="s">
        <v>10291</v>
      </c>
    </row>
    <row r="1424" spans="2:20" x14ac:dyDescent="0.25">
      <c r="B1424">
        <v>16910</v>
      </c>
      <c r="C1424" t="s">
        <v>17344</v>
      </c>
      <c r="E1424">
        <v>211</v>
      </c>
      <c r="F1424">
        <v>50</v>
      </c>
      <c r="G1424">
        <v>230</v>
      </c>
      <c r="H1424">
        <v>11</v>
      </c>
      <c r="T1424" t="s">
        <v>10293</v>
      </c>
    </row>
    <row r="1425" spans="2:18" x14ac:dyDescent="0.25">
      <c r="B1425">
        <v>16911</v>
      </c>
      <c r="C1425" t="s">
        <v>17345</v>
      </c>
      <c r="E1425">
        <v>164</v>
      </c>
      <c r="F1425">
        <v>39</v>
      </c>
      <c r="G1425">
        <v>179</v>
      </c>
      <c r="H1425">
        <v>5</v>
      </c>
      <c r="O1425" t="s">
        <v>10295</v>
      </c>
    </row>
    <row r="1426" spans="2:18" x14ac:dyDescent="0.25">
      <c r="B1426">
        <v>16912</v>
      </c>
      <c r="C1426" t="s">
        <v>17346</v>
      </c>
      <c r="E1426">
        <v>152</v>
      </c>
      <c r="F1426">
        <v>36</v>
      </c>
      <c r="G1426">
        <v>166</v>
      </c>
      <c r="H1426">
        <v>9</v>
      </c>
      <c r="P1426" t="s">
        <v>10297</v>
      </c>
    </row>
    <row r="1427" spans="2:18" x14ac:dyDescent="0.25">
      <c r="B1427">
        <v>16913</v>
      </c>
      <c r="C1427" t="s">
        <v>17347</v>
      </c>
      <c r="E1427">
        <v>187</v>
      </c>
      <c r="F1427">
        <v>44</v>
      </c>
      <c r="G1427">
        <v>204</v>
      </c>
      <c r="H1427">
        <v>9</v>
      </c>
      <c r="P1427" t="s">
        <v>10299</v>
      </c>
    </row>
    <row r="1428" spans="2:18" x14ac:dyDescent="0.25">
      <c r="B1428">
        <v>112892317</v>
      </c>
      <c r="C1428" t="s">
        <v>17348</v>
      </c>
      <c r="E1428">
        <v>187</v>
      </c>
      <c r="F1428">
        <v>44</v>
      </c>
      <c r="G1428">
        <v>204</v>
      </c>
      <c r="H1428">
        <v>10</v>
      </c>
      <c r="Q1428" t="s">
        <v>9051</v>
      </c>
    </row>
    <row r="1429" spans="2:18" x14ac:dyDescent="0.25">
      <c r="B1429">
        <v>112892319</v>
      </c>
      <c r="C1429" t="s">
        <v>17349</v>
      </c>
      <c r="E1429">
        <v>187</v>
      </c>
      <c r="F1429">
        <v>44</v>
      </c>
      <c r="G1429">
        <v>204</v>
      </c>
      <c r="H1429">
        <v>10</v>
      </c>
      <c r="Q1429" t="s">
        <v>9053</v>
      </c>
    </row>
    <row r="1430" spans="2:18" x14ac:dyDescent="0.25">
      <c r="B1430">
        <v>112892321</v>
      </c>
      <c r="C1430" t="s">
        <v>17350</v>
      </c>
      <c r="E1430">
        <v>187</v>
      </c>
      <c r="F1430">
        <v>44</v>
      </c>
      <c r="G1430">
        <v>204</v>
      </c>
      <c r="H1430">
        <v>10</v>
      </c>
      <c r="Q1430" t="s">
        <v>9055</v>
      </c>
    </row>
    <row r="1431" spans="2:18" x14ac:dyDescent="0.25">
      <c r="B1431">
        <v>126531028</v>
      </c>
      <c r="C1431" t="s">
        <v>17351</v>
      </c>
      <c r="E1431">
        <v>152</v>
      </c>
      <c r="F1431">
        <v>36</v>
      </c>
      <c r="G1431">
        <v>166</v>
      </c>
      <c r="H1431">
        <v>11</v>
      </c>
      <c r="R1431" t="s">
        <v>9119</v>
      </c>
    </row>
    <row r="1432" spans="2:18" x14ac:dyDescent="0.25">
      <c r="B1432">
        <v>16914</v>
      </c>
      <c r="C1432" t="s">
        <v>17352</v>
      </c>
      <c r="E1432">
        <v>152</v>
      </c>
      <c r="F1432">
        <v>36</v>
      </c>
      <c r="G1432">
        <v>166</v>
      </c>
      <c r="H1432">
        <v>11</v>
      </c>
      <c r="R1432" t="s">
        <v>10301</v>
      </c>
    </row>
    <row r="1433" spans="2:18" x14ac:dyDescent="0.25">
      <c r="B1433">
        <v>16915</v>
      </c>
      <c r="C1433" t="s">
        <v>17353</v>
      </c>
      <c r="E1433">
        <v>238</v>
      </c>
      <c r="F1433">
        <v>93</v>
      </c>
      <c r="G1433">
        <v>255</v>
      </c>
      <c r="H1433">
        <v>3</v>
      </c>
      <c r="N1433" t="s">
        <v>4767</v>
      </c>
    </row>
    <row r="1434" spans="2:18" x14ac:dyDescent="0.25">
      <c r="B1434">
        <v>16916</v>
      </c>
      <c r="C1434" t="s">
        <v>17354</v>
      </c>
      <c r="E1434">
        <v>245</v>
      </c>
      <c r="F1434">
        <v>181</v>
      </c>
      <c r="G1434">
        <v>255</v>
      </c>
      <c r="H1434">
        <v>5</v>
      </c>
      <c r="O1434" t="s">
        <v>4774</v>
      </c>
    </row>
    <row r="1435" spans="2:18" x14ac:dyDescent="0.25">
      <c r="B1435">
        <v>16917</v>
      </c>
      <c r="C1435" t="s">
        <v>17355</v>
      </c>
      <c r="E1435">
        <v>245</v>
      </c>
      <c r="F1435">
        <v>181</v>
      </c>
      <c r="G1435">
        <v>255</v>
      </c>
      <c r="H1435">
        <v>11</v>
      </c>
      <c r="P1435" t="s">
        <v>10303</v>
      </c>
    </row>
    <row r="1436" spans="2:18" x14ac:dyDescent="0.25">
      <c r="B1436">
        <v>16918</v>
      </c>
      <c r="C1436" t="s">
        <v>17356</v>
      </c>
      <c r="E1436">
        <v>245</v>
      </c>
      <c r="F1436">
        <v>181</v>
      </c>
      <c r="G1436">
        <v>255</v>
      </c>
      <c r="H1436">
        <v>11</v>
      </c>
      <c r="P1436" t="s">
        <v>10305</v>
      </c>
    </row>
    <row r="1437" spans="2:18" x14ac:dyDescent="0.25">
      <c r="B1437">
        <v>16919</v>
      </c>
      <c r="C1437" t="s">
        <v>17357</v>
      </c>
      <c r="E1437">
        <v>238</v>
      </c>
      <c r="F1437">
        <v>93</v>
      </c>
      <c r="G1437">
        <v>255</v>
      </c>
      <c r="H1437">
        <v>5</v>
      </c>
      <c r="O1437" t="s">
        <v>10307</v>
      </c>
    </row>
    <row r="1438" spans="2:18" x14ac:dyDescent="0.25">
      <c r="B1438">
        <v>111220620</v>
      </c>
      <c r="C1438" t="s">
        <v>17358</v>
      </c>
      <c r="E1438">
        <v>238</v>
      </c>
      <c r="F1438">
        <v>93</v>
      </c>
      <c r="G1438">
        <v>255</v>
      </c>
      <c r="H1438">
        <v>9</v>
      </c>
      <c r="P1438" t="s">
        <v>8707</v>
      </c>
    </row>
    <row r="1439" spans="2:18" x14ac:dyDescent="0.25">
      <c r="B1439">
        <v>111220622</v>
      </c>
      <c r="C1439" t="s">
        <v>17359</v>
      </c>
      <c r="E1439">
        <v>242</v>
      </c>
      <c r="F1439">
        <v>132</v>
      </c>
      <c r="G1439">
        <v>255</v>
      </c>
      <c r="H1439">
        <v>9</v>
      </c>
      <c r="P1439" t="s">
        <v>8709</v>
      </c>
    </row>
    <row r="1440" spans="2:18" x14ac:dyDescent="0.25">
      <c r="B1440">
        <v>16920</v>
      </c>
      <c r="C1440" t="s">
        <v>17360</v>
      </c>
      <c r="E1440">
        <v>242</v>
      </c>
      <c r="F1440">
        <v>132</v>
      </c>
      <c r="G1440">
        <v>255</v>
      </c>
      <c r="H1440">
        <v>7</v>
      </c>
      <c r="P1440" t="s">
        <v>1024</v>
      </c>
    </row>
    <row r="1441" spans="2:21" x14ac:dyDescent="0.25">
      <c r="B1441">
        <v>16921</v>
      </c>
      <c r="C1441" t="s">
        <v>17361</v>
      </c>
      <c r="E1441">
        <v>242</v>
      </c>
      <c r="F1441">
        <v>132</v>
      </c>
      <c r="G1441">
        <v>255</v>
      </c>
      <c r="H1441">
        <v>11</v>
      </c>
      <c r="Q1441" t="s">
        <v>4396</v>
      </c>
    </row>
    <row r="1442" spans="2:21" x14ac:dyDescent="0.25">
      <c r="B1442">
        <v>16922</v>
      </c>
      <c r="C1442" t="s">
        <v>17362</v>
      </c>
      <c r="E1442">
        <v>238</v>
      </c>
      <c r="F1442">
        <v>93</v>
      </c>
      <c r="G1442">
        <v>255</v>
      </c>
      <c r="H1442">
        <v>9</v>
      </c>
      <c r="Q1442" t="s">
        <v>4398</v>
      </c>
    </row>
    <row r="1443" spans="2:21" x14ac:dyDescent="0.25">
      <c r="B1443">
        <v>16923</v>
      </c>
      <c r="C1443" t="s">
        <v>17363</v>
      </c>
      <c r="E1443">
        <v>242</v>
      </c>
      <c r="F1443">
        <v>132</v>
      </c>
      <c r="G1443">
        <v>255</v>
      </c>
      <c r="H1443">
        <v>11</v>
      </c>
      <c r="R1443" t="s">
        <v>4400</v>
      </c>
    </row>
    <row r="1444" spans="2:21" x14ac:dyDescent="0.25">
      <c r="B1444">
        <v>16924</v>
      </c>
      <c r="C1444" t="s">
        <v>17364</v>
      </c>
      <c r="E1444">
        <v>242</v>
      </c>
      <c r="F1444">
        <v>132</v>
      </c>
      <c r="G1444">
        <v>255</v>
      </c>
      <c r="H1444">
        <v>9</v>
      </c>
      <c r="Q1444" t="s">
        <v>4402</v>
      </c>
    </row>
    <row r="1445" spans="2:21" x14ac:dyDescent="0.25">
      <c r="B1445">
        <v>16925</v>
      </c>
      <c r="C1445" t="s">
        <v>17365</v>
      </c>
      <c r="E1445">
        <v>242</v>
      </c>
      <c r="F1445">
        <v>132</v>
      </c>
      <c r="G1445">
        <v>255</v>
      </c>
      <c r="H1445">
        <v>10</v>
      </c>
      <c r="R1445" t="s">
        <v>4404</v>
      </c>
    </row>
    <row r="1446" spans="2:21" x14ac:dyDescent="0.25">
      <c r="B1446">
        <v>16926</v>
      </c>
      <c r="C1446" t="s">
        <v>17366</v>
      </c>
      <c r="E1446">
        <v>242</v>
      </c>
      <c r="F1446">
        <v>132</v>
      </c>
      <c r="G1446">
        <v>255</v>
      </c>
      <c r="H1446">
        <v>11</v>
      </c>
      <c r="S1446" t="s">
        <v>846</v>
      </c>
    </row>
    <row r="1447" spans="2:21" x14ac:dyDescent="0.25">
      <c r="B1447">
        <v>16927</v>
      </c>
      <c r="C1447" t="s">
        <v>17367</v>
      </c>
      <c r="E1447">
        <v>242</v>
      </c>
      <c r="F1447">
        <v>132</v>
      </c>
      <c r="G1447">
        <v>255</v>
      </c>
      <c r="H1447">
        <v>10</v>
      </c>
      <c r="R1447" t="s">
        <v>4406</v>
      </c>
    </row>
    <row r="1448" spans="2:21" x14ac:dyDescent="0.25">
      <c r="B1448">
        <v>16928</v>
      </c>
      <c r="C1448" t="s">
        <v>17368</v>
      </c>
      <c r="E1448">
        <v>242</v>
      </c>
      <c r="F1448">
        <v>132</v>
      </c>
      <c r="G1448">
        <v>255</v>
      </c>
      <c r="H1448">
        <v>11</v>
      </c>
      <c r="S1448" t="s">
        <v>4408</v>
      </c>
    </row>
    <row r="1449" spans="2:21" x14ac:dyDescent="0.25">
      <c r="B1449">
        <v>16929</v>
      </c>
      <c r="C1449" t="s">
        <v>17369</v>
      </c>
      <c r="E1449">
        <v>242</v>
      </c>
      <c r="F1449">
        <v>132</v>
      </c>
      <c r="G1449">
        <v>255</v>
      </c>
      <c r="H1449">
        <v>12</v>
      </c>
      <c r="T1449" t="s">
        <v>718</v>
      </c>
    </row>
    <row r="1450" spans="2:21" x14ac:dyDescent="0.25">
      <c r="B1450">
        <v>16930</v>
      </c>
      <c r="C1450" t="s">
        <v>17370</v>
      </c>
      <c r="E1450">
        <v>242</v>
      </c>
      <c r="F1450">
        <v>132</v>
      </c>
      <c r="G1450">
        <v>255</v>
      </c>
      <c r="H1450">
        <v>13</v>
      </c>
      <c r="U1450" t="s">
        <v>1663</v>
      </c>
    </row>
    <row r="1451" spans="2:21" x14ac:dyDescent="0.25">
      <c r="B1451">
        <v>16931</v>
      </c>
      <c r="C1451" t="s">
        <v>17371</v>
      </c>
      <c r="E1451">
        <v>242</v>
      </c>
      <c r="F1451">
        <v>132</v>
      </c>
      <c r="G1451">
        <v>255</v>
      </c>
      <c r="H1451">
        <v>13</v>
      </c>
      <c r="U1451" t="s">
        <v>4410</v>
      </c>
    </row>
    <row r="1452" spans="2:21" x14ac:dyDescent="0.25">
      <c r="B1452">
        <v>16932</v>
      </c>
      <c r="C1452" t="s">
        <v>17372</v>
      </c>
      <c r="E1452">
        <v>242</v>
      </c>
      <c r="F1452">
        <v>132</v>
      </c>
      <c r="G1452">
        <v>255</v>
      </c>
      <c r="H1452">
        <v>13</v>
      </c>
      <c r="U1452" t="s">
        <v>1068</v>
      </c>
    </row>
    <row r="1453" spans="2:21" x14ac:dyDescent="0.25">
      <c r="B1453">
        <v>16933</v>
      </c>
      <c r="C1453" t="s">
        <v>17373</v>
      </c>
      <c r="E1453">
        <v>242</v>
      </c>
      <c r="F1453">
        <v>132</v>
      </c>
      <c r="G1453">
        <v>255</v>
      </c>
      <c r="H1453">
        <v>12</v>
      </c>
      <c r="T1453" t="s">
        <v>4412</v>
      </c>
    </row>
    <row r="1454" spans="2:21" x14ac:dyDescent="0.25">
      <c r="B1454">
        <v>16934</v>
      </c>
      <c r="C1454" t="s">
        <v>17374</v>
      </c>
      <c r="E1454">
        <v>242</v>
      </c>
      <c r="F1454">
        <v>132</v>
      </c>
      <c r="G1454">
        <v>255</v>
      </c>
      <c r="H1454">
        <v>13</v>
      </c>
      <c r="U1454" t="s">
        <v>4414</v>
      </c>
    </row>
    <row r="1455" spans="2:21" x14ac:dyDescent="0.25">
      <c r="B1455">
        <v>16935</v>
      </c>
      <c r="C1455" t="s">
        <v>17375</v>
      </c>
      <c r="E1455">
        <v>242</v>
      </c>
      <c r="F1455">
        <v>132</v>
      </c>
      <c r="G1455">
        <v>255</v>
      </c>
      <c r="H1455">
        <v>13</v>
      </c>
      <c r="U1455" t="s">
        <v>4416</v>
      </c>
    </row>
    <row r="1456" spans="2:21" x14ac:dyDescent="0.25">
      <c r="B1456">
        <v>16936</v>
      </c>
      <c r="C1456" t="s">
        <v>17376</v>
      </c>
      <c r="E1456">
        <v>242</v>
      </c>
      <c r="F1456">
        <v>132</v>
      </c>
      <c r="G1456">
        <v>255</v>
      </c>
      <c r="H1456">
        <v>11</v>
      </c>
      <c r="S1456" t="s">
        <v>4418</v>
      </c>
    </row>
    <row r="1457" spans="2:20" x14ac:dyDescent="0.25">
      <c r="B1457">
        <v>16937</v>
      </c>
      <c r="C1457" t="s">
        <v>17377</v>
      </c>
      <c r="E1457">
        <v>242</v>
      </c>
      <c r="F1457">
        <v>132</v>
      </c>
      <c r="G1457">
        <v>255</v>
      </c>
      <c r="H1457">
        <v>11</v>
      </c>
      <c r="S1457" t="s">
        <v>4420</v>
      </c>
    </row>
    <row r="1458" spans="2:20" x14ac:dyDescent="0.25">
      <c r="B1458">
        <v>16938</v>
      </c>
      <c r="C1458" t="s">
        <v>17378</v>
      </c>
      <c r="E1458">
        <v>242</v>
      </c>
      <c r="F1458">
        <v>132</v>
      </c>
      <c r="G1458">
        <v>255</v>
      </c>
      <c r="H1458">
        <v>10</v>
      </c>
      <c r="R1458" t="s">
        <v>4422</v>
      </c>
    </row>
    <row r="1459" spans="2:20" x14ac:dyDescent="0.25">
      <c r="B1459">
        <v>16939</v>
      </c>
      <c r="C1459" t="s">
        <v>17379</v>
      </c>
      <c r="E1459">
        <v>242</v>
      </c>
      <c r="F1459">
        <v>132</v>
      </c>
      <c r="G1459">
        <v>255</v>
      </c>
      <c r="H1459">
        <v>11</v>
      </c>
      <c r="S1459" t="s">
        <v>1019</v>
      </c>
    </row>
    <row r="1460" spans="2:20" x14ac:dyDescent="0.25">
      <c r="B1460">
        <v>16940</v>
      </c>
      <c r="C1460" t="s">
        <v>17380</v>
      </c>
      <c r="E1460">
        <v>242</v>
      </c>
      <c r="F1460">
        <v>132</v>
      </c>
      <c r="G1460">
        <v>255</v>
      </c>
      <c r="H1460">
        <v>12</v>
      </c>
      <c r="T1460" t="s">
        <v>2794</v>
      </c>
    </row>
    <row r="1461" spans="2:20" x14ac:dyDescent="0.25">
      <c r="B1461">
        <v>16941</v>
      </c>
      <c r="C1461" t="s">
        <v>17381</v>
      </c>
      <c r="E1461">
        <v>242</v>
      </c>
      <c r="F1461">
        <v>132</v>
      </c>
      <c r="G1461">
        <v>255</v>
      </c>
      <c r="H1461">
        <v>12</v>
      </c>
      <c r="T1461" t="s">
        <v>4424</v>
      </c>
    </row>
    <row r="1462" spans="2:20" x14ac:dyDescent="0.25">
      <c r="B1462">
        <v>16942</v>
      </c>
      <c r="C1462" t="s">
        <v>17382</v>
      </c>
      <c r="E1462">
        <v>242</v>
      </c>
      <c r="F1462">
        <v>132</v>
      </c>
      <c r="G1462">
        <v>255</v>
      </c>
      <c r="H1462">
        <v>12</v>
      </c>
      <c r="T1462" t="s">
        <v>4426</v>
      </c>
    </row>
    <row r="1463" spans="2:20" x14ac:dyDescent="0.25">
      <c r="B1463">
        <v>16943</v>
      </c>
      <c r="C1463" t="s">
        <v>17383</v>
      </c>
      <c r="E1463">
        <v>242</v>
      </c>
      <c r="F1463">
        <v>132</v>
      </c>
      <c r="G1463">
        <v>255</v>
      </c>
      <c r="H1463">
        <v>12</v>
      </c>
      <c r="T1463" t="s">
        <v>1087</v>
      </c>
    </row>
    <row r="1464" spans="2:20" x14ac:dyDescent="0.25">
      <c r="B1464">
        <v>16944</v>
      </c>
      <c r="C1464" t="s">
        <v>17384</v>
      </c>
      <c r="E1464">
        <v>242</v>
      </c>
      <c r="F1464">
        <v>132</v>
      </c>
      <c r="G1464">
        <v>255</v>
      </c>
      <c r="H1464">
        <v>12</v>
      </c>
      <c r="T1464" t="s">
        <v>4428</v>
      </c>
    </row>
    <row r="1465" spans="2:20" x14ac:dyDescent="0.25">
      <c r="B1465">
        <v>16945</v>
      </c>
      <c r="C1465" t="s">
        <v>17385</v>
      </c>
      <c r="E1465">
        <v>242</v>
      </c>
      <c r="F1465">
        <v>132</v>
      </c>
      <c r="G1465">
        <v>255</v>
      </c>
      <c r="H1465">
        <v>12</v>
      </c>
      <c r="T1465" t="s">
        <v>3587</v>
      </c>
    </row>
    <row r="1466" spans="2:20" x14ac:dyDescent="0.25">
      <c r="B1466">
        <v>16946</v>
      </c>
      <c r="C1466" t="s">
        <v>17386</v>
      </c>
      <c r="E1466">
        <v>242</v>
      </c>
      <c r="F1466">
        <v>132</v>
      </c>
      <c r="G1466">
        <v>255</v>
      </c>
      <c r="H1466">
        <v>12</v>
      </c>
      <c r="T1466" t="s">
        <v>1891</v>
      </c>
    </row>
    <row r="1467" spans="2:20" x14ac:dyDescent="0.25">
      <c r="B1467">
        <v>16947</v>
      </c>
      <c r="C1467" t="s">
        <v>17387</v>
      </c>
      <c r="E1467">
        <v>242</v>
      </c>
      <c r="F1467">
        <v>132</v>
      </c>
      <c r="G1467">
        <v>255</v>
      </c>
      <c r="H1467">
        <v>12</v>
      </c>
      <c r="T1467" t="s">
        <v>4430</v>
      </c>
    </row>
    <row r="1468" spans="2:20" x14ac:dyDescent="0.25">
      <c r="B1468">
        <v>16948</v>
      </c>
      <c r="C1468" t="s">
        <v>17388</v>
      </c>
      <c r="E1468">
        <v>211</v>
      </c>
      <c r="F1468">
        <v>50</v>
      </c>
      <c r="G1468">
        <v>230</v>
      </c>
      <c r="H1468">
        <v>12</v>
      </c>
      <c r="T1468" t="s">
        <v>4432</v>
      </c>
    </row>
    <row r="1469" spans="2:20" x14ac:dyDescent="0.25">
      <c r="B1469">
        <v>16949</v>
      </c>
      <c r="C1469" t="s">
        <v>17389</v>
      </c>
      <c r="E1469">
        <v>187</v>
      </c>
      <c r="F1469">
        <v>44</v>
      </c>
      <c r="G1469">
        <v>204</v>
      </c>
      <c r="H1469">
        <v>12</v>
      </c>
      <c r="T1469" t="s">
        <v>4434</v>
      </c>
    </row>
    <row r="1470" spans="2:20" x14ac:dyDescent="0.25">
      <c r="B1470">
        <v>16950</v>
      </c>
      <c r="C1470" t="s">
        <v>17390</v>
      </c>
      <c r="E1470">
        <v>238</v>
      </c>
      <c r="F1470">
        <v>93</v>
      </c>
      <c r="G1470">
        <v>255</v>
      </c>
      <c r="H1470">
        <v>7</v>
      </c>
      <c r="P1470" t="s">
        <v>10309</v>
      </c>
    </row>
    <row r="1471" spans="2:20" x14ac:dyDescent="0.25">
      <c r="B1471">
        <v>16951</v>
      </c>
      <c r="C1471" t="s">
        <v>17391</v>
      </c>
      <c r="E1471">
        <v>238</v>
      </c>
      <c r="F1471">
        <v>93</v>
      </c>
      <c r="G1471">
        <v>255</v>
      </c>
      <c r="H1471">
        <v>9</v>
      </c>
      <c r="Q1471" t="s">
        <v>10311</v>
      </c>
    </row>
    <row r="1472" spans="2:20" x14ac:dyDescent="0.25">
      <c r="B1472">
        <v>16952</v>
      </c>
      <c r="C1472" t="s">
        <v>17392</v>
      </c>
      <c r="E1472">
        <v>242</v>
      </c>
      <c r="F1472">
        <v>132</v>
      </c>
      <c r="G1472">
        <v>255</v>
      </c>
      <c r="H1472">
        <v>9</v>
      </c>
      <c r="Q1472" t="s">
        <v>10313</v>
      </c>
    </row>
    <row r="1473" spans="2:19" x14ac:dyDescent="0.25">
      <c r="B1473">
        <v>111220624</v>
      </c>
      <c r="C1473" t="s">
        <v>17393</v>
      </c>
      <c r="E1473">
        <v>242</v>
      </c>
      <c r="F1473">
        <v>132</v>
      </c>
      <c r="G1473">
        <v>255</v>
      </c>
      <c r="H1473">
        <v>10</v>
      </c>
      <c r="R1473" t="s">
        <v>8711</v>
      </c>
    </row>
    <row r="1474" spans="2:19" x14ac:dyDescent="0.25">
      <c r="B1474">
        <v>124372424</v>
      </c>
      <c r="C1474" t="s">
        <v>17394</v>
      </c>
      <c r="E1474">
        <v>242</v>
      </c>
      <c r="F1474">
        <v>132</v>
      </c>
      <c r="G1474">
        <v>255</v>
      </c>
      <c r="H1474">
        <v>11</v>
      </c>
      <c r="S1474" t="s">
        <v>9103</v>
      </c>
    </row>
    <row r="1475" spans="2:19" x14ac:dyDescent="0.25">
      <c r="B1475">
        <v>111220626</v>
      </c>
      <c r="C1475" t="s">
        <v>17395</v>
      </c>
      <c r="E1475">
        <v>242</v>
      </c>
      <c r="F1475">
        <v>132</v>
      </c>
      <c r="G1475">
        <v>255</v>
      </c>
      <c r="H1475">
        <v>10</v>
      </c>
      <c r="R1475" t="s">
        <v>8713</v>
      </c>
    </row>
    <row r="1476" spans="2:19" x14ac:dyDescent="0.25">
      <c r="B1476">
        <v>16953</v>
      </c>
      <c r="C1476" t="s">
        <v>17396</v>
      </c>
      <c r="E1476">
        <v>242</v>
      </c>
      <c r="F1476">
        <v>132</v>
      </c>
      <c r="G1476">
        <v>255</v>
      </c>
      <c r="H1476">
        <v>11</v>
      </c>
      <c r="S1476" t="s">
        <v>10315</v>
      </c>
    </row>
    <row r="1477" spans="2:19" x14ac:dyDescent="0.25">
      <c r="B1477">
        <v>111220628</v>
      </c>
      <c r="C1477" t="s">
        <v>17397</v>
      </c>
      <c r="E1477">
        <v>242</v>
      </c>
      <c r="F1477">
        <v>132</v>
      </c>
      <c r="G1477">
        <v>255</v>
      </c>
      <c r="H1477">
        <v>10</v>
      </c>
      <c r="R1477" t="s">
        <v>8715</v>
      </c>
    </row>
    <row r="1478" spans="2:19" x14ac:dyDescent="0.25">
      <c r="B1478">
        <v>16954</v>
      </c>
      <c r="C1478" t="s">
        <v>17398</v>
      </c>
      <c r="E1478">
        <v>238</v>
      </c>
      <c r="F1478">
        <v>93</v>
      </c>
      <c r="G1478">
        <v>255</v>
      </c>
      <c r="H1478">
        <v>7</v>
      </c>
      <c r="P1478" t="s">
        <v>10317</v>
      </c>
    </row>
    <row r="1479" spans="2:19" x14ac:dyDescent="0.25">
      <c r="B1479">
        <v>16955</v>
      </c>
      <c r="C1479" t="s">
        <v>17399</v>
      </c>
      <c r="E1479">
        <v>238</v>
      </c>
      <c r="F1479">
        <v>93</v>
      </c>
      <c r="G1479">
        <v>255</v>
      </c>
      <c r="H1479">
        <v>9</v>
      </c>
      <c r="Q1479" t="s">
        <v>10319</v>
      </c>
    </row>
    <row r="1480" spans="2:19" x14ac:dyDescent="0.25">
      <c r="B1480">
        <v>16956</v>
      </c>
      <c r="C1480" t="s">
        <v>17400</v>
      </c>
      <c r="E1480">
        <v>242</v>
      </c>
      <c r="F1480">
        <v>132</v>
      </c>
      <c r="G1480">
        <v>255</v>
      </c>
      <c r="H1480">
        <v>9</v>
      </c>
      <c r="Q1480" t="s">
        <v>10321</v>
      </c>
    </row>
    <row r="1481" spans="2:19" x14ac:dyDescent="0.25">
      <c r="B1481">
        <v>111220630</v>
      </c>
      <c r="C1481" t="s">
        <v>17401</v>
      </c>
      <c r="E1481">
        <v>242</v>
      </c>
      <c r="F1481">
        <v>132</v>
      </c>
      <c r="G1481">
        <v>255</v>
      </c>
      <c r="H1481">
        <v>10</v>
      </c>
      <c r="R1481" t="s">
        <v>8717</v>
      </c>
    </row>
    <row r="1482" spans="2:19" x14ac:dyDescent="0.25">
      <c r="B1482">
        <v>111220632</v>
      </c>
      <c r="C1482" t="s">
        <v>17402</v>
      </c>
      <c r="E1482">
        <v>242</v>
      </c>
      <c r="F1482">
        <v>132</v>
      </c>
      <c r="G1482">
        <v>255</v>
      </c>
      <c r="H1482">
        <v>10</v>
      </c>
      <c r="R1482" t="s">
        <v>8719</v>
      </c>
    </row>
    <row r="1483" spans="2:19" x14ac:dyDescent="0.25">
      <c r="B1483">
        <v>16958</v>
      </c>
      <c r="C1483" t="s">
        <v>17403</v>
      </c>
      <c r="E1483">
        <v>242</v>
      </c>
      <c r="F1483">
        <v>132</v>
      </c>
      <c r="G1483">
        <v>255</v>
      </c>
      <c r="H1483">
        <v>11</v>
      </c>
      <c r="S1483" t="s">
        <v>10325</v>
      </c>
    </row>
    <row r="1484" spans="2:19" x14ac:dyDescent="0.25">
      <c r="B1484">
        <v>111220634</v>
      </c>
      <c r="C1484" t="s">
        <v>17404</v>
      </c>
      <c r="E1484">
        <v>242</v>
      </c>
      <c r="F1484">
        <v>132</v>
      </c>
      <c r="G1484">
        <v>255</v>
      </c>
      <c r="H1484">
        <v>10</v>
      </c>
      <c r="R1484" t="s">
        <v>8721</v>
      </c>
    </row>
    <row r="1485" spans="2:19" x14ac:dyDescent="0.25">
      <c r="B1485">
        <v>16957</v>
      </c>
      <c r="C1485" t="s">
        <v>17405</v>
      </c>
      <c r="E1485">
        <v>242</v>
      </c>
      <c r="F1485">
        <v>132</v>
      </c>
      <c r="G1485">
        <v>255</v>
      </c>
      <c r="H1485">
        <v>11</v>
      </c>
      <c r="S1485" t="s">
        <v>10323</v>
      </c>
    </row>
    <row r="1486" spans="2:19" x14ac:dyDescent="0.25">
      <c r="B1486">
        <v>16959</v>
      </c>
      <c r="C1486" t="s">
        <v>17406</v>
      </c>
      <c r="E1486">
        <v>238</v>
      </c>
      <c r="F1486">
        <v>93</v>
      </c>
      <c r="G1486">
        <v>255</v>
      </c>
      <c r="H1486">
        <v>7</v>
      </c>
      <c r="P1486" t="s">
        <v>10327</v>
      </c>
    </row>
    <row r="1487" spans="2:19" x14ac:dyDescent="0.25">
      <c r="B1487">
        <v>16960</v>
      </c>
      <c r="C1487" t="s">
        <v>17407</v>
      </c>
      <c r="E1487">
        <v>238</v>
      </c>
      <c r="F1487">
        <v>93</v>
      </c>
      <c r="G1487">
        <v>255</v>
      </c>
      <c r="H1487">
        <v>9</v>
      </c>
      <c r="Q1487" t="s">
        <v>10329</v>
      </c>
    </row>
    <row r="1488" spans="2:19" x14ac:dyDescent="0.25">
      <c r="B1488">
        <v>16961</v>
      </c>
      <c r="C1488" t="s">
        <v>17408</v>
      </c>
      <c r="E1488">
        <v>242</v>
      </c>
      <c r="F1488">
        <v>132</v>
      </c>
      <c r="G1488">
        <v>255</v>
      </c>
      <c r="H1488">
        <v>9</v>
      </c>
      <c r="Q1488" t="s">
        <v>10331</v>
      </c>
    </row>
    <row r="1489" spans="2:19" x14ac:dyDescent="0.25">
      <c r="B1489">
        <v>111220636</v>
      </c>
      <c r="C1489" t="s">
        <v>17409</v>
      </c>
      <c r="E1489">
        <v>242</v>
      </c>
      <c r="F1489">
        <v>132</v>
      </c>
      <c r="G1489">
        <v>255</v>
      </c>
      <c r="H1489">
        <v>10</v>
      </c>
      <c r="R1489" t="s">
        <v>8723</v>
      </c>
    </row>
    <row r="1490" spans="2:19" x14ac:dyDescent="0.25">
      <c r="B1490">
        <v>16963</v>
      </c>
      <c r="C1490" t="s">
        <v>17410</v>
      </c>
      <c r="E1490">
        <v>242</v>
      </c>
      <c r="F1490">
        <v>132</v>
      </c>
      <c r="G1490">
        <v>255</v>
      </c>
      <c r="H1490">
        <v>11</v>
      </c>
      <c r="S1490" t="s">
        <v>10335</v>
      </c>
    </row>
    <row r="1491" spans="2:19" x14ac:dyDescent="0.25">
      <c r="B1491">
        <v>16964</v>
      </c>
      <c r="C1491" t="s">
        <v>17411</v>
      </c>
      <c r="E1491">
        <v>242</v>
      </c>
      <c r="F1491">
        <v>132</v>
      </c>
      <c r="G1491">
        <v>255</v>
      </c>
      <c r="H1491">
        <v>11</v>
      </c>
      <c r="S1491" t="s">
        <v>2261</v>
      </c>
    </row>
    <row r="1492" spans="2:19" x14ac:dyDescent="0.25">
      <c r="B1492">
        <v>16966</v>
      </c>
      <c r="C1492" t="s">
        <v>17412</v>
      </c>
      <c r="E1492">
        <v>242</v>
      </c>
      <c r="F1492">
        <v>132</v>
      </c>
      <c r="G1492">
        <v>255</v>
      </c>
      <c r="H1492">
        <v>11</v>
      </c>
      <c r="S1492" t="s">
        <v>10337</v>
      </c>
    </row>
    <row r="1493" spans="2:19" x14ac:dyDescent="0.25">
      <c r="B1493">
        <v>111220638</v>
      </c>
      <c r="C1493" t="s">
        <v>17413</v>
      </c>
      <c r="E1493">
        <v>242</v>
      </c>
      <c r="F1493">
        <v>132</v>
      </c>
      <c r="G1493">
        <v>255</v>
      </c>
      <c r="H1493">
        <v>10</v>
      </c>
      <c r="R1493" t="s">
        <v>8725</v>
      </c>
    </row>
    <row r="1494" spans="2:19" x14ac:dyDescent="0.25">
      <c r="B1494">
        <v>16962</v>
      </c>
      <c r="C1494" t="s">
        <v>17414</v>
      </c>
      <c r="E1494">
        <v>242</v>
      </c>
      <c r="F1494">
        <v>132</v>
      </c>
      <c r="G1494">
        <v>255</v>
      </c>
      <c r="H1494">
        <v>11</v>
      </c>
      <c r="S1494" t="s">
        <v>10333</v>
      </c>
    </row>
    <row r="1495" spans="2:19" x14ac:dyDescent="0.25">
      <c r="B1495">
        <v>111220640</v>
      </c>
      <c r="C1495" t="s">
        <v>17415</v>
      </c>
      <c r="E1495">
        <v>242</v>
      </c>
      <c r="F1495">
        <v>132</v>
      </c>
      <c r="G1495">
        <v>255</v>
      </c>
      <c r="H1495">
        <v>10</v>
      </c>
      <c r="R1495" t="s">
        <v>8727</v>
      </c>
    </row>
    <row r="1496" spans="2:19" x14ac:dyDescent="0.25">
      <c r="B1496">
        <v>16965</v>
      </c>
      <c r="C1496" t="s">
        <v>17416</v>
      </c>
      <c r="E1496">
        <v>242</v>
      </c>
      <c r="F1496">
        <v>132</v>
      </c>
      <c r="G1496">
        <v>255</v>
      </c>
      <c r="H1496">
        <v>11</v>
      </c>
      <c r="S1496" t="s">
        <v>2266</v>
      </c>
    </row>
    <row r="1497" spans="2:19" x14ac:dyDescent="0.25">
      <c r="B1497">
        <v>16967</v>
      </c>
      <c r="C1497" t="s">
        <v>17417</v>
      </c>
      <c r="E1497">
        <v>190</v>
      </c>
      <c r="F1497">
        <v>74</v>
      </c>
      <c r="G1497">
        <v>204</v>
      </c>
      <c r="H1497">
        <v>5</v>
      </c>
      <c r="O1497" t="s">
        <v>10339</v>
      </c>
    </row>
    <row r="1498" spans="2:19" x14ac:dyDescent="0.25">
      <c r="B1498">
        <v>111220642</v>
      </c>
      <c r="C1498" t="s">
        <v>17418</v>
      </c>
      <c r="E1498">
        <v>190</v>
      </c>
      <c r="F1498">
        <v>74</v>
      </c>
      <c r="G1498">
        <v>204</v>
      </c>
      <c r="H1498">
        <v>9</v>
      </c>
      <c r="P1498" t="s">
        <v>8729</v>
      </c>
    </row>
    <row r="1499" spans="2:19" x14ac:dyDescent="0.25">
      <c r="B1499">
        <v>111220644</v>
      </c>
      <c r="C1499" t="s">
        <v>17419</v>
      </c>
      <c r="E1499">
        <v>214</v>
      </c>
      <c r="F1499">
        <v>84</v>
      </c>
      <c r="G1499">
        <v>230</v>
      </c>
      <c r="H1499">
        <v>9</v>
      </c>
      <c r="P1499" t="s">
        <v>8731</v>
      </c>
    </row>
    <row r="1500" spans="2:19" x14ac:dyDescent="0.25">
      <c r="B1500">
        <v>16968</v>
      </c>
      <c r="C1500" t="s">
        <v>17420</v>
      </c>
      <c r="E1500">
        <v>190</v>
      </c>
      <c r="F1500">
        <v>74</v>
      </c>
      <c r="G1500">
        <v>204</v>
      </c>
      <c r="H1500">
        <v>7</v>
      </c>
      <c r="P1500" t="s">
        <v>10341</v>
      </c>
    </row>
    <row r="1501" spans="2:19" x14ac:dyDescent="0.25">
      <c r="B1501">
        <v>16969</v>
      </c>
      <c r="C1501" t="s">
        <v>17421</v>
      </c>
      <c r="E1501">
        <v>190</v>
      </c>
      <c r="F1501">
        <v>74</v>
      </c>
      <c r="G1501">
        <v>204</v>
      </c>
      <c r="H1501">
        <v>9</v>
      </c>
      <c r="Q1501" t="s">
        <v>10343</v>
      </c>
    </row>
    <row r="1502" spans="2:19" x14ac:dyDescent="0.25">
      <c r="B1502">
        <v>16970</v>
      </c>
      <c r="C1502" t="s">
        <v>17422</v>
      </c>
      <c r="E1502">
        <v>214</v>
      </c>
      <c r="F1502">
        <v>84</v>
      </c>
      <c r="G1502">
        <v>230</v>
      </c>
      <c r="H1502">
        <v>9</v>
      </c>
      <c r="Q1502" t="s">
        <v>10345</v>
      </c>
    </row>
    <row r="1503" spans="2:19" x14ac:dyDescent="0.25">
      <c r="B1503">
        <v>16971</v>
      </c>
      <c r="C1503" t="s">
        <v>17423</v>
      </c>
      <c r="E1503">
        <v>214</v>
      </c>
      <c r="F1503">
        <v>84</v>
      </c>
      <c r="G1503">
        <v>230</v>
      </c>
      <c r="H1503">
        <v>10</v>
      </c>
      <c r="R1503" t="s">
        <v>10347</v>
      </c>
    </row>
    <row r="1504" spans="2:19" x14ac:dyDescent="0.25">
      <c r="B1504">
        <v>124372428</v>
      </c>
      <c r="C1504" t="s">
        <v>17424</v>
      </c>
      <c r="E1504">
        <v>214</v>
      </c>
      <c r="F1504">
        <v>84</v>
      </c>
      <c r="G1504">
        <v>230</v>
      </c>
      <c r="H1504">
        <v>11</v>
      </c>
      <c r="S1504" t="s">
        <v>9105</v>
      </c>
    </row>
    <row r="1505" spans="2:19" x14ac:dyDescent="0.25">
      <c r="B1505">
        <v>16972</v>
      </c>
      <c r="C1505" t="s">
        <v>17425</v>
      </c>
      <c r="E1505">
        <v>214</v>
      </c>
      <c r="F1505">
        <v>84</v>
      </c>
      <c r="G1505">
        <v>230</v>
      </c>
      <c r="H1505">
        <v>11</v>
      </c>
      <c r="S1505" t="s">
        <v>2798</v>
      </c>
    </row>
    <row r="1506" spans="2:19" x14ac:dyDescent="0.25">
      <c r="B1506">
        <v>16973</v>
      </c>
      <c r="C1506" t="s">
        <v>17426</v>
      </c>
      <c r="E1506">
        <v>214</v>
      </c>
      <c r="F1506">
        <v>84</v>
      </c>
      <c r="G1506">
        <v>230</v>
      </c>
      <c r="H1506">
        <v>11</v>
      </c>
      <c r="S1506" t="s">
        <v>18</v>
      </c>
    </row>
    <row r="1507" spans="2:19" x14ac:dyDescent="0.25">
      <c r="B1507">
        <v>16974</v>
      </c>
      <c r="C1507" t="s">
        <v>17427</v>
      </c>
      <c r="E1507">
        <v>214</v>
      </c>
      <c r="F1507">
        <v>84</v>
      </c>
      <c r="G1507">
        <v>230</v>
      </c>
      <c r="H1507">
        <v>11</v>
      </c>
      <c r="S1507" t="s">
        <v>10349</v>
      </c>
    </row>
    <row r="1508" spans="2:19" x14ac:dyDescent="0.25">
      <c r="B1508">
        <v>16975</v>
      </c>
      <c r="C1508" t="s">
        <v>17428</v>
      </c>
      <c r="E1508">
        <v>214</v>
      </c>
      <c r="F1508">
        <v>84</v>
      </c>
      <c r="G1508">
        <v>230</v>
      </c>
      <c r="H1508">
        <v>10</v>
      </c>
      <c r="R1508" t="s">
        <v>10351</v>
      </c>
    </row>
    <row r="1509" spans="2:19" x14ac:dyDescent="0.25">
      <c r="B1509">
        <v>16976</v>
      </c>
      <c r="C1509" t="s">
        <v>17429</v>
      </c>
      <c r="E1509">
        <v>214</v>
      </c>
      <c r="F1509">
        <v>84</v>
      </c>
      <c r="G1509">
        <v>230</v>
      </c>
      <c r="H1509">
        <v>11</v>
      </c>
      <c r="S1509" t="s">
        <v>10353</v>
      </c>
    </row>
    <row r="1510" spans="2:19" x14ac:dyDescent="0.25">
      <c r="B1510">
        <v>16977</v>
      </c>
      <c r="C1510" t="s">
        <v>17430</v>
      </c>
      <c r="E1510">
        <v>214</v>
      </c>
      <c r="F1510">
        <v>84</v>
      </c>
      <c r="G1510">
        <v>230</v>
      </c>
      <c r="H1510">
        <v>11</v>
      </c>
      <c r="S1510" t="s">
        <v>10355</v>
      </c>
    </row>
    <row r="1511" spans="2:19" x14ac:dyDescent="0.25">
      <c r="B1511">
        <v>16978</v>
      </c>
      <c r="C1511" t="s">
        <v>17431</v>
      </c>
      <c r="E1511">
        <v>214</v>
      </c>
      <c r="F1511">
        <v>84</v>
      </c>
      <c r="G1511">
        <v>230</v>
      </c>
      <c r="H1511">
        <v>11</v>
      </c>
      <c r="S1511" t="s">
        <v>10357</v>
      </c>
    </row>
    <row r="1512" spans="2:19" x14ac:dyDescent="0.25">
      <c r="B1512">
        <v>16981</v>
      </c>
      <c r="C1512" t="s">
        <v>17432</v>
      </c>
      <c r="E1512">
        <v>214</v>
      </c>
      <c r="F1512">
        <v>84</v>
      </c>
      <c r="G1512">
        <v>230</v>
      </c>
      <c r="H1512">
        <v>10</v>
      </c>
      <c r="R1512" t="s">
        <v>10363</v>
      </c>
    </row>
    <row r="1513" spans="2:19" x14ac:dyDescent="0.25">
      <c r="B1513">
        <v>16979</v>
      </c>
      <c r="C1513" t="s">
        <v>17433</v>
      </c>
      <c r="E1513">
        <v>214</v>
      </c>
      <c r="F1513">
        <v>84</v>
      </c>
      <c r="G1513">
        <v>230</v>
      </c>
      <c r="H1513">
        <v>11</v>
      </c>
      <c r="S1513" t="s">
        <v>10359</v>
      </c>
    </row>
    <row r="1514" spans="2:19" x14ac:dyDescent="0.25">
      <c r="B1514">
        <v>16980</v>
      </c>
      <c r="C1514" t="s">
        <v>17434</v>
      </c>
      <c r="E1514">
        <v>214</v>
      </c>
      <c r="F1514">
        <v>84</v>
      </c>
      <c r="G1514">
        <v>230</v>
      </c>
      <c r="H1514">
        <v>11</v>
      </c>
      <c r="S1514" t="s">
        <v>10361</v>
      </c>
    </row>
    <row r="1515" spans="2:19" x14ac:dyDescent="0.25">
      <c r="B1515">
        <v>16982</v>
      </c>
      <c r="C1515" t="s">
        <v>17435</v>
      </c>
      <c r="E1515">
        <v>214</v>
      </c>
      <c r="F1515">
        <v>84</v>
      </c>
      <c r="G1515">
        <v>230</v>
      </c>
      <c r="H1515">
        <v>11</v>
      </c>
      <c r="S1515" t="s">
        <v>10365</v>
      </c>
    </row>
    <row r="1516" spans="2:19" x14ac:dyDescent="0.25">
      <c r="B1516">
        <v>16983</v>
      </c>
      <c r="C1516" t="s">
        <v>17436</v>
      </c>
      <c r="E1516">
        <v>214</v>
      </c>
      <c r="F1516">
        <v>84</v>
      </c>
      <c r="G1516">
        <v>230</v>
      </c>
      <c r="H1516">
        <v>11</v>
      </c>
      <c r="S1516" t="s">
        <v>10367</v>
      </c>
    </row>
    <row r="1517" spans="2:19" x14ac:dyDescent="0.25">
      <c r="B1517">
        <v>16984</v>
      </c>
      <c r="C1517" t="s">
        <v>17437</v>
      </c>
      <c r="E1517">
        <v>190</v>
      </c>
      <c r="F1517">
        <v>74</v>
      </c>
      <c r="G1517">
        <v>204</v>
      </c>
      <c r="H1517">
        <v>7</v>
      </c>
      <c r="P1517" t="s">
        <v>10369</v>
      </c>
    </row>
    <row r="1518" spans="2:19" x14ac:dyDescent="0.25">
      <c r="B1518">
        <v>16985</v>
      </c>
      <c r="C1518" t="s">
        <v>17438</v>
      </c>
      <c r="E1518">
        <v>190</v>
      </c>
      <c r="F1518">
        <v>74</v>
      </c>
      <c r="G1518">
        <v>204</v>
      </c>
      <c r="H1518">
        <v>9</v>
      </c>
      <c r="Q1518" t="s">
        <v>10371</v>
      </c>
    </row>
    <row r="1519" spans="2:19" x14ac:dyDescent="0.25">
      <c r="B1519">
        <v>16986</v>
      </c>
      <c r="C1519" t="s">
        <v>17439</v>
      </c>
      <c r="E1519">
        <v>214</v>
      </c>
      <c r="F1519">
        <v>84</v>
      </c>
      <c r="G1519">
        <v>230</v>
      </c>
      <c r="H1519">
        <v>9</v>
      </c>
      <c r="Q1519" t="s">
        <v>10373</v>
      </c>
    </row>
    <row r="1520" spans="2:19" x14ac:dyDescent="0.25">
      <c r="B1520">
        <v>16987</v>
      </c>
      <c r="C1520" t="s">
        <v>17440</v>
      </c>
      <c r="E1520">
        <v>214</v>
      </c>
      <c r="F1520">
        <v>84</v>
      </c>
      <c r="G1520">
        <v>230</v>
      </c>
      <c r="H1520">
        <v>10</v>
      </c>
      <c r="R1520" t="s">
        <v>10375</v>
      </c>
    </row>
    <row r="1521" spans="2:20" x14ac:dyDescent="0.25">
      <c r="B1521">
        <v>16988</v>
      </c>
      <c r="C1521" t="s">
        <v>17441</v>
      </c>
      <c r="E1521">
        <v>214</v>
      </c>
      <c r="F1521">
        <v>84</v>
      </c>
      <c r="G1521">
        <v>230</v>
      </c>
      <c r="H1521">
        <v>11</v>
      </c>
      <c r="S1521" t="s">
        <v>10377</v>
      </c>
    </row>
    <row r="1522" spans="2:20" x14ac:dyDescent="0.25">
      <c r="B1522">
        <v>16989</v>
      </c>
      <c r="C1522" t="s">
        <v>17442</v>
      </c>
      <c r="E1522">
        <v>214</v>
      </c>
      <c r="F1522">
        <v>84</v>
      </c>
      <c r="G1522">
        <v>230</v>
      </c>
      <c r="H1522">
        <v>11</v>
      </c>
      <c r="S1522" t="s">
        <v>10379</v>
      </c>
    </row>
    <row r="1523" spans="2:20" x14ac:dyDescent="0.25">
      <c r="B1523">
        <v>124372436</v>
      </c>
      <c r="C1523" t="s">
        <v>17443</v>
      </c>
      <c r="E1523">
        <v>214</v>
      </c>
      <c r="F1523">
        <v>84</v>
      </c>
      <c r="G1523">
        <v>230</v>
      </c>
      <c r="H1523">
        <v>11</v>
      </c>
      <c r="S1523" t="s">
        <v>9107</v>
      </c>
    </row>
    <row r="1524" spans="2:20" x14ac:dyDescent="0.25">
      <c r="B1524">
        <v>16990</v>
      </c>
      <c r="C1524" t="s">
        <v>17444</v>
      </c>
      <c r="E1524">
        <v>214</v>
      </c>
      <c r="F1524">
        <v>84</v>
      </c>
      <c r="G1524">
        <v>230</v>
      </c>
      <c r="H1524">
        <v>10</v>
      </c>
      <c r="R1524" t="s">
        <v>10381</v>
      </c>
    </row>
    <row r="1525" spans="2:20" x14ac:dyDescent="0.25">
      <c r="B1525">
        <v>16991</v>
      </c>
      <c r="C1525" t="s">
        <v>17445</v>
      </c>
      <c r="E1525">
        <v>214</v>
      </c>
      <c r="F1525">
        <v>84</v>
      </c>
      <c r="G1525">
        <v>230</v>
      </c>
      <c r="H1525">
        <v>11</v>
      </c>
      <c r="S1525" t="s">
        <v>10383</v>
      </c>
    </row>
    <row r="1526" spans="2:20" x14ac:dyDescent="0.25">
      <c r="B1526">
        <v>16992</v>
      </c>
      <c r="C1526" t="s">
        <v>17446</v>
      </c>
      <c r="E1526">
        <v>214</v>
      </c>
      <c r="F1526">
        <v>84</v>
      </c>
      <c r="G1526">
        <v>230</v>
      </c>
      <c r="H1526">
        <v>11</v>
      </c>
      <c r="S1526" t="s">
        <v>10385</v>
      </c>
    </row>
    <row r="1527" spans="2:20" x14ac:dyDescent="0.25">
      <c r="B1527">
        <v>16993</v>
      </c>
      <c r="C1527" t="s">
        <v>17447</v>
      </c>
      <c r="E1527">
        <v>214</v>
      </c>
      <c r="F1527">
        <v>84</v>
      </c>
      <c r="G1527">
        <v>230</v>
      </c>
      <c r="H1527">
        <v>10</v>
      </c>
      <c r="R1527" t="s">
        <v>10387</v>
      </c>
    </row>
    <row r="1528" spans="2:20" x14ac:dyDescent="0.25">
      <c r="B1528">
        <v>124372440</v>
      </c>
      <c r="C1528" t="s">
        <v>17448</v>
      </c>
      <c r="E1528">
        <v>214</v>
      </c>
      <c r="F1528">
        <v>84</v>
      </c>
      <c r="G1528">
        <v>230</v>
      </c>
      <c r="H1528">
        <v>11</v>
      </c>
      <c r="S1528" t="s">
        <v>9109</v>
      </c>
    </row>
    <row r="1529" spans="2:20" x14ac:dyDescent="0.25">
      <c r="B1529">
        <v>16994</v>
      </c>
      <c r="C1529" t="s">
        <v>17449</v>
      </c>
      <c r="E1529">
        <v>190</v>
      </c>
      <c r="F1529">
        <v>74</v>
      </c>
      <c r="G1529">
        <v>204</v>
      </c>
      <c r="H1529">
        <v>7</v>
      </c>
      <c r="P1529" t="s">
        <v>10389</v>
      </c>
    </row>
    <row r="1530" spans="2:20" x14ac:dyDescent="0.25">
      <c r="B1530">
        <v>16995</v>
      </c>
      <c r="C1530" t="s">
        <v>17450</v>
      </c>
      <c r="E1530">
        <v>190</v>
      </c>
      <c r="F1530">
        <v>74</v>
      </c>
      <c r="G1530">
        <v>204</v>
      </c>
      <c r="H1530">
        <v>9</v>
      </c>
      <c r="Q1530" t="s">
        <v>10391</v>
      </c>
    </row>
    <row r="1531" spans="2:20" x14ac:dyDescent="0.25">
      <c r="B1531">
        <v>16996</v>
      </c>
      <c r="C1531" t="s">
        <v>17451</v>
      </c>
      <c r="E1531">
        <v>214</v>
      </c>
      <c r="F1531">
        <v>84</v>
      </c>
      <c r="G1531">
        <v>230</v>
      </c>
      <c r="H1531">
        <v>9</v>
      </c>
      <c r="Q1531" t="s">
        <v>10393</v>
      </c>
    </row>
    <row r="1532" spans="2:20" x14ac:dyDescent="0.25">
      <c r="B1532">
        <v>16997</v>
      </c>
      <c r="C1532" t="s">
        <v>17452</v>
      </c>
      <c r="E1532">
        <v>214</v>
      </c>
      <c r="F1532">
        <v>84</v>
      </c>
      <c r="G1532">
        <v>230</v>
      </c>
      <c r="H1532">
        <v>10</v>
      </c>
      <c r="R1532" t="s">
        <v>10395</v>
      </c>
    </row>
    <row r="1533" spans="2:20" x14ac:dyDescent="0.25">
      <c r="B1533">
        <v>16998</v>
      </c>
      <c r="C1533" t="s">
        <v>17453</v>
      </c>
      <c r="E1533">
        <v>214</v>
      </c>
      <c r="F1533">
        <v>84</v>
      </c>
      <c r="G1533">
        <v>230</v>
      </c>
      <c r="H1533">
        <v>11</v>
      </c>
      <c r="S1533" t="s">
        <v>10397</v>
      </c>
    </row>
    <row r="1534" spans="2:20" x14ac:dyDescent="0.25">
      <c r="B1534">
        <v>16999</v>
      </c>
      <c r="C1534" t="s">
        <v>17454</v>
      </c>
      <c r="E1534">
        <v>214</v>
      </c>
      <c r="F1534">
        <v>84</v>
      </c>
      <c r="G1534">
        <v>230</v>
      </c>
      <c r="H1534">
        <v>11</v>
      </c>
      <c r="S1534" t="s">
        <v>10399</v>
      </c>
    </row>
    <row r="1535" spans="2:20" x14ac:dyDescent="0.25">
      <c r="B1535">
        <v>17000</v>
      </c>
      <c r="C1535" t="s">
        <v>17455</v>
      </c>
      <c r="E1535">
        <v>214</v>
      </c>
      <c r="F1535">
        <v>84</v>
      </c>
      <c r="G1535">
        <v>230</v>
      </c>
      <c r="H1535">
        <v>11</v>
      </c>
      <c r="S1535" t="s">
        <v>1614</v>
      </c>
    </row>
    <row r="1536" spans="2:20" x14ac:dyDescent="0.25">
      <c r="B1536">
        <v>17001</v>
      </c>
      <c r="C1536" t="s">
        <v>17456</v>
      </c>
      <c r="E1536">
        <v>214</v>
      </c>
      <c r="F1536">
        <v>84</v>
      </c>
      <c r="G1536">
        <v>230</v>
      </c>
      <c r="H1536">
        <v>12</v>
      </c>
      <c r="T1536" t="s">
        <v>10401</v>
      </c>
    </row>
    <row r="1537" spans="2:20" x14ac:dyDescent="0.25">
      <c r="B1537">
        <v>17002</v>
      </c>
      <c r="C1537" t="s">
        <v>17457</v>
      </c>
      <c r="E1537">
        <v>214</v>
      </c>
      <c r="F1537">
        <v>84</v>
      </c>
      <c r="G1537">
        <v>230</v>
      </c>
      <c r="H1537">
        <v>12</v>
      </c>
      <c r="T1537" t="s">
        <v>10403</v>
      </c>
    </row>
    <row r="1538" spans="2:20" x14ac:dyDescent="0.25">
      <c r="B1538">
        <v>17003</v>
      </c>
      <c r="C1538" t="s">
        <v>17458</v>
      </c>
      <c r="E1538">
        <v>214</v>
      </c>
      <c r="F1538">
        <v>84</v>
      </c>
      <c r="G1538">
        <v>230</v>
      </c>
      <c r="H1538">
        <v>11</v>
      </c>
      <c r="S1538" t="s">
        <v>10405</v>
      </c>
    </row>
    <row r="1539" spans="2:20" x14ac:dyDescent="0.25">
      <c r="B1539">
        <v>17004</v>
      </c>
      <c r="C1539" t="s">
        <v>17459</v>
      </c>
      <c r="E1539">
        <v>214</v>
      </c>
      <c r="F1539">
        <v>84</v>
      </c>
      <c r="G1539">
        <v>230</v>
      </c>
      <c r="H1539">
        <v>10</v>
      </c>
      <c r="R1539" t="s">
        <v>10407</v>
      </c>
    </row>
    <row r="1540" spans="2:20" x14ac:dyDescent="0.25">
      <c r="B1540">
        <v>17005</v>
      </c>
      <c r="C1540" t="s">
        <v>17460</v>
      </c>
      <c r="E1540">
        <v>214</v>
      </c>
      <c r="F1540">
        <v>84</v>
      </c>
      <c r="G1540">
        <v>230</v>
      </c>
      <c r="H1540">
        <v>11</v>
      </c>
      <c r="S1540" t="s">
        <v>10409</v>
      </c>
    </row>
    <row r="1541" spans="2:20" x14ac:dyDescent="0.25">
      <c r="B1541">
        <v>17006</v>
      </c>
      <c r="C1541" t="s">
        <v>17461</v>
      </c>
      <c r="E1541">
        <v>214</v>
      </c>
      <c r="F1541">
        <v>84</v>
      </c>
      <c r="G1541">
        <v>230</v>
      </c>
      <c r="H1541">
        <v>11</v>
      </c>
      <c r="S1541" t="s">
        <v>10411</v>
      </c>
    </row>
    <row r="1542" spans="2:20" x14ac:dyDescent="0.25">
      <c r="B1542">
        <v>17007</v>
      </c>
      <c r="C1542" t="s">
        <v>17462</v>
      </c>
      <c r="E1542">
        <v>214</v>
      </c>
      <c r="F1542">
        <v>84</v>
      </c>
      <c r="G1542">
        <v>230</v>
      </c>
      <c r="H1542">
        <v>11</v>
      </c>
      <c r="S1542" t="s">
        <v>2257</v>
      </c>
    </row>
    <row r="1543" spans="2:20" x14ac:dyDescent="0.25">
      <c r="B1543">
        <v>17008</v>
      </c>
      <c r="C1543" t="s">
        <v>17463</v>
      </c>
      <c r="E1543">
        <v>214</v>
      </c>
      <c r="F1543">
        <v>84</v>
      </c>
      <c r="G1543">
        <v>230</v>
      </c>
      <c r="H1543">
        <v>11</v>
      </c>
      <c r="S1543" t="s">
        <v>425</v>
      </c>
    </row>
    <row r="1544" spans="2:20" x14ac:dyDescent="0.25">
      <c r="B1544">
        <v>17009</v>
      </c>
      <c r="C1544" t="s">
        <v>17464</v>
      </c>
      <c r="E1544">
        <v>214</v>
      </c>
      <c r="F1544">
        <v>84</v>
      </c>
      <c r="G1544">
        <v>230</v>
      </c>
      <c r="H1544">
        <v>11</v>
      </c>
      <c r="S1544" t="s">
        <v>10413</v>
      </c>
    </row>
    <row r="1545" spans="2:20" x14ac:dyDescent="0.25">
      <c r="B1545">
        <v>17010</v>
      </c>
      <c r="C1545" t="s">
        <v>17465</v>
      </c>
      <c r="E1545">
        <v>214</v>
      </c>
      <c r="F1545">
        <v>84</v>
      </c>
      <c r="G1545">
        <v>230</v>
      </c>
      <c r="H1545">
        <v>11</v>
      </c>
      <c r="S1545" t="s">
        <v>10415</v>
      </c>
    </row>
    <row r="1546" spans="2:20" x14ac:dyDescent="0.25">
      <c r="B1546">
        <v>17011</v>
      </c>
      <c r="C1546" t="s">
        <v>17466</v>
      </c>
      <c r="E1546">
        <v>214</v>
      </c>
      <c r="F1546">
        <v>84</v>
      </c>
      <c r="G1546">
        <v>230</v>
      </c>
      <c r="H1546">
        <v>11</v>
      </c>
      <c r="S1546" t="s">
        <v>10417</v>
      </c>
    </row>
    <row r="1547" spans="2:20" x14ac:dyDescent="0.25">
      <c r="B1547">
        <v>17012</v>
      </c>
      <c r="C1547" t="s">
        <v>17467</v>
      </c>
      <c r="E1547">
        <v>214</v>
      </c>
      <c r="F1547">
        <v>84</v>
      </c>
      <c r="G1547">
        <v>230</v>
      </c>
      <c r="H1547">
        <v>11</v>
      </c>
      <c r="S1547" t="s">
        <v>10419</v>
      </c>
    </row>
    <row r="1548" spans="2:20" x14ac:dyDescent="0.25">
      <c r="B1548">
        <v>17013</v>
      </c>
      <c r="C1548" t="s">
        <v>17468</v>
      </c>
      <c r="E1548">
        <v>214</v>
      </c>
      <c r="F1548">
        <v>84</v>
      </c>
      <c r="G1548">
        <v>230</v>
      </c>
      <c r="H1548">
        <v>10</v>
      </c>
      <c r="R1548" t="s">
        <v>10421</v>
      </c>
    </row>
    <row r="1549" spans="2:20" x14ac:dyDescent="0.25">
      <c r="B1549">
        <v>17014</v>
      </c>
      <c r="C1549" t="s">
        <v>17469</v>
      </c>
      <c r="E1549">
        <v>214</v>
      </c>
      <c r="F1549">
        <v>84</v>
      </c>
      <c r="G1549">
        <v>230</v>
      </c>
      <c r="H1549">
        <v>11</v>
      </c>
      <c r="S1549" t="s">
        <v>10423</v>
      </c>
    </row>
    <row r="1550" spans="2:20" x14ac:dyDescent="0.25">
      <c r="B1550">
        <v>17015</v>
      </c>
      <c r="C1550" t="s">
        <v>17470</v>
      </c>
      <c r="E1550">
        <v>214</v>
      </c>
      <c r="F1550">
        <v>84</v>
      </c>
      <c r="G1550">
        <v>230</v>
      </c>
      <c r="H1550">
        <v>12</v>
      </c>
      <c r="T1550" t="s">
        <v>10425</v>
      </c>
    </row>
    <row r="1551" spans="2:20" x14ac:dyDescent="0.25">
      <c r="B1551">
        <v>17016</v>
      </c>
      <c r="C1551" t="s">
        <v>17471</v>
      </c>
      <c r="E1551">
        <v>214</v>
      </c>
      <c r="F1551">
        <v>84</v>
      </c>
      <c r="G1551">
        <v>230</v>
      </c>
      <c r="H1551">
        <v>12</v>
      </c>
      <c r="T1551" t="s">
        <v>10427</v>
      </c>
    </row>
    <row r="1552" spans="2:20" x14ac:dyDescent="0.25">
      <c r="B1552">
        <v>17017</v>
      </c>
      <c r="C1552" t="s">
        <v>17472</v>
      </c>
      <c r="E1552">
        <v>214</v>
      </c>
      <c r="F1552">
        <v>84</v>
      </c>
      <c r="G1552">
        <v>230</v>
      </c>
      <c r="H1552">
        <v>12</v>
      </c>
      <c r="T1552" t="s">
        <v>10429</v>
      </c>
    </row>
    <row r="1553" spans="2:20" x14ac:dyDescent="0.25">
      <c r="B1553">
        <v>17018</v>
      </c>
      <c r="C1553" t="s">
        <v>17473</v>
      </c>
      <c r="E1553">
        <v>214</v>
      </c>
      <c r="F1553">
        <v>84</v>
      </c>
      <c r="G1553">
        <v>230</v>
      </c>
      <c r="H1553">
        <v>11</v>
      </c>
      <c r="S1553" t="s">
        <v>10431</v>
      </c>
    </row>
    <row r="1554" spans="2:20" x14ac:dyDescent="0.25">
      <c r="B1554">
        <v>17019</v>
      </c>
      <c r="C1554" t="s">
        <v>17474</v>
      </c>
      <c r="E1554">
        <v>214</v>
      </c>
      <c r="F1554">
        <v>84</v>
      </c>
      <c r="G1554">
        <v>230</v>
      </c>
      <c r="H1554">
        <v>12</v>
      </c>
      <c r="T1554" t="s">
        <v>10433</v>
      </c>
    </row>
    <row r="1555" spans="2:20" x14ac:dyDescent="0.25">
      <c r="B1555">
        <v>17020</v>
      </c>
      <c r="C1555" t="s">
        <v>17475</v>
      </c>
      <c r="E1555">
        <v>214</v>
      </c>
      <c r="F1555">
        <v>84</v>
      </c>
      <c r="G1555">
        <v>230</v>
      </c>
      <c r="H1555">
        <v>12</v>
      </c>
      <c r="T1555" t="s">
        <v>10435</v>
      </c>
    </row>
    <row r="1556" spans="2:20" x14ac:dyDescent="0.25">
      <c r="B1556">
        <v>17021</v>
      </c>
      <c r="C1556" t="s">
        <v>17476</v>
      </c>
      <c r="E1556">
        <v>214</v>
      </c>
      <c r="F1556">
        <v>84</v>
      </c>
      <c r="G1556">
        <v>230</v>
      </c>
      <c r="H1556">
        <v>12</v>
      </c>
      <c r="T1556" t="s">
        <v>10437</v>
      </c>
    </row>
    <row r="1557" spans="2:20" x14ac:dyDescent="0.25">
      <c r="B1557">
        <v>17022</v>
      </c>
      <c r="C1557" t="s">
        <v>17477</v>
      </c>
      <c r="E1557">
        <v>167</v>
      </c>
      <c r="F1557">
        <v>65</v>
      </c>
      <c r="G1557">
        <v>179</v>
      </c>
      <c r="H1557">
        <v>5</v>
      </c>
      <c r="O1557" t="s">
        <v>4771</v>
      </c>
    </row>
    <row r="1558" spans="2:20" x14ac:dyDescent="0.25">
      <c r="B1558">
        <v>112892323</v>
      </c>
      <c r="C1558" t="s">
        <v>17478</v>
      </c>
      <c r="E1558">
        <v>155</v>
      </c>
      <c r="F1558">
        <v>60</v>
      </c>
      <c r="G1558">
        <v>166</v>
      </c>
      <c r="H1558">
        <v>9</v>
      </c>
      <c r="P1558" t="s">
        <v>1920</v>
      </c>
    </row>
    <row r="1559" spans="2:20" x14ac:dyDescent="0.25">
      <c r="B1559">
        <v>112892325</v>
      </c>
      <c r="C1559" t="s">
        <v>17479</v>
      </c>
      <c r="E1559">
        <v>190</v>
      </c>
      <c r="F1559">
        <v>74</v>
      </c>
      <c r="G1559">
        <v>204</v>
      </c>
      <c r="H1559">
        <v>9</v>
      </c>
      <c r="P1559" t="s">
        <v>1922</v>
      </c>
    </row>
    <row r="1560" spans="2:20" x14ac:dyDescent="0.25">
      <c r="B1560">
        <v>112892327</v>
      </c>
      <c r="C1560" t="s">
        <v>17480</v>
      </c>
      <c r="E1560">
        <v>190</v>
      </c>
      <c r="F1560">
        <v>74</v>
      </c>
      <c r="G1560">
        <v>204</v>
      </c>
      <c r="H1560">
        <v>10</v>
      </c>
      <c r="Q1560" t="s">
        <v>1924</v>
      </c>
    </row>
    <row r="1561" spans="2:20" x14ac:dyDescent="0.25">
      <c r="B1561">
        <v>112892329</v>
      </c>
      <c r="C1561" t="s">
        <v>17481</v>
      </c>
      <c r="E1561">
        <v>190</v>
      </c>
      <c r="F1561">
        <v>74</v>
      </c>
      <c r="G1561">
        <v>204</v>
      </c>
      <c r="H1561">
        <v>10</v>
      </c>
      <c r="Q1561" t="s">
        <v>1926</v>
      </c>
    </row>
    <row r="1562" spans="2:20" x14ac:dyDescent="0.25">
      <c r="B1562">
        <v>112892331</v>
      </c>
      <c r="C1562" t="s">
        <v>17482</v>
      </c>
      <c r="E1562">
        <v>190</v>
      </c>
      <c r="F1562">
        <v>74</v>
      </c>
      <c r="G1562">
        <v>204</v>
      </c>
      <c r="H1562">
        <v>10</v>
      </c>
      <c r="Q1562" t="s">
        <v>1928</v>
      </c>
    </row>
    <row r="1563" spans="2:20" x14ac:dyDescent="0.25">
      <c r="B1563">
        <v>124372444</v>
      </c>
      <c r="C1563" t="s">
        <v>17483</v>
      </c>
      <c r="E1563">
        <v>155</v>
      </c>
      <c r="F1563">
        <v>60</v>
      </c>
      <c r="G1563">
        <v>166</v>
      </c>
      <c r="H1563">
        <v>11</v>
      </c>
      <c r="R1563" t="s">
        <v>1980</v>
      </c>
    </row>
    <row r="1564" spans="2:20" x14ac:dyDescent="0.25">
      <c r="B1564">
        <v>124372448</v>
      </c>
      <c r="C1564" t="s">
        <v>17484</v>
      </c>
      <c r="E1564">
        <v>155</v>
      </c>
      <c r="F1564">
        <v>60</v>
      </c>
      <c r="G1564">
        <v>166</v>
      </c>
      <c r="H1564">
        <v>11</v>
      </c>
      <c r="R1564" t="s">
        <v>1982</v>
      </c>
    </row>
    <row r="1565" spans="2:20" x14ac:dyDescent="0.25">
      <c r="B1565">
        <v>17023</v>
      </c>
      <c r="C1565" t="s">
        <v>17485</v>
      </c>
      <c r="E1565">
        <v>238</v>
      </c>
      <c r="F1565">
        <v>128</v>
      </c>
      <c r="G1565">
        <v>255</v>
      </c>
      <c r="H1565">
        <v>3</v>
      </c>
      <c r="N1565" t="s">
        <v>4783</v>
      </c>
    </row>
    <row r="1566" spans="2:20" x14ac:dyDescent="0.25">
      <c r="B1566">
        <v>17024</v>
      </c>
      <c r="C1566" t="s">
        <v>17486</v>
      </c>
      <c r="E1566">
        <v>243</v>
      </c>
      <c r="F1566">
        <v>164</v>
      </c>
      <c r="G1566">
        <v>255</v>
      </c>
      <c r="H1566">
        <v>5</v>
      </c>
      <c r="O1566" t="s">
        <v>4790</v>
      </c>
    </row>
    <row r="1567" spans="2:20" x14ac:dyDescent="0.25">
      <c r="B1567">
        <v>17025</v>
      </c>
      <c r="C1567" t="s">
        <v>17487</v>
      </c>
      <c r="E1567">
        <v>238</v>
      </c>
      <c r="F1567">
        <v>128</v>
      </c>
      <c r="G1567">
        <v>255</v>
      </c>
      <c r="H1567">
        <v>5</v>
      </c>
      <c r="O1567" t="s">
        <v>10439</v>
      </c>
    </row>
    <row r="1568" spans="2:20" x14ac:dyDescent="0.25">
      <c r="B1568">
        <v>111220646</v>
      </c>
      <c r="C1568" t="s">
        <v>17488</v>
      </c>
      <c r="E1568">
        <v>238</v>
      </c>
      <c r="F1568">
        <v>128</v>
      </c>
      <c r="G1568">
        <v>255</v>
      </c>
      <c r="H1568">
        <v>9</v>
      </c>
      <c r="P1568" t="s">
        <v>8733</v>
      </c>
    </row>
    <row r="1569" spans="2:19" x14ac:dyDescent="0.25">
      <c r="B1569">
        <v>111220648</v>
      </c>
      <c r="C1569" t="s">
        <v>17489</v>
      </c>
      <c r="E1569">
        <v>242</v>
      </c>
      <c r="F1569">
        <v>158</v>
      </c>
      <c r="G1569">
        <v>255</v>
      </c>
      <c r="H1569">
        <v>9</v>
      </c>
      <c r="P1569" t="s">
        <v>8735</v>
      </c>
    </row>
    <row r="1570" spans="2:19" x14ac:dyDescent="0.25">
      <c r="B1570">
        <v>17026</v>
      </c>
      <c r="C1570" t="s">
        <v>17490</v>
      </c>
      <c r="E1570">
        <v>238</v>
      </c>
      <c r="F1570">
        <v>128</v>
      </c>
      <c r="G1570">
        <v>255</v>
      </c>
      <c r="H1570">
        <v>7</v>
      </c>
      <c r="P1570" t="s">
        <v>10441</v>
      </c>
    </row>
    <row r="1571" spans="2:19" x14ac:dyDescent="0.25">
      <c r="B1571">
        <v>17027</v>
      </c>
      <c r="C1571" t="s">
        <v>17491</v>
      </c>
      <c r="E1571">
        <v>238</v>
      </c>
      <c r="F1571">
        <v>128</v>
      </c>
      <c r="G1571">
        <v>255</v>
      </c>
      <c r="H1571">
        <v>9</v>
      </c>
      <c r="Q1571" t="s">
        <v>10443</v>
      </c>
    </row>
    <row r="1572" spans="2:19" x14ac:dyDescent="0.25">
      <c r="B1572">
        <v>17028</v>
      </c>
      <c r="C1572" t="s">
        <v>17492</v>
      </c>
      <c r="E1572">
        <v>242</v>
      </c>
      <c r="F1572">
        <v>158</v>
      </c>
      <c r="G1572">
        <v>255</v>
      </c>
      <c r="H1572">
        <v>9</v>
      </c>
      <c r="Q1572" t="s">
        <v>10445</v>
      </c>
    </row>
    <row r="1573" spans="2:19" x14ac:dyDescent="0.25">
      <c r="B1573">
        <v>111220650</v>
      </c>
      <c r="C1573" t="s">
        <v>17493</v>
      </c>
      <c r="E1573">
        <v>242</v>
      </c>
      <c r="F1573">
        <v>158</v>
      </c>
      <c r="G1573">
        <v>255</v>
      </c>
      <c r="H1573">
        <v>10</v>
      </c>
      <c r="R1573" t="s">
        <v>8737</v>
      </c>
    </row>
    <row r="1574" spans="2:19" x14ac:dyDescent="0.25">
      <c r="B1574">
        <v>17029</v>
      </c>
      <c r="C1574" t="s">
        <v>17494</v>
      </c>
      <c r="E1574">
        <v>242</v>
      </c>
      <c r="F1574">
        <v>158</v>
      </c>
      <c r="G1574">
        <v>255</v>
      </c>
      <c r="H1574">
        <v>11</v>
      </c>
      <c r="S1574" t="s">
        <v>10447</v>
      </c>
    </row>
    <row r="1575" spans="2:19" x14ac:dyDescent="0.25">
      <c r="B1575">
        <v>111220652</v>
      </c>
      <c r="C1575" t="s">
        <v>17495</v>
      </c>
      <c r="E1575">
        <v>242</v>
      </c>
      <c r="F1575">
        <v>158</v>
      </c>
      <c r="G1575">
        <v>255</v>
      </c>
      <c r="H1575">
        <v>10</v>
      </c>
      <c r="R1575" t="s">
        <v>8739</v>
      </c>
    </row>
    <row r="1576" spans="2:19" x14ac:dyDescent="0.25">
      <c r="B1576">
        <v>111220654</v>
      </c>
      <c r="C1576" t="s">
        <v>17496</v>
      </c>
      <c r="E1576">
        <v>242</v>
      </c>
      <c r="F1576">
        <v>158</v>
      </c>
      <c r="G1576">
        <v>255</v>
      </c>
      <c r="H1576">
        <v>10</v>
      </c>
      <c r="R1576" t="s">
        <v>8741</v>
      </c>
    </row>
    <row r="1577" spans="2:19" x14ac:dyDescent="0.25">
      <c r="B1577">
        <v>17030</v>
      </c>
      <c r="C1577" t="s">
        <v>17497</v>
      </c>
      <c r="E1577">
        <v>242</v>
      </c>
      <c r="F1577">
        <v>158</v>
      </c>
      <c r="G1577">
        <v>255</v>
      </c>
      <c r="H1577">
        <v>11</v>
      </c>
      <c r="S1577" t="s">
        <v>10449</v>
      </c>
    </row>
    <row r="1578" spans="2:19" x14ac:dyDescent="0.25">
      <c r="B1578">
        <v>17031</v>
      </c>
      <c r="C1578" t="s">
        <v>17498</v>
      </c>
      <c r="E1578">
        <v>238</v>
      </c>
      <c r="F1578">
        <v>128</v>
      </c>
      <c r="G1578">
        <v>255</v>
      </c>
      <c r="H1578">
        <v>7</v>
      </c>
      <c r="P1578" t="s">
        <v>10451</v>
      </c>
    </row>
    <row r="1579" spans="2:19" x14ac:dyDescent="0.25">
      <c r="B1579">
        <v>17032</v>
      </c>
      <c r="C1579" t="s">
        <v>17499</v>
      </c>
      <c r="E1579">
        <v>238</v>
      </c>
      <c r="F1579">
        <v>128</v>
      </c>
      <c r="G1579">
        <v>255</v>
      </c>
      <c r="H1579">
        <v>9</v>
      </c>
      <c r="Q1579" t="s">
        <v>10453</v>
      </c>
    </row>
    <row r="1580" spans="2:19" x14ac:dyDescent="0.25">
      <c r="B1580">
        <v>17033</v>
      </c>
      <c r="C1580" t="s">
        <v>17500</v>
      </c>
      <c r="E1580">
        <v>242</v>
      </c>
      <c r="F1580">
        <v>158</v>
      </c>
      <c r="G1580">
        <v>255</v>
      </c>
      <c r="H1580">
        <v>9</v>
      </c>
      <c r="Q1580" t="s">
        <v>10455</v>
      </c>
    </row>
    <row r="1581" spans="2:19" x14ac:dyDescent="0.25">
      <c r="B1581">
        <v>111220656</v>
      </c>
      <c r="C1581" t="s">
        <v>17501</v>
      </c>
      <c r="E1581">
        <v>242</v>
      </c>
      <c r="F1581">
        <v>158</v>
      </c>
      <c r="G1581">
        <v>255</v>
      </c>
      <c r="H1581">
        <v>10</v>
      </c>
      <c r="R1581" t="s">
        <v>8743</v>
      </c>
    </row>
    <row r="1582" spans="2:19" x14ac:dyDescent="0.25">
      <c r="B1582">
        <v>124372452</v>
      </c>
      <c r="C1582" t="s">
        <v>17502</v>
      </c>
      <c r="E1582">
        <v>242</v>
      </c>
      <c r="F1582">
        <v>158</v>
      </c>
      <c r="G1582">
        <v>255</v>
      </c>
      <c r="H1582">
        <v>11</v>
      </c>
      <c r="S1582" t="s">
        <v>9111</v>
      </c>
    </row>
    <row r="1583" spans="2:19" x14ac:dyDescent="0.25">
      <c r="B1583">
        <v>111220658</v>
      </c>
      <c r="C1583" t="s">
        <v>17503</v>
      </c>
      <c r="E1583">
        <v>242</v>
      </c>
      <c r="F1583">
        <v>158</v>
      </c>
      <c r="G1583">
        <v>255</v>
      </c>
      <c r="H1583">
        <v>10</v>
      </c>
      <c r="R1583" t="s">
        <v>8745</v>
      </c>
    </row>
    <row r="1584" spans="2:19" x14ac:dyDescent="0.25">
      <c r="B1584">
        <v>17034</v>
      </c>
      <c r="C1584" t="s">
        <v>17504</v>
      </c>
      <c r="E1584">
        <v>242</v>
      </c>
      <c r="F1584">
        <v>158</v>
      </c>
      <c r="G1584">
        <v>255</v>
      </c>
      <c r="H1584">
        <v>11</v>
      </c>
      <c r="S1584" t="s">
        <v>10457</v>
      </c>
    </row>
    <row r="1585" spans="2:19" x14ac:dyDescent="0.25">
      <c r="B1585">
        <v>111220660</v>
      </c>
      <c r="C1585" t="s">
        <v>17505</v>
      </c>
      <c r="E1585">
        <v>242</v>
      </c>
      <c r="F1585">
        <v>158</v>
      </c>
      <c r="G1585">
        <v>255</v>
      </c>
      <c r="H1585">
        <v>10</v>
      </c>
      <c r="R1585" t="s">
        <v>8747</v>
      </c>
    </row>
    <row r="1586" spans="2:19" x14ac:dyDescent="0.25">
      <c r="B1586">
        <v>17036</v>
      </c>
      <c r="C1586" t="s">
        <v>17506</v>
      </c>
      <c r="E1586">
        <v>238</v>
      </c>
      <c r="F1586">
        <v>128</v>
      </c>
      <c r="G1586">
        <v>255</v>
      </c>
      <c r="H1586">
        <v>7</v>
      </c>
      <c r="P1586" t="s">
        <v>10459</v>
      </c>
    </row>
    <row r="1587" spans="2:19" x14ac:dyDescent="0.25">
      <c r="B1587">
        <v>17037</v>
      </c>
      <c r="C1587" t="s">
        <v>17507</v>
      </c>
      <c r="E1587">
        <v>238</v>
      </c>
      <c r="F1587">
        <v>128</v>
      </c>
      <c r="G1587">
        <v>255</v>
      </c>
      <c r="H1587">
        <v>9</v>
      </c>
      <c r="Q1587" t="s">
        <v>10461</v>
      </c>
    </row>
    <row r="1588" spans="2:19" x14ac:dyDescent="0.25">
      <c r="B1588">
        <v>17038</v>
      </c>
      <c r="C1588" t="s">
        <v>17508</v>
      </c>
      <c r="E1588">
        <v>242</v>
      </c>
      <c r="F1588">
        <v>158</v>
      </c>
      <c r="G1588">
        <v>255</v>
      </c>
      <c r="H1588">
        <v>9</v>
      </c>
      <c r="Q1588" t="s">
        <v>10463</v>
      </c>
    </row>
    <row r="1589" spans="2:19" x14ac:dyDescent="0.25">
      <c r="B1589">
        <v>111220662</v>
      </c>
      <c r="C1589" t="s">
        <v>17509</v>
      </c>
      <c r="E1589">
        <v>242</v>
      </c>
      <c r="F1589">
        <v>158</v>
      </c>
      <c r="G1589">
        <v>255</v>
      </c>
      <c r="H1589">
        <v>10</v>
      </c>
      <c r="R1589" t="s">
        <v>8749</v>
      </c>
    </row>
    <row r="1590" spans="2:19" x14ac:dyDescent="0.25">
      <c r="B1590">
        <v>111220664</v>
      </c>
      <c r="C1590" t="s">
        <v>17510</v>
      </c>
      <c r="E1590">
        <v>242</v>
      </c>
      <c r="F1590">
        <v>158</v>
      </c>
      <c r="G1590">
        <v>255</v>
      </c>
      <c r="H1590">
        <v>10</v>
      </c>
      <c r="R1590" t="s">
        <v>8751</v>
      </c>
    </row>
    <row r="1591" spans="2:19" x14ac:dyDescent="0.25">
      <c r="B1591">
        <v>17040</v>
      </c>
      <c r="C1591" t="s">
        <v>17511</v>
      </c>
      <c r="E1591">
        <v>242</v>
      </c>
      <c r="F1591">
        <v>158</v>
      </c>
      <c r="G1591">
        <v>255</v>
      </c>
      <c r="H1591">
        <v>11</v>
      </c>
      <c r="S1591" t="s">
        <v>10467</v>
      </c>
    </row>
    <row r="1592" spans="2:19" x14ac:dyDescent="0.25">
      <c r="B1592">
        <v>17041</v>
      </c>
      <c r="C1592" t="s">
        <v>17512</v>
      </c>
      <c r="E1592">
        <v>242</v>
      </c>
      <c r="F1592">
        <v>158</v>
      </c>
      <c r="G1592">
        <v>255</v>
      </c>
      <c r="H1592">
        <v>11</v>
      </c>
      <c r="S1592" t="s">
        <v>10469</v>
      </c>
    </row>
    <row r="1593" spans="2:19" x14ac:dyDescent="0.25">
      <c r="B1593">
        <v>111220666</v>
      </c>
      <c r="C1593" t="s">
        <v>17513</v>
      </c>
      <c r="E1593">
        <v>242</v>
      </c>
      <c r="F1593">
        <v>158</v>
      </c>
      <c r="G1593">
        <v>255</v>
      </c>
      <c r="H1593">
        <v>10</v>
      </c>
      <c r="R1593" t="s">
        <v>8753</v>
      </c>
    </row>
    <row r="1594" spans="2:19" x14ac:dyDescent="0.25">
      <c r="B1594">
        <v>17039</v>
      </c>
      <c r="C1594" t="s">
        <v>17514</v>
      </c>
      <c r="E1594">
        <v>242</v>
      </c>
      <c r="F1594">
        <v>158</v>
      </c>
      <c r="G1594">
        <v>255</v>
      </c>
      <c r="H1594">
        <v>11</v>
      </c>
      <c r="S1594" t="s">
        <v>10465</v>
      </c>
    </row>
    <row r="1595" spans="2:19" x14ac:dyDescent="0.25">
      <c r="B1595">
        <v>17042</v>
      </c>
      <c r="C1595" t="s">
        <v>17515</v>
      </c>
      <c r="E1595">
        <v>238</v>
      </c>
      <c r="F1595">
        <v>128</v>
      </c>
      <c r="G1595">
        <v>255</v>
      </c>
      <c r="H1595">
        <v>7</v>
      </c>
      <c r="P1595" t="s">
        <v>10471</v>
      </c>
    </row>
    <row r="1596" spans="2:19" x14ac:dyDescent="0.25">
      <c r="B1596">
        <v>17043</v>
      </c>
      <c r="C1596" t="s">
        <v>17516</v>
      </c>
      <c r="E1596">
        <v>238</v>
      </c>
      <c r="F1596">
        <v>128</v>
      </c>
      <c r="G1596">
        <v>255</v>
      </c>
      <c r="H1596">
        <v>9</v>
      </c>
      <c r="Q1596" t="s">
        <v>10473</v>
      </c>
    </row>
    <row r="1597" spans="2:19" x14ac:dyDescent="0.25">
      <c r="B1597">
        <v>17044</v>
      </c>
      <c r="C1597" t="s">
        <v>17517</v>
      </c>
      <c r="E1597">
        <v>242</v>
      </c>
      <c r="F1597">
        <v>158</v>
      </c>
      <c r="G1597">
        <v>255</v>
      </c>
      <c r="H1597">
        <v>9</v>
      </c>
      <c r="Q1597" t="s">
        <v>10475</v>
      </c>
    </row>
    <row r="1598" spans="2:19" x14ac:dyDescent="0.25">
      <c r="B1598">
        <v>111220668</v>
      </c>
      <c r="C1598" t="s">
        <v>17518</v>
      </c>
      <c r="E1598">
        <v>242</v>
      </c>
      <c r="F1598">
        <v>158</v>
      </c>
      <c r="G1598">
        <v>255</v>
      </c>
      <c r="H1598">
        <v>10</v>
      </c>
      <c r="R1598" t="s">
        <v>8755</v>
      </c>
    </row>
    <row r="1599" spans="2:19" x14ac:dyDescent="0.25">
      <c r="B1599">
        <v>17050</v>
      </c>
      <c r="C1599" t="s">
        <v>17519</v>
      </c>
      <c r="E1599">
        <v>242</v>
      </c>
      <c r="F1599">
        <v>158</v>
      </c>
      <c r="G1599">
        <v>255</v>
      </c>
      <c r="H1599">
        <v>11</v>
      </c>
      <c r="S1599" t="s">
        <v>10487</v>
      </c>
    </row>
    <row r="1600" spans="2:19" x14ac:dyDescent="0.25">
      <c r="B1600">
        <v>111220670</v>
      </c>
      <c r="C1600" t="s">
        <v>17520</v>
      </c>
      <c r="E1600">
        <v>242</v>
      </c>
      <c r="F1600">
        <v>158</v>
      </c>
      <c r="G1600">
        <v>255</v>
      </c>
      <c r="H1600">
        <v>10</v>
      </c>
      <c r="R1600" t="s">
        <v>8757</v>
      </c>
    </row>
    <row r="1601" spans="2:20" x14ac:dyDescent="0.25">
      <c r="B1601">
        <v>17051</v>
      </c>
      <c r="C1601" t="s">
        <v>17521</v>
      </c>
      <c r="E1601">
        <v>242</v>
      </c>
      <c r="F1601">
        <v>158</v>
      </c>
      <c r="G1601">
        <v>255</v>
      </c>
      <c r="H1601">
        <v>11</v>
      </c>
      <c r="S1601" t="s">
        <v>10489</v>
      </c>
    </row>
    <row r="1602" spans="2:20" x14ac:dyDescent="0.25">
      <c r="B1602">
        <v>111220672</v>
      </c>
      <c r="C1602" t="s">
        <v>17522</v>
      </c>
      <c r="E1602">
        <v>242</v>
      </c>
      <c r="F1602">
        <v>158</v>
      </c>
      <c r="G1602">
        <v>255</v>
      </c>
      <c r="H1602">
        <v>10</v>
      </c>
      <c r="R1602" t="s">
        <v>8759</v>
      </c>
    </row>
    <row r="1603" spans="2:20" x14ac:dyDescent="0.25">
      <c r="B1603">
        <v>17045</v>
      </c>
      <c r="C1603" t="s">
        <v>17523</v>
      </c>
      <c r="E1603">
        <v>242</v>
      </c>
      <c r="F1603">
        <v>158</v>
      </c>
      <c r="G1603">
        <v>255</v>
      </c>
      <c r="H1603">
        <v>11</v>
      </c>
      <c r="S1603" t="s">
        <v>10477</v>
      </c>
    </row>
    <row r="1604" spans="2:20" x14ac:dyDescent="0.25">
      <c r="B1604">
        <v>17046</v>
      </c>
      <c r="C1604" t="s">
        <v>17524</v>
      </c>
      <c r="E1604">
        <v>242</v>
      </c>
      <c r="F1604">
        <v>158</v>
      </c>
      <c r="G1604">
        <v>255</v>
      </c>
      <c r="H1604">
        <v>12</v>
      </c>
      <c r="T1604" t="s">
        <v>10479</v>
      </c>
    </row>
    <row r="1605" spans="2:20" x14ac:dyDescent="0.25">
      <c r="B1605">
        <v>17047</v>
      </c>
      <c r="C1605" t="s">
        <v>17525</v>
      </c>
      <c r="E1605">
        <v>242</v>
      </c>
      <c r="F1605">
        <v>158</v>
      </c>
      <c r="G1605">
        <v>255</v>
      </c>
      <c r="H1605">
        <v>12</v>
      </c>
      <c r="T1605" t="s">
        <v>10481</v>
      </c>
    </row>
    <row r="1606" spans="2:20" x14ac:dyDescent="0.25">
      <c r="B1606">
        <v>17048</v>
      </c>
      <c r="C1606" t="s">
        <v>17526</v>
      </c>
      <c r="E1606">
        <v>242</v>
      </c>
      <c r="F1606">
        <v>158</v>
      </c>
      <c r="G1606">
        <v>255</v>
      </c>
      <c r="H1606">
        <v>12</v>
      </c>
      <c r="T1606" t="s">
        <v>10483</v>
      </c>
    </row>
    <row r="1607" spans="2:20" x14ac:dyDescent="0.25">
      <c r="B1607">
        <v>17049</v>
      </c>
      <c r="C1607" t="s">
        <v>17527</v>
      </c>
      <c r="E1607">
        <v>242</v>
      </c>
      <c r="F1607">
        <v>158</v>
      </c>
      <c r="G1607">
        <v>255</v>
      </c>
      <c r="H1607">
        <v>12</v>
      </c>
      <c r="T1607" t="s">
        <v>10485</v>
      </c>
    </row>
    <row r="1608" spans="2:20" x14ac:dyDescent="0.25">
      <c r="B1608">
        <v>17052</v>
      </c>
      <c r="C1608" t="s">
        <v>17528</v>
      </c>
      <c r="E1608">
        <v>242</v>
      </c>
      <c r="F1608">
        <v>158</v>
      </c>
      <c r="G1608">
        <v>255</v>
      </c>
      <c r="H1608">
        <v>11</v>
      </c>
      <c r="S1608" t="s">
        <v>10491</v>
      </c>
    </row>
    <row r="1609" spans="2:20" x14ac:dyDescent="0.25">
      <c r="B1609">
        <v>17053</v>
      </c>
      <c r="C1609" t="s">
        <v>17529</v>
      </c>
      <c r="E1609">
        <v>202</v>
      </c>
      <c r="F1609">
        <v>109</v>
      </c>
      <c r="G1609">
        <v>217</v>
      </c>
      <c r="H1609">
        <v>5</v>
      </c>
      <c r="O1609" t="s">
        <v>10493</v>
      </c>
    </row>
    <row r="1610" spans="2:20" x14ac:dyDescent="0.25">
      <c r="B1610">
        <v>111220674</v>
      </c>
      <c r="C1610" t="s">
        <v>17530</v>
      </c>
      <c r="E1610">
        <v>202</v>
      </c>
      <c r="F1610">
        <v>109</v>
      </c>
      <c r="G1610">
        <v>217</v>
      </c>
      <c r="H1610">
        <v>9</v>
      </c>
      <c r="P1610" t="s">
        <v>8761</v>
      </c>
    </row>
    <row r="1611" spans="2:20" x14ac:dyDescent="0.25">
      <c r="B1611">
        <v>111220676</v>
      </c>
      <c r="C1611" t="s">
        <v>17531</v>
      </c>
      <c r="E1611">
        <v>214</v>
      </c>
      <c r="F1611">
        <v>115</v>
      </c>
      <c r="G1611">
        <v>230</v>
      </c>
      <c r="H1611">
        <v>9</v>
      </c>
      <c r="P1611" t="s">
        <v>8763</v>
      </c>
    </row>
    <row r="1612" spans="2:20" x14ac:dyDescent="0.25">
      <c r="B1612">
        <v>17054</v>
      </c>
      <c r="C1612" t="s">
        <v>17532</v>
      </c>
      <c r="E1612">
        <v>214</v>
      </c>
      <c r="F1612">
        <v>115</v>
      </c>
      <c r="G1612">
        <v>230</v>
      </c>
      <c r="H1612">
        <v>7</v>
      </c>
      <c r="P1612" t="s">
        <v>10495</v>
      </c>
    </row>
    <row r="1613" spans="2:20" x14ac:dyDescent="0.25">
      <c r="B1613">
        <v>17055</v>
      </c>
      <c r="C1613" t="s">
        <v>17533</v>
      </c>
      <c r="E1613">
        <v>214</v>
      </c>
      <c r="F1613">
        <v>115</v>
      </c>
      <c r="G1613">
        <v>230</v>
      </c>
      <c r="H1613">
        <v>9</v>
      </c>
      <c r="Q1613" t="s">
        <v>10497</v>
      </c>
    </row>
    <row r="1614" spans="2:20" x14ac:dyDescent="0.25">
      <c r="B1614">
        <v>17056</v>
      </c>
      <c r="C1614" t="s">
        <v>17534</v>
      </c>
      <c r="E1614">
        <v>214</v>
      </c>
      <c r="F1614">
        <v>115</v>
      </c>
      <c r="G1614">
        <v>230</v>
      </c>
      <c r="H1614">
        <v>9</v>
      </c>
      <c r="Q1614" t="s">
        <v>10499</v>
      </c>
    </row>
    <row r="1615" spans="2:20" x14ac:dyDescent="0.25">
      <c r="B1615">
        <v>17057</v>
      </c>
      <c r="C1615" t="s">
        <v>17535</v>
      </c>
      <c r="E1615">
        <v>214</v>
      </c>
      <c r="F1615">
        <v>115</v>
      </c>
      <c r="G1615">
        <v>230</v>
      </c>
      <c r="H1615">
        <v>10</v>
      </c>
      <c r="R1615" t="s">
        <v>10501</v>
      </c>
    </row>
    <row r="1616" spans="2:20" x14ac:dyDescent="0.25">
      <c r="B1616">
        <v>124372456</v>
      </c>
      <c r="C1616" t="s">
        <v>17536</v>
      </c>
      <c r="E1616">
        <v>214</v>
      </c>
      <c r="F1616">
        <v>115</v>
      </c>
      <c r="G1616">
        <v>230</v>
      </c>
      <c r="H1616">
        <v>11</v>
      </c>
      <c r="S1616" t="s">
        <v>9113</v>
      </c>
    </row>
    <row r="1617" spans="2:20" x14ac:dyDescent="0.25">
      <c r="B1617">
        <v>17058</v>
      </c>
      <c r="C1617" t="s">
        <v>17537</v>
      </c>
      <c r="E1617">
        <v>214</v>
      </c>
      <c r="F1617">
        <v>115</v>
      </c>
      <c r="G1617">
        <v>230</v>
      </c>
      <c r="H1617">
        <v>10</v>
      </c>
      <c r="R1617" t="s">
        <v>10503</v>
      </c>
    </row>
    <row r="1618" spans="2:20" x14ac:dyDescent="0.25">
      <c r="B1618">
        <v>17059</v>
      </c>
      <c r="C1618" t="s">
        <v>17538</v>
      </c>
      <c r="E1618">
        <v>214</v>
      </c>
      <c r="F1618">
        <v>115</v>
      </c>
      <c r="G1618">
        <v>230</v>
      </c>
      <c r="H1618">
        <v>11</v>
      </c>
      <c r="S1618" t="s">
        <v>10505</v>
      </c>
    </row>
    <row r="1619" spans="2:20" x14ac:dyDescent="0.25">
      <c r="B1619">
        <v>17062</v>
      </c>
      <c r="C1619" t="s">
        <v>17539</v>
      </c>
      <c r="E1619">
        <v>214</v>
      </c>
      <c r="F1619">
        <v>115</v>
      </c>
      <c r="G1619">
        <v>230</v>
      </c>
      <c r="H1619">
        <v>11</v>
      </c>
      <c r="S1619" t="s">
        <v>10511</v>
      </c>
    </row>
    <row r="1620" spans="2:20" x14ac:dyDescent="0.25">
      <c r="B1620">
        <v>17063</v>
      </c>
      <c r="C1620" t="s">
        <v>17540</v>
      </c>
      <c r="E1620">
        <v>214</v>
      </c>
      <c r="F1620">
        <v>115</v>
      </c>
      <c r="G1620">
        <v>230</v>
      </c>
      <c r="H1620">
        <v>10</v>
      </c>
      <c r="R1620" t="s">
        <v>10513</v>
      </c>
    </row>
    <row r="1621" spans="2:20" x14ac:dyDescent="0.25">
      <c r="B1621">
        <v>17064</v>
      </c>
      <c r="C1621" t="s">
        <v>17541</v>
      </c>
      <c r="E1621">
        <v>214</v>
      </c>
      <c r="F1621">
        <v>115</v>
      </c>
      <c r="G1621">
        <v>230</v>
      </c>
      <c r="H1621">
        <v>11</v>
      </c>
      <c r="S1621" t="s">
        <v>10515</v>
      </c>
    </row>
    <row r="1622" spans="2:20" x14ac:dyDescent="0.25">
      <c r="B1622">
        <v>17060</v>
      </c>
      <c r="C1622" t="s">
        <v>17542</v>
      </c>
      <c r="E1622">
        <v>214</v>
      </c>
      <c r="F1622">
        <v>115</v>
      </c>
      <c r="G1622">
        <v>230</v>
      </c>
      <c r="H1622">
        <v>11</v>
      </c>
      <c r="S1622" t="s">
        <v>10507</v>
      </c>
    </row>
    <row r="1623" spans="2:20" x14ac:dyDescent="0.25">
      <c r="B1623">
        <v>17061</v>
      </c>
      <c r="C1623" t="s">
        <v>17543</v>
      </c>
      <c r="E1623">
        <v>214</v>
      </c>
      <c r="F1623">
        <v>115</v>
      </c>
      <c r="G1623">
        <v>230</v>
      </c>
      <c r="H1623">
        <v>11</v>
      </c>
      <c r="S1623" t="s">
        <v>10509</v>
      </c>
    </row>
    <row r="1624" spans="2:20" x14ac:dyDescent="0.25">
      <c r="B1624">
        <v>17065</v>
      </c>
      <c r="C1624" t="s">
        <v>17544</v>
      </c>
      <c r="E1624">
        <v>214</v>
      </c>
      <c r="F1624">
        <v>115</v>
      </c>
      <c r="G1624">
        <v>230</v>
      </c>
      <c r="H1624">
        <v>11</v>
      </c>
      <c r="S1624" t="s">
        <v>10517</v>
      </c>
    </row>
    <row r="1625" spans="2:20" x14ac:dyDescent="0.25">
      <c r="B1625">
        <v>17066</v>
      </c>
      <c r="C1625" t="s">
        <v>17545</v>
      </c>
      <c r="E1625">
        <v>202</v>
      </c>
      <c r="F1625">
        <v>109</v>
      </c>
      <c r="G1625">
        <v>217</v>
      </c>
      <c r="H1625">
        <v>7</v>
      </c>
      <c r="P1625" t="s">
        <v>10519</v>
      </c>
    </row>
    <row r="1626" spans="2:20" x14ac:dyDescent="0.25">
      <c r="B1626">
        <v>17067</v>
      </c>
      <c r="C1626" t="s">
        <v>17546</v>
      </c>
      <c r="E1626">
        <v>202</v>
      </c>
      <c r="F1626">
        <v>109</v>
      </c>
      <c r="G1626">
        <v>217</v>
      </c>
      <c r="H1626">
        <v>9</v>
      </c>
      <c r="Q1626" t="s">
        <v>10521</v>
      </c>
    </row>
    <row r="1627" spans="2:20" x14ac:dyDescent="0.25">
      <c r="B1627">
        <v>17068</v>
      </c>
      <c r="C1627" t="s">
        <v>17547</v>
      </c>
      <c r="E1627">
        <v>214</v>
      </c>
      <c r="F1627">
        <v>115</v>
      </c>
      <c r="G1627">
        <v>230</v>
      </c>
      <c r="H1627">
        <v>9</v>
      </c>
      <c r="Q1627" t="s">
        <v>10523</v>
      </c>
    </row>
    <row r="1628" spans="2:20" x14ac:dyDescent="0.25">
      <c r="B1628">
        <v>17069</v>
      </c>
      <c r="C1628" t="s">
        <v>17548</v>
      </c>
      <c r="E1628">
        <v>214</v>
      </c>
      <c r="F1628">
        <v>115</v>
      </c>
      <c r="G1628">
        <v>230</v>
      </c>
      <c r="H1628">
        <v>10</v>
      </c>
      <c r="R1628" t="s">
        <v>10525</v>
      </c>
    </row>
    <row r="1629" spans="2:20" x14ac:dyDescent="0.25">
      <c r="B1629">
        <v>17070</v>
      </c>
      <c r="C1629" t="s">
        <v>17549</v>
      </c>
      <c r="E1629">
        <v>214</v>
      </c>
      <c r="F1629">
        <v>115</v>
      </c>
      <c r="G1629">
        <v>230</v>
      </c>
      <c r="H1629">
        <v>11</v>
      </c>
      <c r="S1629" t="s">
        <v>10527</v>
      </c>
    </row>
    <row r="1630" spans="2:20" x14ac:dyDescent="0.25">
      <c r="B1630">
        <v>17071</v>
      </c>
      <c r="C1630" t="s">
        <v>17550</v>
      </c>
      <c r="E1630">
        <v>214</v>
      </c>
      <c r="F1630">
        <v>115</v>
      </c>
      <c r="G1630">
        <v>230</v>
      </c>
      <c r="H1630">
        <v>12</v>
      </c>
      <c r="T1630" t="s">
        <v>10529</v>
      </c>
    </row>
    <row r="1631" spans="2:20" x14ac:dyDescent="0.25">
      <c r="B1631">
        <v>17072</v>
      </c>
      <c r="C1631" t="s">
        <v>17551</v>
      </c>
      <c r="E1631">
        <v>214</v>
      </c>
      <c r="F1631">
        <v>115</v>
      </c>
      <c r="G1631">
        <v>230</v>
      </c>
      <c r="H1631">
        <v>12</v>
      </c>
      <c r="T1631" t="s">
        <v>10531</v>
      </c>
    </row>
    <row r="1632" spans="2:20" x14ac:dyDescent="0.25">
      <c r="B1632">
        <v>17073</v>
      </c>
      <c r="C1632" t="s">
        <v>17552</v>
      </c>
      <c r="E1632">
        <v>214</v>
      </c>
      <c r="F1632">
        <v>115</v>
      </c>
      <c r="G1632">
        <v>230</v>
      </c>
      <c r="H1632">
        <v>11</v>
      </c>
      <c r="S1632" t="s">
        <v>10533</v>
      </c>
    </row>
    <row r="1633" spans="2:19" x14ac:dyDescent="0.25">
      <c r="B1633">
        <v>17074</v>
      </c>
      <c r="C1633" t="s">
        <v>17553</v>
      </c>
      <c r="E1633">
        <v>214</v>
      </c>
      <c r="F1633">
        <v>115</v>
      </c>
      <c r="G1633">
        <v>230</v>
      </c>
      <c r="H1633">
        <v>10</v>
      </c>
      <c r="R1633" t="s">
        <v>10535</v>
      </c>
    </row>
    <row r="1634" spans="2:19" x14ac:dyDescent="0.25">
      <c r="B1634">
        <v>17075</v>
      </c>
      <c r="C1634" t="s">
        <v>17554</v>
      </c>
      <c r="E1634">
        <v>214</v>
      </c>
      <c r="F1634">
        <v>115</v>
      </c>
      <c r="G1634">
        <v>230</v>
      </c>
      <c r="H1634">
        <v>11</v>
      </c>
      <c r="S1634" t="s">
        <v>10537</v>
      </c>
    </row>
    <row r="1635" spans="2:19" x14ac:dyDescent="0.25">
      <c r="B1635">
        <v>17076</v>
      </c>
      <c r="C1635" t="s">
        <v>17555</v>
      </c>
      <c r="E1635">
        <v>214</v>
      </c>
      <c r="F1635">
        <v>115</v>
      </c>
      <c r="G1635">
        <v>230</v>
      </c>
      <c r="H1635">
        <v>11</v>
      </c>
      <c r="S1635" t="s">
        <v>10539</v>
      </c>
    </row>
    <row r="1636" spans="2:19" x14ac:dyDescent="0.25">
      <c r="B1636">
        <v>17077</v>
      </c>
      <c r="C1636" t="s">
        <v>17556</v>
      </c>
      <c r="E1636">
        <v>214</v>
      </c>
      <c r="F1636">
        <v>115</v>
      </c>
      <c r="G1636">
        <v>230</v>
      </c>
      <c r="H1636">
        <v>11</v>
      </c>
      <c r="S1636" t="s">
        <v>10541</v>
      </c>
    </row>
    <row r="1637" spans="2:19" x14ac:dyDescent="0.25">
      <c r="B1637">
        <v>17078</v>
      </c>
      <c r="C1637" t="s">
        <v>17557</v>
      </c>
      <c r="E1637">
        <v>214</v>
      </c>
      <c r="F1637">
        <v>115</v>
      </c>
      <c r="G1637">
        <v>230</v>
      </c>
      <c r="H1637">
        <v>10</v>
      </c>
      <c r="R1637" t="s">
        <v>10543</v>
      </c>
    </row>
    <row r="1638" spans="2:19" x14ac:dyDescent="0.25">
      <c r="B1638">
        <v>124372464</v>
      </c>
      <c r="C1638" t="s">
        <v>17558</v>
      </c>
      <c r="E1638">
        <v>214</v>
      </c>
      <c r="F1638">
        <v>115</v>
      </c>
      <c r="G1638">
        <v>230</v>
      </c>
      <c r="H1638">
        <v>11</v>
      </c>
      <c r="S1638" t="s">
        <v>9115</v>
      </c>
    </row>
    <row r="1639" spans="2:19" x14ac:dyDescent="0.25">
      <c r="B1639">
        <v>17079</v>
      </c>
      <c r="C1639" t="s">
        <v>17559</v>
      </c>
      <c r="E1639">
        <v>202</v>
      </c>
      <c r="F1639">
        <v>109</v>
      </c>
      <c r="G1639">
        <v>217</v>
      </c>
      <c r="H1639">
        <v>7</v>
      </c>
      <c r="P1639" t="s">
        <v>10545</v>
      </c>
    </row>
    <row r="1640" spans="2:19" x14ac:dyDescent="0.25">
      <c r="B1640">
        <v>17080</v>
      </c>
      <c r="C1640" t="s">
        <v>17560</v>
      </c>
      <c r="E1640">
        <v>202</v>
      </c>
      <c r="F1640">
        <v>109</v>
      </c>
      <c r="G1640">
        <v>217</v>
      </c>
      <c r="H1640">
        <v>9</v>
      </c>
      <c r="Q1640" t="s">
        <v>10547</v>
      </c>
    </row>
    <row r="1641" spans="2:19" x14ac:dyDescent="0.25">
      <c r="B1641">
        <v>17081</v>
      </c>
      <c r="C1641" t="s">
        <v>17561</v>
      </c>
      <c r="E1641">
        <v>214</v>
      </c>
      <c r="F1641">
        <v>115</v>
      </c>
      <c r="G1641">
        <v>230</v>
      </c>
      <c r="H1641">
        <v>9</v>
      </c>
      <c r="Q1641" t="s">
        <v>10549</v>
      </c>
    </row>
    <row r="1642" spans="2:19" x14ac:dyDescent="0.25">
      <c r="B1642">
        <v>17082</v>
      </c>
      <c r="C1642" t="s">
        <v>17562</v>
      </c>
      <c r="E1642">
        <v>214</v>
      </c>
      <c r="F1642">
        <v>115</v>
      </c>
      <c r="G1642">
        <v>230</v>
      </c>
      <c r="H1642">
        <v>10</v>
      </c>
      <c r="R1642" t="s">
        <v>10551</v>
      </c>
    </row>
    <row r="1643" spans="2:19" x14ac:dyDescent="0.25">
      <c r="B1643">
        <v>17083</v>
      </c>
      <c r="C1643" t="s">
        <v>17563</v>
      </c>
      <c r="E1643">
        <v>214</v>
      </c>
      <c r="F1643">
        <v>115</v>
      </c>
      <c r="G1643">
        <v>230</v>
      </c>
      <c r="H1643">
        <v>11</v>
      </c>
      <c r="S1643" t="s">
        <v>10553</v>
      </c>
    </row>
    <row r="1644" spans="2:19" x14ac:dyDescent="0.25">
      <c r="B1644">
        <v>17084</v>
      </c>
      <c r="C1644" t="s">
        <v>17564</v>
      </c>
      <c r="E1644">
        <v>214</v>
      </c>
      <c r="F1644">
        <v>115</v>
      </c>
      <c r="G1644">
        <v>230</v>
      </c>
      <c r="H1644">
        <v>11</v>
      </c>
      <c r="S1644" t="s">
        <v>3251</v>
      </c>
    </row>
    <row r="1645" spans="2:19" x14ac:dyDescent="0.25">
      <c r="B1645">
        <v>17085</v>
      </c>
      <c r="C1645" t="s">
        <v>17565</v>
      </c>
      <c r="E1645">
        <v>214</v>
      </c>
      <c r="F1645">
        <v>115</v>
      </c>
      <c r="G1645">
        <v>230</v>
      </c>
      <c r="H1645">
        <v>10</v>
      </c>
      <c r="R1645" t="s">
        <v>10555</v>
      </c>
    </row>
    <row r="1646" spans="2:19" x14ac:dyDescent="0.25">
      <c r="B1646">
        <v>17086</v>
      </c>
      <c r="C1646" t="s">
        <v>17566</v>
      </c>
      <c r="E1646">
        <v>214</v>
      </c>
      <c r="F1646">
        <v>115</v>
      </c>
      <c r="G1646">
        <v>230</v>
      </c>
      <c r="H1646">
        <v>11</v>
      </c>
      <c r="S1646" t="s">
        <v>10557</v>
      </c>
    </row>
    <row r="1647" spans="2:19" x14ac:dyDescent="0.25">
      <c r="B1647">
        <v>17087</v>
      </c>
      <c r="C1647" t="s">
        <v>17567</v>
      </c>
      <c r="E1647">
        <v>214</v>
      </c>
      <c r="F1647">
        <v>115</v>
      </c>
      <c r="G1647">
        <v>230</v>
      </c>
      <c r="H1647">
        <v>11</v>
      </c>
      <c r="S1647" t="s">
        <v>10559</v>
      </c>
    </row>
    <row r="1648" spans="2:19" x14ac:dyDescent="0.25">
      <c r="B1648">
        <v>17088</v>
      </c>
      <c r="C1648" t="s">
        <v>17568</v>
      </c>
      <c r="E1648">
        <v>214</v>
      </c>
      <c r="F1648">
        <v>115</v>
      </c>
      <c r="G1648">
        <v>230</v>
      </c>
      <c r="H1648">
        <v>11</v>
      </c>
      <c r="S1648" t="s">
        <v>10561</v>
      </c>
    </row>
    <row r="1649" spans="2:19" x14ac:dyDescent="0.25">
      <c r="B1649">
        <v>17089</v>
      </c>
      <c r="C1649" t="s">
        <v>17569</v>
      </c>
      <c r="E1649">
        <v>214</v>
      </c>
      <c r="F1649">
        <v>115</v>
      </c>
      <c r="G1649">
        <v>230</v>
      </c>
      <c r="H1649">
        <v>10</v>
      </c>
      <c r="R1649" t="s">
        <v>10563</v>
      </c>
    </row>
    <row r="1650" spans="2:19" x14ac:dyDescent="0.25">
      <c r="B1650">
        <v>17090</v>
      </c>
      <c r="C1650" t="s">
        <v>17570</v>
      </c>
      <c r="E1650">
        <v>214</v>
      </c>
      <c r="F1650">
        <v>115</v>
      </c>
      <c r="G1650">
        <v>230</v>
      </c>
      <c r="H1650">
        <v>11</v>
      </c>
      <c r="S1650" t="s">
        <v>10565</v>
      </c>
    </row>
    <row r="1651" spans="2:19" x14ac:dyDescent="0.25">
      <c r="B1651">
        <v>17091</v>
      </c>
      <c r="C1651" t="s">
        <v>17571</v>
      </c>
      <c r="E1651">
        <v>167</v>
      </c>
      <c r="F1651">
        <v>90</v>
      </c>
      <c r="G1651">
        <v>179</v>
      </c>
      <c r="H1651">
        <v>5</v>
      </c>
      <c r="O1651" t="s">
        <v>4787</v>
      </c>
    </row>
    <row r="1652" spans="2:19" x14ac:dyDescent="0.25">
      <c r="B1652">
        <v>112892333</v>
      </c>
      <c r="C1652" t="s">
        <v>17572</v>
      </c>
      <c r="E1652">
        <v>154</v>
      </c>
      <c r="F1652">
        <v>87</v>
      </c>
      <c r="G1652">
        <v>157</v>
      </c>
      <c r="H1652">
        <v>9</v>
      </c>
      <c r="P1652" t="s">
        <v>1930</v>
      </c>
    </row>
    <row r="1653" spans="2:19" x14ac:dyDescent="0.25">
      <c r="B1653">
        <v>112892335</v>
      </c>
      <c r="C1653" t="s">
        <v>17573</v>
      </c>
      <c r="E1653">
        <v>202</v>
      </c>
      <c r="F1653">
        <v>109</v>
      </c>
      <c r="G1653">
        <v>217</v>
      </c>
      <c r="H1653">
        <v>9</v>
      </c>
      <c r="P1653" t="s">
        <v>1932</v>
      </c>
    </row>
    <row r="1654" spans="2:19" x14ac:dyDescent="0.25">
      <c r="B1654">
        <v>112892337</v>
      </c>
      <c r="C1654" t="s">
        <v>17574</v>
      </c>
      <c r="E1654">
        <v>202</v>
      </c>
      <c r="F1654">
        <v>109</v>
      </c>
      <c r="G1654">
        <v>217</v>
      </c>
      <c r="H1654">
        <v>10</v>
      </c>
      <c r="Q1654" t="s">
        <v>1934</v>
      </c>
    </row>
    <row r="1655" spans="2:19" x14ac:dyDescent="0.25">
      <c r="B1655">
        <v>112892339</v>
      </c>
      <c r="C1655" t="s">
        <v>17575</v>
      </c>
      <c r="E1655">
        <v>202</v>
      </c>
      <c r="F1655">
        <v>109</v>
      </c>
      <c r="G1655">
        <v>217</v>
      </c>
      <c r="H1655">
        <v>10</v>
      </c>
      <c r="Q1655" t="s">
        <v>1936</v>
      </c>
    </row>
    <row r="1656" spans="2:19" x14ac:dyDescent="0.25">
      <c r="B1656">
        <v>112892341</v>
      </c>
      <c r="C1656" t="s">
        <v>17576</v>
      </c>
      <c r="E1656">
        <v>202</v>
      </c>
      <c r="F1656">
        <v>109</v>
      </c>
      <c r="G1656">
        <v>217</v>
      </c>
      <c r="H1656">
        <v>10</v>
      </c>
      <c r="Q1656" t="s">
        <v>1938</v>
      </c>
    </row>
    <row r="1657" spans="2:19" x14ac:dyDescent="0.25">
      <c r="B1657">
        <v>17092</v>
      </c>
      <c r="C1657" t="s">
        <v>17577</v>
      </c>
      <c r="E1657">
        <v>148</v>
      </c>
      <c r="F1657">
        <v>66</v>
      </c>
      <c r="G1657">
        <v>255</v>
      </c>
      <c r="H1657">
        <v>2</v>
      </c>
      <c r="M1657" t="s">
        <v>10567</v>
      </c>
    </row>
    <row r="1658" spans="2:19" x14ac:dyDescent="0.25">
      <c r="B1658">
        <v>17093</v>
      </c>
      <c r="C1658" t="s">
        <v>17578</v>
      </c>
      <c r="E1658">
        <v>148</v>
      </c>
      <c r="F1658">
        <v>66</v>
      </c>
      <c r="G1658">
        <v>255</v>
      </c>
      <c r="H1658">
        <v>3</v>
      </c>
      <c r="N1658" t="s">
        <v>4793</v>
      </c>
    </row>
    <row r="1659" spans="2:19" x14ac:dyDescent="0.25">
      <c r="B1659">
        <v>17094</v>
      </c>
      <c r="C1659" t="s">
        <v>17579</v>
      </c>
      <c r="E1659">
        <v>179</v>
      </c>
      <c r="F1659">
        <v>120</v>
      </c>
      <c r="G1659">
        <v>255</v>
      </c>
      <c r="H1659">
        <v>5</v>
      </c>
      <c r="O1659" t="s">
        <v>4800</v>
      </c>
    </row>
    <row r="1660" spans="2:19" x14ac:dyDescent="0.25">
      <c r="B1660">
        <v>17095</v>
      </c>
      <c r="C1660" t="s">
        <v>17580</v>
      </c>
      <c r="E1660">
        <v>148</v>
      </c>
      <c r="F1660">
        <v>66</v>
      </c>
      <c r="G1660">
        <v>255</v>
      </c>
      <c r="H1660">
        <v>5</v>
      </c>
      <c r="O1660" t="s">
        <v>10569</v>
      </c>
    </row>
    <row r="1661" spans="2:19" x14ac:dyDescent="0.25">
      <c r="B1661">
        <v>111220678</v>
      </c>
      <c r="C1661" t="s">
        <v>17581</v>
      </c>
      <c r="E1661">
        <v>148</v>
      </c>
      <c r="F1661">
        <v>66</v>
      </c>
      <c r="G1661">
        <v>255</v>
      </c>
      <c r="H1661">
        <v>9</v>
      </c>
      <c r="P1661" t="s">
        <v>8765</v>
      </c>
    </row>
    <row r="1662" spans="2:19" x14ac:dyDescent="0.25">
      <c r="B1662">
        <v>111220680</v>
      </c>
      <c r="C1662" t="s">
        <v>17582</v>
      </c>
      <c r="E1662">
        <v>163</v>
      </c>
      <c r="F1662">
        <v>93</v>
      </c>
      <c r="G1662">
        <v>255</v>
      </c>
      <c r="H1662">
        <v>9</v>
      </c>
      <c r="P1662" t="s">
        <v>8767</v>
      </c>
    </row>
    <row r="1663" spans="2:19" x14ac:dyDescent="0.25">
      <c r="B1663">
        <v>17096</v>
      </c>
      <c r="C1663" t="s">
        <v>17583</v>
      </c>
      <c r="E1663">
        <v>148</v>
      </c>
      <c r="F1663">
        <v>66</v>
      </c>
      <c r="G1663">
        <v>255</v>
      </c>
      <c r="H1663">
        <v>7</v>
      </c>
      <c r="P1663" t="s">
        <v>10571</v>
      </c>
    </row>
    <row r="1664" spans="2:19" x14ac:dyDescent="0.25">
      <c r="B1664">
        <v>17097</v>
      </c>
      <c r="C1664" t="s">
        <v>17584</v>
      </c>
      <c r="E1664">
        <v>148</v>
      </c>
      <c r="F1664">
        <v>66</v>
      </c>
      <c r="G1664">
        <v>255</v>
      </c>
      <c r="H1664">
        <v>9</v>
      </c>
      <c r="Q1664" t="s">
        <v>10573</v>
      </c>
    </row>
    <row r="1665" spans="2:19" x14ac:dyDescent="0.25">
      <c r="B1665">
        <v>17098</v>
      </c>
      <c r="C1665" t="s">
        <v>17585</v>
      </c>
      <c r="E1665">
        <v>163</v>
      </c>
      <c r="F1665">
        <v>93</v>
      </c>
      <c r="G1665">
        <v>255</v>
      </c>
      <c r="H1665">
        <v>9</v>
      </c>
      <c r="Q1665" t="s">
        <v>10575</v>
      </c>
    </row>
    <row r="1666" spans="2:19" x14ac:dyDescent="0.25">
      <c r="B1666">
        <v>111220682</v>
      </c>
      <c r="C1666" t="s">
        <v>17586</v>
      </c>
      <c r="E1666">
        <v>163</v>
      </c>
      <c r="F1666">
        <v>93</v>
      </c>
      <c r="G1666">
        <v>255</v>
      </c>
      <c r="H1666">
        <v>10</v>
      </c>
      <c r="R1666" t="s">
        <v>8769</v>
      </c>
    </row>
    <row r="1667" spans="2:19" x14ac:dyDescent="0.25">
      <c r="B1667">
        <v>17099</v>
      </c>
      <c r="C1667" t="s">
        <v>17587</v>
      </c>
      <c r="E1667">
        <v>163</v>
      </c>
      <c r="F1667">
        <v>93</v>
      </c>
      <c r="G1667">
        <v>255</v>
      </c>
      <c r="H1667">
        <v>11</v>
      </c>
      <c r="S1667" t="s">
        <v>10577</v>
      </c>
    </row>
    <row r="1668" spans="2:19" x14ac:dyDescent="0.25">
      <c r="B1668">
        <v>111220684</v>
      </c>
      <c r="C1668" t="s">
        <v>17588</v>
      </c>
      <c r="E1668">
        <v>163</v>
      </c>
      <c r="F1668">
        <v>93</v>
      </c>
      <c r="G1668">
        <v>255</v>
      </c>
      <c r="H1668">
        <v>10</v>
      </c>
      <c r="R1668" t="s">
        <v>8771</v>
      </c>
    </row>
    <row r="1669" spans="2:19" x14ac:dyDescent="0.25">
      <c r="B1669">
        <v>111220686</v>
      </c>
      <c r="C1669" t="s">
        <v>17589</v>
      </c>
      <c r="E1669">
        <v>163</v>
      </c>
      <c r="F1669">
        <v>93</v>
      </c>
      <c r="G1669">
        <v>255</v>
      </c>
      <c r="H1669">
        <v>10</v>
      </c>
      <c r="R1669" t="s">
        <v>8773</v>
      </c>
    </row>
    <row r="1670" spans="2:19" x14ac:dyDescent="0.25">
      <c r="B1670">
        <v>17100</v>
      </c>
      <c r="C1670" t="s">
        <v>17590</v>
      </c>
      <c r="E1670">
        <v>163</v>
      </c>
      <c r="F1670">
        <v>93</v>
      </c>
      <c r="G1670">
        <v>255</v>
      </c>
      <c r="H1670">
        <v>11</v>
      </c>
      <c r="S1670" t="s">
        <v>10579</v>
      </c>
    </row>
    <row r="1671" spans="2:19" x14ac:dyDescent="0.25">
      <c r="B1671">
        <v>17101</v>
      </c>
      <c r="C1671" t="s">
        <v>17591</v>
      </c>
      <c r="E1671">
        <v>148</v>
      </c>
      <c r="F1671">
        <v>66</v>
      </c>
      <c r="G1671">
        <v>255</v>
      </c>
      <c r="H1671">
        <v>7</v>
      </c>
      <c r="P1671" t="s">
        <v>10581</v>
      </c>
    </row>
    <row r="1672" spans="2:19" x14ac:dyDescent="0.25">
      <c r="B1672">
        <v>17102</v>
      </c>
      <c r="C1672" t="s">
        <v>17592</v>
      </c>
      <c r="E1672">
        <v>148</v>
      </c>
      <c r="F1672">
        <v>66</v>
      </c>
      <c r="G1672">
        <v>255</v>
      </c>
      <c r="H1672">
        <v>9</v>
      </c>
      <c r="Q1672" t="s">
        <v>10583</v>
      </c>
    </row>
    <row r="1673" spans="2:19" x14ac:dyDescent="0.25">
      <c r="B1673">
        <v>17103</v>
      </c>
      <c r="C1673" t="s">
        <v>17593</v>
      </c>
      <c r="E1673">
        <v>163</v>
      </c>
      <c r="F1673">
        <v>93</v>
      </c>
      <c r="G1673">
        <v>255</v>
      </c>
      <c r="H1673">
        <v>9</v>
      </c>
      <c r="Q1673" t="s">
        <v>10585</v>
      </c>
    </row>
    <row r="1674" spans="2:19" x14ac:dyDescent="0.25">
      <c r="B1674">
        <v>111220688</v>
      </c>
      <c r="C1674" t="s">
        <v>17594</v>
      </c>
      <c r="E1674">
        <v>163</v>
      </c>
      <c r="F1674">
        <v>93</v>
      </c>
      <c r="G1674">
        <v>255</v>
      </c>
      <c r="H1674">
        <v>10</v>
      </c>
      <c r="R1674" t="s">
        <v>8775</v>
      </c>
    </row>
    <row r="1675" spans="2:19" x14ac:dyDescent="0.25">
      <c r="B1675">
        <v>17106</v>
      </c>
      <c r="C1675" t="s">
        <v>17595</v>
      </c>
      <c r="E1675">
        <v>163</v>
      </c>
      <c r="F1675">
        <v>93</v>
      </c>
      <c r="G1675">
        <v>255</v>
      </c>
      <c r="H1675">
        <v>11</v>
      </c>
      <c r="S1675" t="s">
        <v>10591</v>
      </c>
    </row>
    <row r="1676" spans="2:19" x14ac:dyDescent="0.25">
      <c r="B1676">
        <v>111220690</v>
      </c>
      <c r="C1676" t="s">
        <v>17596</v>
      </c>
      <c r="E1676">
        <v>163</v>
      </c>
      <c r="F1676">
        <v>93</v>
      </c>
      <c r="G1676">
        <v>255</v>
      </c>
      <c r="H1676">
        <v>10</v>
      </c>
      <c r="R1676" t="s">
        <v>8777</v>
      </c>
    </row>
    <row r="1677" spans="2:19" x14ac:dyDescent="0.25">
      <c r="B1677">
        <v>17105</v>
      </c>
      <c r="C1677" t="s">
        <v>17597</v>
      </c>
      <c r="E1677">
        <v>163</v>
      </c>
      <c r="F1677">
        <v>93</v>
      </c>
      <c r="G1677">
        <v>255</v>
      </c>
      <c r="H1677">
        <v>11</v>
      </c>
      <c r="S1677" t="s">
        <v>10589</v>
      </c>
    </row>
    <row r="1678" spans="2:19" x14ac:dyDescent="0.25">
      <c r="B1678">
        <v>111220692</v>
      </c>
      <c r="C1678" t="s">
        <v>17598</v>
      </c>
      <c r="E1678">
        <v>163</v>
      </c>
      <c r="F1678">
        <v>93</v>
      </c>
      <c r="G1678">
        <v>255</v>
      </c>
      <c r="H1678">
        <v>10</v>
      </c>
      <c r="R1678" t="s">
        <v>8779</v>
      </c>
    </row>
    <row r="1679" spans="2:19" x14ac:dyDescent="0.25">
      <c r="B1679">
        <v>17104</v>
      </c>
      <c r="C1679" t="s">
        <v>17599</v>
      </c>
      <c r="E1679">
        <v>163</v>
      </c>
      <c r="F1679">
        <v>93</v>
      </c>
      <c r="G1679">
        <v>255</v>
      </c>
      <c r="H1679">
        <v>11</v>
      </c>
      <c r="S1679" t="s">
        <v>10587</v>
      </c>
    </row>
    <row r="1680" spans="2:19" x14ac:dyDescent="0.25">
      <c r="B1680">
        <v>17107</v>
      </c>
      <c r="C1680" t="s">
        <v>17600</v>
      </c>
      <c r="E1680">
        <v>148</v>
      </c>
      <c r="F1680">
        <v>66</v>
      </c>
      <c r="G1680">
        <v>255</v>
      </c>
      <c r="H1680">
        <v>7</v>
      </c>
      <c r="P1680" t="s">
        <v>10593</v>
      </c>
    </row>
    <row r="1681" spans="2:19" x14ac:dyDescent="0.25">
      <c r="B1681">
        <v>17108</v>
      </c>
      <c r="C1681" t="s">
        <v>17601</v>
      </c>
      <c r="E1681">
        <v>148</v>
      </c>
      <c r="F1681">
        <v>66</v>
      </c>
      <c r="G1681">
        <v>255</v>
      </c>
      <c r="H1681">
        <v>9</v>
      </c>
      <c r="Q1681" t="s">
        <v>10595</v>
      </c>
    </row>
    <row r="1682" spans="2:19" x14ac:dyDescent="0.25">
      <c r="B1682">
        <v>17109</v>
      </c>
      <c r="C1682" t="s">
        <v>17602</v>
      </c>
      <c r="E1682">
        <v>163</v>
      </c>
      <c r="F1682">
        <v>93</v>
      </c>
      <c r="G1682">
        <v>255</v>
      </c>
      <c r="H1682">
        <v>9</v>
      </c>
      <c r="Q1682" t="s">
        <v>10597</v>
      </c>
    </row>
    <row r="1683" spans="2:19" x14ac:dyDescent="0.25">
      <c r="B1683">
        <v>111220694</v>
      </c>
      <c r="C1683" t="s">
        <v>17603</v>
      </c>
      <c r="E1683">
        <v>163</v>
      </c>
      <c r="F1683">
        <v>93</v>
      </c>
      <c r="G1683">
        <v>255</v>
      </c>
      <c r="H1683">
        <v>10</v>
      </c>
      <c r="R1683" t="s">
        <v>8781</v>
      </c>
    </row>
    <row r="1684" spans="2:19" x14ac:dyDescent="0.25">
      <c r="B1684">
        <v>111220696</v>
      </c>
      <c r="C1684" t="s">
        <v>17604</v>
      </c>
      <c r="E1684">
        <v>163</v>
      </c>
      <c r="F1684">
        <v>93</v>
      </c>
      <c r="G1684">
        <v>255</v>
      </c>
      <c r="H1684">
        <v>10</v>
      </c>
      <c r="R1684" t="s">
        <v>8783</v>
      </c>
    </row>
    <row r="1685" spans="2:19" x14ac:dyDescent="0.25">
      <c r="B1685">
        <v>17111</v>
      </c>
      <c r="C1685" t="s">
        <v>17605</v>
      </c>
      <c r="E1685">
        <v>163</v>
      </c>
      <c r="F1685">
        <v>93</v>
      </c>
      <c r="G1685">
        <v>255</v>
      </c>
      <c r="H1685">
        <v>11</v>
      </c>
      <c r="S1685" t="s">
        <v>10601</v>
      </c>
    </row>
    <row r="1686" spans="2:19" x14ac:dyDescent="0.25">
      <c r="B1686">
        <v>17112</v>
      </c>
      <c r="C1686" t="s">
        <v>17606</v>
      </c>
      <c r="E1686">
        <v>163</v>
      </c>
      <c r="F1686">
        <v>93</v>
      </c>
      <c r="G1686">
        <v>255</v>
      </c>
      <c r="H1686">
        <v>11</v>
      </c>
      <c r="S1686" t="s">
        <v>10603</v>
      </c>
    </row>
    <row r="1687" spans="2:19" x14ac:dyDescent="0.25">
      <c r="B1687">
        <v>111220698</v>
      </c>
      <c r="C1687" t="s">
        <v>17607</v>
      </c>
      <c r="E1687">
        <v>163</v>
      </c>
      <c r="F1687">
        <v>93</v>
      </c>
      <c r="G1687">
        <v>255</v>
      </c>
      <c r="H1687">
        <v>10</v>
      </c>
      <c r="R1687" t="s">
        <v>8785</v>
      </c>
    </row>
    <row r="1688" spans="2:19" x14ac:dyDescent="0.25">
      <c r="B1688">
        <v>17110</v>
      </c>
      <c r="C1688" t="s">
        <v>17608</v>
      </c>
      <c r="E1688">
        <v>163</v>
      </c>
      <c r="F1688">
        <v>93</v>
      </c>
      <c r="G1688">
        <v>255</v>
      </c>
      <c r="H1688">
        <v>11</v>
      </c>
      <c r="S1688" t="s">
        <v>10599</v>
      </c>
    </row>
    <row r="1689" spans="2:19" x14ac:dyDescent="0.25">
      <c r="B1689">
        <v>17113</v>
      </c>
      <c r="C1689" t="s">
        <v>17609</v>
      </c>
      <c r="E1689">
        <v>148</v>
      </c>
      <c r="F1689">
        <v>66</v>
      </c>
      <c r="G1689">
        <v>255</v>
      </c>
      <c r="H1689">
        <v>7</v>
      </c>
      <c r="P1689" t="s">
        <v>10605</v>
      </c>
    </row>
    <row r="1690" spans="2:19" x14ac:dyDescent="0.25">
      <c r="B1690">
        <v>17114</v>
      </c>
      <c r="C1690" t="s">
        <v>17610</v>
      </c>
      <c r="E1690">
        <v>148</v>
      </c>
      <c r="F1690">
        <v>66</v>
      </c>
      <c r="G1690">
        <v>255</v>
      </c>
      <c r="H1690">
        <v>9</v>
      </c>
      <c r="Q1690" t="s">
        <v>10607</v>
      </c>
    </row>
    <row r="1691" spans="2:19" x14ac:dyDescent="0.25">
      <c r="B1691">
        <v>17115</v>
      </c>
      <c r="C1691" t="s">
        <v>17611</v>
      </c>
      <c r="E1691">
        <v>163</v>
      </c>
      <c r="F1691">
        <v>93</v>
      </c>
      <c r="G1691">
        <v>255</v>
      </c>
      <c r="H1691">
        <v>9</v>
      </c>
      <c r="Q1691" t="s">
        <v>10609</v>
      </c>
    </row>
    <row r="1692" spans="2:19" x14ac:dyDescent="0.25">
      <c r="B1692">
        <v>111220700</v>
      </c>
      <c r="C1692" t="s">
        <v>17612</v>
      </c>
      <c r="E1692">
        <v>163</v>
      </c>
      <c r="F1692">
        <v>93</v>
      </c>
      <c r="G1692">
        <v>255</v>
      </c>
      <c r="H1692">
        <v>10</v>
      </c>
      <c r="R1692" t="s">
        <v>8787</v>
      </c>
    </row>
    <row r="1693" spans="2:19" x14ac:dyDescent="0.25">
      <c r="B1693">
        <v>17122</v>
      </c>
      <c r="C1693" t="s">
        <v>17613</v>
      </c>
      <c r="E1693">
        <v>163</v>
      </c>
      <c r="F1693">
        <v>93</v>
      </c>
      <c r="G1693">
        <v>255</v>
      </c>
      <c r="H1693">
        <v>11</v>
      </c>
      <c r="S1693" t="s">
        <v>10623</v>
      </c>
    </row>
    <row r="1694" spans="2:19" x14ac:dyDescent="0.25">
      <c r="B1694">
        <v>111220702</v>
      </c>
      <c r="C1694" t="s">
        <v>17614</v>
      </c>
      <c r="E1694">
        <v>163</v>
      </c>
      <c r="F1694">
        <v>93</v>
      </c>
      <c r="G1694">
        <v>255</v>
      </c>
      <c r="H1694">
        <v>10</v>
      </c>
      <c r="R1694" t="s">
        <v>8789</v>
      </c>
    </row>
    <row r="1695" spans="2:19" x14ac:dyDescent="0.25">
      <c r="B1695">
        <v>17121</v>
      </c>
      <c r="C1695" t="s">
        <v>17615</v>
      </c>
      <c r="E1695">
        <v>163</v>
      </c>
      <c r="F1695">
        <v>93</v>
      </c>
      <c r="G1695">
        <v>255</v>
      </c>
      <c r="H1695">
        <v>11</v>
      </c>
      <c r="S1695" t="s">
        <v>10621</v>
      </c>
    </row>
    <row r="1696" spans="2:19" x14ac:dyDescent="0.25">
      <c r="B1696">
        <v>111220704</v>
      </c>
      <c r="C1696" t="s">
        <v>17616</v>
      </c>
      <c r="E1696">
        <v>163</v>
      </c>
      <c r="F1696">
        <v>93</v>
      </c>
      <c r="G1696">
        <v>255</v>
      </c>
      <c r="H1696">
        <v>10</v>
      </c>
      <c r="R1696" t="s">
        <v>8791</v>
      </c>
    </row>
    <row r="1697" spans="2:20" x14ac:dyDescent="0.25">
      <c r="B1697">
        <v>17116</v>
      </c>
      <c r="C1697" t="s">
        <v>17617</v>
      </c>
      <c r="E1697">
        <v>163</v>
      </c>
      <c r="F1697">
        <v>93</v>
      </c>
      <c r="G1697">
        <v>255</v>
      </c>
      <c r="H1697">
        <v>11</v>
      </c>
      <c r="S1697" t="s">
        <v>10611</v>
      </c>
    </row>
    <row r="1698" spans="2:20" x14ac:dyDescent="0.25">
      <c r="B1698">
        <v>17117</v>
      </c>
      <c r="C1698" t="s">
        <v>17618</v>
      </c>
      <c r="E1698">
        <v>163</v>
      </c>
      <c r="F1698">
        <v>93</v>
      </c>
      <c r="G1698">
        <v>255</v>
      </c>
      <c r="H1698">
        <v>12</v>
      </c>
      <c r="T1698" t="s">
        <v>10613</v>
      </c>
    </row>
    <row r="1699" spans="2:20" x14ac:dyDescent="0.25">
      <c r="B1699">
        <v>17123</v>
      </c>
      <c r="C1699" t="s">
        <v>17619</v>
      </c>
      <c r="E1699">
        <v>118</v>
      </c>
      <c r="F1699">
        <v>53</v>
      </c>
      <c r="G1699">
        <v>204</v>
      </c>
      <c r="H1699">
        <v>5</v>
      </c>
      <c r="O1699" t="s">
        <v>10625</v>
      </c>
    </row>
    <row r="1700" spans="2:20" x14ac:dyDescent="0.25">
      <c r="B1700">
        <v>111220706</v>
      </c>
      <c r="C1700" t="s">
        <v>17620</v>
      </c>
      <c r="E1700">
        <v>118</v>
      </c>
      <c r="F1700">
        <v>53</v>
      </c>
      <c r="G1700">
        <v>204</v>
      </c>
      <c r="H1700">
        <v>9</v>
      </c>
      <c r="P1700" t="s">
        <v>8793</v>
      </c>
    </row>
    <row r="1701" spans="2:20" x14ac:dyDescent="0.25">
      <c r="B1701">
        <v>111220708</v>
      </c>
      <c r="C1701" t="s">
        <v>17621</v>
      </c>
      <c r="E1701">
        <v>133</v>
      </c>
      <c r="F1701">
        <v>59</v>
      </c>
      <c r="G1701">
        <v>230</v>
      </c>
      <c r="H1701">
        <v>9</v>
      </c>
      <c r="P1701" t="s">
        <v>8795</v>
      </c>
    </row>
    <row r="1702" spans="2:20" x14ac:dyDescent="0.25">
      <c r="B1702">
        <v>17124</v>
      </c>
      <c r="C1702" t="s">
        <v>17622</v>
      </c>
      <c r="E1702">
        <v>118</v>
      </c>
      <c r="F1702">
        <v>53</v>
      </c>
      <c r="G1702">
        <v>204</v>
      </c>
      <c r="H1702">
        <v>7</v>
      </c>
      <c r="P1702" t="s">
        <v>10627</v>
      </c>
    </row>
    <row r="1703" spans="2:20" x14ac:dyDescent="0.25">
      <c r="B1703">
        <v>17125</v>
      </c>
      <c r="C1703" t="s">
        <v>17623</v>
      </c>
      <c r="E1703">
        <v>118</v>
      </c>
      <c r="F1703">
        <v>53</v>
      </c>
      <c r="G1703">
        <v>204</v>
      </c>
      <c r="H1703">
        <v>9</v>
      </c>
      <c r="Q1703" t="s">
        <v>10629</v>
      </c>
    </row>
    <row r="1704" spans="2:20" x14ac:dyDescent="0.25">
      <c r="B1704">
        <v>17126</v>
      </c>
      <c r="C1704" t="s">
        <v>17624</v>
      </c>
      <c r="E1704">
        <v>133</v>
      </c>
      <c r="F1704">
        <v>59</v>
      </c>
      <c r="G1704">
        <v>230</v>
      </c>
      <c r="H1704">
        <v>9</v>
      </c>
      <c r="Q1704" t="s">
        <v>10631</v>
      </c>
    </row>
    <row r="1705" spans="2:20" x14ac:dyDescent="0.25">
      <c r="B1705">
        <v>17127</v>
      </c>
      <c r="C1705" t="s">
        <v>17625</v>
      </c>
      <c r="E1705">
        <v>133</v>
      </c>
      <c r="F1705">
        <v>59</v>
      </c>
      <c r="G1705">
        <v>230</v>
      </c>
      <c r="H1705">
        <v>10</v>
      </c>
      <c r="R1705" t="s">
        <v>10633</v>
      </c>
    </row>
    <row r="1706" spans="2:20" x14ac:dyDescent="0.25">
      <c r="B1706">
        <v>124372468</v>
      </c>
      <c r="C1706" t="s">
        <v>17626</v>
      </c>
      <c r="E1706">
        <v>133</v>
      </c>
      <c r="F1706">
        <v>59</v>
      </c>
      <c r="G1706">
        <v>230</v>
      </c>
      <c r="H1706">
        <v>11</v>
      </c>
      <c r="S1706" t="s">
        <v>9117</v>
      </c>
    </row>
    <row r="1707" spans="2:20" x14ac:dyDescent="0.25">
      <c r="B1707">
        <v>17128</v>
      </c>
      <c r="C1707" t="s">
        <v>17627</v>
      </c>
      <c r="E1707">
        <v>133</v>
      </c>
      <c r="F1707">
        <v>59</v>
      </c>
      <c r="G1707">
        <v>230</v>
      </c>
      <c r="H1707">
        <v>11</v>
      </c>
      <c r="S1707" t="s">
        <v>10635</v>
      </c>
    </row>
    <row r="1708" spans="2:20" x14ac:dyDescent="0.25">
      <c r="B1708">
        <v>17129</v>
      </c>
      <c r="C1708" t="s">
        <v>17628</v>
      </c>
      <c r="E1708">
        <v>133</v>
      </c>
      <c r="F1708">
        <v>59</v>
      </c>
      <c r="G1708">
        <v>230</v>
      </c>
      <c r="H1708">
        <v>10</v>
      </c>
      <c r="R1708" t="s">
        <v>10637</v>
      </c>
    </row>
    <row r="1709" spans="2:20" x14ac:dyDescent="0.25">
      <c r="B1709">
        <v>17130</v>
      </c>
      <c r="C1709" t="s">
        <v>17629</v>
      </c>
      <c r="E1709">
        <v>133</v>
      </c>
      <c r="F1709">
        <v>59</v>
      </c>
      <c r="G1709">
        <v>230</v>
      </c>
      <c r="H1709">
        <v>11</v>
      </c>
      <c r="S1709" t="s">
        <v>10639</v>
      </c>
    </row>
    <row r="1710" spans="2:20" x14ac:dyDescent="0.25">
      <c r="B1710">
        <v>17131</v>
      </c>
      <c r="C1710" t="s">
        <v>17630</v>
      </c>
      <c r="E1710">
        <v>133</v>
      </c>
      <c r="F1710">
        <v>59</v>
      </c>
      <c r="G1710">
        <v>230</v>
      </c>
      <c r="H1710">
        <v>10</v>
      </c>
      <c r="R1710" t="s">
        <v>10641</v>
      </c>
    </row>
    <row r="1711" spans="2:20" x14ac:dyDescent="0.25">
      <c r="B1711">
        <v>17118</v>
      </c>
      <c r="C1711" t="s">
        <v>17631</v>
      </c>
      <c r="E1711">
        <v>133</v>
      </c>
      <c r="F1711">
        <v>59</v>
      </c>
      <c r="G1711">
        <v>230</v>
      </c>
      <c r="H1711">
        <v>11</v>
      </c>
      <c r="S1711" t="s">
        <v>10615</v>
      </c>
    </row>
    <row r="1712" spans="2:20" x14ac:dyDescent="0.25">
      <c r="B1712">
        <v>17119</v>
      </c>
      <c r="C1712" t="s">
        <v>17632</v>
      </c>
      <c r="E1712">
        <v>133</v>
      </c>
      <c r="F1712">
        <v>59</v>
      </c>
      <c r="G1712">
        <v>230</v>
      </c>
      <c r="H1712">
        <v>11</v>
      </c>
      <c r="S1712" t="s">
        <v>10617</v>
      </c>
    </row>
    <row r="1713" spans="2:19" x14ac:dyDescent="0.25">
      <c r="B1713">
        <v>17120</v>
      </c>
      <c r="C1713" t="s">
        <v>17633</v>
      </c>
      <c r="E1713">
        <v>133</v>
      </c>
      <c r="F1713">
        <v>59</v>
      </c>
      <c r="G1713">
        <v>230</v>
      </c>
      <c r="H1713">
        <v>11</v>
      </c>
      <c r="S1713" t="s">
        <v>10619</v>
      </c>
    </row>
    <row r="1714" spans="2:19" x14ac:dyDescent="0.25">
      <c r="B1714">
        <v>17132</v>
      </c>
      <c r="C1714" t="s">
        <v>17634</v>
      </c>
      <c r="E1714">
        <v>118</v>
      </c>
      <c r="F1714">
        <v>53</v>
      </c>
      <c r="G1714">
        <v>204</v>
      </c>
      <c r="H1714">
        <v>7</v>
      </c>
      <c r="P1714" t="s">
        <v>10643</v>
      </c>
    </row>
    <row r="1715" spans="2:19" x14ac:dyDescent="0.25">
      <c r="B1715">
        <v>17133</v>
      </c>
      <c r="C1715" t="s">
        <v>17635</v>
      </c>
      <c r="E1715">
        <v>118</v>
      </c>
      <c r="F1715">
        <v>53</v>
      </c>
      <c r="G1715">
        <v>204</v>
      </c>
      <c r="H1715">
        <v>9</v>
      </c>
      <c r="Q1715" t="s">
        <v>10645</v>
      </c>
    </row>
    <row r="1716" spans="2:19" x14ac:dyDescent="0.25">
      <c r="B1716">
        <v>17134</v>
      </c>
      <c r="C1716" t="s">
        <v>17636</v>
      </c>
      <c r="E1716">
        <v>133</v>
      </c>
      <c r="F1716">
        <v>59</v>
      </c>
      <c r="G1716">
        <v>230</v>
      </c>
      <c r="H1716">
        <v>9</v>
      </c>
      <c r="Q1716" t="s">
        <v>10647</v>
      </c>
    </row>
    <row r="1717" spans="2:19" x14ac:dyDescent="0.25">
      <c r="B1717">
        <v>17135</v>
      </c>
      <c r="C1717" t="s">
        <v>17637</v>
      </c>
      <c r="E1717">
        <v>133</v>
      </c>
      <c r="F1717">
        <v>59</v>
      </c>
      <c r="G1717">
        <v>230</v>
      </c>
      <c r="H1717">
        <v>10</v>
      </c>
      <c r="R1717" t="s">
        <v>10649</v>
      </c>
    </row>
    <row r="1718" spans="2:19" x14ac:dyDescent="0.25">
      <c r="B1718">
        <v>17136</v>
      </c>
      <c r="C1718" t="s">
        <v>17638</v>
      </c>
      <c r="E1718">
        <v>133</v>
      </c>
      <c r="F1718">
        <v>59</v>
      </c>
      <c r="G1718">
        <v>230</v>
      </c>
      <c r="H1718">
        <v>11</v>
      </c>
      <c r="S1718" t="s">
        <v>10651</v>
      </c>
    </row>
    <row r="1719" spans="2:19" x14ac:dyDescent="0.25">
      <c r="B1719">
        <v>17137</v>
      </c>
      <c r="C1719" t="s">
        <v>17639</v>
      </c>
      <c r="E1719">
        <v>133</v>
      </c>
      <c r="F1719">
        <v>59</v>
      </c>
      <c r="G1719">
        <v>230</v>
      </c>
      <c r="H1719">
        <v>11</v>
      </c>
      <c r="S1719" t="s">
        <v>10653</v>
      </c>
    </row>
    <row r="1720" spans="2:19" x14ac:dyDescent="0.25">
      <c r="B1720">
        <v>17138</v>
      </c>
      <c r="C1720" t="s">
        <v>17640</v>
      </c>
      <c r="E1720">
        <v>133</v>
      </c>
      <c r="F1720">
        <v>59</v>
      </c>
      <c r="G1720">
        <v>230</v>
      </c>
      <c r="H1720">
        <v>11</v>
      </c>
      <c r="S1720" t="s">
        <v>10655</v>
      </c>
    </row>
    <row r="1721" spans="2:19" x14ac:dyDescent="0.25">
      <c r="B1721">
        <v>17139</v>
      </c>
      <c r="C1721" t="s">
        <v>17641</v>
      </c>
      <c r="E1721">
        <v>133</v>
      </c>
      <c r="F1721">
        <v>59</v>
      </c>
      <c r="G1721">
        <v>230</v>
      </c>
      <c r="H1721">
        <v>10</v>
      </c>
      <c r="R1721" t="s">
        <v>10657</v>
      </c>
    </row>
    <row r="1722" spans="2:19" x14ac:dyDescent="0.25">
      <c r="B1722">
        <v>17140</v>
      </c>
      <c r="C1722" t="s">
        <v>17642</v>
      </c>
      <c r="E1722">
        <v>133</v>
      </c>
      <c r="F1722">
        <v>59</v>
      </c>
      <c r="G1722">
        <v>230</v>
      </c>
      <c r="H1722">
        <v>11</v>
      </c>
      <c r="S1722" t="s">
        <v>10659</v>
      </c>
    </row>
    <row r="1723" spans="2:19" x14ac:dyDescent="0.25">
      <c r="B1723">
        <v>17141</v>
      </c>
      <c r="C1723" t="s">
        <v>17643</v>
      </c>
      <c r="E1723">
        <v>133</v>
      </c>
      <c r="F1723">
        <v>59</v>
      </c>
      <c r="G1723">
        <v>230</v>
      </c>
      <c r="H1723">
        <v>10</v>
      </c>
      <c r="R1723" t="s">
        <v>10661</v>
      </c>
    </row>
    <row r="1724" spans="2:19" x14ac:dyDescent="0.25">
      <c r="B1724">
        <v>17142</v>
      </c>
      <c r="C1724" t="s">
        <v>17644</v>
      </c>
      <c r="E1724">
        <v>133</v>
      </c>
      <c r="F1724">
        <v>59</v>
      </c>
      <c r="G1724">
        <v>230</v>
      </c>
      <c r="H1724">
        <v>11</v>
      </c>
      <c r="S1724" t="s">
        <v>10663</v>
      </c>
    </row>
    <row r="1725" spans="2:19" x14ac:dyDescent="0.25">
      <c r="B1725">
        <v>17143</v>
      </c>
      <c r="C1725" t="s">
        <v>17645</v>
      </c>
      <c r="E1725">
        <v>118</v>
      </c>
      <c r="F1725">
        <v>53</v>
      </c>
      <c r="G1725">
        <v>204</v>
      </c>
      <c r="H1725">
        <v>7</v>
      </c>
      <c r="P1725" t="s">
        <v>10665</v>
      </c>
    </row>
    <row r="1726" spans="2:19" x14ac:dyDescent="0.25">
      <c r="B1726">
        <v>17144</v>
      </c>
      <c r="C1726" t="s">
        <v>17646</v>
      </c>
      <c r="E1726">
        <v>118</v>
      </c>
      <c r="F1726">
        <v>53</v>
      </c>
      <c r="G1726">
        <v>204</v>
      </c>
      <c r="H1726">
        <v>9</v>
      </c>
      <c r="Q1726" t="s">
        <v>10667</v>
      </c>
    </row>
    <row r="1727" spans="2:19" x14ac:dyDescent="0.25">
      <c r="B1727">
        <v>17145</v>
      </c>
      <c r="C1727" t="s">
        <v>17647</v>
      </c>
      <c r="E1727">
        <v>133</v>
      </c>
      <c r="F1727">
        <v>59</v>
      </c>
      <c r="G1727">
        <v>230</v>
      </c>
      <c r="H1727">
        <v>9</v>
      </c>
      <c r="Q1727" t="s">
        <v>10669</v>
      </c>
    </row>
    <row r="1728" spans="2:19" x14ac:dyDescent="0.25">
      <c r="B1728">
        <v>17146</v>
      </c>
      <c r="C1728" t="s">
        <v>17648</v>
      </c>
      <c r="E1728">
        <v>133</v>
      </c>
      <c r="F1728">
        <v>59</v>
      </c>
      <c r="G1728">
        <v>230</v>
      </c>
      <c r="H1728">
        <v>10</v>
      </c>
      <c r="R1728" t="s">
        <v>10671</v>
      </c>
    </row>
    <row r="1729" spans="2:19" x14ac:dyDescent="0.25">
      <c r="B1729">
        <v>17147</v>
      </c>
      <c r="C1729" t="s">
        <v>17649</v>
      </c>
      <c r="E1729">
        <v>133</v>
      </c>
      <c r="F1729">
        <v>59</v>
      </c>
      <c r="G1729">
        <v>230</v>
      </c>
      <c r="H1729">
        <v>11</v>
      </c>
      <c r="S1729" t="s">
        <v>10673</v>
      </c>
    </row>
    <row r="1730" spans="2:19" x14ac:dyDescent="0.25">
      <c r="B1730">
        <v>17148</v>
      </c>
      <c r="C1730" t="s">
        <v>17650</v>
      </c>
      <c r="E1730">
        <v>133</v>
      </c>
      <c r="F1730">
        <v>59</v>
      </c>
      <c r="G1730">
        <v>230</v>
      </c>
      <c r="H1730">
        <v>10</v>
      </c>
      <c r="R1730" t="s">
        <v>10675</v>
      </c>
    </row>
    <row r="1731" spans="2:19" x14ac:dyDescent="0.25">
      <c r="B1731">
        <v>17149</v>
      </c>
      <c r="C1731" t="s">
        <v>17651</v>
      </c>
      <c r="E1731">
        <v>133</v>
      </c>
      <c r="F1731">
        <v>59</v>
      </c>
      <c r="G1731">
        <v>230</v>
      </c>
      <c r="H1731">
        <v>11</v>
      </c>
      <c r="S1731" t="s">
        <v>10677</v>
      </c>
    </row>
    <row r="1732" spans="2:19" x14ac:dyDescent="0.25">
      <c r="B1732">
        <v>17150</v>
      </c>
      <c r="C1732" t="s">
        <v>17652</v>
      </c>
      <c r="E1732">
        <v>133</v>
      </c>
      <c r="F1732">
        <v>59</v>
      </c>
      <c r="G1732">
        <v>230</v>
      </c>
      <c r="H1732">
        <v>11</v>
      </c>
      <c r="S1732" t="s">
        <v>10679</v>
      </c>
    </row>
    <row r="1733" spans="2:19" x14ac:dyDescent="0.25">
      <c r="B1733">
        <v>17151</v>
      </c>
      <c r="C1733" t="s">
        <v>17653</v>
      </c>
      <c r="E1733">
        <v>133</v>
      </c>
      <c r="F1733">
        <v>59</v>
      </c>
      <c r="G1733">
        <v>230</v>
      </c>
      <c r="H1733">
        <v>11</v>
      </c>
      <c r="S1733" t="s">
        <v>10681</v>
      </c>
    </row>
    <row r="1734" spans="2:19" x14ac:dyDescent="0.25">
      <c r="B1734">
        <v>17152</v>
      </c>
      <c r="C1734" t="s">
        <v>17654</v>
      </c>
      <c r="E1734">
        <v>133</v>
      </c>
      <c r="F1734">
        <v>59</v>
      </c>
      <c r="G1734">
        <v>230</v>
      </c>
      <c r="H1734">
        <v>11</v>
      </c>
      <c r="S1734" t="s">
        <v>10683</v>
      </c>
    </row>
    <row r="1735" spans="2:19" x14ac:dyDescent="0.25">
      <c r="B1735">
        <v>17153</v>
      </c>
      <c r="C1735" t="s">
        <v>17655</v>
      </c>
      <c r="E1735">
        <v>133</v>
      </c>
      <c r="F1735">
        <v>59</v>
      </c>
      <c r="G1735">
        <v>230</v>
      </c>
      <c r="H1735">
        <v>10</v>
      </c>
      <c r="R1735" t="s">
        <v>10685</v>
      </c>
    </row>
    <row r="1736" spans="2:19" x14ac:dyDescent="0.25">
      <c r="B1736">
        <v>17154</v>
      </c>
      <c r="C1736" t="s">
        <v>17656</v>
      </c>
      <c r="E1736">
        <v>133</v>
      </c>
      <c r="F1736">
        <v>59</v>
      </c>
      <c r="G1736">
        <v>230</v>
      </c>
      <c r="H1736">
        <v>11</v>
      </c>
      <c r="S1736" t="s">
        <v>10687</v>
      </c>
    </row>
    <row r="1737" spans="2:19" x14ac:dyDescent="0.25">
      <c r="B1737">
        <v>17155</v>
      </c>
      <c r="C1737" t="s">
        <v>17657</v>
      </c>
      <c r="E1737">
        <v>104</v>
      </c>
      <c r="F1737">
        <v>46</v>
      </c>
      <c r="G1737">
        <v>179</v>
      </c>
      <c r="H1737">
        <v>5</v>
      </c>
      <c r="O1737" t="s">
        <v>4797</v>
      </c>
    </row>
    <row r="1738" spans="2:19" x14ac:dyDescent="0.25">
      <c r="B1738">
        <v>112892343</v>
      </c>
      <c r="C1738" t="s">
        <v>17658</v>
      </c>
      <c r="E1738">
        <v>97</v>
      </c>
      <c r="F1738">
        <v>63</v>
      </c>
      <c r="G1738">
        <v>147</v>
      </c>
      <c r="H1738">
        <v>9</v>
      </c>
      <c r="P1738" t="s">
        <v>1940</v>
      </c>
    </row>
    <row r="1739" spans="2:19" x14ac:dyDescent="0.25">
      <c r="B1739">
        <v>112892345</v>
      </c>
      <c r="C1739" t="s">
        <v>17659</v>
      </c>
      <c r="E1739">
        <v>118</v>
      </c>
      <c r="F1739">
        <v>53</v>
      </c>
      <c r="G1739">
        <v>204</v>
      </c>
      <c r="H1739">
        <v>9</v>
      </c>
      <c r="P1739" t="s">
        <v>1942</v>
      </c>
    </row>
    <row r="1740" spans="2:19" x14ac:dyDescent="0.25">
      <c r="B1740">
        <v>112892347</v>
      </c>
      <c r="C1740" t="s">
        <v>17660</v>
      </c>
      <c r="E1740">
        <v>118</v>
      </c>
      <c r="F1740">
        <v>53</v>
      </c>
      <c r="G1740">
        <v>204</v>
      </c>
      <c r="H1740">
        <v>10</v>
      </c>
      <c r="Q1740" t="s">
        <v>1944</v>
      </c>
    </row>
    <row r="1741" spans="2:19" x14ac:dyDescent="0.25">
      <c r="B1741">
        <v>112892349</v>
      </c>
      <c r="C1741" t="s">
        <v>17661</v>
      </c>
      <c r="E1741">
        <v>118</v>
      </c>
      <c r="F1741">
        <v>53</v>
      </c>
      <c r="G1741">
        <v>204</v>
      </c>
      <c r="H1741">
        <v>10</v>
      </c>
      <c r="Q1741" t="s">
        <v>1946</v>
      </c>
    </row>
    <row r="1742" spans="2:19" x14ac:dyDescent="0.25">
      <c r="B1742">
        <v>112892351</v>
      </c>
      <c r="C1742" t="s">
        <v>17662</v>
      </c>
      <c r="E1742">
        <v>118</v>
      </c>
      <c r="F1742">
        <v>53</v>
      </c>
      <c r="G1742">
        <v>204</v>
      </c>
      <c r="H1742">
        <v>10</v>
      </c>
      <c r="Q1742" t="s">
        <v>1948</v>
      </c>
    </row>
    <row r="1743" spans="2:19" x14ac:dyDescent="0.25">
      <c r="B1743">
        <v>17156</v>
      </c>
      <c r="C1743" t="s">
        <v>17663</v>
      </c>
      <c r="E1743">
        <v>158</v>
      </c>
      <c r="F1743">
        <v>99</v>
      </c>
      <c r="G1743">
        <v>255</v>
      </c>
      <c r="H1743">
        <v>3</v>
      </c>
      <c r="N1743" t="s">
        <v>4803</v>
      </c>
    </row>
    <row r="1744" spans="2:19" x14ac:dyDescent="0.25">
      <c r="B1744">
        <v>17157</v>
      </c>
      <c r="C1744" t="s">
        <v>17664</v>
      </c>
      <c r="E1744">
        <v>186</v>
      </c>
      <c r="F1744">
        <v>144</v>
      </c>
      <c r="G1744">
        <v>255</v>
      </c>
      <c r="H1744">
        <v>5</v>
      </c>
      <c r="O1744" t="s">
        <v>4810</v>
      </c>
    </row>
    <row r="1745" spans="2:19" x14ac:dyDescent="0.25">
      <c r="B1745">
        <v>17158</v>
      </c>
      <c r="C1745" t="s">
        <v>17665</v>
      </c>
      <c r="E1745">
        <v>158</v>
      </c>
      <c r="F1745">
        <v>99</v>
      </c>
      <c r="G1745">
        <v>255</v>
      </c>
      <c r="H1745">
        <v>5</v>
      </c>
      <c r="O1745" t="s">
        <v>10689</v>
      </c>
    </row>
    <row r="1746" spans="2:19" x14ac:dyDescent="0.25">
      <c r="B1746">
        <v>111220710</v>
      </c>
      <c r="C1746" t="s">
        <v>17666</v>
      </c>
      <c r="E1746">
        <v>158</v>
      </c>
      <c r="F1746">
        <v>99</v>
      </c>
      <c r="G1746">
        <v>255</v>
      </c>
      <c r="H1746">
        <v>9</v>
      </c>
      <c r="P1746" t="s">
        <v>8797</v>
      </c>
    </row>
    <row r="1747" spans="2:19" x14ac:dyDescent="0.25">
      <c r="B1747">
        <v>111220712</v>
      </c>
      <c r="C1747" t="s">
        <v>17667</v>
      </c>
      <c r="E1747">
        <v>172</v>
      </c>
      <c r="F1747">
        <v>121</v>
      </c>
      <c r="G1747">
        <v>255</v>
      </c>
      <c r="H1747">
        <v>9</v>
      </c>
      <c r="P1747" t="s">
        <v>8799</v>
      </c>
    </row>
    <row r="1748" spans="2:19" x14ac:dyDescent="0.25">
      <c r="B1748">
        <v>17159</v>
      </c>
      <c r="C1748" t="s">
        <v>17668</v>
      </c>
      <c r="E1748">
        <v>158</v>
      </c>
      <c r="F1748">
        <v>99</v>
      </c>
      <c r="G1748">
        <v>255</v>
      </c>
      <c r="H1748">
        <v>7</v>
      </c>
      <c r="P1748" t="s">
        <v>10691</v>
      </c>
    </row>
    <row r="1749" spans="2:19" x14ac:dyDescent="0.25">
      <c r="B1749">
        <v>17160</v>
      </c>
      <c r="C1749" t="s">
        <v>17669</v>
      </c>
      <c r="E1749">
        <v>158</v>
      </c>
      <c r="F1749">
        <v>99</v>
      </c>
      <c r="G1749">
        <v>255</v>
      </c>
      <c r="H1749">
        <v>9</v>
      </c>
      <c r="Q1749" t="s">
        <v>10693</v>
      </c>
    </row>
    <row r="1750" spans="2:19" x14ac:dyDescent="0.25">
      <c r="B1750">
        <v>17161</v>
      </c>
      <c r="C1750" t="s">
        <v>17670</v>
      </c>
      <c r="E1750">
        <v>172</v>
      </c>
      <c r="F1750">
        <v>121</v>
      </c>
      <c r="G1750">
        <v>255</v>
      </c>
      <c r="H1750">
        <v>9</v>
      </c>
      <c r="Q1750" t="s">
        <v>10695</v>
      </c>
    </row>
    <row r="1751" spans="2:19" x14ac:dyDescent="0.25">
      <c r="B1751">
        <v>111220714</v>
      </c>
      <c r="C1751" t="s">
        <v>17671</v>
      </c>
      <c r="E1751">
        <v>172</v>
      </c>
      <c r="F1751">
        <v>121</v>
      </c>
      <c r="G1751">
        <v>255</v>
      </c>
      <c r="H1751">
        <v>10</v>
      </c>
      <c r="R1751" t="s">
        <v>8801</v>
      </c>
    </row>
    <row r="1752" spans="2:19" x14ac:dyDescent="0.25">
      <c r="B1752">
        <v>17162</v>
      </c>
      <c r="C1752" t="s">
        <v>17672</v>
      </c>
      <c r="E1752">
        <v>172</v>
      </c>
      <c r="F1752">
        <v>121</v>
      </c>
      <c r="G1752">
        <v>255</v>
      </c>
      <c r="H1752">
        <v>11</v>
      </c>
      <c r="S1752" t="s">
        <v>10697</v>
      </c>
    </row>
    <row r="1753" spans="2:19" x14ac:dyDescent="0.25">
      <c r="B1753">
        <v>111220716</v>
      </c>
      <c r="C1753" t="s">
        <v>17673</v>
      </c>
      <c r="E1753">
        <v>172</v>
      </c>
      <c r="F1753">
        <v>121</v>
      </c>
      <c r="G1753">
        <v>255</v>
      </c>
      <c r="H1753">
        <v>10</v>
      </c>
      <c r="R1753" t="s">
        <v>8803</v>
      </c>
    </row>
    <row r="1754" spans="2:19" x14ac:dyDescent="0.25">
      <c r="B1754">
        <v>111220718</v>
      </c>
      <c r="C1754" t="s">
        <v>17674</v>
      </c>
      <c r="E1754">
        <v>172</v>
      </c>
      <c r="F1754">
        <v>121</v>
      </c>
      <c r="G1754">
        <v>255</v>
      </c>
      <c r="H1754">
        <v>10</v>
      </c>
      <c r="R1754" t="s">
        <v>8805</v>
      </c>
    </row>
    <row r="1755" spans="2:19" x14ac:dyDescent="0.25">
      <c r="B1755">
        <v>17163</v>
      </c>
      <c r="C1755" t="s">
        <v>17675</v>
      </c>
      <c r="E1755">
        <v>172</v>
      </c>
      <c r="F1755">
        <v>121</v>
      </c>
      <c r="G1755">
        <v>255</v>
      </c>
      <c r="H1755">
        <v>11</v>
      </c>
      <c r="S1755" t="s">
        <v>10699</v>
      </c>
    </row>
    <row r="1756" spans="2:19" x14ac:dyDescent="0.25">
      <c r="B1756">
        <v>17164</v>
      </c>
      <c r="C1756" t="s">
        <v>17676</v>
      </c>
      <c r="E1756">
        <v>158</v>
      </c>
      <c r="F1756">
        <v>99</v>
      </c>
      <c r="G1756">
        <v>255</v>
      </c>
      <c r="H1756">
        <v>7</v>
      </c>
      <c r="P1756" t="s">
        <v>10701</v>
      </c>
    </row>
    <row r="1757" spans="2:19" x14ac:dyDescent="0.25">
      <c r="B1757">
        <v>17165</v>
      </c>
      <c r="C1757" t="s">
        <v>17677</v>
      </c>
      <c r="E1757">
        <v>158</v>
      </c>
      <c r="F1757">
        <v>99</v>
      </c>
      <c r="G1757">
        <v>255</v>
      </c>
      <c r="H1757">
        <v>9</v>
      </c>
      <c r="Q1757" t="s">
        <v>10703</v>
      </c>
    </row>
    <row r="1758" spans="2:19" x14ac:dyDescent="0.25">
      <c r="B1758">
        <v>17166</v>
      </c>
      <c r="C1758" t="s">
        <v>17678</v>
      </c>
      <c r="E1758">
        <v>172</v>
      </c>
      <c r="F1758">
        <v>121</v>
      </c>
      <c r="G1758">
        <v>255</v>
      </c>
      <c r="H1758">
        <v>9</v>
      </c>
      <c r="Q1758" t="s">
        <v>10705</v>
      </c>
    </row>
    <row r="1759" spans="2:19" x14ac:dyDescent="0.25">
      <c r="B1759">
        <v>111220720</v>
      </c>
      <c r="C1759" t="s">
        <v>17679</v>
      </c>
      <c r="E1759">
        <v>172</v>
      </c>
      <c r="F1759">
        <v>121</v>
      </c>
      <c r="G1759">
        <v>255</v>
      </c>
      <c r="H1759">
        <v>10</v>
      </c>
      <c r="R1759" t="s">
        <v>8807</v>
      </c>
    </row>
    <row r="1760" spans="2:19" x14ac:dyDescent="0.25">
      <c r="B1760">
        <v>17169</v>
      </c>
      <c r="C1760" t="s">
        <v>17680</v>
      </c>
      <c r="E1760">
        <v>172</v>
      </c>
      <c r="F1760">
        <v>121</v>
      </c>
      <c r="G1760">
        <v>255</v>
      </c>
      <c r="H1760">
        <v>11</v>
      </c>
      <c r="S1760" t="s">
        <v>10711</v>
      </c>
    </row>
    <row r="1761" spans="2:19" x14ac:dyDescent="0.25">
      <c r="B1761">
        <v>111220722</v>
      </c>
      <c r="C1761" t="s">
        <v>17681</v>
      </c>
      <c r="E1761">
        <v>172</v>
      </c>
      <c r="F1761">
        <v>121</v>
      </c>
      <c r="G1761">
        <v>255</v>
      </c>
      <c r="H1761">
        <v>10</v>
      </c>
      <c r="R1761" t="s">
        <v>8809</v>
      </c>
    </row>
    <row r="1762" spans="2:19" x14ac:dyDescent="0.25">
      <c r="B1762">
        <v>17168</v>
      </c>
      <c r="C1762" t="s">
        <v>17682</v>
      </c>
      <c r="E1762">
        <v>172</v>
      </c>
      <c r="F1762">
        <v>121</v>
      </c>
      <c r="G1762">
        <v>255</v>
      </c>
      <c r="H1762">
        <v>11</v>
      </c>
      <c r="S1762" t="s">
        <v>10709</v>
      </c>
    </row>
    <row r="1763" spans="2:19" x14ac:dyDescent="0.25">
      <c r="B1763">
        <v>111220724</v>
      </c>
      <c r="C1763" t="s">
        <v>17683</v>
      </c>
      <c r="E1763">
        <v>172</v>
      </c>
      <c r="F1763">
        <v>121</v>
      </c>
      <c r="G1763">
        <v>255</v>
      </c>
      <c r="H1763">
        <v>10</v>
      </c>
      <c r="R1763" t="s">
        <v>8811</v>
      </c>
    </row>
    <row r="1764" spans="2:19" x14ac:dyDescent="0.25">
      <c r="B1764">
        <v>17167</v>
      </c>
      <c r="C1764" t="s">
        <v>17684</v>
      </c>
      <c r="E1764">
        <v>172</v>
      </c>
      <c r="F1764">
        <v>121</v>
      </c>
      <c r="G1764">
        <v>255</v>
      </c>
      <c r="H1764">
        <v>11</v>
      </c>
      <c r="S1764" t="s">
        <v>10707</v>
      </c>
    </row>
    <row r="1765" spans="2:19" x14ac:dyDescent="0.25">
      <c r="B1765">
        <v>17170</v>
      </c>
      <c r="C1765" t="s">
        <v>17685</v>
      </c>
      <c r="E1765">
        <v>158</v>
      </c>
      <c r="F1765">
        <v>99</v>
      </c>
      <c r="G1765">
        <v>255</v>
      </c>
      <c r="H1765">
        <v>7</v>
      </c>
      <c r="P1765" t="s">
        <v>10713</v>
      </c>
    </row>
    <row r="1766" spans="2:19" x14ac:dyDescent="0.25">
      <c r="B1766">
        <v>17171</v>
      </c>
      <c r="C1766" t="s">
        <v>17686</v>
      </c>
      <c r="E1766">
        <v>158</v>
      </c>
      <c r="F1766">
        <v>99</v>
      </c>
      <c r="G1766">
        <v>255</v>
      </c>
      <c r="H1766">
        <v>9</v>
      </c>
      <c r="Q1766" t="s">
        <v>10715</v>
      </c>
    </row>
    <row r="1767" spans="2:19" x14ac:dyDescent="0.25">
      <c r="B1767">
        <v>17172</v>
      </c>
      <c r="C1767" t="s">
        <v>17687</v>
      </c>
      <c r="E1767">
        <v>172</v>
      </c>
      <c r="F1767">
        <v>121</v>
      </c>
      <c r="G1767">
        <v>255</v>
      </c>
      <c r="H1767">
        <v>9</v>
      </c>
      <c r="Q1767" t="s">
        <v>10717</v>
      </c>
    </row>
    <row r="1768" spans="2:19" x14ac:dyDescent="0.25">
      <c r="B1768">
        <v>111220726</v>
      </c>
      <c r="C1768" t="s">
        <v>17688</v>
      </c>
      <c r="E1768">
        <v>172</v>
      </c>
      <c r="F1768">
        <v>121</v>
      </c>
      <c r="G1768">
        <v>255</v>
      </c>
      <c r="H1768">
        <v>10</v>
      </c>
      <c r="R1768" t="s">
        <v>8813</v>
      </c>
    </row>
    <row r="1769" spans="2:19" x14ac:dyDescent="0.25">
      <c r="B1769">
        <v>111220728</v>
      </c>
      <c r="C1769" t="s">
        <v>17689</v>
      </c>
      <c r="E1769">
        <v>172</v>
      </c>
      <c r="F1769">
        <v>121</v>
      </c>
      <c r="G1769">
        <v>255</v>
      </c>
      <c r="H1769">
        <v>10</v>
      </c>
      <c r="R1769" t="s">
        <v>8815</v>
      </c>
    </row>
    <row r="1770" spans="2:19" x14ac:dyDescent="0.25">
      <c r="B1770">
        <v>17174</v>
      </c>
      <c r="C1770" t="s">
        <v>17690</v>
      </c>
      <c r="E1770">
        <v>172</v>
      </c>
      <c r="F1770">
        <v>121</v>
      </c>
      <c r="G1770">
        <v>255</v>
      </c>
      <c r="H1770">
        <v>11</v>
      </c>
      <c r="S1770" t="s">
        <v>10721</v>
      </c>
    </row>
    <row r="1771" spans="2:19" x14ac:dyDescent="0.25">
      <c r="B1771">
        <v>17175</v>
      </c>
      <c r="C1771" t="s">
        <v>17691</v>
      </c>
      <c r="E1771">
        <v>172</v>
      </c>
      <c r="F1771">
        <v>121</v>
      </c>
      <c r="G1771">
        <v>255</v>
      </c>
      <c r="H1771">
        <v>11</v>
      </c>
      <c r="S1771" t="s">
        <v>10723</v>
      </c>
    </row>
    <row r="1772" spans="2:19" x14ac:dyDescent="0.25">
      <c r="B1772">
        <v>111220730</v>
      </c>
      <c r="C1772" t="s">
        <v>17692</v>
      </c>
      <c r="E1772">
        <v>172</v>
      </c>
      <c r="F1772">
        <v>121</v>
      </c>
      <c r="G1772">
        <v>255</v>
      </c>
      <c r="H1772">
        <v>10</v>
      </c>
      <c r="R1772" t="s">
        <v>8817</v>
      </c>
    </row>
    <row r="1773" spans="2:19" x14ac:dyDescent="0.25">
      <c r="B1773">
        <v>17173</v>
      </c>
      <c r="C1773" t="s">
        <v>17693</v>
      </c>
      <c r="E1773">
        <v>172</v>
      </c>
      <c r="F1773">
        <v>121</v>
      </c>
      <c r="G1773">
        <v>255</v>
      </c>
      <c r="H1773">
        <v>11</v>
      </c>
      <c r="S1773" t="s">
        <v>10719</v>
      </c>
    </row>
    <row r="1774" spans="2:19" x14ac:dyDescent="0.25">
      <c r="B1774">
        <v>17176</v>
      </c>
      <c r="C1774" t="s">
        <v>17694</v>
      </c>
      <c r="E1774">
        <v>158</v>
      </c>
      <c r="F1774">
        <v>99</v>
      </c>
      <c r="G1774">
        <v>255</v>
      </c>
      <c r="H1774">
        <v>7</v>
      </c>
      <c r="P1774" t="s">
        <v>10725</v>
      </c>
    </row>
    <row r="1775" spans="2:19" x14ac:dyDescent="0.25">
      <c r="B1775">
        <v>17177</v>
      </c>
      <c r="C1775" t="s">
        <v>17695</v>
      </c>
      <c r="E1775">
        <v>158</v>
      </c>
      <c r="F1775">
        <v>99</v>
      </c>
      <c r="G1775">
        <v>255</v>
      </c>
      <c r="H1775">
        <v>9</v>
      </c>
      <c r="Q1775" t="s">
        <v>10727</v>
      </c>
    </row>
    <row r="1776" spans="2:19" x14ac:dyDescent="0.25">
      <c r="B1776">
        <v>17178</v>
      </c>
      <c r="C1776" t="s">
        <v>17696</v>
      </c>
      <c r="E1776">
        <v>172</v>
      </c>
      <c r="F1776">
        <v>121</v>
      </c>
      <c r="G1776">
        <v>255</v>
      </c>
      <c r="H1776">
        <v>9</v>
      </c>
      <c r="Q1776" t="s">
        <v>10729</v>
      </c>
    </row>
    <row r="1777" spans="2:19" x14ac:dyDescent="0.25">
      <c r="B1777">
        <v>111220732</v>
      </c>
      <c r="C1777" t="s">
        <v>17697</v>
      </c>
      <c r="E1777">
        <v>172</v>
      </c>
      <c r="F1777">
        <v>121</v>
      </c>
      <c r="G1777">
        <v>255</v>
      </c>
      <c r="H1777">
        <v>10</v>
      </c>
      <c r="R1777" t="s">
        <v>8819</v>
      </c>
    </row>
    <row r="1778" spans="2:19" x14ac:dyDescent="0.25">
      <c r="B1778">
        <v>17179</v>
      </c>
      <c r="C1778" t="s">
        <v>17698</v>
      </c>
      <c r="E1778">
        <v>172</v>
      </c>
      <c r="F1778">
        <v>121</v>
      </c>
      <c r="G1778">
        <v>255</v>
      </c>
      <c r="H1778">
        <v>11</v>
      </c>
      <c r="S1778" t="s">
        <v>10731</v>
      </c>
    </row>
    <row r="1779" spans="2:19" x14ac:dyDescent="0.25">
      <c r="B1779">
        <v>111220734</v>
      </c>
      <c r="C1779" t="s">
        <v>17699</v>
      </c>
      <c r="E1779">
        <v>172</v>
      </c>
      <c r="F1779">
        <v>121</v>
      </c>
      <c r="G1779">
        <v>255</v>
      </c>
      <c r="H1779">
        <v>10</v>
      </c>
      <c r="R1779" t="s">
        <v>8821</v>
      </c>
    </row>
    <row r="1780" spans="2:19" x14ac:dyDescent="0.25">
      <c r="B1780">
        <v>17180</v>
      </c>
      <c r="C1780" t="s">
        <v>17700</v>
      </c>
      <c r="E1780">
        <v>172</v>
      </c>
      <c r="F1780">
        <v>121</v>
      </c>
      <c r="G1780">
        <v>255</v>
      </c>
      <c r="H1780">
        <v>11</v>
      </c>
      <c r="S1780" t="s">
        <v>10733</v>
      </c>
    </row>
    <row r="1781" spans="2:19" x14ac:dyDescent="0.25">
      <c r="B1781">
        <v>111220736</v>
      </c>
      <c r="C1781" t="s">
        <v>17701</v>
      </c>
      <c r="E1781">
        <v>172</v>
      </c>
      <c r="F1781">
        <v>121</v>
      </c>
      <c r="G1781">
        <v>255</v>
      </c>
      <c r="H1781">
        <v>10</v>
      </c>
      <c r="R1781" t="s">
        <v>8823</v>
      </c>
    </row>
    <row r="1782" spans="2:19" x14ac:dyDescent="0.25">
      <c r="B1782">
        <v>17181</v>
      </c>
      <c r="C1782" t="s">
        <v>17702</v>
      </c>
      <c r="E1782">
        <v>172</v>
      </c>
      <c r="F1782">
        <v>121</v>
      </c>
      <c r="G1782">
        <v>255</v>
      </c>
      <c r="H1782">
        <v>11</v>
      </c>
      <c r="S1782" t="s">
        <v>10735</v>
      </c>
    </row>
    <row r="1783" spans="2:19" x14ac:dyDescent="0.25">
      <c r="B1783">
        <v>17182</v>
      </c>
      <c r="C1783" t="s">
        <v>17703</v>
      </c>
      <c r="E1783">
        <v>126</v>
      </c>
      <c r="F1783">
        <v>79</v>
      </c>
      <c r="G1783">
        <v>204</v>
      </c>
      <c r="H1783">
        <v>5</v>
      </c>
      <c r="O1783" t="s">
        <v>10737</v>
      </c>
    </row>
    <row r="1784" spans="2:19" x14ac:dyDescent="0.25">
      <c r="B1784">
        <v>111220738</v>
      </c>
      <c r="C1784" t="s">
        <v>17704</v>
      </c>
      <c r="E1784">
        <v>126</v>
      </c>
      <c r="F1784">
        <v>79</v>
      </c>
      <c r="G1784">
        <v>204</v>
      </c>
      <c r="H1784">
        <v>9</v>
      </c>
      <c r="P1784" t="s">
        <v>8825</v>
      </c>
    </row>
    <row r="1785" spans="2:19" x14ac:dyDescent="0.25">
      <c r="B1785">
        <v>111220740</v>
      </c>
      <c r="C1785" t="s">
        <v>17705</v>
      </c>
      <c r="E1785">
        <v>142</v>
      </c>
      <c r="F1785">
        <v>89</v>
      </c>
      <c r="G1785">
        <v>230</v>
      </c>
      <c r="H1785">
        <v>9</v>
      </c>
      <c r="P1785" t="s">
        <v>8827</v>
      </c>
    </row>
    <row r="1786" spans="2:19" x14ac:dyDescent="0.25">
      <c r="B1786">
        <v>17183</v>
      </c>
      <c r="C1786" t="s">
        <v>17706</v>
      </c>
      <c r="E1786">
        <v>126</v>
      </c>
      <c r="F1786">
        <v>79</v>
      </c>
      <c r="G1786">
        <v>204</v>
      </c>
      <c r="H1786">
        <v>7</v>
      </c>
      <c r="P1786" t="s">
        <v>10739</v>
      </c>
    </row>
    <row r="1787" spans="2:19" x14ac:dyDescent="0.25">
      <c r="B1787">
        <v>17184</v>
      </c>
      <c r="C1787" t="s">
        <v>17707</v>
      </c>
      <c r="E1787">
        <v>126</v>
      </c>
      <c r="F1787">
        <v>79</v>
      </c>
      <c r="G1787">
        <v>204</v>
      </c>
      <c r="H1787">
        <v>9</v>
      </c>
      <c r="Q1787" t="s">
        <v>10741</v>
      </c>
    </row>
    <row r="1788" spans="2:19" x14ac:dyDescent="0.25">
      <c r="B1788">
        <v>17185</v>
      </c>
      <c r="C1788" t="s">
        <v>17708</v>
      </c>
      <c r="E1788">
        <v>142</v>
      </c>
      <c r="F1788">
        <v>89</v>
      </c>
      <c r="G1788">
        <v>230</v>
      </c>
      <c r="H1788">
        <v>9</v>
      </c>
      <c r="Q1788" t="s">
        <v>10743</v>
      </c>
    </row>
    <row r="1789" spans="2:19" x14ac:dyDescent="0.25">
      <c r="B1789">
        <v>17186</v>
      </c>
      <c r="C1789" t="s">
        <v>17709</v>
      </c>
      <c r="E1789">
        <v>142</v>
      </c>
      <c r="F1789">
        <v>89</v>
      </c>
      <c r="G1789">
        <v>230</v>
      </c>
      <c r="H1789">
        <v>10</v>
      </c>
      <c r="R1789" t="s">
        <v>10745</v>
      </c>
    </row>
    <row r="1790" spans="2:19" x14ac:dyDescent="0.25">
      <c r="B1790">
        <v>17187</v>
      </c>
      <c r="C1790" t="s">
        <v>17710</v>
      </c>
      <c r="E1790">
        <v>142</v>
      </c>
      <c r="F1790">
        <v>89</v>
      </c>
      <c r="G1790">
        <v>230</v>
      </c>
      <c r="H1790">
        <v>11</v>
      </c>
      <c r="S1790" t="s">
        <v>10747</v>
      </c>
    </row>
    <row r="1791" spans="2:19" x14ac:dyDescent="0.25">
      <c r="B1791">
        <v>17188</v>
      </c>
      <c r="C1791" t="s">
        <v>17711</v>
      </c>
      <c r="E1791">
        <v>142</v>
      </c>
      <c r="F1791">
        <v>89</v>
      </c>
      <c r="G1791">
        <v>230</v>
      </c>
      <c r="H1791">
        <v>10</v>
      </c>
      <c r="R1791" t="s">
        <v>10749</v>
      </c>
    </row>
    <row r="1792" spans="2:19" x14ac:dyDescent="0.25">
      <c r="B1792">
        <v>17189</v>
      </c>
      <c r="C1792" t="s">
        <v>17712</v>
      </c>
      <c r="E1792">
        <v>142</v>
      </c>
      <c r="F1792">
        <v>89</v>
      </c>
      <c r="G1792">
        <v>230</v>
      </c>
      <c r="H1792">
        <v>11</v>
      </c>
      <c r="S1792" t="s">
        <v>10751</v>
      </c>
    </row>
    <row r="1793" spans="2:19" x14ac:dyDescent="0.25">
      <c r="B1793">
        <v>17191</v>
      </c>
      <c r="C1793" t="s">
        <v>17713</v>
      </c>
      <c r="E1793">
        <v>142</v>
      </c>
      <c r="F1793">
        <v>89</v>
      </c>
      <c r="G1793">
        <v>230</v>
      </c>
      <c r="H1793">
        <v>11</v>
      </c>
      <c r="S1793" t="s">
        <v>10754</v>
      </c>
    </row>
    <row r="1794" spans="2:19" x14ac:dyDescent="0.25">
      <c r="B1794">
        <v>17192</v>
      </c>
      <c r="C1794" t="s">
        <v>17714</v>
      </c>
      <c r="E1794">
        <v>142</v>
      </c>
      <c r="F1794">
        <v>89</v>
      </c>
      <c r="G1794">
        <v>230</v>
      </c>
      <c r="H1794">
        <v>10</v>
      </c>
      <c r="R1794" t="s">
        <v>10756</v>
      </c>
    </row>
    <row r="1795" spans="2:19" x14ac:dyDescent="0.25">
      <c r="B1795">
        <v>17193</v>
      </c>
      <c r="C1795" t="s">
        <v>17715</v>
      </c>
      <c r="E1795">
        <v>142</v>
      </c>
      <c r="F1795">
        <v>89</v>
      </c>
      <c r="G1795">
        <v>230</v>
      </c>
      <c r="H1795">
        <v>11</v>
      </c>
      <c r="S1795" t="s">
        <v>10758</v>
      </c>
    </row>
    <row r="1796" spans="2:19" x14ac:dyDescent="0.25">
      <c r="B1796">
        <v>17194</v>
      </c>
      <c r="C1796" t="s">
        <v>17716</v>
      </c>
      <c r="E1796">
        <v>142</v>
      </c>
      <c r="F1796">
        <v>89</v>
      </c>
      <c r="G1796">
        <v>230</v>
      </c>
      <c r="H1796">
        <v>11</v>
      </c>
      <c r="S1796" t="s">
        <v>10760</v>
      </c>
    </row>
    <row r="1797" spans="2:19" x14ac:dyDescent="0.25">
      <c r="B1797">
        <v>17195</v>
      </c>
      <c r="C1797" t="s">
        <v>17717</v>
      </c>
      <c r="E1797">
        <v>142</v>
      </c>
      <c r="F1797">
        <v>89</v>
      </c>
      <c r="G1797">
        <v>230</v>
      </c>
      <c r="H1797">
        <v>11</v>
      </c>
      <c r="S1797" t="s">
        <v>10762</v>
      </c>
    </row>
    <row r="1798" spans="2:19" x14ac:dyDescent="0.25">
      <c r="B1798">
        <v>17196</v>
      </c>
      <c r="C1798" t="s">
        <v>17718</v>
      </c>
      <c r="E1798">
        <v>126</v>
      </c>
      <c r="F1798">
        <v>79</v>
      </c>
      <c r="G1798">
        <v>204</v>
      </c>
      <c r="H1798">
        <v>7</v>
      </c>
      <c r="P1798" t="s">
        <v>10764</v>
      </c>
    </row>
    <row r="1799" spans="2:19" x14ac:dyDescent="0.25">
      <c r="B1799">
        <v>17197</v>
      </c>
      <c r="C1799" t="s">
        <v>17719</v>
      </c>
      <c r="E1799">
        <v>126</v>
      </c>
      <c r="F1799">
        <v>79</v>
      </c>
      <c r="G1799">
        <v>204</v>
      </c>
      <c r="H1799">
        <v>9</v>
      </c>
      <c r="Q1799" t="s">
        <v>10766</v>
      </c>
    </row>
    <row r="1800" spans="2:19" x14ac:dyDescent="0.25">
      <c r="B1800">
        <v>17198</v>
      </c>
      <c r="C1800" t="s">
        <v>17720</v>
      </c>
      <c r="E1800">
        <v>142</v>
      </c>
      <c r="F1800">
        <v>89</v>
      </c>
      <c r="G1800">
        <v>230</v>
      </c>
      <c r="H1800">
        <v>9</v>
      </c>
      <c r="Q1800" t="s">
        <v>10768</v>
      </c>
    </row>
    <row r="1801" spans="2:19" x14ac:dyDescent="0.25">
      <c r="B1801">
        <v>17199</v>
      </c>
      <c r="C1801" t="s">
        <v>17721</v>
      </c>
      <c r="E1801">
        <v>142</v>
      </c>
      <c r="F1801">
        <v>89</v>
      </c>
      <c r="G1801">
        <v>230</v>
      </c>
      <c r="H1801">
        <v>10</v>
      </c>
      <c r="R1801" t="s">
        <v>10770</v>
      </c>
    </row>
    <row r="1802" spans="2:19" x14ac:dyDescent="0.25">
      <c r="B1802">
        <v>17200</v>
      </c>
      <c r="C1802" t="s">
        <v>17722</v>
      </c>
      <c r="E1802">
        <v>142</v>
      </c>
      <c r="F1802">
        <v>89</v>
      </c>
      <c r="G1802">
        <v>230</v>
      </c>
      <c r="H1802">
        <v>11</v>
      </c>
      <c r="S1802" t="s">
        <v>10772</v>
      </c>
    </row>
    <row r="1803" spans="2:19" x14ac:dyDescent="0.25">
      <c r="B1803">
        <v>17201</v>
      </c>
      <c r="C1803" t="s">
        <v>17723</v>
      </c>
      <c r="E1803">
        <v>142</v>
      </c>
      <c r="F1803">
        <v>89</v>
      </c>
      <c r="G1803">
        <v>230</v>
      </c>
      <c r="H1803">
        <v>11</v>
      </c>
      <c r="S1803" t="s">
        <v>10774</v>
      </c>
    </row>
    <row r="1804" spans="2:19" x14ac:dyDescent="0.25">
      <c r="B1804">
        <v>17202</v>
      </c>
      <c r="C1804" t="s">
        <v>17724</v>
      </c>
      <c r="E1804">
        <v>142</v>
      </c>
      <c r="F1804">
        <v>89</v>
      </c>
      <c r="G1804">
        <v>230</v>
      </c>
      <c r="H1804">
        <v>11</v>
      </c>
      <c r="S1804" t="s">
        <v>10776</v>
      </c>
    </row>
    <row r="1805" spans="2:19" x14ac:dyDescent="0.25">
      <c r="B1805">
        <v>17203</v>
      </c>
      <c r="C1805" t="s">
        <v>17725</v>
      </c>
      <c r="E1805">
        <v>142</v>
      </c>
      <c r="F1805">
        <v>89</v>
      </c>
      <c r="G1805">
        <v>230</v>
      </c>
      <c r="H1805">
        <v>10</v>
      </c>
      <c r="R1805" t="s">
        <v>10778</v>
      </c>
    </row>
    <row r="1806" spans="2:19" x14ac:dyDescent="0.25">
      <c r="B1806">
        <v>17204</v>
      </c>
      <c r="C1806" t="s">
        <v>17726</v>
      </c>
      <c r="E1806">
        <v>142</v>
      </c>
      <c r="F1806">
        <v>89</v>
      </c>
      <c r="G1806">
        <v>230</v>
      </c>
      <c r="H1806">
        <v>11</v>
      </c>
      <c r="S1806" t="s">
        <v>10780</v>
      </c>
    </row>
    <row r="1807" spans="2:19" x14ac:dyDescent="0.25">
      <c r="B1807">
        <v>17205</v>
      </c>
      <c r="C1807" t="s">
        <v>17727</v>
      </c>
      <c r="E1807">
        <v>142</v>
      </c>
      <c r="F1807">
        <v>89</v>
      </c>
      <c r="G1807">
        <v>230</v>
      </c>
      <c r="H1807">
        <v>10</v>
      </c>
      <c r="R1807" t="s">
        <v>10782</v>
      </c>
    </row>
    <row r="1808" spans="2:19" x14ac:dyDescent="0.25">
      <c r="B1808">
        <v>17206</v>
      </c>
      <c r="C1808" t="s">
        <v>17728</v>
      </c>
      <c r="E1808">
        <v>142</v>
      </c>
      <c r="F1808">
        <v>89</v>
      </c>
      <c r="G1808">
        <v>230</v>
      </c>
      <c r="H1808">
        <v>11</v>
      </c>
      <c r="S1808" t="s">
        <v>10784</v>
      </c>
    </row>
    <row r="1809" spans="2:19" x14ac:dyDescent="0.25">
      <c r="B1809">
        <v>17207</v>
      </c>
      <c r="C1809" t="s">
        <v>17729</v>
      </c>
      <c r="E1809">
        <v>126</v>
      </c>
      <c r="F1809">
        <v>79</v>
      </c>
      <c r="G1809">
        <v>204</v>
      </c>
      <c r="H1809">
        <v>7</v>
      </c>
      <c r="P1809" t="s">
        <v>10786</v>
      </c>
    </row>
    <row r="1810" spans="2:19" x14ac:dyDescent="0.25">
      <c r="B1810">
        <v>17208</v>
      </c>
      <c r="C1810" t="s">
        <v>17730</v>
      </c>
      <c r="E1810">
        <v>126</v>
      </c>
      <c r="F1810">
        <v>79</v>
      </c>
      <c r="G1810">
        <v>204</v>
      </c>
      <c r="H1810">
        <v>9</v>
      </c>
      <c r="Q1810" t="s">
        <v>10788</v>
      </c>
    </row>
    <row r="1811" spans="2:19" x14ac:dyDescent="0.25">
      <c r="B1811">
        <v>17209</v>
      </c>
      <c r="C1811" t="s">
        <v>17731</v>
      </c>
      <c r="E1811">
        <v>142</v>
      </c>
      <c r="F1811">
        <v>89</v>
      </c>
      <c r="G1811">
        <v>230</v>
      </c>
      <c r="H1811">
        <v>9</v>
      </c>
      <c r="Q1811" t="s">
        <v>10790</v>
      </c>
    </row>
    <row r="1812" spans="2:19" x14ac:dyDescent="0.25">
      <c r="B1812">
        <v>17210</v>
      </c>
      <c r="C1812" t="s">
        <v>17732</v>
      </c>
      <c r="E1812">
        <v>142</v>
      </c>
      <c r="F1812">
        <v>89</v>
      </c>
      <c r="G1812">
        <v>230</v>
      </c>
      <c r="H1812">
        <v>10</v>
      </c>
      <c r="R1812" t="s">
        <v>10792</v>
      </c>
    </row>
    <row r="1813" spans="2:19" x14ac:dyDescent="0.25">
      <c r="B1813">
        <v>17211</v>
      </c>
      <c r="C1813" t="s">
        <v>17733</v>
      </c>
      <c r="E1813">
        <v>142</v>
      </c>
      <c r="F1813">
        <v>89</v>
      </c>
      <c r="G1813">
        <v>230</v>
      </c>
      <c r="H1813">
        <v>11</v>
      </c>
      <c r="S1813" t="s">
        <v>10794</v>
      </c>
    </row>
    <row r="1814" spans="2:19" x14ac:dyDescent="0.25">
      <c r="B1814">
        <v>17212</v>
      </c>
      <c r="C1814" t="s">
        <v>17734</v>
      </c>
      <c r="E1814">
        <v>142</v>
      </c>
      <c r="F1814">
        <v>89</v>
      </c>
      <c r="G1814">
        <v>230</v>
      </c>
      <c r="H1814">
        <v>10</v>
      </c>
      <c r="R1814" t="s">
        <v>10796</v>
      </c>
    </row>
    <row r="1815" spans="2:19" x14ac:dyDescent="0.25">
      <c r="B1815">
        <v>17213</v>
      </c>
      <c r="C1815" t="s">
        <v>17735</v>
      </c>
      <c r="E1815">
        <v>142</v>
      </c>
      <c r="F1815">
        <v>89</v>
      </c>
      <c r="G1815">
        <v>230</v>
      </c>
      <c r="H1815">
        <v>11</v>
      </c>
      <c r="S1815" t="s">
        <v>10798</v>
      </c>
    </row>
    <row r="1816" spans="2:19" x14ac:dyDescent="0.25">
      <c r="B1816">
        <v>17214</v>
      </c>
      <c r="C1816" t="s">
        <v>17736</v>
      </c>
      <c r="E1816">
        <v>142</v>
      </c>
      <c r="F1816">
        <v>89</v>
      </c>
      <c r="G1816">
        <v>230</v>
      </c>
      <c r="H1816">
        <v>11</v>
      </c>
      <c r="S1816" t="s">
        <v>10800</v>
      </c>
    </row>
    <row r="1817" spans="2:19" x14ac:dyDescent="0.25">
      <c r="B1817">
        <v>17215</v>
      </c>
      <c r="C1817" t="s">
        <v>17737</v>
      </c>
      <c r="E1817">
        <v>142</v>
      </c>
      <c r="F1817">
        <v>89</v>
      </c>
      <c r="G1817">
        <v>230</v>
      </c>
      <c r="H1817">
        <v>11</v>
      </c>
      <c r="S1817" t="s">
        <v>10802</v>
      </c>
    </row>
    <row r="1818" spans="2:19" x14ac:dyDescent="0.25">
      <c r="B1818">
        <v>17216</v>
      </c>
      <c r="C1818" t="s">
        <v>17738</v>
      </c>
      <c r="E1818">
        <v>142</v>
      </c>
      <c r="F1818">
        <v>89</v>
      </c>
      <c r="G1818">
        <v>230</v>
      </c>
      <c r="H1818">
        <v>11</v>
      </c>
      <c r="S1818" t="s">
        <v>10804</v>
      </c>
    </row>
    <row r="1819" spans="2:19" x14ac:dyDescent="0.25">
      <c r="B1819">
        <v>17217</v>
      </c>
      <c r="C1819" t="s">
        <v>17739</v>
      </c>
      <c r="E1819">
        <v>142</v>
      </c>
      <c r="F1819">
        <v>89</v>
      </c>
      <c r="G1819">
        <v>230</v>
      </c>
      <c r="H1819">
        <v>10</v>
      </c>
      <c r="R1819" t="s">
        <v>10806</v>
      </c>
    </row>
    <row r="1820" spans="2:19" x14ac:dyDescent="0.25">
      <c r="B1820">
        <v>17218</v>
      </c>
      <c r="C1820" t="s">
        <v>17740</v>
      </c>
      <c r="E1820">
        <v>142</v>
      </c>
      <c r="F1820">
        <v>89</v>
      </c>
      <c r="G1820">
        <v>230</v>
      </c>
      <c r="H1820">
        <v>11</v>
      </c>
      <c r="S1820" t="s">
        <v>10808</v>
      </c>
    </row>
    <row r="1821" spans="2:19" x14ac:dyDescent="0.25">
      <c r="B1821">
        <v>17219</v>
      </c>
      <c r="C1821" t="s">
        <v>17741</v>
      </c>
      <c r="E1821">
        <v>111</v>
      </c>
      <c r="F1821">
        <v>69</v>
      </c>
      <c r="G1821">
        <v>179</v>
      </c>
      <c r="H1821">
        <v>5</v>
      </c>
      <c r="O1821" t="s">
        <v>4807</v>
      </c>
    </row>
    <row r="1822" spans="2:19" x14ac:dyDescent="0.25">
      <c r="B1822">
        <v>112892353</v>
      </c>
      <c r="C1822" t="s">
        <v>17742</v>
      </c>
      <c r="E1822">
        <v>103</v>
      </c>
      <c r="F1822">
        <v>73</v>
      </c>
      <c r="G1822">
        <v>152</v>
      </c>
      <c r="H1822">
        <v>9</v>
      </c>
      <c r="P1822" t="s">
        <v>1950</v>
      </c>
    </row>
    <row r="1823" spans="2:19" x14ac:dyDescent="0.25">
      <c r="B1823">
        <v>112892355</v>
      </c>
      <c r="C1823" t="s">
        <v>17743</v>
      </c>
      <c r="E1823">
        <v>126</v>
      </c>
      <c r="F1823">
        <v>79</v>
      </c>
      <c r="G1823">
        <v>204</v>
      </c>
      <c r="H1823">
        <v>9</v>
      </c>
      <c r="P1823" t="s">
        <v>1952</v>
      </c>
    </row>
    <row r="1824" spans="2:19" x14ac:dyDescent="0.25">
      <c r="B1824">
        <v>112892357</v>
      </c>
      <c r="C1824" t="s">
        <v>17744</v>
      </c>
      <c r="E1824">
        <v>126</v>
      </c>
      <c r="F1824">
        <v>79</v>
      </c>
      <c r="G1824">
        <v>204</v>
      </c>
      <c r="H1824">
        <v>10</v>
      </c>
      <c r="Q1824" t="s">
        <v>1954</v>
      </c>
    </row>
    <row r="1825" spans="2:19" x14ac:dyDescent="0.25">
      <c r="B1825">
        <v>112892359</v>
      </c>
      <c r="C1825" t="s">
        <v>17745</v>
      </c>
      <c r="E1825">
        <v>126</v>
      </c>
      <c r="F1825">
        <v>79</v>
      </c>
      <c r="G1825">
        <v>204</v>
      </c>
      <c r="H1825">
        <v>10</v>
      </c>
      <c r="Q1825" t="s">
        <v>1956</v>
      </c>
    </row>
    <row r="1826" spans="2:19" x14ac:dyDescent="0.25">
      <c r="B1826">
        <v>112892361</v>
      </c>
      <c r="C1826" t="s">
        <v>17746</v>
      </c>
      <c r="E1826">
        <v>126</v>
      </c>
      <c r="F1826">
        <v>79</v>
      </c>
      <c r="G1826">
        <v>204</v>
      </c>
      <c r="H1826">
        <v>10</v>
      </c>
      <c r="Q1826" t="s">
        <v>1958</v>
      </c>
    </row>
    <row r="1827" spans="2:19" x14ac:dyDescent="0.25">
      <c r="B1827">
        <v>17220</v>
      </c>
      <c r="C1827" t="s">
        <v>17747</v>
      </c>
      <c r="E1827">
        <v>55</v>
      </c>
      <c r="F1827">
        <v>167</v>
      </c>
      <c r="G1827">
        <v>255</v>
      </c>
      <c r="H1827">
        <v>2</v>
      </c>
      <c r="M1827" t="s">
        <v>10810</v>
      </c>
    </row>
    <row r="1828" spans="2:19" x14ac:dyDescent="0.25">
      <c r="B1828">
        <v>17221</v>
      </c>
      <c r="C1828" t="s">
        <v>17748</v>
      </c>
      <c r="E1828">
        <v>55</v>
      </c>
      <c r="F1828">
        <v>167</v>
      </c>
      <c r="G1828">
        <v>255</v>
      </c>
      <c r="H1828">
        <v>3</v>
      </c>
      <c r="N1828" t="s">
        <v>4813</v>
      </c>
    </row>
    <row r="1829" spans="2:19" x14ac:dyDescent="0.25">
      <c r="B1829">
        <v>17222</v>
      </c>
      <c r="C1829" t="s">
        <v>17749</v>
      </c>
      <c r="E1829">
        <v>112</v>
      </c>
      <c r="F1829">
        <v>192</v>
      </c>
      <c r="G1829">
        <v>255</v>
      </c>
      <c r="H1829">
        <v>5</v>
      </c>
      <c r="O1829" t="s">
        <v>4820</v>
      </c>
    </row>
    <row r="1830" spans="2:19" x14ac:dyDescent="0.25">
      <c r="B1830">
        <v>17223</v>
      </c>
      <c r="C1830" t="s">
        <v>17750</v>
      </c>
      <c r="E1830">
        <v>55</v>
      </c>
      <c r="F1830">
        <v>167</v>
      </c>
      <c r="G1830">
        <v>255</v>
      </c>
      <c r="H1830">
        <v>5</v>
      </c>
      <c r="O1830" t="s">
        <v>10812</v>
      </c>
    </row>
    <row r="1831" spans="2:19" x14ac:dyDescent="0.25">
      <c r="B1831">
        <v>111220742</v>
      </c>
      <c r="C1831" t="s">
        <v>17751</v>
      </c>
      <c r="E1831">
        <v>55</v>
      </c>
      <c r="F1831">
        <v>167</v>
      </c>
      <c r="G1831">
        <v>255</v>
      </c>
      <c r="H1831">
        <v>9</v>
      </c>
      <c r="P1831" t="s">
        <v>8829</v>
      </c>
    </row>
    <row r="1832" spans="2:19" x14ac:dyDescent="0.25">
      <c r="B1832">
        <v>111220744</v>
      </c>
      <c r="C1832" t="s">
        <v>17752</v>
      </c>
      <c r="E1832">
        <v>93</v>
      </c>
      <c r="F1832">
        <v>184</v>
      </c>
      <c r="G1832">
        <v>255</v>
      </c>
      <c r="H1832">
        <v>9</v>
      </c>
      <c r="P1832" t="s">
        <v>8831</v>
      </c>
    </row>
    <row r="1833" spans="2:19" x14ac:dyDescent="0.25">
      <c r="B1833">
        <v>17224</v>
      </c>
      <c r="C1833" t="s">
        <v>17753</v>
      </c>
      <c r="E1833">
        <v>55</v>
      </c>
      <c r="F1833">
        <v>167</v>
      </c>
      <c r="G1833">
        <v>255</v>
      </c>
      <c r="H1833">
        <v>7</v>
      </c>
      <c r="P1833" t="s">
        <v>10814</v>
      </c>
    </row>
    <row r="1834" spans="2:19" x14ac:dyDescent="0.25">
      <c r="B1834">
        <v>17225</v>
      </c>
      <c r="C1834" t="s">
        <v>17754</v>
      </c>
      <c r="E1834">
        <v>55</v>
      </c>
      <c r="F1834">
        <v>167</v>
      </c>
      <c r="G1834">
        <v>255</v>
      </c>
      <c r="H1834">
        <v>9</v>
      </c>
      <c r="Q1834" t="s">
        <v>10816</v>
      </c>
    </row>
    <row r="1835" spans="2:19" x14ac:dyDescent="0.25">
      <c r="B1835">
        <v>17226</v>
      </c>
      <c r="C1835" t="s">
        <v>17755</v>
      </c>
      <c r="E1835">
        <v>93</v>
      </c>
      <c r="F1835">
        <v>184</v>
      </c>
      <c r="G1835">
        <v>255</v>
      </c>
      <c r="H1835">
        <v>9</v>
      </c>
      <c r="Q1835" t="s">
        <v>10818</v>
      </c>
    </row>
    <row r="1836" spans="2:19" x14ac:dyDescent="0.25">
      <c r="B1836">
        <v>111220746</v>
      </c>
      <c r="C1836" t="s">
        <v>17756</v>
      </c>
      <c r="E1836">
        <v>93</v>
      </c>
      <c r="F1836">
        <v>184</v>
      </c>
      <c r="G1836">
        <v>255</v>
      </c>
      <c r="H1836">
        <v>10</v>
      </c>
      <c r="R1836" t="s">
        <v>8833</v>
      </c>
    </row>
    <row r="1837" spans="2:19" x14ac:dyDescent="0.25">
      <c r="B1837">
        <v>17227</v>
      </c>
      <c r="C1837" t="s">
        <v>17757</v>
      </c>
      <c r="E1837">
        <v>93</v>
      </c>
      <c r="F1837">
        <v>184</v>
      </c>
      <c r="G1837">
        <v>255</v>
      </c>
      <c r="H1837">
        <v>11</v>
      </c>
      <c r="S1837" t="s">
        <v>10820</v>
      </c>
    </row>
    <row r="1838" spans="2:19" x14ac:dyDescent="0.25">
      <c r="B1838">
        <v>111220748</v>
      </c>
      <c r="C1838" t="s">
        <v>17758</v>
      </c>
      <c r="E1838">
        <v>93</v>
      </c>
      <c r="F1838">
        <v>184</v>
      </c>
      <c r="G1838">
        <v>255</v>
      </c>
      <c r="H1838">
        <v>10</v>
      </c>
      <c r="R1838" t="s">
        <v>8835</v>
      </c>
    </row>
    <row r="1839" spans="2:19" x14ac:dyDescent="0.25">
      <c r="B1839">
        <v>111220750</v>
      </c>
      <c r="C1839" t="s">
        <v>17759</v>
      </c>
      <c r="E1839">
        <v>93</v>
      </c>
      <c r="F1839">
        <v>184</v>
      </c>
      <c r="G1839">
        <v>255</v>
      </c>
      <c r="H1839">
        <v>10</v>
      </c>
      <c r="R1839" t="s">
        <v>8837</v>
      </c>
    </row>
    <row r="1840" spans="2:19" x14ac:dyDescent="0.25">
      <c r="B1840">
        <v>17228</v>
      </c>
      <c r="C1840" t="s">
        <v>17760</v>
      </c>
      <c r="E1840">
        <v>93</v>
      </c>
      <c r="F1840">
        <v>184</v>
      </c>
      <c r="G1840">
        <v>255</v>
      </c>
      <c r="H1840">
        <v>11</v>
      </c>
      <c r="S1840" t="s">
        <v>10822</v>
      </c>
    </row>
    <row r="1841" spans="2:19" x14ac:dyDescent="0.25">
      <c r="B1841">
        <v>17229</v>
      </c>
      <c r="C1841" t="s">
        <v>17761</v>
      </c>
      <c r="E1841">
        <v>55</v>
      </c>
      <c r="F1841">
        <v>167</v>
      </c>
      <c r="G1841">
        <v>255</v>
      </c>
      <c r="H1841">
        <v>7</v>
      </c>
      <c r="P1841" t="s">
        <v>10824</v>
      </c>
    </row>
    <row r="1842" spans="2:19" x14ac:dyDescent="0.25">
      <c r="B1842">
        <v>17230</v>
      </c>
      <c r="C1842" t="s">
        <v>17762</v>
      </c>
      <c r="E1842">
        <v>55</v>
      </c>
      <c r="F1842">
        <v>167</v>
      </c>
      <c r="G1842">
        <v>255</v>
      </c>
      <c r="H1842">
        <v>9</v>
      </c>
      <c r="Q1842" t="s">
        <v>10826</v>
      </c>
    </row>
    <row r="1843" spans="2:19" x14ac:dyDescent="0.25">
      <c r="B1843">
        <v>17231</v>
      </c>
      <c r="C1843" t="s">
        <v>17763</v>
      </c>
      <c r="E1843">
        <v>93</v>
      </c>
      <c r="F1843">
        <v>184</v>
      </c>
      <c r="G1843">
        <v>255</v>
      </c>
      <c r="H1843">
        <v>9</v>
      </c>
      <c r="Q1843" t="s">
        <v>10828</v>
      </c>
    </row>
    <row r="1844" spans="2:19" x14ac:dyDescent="0.25">
      <c r="B1844">
        <v>111220752</v>
      </c>
      <c r="C1844" t="s">
        <v>17764</v>
      </c>
      <c r="E1844">
        <v>93</v>
      </c>
      <c r="F1844">
        <v>184</v>
      </c>
      <c r="G1844">
        <v>255</v>
      </c>
      <c r="H1844">
        <v>10</v>
      </c>
      <c r="R1844" t="s">
        <v>8839</v>
      </c>
    </row>
    <row r="1845" spans="2:19" x14ac:dyDescent="0.25">
      <c r="B1845">
        <v>17234</v>
      </c>
      <c r="C1845" t="s">
        <v>17765</v>
      </c>
      <c r="E1845">
        <v>93</v>
      </c>
      <c r="F1845">
        <v>184</v>
      </c>
      <c r="G1845">
        <v>255</v>
      </c>
      <c r="H1845">
        <v>11</v>
      </c>
      <c r="S1845" t="s">
        <v>10834</v>
      </c>
    </row>
    <row r="1846" spans="2:19" x14ac:dyDescent="0.25">
      <c r="B1846">
        <v>111220754</v>
      </c>
      <c r="C1846" t="s">
        <v>17766</v>
      </c>
      <c r="E1846">
        <v>93</v>
      </c>
      <c r="F1846">
        <v>184</v>
      </c>
      <c r="G1846">
        <v>255</v>
      </c>
      <c r="H1846">
        <v>10</v>
      </c>
      <c r="R1846" t="s">
        <v>8841</v>
      </c>
    </row>
    <row r="1847" spans="2:19" x14ac:dyDescent="0.25">
      <c r="B1847">
        <v>17233</v>
      </c>
      <c r="C1847" t="s">
        <v>17767</v>
      </c>
      <c r="E1847">
        <v>93</v>
      </c>
      <c r="F1847">
        <v>184</v>
      </c>
      <c r="G1847">
        <v>255</v>
      </c>
      <c r="H1847">
        <v>11</v>
      </c>
      <c r="S1847" t="s">
        <v>10832</v>
      </c>
    </row>
    <row r="1848" spans="2:19" x14ac:dyDescent="0.25">
      <c r="B1848">
        <v>111220756</v>
      </c>
      <c r="C1848" t="s">
        <v>17768</v>
      </c>
      <c r="E1848">
        <v>93</v>
      </c>
      <c r="F1848">
        <v>184</v>
      </c>
      <c r="G1848">
        <v>255</v>
      </c>
      <c r="H1848">
        <v>10</v>
      </c>
      <c r="R1848" t="s">
        <v>8843</v>
      </c>
    </row>
    <row r="1849" spans="2:19" x14ac:dyDescent="0.25">
      <c r="B1849">
        <v>17232</v>
      </c>
      <c r="C1849" t="s">
        <v>17769</v>
      </c>
      <c r="E1849">
        <v>93</v>
      </c>
      <c r="F1849">
        <v>184</v>
      </c>
      <c r="G1849">
        <v>255</v>
      </c>
      <c r="H1849">
        <v>11</v>
      </c>
      <c r="S1849" t="s">
        <v>10830</v>
      </c>
    </row>
    <row r="1850" spans="2:19" x14ac:dyDescent="0.25">
      <c r="B1850">
        <v>17235</v>
      </c>
      <c r="C1850" t="s">
        <v>17770</v>
      </c>
      <c r="E1850">
        <v>55</v>
      </c>
      <c r="F1850">
        <v>167</v>
      </c>
      <c r="G1850">
        <v>255</v>
      </c>
      <c r="H1850">
        <v>7</v>
      </c>
      <c r="P1850" t="s">
        <v>10836</v>
      </c>
    </row>
    <row r="1851" spans="2:19" x14ac:dyDescent="0.25">
      <c r="B1851">
        <v>17236</v>
      </c>
      <c r="C1851" t="s">
        <v>17771</v>
      </c>
      <c r="E1851">
        <v>55</v>
      </c>
      <c r="F1851">
        <v>167</v>
      </c>
      <c r="G1851">
        <v>255</v>
      </c>
      <c r="H1851">
        <v>9</v>
      </c>
      <c r="Q1851" t="s">
        <v>10838</v>
      </c>
    </row>
    <row r="1852" spans="2:19" x14ac:dyDescent="0.25">
      <c r="B1852">
        <v>17237</v>
      </c>
      <c r="C1852" t="s">
        <v>17772</v>
      </c>
      <c r="E1852">
        <v>93</v>
      </c>
      <c r="F1852">
        <v>184</v>
      </c>
      <c r="G1852">
        <v>255</v>
      </c>
      <c r="H1852">
        <v>9</v>
      </c>
      <c r="Q1852" t="s">
        <v>10840</v>
      </c>
    </row>
    <row r="1853" spans="2:19" x14ac:dyDescent="0.25">
      <c r="B1853">
        <v>111220758</v>
      </c>
      <c r="C1853" t="s">
        <v>17773</v>
      </c>
      <c r="E1853">
        <v>93</v>
      </c>
      <c r="F1853">
        <v>184</v>
      </c>
      <c r="G1853">
        <v>255</v>
      </c>
      <c r="H1853">
        <v>10</v>
      </c>
      <c r="R1853" t="s">
        <v>8845</v>
      </c>
    </row>
    <row r="1854" spans="2:19" x14ac:dyDescent="0.25">
      <c r="B1854">
        <v>17240</v>
      </c>
      <c r="C1854" t="s">
        <v>17774</v>
      </c>
      <c r="E1854">
        <v>93</v>
      </c>
      <c r="F1854">
        <v>184</v>
      </c>
      <c r="G1854">
        <v>255</v>
      </c>
      <c r="H1854">
        <v>11</v>
      </c>
      <c r="S1854" t="s">
        <v>10846</v>
      </c>
    </row>
    <row r="1855" spans="2:19" x14ac:dyDescent="0.25">
      <c r="B1855">
        <v>111220760</v>
      </c>
      <c r="C1855" t="s">
        <v>17775</v>
      </c>
      <c r="E1855">
        <v>93</v>
      </c>
      <c r="F1855">
        <v>184</v>
      </c>
      <c r="G1855">
        <v>255</v>
      </c>
      <c r="H1855">
        <v>10</v>
      </c>
      <c r="R1855" t="s">
        <v>8847</v>
      </c>
    </row>
    <row r="1856" spans="2:19" x14ac:dyDescent="0.25">
      <c r="B1856">
        <v>17239</v>
      </c>
      <c r="C1856" t="s">
        <v>17776</v>
      </c>
      <c r="E1856">
        <v>93</v>
      </c>
      <c r="F1856">
        <v>184</v>
      </c>
      <c r="G1856">
        <v>255</v>
      </c>
      <c r="H1856">
        <v>11</v>
      </c>
      <c r="S1856" t="s">
        <v>10844</v>
      </c>
    </row>
    <row r="1857" spans="2:19" x14ac:dyDescent="0.25">
      <c r="B1857">
        <v>17241</v>
      </c>
      <c r="C1857" t="s">
        <v>17777</v>
      </c>
      <c r="E1857">
        <v>93</v>
      </c>
      <c r="F1857">
        <v>184</v>
      </c>
      <c r="G1857">
        <v>255</v>
      </c>
      <c r="H1857">
        <v>11</v>
      </c>
      <c r="S1857" t="s">
        <v>10848</v>
      </c>
    </row>
    <row r="1858" spans="2:19" x14ac:dyDescent="0.25">
      <c r="B1858">
        <v>111220762</v>
      </c>
      <c r="C1858" t="s">
        <v>17778</v>
      </c>
      <c r="E1858">
        <v>93</v>
      </c>
      <c r="F1858">
        <v>184</v>
      </c>
      <c r="G1858">
        <v>255</v>
      </c>
      <c r="H1858">
        <v>10</v>
      </c>
      <c r="R1858" t="s">
        <v>8849</v>
      </c>
    </row>
    <row r="1859" spans="2:19" x14ac:dyDescent="0.25">
      <c r="B1859">
        <v>17238</v>
      </c>
      <c r="C1859" t="s">
        <v>17779</v>
      </c>
      <c r="E1859">
        <v>93</v>
      </c>
      <c r="F1859">
        <v>184</v>
      </c>
      <c r="G1859">
        <v>255</v>
      </c>
      <c r="H1859">
        <v>11</v>
      </c>
      <c r="S1859" t="s">
        <v>10842</v>
      </c>
    </row>
    <row r="1860" spans="2:19" x14ac:dyDescent="0.25">
      <c r="B1860">
        <v>17242</v>
      </c>
      <c r="C1860" t="s">
        <v>17780</v>
      </c>
      <c r="E1860">
        <v>55</v>
      </c>
      <c r="F1860">
        <v>167</v>
      </c>
      <c r="G1860">
        <v>255</v>
      </c>
      <c r="H1860">
        <v>7</v>
      </c>
      <c r="P1860" t="s">
        <v>10850</v>
      </c>
    </row>
    <row r="1861" spans="2:19" x14ac:dyDescent="0.25">
      <c r="B1861">
        <v>17243</v>
      </c>
      <c r="C1861" t="s">
        <v>17781</v>
      </c>
      <c r="E1861">
        <v>55</v>
      </c>
      <c r="F1861">
        <v>167</v>
      </c>
      <c r="G1861">
        <v>255</v>
      </c>
      <c r="H1861">
        <v>9</v>
      </c>
      <c r="Q1861" t="s">
        <v>10852</v>
      </c>
    </row>
    <row r="1862" spans="2:19" x14ac:dyDescent="0.25">
      <c r="B1862">
        <v>17244</v>
      </c>
      <c r="C1862" t="s">
        <v>17782</v>
      </c>
      <c r="E1862">
        <v>93</v>
      </c>
      <c r="F1862">
        <v>184</v>
      </c>
      <c r="G1862">
        <v>255</v>
      </c>
      <c r="H1862">
        <v>9</v>
      </c>
      <c r="Q1862" t="s">
        <v>10854</v>
      </c>
    </row>
    <row r="1863" spans="2:19" x14ac:dyDescent="0.25">
      <c r="B1863">
        <v>111220764</v>
      </c>
      <c r="C1863" t="s">
        <v>17783</v>
      </c>
      <c r="E1863">
        <v>93</v>
      </c>
      <c r="F1863">
        <v>184</v>
      </c>
      <c r="G1863">
        <v>255</v>
      </c>
      <c r="H1863">
        <v>10</v>
      </c>
      <c r="R1863" t="s">
        <v>8851</v>
      </c>
    </row>
    <row r="1864" spans="2:19" x14ac:dyDescent="0.25">
      <c r="B1864">
        <v>17245</v>
      </c>
      <c r="C1864" t="s">
        <v>17784</v>
      </c>
      <c r="E1864">
        <v>93</v>
      </c>
      <c r="F1864">
        <v>184</v>
      </c>
      <c r="G1864">
        <v>255</v>
      </c>
      <c r="H1864">
        <v>11</v>
      </c>
      <c r="S1864" t="s">
        <v>10856</v>
      </c>
    </row>
    <row r="1865" spans="2:19" x14ac:dyDescent="0.25">
      <c r="B1865">
        <v>111220766</v>
      </c>
      <c r="C1865" t="s">
        <v>17785</v>
      </c>
      <c r="E1865">
        <v>93</v>
      </c>
      <c r="F1865">
        <v>184</v>
      </c>
      <c r="G1865">
        <v>255</v>
      </c>
      <c r="H1865">
        <v>10</v>
      </c>
      <c r="R1865" t="s">
        <v>8853</v>
      </c>
    </row>
    <row r="1866" spans="2:19" x14ac:dyDescent="0.25">
      <c r="B1866">
        <v>17246</v>
      </c>
      <c r="C1866" t="s">
        <v>17786</v>
      </c>
      <c r="E1866">
        <v>93</v>
      </c>
      <c r="F1866">
        <v>184</v>
      </c>
      <c r="G1866">
        <v>255</v>
      </c>
      <c r="H1866">
        <v>11</v>
      </c>
      <c r="S1866" t="s">
        <v>10858</v>
      </c>
    </row>
    <row r="1867" spans="2:19" x14ac:dyDescent="0.25">
      <c r="B1867">
        <v>17248</v>
      </c>
      <c r="C1867" t="s">
        <v>17787</v>
      </c>
      <c r="E1867">
        <v>93</v>
      </c>
      <c r="F1867">
        <v>184</v>
      </c>
      <c r="G1867">
        <v>255</v>
      </c>
      <c r="H1867">
        <v>11</v>
      </c>
      <c r="S1867" t="s">
        <v>10862</v>
      </c>
    </row>
    <row r="1868" spans="2:19" x14ac:dyDescent="0.25">
      <c r="B1868">
        <v>111220768</v>
      </c>
      <c r="C1868" t="s">
        <v>17788</v>
      </c>
      <c r="E1868">
        <v>93</v>
      </c>
      <c r="F1868">
        <v>184</v>
      </c>
      <c r="G1868">
        <v>255</v>
      </c>
      <c r="H1868">
        <v>10</v>
      </c>
      <c r="R1868" t="s">
        <v>8855</v>
      </c>
    </row>
    <row r="1869" spans="2:19" x14ac:dyDescent="0.25">
      <c r="B1869">
        <v>17247</v>
      </c>
      <c r="C1869" t="s">
        <v>17789</v>
      </c>
      <c r="E1869">
        <v>93</v>
      </c>
      <c r="F1869">
        <v>184</v>
      </c>
      <c r="G1869">
        <v>255</v>
      </c>
      <c r="H1869">
        <v>11</v>
      </c>
      <c r="S1869" t="s">
        <v>10860</v>
      </c>
    </row>
    <row r="1870" spans="2:19" x14ac:dyDescent="0.25">
      <c r="B1870">
        <v>17249</v>
      </c>
      <c r="C1870" t="s">
        <v>17790</v>
      </c>
      <c r="E1870">
        <v>93</v>
      </c>
      <c r="F1870">
        <v>184</v>
      </c>
      <c r="G1870">
        <v>255</v>
      </c>
      <c r="H1870">
        <v>11</v>
      </c>
      <c r="S1870" t="s">
        <v>10864</v>
      </c>
    </row>
    <row r="1871" spans="2:19" x14ac:dyDescent="0.25">
      <c r="B1871">
        <v>17250</v>
      </c>
      <c r="C1871" t="s">
        <v>17791</v>
      </c>
      <c r="E1871">
        <v>44</v>
      </c>
      <c r="F1871">
        <v>134</v>
      </c>
      <c r="G1871">
        <v>204</v>
      </c>
      <c r="H1871">
        <v>5</v>
      </c>
      <c r="O1871" t="s">
        <v>10866</v>
      </c>
    </row>
    <row r="1872" spans="2:19" x14ac:dyDescent="0.25">
      <c r="B1872">
        <v>111220770</v>
      </c>
      <c r="C1872" t="s">
        <v>17792</v>
      </c>
      <c r="E1872">
        <v>44</v>
      </c>
      <c r="F1872">
        <v>134</v>
      </c>
      <c r="G1872">
        <v>204</v>
      </c>
      <c r="H1872">
        <v>9</v>
      </c>
      <c r="P1872" t="s">
        <v>8857</v>
      </c>
    </row>
    <row r="1873" spans="2:19" x14ac:dyDescent="0.25">
      <c r="B1873">
        <v>111220772</v>
      </c>
      <c r="C1873" t="s">
        <v>17793</v>
      </c>
      <c r="E1873">
        <v>50</v>
      </c>
      <c r="F1873">
        <v>150</v>
      </c>
      <c r="G1873">
        <v>230</v>
      </c>
      <c r="H1873">
        <v>9</v>
      </c>
      <c r="P1873" t="s">
        <v>8859</v>
      </c>
    </row>
    <row r="1874" spans="2:19" x14ac:dyDescent="0.25">
      <c r="B1874">
        <v>17251</v>
      </c>
      <c r="C1874" t="s">
        <v>17794</v>
      </c>
      <c r="E1874">
        <v>44</v>
      </c>
      <c r="F1874">
        <v>134</v>
      </c>
      <c r="G1874">
        <v>204</v>
      </c>
      <c r="H1874">
        <v>7</v>
      </c>
      <c r="P1874" t="s">
        <v>10868</v>
      </c>
    </row>
    <row r="1875" spans="2:19" x14ac:dyDescent="0.25">
      <c r="B1875">
        <v>17252</v>
      </c>
      <c r="C1875" t="s">
        <v>17795</v>
      </c>
      <c r="E1875">
        <v>44</v>
      </c>
      <c r="F1875">
        <v>134</v>
      </c>
      <c r="G1875">
        <v>204</v>
      </c>
      <c r="H1875">
        <v>9</v>
      </c>
      <c r="Q1875" t="s">
        <v>10870</v>
      </c>
    </row>
    <row r="1876" spans="2:19" x14ac:dyDescent="0.25">
      <c r="B1876">
        <v>17253</v>
      </c>
      <c r="C1876" t="s">
        <v>17796</v>
      </c>
      <c r="E1876">
        <v>50</v>
      </c>
      <c r="F1876">
        <v>150</v>
      </c>
      <c r="G1876">
        <v>230</v>
      </c>
      <c r="H1876">
        <v>9</v>
      </c>
      <c r="Q1876" t="s">
        <v>10872</v>
      </c>
    </row>
    <row r="1877" spans="2:19" x14ac:dyDescent="0.25">
      <c r="B1877">
        <v>17254</v>
      </c>
      <c r="C1877" t="s">
        <v>17797</v>
      </c>
      <c r="E1877">
        <v>50</v>
      </c>
      <c r="F1877">
        <v>150</v>
      </c>
      <c r="G1877">
        <v>230</v>
      </c>
      <c r="H1877">
        <v>10</v>
      </c>
      <c r="R1877" t="s">
        <v>10874</v>
      </c>
    </row>
    <row r="1878" spans="2:19" x14ac:dyDescent="0.25">
      <c r="B1878">
        <v>17255</v>
      </c>
      <c r="C1878" t="s">
        <v>17798</v>
      </c>
      <c r="E1878">
        <v>50</v>
      </c>
      <c r="F1878">
        <v>150</v>
      </c>
      <c r="G1878">
        <v>230</v>
      </c>
      <c r="H1878">
        <v>11</v>
      </c>
      <c r="S1878" t="s">
        <v>10876</v>
      </c>
    </row>
    <row r="1879" spans="2:19" x14ac:dyDescent="0.25">
      <c r="B1879">
        <v>17256</v>
      </c>
      <c r="C1879" t="s">
        <v>17799</v>
      </c>
      <c r="E1879">
        <v>50</v>
      </c>
      <c r="F1879">
        <v>150</v>
      </c>
      <c r="G1879">
        <v>230</v>
      </c>
      <c r="H1879">
        <v>10</v>
      </c>
      <c r="R1879" t="s">
        <v>10878</v>
      </c>
    </row>
    <row r="1880" spans="2:19" x14ac:dyDescent="0.25">
      <c r="B1880">
        <v>17190</v>
      </c>
      <c r="C1880" t="s">
        <v>17800</v>
      </c>
      <c r="E1880">
        <v>50</v>
      </c>
      <c r="F1880">
        <v>150</v>
      </c>
      <c r="G1880">
        <v>230</v>
      </c>
      <c r="H1880">
        <v>11</v>
      </c>
      <c r="S1880" t="s">
        <v>7637</v>
      </c>
    </row>
    <row r="1881" spans="2:19" x14ac:dyDescent="0.25">
      <c r="B1881">
        <v>17257</v>
      </c>
      <c r="C1881" t="s">
        <v>17801</v>
      </c>
      <c r="E1881">
        <v>50</v>
      </c>
      <c r="F1881">
        <v>150</v>
      </c>
      <c r="G1881">
        <v>230</v>
      </c>
      <c r="H1881">
        <v>11</v>
      </c>
      <c r="S1881" t="s">
        <v>10880</v>
      </c>
    </row>
    <row r="1882" spans="2:19" x14ac:dyDescent="0.25">
      <c r="B1882">
        <v>17258</v>
      </c>
      <c r="C1882" t="s">
        <v>17802</v>
      </c>
      <c r="E1882">
        <v>50</v>
      </c>
      <c r="F1882">
        <v>150</v>
      </c>
      <c r="G1882">
        <v>230</v>
      </c>
      <c r="H1882">
        <v>10</v>
      </c>
      <c r="R1882" t="s">
        <v>10882</v>
      </c>
    </row>
    <row r="1883" spans="2:19" x14ac:dyDescent="0.25">
      <c r="B1883">
        <v>17259</v>
      </c>
      <c r="C1883" t="s">
        <v>17803</v>
      </c>
      <c r="E1883">
        <v>50</v>
      </c>
      <c r="F1883">
        <v>150</v>
      </c>
      <c r="G1883">
        <v>230</v>
      </c>
      <c r="H1883">
        <v>11</v>
      </c>
      <c r="S1883" t="s">
        <v>10884</v>
      </c>
    </row>
    <row r="1884" spans="2:19" x14ac:dyDescent="0.25">
      <c r="B1884">
        <v>17260</v>
      </c>
      <c r="C1884" t="s">
        <v>17804</v>
      </c>
      <c r="E1884">
        <v>50</v>
      </c>
      <c r="F1884">
        <v>150</v>
      </c>
      <c r="G1884">
        <v>230</v>
      </c>
      <c r="H1884">
        <v>11</v>
      </c>
      <c r="S1884" t="s">
        <v>1584</v>
      </c>
    </row>
    <row r="1885" spans="2:19" x14ac:dyDescent="0.25">
      <c r="B1885">
        <v>17261</v>
      </c>
      <c r="C1885" t="s">
        <v>17805</v>
      </c>
      <c r="E1885">
        <v>50</v>
      </c>
      <c r="F1885">
        <v>150</v>
      </c>
      <c r="G1885">
        <v>230</v>
      </c>
      <c r="H1885">
        <v>11</v>
      </c>
      <c r="S1885" t="s">
        <v>2734</v>
      </c>
    </row>
    <row r="1886" spans="2:19" x14ac:dyDescent="0.25">
      <c r="B1886">
        <v>17262</v>
      </c>
      <c r="C1886" t="s">
        <v>17806</v>
      </c>
      <c r="E1886">
        <v>50</v>
      </c>
      <c r="F1886">
        <v>150</v>
      </c>
      <c r="G1886">
        <v>230</v>
      </c>
      <c r="H1886">
        <v>11</v>
      </c>
      <c r="S1886" t="s">
        <v>3034</v>
      </c>
    </row>
    <row r="1887" spans="2:19" x14ac:dyDescent="0.25">
      <c r="B1887">
        <v>17263</v>
      </c>
      <c r="C1887" t="s">
        <v>17807</v>
      </c>
      <c r="E1887">
        <v>50</v>
      </c>
      <c r="F1887">
        <v>150</v>
      </c>
      <c r="G1887">
        <v>230</v>
      </c>
      <c r="H1887">
        <v>11</v>
      </c>
      <c r="S1887" t="s">
        <v>10886</v>
      </c>
    </row>
    <row r="1888" spans="2:19" x14ac:dyDescent="0.25">
      <c r="B1888">
        <v>17264</v>
      </c>
      <c r="C1888" t="s">
        <v>17808</v>
      </c>
      <c r="E1888">
        <v>50</v>
      </c>
      <c r="F1888">
        <v>150</v>
      </c>
      <c r="G1888">
        <v>230</v>
      </c>
      <c r="H1888">
        <v>11</v>
      </c>
      <c r="S1888" t="s">
        <v>10888</v>
      </c>
    </row>
    <row r="1889" spans="2:19" x14ac:dyDescent="0.25">
      <c r="B1889">
        <v>17265</v>
      </c>
      <c r="C1889" t="s">
        <v>17809</v>
      </c>
      <c r="E1889">
        <v>50</v>
      </c>
      <c r="F1889">
        <v>150</v>
      </c>
      <c r="G1889">
        <v>230</v>
      </c>
      <c r="H1889">
        <v>11</v>
      </c>
      <c r="S1889" t="s">
        <v>10890</v>
      </c>
    </row>
    <row r="1890" spans="2:19" x14ac:dyDescent="0.25">
      <c r="B1890">
        <v>17266</v>
      </c>
      <c r="C1890" t="s">
        <v>17810</v>
      </c>
      <c r="E1890">
        <v>44</v>
      </c>
      <c r="F1890">
        <v>134</v>
      </c>
      <c r="G1890">
        <v>204</v>
      </c>
      <c r="H1890">
        <v>7</v>
      </c>
      <c r="P1890" t="s">
        <v>10892</v>
      </c>
    </row>
    <row r="1891" spans="2:19" x14ac:dyDescent="0.25">
      <c r="B1891">
        <v>17267</v>
      </c>
      <c r="C1891" t="s">
        <v>17811</v>
      </c>
      <c r="E1891">
        <v>44</v>
      </c>
      <c r="F1891">
        <v>134</v>
      </c>
      <c r="G1891">
        <v>204</v>
      </c>
      <c r="H1891">
        <v>9</v>
      </c>
      <c r="Q1891" t="s">
        <v>10894</v>
      </c>
    </row>
    <row r="1892" spans="2:19" x14ac:dyDescent="0.25">
      <c r="B1892">
        <v>17268</v>
      </c>
      <c r="C1892" t="s">
        <v>17812</v>
      </c>
      <c r="E1892">
        <v>50</v>
      </c>
      <c r="F1892">
        <v>150</v>
      </c>
      <c r="G1892">
        <v>230</v>
      </c>
      <c r="H1892">
        <v>9</v>
      </c>
      <c r="Q1892" t="s">
        <v>10896</v>
      </c>
    </row>
    <row r="1893" spans="2:19" x14ac:dyDescent="0.25">
      <c r="B1893">
        <v>17269</v>
      </c>
      <c r="C1893" t="s">
        <v>17813</v>
      </c>
      <c r="E1893">
        <v>50</v>
      </c>
      <c r="F1893">
        <v>150</v>
      </c>
      <c r="G1893">
        <v>230</v>
      </c>
      <c r="H1893">
        <v>10</v>
      </c>
      <c r="R1893" t="s">
        <v>10898</v>
      </c>
    </row>
    <row r="1894" spans="2:19" x14ac:dyDescent="0.25">
      <c r="B1894">
        <v>17270</v>
      </c>
      <c r="C1894" t="s">
        <v>17814</v>
      </c>
      <c r="E1894">
        <v>50</v>
      </c>
      <c r="F1894">
        <v>150</v>
      </c>
      <c r="G1894">
        <v>230</v>
      </c>
      <c r="H1894">
        <v>11</v>
      </c>
      <c r="S1894" t="s">
        <v>10900</v>
      </c>
    </row>
    <row r="1895" spans="2:19" x14ac:dyDescent="0.25">
      <c r="B1895">
        <v>17271</v>
      </c>
      <c r="C1895" t="s">
        <v>17815</v>
      </c>
      <c r="E1895">
        <v>50</v>
      </c>
      <c r="F1895">
        <v>150</v>
      </c>
      <c r="G1895">
        <v>230</v>
      </c>
      <c r="H1895">
        <v>10</v>
      </c>
      <c r="R1895" t="s">
        <v>10902</v>
      </c>
    </row>
    <row r="1896" spans="2:19" x14ac:dyDescent="0.25">
      <c r="B1896">
        <v>17272</v>
      </c>
      <c r="C1896" t="s">
        <v>17816</v>
      </c>
      <c r="E1896">
        <v>50</v>
      </c>
      <c r="F1896">
        <v>150</v>
      </c>
      <c r="G1896">
        <v>230</v>
      </c>
      <c r="H1896">
        <v>11</v>
      </c>
      <c r="S1896" t="s">
        <v>10904</v>
      </c>
    </row>
    <row r="1897" spans="2:19" x14ac:dyDescent="0.25">
      <c r="B1897">
        <v>17273</v>
      </c>
      <c r="C1897" t="s">
        <v>17817</v>
      </c>
      <c r="E1897">
        <v>50</v>
      </c>
      <c r="F1897">
        <v>150</v>
      </c>
      <c r="G1897">
        <v>230</v>
      </c>
      <c r="H1897">
        <v>10</v>
      </c>
      <c r="R1897" t="s">
        <v>10906</v>
      </c>
    </row>
    <row r="1898" spans="2:19" x14ac:dyDescent="0.25">
      <c r="B1898">
        <v>17274</v>
      </c>
      <c r="C1898" t="s">
        <v>17818</v>
      </c>
      <c r="E1898">
        <v>50</v>
      </c>
      <c r="F1898">
        <v>150</v>
      </c>
      <c r="G1898">
        <v>230</v>
      </c>
      <c r="H1898">
        <v>11</v>
      </c>
      <c r="S1898" t="s">
        <v>2637</v>
      </c>
    </row>
    <row r="1899" spans="2:19" x14ac:dyDescent="0.25">
      <c r="B1899">
        <v>17275</v>
      </c>
      <c r="C1899" t="s">
        <v>17819</v>
      </c>
      <c r="E1899">
        <v>44</v>
      </c>
      <c r="F1899">
        <v>134</v>
      </c>
      <c r="G1899">
        <v>204</v>
      </c>
      <c r="H1899">
        <v>7</v>
      </c>
      <c r="P1899" t="s">
        <v>10908</v>
      </c>
    </row>
    <row r="1900" spans="2:19" x14ac:dyDescent="0.25">
      <c r="B1900">
        <v>17276</v>
      </c>
      <c r="C1900" t="s">
        <v>17820</v>
      </c>
      <c r="E1900">
        <v>44</v>
      </c>
      <c r="F1900">
        <v>134</v>
      </c>
      <c r="G1900">
        <v>204</v>
      </c>
      <c r="H1900">
        <v>9</v>
      </c>
      <c r="Q1900" t="s">
        <v>10910</v>
      </c>
    </row>
    <row r="1901" spans="2:19" x14ac:dyDescent="0.25">
      <c r="B1901">
        <v>17277</v>
      </c>
      <c r="C1901" t="s">
        <v>17821</v>
      </c>
      <c r="E1901">
        <v>50</v>
      </c>
      <c r="F1901">
        <v>150</v>
      </c>
      <c r="G1901">
        <v>230</v>
      </c>
      <c r="H1901">
        <v>9</v>
      </c>
      <c r="Q1901" t="s">
        <v>10912</v>
      </c>
    </row>
    <row r="1902" spans="2:19" x14ac:dyDescent="0.25">
      <c r="B1902">
        <v>17278</v>
      </c>
      <c r="C1902" t="s">
        <v>17822</v>
      </c>
      <c r="E1902">
        <v>50</v>
      </c>
      <c r="F1902">
        <v>150</v>
      </c>
      <c r="G1902">
        <v>230</v>
      </c>
      <c r="H1902">
        <v>10</v>
      </c>
      <c r="R1902" t="s">
        <v>10914</v>
      </c>
    </row>
    <row r="1903" spans="2:19" x14ac:dyDescent="0.25">
      <c r="B1903">
        <v>17279</v>
      </c>
      <c r="C1903" t="s">
        <v>17823</v>
      </c>
      <c r="E1903">
        <v>50</v>
      </c>
      <c r="F1903">
        <v>150</v>
      </c>
      <c r="G1903">
        <v>230</v>
      </c>
      <c r="H1903">
        <v>11</v>
      </c>
      <c r="S1903" t="s">
        <v>162</v>
      </c>
    </row>
    <row r="1904" spans="2:19" x14ac:dyDescent="0.25">
      <c r="B1904">
        <v>17280</v>
      </c>
      <c r="C1904" t="s">
        <v>17824</v>
      </c>
      <c r="E1904">
        <v>50</v>
      </c>
      <c r="F1904">
        <v>150</v>
      </c>
      <c r="G1904">
        <v>230</v>
      </c>
      <c r="H1904">
        <v>10</v>
      </c>
      <c r="R1904" t="s">
        <v>10916</v>
      </c>
    </row>
    <row r="1905" spans="2:19" x14ac:dyDescent="0.25">
      <c r="B1905">
        <v>17281</v>
      </c>
      <c r="C1905" t="s">
        <v>17825</v>
      </c>
      <c r="E1905">
        <v>50</v>
      </c>
      <c r="F1905">
        <v>150</v>
      </c>
      <c r="G1905">
        <v>230</v>
      </c>
      <c r="H1905">
        <v>11</v>
      </c>
      <c r="S1905" t="s">
        <v>10918</v>
      </c>
    </row>
    <row r="1906" spans="2:19" x14ac:dyDescent="0.25">
      <c r="B1906">
        <v>17282</v>
      </c>
      <c r="C1906" t="s">
        <v>17826</v>
      </c>
      <c r="E1906">
        <v>50</v>
      </c>
      <c r="F1906">
        <v>150</v>
      </c>
      <c r="G1906">
        <v>230</v>
      </c>
      <c r="H1906">
        <v>11</v>
      </c>
      <c r="S1906" t="s">
        <v>10920</v>
      </c>
    </row>
    <row r="1907" spans="2:19" x14ac:dyDescent="0.25">
      <c r="B1907">
        <v>17283</v>
      </c>
      <c r="C1907" t="s">
        <v>17827</v>
      </c>
      <c r="E1907">
        <v>50</v>
      </c>
      <c r="F1907">
        <v>150</v>
      </c>
      <c r="G1907">
        <v>230</v>
      </c>
      <c r="H1907">
        <v>11</v>
      </c>
      <c r="S1907" t="s">
        <v>10922</v>
      </c>
    </row>
    <row r="1908" spans="2:19" x14ac:dyDescent="0.25">
      <c r="B1908">
        <v>17284</v>
      </c>
      <c r="C1908" t="s">
        <v>17828</v>
      </c>
      <c r="E1908">
        <v>50</v>
      </c>
      <c r="F1908">
        <v>150</v>
      </c>
      <c r="G1908">
        <v>230</v>
      </c>
      <c r="H1908">
        <v>11</v>
      </c>
      <c r="S1908" t="s">
        <v>10924</v>
      </c>
    </row>
    <row r="1909" spans="2:19" x14ac:dyDescent="0.25">
      <c r="B1909">
        <v>17285</v>
      </c>
      <c r="C1909" t="s">
        <v>17829</v>
      </c>
      <c r="E1909">
        <v>50</v>
      </c>
      <c r="F1909">
        <v>150</v>
      </c>
      <c r="G1909">
        <v>230</v>
      </c>
      <c r="H1909">
        <v>11</v>
      </c>
      <c r="S1909" t="s">
        <v>10926</v>
      </c>
    </row>
    <row r="1910" spans="2:19" x14ac:dyDescent="0.25">
      <c r="B1910">
        <v>17286</v>
      </c>
      <c r="C1910" t="s">
        <v>17830</v>
      </c>
      <c r="E1910">
        <v>50</v>
      </c>
      <c r="F1910">
        <v>150</v>
      </c>
      <c r="G1910">
        <v>230</v>
      </c>
      <c r="H1910">
        <v>10</v>
      </c>
      <c r="R1910" t="s">
        <v>10928</v>
      </c>
    </row>
    <row r="1911" spans="2:19" x14ac:dyDescent="0.25">
      <c r="B1911">
        <v>17287</v>
      </c>
      <c r="C1911" t="s">
        <v>17831</v>
      </c>
      <c r="E1911">
        <v>50</v>
      </c>
      <c r="F1911">
        <v>150</v>
      </c>
      <c r="G1911">
        <v>230</v>
      </c>
      <c r="H1911">
        <v>11</v>
      </c>
      <c r="S1911" t="s">
        <v>10930</v>
      </c>
    </row>
    <row r="1912" spans="2:19" x14ac:dyDescent="0.25">
      <c r="B1912">
        <v>17288</v>
      </c>
      <c r="C1912" t="s">
        <v>17832</v>
      </c>
      <c r="E1912">
        <v>50</v>
      </c>
      <c r="F1912">
        <v>150</v>
      </c>
      <c r="G1912">
        <v>230</v>
      </c>
      <c r="H1912">
        <v>11</v>
      </c>
      <c r="S1912" t="s">
        <v>10932</v>
      </c>
    </row>
    <row r="1913" spans="2:19" x14ac:dyDescent="0.25">
      <c r="B1913">
        <v>17289</v>
      </c>
      <c r="C1913" t="s">
        <v>17833</v>
      </c>
      <c r="E1913">
        <v>39</v>
      </c>
      <c r="F1913">
        <v>117</v>
      </c>
      <c r="G1913">
        <v>179</v>
      </c>
      <c r="H1913">
        <v>5</v>
      </c>
      <c r="O1913" t="s">
        <v>4817</v>
      </c>
    </row>
    <row r="1914" spans="2:19" x14ac:dyDescent="0.25">
      <c r="B1914">
        <v>112892363</v>
      </c>
      <c r="C1914" t="s">
        <v>17834</v>
      </c>
      <c r="E1914">
        <v>38</v>
      </c>
      <c r="F1914">
        <v>112</v>
      </c>
      <c r="G1914">
        <v>171</v>
      </c>
      <c r="H1914">
        <v>9</v>
      </c>
      <c r="P1914" t="s">
        <v>1960</v>
      </c>
    </row>
    <row r="1915" spans="2:19" x14ac:dyDescent="0.25">
      <c r="B1915">
        <v>112892365</v>
      </c>
      <c r="C1915" t="s">
        <v>17835</v>
      </c>
      <c r="E1915">
        <v>44</v>
      </c>
      <c r="F1915">
        <v>134</v>
      </c>
      <c r="G1915">
        <v>204</v>
      </c>
      <c r="H1915">
        <v>9</v>
      </c>
      <c r="P1915" t="s">
        <v>1962</v>
      </c>
    </row>
    <row r="1916" spans="2:19" x14ac:dyDescent="0.25">
      <c r="B1916">
        <v>112892367</v>
      </c>
      <c r="C1916" t="s">
        <v>17836</v>
      </c>
      <c r="E1916">
        <v>44</v>
      </c>
      <c r="F1916">
        <v>134</v>
      </c>
      <c r="G1916">
        <v>204</v>
      </c>
      <c r="H1916">
        <v>10</v>
      </c>
      <c r="Q1916" t="s">
        <v>1964</v>
      </c>
    </row>
    <row r="1917" spans="2:19" x14ac:dyDescent="0.25">
      <c r="B1917">
        <v>112892369</v>
      </c>
      <c r="C1917" t="s">
        <v>17837</v>
      </c>
      <c r="E1917">
        <v>44</v>
      </c>
      <c r="F1917">
        <v>134</v>
      </c>
      <c r="G1917">
        <v>204</v>
      </c>
      <c r="H1917">
        <v>10</v>
      </c>
      <c r="Q1917" t="s">
        <v>1966</v>
      </c>
    </row>
    <row r="1918" spans="2:19" x14ac:dyDescent="0.25">
      <c r="B1918">
        <v>112892371</v>
      </c>
      <c r="C1918" t="s">
        <v>17838</v>
      </c>
      <c r="E1918">
        <v>44</v>
      </c>
      <c r="F1918">
        <v>134</v>
      </c>
      <c r="G1918">
        <v>204</v>
      </c>
      <c r="H1918">
        <v>10</v>
      </c>
      <c r="Q1918" t="s">
        <v>1968</v>
      </c>
    </row>
    <row r="1919" spans="2:19" x14ac:dyDescent="0.25">
      <c r="B1919">
        <v>17290</v>
      </c>
      <c r="C1919" t="s">
        <v>17839</v>
      </c>
      <c r="E1919">
        <v>93</v>
      </c>
      <c r="F1919">
        <v>184</v>
      </c>
      <c r="G1919">
        <v>255</v>
      </c>
      <c r="H1919">
        <v>3</v>
      </c>
      <c r="N1919" t="s">
        <v>4823</v>
      </c>
    </row>
    <row r="1920" spans="2:19" x14ac:dyDescent="0.25">
      <c r="B1920">
        <v>17291</v>
      </c>
      <c r="C1920" t="s">
        <v>17840</v>
      </c>
      <c r="E1920">
        <v>139</v>
      </c>
      <c r="F1920">
        <v>204</v>
      </c>
      <c r="G1920">
        <v>255</v>
      </c>
      <c r="H1920">
        <v>5</v>
      </c>
      <c r="O1920" t="s">
        <v>4830</v>
      </c>
    </row>
    <row r="1921" spans="2:19" x14ac:dyDescent="0.25">
      <c r="B1921">
        <v>17292</v>
      </c>
      <c r="C1921" t="s">
        <v>17841</v>
      </c>
      <c r="E1921">
        <v>93</v>
      </c>
      <c r="F1921">
        <v>184</v>
      </c>
      <c r="G1921">
        <v>255</v>
      </c>
      <c r="H1921">
        <v>5</v>
      </c>
      <c r="O1921" t="s">
        <v>10934</v>
      </c>
    </row>
    <row r="1922" spans="2:19" x14ac:dyDescent="0.25">
      <c r="B1922">
        <v>111220774</v>
      </c>
      <c r="C1922" t="s">
        <v>17842</v>
      </c>
      <c r="E1922">
        <v>93</v>
      </c>
      <c r="F1922">
        <v>184</v>
      </c>
      <c r="G1922">
        <v>255</v>
      </c>
      <c r="H1922">
        <v>9</v>
      </c>
      <c r="P1922" t="s">
        <v>8861</v>
      </c>
    </row>
    <row r="1923" spans="2:19" x14ac:dyDescent="0.25">
      <c r="B1923">
        <v>111220776</v>
      </c>
      <c r="C1923" t="s">
        <v>17843</v>
      </c>
      <c r="E1923">
        <v>124</v>
      </c>
      <c r="F1923">
        <v>198</v>
      </c>
      <c r="G1923">
        <v>255</v>
      </c>
      <c r="H1923">
        <v>9</v>
      </c>
      <c r="P1923" t="s">
        <v>8863</v>
      </c>
    </row>
    <row r="1924" spans="2:19" x14ac:dyDescent="0.25">
      <c r="B1924">
        <v>17293</v>
      </c>
      <c r="C1924" t="s">
        <v>17844</v>
      </c>
      <c r="E1924">
        <v>93</v>
      </c>
      <c r="F1924">
        <v>184</v>
      </c>
      <c r="G1924">
        <v>255</v>
      </c>
      <c r="H1924">
        <v>7</v>
      </c>
      <c r="P1924" t="s">
        <v>10936</v>
      </c>
    </row>
    <row r="1925" spans="2:19" x14ac:dyDescent="0.25">
      <c r="B1925">
        <v>17294</v>
      </c>
      <c r="C1925" t="s">
        <v>17845</v>
      </c>
      <c r="E1925">
        <v>93</v>
      </c>
      <c r="F1925">
        <v>184</v>
      </c>
      <c r="G1925">
        <v>255</v>
      </c>
      <c r="H1925">
        <v>9</v>
      </c>
      <c r="Q1925" t="s">
        <v>10938</v>
      </c>
    </row>
    <row r="1926" spans="2:19" x14ac:dyDescent="0.25">
      <c r="B1926">
        <v>17295</v>
      </c>
      <c r="C1926" t="s">
        <v>17846</v>
      </c>
      <c r="E1926">
        <v>124</v>
      </c>
      <c r="F1926">
        <v>198</v>
      </c>
      <c r="G1926">
        <v>255</v>
      </c>
      <c r="H1926">
        <v>9</v>
      </c>
      <c r="Q1926" t="s">
        <v>10940</v>
      </c>
    </row>
    <row r="1927" spans="2:19" x14ac:dyDescent="0.25">
      <c r="B1927">
        <v>111220778</v>
      </c>
      <c r="C1927" t="s">
        <v>17847</v>
      </c>
      <c r="E1927">
        <v>124</v>
      </c>
      <c r="F1927">
        <v>198</v>
      </c>
      <c r="G1927">
        <v>255</v>
      </c>
      <c r="H1927">
        <v>10</v>
      </c>
      <c r="R1927" t="s">
        <v>8865</v>
      </c>
    </row>
    <row r="1928" spans="2:19" x14ac:dyDescent="0.25">
      <c r="B1928">
        <v>17296</v>
      </c>
      <c r="C1928" t="s">
        <v>17848</v>
      </c>
      <c r="E1928">
        <v>124</v>
      </c>
      <c r="F1928">
        <v>198</v>
      </c>
      <c r="G1928">
        <v>255</v>
      </c>
      <c r="H1928">
        <v>11</v>
      </c>
      <c r="S1928" t="s">
        <v>10942</v>
      </c>
    </row>
    <row r="1929" spans="2:19" x14ac:dyDescent="0.25">
      <c r="B1929">
        <v>111220780</v>
      </c>
      <c r="C1929" t="s">
        <v>17849</v>
      </c>
      <c r="E1929">
        <v>124</v>
      </c>
      <c r="F1929">
        <v>198</v>
      </c>
      <c r="G1929">
        <v>255</v>
      </c>
      <c r="H1929">
        <v>10</v>
      </c>
      <c r="R1929" t="s">
        <v>8867</v>
      </c>
    </row>
    <row r="1930" spans="2:19" x14ac:dyDescent="0.25">
      <c r="B1930">
        <v>111220782</v>
      </c>
      <c r="C1930" t="s">
        <v>17850</v>
      </c>
      <c r="E1930">
        <v>124</v>
      </c>
      <c r="F1930">
        <v>198</v>
      </c>
      <c r="G1930">
        <v>255</v>
      </c>
      <c r="H1930">
        <v>10</v>
      </c>
      <c r="R1930" t="s">
        <v>8869</v>
      </c>
    </row>
    <row r="1931" spans="2:19" x14ac:dyDescent="0.25">
      <c r="B1931">
        <v>17297</v>
      </c>
      <c r="C1931" t="s">
        <v>17851</v>
      </c>
      <c r="E1931">
        <v>124</v>
      </c>
      <c r="F1931">
        <v>198</v>
      </c>
      <c r="G1931">
        <v>255</v>
      </c>
      <c r="H1931">
        <v>11</v>
      </c>
      <c r="S1931" t="s">
        <v>10944</v>
      </c>
    </row>
    <row r="1932" spans="2:19" x14ac:dyDescent="0.25">
      <c r="B1932">
        <v>17298</v>
      </c>
      <c r="C1932" t="s">
        <v>17852</v>
      </c>
      <c r="E1932">
        <v>93</v>
      </c>
      <c r="F1932">
        <v>184</v>
      </c>
      <c r="G1932">
        <v>255</v>
      </c>
      <c r="H1932">
        <v>7</v>
      </c>
      <c r="P1932" t="s">
        <v>10946</v>
      </c>
    </row>
    <row r="1933" spans="2:19" x14ac:dyDescent="0.25">
      <c r="B1933">
        <v>17299</v>
      </c>
      <c r="C1933" t="s">
        <v>17853</v>
      </c>
      <c r="E1933">
        <v>93</v>
      </c>
      <c r="F1933">
        <v>184</v>
      </c>
      <c r="G1933">
        <v>255</v>
      </c>
      <c r="H1933">
        <v>9</v>
      </c>
      <c r="Q1933" t="s">
        <v>10948</v>
      </c>
    </row>
    <row r="1934" spans="2:19" x14ac:dyDescent="0.25">
      <c r="B1934">
        <v>17300</v>
      </c>
      <c r="C1934" t="s">
        <v>17854</v>
      </c>
      <c r="E1934">
        <v>124</v>
      </c>
      <c r="F1934">
        <v>198</v>
      </c>
      <c r="G1934">
        <v>255</v>
      </c>
      <c r="H1934">
        <v>9</v>
      </c>
      <c r="Q1934" t="s">
        <v>10950</v>
      </c>
    </row>
    <row r="1935" spans="2:19" x14ac:dyDescent="0.25">
      <c r="B1935">
        <v>111220784</v>
      </c>
      <c r="C1935" t="s">
        <v>17855</v>
      </c>
      <c r="E1935">
        <v>124</v>
      </c>
      <c r="F1935">
        <v>198</v>
      </c>
      <c r="G1935">
        <v>255</v>
      </c>
      <c r="H1935">
        <v>10</v>
      </c>
      <c r="R1935" t="s">
        <v>8871</v>
      </c>
    </row>
    <row r="1936" spans="2:19" x14ac:dyDescent="0.25">
      <c r="B1936">
        <v>17303</v>
      </c>
      <c r="C1936" t="s">
        <v>17856</v>
      </c>
      <c r="E1936">
        <v>124</v>
      </c>
      <c r="F1936">
        <v>198</v>
      </c>
      <c r="G1936">
        <v>255</v>
      </c>
      <c r="H1936">
        <v>11</v>
      </c>
      <c r="S1936" t="s">
        <v>10956</v>
      </c>
    </row>
    <row r="1937" spans="2:19" x14ac:dyDescent="0.25">
      <c r="B1937">
        <v>111220786</v>
      </c>
      <c r="C1937" t="s">
        <v>17857</v>
      </c>
      <c r="E1937">
        <v>124</v>
      </c>
      <c r="F1937">
        <v>198</v>
      </c>
      <c r="G1937">
        <v>255</v>
      </c>
      <c r="H1937">
        <v>10</v>
      </c>
      <c r="R1937" t="s">
        <v>8873</v>
      </c>
    </row>
    <row r="1938" spans="2:19" x14ac:dyDescent="0.25">
      <c r="B1938">
        <v>17302</v>
      </c>
      <c r="C1938" t="s">
        <v>17858</v>
      </c>
      <c r="E1938">
        <v>124</v>
      </c>
      <c r="F1938">
        <v>198</v>
      </c>
      <c r="G1938">
        <v>255</v>
      </c>
      <c r="H1938">
        <v>11</v>
      </c>
      <c r="S1938" t="s">
        <v>10954</v>
      </c>
    </row>
    <row r="1939" spans="2:19" x14ac:dyDescent="0.25">
      <c r="B1939">
        <v>111220788</v>
      </c>
      <c r="C1939" t="s">
        <v>17859</v>
      </c>
      <c r="E1939">
        <v>124</v>
      </c>
      <c r="F1939">
        <v>198</v>
      </c>
      <c r="G1939">
        <v>255</v>
      </c>
      <c r="H1939">
        <v>10</v>
      </c>
      <c r="R1939" t="s">
        <v>8875</v>
      </c>
    </row>
    <row r="1940" spans="2:19" x14ac:dyDescent="0.25">
      <c r="B1940">
        <v>17301</v>
      </c>
      <c r="C1940" t="s">
        <v>17860</v>
      </c>
      <c r="E1940">
        <v>124</v>
      </c>
      <c r="F1940">
        <v>198</v>
      </c>
      <c r="G1940">
        <v>255</v>
      </c>
      <c r="H1940">
        <v>11</v>
      </c>
      <c r="S1940" t="s">
        <v>10952</v>
      </c>
    </row>
    <row r="1941" spans="2:19" x14ac:dyDescent="0.25">
      <c r="B1941">
        <v>17304</v>
      </c>
      <c r="C1941" t="s">
        <v>17861</v>
      </c>
      <c r="E1941">
        <v>93</v>
      </c>
      <c r="F1941">
        <v>184</v>
      </c>
      <c r="G1941">
        <v>255</v>
      </c>
      <c r="H1941">
        <v>7</v>
      </c>
      <c r="P1941" t="s">
        <v>10958</v>
      </c>
    </row>
    <row r="1942" spans="2:19" x14ac:dyDescent="0.25">
      <c r="B1942">
        <v>17305</v>
      </c>
      <c r="C1942" t="s">
        <v>17862</v>
      </c>
      <c r="E1942">
        <v>93</v>
      </c>
      <c r="F1942">
        <v>184</v>
      </c>
      <c r="G1942">
        <v>255</v>
      </c>
      <c r="H1942">
        <v>9</v>
      </c>
      <c r="Q1942" t="s">
        <v>10960</v>
      </c>
    </row>
    <row r="1943" spans="2:19" x14ac:dyDescent="0.25">
      <c r="B1943">
        <v>17306</v>
      </c>
      <c r="C1943" t="s">
        <v>17863</v>
      </c>
      <c r="E1943">
        <v>124</v>
      </c>
      <c r="F1943">
        <v>198</v>
      </c>
      <c r="G1943">
        <v>255</v>
      </c>
      <c r="H1943">
        <v>9</v>
      </c>
      <c r="Q1943" t="s">
        <v>10962</v>
      </c>
    </row>
    <row r="1944" spans="2:19" x14ac:dyDescent="0.25">
      <c r="B1944">
        <v>111220790</v>
      </c>
      <c r="C1944" t="s">
        <v>17864</v>
      </c>
      <c r="E1944">
        <v>124</v>
      </c>
      <c r="F1944">
        <v>198</v>
      </c>
      <c r="G1944">
        <v>255</v>
      </c>
      <c r="H1944">
        <v>10</v>
      </c>
      <c r="R1944" t="s">
        <v>8877</v>
      </c>
    </row>
    <row r="1945" spans="2:19" x14ac:dyDescent="0.25">
      <c r="B1945">
        <v>17309</v>
      </c>
      <c r="C1945" t="s">
        <v>17865</v>
      </c>
      <c r="E1945">
        <v>124</v>
      </c>
      <c r="F1945">
        <v>198</v>
      </c>
      <c r="G1945">
        <v>255</v>
      </c>
      <c r="H1945">
        <v>11</v>
      </c>
      <c r="S1945" t="s">
        <v>10968</v>
      </c>
    </row>
    <row r="1946" spans="2:19" x14ac:dyDescent="0.25">
      <c r="B1946">
        <v>111220792</v>
      </c>
      <c r="C1946" t="s">
        <v>17866</v>
      </c>
      <c r="E1946">
        <v>124</v>
      </c>
      <c r="F1946">
        <v>198</v>
      </c>
      <c r="G1946">
        <v>255</v>
      </c>
      <c r="H1946">
        <v>10</v>
      </c>
      <c r="R1946" t="s">
        <v>8879</v>
      </c>
    </row>
    <row r="1947" spans="2:19" x14ac:dyDescent="0.25">
      <c r="B1947">
        <v>17308</v>
      </c>
      <c r="C1947" t="s">
        <v>17867</v>
      </c>
      <c r="E1947">
        <v>124</v>
      </c>
      <c r="F1947">
        <v>198</v>
      </c>
      <c r="G1947">
        <v>255</v>
      </c>
      <c r="H1947">
        <v>11</v>
      </c>
      <c r="S1947" t="s">
        <v>10966</v>
      </c>
    </row>
    <row r="1948" spans="2:19" x14ac:dyDescent="0.25">
      <c r="B1948">
        <v>17310</v>
      </c>
      <c r="C1948" t="s">
        <v>17868</v>
      </c>
      <c r="E1948">
        <v>124</v>
      </c>
      <c r="F1948">
        <v>198</v>
      </c>
      <c r="G1948">
        <v>255</v>
      </c>
      <c r="H1948">
        <v>11</v>
      </c>
      <c r="S1948" t="s">
        <v>10970</v>
      </c>
    </row>
    <row r="1949" spans="2:19" x14ac:dyDescent="0.25">
      <c r="B1949">
        <v>111220794</v>
      </c>
      <c r="C1949" t="s">
        <v>17869</v>
      </c>
      <c r="E1949">
        <v>124</v>
      </c>
      <c r="F1949">
        <v>198</v>
      </c>
      <c r="G1949">
        <v>255</v>
      </c>
      <c r="H1949">
        <v>10</v>
      </c>
      <c r="R1949" t="s">
        <v>8881</v>
      </c>
    </row>
    <row r="1950" spans="2:19" x14ac:dyDescent="0.25">
      <c r="B1950">
        <v>17307</v>
      </c>
      <c r="C1950" t="s">
        <v>17870</v>
      </c>
      <c r="E1950">
        <v>124</v>
      </c>
      <c r="F1950">
        <v>198</v>
      </c>
      <c r="G1950">
        <v>255</v>
      </c>
      <c r="H1950">
        <v>11</v>
      </c>
      <c r="S1950" t="s">
        <v>10964</v>
      </c>
    </row>
    <row r="1951" spans="2:19" x14ac:dyDescent="0.25">
      <c r="B1951">
        <v>17311</v>
      </c>
      <c r="C1951" t="s">
        <v>17871</v>
      </c>
      <c r="E1951">
        <v>93</v>
      </c>
      <c r="F1951">
        <v>184</v>
      </c>
      <c r="G1951">
        <v>255</v>
      </c>
      <c r="H1951">
        <v>7</v>
      </c>
      <c r="P1951" t="s">
        <v>10972</v>
      </c>
    </row>
    <row r="1952" spans="2:19" x14ac:dyDescent="0.25">
      <c r="B1952">
        <v>17312</v>
      </c>
      <c r="C1952" t="s">
        <v>17872</v>
      </c>
      <c r="E1952">
        <v>93</v>
      </c>
      <c r="F1952">
        <v>184</v>
      </c>
      <c r="G1952">
        <v>255</v>
      </c>
      <c r="H1952">
        <v>9</v>
      </c>
      <c r="Q1952" t="s">
        <v>10974</v>
      </c>
    </row>
    <row r="1953" spans="2:19" x14ac:dyDescent="0.25">
      <c r="B1953">
        <v>17313</v>
      </c>
      <c r="C1953" t="s">
        <v>17873</v>
      </c>
      <c r="E1953">
        <v>124</v>
      </c>
      <c r="F1953">
        <v>198</v>
      </c>
      <c r="G1953">
        <v>255</v>
      </c>
      <c r="H1953">
        <v>9</v>
      </c>
      <c r="Q1953" t="s">
        <v>10976</v>
      </c>
    </row>
    <row r="1954" spans="2:19" x14ac:dyDescent="0.25">
      <c r="B1954">
        <v>111220796</v>
      </c>
      <c r="C1954" t="s">
        <v>17874</v>
      </c>
      <c r="E1954">
        <v>124</v>
      </c>
      <c r="F1954">
        <v>198</v>
      </c>
      <c r="G1954">
        <v>255</v>
      </c>
      <c r="H1954">
        <v>10</v>
      </c>
      <c r="R1954" t="s">
        <v>8883</v>
      </c>
    </row>
    <row r="1955" spans="2:19" x14ac:dyDescent="0.25">
      <c r="B1955">
        <v>17314</v>
      </c>
      <c r="C1955" t="s">
        <v>17875</v>
      </c>
      <c r="E1955">
        <v>124</v>
      </c>
      <c r="F1955">
        <v>198</v>
      </c>
      <c r="G1955">
        <v>255</v>
      </c>
      <c r="H1955">
        <v>11</v>
      </c>
      <c r="S1955" t="s">
        <v>10978</v>
      </c>
    </row>
    <row r="1956" spans="2:19" x14ac:dyDescent="0.25">
      <c r="B1956">
        <v>111220798</v>
      </c>
      <c r="C1956" t="s">
        <v>17876</v>
      </c>
      <c r="E1956">
        <v>124</v>
      </c>
      <c r="F1956">
        <v>198</v>
      </c>
      <c r="G1956">
        <v>255</v>
      </c>
      <c r="H1956">
        <v>10</v>
      </c>
      <c r="R1956" t="s">
        <v>8885</v>
      </c>
    </row>
    <row r="1957" spans="2:19" x14ac:dyDescent="0.25">
      <c r="B1957">
        <v>17315</v>
      </c>
      <c r="C1957" t="s">
        <v>17877</v>
      </c>
      <c r="E1957">
        <v>124</v>
      </c>
      <c r="F1957">
        <v>198</v>
      </c>
      <c r="G1957">
        <v>255</v>
      </c>
      <c r="H1957">
        <v>11</v>
      </c>
      <c r="S1957" t="s">
        <v>10980</v>
      </c>
    </row>
    <row r="1958" spans="2:19" x14ac:dyDescent="0.25">
      <c r="B1958">
        <v>17316</v>
      </c>
      <c r="C1958" t="s">
        <v>17878</v>
      </c>
      <c r="E1958">
        <v>124</v>
      </c>
      <c r="F1958">
        <v>198</v>
      </c>
      <c r="G1958">
        <v>255</v>
      </c>
      <c r="H1958">
        <v>11</v>
      </c>
      <c r="S1958" t="s">
        <v>10982</v>
      </c>
    </row>
    <row r="1959" spans="2:19" x14ac:dyDescent="0.25">
      <c r="B1959">
        <v>111220800</v>
      </c>
      <c r="C1959" t="s">
        <v>17879</v>
      </c>
      <c r="E1959">
        <v>124</v>
      </c>
      <c r="F1959">
        <v>198</v>
      </c>
      <c r="G1959">
        <v>255</v>
      </c>
      <c r="H1959">
        <v>10</v>
      </c>
      <c r="R1959" t="s">
        <v>8887</v>
      </c>
    </row>
    <row r="1960" spans="2:19" x14ac:dyDescent="0.25">
      <c r="B1960">
        <v>17317</v>
      </c>
      <c r="C1960" t="s">
        <v>17880</v>
      </c>
      <c r="E1960">
        <v>124</v>
      </c>
      <c r="F1960">
        <v>198</v>
      </c>
      <c r="G1960">
        <v>255</v>
      </c>
      <c r="H1960">
        <v>11</v>
      </c>
      <c r="S1960" t="s">
        <v>1809</v>
      </c>
    </row>
    <row r="1961" spans="2:19" x14ac:dyDescent="0.25">
      <c r="B1961">
        <v>17318</v>
      </c>
      <c r="C1961" t="s">
        <v>17881</v>
      </c>
      <c r="E1961">
        <v>74</v>
      </c>
      <c r="F1961">
        <v>147</v>
      </c>
      <c r="G1961">
        <v>204</v>
      </c>
      <c r="H1961">
        <v>5</v>
      </c>
      <c r="O1961" t="s">
        <v>10984</v>
      </c>
    </row>
    <row r="1962" spans="2:19" x14ac:dyDescent="0.25">
      <c r="B1962">
        <v>111220802</v>
      </c>
      <c r="C1962" t="s">
        <v>17882</v>
      </c>
      <c r="E1962">
        <v>74</v>
      </c>
      <c r="F1962">
        <v>147</v>
      </c>
      <c r="G1962">
        <v>204</v>
      </c>
      <c r="H1962">
        <v>9</v>
      </c>
      <c r="P1962" t="s">
        <v>8889</v>
      </c>
    </row>
    <row r="1963" spans="2:19" x14ac:dyDescent="0.25">
      <c r="B1963">
        <v>111220804</v>
      </c>
      <c r="C1963" t="s">
        <v>17883</v>
      </c>
      <c r="E1963">
        <v>84</v>
      </c>
      <c r="F1963">
        <v>166</v>
      </c>
      <c r="G1963">
        <v>230</v>
      </c>
      <c r="H1963">
        <v>9</v>
      </c>
      <c r="P1963" t="s">
        <v>8891</v>
      </c>
    </row>
    <row r="1964" spans="2:19" x14ac:dyDescent="0.25">
      <c r="B1964">
        <v>17319</v>
      </c>
      <c r="C1964" t="s">
        <v>17884</v>
      </c>
      <c r="E1964">
        <v>74</v>
      </c>
      <c r="F1964">
        <v>147</v>
      </c>
      <c r="G1964">
        <v>204</v>
      </c>
      <c r="H1964">
        <v>7</v>
      </c>
      <c r="P1964" t="s">
        <v>10986</v>
      </c>
    </row>
    <row r="1965" spans="2:19" x14ac:dyDescent="0.25">
      <c r="B1965">
        <v>17320</v>
      </c>
      <c r="C1965" t="s">
        <v>17885</v>
      </c>
      <c r="E1965">
        <v>74</v>
      </c>
      <c r="F1965">
        <v>147</v>
      </c>
      <c r="G1965">
        <v>204</v>
      </c>
      <c r="H1965">
        <v>9</v>
      </c>
      <c r="Q1965" t="s">
        <v>10988</v>
      </c>
    </row>
    <row r="1966" spans="2:19" x14ac:dyDescent="0.25">
      <c r="B1966">
        <v>17321</v>
      </c>
      <c r="C1966" t="s">
        <v>17886</v>
      </c>
      <c r="E1966">
        <v>84</v>
      </c>
      <c r="F1966">
        <v>166</v>
      </c>
      <c r="G1966">
        <v>230</v>
      </c>
      <c r="H1966">
        <v>9</v>
      </c>
      <c r="Q1966" t="s">
        <v>10990</v>
      </c>
    </row>
    <row r="1967" spans="2:19" x14ac:dyDescent="0.25">
      <c r="B1967">
        <v>17322</v>
      </c>
      <c r="C1967" t="s">
        <v>17887</v>
      </c>
      <c r="E1967">
        <v>84</v>
      </c>
      <c r="F1967">
        <v>166</v>
      </c>
      <c r="G1967">
        <v>230</v>
      </c>
      <c r="H1967">
        <v>10</v>
      </c>
      <c r="R1967" t="s">
        <v>10992</v>
      </c>
    </row>
    <row r="1968" spans="2:19" x14ac:dyDescent="0.25">
      <c r="B1968">
        <v>17323</v>
      </c>
      <c r="C1968" t="s">
        <v>17888</v>
      </c>
      <c r="E1968">
        <v>84</v>
      </c>
      <c r="F1968">
        <v>166</v>
      </c>
      <c r="G1968">
        <v>230</v>
      </c>
      <c r="H1968">
        <v>11</v>
      </c>
      <c r="S1968" t="s">
        <v>10994</v>
      </c>
    </row>
    <row r="1969" spans="2:19" x14ac:dyDescent="0.25">
      <c r="B1969">
        <v>17324</v>
      </c>
      <c r="C1969" t="s">
        <v>17889</v>
      </c>
      <c r="E1969">
        <v>84</v>
      </c>
      <c r="F1969">
        <v>166</v>
      </c>
      <c r="G1969">
        <v>230</v>
      </c>
      <c r="H1969">
        <v>10</v>
      </c>
      <c r="R1969" t="s">
        <v>10996</v>
      </c>
    </row>
    <row r="1970" spans="2:19" x14ac:dyDescent="0.25">
      <c r="B1970">
        <v>17325</v>
      </c>
      <c r="C1970" t="s">
        <v>17890</v>
      </c>
      <c r="E1970">
        <v>84</v>
      </c>
      <c r="F1970">
        <v>166</v>
      </c>
      <c r="G1970">
        <v>230</v>
      </c>
      <c r="H1970">
        <v>11</v>
      </c>
      <c r="S1970" t="s">
        <v>10998</v>
      </c>
    </row>
    <row r="1971" spans="2:19" x14ac:dyDescent="0.25">
      <c r="B1971">
        <v>17326</v>
      </c>
      <c r="C1971" t="s">
        <v>17891</v>
      </c>
      <c r="E1971">
        <v>84</v>
      </c>
      <c r="F1971">
        <v>166</v>
      </c>
      <c r="G1971">
        <v>230</v>
      </c>
      <c r="H1971">
        <v>10</v>
      </c>
      <c r="R1971" t="s">
        <v>11000</v>
      </c>
    </row>
    <row r="1972" spans="2:19" x14ac:dyDescent="0.25">
      <c r="B1972">
        <v>17327</v>
      </c>
      <c r="C1972" t="s">
        <v>17892</v>
      </c>
      <c r="E1972">
        <v>84</v>
      </c>
      <c r="F1972">
        <v>166</v>
      </c>
      <c r="G1972">
        <v>230</v>
      </c>
      <c r="H1972">
        <v>11</v>
      </c>
      <c r="S1972" t="s">
        <v>4743</v>
      </c>
    </row>
    <row r="1973" spans="2:19" x14ac:dyDescent="0.25">
      <c r="B1973">
        <v>17328</v>
      </c>
      <c r="C1973" t="s">
        <v>17893</v>
      </c>
      <c r="E1973">
        <v>74</v>
      </c>
      <c r="F1973">
        <v>147</v>
      </c>
      <c r="G1973">
        <v>204</v>
      </c>
      <c r="H1973">
        <v>7</v>
      </c>
      <c r="P1973" t="s">
        <v>11002</v>
      </c>
    </row>
    <row r="1974" spans="2:19" x14ac:dyDescent="0.25">
      <c r="B1974">
        <v>17329</v>
      </c>
      <c r="C1974" t="s">
        <v>17894</v>
      </c>
      <c r="E1974">
        <v>74</v>
      </c>
      <c r="F1974">
        <v>147</v>
      </c>
      <c r="G1974">
        <v>204</v>
      </c>
      <c r="H1974">
        <v>9</v>
      </c>
      <c r="Q1974" t="s">
        <v>11004</v>
      </c>
    </row>
    <row r="1975" spans="2:19" x14ac:dyDescent="0.25">
      <c r="B1975">
        <v>17330</v>
      </c>
      <c r="C1975" t="s">
        <v>17895</v>
      </c>
      <c r="E1975">
        <v>84</v>
      </c>
      <c r="F1975">
        <v>166</v>
      </c>
      <c r="G1975">
        <v>230</v>
      </c>
      <c r="H1975">
        <v>9</v>
      </c>
      <c r="Q1975" t="s">
        <v>11006</v>
      </c>
    </row>
    <row r="1976" spans="2:19" x14ac:dyDescent="0.25">
      <c r="B1976">
        <v>17331</v>
      </c>
      <c r="C1976" t="s">
        <v>17896</v>
      </c>
      <c r="E1976">
        <v>84</v>
      </c>
      <c r="F1976">
        <v>166</v>
      </c>
      <c r="G1976">
        <v>230</v>
      </c>
      <c r="H1976">
        <v>10</v>
      </c>
      <c r="R1976" t="s">
        <v>11008</v>
      </c>
    </row>
    <row r="1977" spans="2:19" x14ac:dyDescent="0.25">
      <c r="B1977">
        <v>17332</v>
      </c>
      <c r="C1977" t="s">
        <v>17897</v>
      </c>
      <c r="E1977">
        <v>84</v>
      </c>
      <c r="F1977">
        <v>166</v>
      </c>
      <c r="G1977">
        <v>230</v>
      </c>
      <c r="H1977">
        <v>11</v>
      </c>
      <c r="S1977" t="s">
        <v>11010</v>
      </c>
    </row>
    <row r="1978" spans="2:19" x14ac:dyDescent="0.25">
      <c r="B1978">
        <v>17333</v>
      </c>
      <c r="C1978" t="s">
        <v>17898</v>
      </c>
      <c r="E1978">
        <v>84</v>
      </c>
      <c r="F1978">
        <v>166</v>
      </c>
      <c r="G1978">
        <v>230</v>
      </c>
      <c r="H1978">
        <v>10</v>
      </c>
      <c r="R1978" t="s">
        <v>11012</v>
      </c>
    </row>
    <row r="1979" spans="2:19" x14ac:dyDescent="0.25">
      <c r="B1979">
        <v>17334</v>
      </c>
      <c r="C1979" t="s">
        <v>17899</v>
      </c>
      <c r="E1979">
        <v>84</v>
      </c>
      <c r="F1979">
        <v>166</v>
      </c>
      <c r="G1979">
        <v>230</v>
      </c>
      <c r="H1979">
        <v>11</v>
      </c>
      <c r="S1979" t="s">
        <v>11014</v>
      </c>
    </row>
    <row r="1980" spans="2:19" x14ac:dyDescent="0.25">
      <c r="B1980">
        <v>17335</v>
      </c>
      <c r="C1980" t="s">
        <v>17900</v>
      </c>
      <c r="E1980">
        <v>84</v>
      </c>
      <c r="F1980">
        <v>166</v>
      </c>
      <c r="G1980">
        <v>230</v>
      </c>
      <c r="H1980">
        <v>10</v>
      </c>
      <c r="R1980" t="s">
        <v>11016</v>
      </c>
    </row>
    <row r="1981" spans="2:19" x14ac:dyDescent="0.25">
      <c r="B1981">
        <v>17336</v>
      </c>
      <c r="C1981" t="s">
        <v>17901</v>
      </c>
      <c r="E1981">
        <v>84</v>
      </c>
      <c r="F1981">
        <v>166</v>
      </c>
      <c r="G1981">
        <v>230</v>
      </c>
      <c r="H1981">
        <v>11</v>
      </c>
      <c r="S1981" t="s">
        <v>11018</v>
      </c>
    </row>
    <row r="1982" spans="2:19" x14ac:dyDescent="0.25">
      <c r="B1982">
        <v>17337</v>
      </c>
      <c r="C1982" t="s">
        <v>17902</v>
      </c>
      <c r="E1982">
        <v>84</v>
      </c>
      <c r="F1982">
        <v>166</v>
      </c>
      <c r="G1982">
        <v>230</v>
      </c>
      <c r="H1982">
        <v>11</v>
      </c>
      <c r="S1982" t="s">
        <v>11020</v>
      </c>
    </row>
    <row r="1983" spans="2:19" x14ac:dyDescent="0.25">
      <c r="B1983">
        <v>17338</v>
      </c>
      <c r="C1983" t="s">
        <v>17903</v>
      </c>
      <c r="E1983">
        <v>74</v>
      </c>
      <c r="F1983">
        <v>147</v>
      </c>
      <c r="G1983">
        <v>204</v>
      </c>
      <c r="H1983">
        <v>7</v>
      </c>
      <c r="P1983" t="s">
        <v>11022</v>
      </c>
    </row>
    <row r="1984" spans="2:19" x14ac:dyDescent="0.25">
      <c r="B1984">
        <v>17339</v>
      </c>
      <c r="C1984" t="s">
        <v>17904</v>
      </c>
      <c r="E1984">
        <v>74</v>
      </c>
      <c r="F1984">
        <v>147</v>
      </c>
      <c r="G1984">
        <v>204</v>
      </c>
      <c r="H1984">
        <v>9</v>
      </c>
      <c r="Q1984" t="s">
        <v>11024</v>
      </c>
    </row>
    <row r="1985" spans="2:19" x14ac:dyDescent="0.25">
      <c r="B1985">
        <v>17340</v>
      </c>
      <c r="C1985" t="s">
        <v>17905</v>
      </c>
      <c r="E1985">
        <v>84</v>
      </c>
      <c r="F1985">
        <v>166</v>
      </c>
      <c r="G1985">
        <v>230</v>
      </c>
      <c r="H1985">
        <v>9</v>
      </c>
      <c r="Q1985" t="s">
        <v>11026</v>
      </c>
    </row>
    <row r="1986" spans="2:19" x14ac:dyDescent="0.25">
      <c r="B1986">
        <v>17341</v>
      </c>
      <c r="C1986" t="s">
        <v>17906</v>
      </c>
      <c r="E1986">
        <v>84</v>
      </c>
      <c r="F1986">
        <v>166</v>
      </c>
      <c r="G1986">
        <v>230</v>
      </c>
      <c r="H1986">
        <v>10</v>
      </c>
      <c r="R1986" t="s">
        <v>11028</v>
      </c>
    </row>
    <row r="1987" spans="2:19" x14ac:dyDescent="0.25">
      <c r="B1987">
        <v>17342</v>
      </c>
      <c r="C1987" t="s">
        <v>17907</v>
      </c>
      <c r="E1987">
        <v>84</v>
      </c>
      <c r="F1987">
        <v>166</v>
      </c>
      <c r="G1987">
        <v>230</v>
      </c>
      <c r="H1987">
        <v>11</v>
      </c>
      <c r="S1987" t="s">
        <v>11030</v>
      </c>
    </row>
    <row r="1988" spans="2:19" x14ac:dyDescent="0.25">
      <c r="B1988">
        <v>17343</v>
      </c>
      <c r="C1988" t="s">
        <v>17908</v>
      </c>
      <c r="E1988">
        <v>84</v>
      </c>
      <c r="F1988">
        <v>166</v>
      </c>
      <c r="G1988">
        <v>230</v>
      </c>
      <c r="H1988">
        <v>10</v>
      </c>
      <c r="R1988" t="s">
        <v>11032</v>
      </c>
    </row>
    <row r="1989" spans="2:19" x14ac:dyDescent="0.25">
      <c r="B1989">
        <v>17344</v>
      </c>
      <c r="C1989" t="s">
        <v>17909</v>
      </c>
      <c r="E1989">
        <v>84</v>
      </c>
      <c r="F1989">
        <v>166</v>
      </c>
      <c r="G1989">
        <v>230</v>
      </c>
      <c r="H1989">
        <v>11</v>
      </c>
      <c r="S1989" t="s">
        <v>11034</v>
      </c>
    </row>
    <row r="1990" spans="2:19" x14ac:dyDescent="0.25">
      <c r="B1990">
        <v>17345</v>
      </c>
      <c r="C1990" t="s">
        <v>17910</v>
      </c>
      <c r="E1990">
        <v>84</v>
      </c>
      <c r="F1990">
        <v>166</v>
      </c>
      <c r="G1990">
        <v>230</v>
      </c>
      <c r="H1990">
        <v>11</v>
      </c>
      <c r="S1990" t="s">
        <v>11036</v>
      </c>
    </row>
    <row r="1991" spans="2:19" x14ac:dyDescent="0.25">
      <c r="B1991">
        <v>17346</v>
      </c>
      <c r="C1991" t="s">
        <v>17911</v>
      </c>
      <c r="E1991">
        <v>84</v>
      </c>
      <c r="F1991">
        <v>166</v>
      </c>
      <c r="G1991">
        <v>230</v>
      </c>
      <c r="H1991">
        <v>11</v>
      </c>
      <c r="S1991" t="s">
        <v>11038</v>
      </c>
    </row>
    <row r="1992" spans="2:19" x14ac:dyDescent="0.25">
      <c r="B1992">
        <v>17347</v>
      </c>
      <c r="C1992" t="s">
        <v>17912</v>
      </c>
      <c r="E1992">
        <v>84</v>
      </c>
      <c r="F1992">
        <v>166</v>
      </c>
      <c r="G1992">
        <v>230</v>
      </c>
      <c r="H1992">
        <v>11</v>
      </c>
      <c r="S1992" t="s">
        <v>11040</v>
      </c>
    </row>
    <row r="1993" spans="2:19" x14ac:dyDescent="0.25">
      <c r="B1993">
        <v>17348</v>
      </c>
      <c r="C1993" t="s">
        <v>17913</v>
      </c>
      <c r="E1993">
        <v>84</v>
      </c>
      <c r="F1993">
        <v>166</v>
      </c>
      <c r="G1993">
        <v>230</v>
      </c>
      <c r="H1993">
        <v>10</v>
      </c>
      <c r="R1993" t="s">
        <v>11042</v>
      </c>
    </row>
    <row r="1994" spans="2:19" x14ac:dyDescent="0.25">
      <c r="B1994">
        <v>17349</v>
      </c>
      <c r="C1994" t="s">
        <v>17914</v>
      </c>
      <c r="E1994">
        <v>84</v>
      </c>
      <c r="F1994">
        <v>166</v>
      </c>
      <c r="G1994">
        <v>230</v>
      </c>
      <c r="H1994">
        <v>11</v>
      </c>
      <c r="S1994" t="s">
        <v>11044</v>
      </c>
    </row>
    <row r="1995" spans="2:19" x14ac:dyDescent="0.25">
      <c r="B1995">
        <v>17350</v>
      </c>
      <c r="C1995" t="s">
        <v>17915</v>
      </c>
      <c r="E1995">
        <v>84</v>
      </c>
      <c r="F1995">
        <v>166</v>
      </c>
      <c r="G1995">
        <v>230</v>
      </c>
      <c r="H1995">
        <v>11</v>
      </c>
      <c r="S1995" t="s">
        <v>11046</v>
      </c>
    </row>
    <row r="1996" spans="2:19" x14ac:dyDescent="0.25">
      <c r="B1996">
        <v>17351</v>
      </c>
      <c r="C1996" t="s">
        <v>17916</v>
      </c>
      <c r="E1996">
        <v>65</v>
      </c>
      <c r="F1996">
        <v>129</v>
      </c>
      <c r="G1996">
        <v>179</v>
      </c>
      <c r="H1996">
        <v>5</v>
      </c>
      <c r="O1996" t="s">
        <v>4827</v>
      </c>
    </row>
    <row r="1997" spans="2:19" x14ac:dyDescent="0.25">
      <c r="B1997">
        <v>112892373</v>
      </c>
      <c r="C1997" t="s">
        <v>17917</v>
      </c>
      <c r="E1997">
        <v>62</v>
      </c>
      <c r="F1997">
        <v>124</v>
      </c>
      <c r="G1997">
        <v>171</v>
      </c>
      <c r="H1997">
        <v>9</v>
      </c>
      <c r="P1997" t="s">
        <v>1970</v>
      </c>
    </row>
    <row r="1998" spans="2:19" x14ac:dyDescent="0.25">
      <c r="B1998">
        <v>112892375</v>
      </c>
      <c r="C1998" t="s">
        <v>17918</v>
      </c>
      <c r="E1998">
        <v>74</v>
      </c>
      <c r="F1998">
        <v>147</v>
      </c>
      <c r="G1998">
        <v>204</v>
      </c>
      <c r="H1998">
        <v>9</v>
      </c>
      <c r="P1998" t="s">
        <v>1972</v>
      </c>
    </row>
    <row r="1999" spans="2:19" x14ac:dyDescent="0.25">
      <c r="B1999">
        <v>112892377</v>
      </c>
      <c r="C1999" t="s">
        <v>17919</v>
      </c>
      <c r="E1999">
        <v>74</v>
      </c>
      <c r="F1999">
        <v>147</v>
      </c>
      <c r="G1999">
        <v>204</v>
      </c>
      <c r="H1999">
        <v>10</v>
      </c>
      <c r="Q1999" t="s">
        <v>1974</v>
      </c>
    </row>
    <row r="2000" spans="2:19" x14ac:dyDescent="0.25">
      <c r="B2000">
        <v>112892379</v>
      </c>
      <c r="C2000" t="s">
        <v>17920</v>
      </c>
      <c r="E2000">
        <v>74</v>
      </c>
      <c r="F2000">
        <v>147</v>
      </c>
      <c r="G2000">
        <v>204</v>
      </c>
      <c r="H2000">
        <v>10</v>
      </c>
      <c r="Q2000" t="s">
        <v>1976</v>
      </c>
    </row>
    <row r="2001" spans="2:19" x14ac:dyDescent="0.25">
      <c r="B2001">
        <v>112892381</v>
      </c>
      <c r="C2001" t="s">
        <v>17921</v>
      </c>
      <c r="E2001">
        <v>74</v>
      </c>
      <c r="F2001">
        <v>147</v>
      </c>
      <c r="G2001">
        <v>204</v>
      </c>
      <c r="H2001">
        <v>10</v>
      </c>
      <c r="Q2001" t="s">
        <v>1978</v>
      </c>
    </row>
    <row r="2002" spans="2:19" x14ac:dyDescent="0.25">
      <c r="B2002">
        <v>17352</v>
      </c>
      <c r="C2002" t="s">
        <v>17922</v>
      </c>
      <c r="E2002">
        <v>18</v>
      </c>
      <c r="F2002">
        <v>217</v>
      </c>
      <c r="G2002">
        <v>185</v>
      </c>
      <c r="H2002">
        <v>2</v>
      </c>
      <c r="M2002" t="s">
        <v>3063</v>
      </c>
    </row>
    <row r="2003" spans="2:19" x14ac:dyDescent="0.25">
      <c r="B2003">
        <v>17353</v>
      </c>
      <c r="C2003" t="s">
        <v>17923</v>
      </c>
      <c r="E2003">
        <v>18</v>
      </c>
      <c r="F2003">
        <v>217</v>
      </c>
      <c r="G2003">
        <v>185</v>
      </c>
      <c r="H2003">
        <v>3</v>
      </c>
      <c r="N2003" t="s">
        <v>4833</v>
      </c>
    </row>
    <row r="2004" spans="2:19" x14ac:dyDescent="0.25">
      <c r="B2004">
        <v>17354</v>
      </c>
      <c r="C2004" t="s">
        <v>17924</v>
      </c>
      <c r="E2004">
        <v>110</v>
      </c>
      <c r="F2004">
        <v>232</v>
      </c>
      <c r="G2004">
        <v>212</v>
      </c>
      <c r="H2004">
        <v>5</v>
      </c>
      <c r="O2004" t="s">
        <v>4840</v>
      </c>
    </row>
    <row r="2005" spans="2:19" x14ac:dyDescent="0.25">
      <c r="B2005">
        <v>17355</v>
      </c>
      <c r="C2005" t="s">
        <v>17925</v>
      </c>
      <c r="E2005">
        <v>18</v>
      </c>
      <c r="F2005">
        <v>217</v>
      </c>
      <c r="G2005">
        <v>185</v>
      </c>
      <c r="H2005">
        <v>5</v>
      </c>
      <c r="O2005" t="s">
        <v>11048</v>
      </c>
    </row>
    <row r="2006" spans="2:19" x14ac:dyDescent="0.25">
      <c r="B2006">
        <v>111220806</v>
      </c>
      <c r="C2006" t="s">
        <v>17926</v>
      </c>
      <c r="E2006">
        <v>18</v>
      </c>
      <c r="F2006">
        <v>217</v>
      </c>
      <c r="G2006">
        <v>185</v>
      </c>
      <c r="H2006">
        <v>9</v>
      </c>
      <c r="P2006" t="s">
        <v>8893</v>
      </c>
    </row>
    <row r="2007" spans="2:19" x14ac:dyDescent="0.25">
      <c r="B2007">
        <v>111220808</v>
      </c>
      <c r="C2007" t="s">
        <v>17927</v>
      </c>
      <c r="E2007">
        <v>86</v>
      </c>
      <c r="F2007">
        <v>228</v>
      </c>
      <c r="G2007">
        <v>205</v>
      </c>
      <c r="H2007">
        <v>9</v>
      </c>
      <c r="P2007" t="s">
        <v>8895</v>
      </c>
    </row>
    <row r="2008" spans="2:19" x14ac:dyDescent="0.25">
      <c r="B2008">
        <v>17356</v>
      </c>
      <c r="C2008" t="s">
        <v>17928</v>
      </c>
      <c r="E2008">
        <v>18</v>
      </c>
      <c r="F2008">
        <v>217</v>
      </c>
      <c r="G2008">
        <v>185</v>
      </c>
      <c r="H2008">
        <v>7</v>
      </c>
      <c r="P2008" t="s">
        <v>11050</v>
      </c>
    </row>
    <row r="2009" spans="2:19" x14ac:dyDescent="0.25">
      <c r="B2009">
        <v>17357</v>
      </c>
      <c r="C2009" t="s">
        <v>17929</v>
      </c>
      <c r="E2009">
        <v>18</v>
      </c>
      <c r="F2009">
        <v>217</v>
      </c>
      <c r="G2009">
        <v>185</v>
      </c>
      <c r="H2009">
        <v>9</v>
      </c>
      <c r="Q2009" t="s">
        <v>11052</v>
      </c>
    </row>
    <row r="2010" spans="2:19" x14ac:dyDescent="0.25">
      <c r="B2010">
        <v>17358</v>
      </c>
      <c r="C2010" t="s">
        <v>17930</v>
      </c>
      <c r="E2010">
        <v>86</v>
      </c>
      <c r="F2010">
        <v>228</v>
      </c>
      <c r="G2010">
        <v>205</v>
      </c>
      <c r="H2010">
        <v>9</v>
      </c>
      <c r="Q2010" t="s">
        <v>11054</v>
      </c>
    </row>
    <row r="2011" spans="2:19" x14ac:dyDescent="0.25">
      <c r="B2011">
        <v>111220810</v>
      </c>
      <c r="C2011" t="s">
        <v>17931</v>
      </c>
      <c r="E2011">
        <v>86</v>
      </c>
      <c r="F2011">
        <v>228</v>
      </c>
      <c r="G2011">
        <v>205</v>
      </c>
      <c r="H2011">
        <v>10</v>
      </c>
      <c r="R2011" t="s">
        <v>8897</v>
      </c>
    </row>
    <row r="2012" spans="2:19" x14ac:dyDescent="0.25">
      <c r="B2012">
        <v>17359</v>
      </c>
      <c r="C2012" t="s">
        <v>17932</v>
      </c>
      <c r="E2012">
        <v>86</v>
      </c>
      <c r="F2012">
        <v>228</v>
      </c>
      <c r="G2012">
        <v>205</v>
      </c>
      <c r="H2012">
        <v>11</v>
      </c>
      <c r="S2012" t="s">
        <v>11056</v>
      </c>
    </row>
    <row r="2013" spans="2:19" x14ac:dyDescent="0.25">
      <c r="B2013">
        <v>111220812</v>
      </c>
      <c r="C2013" t="s">
        <v>17933</v>
      </c>
      <c r="E2013">
        <v>86</v>
      </c>
      <c r="F2013">
        <v>228</v>
      </c>
      <c r="G2013">
        <v>205</v>
      </c>
      <c r="H2013">
        <v>10</v>
      </c>
      <c r="R2013" t="s">
        <v>8899</v>
      </c>
    </row>
    <row r="2014" spans="2:19" x14ac:dyDescent="0.25">
      <c r="B2014">
        <v>111220814</v>
      </c>
      <c r="C2014" t="s">
        <v>17934</v>
      </c>
      <c r="E2014">
        <v>86</v>
      </c>
      <c r="F2014">
        <v>228</v>
      </c>
      <c r="G2014">
        <v>205</v>
      </c>
      <c r="H2014">
        <v>10</v>
      </c>
      <c r="R2014" t="s">
        <v>8901</v>
      </c>
    </row>
    <row r="2015" spans="2:19" x14ac:dyDescent="0.25">
      <c r="B2015">
        <v>17360</v>
      </c>
      <c r="C2015" t="s">
        <v>17935</v>
      </c>
      <c r="E2015">
        <v>86</v>
      </c>
      <c r="F2015">
        <v>228</v>
      </c>
      <c r="G2015">
        <v>205</v>
      </c>
      <c r="H2015">
        <v>11</v>
      </c>
      <c r="S2015" t="s">
        <v>11058</v>
      </c>
    </row>
    <row r="2016" spans="2:19" x14ac:dyDescent="0.25">
      <c r="B2016">
        <v>17361</v>
      </c>
      <c r="C2016" t="s">
        <v>17936</v>
      </c>
      <c r="E2016">
        <v>18</v>
      </c>
      <c r="F2016">
        <v>217</v>
      </c>
      <c r="G2016">
        <v>185</v>
      </c>
      <c r="H2016">
        <v>7</v>
      </c>
      <c r="P2016" t="s">
        <v>11060</v>
      </c>
    </row>
    <row r="2017" spans="2:19" x14ac:dyDescent="0.25">
      <c r="B2017">
        <v>17362</v>
      </c>
      <c r="C2017" t="s">
        <v>17937</v>
      </c>
      <c r="E2017">
        <v>18</v>
      </c>
      <c r="F2017">
        <v>217</v>
      </c>
      <c r="G2017">
        <v>185</v>
      </c>
      <c r="H2017">
        <v>9</v>
      </c>
      <c r="Q2017" t="s">
        <v>11062</v>
      </c>
    </row>
    <row r="2018" spans="2:19" x14ac:dyDescent="0.25">
      <c r="B2018">
        <v>17363</v>
      </c>
      <c r="C2018" t="s">
        <v>17938</v>
      </c>
      <c r="E2018">
        <v>86</v>
      </c>
      <c r="F2018">
        <v>228</v>
      </c>
      <c r="G2018">
        <v>205</v>
      </c>
      <c r="H2018">
        <v>9</v>
      </c>
      <c r="Q2018" t="s">
        <v>11064</v>
      </c>
    </row>
    <row r="2019" spans="2:19" x14ac:dyDescent="0.25">
      <c r="B2019">
        <v>111220816</v>
      </c>
      <c r="C2019" t="s">
        <v>17939</v>
      </c>
      <c r="E2019">
        <v>86</v>
      </c>
      <c r="F2019">
        <v>228</v>
      </c>
      <c r="G2019">
        <v>205</v>
      </c>
      <c r="H2019">
        <v>10</v>
      </c>
      <c r="R2019" t="s">
        <v>8903</v>
      </c>
    </row>
    <row r="2020" spans="2:19" x14ac:dyDescent="0.25">
      <c r="B2020">
        <v>17365</v>
      </c>
      <c r="C2020" t="s">
        <v>17940</v>
      </c>
      <c r="E2020">
        <v>86</v>
      </c>
      <c r="F2020">
        <v>228</v>
      </c>
      <c r="G2020">
        <v>205</v>
      </c>
      <c r="H2020">
        <v>11</v>
      </c>
      <c r="S2020" t="s">
        <v>11068</v>
      </c>
    </row>
    <row r="2021" spans="2:19" x14ac:dyDescent="0.25">
      <c r="B2021">
        <v>111220818</v>
      </c>
      <c r="C2021" t="s">
        <v>17941</v>
      </c>
      <c r="E2021">
        <v>86</v>
      </c>
      <c r="F2021">
        <v>228</v>
      </c>
      <c r="G2021">
        <v>205</v>
      </c>
      <c r="H2021">
        <v>10</v>
      </c>
      <c r="R2021" t="s">
        <v>8905</v>
      </c>
    </row>
    <row r="2022" spans="2:19" x14ac:dyDescent="0.25">
      <c r="B2022">
        <v>111220820</v>
      </c>
      <c r="C2022" t="s">
        <v>17942</v>
      </c>
      <c r="E2022">
        <v>86</v>
      </c>
      <c r="F2022">
        <v>228</v>
      </c>
      <c r="G2022">
        <v>205</v>
      </c>
      <c r="H2022">
        <v>10</v>
      </c>
      <c r="R2022" t="s">
        <v>8907</v>
      </c>
    </row>
    <row r="2023" spans="2:19" x14ac:dyDescent="0.25">
      <c r="B2023">
        <v>17364</v>
      </c>
      <c r="C2023" t="s">
        <v>17943</v>
      </c>
      <c r="E2023">
        <v>86</v>
      </c>
      <c r="F2023">
        <v>228</v>
      </c>
      <c r="G2023">
        <v>205</v>
      </c>
      <c r="H2023">
        <v>11</v>
      </c>
      <c r="S2023" t="s">
        <v>11066</v>
      </c>
    </row>
    <row r="2024" spans="2:19" x14ac:dyDescent="0.25">
      <c r="B2024">
        <v>17366</v>
      </c>
      <c r="C2024" t="s">
        <v>17944</v>
      </c>
      <c r="E2024">
        <v>18</v>
      </c>
      <c r="F2024">
        <v>217</v>
      </c>
      <c r="G2024">
        <v>185</v>
      </c>
      <c r="H2024">
        <v>7</v>
      </c>
      <c r="P2024" t="s">
        <v>11070</v>
      </c>
    </row>
    <row r="2025" spans="2:19" x14ac:dyDescent="0.25">
      <c r="B2025">
        <v>17367</v>
      </c>
      <c r="C2025" t="s">
        <v>17945</v>
      </c>
      <c r="E2025">
        <v>18</v>
      </c>
      <c r="F2025">
        <v>217</v>
      </c>
      <c r="G2025">
        <v>185</v>
      </c>
      <c r="H2025">
        <v>9</v>
      </c>
      <c r="Q2025" t="s">
        <v>11072</v>
      </c>
    </row>
    <row r="2026" spans="2:19" x14ac:dyDescent="0.25">
      <c r="B2026">
        <v>17368</v>
      </c>
      <c r="C2026" t="s">
        <v>17946</v>
      </c>
      <c r="E2026">
        <v>86</v>
      </c>
      <c r="F2026">
        <v>228</v>
      </c>
      <c r="G2026">
        <v>205</v>
      </c>
      <c r="H2026">
        <v>9</v>
      </c>
      <c r="Q2026" t="s">
        <v>11074</v>
      </c>
    </row>
    <row r="2027" spans="2:19" x14ac:dyDescent="0.25">
      <c r="B2027">
        <v>111220822</v>
      </c>
      <c r="C2027" t="s">
        <v>17947</v>
      </c>
      <c r="E2027">
        <v>86</v>
      </c>
      <c r="F2027">
        <v>228</v>
      </c>
      <c r="G2027">
        <v>205</v>
      </c>
      <c r="H2027">
        <v>10</v>
      </c>
      <c r="R2027" t="s">
        <v>8909</v>
      </c>
    </row>
    <row r="2028" spans="2:19" x14ac:dyDescent="0.25">
      <c r="B2028">
        <v>17371</v>
      </c>
      <c r="C2028" t="s">
        <v>17948</v>
      </c>
      <c r="E2028">
        <v>86</v>
      </c>
      <c r="F2028">
        <v>228</v>
      </c>
      <c r="G2028">
        <v>205</v>
      </c>
      <c r="H2028">
        <v>11</v>
      </c>
      <c r="S2028" t="s">
        <v>11080</v>
      </c>
    </row>
    <row r="2029" spans="2:19" x14ac:dyDescent="0.25">
      <c r="B2029">
        <v>111220824</v>
      </c>
      <c r="C2029" t="s">
        <v>17949</v>
      </c>
      <c r="E2029">
        <v>86</v>
      </c>
      <c r="F2029">
        <v>228</v>
      </c>
      <c r="G2029">
        <v>205</v>
      </c>
      <c r="H2029">
        <v>10</v>
      </c>
      <c r="R2029" t="s">
        <v>8911</v>
      </c>
    </row>
    <row r="2030" spans="2:19" x14ac:dyDescent="0.25">
      <c r="B2030">
        <v>17370</v>
      </c>
      <c r="C2030" t="s">
        <v>17950</v>
      </c>
      <c r="E2030">
        <v>86</v>
      </c>
      <c r="F2030">
        <v>228</v>
      </c>
      <c r="G2030">
        <v>205</v>
      </c>
      <c r="H2030">
        <v>11</v>
      </c>
      <c r="S2030" t="s">
        <v>11078</v>
      </c>
    </row>
    <row r="2031" spans="2:19" x14ac:dyDescent="0.25">
      <c r="B2031">
        <v>17372</v>
      </c>
      <c r="C2031" t="s">
        <v>17951</v>
      </c>
      <c r="E2031">
        <v>86</v>
      </c>
      <c r="F2031">
        <v>228</v>
      </c>
      <c r="G2031">
        <v>205</v>
      </c>
      <c r="H2031">
        <v>11</v>
      </c>
      <c r="S2031" t="s">
        <v>11082</v>
      </c>
    </row>
    <row r="2032" spans="2:19" x14ac:dyDescent="0.25">
      <c r="B2032">
        <v>111220826</v>
      </c>
      <c r="C2032" t="s">
        <v>17952</v>
      </c>
      <c r="E2032">
        <v>86</v>
      </c>
      <c r="F2032">
        <v>228</v>
      </c>
      <c r="G2032">
        <v>205</v>
      </c>
      <c r="H2032">
        <v>10</v>
      </c>
      <c r="R2032" t="s">
        <v>8913</v>
      </c>
    </row>
    <row r="2033" spans="2:19" x14ac:dyDescent="0.25">
      <c r="B2033">
        <v>17369</v>
      </c>
      <c r="C2033" t="s">
        <v>17953</v>
      </c>
      <c r="E2033">
        <v>86</v>
      </c>
      <c r="F2033">
        <v>228</v>
      </c>
      <c r="G2033">
        <v>205</v>
      </c>
      <c r="H2033">
        <v>11</v>
      </c>
      <c r="S2033" t="s">
        <v>11076</v>
      </c>
    </row>
    <row r="2034" spans="2:19" x14ac:dyDescent="0.25">
      <c r="B2034">
        <v>17373</v>
      </c>
      <c r="C2034" t="s">
        <v>17954</v>
      </c>
      <c r="E2034">
        <v>18</v>
      </c>
      <c r="F2034">
        <v>217</v>
      </c>
      <c r="G2034">
        <v>185</v>
      </c>
      <c r="H2034">
        <v>7</v>
      </c>
      <c r="P2034" t="s">
        <v>11084</v>
      </c>
    </row>
    <row r="2035" spans="2:19" x14ac:dyDescent="0.25">
      <c r="B2035">
        <v>17374</v>
      </c>
      <c r="C2035" t="s">
        <v>17955</v>
      </c>
      <c r="E2035">
        <v>18</v>
      </c>
      <c r="F2035">
        <v>217</v>
      </c>
      <c r="G2035">
        <v>185</v>
      </c>
      <c r="H2035">
        <v>9</v>
      </c>
      <c r="Q2035" t="s">
        <v>11086</v>
      </c>
    </row>
    <row r="2036" spans="2:19" x14ac:dyDescent="0.25">
      <c r="B2036">
        <v>17375</v>
      </c>
      <c r="C2036" t="s">
        <v>17956</v>
      </c>
      <c r="E2036">
        <v>86</v>
      </c>
      <c r="F2036">
        <v>228</v>
      </c>
      <c r="G2036">
        <v>205</v>
      </c>
      <c r="H2036">
        <v>9</v>
      </c>
      <c r="Q2036" t="s">
        <v>11088</v>
      </c>
    </row>
    <row r="2037" spans="2:19" x14ac:dyDescent="0.25">
      <c r="B2037">
        <v>111220828</v>
      </c>
      <c r="C2037" t="s">
        <v>17957</v>
      </c>
      <c r="E2037">
        <v>86</v>
      </c>
      <c r="F2037">
        <v>228</v>
      </c>
      <c r="G2037">
        <v>205</v>
      </c>
      <c r="H2037">
        <v>10</v>
      </c>
      <c r="R2037" t="s">
        <v>8915</v>
      </c>
    </row>
    <row r="2038" spans="2:19" x14ac:dyDescent="0.25">
      <c r="B2038">
        <v>17376</v>
      </c>
      <c r="C2038" t="s">
        <v>17958</v>
      </c>
      <c r="E2038">
        <v>86</v>
      </c>
      <c r="F2038">
        <v>228</v>
      </c>
      <c r="G2038">
        <v>205</v>
      </c>
      <c r="H2038">
        <v>11</v>
      </c>
      <c r="S2038" t="s">
        <v>11090</v>
      </c>
    </row>
    <row r="2039" spans="2:19" x14ac:dyDescent="0.25">
      <c r="B2039">
        <v>17377</v>
      </c>
      <c r="C2039" t="s">
        <v>17959</v>
      </c>
      <c r="E2039">
        <v>86</v>
      </c>
      <c r="F2039">
        <v>228</v>
      </c>
      <c r="G2039">
        <v>205</v>
      </c>
      <c r="H2039">
        <v>11</v>
      </c>
      <c r="S2039" t="s">
        <v>11092</v>
      </c>
    </row>
    <row r="2040" spans="2:19" x14ac:dyDescent="0.25">
      <c r="B2040">
        <v>111220830</v>
      </c>
      <c r="C2040" t="s">
        <v>17960</v>
      </c>
      <c r="E2040">
        <v>86</v>
      </c>
      <c r="F2040">
        <v>228</v>
      </c>
      <c r="G2040">
        <v>205</v>
      </c>
      <c r="H2040">
        <v>10</v>
      </c>
      <c r="R2040" t="s">
        <v>8917</v>
      </c>
    </row>
    <row r="2041" spans="2:19" x14ac:dyDescent="0.25">
      <c r="B2041">
        <v>17379</v>
      </c>
      <c r="C2041" t="s">
        <v>17961</v>
      </c>
      <c r="E2041">
        <v>86</v>
      </c>
      <c r="F2041">
        <v>228</v>
      </c>
      <c r="G2041">
        <v>205</v>
      </c>
      <c r="H2041">
        <v>11</v>
      </c>
      <c r="S2041" t="s">
        <v>11096</v>
      </c>
    </row>
    <row r="2042" spans="2:19" x14ac:dyDescent="0.25">
      <c r="B2042">
        <v>111220832</v>
      </c>
      <c r="C2042" t="s">
        <v>17962</v>
      </c>
      <c r="E2042">
        <v>86</v>
      </c>
      <c r="F2042">
        <v>228</v>
      </c>
      <c r="G2042">
        <v>205</v>
      </c>
      <c r="H2042">
        <v>10</v>
      </c>
      <c r="R2042" t="s">
        <v>8919</v>
      </c>
    </row>
    <row r="2043" spans="2:19" x14ac:dyDescent="0.25">
      <c r="B2043">
        <v>17378</v>
      </c>
      <c r="C2043" t="s">
        <v>17963</v>
      </c>
      <c r="E2043">
        <v>86</v>
      </c>
      <c r="F2043">
        <v>228</v>
      </c>
      <c r="G2043">
        <v>205</v>
      </c>
      <c r="H2043">
        <v>11</v>
      </c>
      <c r="S2043" t="s">
        <v>11094</v>
      </c>
    </row>
    <row r="2044" spans="2:19" x14ac:dyDescent="0.25">
      <c r="B2044">
        <v>17380</v>
      </c>
      <c r="C2044" t="s">
        <v>17964</v>
      </c>
      <c r="E2044">
        <v>14</v>
      </c>
      <c r="F2044">
        <v>174</v>
      </c>
      <c r="G2044">
        <v>148</v>
      </c>
      <c r="H2044">
        <v>5</v>
      </c>
      <c r="O2044" t="s">
        <v>11098</v>
      </c>
    </row>
    <row r="2045" spans="2:19" x14ac:dyDescent="0.25">
      <c r="B2045">
        <v>111220834</v>
      </c>
      <c r="C2045" t="s">
        <v>17965</v>
      </c>
      <c r="E2045">
        <v>14</v>
      </c>
      <c r="F2045">
        <v>174</v>
      </c>
      <c r="G2045">
        <v>148</v>
      </c>
      <c r="H2045">
        <v>9</v>
      </c>
      <c r="P2045" t="s">
        <v>8921</v>
      </c>
    </row>
    <row r="2046" spans="2:19" x14ac:dyDescent="0.25">
      <c r="B2046">
        <v>111220836</v>
      </c>
      <c r="C2046" t="s">
        <v>17966</v>
      </c>
      <c r="E2046">
        <v>16</v>
      </c>
      <c r="F2046">
        <v>195</v>
      </c>
      <c r="G2046">
        <v>167</v>
      </c>
      <c r="H2046">
        <v>9</v>
      </c>
      <c r="P2046" t="s">
        <v>8923</v>
      </c>
    </row>
    <row r="2047" spans="2:19" x14ac:dyDescent="0.25">
      <c r="B2047">
        <v>17381</v>
      </c>
      <c r="C2047" t="s">
        <v>17967</v>
      </c>
      <c r="E2047">
        <v>14</v>
      </c>
      <c r="F2047">
        <v>174</v>
      </c>
      <c r="G2047">
        <v>148</v>
      </c>
      <c r="H2047">
        <v>7</v>
      </c>
      <c r="P2047" t="s">
        <v>11100</v>
      </c>
    </row>
    <row r="2048" spans="2:19" x14ac:dyDescent="0.25">
      <c r="B2048">
        <v>17382</v>
      </c>
      <c r="C2048" t="s">
        <v>17968</v>
      </c>
      <c r="E2048">
        <v>14</v>
      </c>
      <c r="F2048">
        <v>174</v>
      </c>
      <c r="G2048">
        <v>148</v>
      </c>
      <c r="H2048">
        <v>9</v>
      </c>
      <c r="Q2048" t="s">
        <v>11102</v>
      </c>
    </row>
    <row r="2049" spans="2:19" x14ac:dyDescent="0.25">
      <c r="B2049">
        <v>17383</v>
      </c>
      <c r="C2049" t="s">
        <v>17969</v>
      </c>
      <c r="E2049">
        <v>16</v>
      </c>
      <c r="F2049">
        <v>195</v>
      </c>
      <c r="G2049">
        <v>167</v>
      </c>
      <c r="H2049">
        <v>9</v>
      </c>
      <c r="Q2049" t="s">
        <v>11104</v>
      </c>
    </row>
    <row r="2050" spans="2:19" x14ac:dyDescent="0.25">
      <c r="B2050">
        <v>17384</v>
      </c>
      <c r="C2050" t="s">
        <v>17970</v>
      </c>
      <c r="E2050">
        <v>16</v>
      </c>
      <c r="F2050">
        <v>195</v>
      </c>
      <c r="G2050">
        <v>167</v>
      </c>
      <c r="H2050">
        <v>10</v>
      </c>
      <c r="R2050" t="s">
        <v>11106</v>
      </c>
    </row>
    <row r="2051" spans="2:19" x14ac:dyDescent="0.25">
      <c r="B2051">
        <v>17385</v>
      </c>
      <c r="C2051" t="s">
        <v>17971</v>
      </c>
      <c r="E2051">
        <v>16</v>
      </c>
      <c r="F2051">
        <v>195</v>
      </c>
      <c r="G2051">
        <v>167</v>
      </c>
      <c r="H2051">
        <v>11</v>
      </c>
      <c r="S2051" t="s">
        <v>11108</v>
      </c>
    </row>
    <row r="2052" spans="2:19" x14ac:dyDescent="0.25">
      <c r="B2052">
        <v>17386</v>
      </c>
      <c r="C2052" t="s">
        <v>17972</v>
      </c>
      <c r="E2052">
        <v>16</v>
      </c>
      <c r="F2052">
        <v>195</v>
      </c>
      <c r="G2052">
        <v>167</v>
      </c>
      <c r="H2052">
        <v>10</v>
      </c>
      <c r="R2052" t="s">
        <v>11110</v>
      </c>
    </row>
    <row r="2053" spans="2:19" x14ac:dyDescent="0.25">
      <c r="B2053">
        <v>17387</v>
      </c>
      <c r="C2053" t="s">
        <v>17973</v>
      </c>
      <c r="E2053">
        <v>16</v>
      </c>
      <c r="F2053">
        <v>195</v>
      </c>
      <c r="G2053">
        <v>167</v>
      </c>
      <c r="H2053">
        <v>11</v>
      </c>
      <c r="S2053" t="s">
        <v>11112</v>
      </c>
    </row>
    <row r="2054" spans="2:19" x14ac:dyDescent="0.25">
      <c r="B2054">
        <v>17388</v>
      </c>
      <c r="C2054" t="s">
        <v>17974</v>
      </c>
      <c r="E2054">
        <v>16</v>
      </c>
      <c r="F2054">
        <v>195</v>
      </c>
      <c r="G2054">
        <v>167</v>
      </c>
      <c r="H2054">
        <v>10</v>
      </c>
      <c r="R2054" t="s">
        <v>11114</v>
      </c>
    </row>
    <row r="2055" spans="2:19" x14ac:dyDescent="0.25">
      <c r="B2055">
        <v>17389</v>
      </c>
      <c r="C2055" t="s">
        <v>17975</v>
      </c>
      <c r="E2055">
        <v>16</v>
      </c>
      <c r="F2055">
        <v>195</v>
      </c>
      <c r="G2055">
        <v>167</v>
      </c>
      <c r="H2055">
        <v>11</v>
      </c>
      <c r="S2055" t="s">
        <v>11116</v>
      </c>
    </row>
    <row r="2056" spans="2:19" x14ac:dyDescent="0.25">
      <c r="B2056">
        <v>17390</v>
      </c>
      <c r="C2056" t="s">
        <v>17976</v>
      </c>
      <c r="E2056">
        <v>14</v>
      </c>
      <c r="F2056">
        <v>174</v>
      </c>
      <c r="G2056">
        <v>148</v>
      </c>
      <c r="H2056">
        <v>7</v>
      </c>
      <c r="P2056" t="s">
        <v>11118</v>
      </c>
    </row>
    <row r="2057" spans="2:19" x14ac:dyDescent="0.25">
      <c r="B2057">
        <v>17391</v>
      </c>
      <c r="C2057" t="s">
        <v>17977</v>
      </c>
      <c r="E2057">
        <v>14</v>
      </c>
      <c r="F2057">
        <v>174</v>
      </c>
      <c r="G2057">
        <v>148</v>
      </c>
      <c r="H2057">
        <v>9</v>
      </c>
      <c r="Q2057" t="s">
        <v>11120</v>
      </c>
    </row>
    <row r="2058" spans="2:19" x14ac:dyDescent="0.25">
      <c r="B2058">
        <v>17392</v>
      </c>
      <c r="C2058" t="s">
        <v>17978</v>
      </c>
      <c r="E2058">
        <v>16</v>
      </c>
      <c r="F2058">
        <v>195</v>
      </c>
      <c r="G2058">
        <v>167</v>
      </c>
      <c r="H2058">
        <v>9</v>
      </c>
      <c r="Q2058" t="s">
        <v>11122</v>
      </c>
    </row>
    <row r="2059" spans="2:19" x14ac:dyDescent="0.25">
      <c r="B2059">
        <v>17393</v>
      </c>
      <c r="C2059" t="s">
        <v>17979</v>
      </c>
      <c r="E2059">
        <v>16</v>
      </c>
      <c r="F2059">
        <v>195</v>
      </c>
      <c r="G2059">
        <v>167</v>
      </c>
      <c r="H2059">
        <v>10</v>
      </c>
      <c r="R2059" t="s">
        <v>11124</v>
      </c>
    </row>
    <row r="2060" spans="2:19" x14ac:dyDescent="0.25">
      <c r="B2060">
        <v>17394</v>
      </c>
      <c r="C2060" t="s">
        <v>17980</v>
      </c>
      <c r="E2060">
        <v>16</v>
      </c>
      <c r="F2060">
        <v>195</v>
      </c>
      <c r="G2060">
        <v>167</v>
      </c>
      <c r="H2060">
        <v>11</v>
      </c>
      <c r="S2060" t="s">
        <v>11126</v>
      </c>
    </row>
    <row r="2061" spans="2:19" x14ac:dyDescent="0.25">
      <c r="B2061">
        <v>17395</v>
      </c>
      <c r="C2061" t="s">
        <v>17981</v>
      </c>
      <c r="E2061">
        <v>16</v>
      </c>
      <c r="F2061">
        <v>195</v>
      </c>
      <c r="G2061">
        <v>167</v>
      </c>
      <c r="H2061">
        <v>10</v>
      </c>
      <c r="R2061" t="s">
        <v>11128</v>
      </c>
    </row>
    <row r="2062" spans="2:19" x14ac:dyDescent="0.25">
      <c r="B2062">
        <v>17396</v>
      </c>
      <c r="C2062" t="s">
        <v>17982</v>
      </c>
      <c r="E2062">
        <v>16</v>
      </c>
      <c r="F2062">
        <v>195</v>
      </c>
      <c r="G2062">
        <v>167</v>
      </c>
      <c r="H2062">
        <v>11</v>
      </c>
      <c r="S2062" t="s">
        <v>11130</v>
      </c>
    </row>
    <row r="2063" spans="2:19" x14ac:dyDescent="0.25">
      <c r="B2063">
        <v>17397</v>
      </c>
      <c r="C2063" t="s">
        <v>17983</v>
      </c>
      <c r="E2063">
        <v>16</v>
      </c>
      <c r="F2063">
        <v>195</v>
      </c>
      <c r="G2063">
        <v>167</v>
      </c>
      <c r="H2063">
        <v>10</v>
      </c>
      <c r="R2063" t="s">
        <v>11132</v>
      </c>
    </row>
    <row r="2064" spans="2:19" x14ac:dyDescent="0.25">
      <c r="B2064">
        <v>17398</v>
      </c>
      <c r="C2064" t="s">
        <v>17984</v>
      </c>
      <c r="E2064">
        <v>16</v>
      </c>
      <c r="F2064">
        <v>195</v>
      </c>
      <c r="G2064">
        <v>167</v>
      </c>
      <c r="H2064">
        <v>11</v>
      </c>
      <c r="S2064" t="s">
        <v>11134</v>
      </c>
    </row>
    <row r="2065" spans="2:19" x14ac:dyDescent="0.25">
      <c r="B2065">
        <v>17399</v>
      </c>
      <c r="C2065" t="s">
        <v>17985</v>
      </c>
      <c r="E2065">
        <v>16</v>
      </c>
      <c r="F2065">
        <v>195</v>
      </c>
      <c r="G2065">
        <v>167</v>
      </c>
      <c r="H2065">
        <v>11</v>
      </c>
      <c r="S2065" t="s">
        <v>11136</v>
      </c>
    </row>
    <row r="2066" spans="2:19" x14ac:dyDescent="0.25">
      <c r="B2066">
        <v>17400</v>
      </c>
      <c r="C2066" t="s">
        <v>17986</v>
      </c>
      <c r="E2066">
        <v>14</v>
      </c>
      <c r="F2066">
        <v>174</v>
      </c>
      <c r="G2066">
        <v>148</v>
      </c>
      <c r="H2066">
        <v>7</v>
      </c>
      <c r="P2066" t="s">
        <v>11138</v>
      </c>
    </row>
    <row r="2067" spans="2:19" x14ac:dyDescent="0.25">
      <c r="B2067">
        <v>17401</v>
      </c>
      <c r="C2067" t="s">
        <v>17987</v>
      </c>
      <c r="E2067">
        <v>14</v>
      </c>
      <c r="F2067">
        <v>174</v>
      </c>
      <c r="G2067">
        <v>148</v>
      </c>
      <c r="H2067">
        <v>9</v>
      </c>
      <c r="Q2067" t="s">
        <v>11140</v>
      </c>
    </row>
    <row r="2068" spans="2:19" x14ac:dyDescent="0.25">
      <c r="B2068">
        <v>17402</v>
      </c>
      <c r="C2068" t="s">
        <v>17988</v>
      </c>
      <c r="E2068">
        <v>16</v>
      </c>
      <c r="F2068">
        <v>195</v>
      </c>
      <c r="G2068">
        <v>167</v>
      </c>
      <c r="H2068">
        <v>9</v>
      </c>
      <c r="Q2068" t="s">
        <v>11142</v>
      </c>
    </row>
    <row r="2069" spans="2:19" x14ac:dyDescent="0.25">
      <c r="B2069">
        <v>17403</v>
      </c>
      <c r="C2069" t="s">
        <v>17989</v>
      </c>
      <c r="E2069">
        <v>16</v>
      </c>
      <c r="F2069">
        <v>195</v>
      </c>
      <c r="G2069">
        <v>167</v>
      </c>
      <c r="H2069">
        <v>10</v>
      </c>
      <c r="R2069" t="s">
        <v>11144</v>
      </c>
    </row>
    <row r="2070" spans="2:19" x14ac:dyDescent="0.25">
      <c r="B2070">
        <v>17404</v>
      </c>
      <c r="C2070" t="s">
        <v>17990</v>
      </c>
      <c r="E2070">
        <v>16</v>
      </c>
      <c r="F2070">
        <v>195</v>
      </c>
      <c r="G2070">
        <v>167</v>
      </c>
      <c r="H2070">
        <v>11</v>
      </c>
      <c r="S2070" t="s">
        <v>11146</v>
      </c>
    </row>
    <row r="2071" spans="2:19" x14ac:dyDescent="0.25">
      <c r="B2071">
        <v>17405</v>
      </c>
      <c r="C2071" t="s">
        <v>17991</v>
      </c>
      <c r="E2071">
        <v>16</v>
      </c>
      <c r="F2071">
        <v>195</v>
      </c>
      <c r="G2071">
        <v>167</v>
      </c>
      <c r="H2071">
        <v>11</v>
      </c>
      <c r="S2071" t="s">
        <v>11148</v>
      </c>
    </row>
    <row r="2072" spans="2:19" x14ac:dyDescent="0.25">
      <c r="B2072">
        <v>17406</v>
      </c>
      <c r="C2072" t="s">
        <v>17992</v>
      </c>
      <c r="E2072">
        <v>16</v>
      </c>
      <c r="F2072">
        <v>195</v>
      </c>
      <c r="G2072">
        <v>167</v>
      </c>
      <c r="H2072">
        <v>11</v>
      </c>
      <c r="S2072" t="s">
        <v>11150</v>
      </c>
    </row>
    <row r="2073" spans="2:19" x14ac:dyDescent="0.25">
      <c r="B2073">
        <v>17407</v>
      </c>
      <c r="C2073" t="s">
        <v>17993</v>
      </c>
      <c r="E2073">
        <v>16</v>
      </c>
      <c r="F2073">
        <v>195</v>
      </c>
      <c r="G2073">
        <v>167</v>
      </c>
      <c r="H2073">
        <v>10</v>
      </c>
      <c r="R2073" t="s">
        <v>11152</v>
      </c>
    </row>
    <row r="2074" spans="2:19" x14ac:dyDescent="0.25">
      <c r="B2074">
        <v>17408</v>
      </c>
      <c r="C2074" t="s">
        <v>17994</v>
      </c>
      <c r="E2074">
        <v>16</v>
      </c>
      <c r="F2074">
        <v>195</v>
      </c>
      <c r="G2074">
        <v>167</v>
      </c>
      <c r="H2074">
        <v>11</v>
      </c>
      <c r="S2074" t="s">
        <v>11154</v>
      </c>
    </row>
    <row r="2075" spans="2:19" x14ac:dyDescent="0.25">
      <c r="B2075">
        <v>17409</v>
      </c>
      <c r="C2075" t="s">
        <v>17995</v>
      </c>
      <c r="E2075">
        <v>16</v>
      </c>
      <c r="F2075">
        <v>195</v>
      </c>
      <c r="G2075">
        <v>167</v>
      </c>
      <c r="H2075">
        <v>11</v>
      </c>
      <c r="S2075" t="s">
        <v>11156</v>
      </c>
    </row>
    <row r="2076" spans="2:19" x14ac:dyDescent="0.25">
      <c r="B2076">
        <v>17410</v>
      </c>
      <c r="C2076" t="s">
        <v>17996</v>
      </c>
      <c r="E2076">
        <v>16</v>
      </c>
      <c r="F2076">
        <v>195</v>
      </c>
      <c r="G2076">
        <v>167</v>
      </c>
      <c r="H2076">
        <v>11</v>
      </c>
      <c r="S2076" t="s">
        <v>11158</v>
      </c>
    </row>
    <row r="2077" spans="2:19" x14ac:dyDescent="0.25">
      <c r="B2077">
        <v>17411</v>
      </c>
      <c r="C2077" t="s">
        <v>17997</v>
      </c>
      <c r="E2077">
        <v>16</v>
      </c>
      <c r="F2077">
        <v>195</v>
      </c>
      <c r="G2077">
        <v>167</v>
      </c>
      <c r="H2077">
        <v>11</v>
      </c>
      <c r="S2077" t="s">
        <v>11160</v>
      </c>
    </row>
    <row r="2078" spans="2:19" x14ac:dyDescent="0.25">
      <c r="B2078">
        <v>17412</v>
      </c>
      <c r="C2078" t="s">
        <v>17998</v>
      </c>
      <c r="E2078">
        <v>16</v>
      </c>
      <c r="F2078">
        <v>195</v>
      </c>
      <c r="G2078">
        <v>167</v>
      </c>
      <c r="H2078">
        <v>10</v>
      </c>
      <c r="R2078" t="s">
        <v>11162</v>
      </c>
    </row>
    <row r="2079" spans="2:19" x14ac:dyDescent="0.25">
      <c r="B2079">
        <v>17413</v>
      </c>
      <c r="C2079" t="s">
        <v>17999</v>
      </c>
      <c r="E2079">
        <v>16</v>
      </c>
      <c r="F2079">
        <v>195</v>
      </c>
      <c r="G2079">
        <v>167</v>
      </c>
      <c r="H2079">
        <v>11</v>
      </c>
      <c r="S2079" t="s">
        <v>11164</v>
      </c>
    </row>
    <row r="2080" spans="2:19" x14ac:dyDescent="0.25">
      <c r="B2080">
        <v>17414</v>
      </c>
      <c r="C2080" t="s">
        <v>18000</v>
      </c>
      <c r="E2080">
        <v>16</v>
      </c>
      <c r="F2080">
        <v>195</v>
      </c>
      <c r="G2080">
        <v>167</v>
      </c>
      <c r="H2080">
        <v>11</v>
      </c>
      <c r="S2080" t="s">
        <v>11166</v>
      </c>
    </row>
    <row r="2081" spans="2:19" x14ac:dyDescent="0.25">
      <c r="B2081">
        <v>17415</v>
      </c>
      <c r="C2081" t="s">
        <v>18001</v>
      </c>
      <c r="E2081">
        <v>13</v>
      </c>
      <c r="F2081">
        <v>152</v>
      </c>
      <c r="G2081">
        <v>130</v>
      </c>
      <c r="H2081">
        <v>5</v>
      </c>
      <c r="O2081" t="s">
        <v>4837</v>
      </c>
    </row>
    <row r="2082" spans="2:19" x14ac:dyDescent="0.25">
      <c r="B2082">
        <v>112892383</v>
      </c>
      <c r="C2082" t="s">
        <v>18002</v>
      </c>
      <c r="E2082">
        <v>9</v>
      </c>
      <c r="F2082">
        <v>143</v>
      </c>
      <c r="G2082">
        <v>122</v>
      </c>
      <c r="H2082">
        <v>9</v>
      </c>
      <c r="P2082" t="s">
        <v>1896</v>
      </c>
    </row>
    <row r="2083" spans="2:19" x14ac:dyDescent="0.25">
      <c r="B2083">
        <v>112892385</v>
      </c>
      <c r="C2083" t="s">
        <v>18003</v>
      </c>
      <c r="E2083">
        <v>14</v>
      </c>
      <c r="F2083">
        <v>174</v>
      </c>
      <c r="G2083">
        <v>148</v>
      </c>
      <c r="H2083">
        <v>9</v>
      </c>
      <c r="P2083" t="s">
        <v>1898</v>
      </c>
    </row>
    <row r="2084" spans="2:19" x14ac:dyDescent="0.25">
      <c r="B2084">
        <v>112892387</v>
      </c>
      <c r="C2084" t="s">
        <v>18004</v>
      </c>
      <c r="E2084">
        <v>14</v>
      </c>
      <c r="F2084">
        <v>174</v>
      </c>
      <c r="G2084">
        <v>148</v>
      </c>
      <c r="H2084">
        <v>10</v>
      </c>
      <c r="Q2084" t="s">
        <v>1900</v>
      </c>
    </row>
    <row r="2085" spans="2:19" x14ac:dyDescent="0.25">
      <c r="B2085">
        <v>112892389</v>
      </c>
      <c r="C2085" t="s">
        <v>18005</v>
      </c>
      <c r="E2085">
        <v>14</v>
      </c>
      <c r="F2085">
        <v>174</v>
      </c>
      <c r="G2085">
        <v>148</v>
      </c>
      <c r="H2085">
        <v>10</v>
      </c>
      <c r="Q2085" t="s">
        <v>1902</v>
      </c>
    </row>
    <row r="2086" spans="2:19" x14ac:dyDescent="0.25">
      <c r="B2086">
        <v>112892391</v>
      </c>
      <c r="C2086" t="s">
        <v>18006</v>
      </c>
      <c r="E2086">
        <v>14</v>
      </c>
      <c r="F2086">
        <v>174</v>
      </c>
      <c r="G2086">
        <v>148</v>
      </c>
      <c r="H2086">
        <v>10</v>
      </c>
      <c r="Q2086" t="s">
        <v>1904</v>
      </c>
    </row>
    <row r="2087" spans="2:19" x14ac:dyDescent="0.25">
      <c r="B2087">
        <v>17416</v>
      </c>
      <c r="C2087" t="s">
        <v>18007</v>
      </c>
      <c r="E2087">
        <v>79</v>
      </c>
      <c r="F2087">
        <v>217</v>
      </c>
      <c r="G2087">
        <v>191</v>
      </c>
      <c r="H2087">
        <v>3</v>
      </c>
      <c r="N2087" t="s">
        <v>4843</v>
      </c>
    </row>
    <row r="2088" spans="2:19" x14ac:dyDescent="0.25">
      <c r="B2088">
        <v>17417</v>
      </c>
      <c r="C2088" t="s">
        <v>18008</v>
      </c>
      <c r="E2088">
        <v>129</v>
      </c>
      <c r="F2088">
        <v>228</v>
      </c>
      <c r="G2088">
        <v>209</v>
      </c>
      <c r="H2088">
        <v>5</v>
      </c>
      <c r="O2088" t="s">
        <v>4852</v>
      </c>
    </row>
    <row r="2089" spans="2:19" x14ac:dyDescent="0.25">
      <c r="B2089">
        <v>17418</v>
      </c>
      <c r="C2089" t="s">
        <v>18009</v>
      </c>
      <c r="E2089">
        <v>79</v>
      </c>
      <c r="F2089">
        <v>217</v>
      </c>
      <c r="G2089">
        <v>191</v>
      </c>
      <c r="H2089">
        <v>5</v>
      </c>
      <c r="O2089" t="s">
        <v>11168</v>
      </c>
    </row>
    <row r="2090" spans="2:19" x14ac:dyDescent="0.25">
      <c r="B2090">
        <v>111220838</v>
      </c>
      <c r="C2090" t="s">
        <v>18010</v>
      </c>
      <c r="E2090">
        <v>79</v>
      </c>
      <c r="F2090">
        <v>217</v>
      </c>
      <c r="G2090">
        <v>191</v>
      </c>
      <c r="H2090">
        <v>9</v>
      </c>
      <c r="P2090" t="s">
        <v>8925</v>
      </c>
    </row>
    <row r="2091" spans="2:19" x14ac:dyDescent="0.25">
      <c r="B2091">
        <v>111220840</v>
      </c>
      <c r="C2091" t="s">
        <v>18011</v>
      </c>
      <c r="E2091">
        <v>121</v>
      </c>
      <c r="F2091">
        <v>226</v>
      </c>
      <c r="G2091">
        <v>206</v>
      </c>
      <c r="H2091">
        <v>9</v>
      </c>
      <c r="P2091" t="s">
        <v>8927</v>
      </c>
    </row>
    <row r="2092" spans="2:19" x14ac:dyDescent="0.25">
      <c r="B2092">
        <v>17419</v>
      </c>
      <c r="C2092" t="s">
        <v>18012</v>
      </c>
      <c r="E2092">
        <v>79</v>
      </c>
      <c r="F2092">
        <v>217</v>
      </c>
      <c r="G2092">
        <v>191</v>
      </c>
      <c r="H2092">
        <v>7</v>
      </c>
      <c r="P2092" t="s">
        <v>11170</v>
      </c>
    </row>
    <row r="2093" spans="2:19" x14ac:dyDescent="0.25">
      <c r="B2093">
        <v>17420</v>
      </c>
      <c r="C2093" t="s">
        <v>18013</v>
      </c>
      <c r="E2093">
        <v>79</v>
      </c>
      <c r="F2093">
        <v>217</v>
      </c>
      <c r="G2093">
        <v>191</v>
      </c>
      <c r="H2093">
        <v>9</v>
      </c>
      <c r="Q2093" t="s">
        <v>11172</v>
      </c>
    </row>
    <row r="2094" spans="2:19" x14ac:dyDescent="0.25">
      <c r="B2094">
        <v>17421</v>
      </c>
      <c r="C2094" t="s">
        <v>18014</v>
      </c>
      <c r="E2094">
        <v>121</v>
      </c>
      <c r="F2094">
        <v>226</v>
      </c>
      <c r="G2094">
        <v>206</v>
      </c>
      <c r="H2094">
        <v>9</v>
      </c>
      <c r="Q2094" t="s">
        <v>11174</v>
      </c>
    </row>
    <row r="2095" spans="2:19" x14ac:dyDescent="0.25">
      <c r="B2095">
        <v>111220842</v>
      </c>
      <c r="C2095" t="s">
        <v>18015</v>
      </c>
      <c r="E2095">
        <v>121</v>
      </c>
      <c r="F2095">
        <v>226</v>
      </c>
      <c r="G2095">
        <v>206</v>
      </c>
      <c r="H2095">
        <v>10</v>
      </c>
      <c r="R2095" t="s">
        <v>8929</v>
      </c>
    </row>
    <row r="2096" spans="2:19" x14ac:dyDescent="0.25">
      <c r="B2096">
        <v>17423</v>
      </c>
      <c r="C2096" t="s">
        <v>18016</v>
      </c>
      <c r="E2096">
        <v>121</v>
      </c>
      <c r="F2096">
        <v>226</v>
      </c>
      <c r="G2096">
        <v>206</v>
      </c>
      <c r="H2096">
        <v>11</v>
      </c>
      <c r="S2096" t="s">
        <v>11178</v>
      </c>
    </row>
    <row r="2097" spans="2:19" x14ac:dyDescent="0.25">
      <c r="B2097">
        <v>111220844</v>
      </c>
      <c r="C2097" t="s">
        <v>18017</v>
      </c>
      <c r="E2097">
        <v>121</v>
      </c>
      <c r="F2097">
        <v>226</v>
      </c>
      <c r="G2097">
        <v>206</v>
      </c>
      <c r="H2097">
        <v>10</v>
      </c>
      <c r="R2097" t="s">
        <v>8931</v>
      </c>
    </row>
    <row r="2098" spans="2:19" x14ac:dyDescent="0.25">
      <c r="B2098">
        <v>17422</v>
      </c>
      <c r="C2098" t="s">
        <v>18018</v>
      </c>
      <c r="E2098">
        <v>121</v>
      </c>
      <c r="F2098">
        <v>226</v>
      </c>
      <c r="G2098">
        <v>206</v>
      </c>
      <c r="H2098">
        <v>11</v>
      </c>
      <c r="S2098" t="s">
        <v>11176</v>
      </c>
    </row>
    <row r="2099" spans="2:19" x14ac:dyDescent="0.25">
      <c r="B2099">
        <v>111220846</v>
      </c>
      <c r="C2099" t="s">
        <v>18019</v>
      </c>
      <c r="E2099">
        <v>121</v>
      </c>
      <c r="F2099">
        <v>226</v>
      </c>
      <c r="G2099">
        <v>206</v>
      </c>
      <c r="H2099">
        <v>10</v>
      </c>
      <c r="R2099" t="s">
        <v>8933</v>
      </c>
    </row>
    <row r="2100" spans="2:19" x14ac:dyDescent="0.25">
      <c r="B2100">
        <v>17424</v>
      </c>
      <c r="C2100" t="s">
        <v>18020</v>
      </c>
      <c r="E2100">
        <v>79</v>
      </c>
      <c r="F2100">
        <v>217</v>
      </c>
      <c r="G2100">
        <v>191</v>
      </c>
      <c r="H2100">
        <v>7</v>
      </c>
      <c r="P2100" t="s">
        <v>11180</v>
      </c>
    </row>
    <row r="2101" spans="2:19" x14ac:dyDescent="0.25">
      <c r="B2101">
        <v>17425</v>
      </c>
      <c r="C2101" t="s">
        <v>18021</v>
      </c>
      <c r="E2101">
        <v>79</v>
      </c>
      <c r="F2101">
        <v>217</v>
      </c>
      <c r="G2101">
        <v>191</v>
      </c>
      <c r="H2101">
        <v>9</v>
      </c>
      <c r="Q2101" t="s">
        <v>11182</v>
      </c>
    </row>
    <row r="2102" spans="2:19" x14ac:dyDescent="0.25">
      <c r="B2102">
        <v>17426</v>
      </c>
      <c r="C2102" t="s">
        <v>18022</v>
      </c>
      <c r="E2102">
        <v>121</v>
      </c>
      <c r="F2102">
        <v>226</v>
      </c>
      <c r="G2102">
        <v>206</v>
      </c>
      <c r="H2102">
        <v>9</v>
      </c>
      <c r="Q2102" t="s">
        <v>11184</v>
      </c>
    </row>
    <row r="2103" spans="2:19" x14ac:dyDescent="0.25">
      <c r="B2103">
        <v>111220848</v>
      </c>
      <c r="C2103" t="s">
        <v>18023</v>
      </c>
      <c r="E2103">
        <v>121</v>
      </c>
      <c r="F2103">
        <v>226</v>
      </c>
      <c r="G2103">
        <v>206</v>
      </c>
      <c r="H2103">
        <v>10</v>
      </c>
      <c r="R2103" t="s">
        <v>8935</v>
      </c>
    </row>
    <row r="2104" spans="2:19" x14ac:dyDescent="0.25">
      <c r="B2104">
        <v>17429</v>
      </c>
      <c r="C2104" t="s">
        <v>18024</v>
      </c>
      <c r="E2104">
        <v>121</v>
      </c>
      <c r="F2104">
        <v>226</v>
      </c>
      <c r="G2104">
        <v>206</v>
      </c>
      <c r="H2104">
        <v>11</v>
      </c>
      <c r="S2104" t="s">
        <v>11190</v>
      </c>
    </row>
    <row r="2105" spans="2:19" x14ac:dyDescent="0.25">
      <c r="B2105">
        <v>111220850</v>
      </c>
      <c r="C2105" t="s">
        <v>18025</v>
      </c>
      <c r="E2105">
        <v>121</v>
      </c>
      <c r="F2105">
        <v>226</v>
      </c>
      <c r="G2105">
        <v>206</v>
      </c>
      <c r="H2105">
        <v>10</v>
      </c>
      <c r="R2105" t="s">
        <v>8937</v>
      </c>
    </row>
    <row r="2106" spans="2:19" x14ac:dyDescent="0.25">
      <c r="B2106">
        <v>17428</v>
      </c>
      <c r="C2106" t="s">
        <v>18026</v>
      </c>
      <c r="E2106">
        <v>121</v>
      </c>
      <c r="F2106">
        <v>226</v>
      </c>
      <c r="G2106">
        <v>206</v>
      </c>
      <c r="H2106">
        <v>11</v>
      </c>
      <c r="S2106" t="s">
        <v>11188</v>
      </c>
    </row>
    <row r="2107" spans="2:19" x14ac:dyDescent="0.25">
      <c r="B2107">
        <v>17430</v>
      </c>
      <c r="C2107" t="s">
        <v>18027</v>
      </c>
      <c r="E2107">
        <v>121</v>
      </c>
      <c r="F2107">
        <v>226</v>
      </c>
      <c r="G2107">
        <v>206</v>
      </c>
      <c r="H2107">
        <v>11</v>
      </c>
      <c r="S2107" t="s">
        <v>11192</v>
      </c>
    </row>
    <row r="2108" spans="2:19" x14ac:dyDescent="0.25">
      <c r="B2108">
        <v>111220852</v>
      </c>
      <c r="C2108" t="s">
        <v>18028</v>
      </c>
      <c r="E2108">
        <v>121</v>
      </c>
      <c r="F2108">
        <v>226</v>
      </c>
      <c r="G2108">
        <v>206</v>
      </c>
      <c r="H2108">
        <v>10</v>
      </c>
      <c r="R2108" t="s">
        <v>8939</v>
      </c>
    </row>
    <row r="2109" spans="2:19" x14ac:dyDescent="0.25">
      <c r="B2109">
        <v>17427</v>
      </c>
      <c r="C2109" t="s">
        <v>18029</v>
      </c>
      <c r="E2109">
        <v>121</v>
      </c>
      <c r="F2109">
        <v>226</v>
      </c>
      <c r="G2109">
        <v>206</v>
      </c>
      <c r="H2109">
        <v>11</v>
      </c>
      <c r="S2109" t="s">
        <v>11186</v>
      </c>
    </row>
    <row r="2110" spans="2:19" x14ac:dyDescent="0.25">
      <c r="B2110">
        <v>17431</v>
      </c>
      <c r="C2110" t="s">
        <v>18030</v>
      </c>
      <c r="E2110">
        <v>79</v>
      </c>
      <c r="F2110">
        <v>217</v>
      </c>
      <c r="G2110">
        <v>191</v>
      </c>
      <c r="H2110">
        <v>7</v>
      </c>
      <c r="P2110" t="s">
        <v>11194</v>
      </c>
    </row>
    <row r="2111" spans="2:19" x14ac:dyDescent="0.25">
      <c r="B2111">
        <v>17432</v>
      </c>
      <c r="C2111" t="s">
        <v>18031</v>
      </c>
      <c r="E2111">
        <v>79</v>
      </c>
      <c r="F2111">
        <v>217</v>
      </c>
      <c r="G2111">
        <v>191</v>
      </c>
      <c r="H2111">
        <v>9</v>
      </c>
      <c r="Q2111" t="s">
        <v>11196</v>
      </c>
    </row>
    <row r="2112" spans="2:19" x14ac:dyDescent="0.25">
      <c r="B2112">
        <v>17433</v>
      </c>
      <c r="C2112" t="s">
        <v>18032</v>
      </c>
      <c r="E2112">
        <v>121</v>
      </c>
      <c r="F2112">
        <v>226</v>
      </c>
      <c r="G2112">
        <v>206</v>
      </c>
      <c r="H2112">
        <v>9</v>
      </c>
      <c r="Q2112" t="s">
        <v>11198</v>
      </c>
    </row>
    <row r="2113" spans="2:19" x14ac:dyDescent="0.25">
      <c r="B2113">
        <v>111220854</v>
      </c>
      <c r="C2113" t="s">
        <v>18033</v>
      </c>
      <c r="E2113">
        <v>121</v>
      </c>
      <c r="F2113">
        <v>226</v>
      </c>
      <c r="G2113">
        <v>206</v>
      </c>
      <c r="H2113">
        <v>10</v>
      </c>
      <c r="R2113" t="s">
        <v>8941</v>
      </c>
    </row>
    <row r="2114" spans="2:19" x14ac:dyDescent="0.25">
      <c r="B2114">
        <v>17435</v>
      </c>
      <c r="C2114" t="s">
        <v>18034</v>
      </c>
      <c r="E2114">
        <v>121</v>
      </c>
      <c r="F2114">
        <v>226</v>
      </c>
      <c r="G2114">
        <v>206</v>
      </c>
      <c r="H2114">
        <v>11</v>
      </c>
      <c r="S2114" t="s">
        <v>11202</v>
      </c>
    </row>
    <row r="2115" spans="2:19" x14ac:dyDescent="0.25">
      <c r="B2115">
        <v>112892393</v>
      </c>
      <c r="C2115" t="s">
        <v>18035</v>
      </c>
      <c r="E2115">
        <v>121</v>
      </c>
      <c r="F2115">
        <v>226</v>
      </c>
      <c r="G2115">
        <v>206</v>
      </c>
      <c r="H2115">
        <v>11</v>
      </c>
      <c r="S2115" t="s">
        <v>9057</v>
      </c>
    </row>
    <row r="2116" spans="2:19" x14ac:dyDescent="0.25">
      <c r="B2116">
        <v>111220856</v>
      </c>
      <c r="C2116" t="s">
        <v>18036</v>
      </c>
      <c r="E2116">
        <v>121</v>
      </c>
      <c r="F2116">
        <v>226</v>
      </c>
      <c r="G2116">
        <v>206</v>
      </c>
      <c r="H2116">
        <v>10</v>
      </c>
      <c r="R2116" t="s">
        <v>8943</v>
      </c>
    </row>
    <row r="2117" spans="2:19" x14ac:dyDescent="0.25">
      <c r="B2117">
        <v>17434</v>
      </c>
      <c r="C2117" t="s">
        <v>18037</v>
      </c>
      <c r="E2117">
        <v>121</v>
      </c>
      <c r="F2117">
        <v>226</v>
      </c>
      <c r="G2117">
        <v>206</v>
      </c>
      <c r="H2117">
        <v>11</v>
      </c>
      <c r="S2117" t="s">
        <v>11200</v>
      </c>
    </row>
    <row r="2118" spans="2:19" x14ac:dyDescent="0.25">
      <c r="B2118">
        <v>111220858</v>
      </c>
      <c r="C2118" t="s">
        <v>18038</v>
      </c>
      <c r="E2118">
        <v>121</v>
      </c>
      <c r="F2118">
        <v>226</v>
      </c>
      <c r="G2118">
        <v>206</v>
      </c>
      <c r="H2118">
        <v>10</v>
      </c>
      <c r="R2118" t="s">
        <v>8945</v>
      </c>
    </row>
    <row r="2119" spans="2:19" x14ac:dyDescent="0.25">
      <c r="B2119">
        <v>17436</v>
      </c>
      <c r="C2119" t="s">
        <v>18039</v>
      </c>
      <c r="E2119">
        <v>121</v>
      </c>
      <c r="F2119">
        <v>226</v>
      </c>
      <c r="G2119">
        <v>206</v>
      </c>
      <c r="H2119">
        <v>11</v>
      </c>
      <c r="S2119" t="s">
        <v>11204</v>
      </c>
    </row>
    <row r="2120" spans="2:19" x14ac:dyDescent="0.25">
      <c r="B2120">
        <v>17437</v>
      </c>
      <c r="C2120" t="s">
        <v>18040</v>
      </c>
      <c r="E2120">
        <v>63</v>
      </c>
      <c r="F2120">
        <v>174</v>
      </c>
      <c r="G2120">
        <v>153</v>
      </c>
      <c r="H2120">
        <v>5</v>
      </c>
      <c r="O2120" t="s">
        <v>11206</v>
      </c>
    </row>
    <row r="2121" spans="2:19" x14ac:dyDescent="0.25">
      <c r="B2121">
        <v>111220860</v>
      </c>
      <c r="C2121" t="s">
        <v>18041</v>
      </c>
      <c r="E2121">
        <v>63</v>
      </c>
      <c r="F2121">
        <v>174</v>
      </c>
      <c r="G2121">
        <v>153</v>
      </c>
      <c r="H2121">
        <v>9</v>
      </c>
      <c r="P2121" t="s">
        <v>8947</v>
      </c>
    </row>
    <row r="2122" spans="2:19" x14ac:dyDescent="0.25">
      <c r="B2122">
        <v>111220862</v>
      </c>
      <c r="C2122" t="s">
        <v>18042</v>
      </c>
      <c r="E2122">
        <v>71</v>
      </c>
      <c r="F2122">
        <v>195</v>
      </c>
      <c r="G2122">
        <v>172</v>
      </c>
      <c r="H2122">
        <v>9</v>
      </c>
      <c r="P2122" t="s">
        <v>8949</v>
      </c>
    </row>
    <row r="2123" spans="2:19" x14ac:dyDescent="0.25">
      <c r="B2123">
        <v>17438</v>
      </c>
      <c r="C2123" t="s">
        <v>18043</v>
      </c>
      <c r="E2123">
        <v>63</v>
      </c>
      <c r="F2123">
        <v>174</v>
      </c>
      <c r="G2123">
        <v>153</v>
      </c>
      <c r="H2123">
        <v>7</v>
      </c>
      <c r="P2123" t="s">
        <v>11208</v>
      </c>
    </row>
    <row r="2124" spans="2:19" x14ac:dyDescent="0.25">
      <c r="B2124">
        <v>17439</v>
      </c>
      <c r="C2124" t="s">
        <v>18044</v>
      </c>
      <c r="E2124">
        <v>63</v>
      </c>
      <c r="F2124">
        <v>174</v>
      </c>
      <c r="G2124">
        <v>153</v>
      </c>
      <c r="H2124">
        <v>9</v>
      </c>
      <c r="Q2124" t="s">
        <v>11210</v>
      </c>
    </row>
    <row r="2125" spans="2:19" x14ac:dyDescent="0.25">
      <c r="B2125">
        <v>17440</v>
      </c>
      <c r="C2125" t="s">
        <v>18045</v>
      </c>
      <c r="E2125">
        <v>71</v>
      </c>
      <c r="F2125">
        <v>195</v>
      </c>
      <c r="G2125">
        <v>172</v>
      </c>
      <c r="H2125">
        <v>9</v>
      </c>
      <c r="Q2125" t="s">
        <v>11212</v>
      </c>
    </row>
    <row r="2126" spans="2:19" x14ac:dyDescent="0.25">
      <c r="B2126">
        <v>17441</v>
      </c>
      <c r="C2126" t="s">
        <v>18046</v>
      </c>
      <c r="E2126">
        <v>71</v>
      </c>
      <c r="F2126">
        <v>195</v>
      </c>
      <c r="G2126">
        <v>172</v>
      </c>
      <c r="H2126">
        <v>10</v>
      </c>
      <c r="R2126" t="s">
        <v>11214</v>
      </c>
    </row>
    <row r="2127" spans="2:19" x14ac:dyDescent="0.25">
      <c r="B2127">
        <v>17442</v>
      </c>
      <c r="C2127" t="s">
        <v>18047</v>
      </c>
      <c r="E2127">
        <v>71</v>
      </c>
      <c r="F2127">
        <v>195</v>
      </c>
      <c r="G2127">
        <v>172</v>
      </c>
      <c r="H2127">
        <v>11</v>
      </c>
      <c r="S2127" t="s">
        <v>11216</v>
      </c>
    </row>
    <row r="2128" spans="2:19" x14ac:dyDescent="0.25">
      <c r="B2128">
        <v>17443</v>
      </c>
      <c r="C2128" t="s">
        <v>18048</v>
      </c>
      <c r="E2128">
        <v>71</v>
      </c>
      <c r="F2128">
        <v>195</v>
      </c>
      <c r="G2128">
        <v>172</v>
      </c>
      <c r="H2128">
        <v>10</v>
      </c>
      <c r="R2128" t="s">
        <v>11218</v>
      </c>
    </row>
    <row r="2129" spans="2:19" x14ac:dyDescent="0.25">
      <c r="B2129">
        <v>17444</v>
      </c>
      <c r="C2129" t="s">
        <v>18049</v>
      </c>
      <c r="E2129">
        <v>71</v>
      </c>
      <c r="F2129">
        <v>195</v>
      </c>
      <c r="G2129">
        <v>172</v>
      </c>
      <c r="H2129">
        <v>11</v>
      </c>
      <c r="S2129" t="s">
        <v>11220</v>
      </c>
    </row>
    <row r="2130" spans="2:19" x14ac:dyDescent="0.25">
      <c r="B2130">
        <v>17445</v>
      </c>
      <c r="C2130" t="s">
        <v>18050</v>
      </c>
      <c r="E2130">
        <v>71</v>
      </c>
      <c r="F2130">
        <v>195</v>
      </c>
      <c r="G2130">
        <v>172</v>
      </c>
      <c r="H2130">
        <v>10</v>
      </c>
      <c r="R2130" t="s">
        <v>11222</v>
      </c>
    </row>
    <row r="2131" spans="2:19" x14ac:dyDescent="0.25">
      <c r="B2131">
        <v>17446</v>
      </c>
      <c r="C2131" t="s">
        <v>18051</v>
      </c>
      <c r="E2131">
        <v>71</v>
      </c>
      <c r="F2131">
        <v>195</v>
      </c>
      <c r="G2131">
        <v>172</v>
      </c>
      <c r="H2131">
        <v>11</v>
      </c>
      <c r="S2131" t="s">
        <v>11224</v>
      </c>
    </row>
    <row r="2132" spans="2:19" x14ac:dyDescent="0.25">
      <c r="B2132">
        <v>17447</v>
      </c>
      <c r="C2132" t="s">
        <v>18052</v>
      </c>
      <c r="E2132">
        <v>71</v>
      </c>
      <c r="F2132">
        <v>195</v>
      </c>
      <c r="G2132">
        <v>172</v>
      </c>
      <c r="H2132">
        <v>11</v>
      </c>
      <c r="S2132" t="s">
        <v>11226</v>
      </c>
    </row>
    <row r="2133" spans="2:19" x14ac:dyDescent="0.25">
      <c r="B2133">
        <v>17448</v>
      </c>
      <c r="C2133" t="s">
        <v>18053</v>
      </c>
      <c r="E2133">
        <v>71</v>
      </c>
      <c r="F2133">
        <v>195</v>
      </c>
      <c r="G2133">
        <v>172</v>
      </c>
      <c r="H2133">
        <v>11</v>
      </c>
      <c r="S2133" t="s">
        <v>11228</v>
      </c>
    </row>
    <row r="2134" spans="2:19" x14ac:dyDescent="0.25">
      <c r="B2134">
        <v>17449</v>
      </c>
      <c r="C2134" t="s">
        <v>18054</v>
      </c>
      <c r="E2134">
        <v>63</v>
      </c>
      <c r="F2134">
        <v>174</v>
      </c>
      <c r="G2134">
        <v>153</v>
      </c>
      <c r="H2134">
        <v>7</v>
      </c>
      <c r="P2134" t="s">
        <v>11230</v>
      </c>
    </row>
    <row r="2135" spans="2:19" x14ac:dyDescent="0.25">
      <c r="B2135">
        <v>17450</v>
      </c>
      <c r="C2135" t="s">
        <v>18055</v>
      </c>
      <c r="E2135">
        <v>63</v>
      </c>
      <c r="F2135">
        <v>174</v>
      </c>
      <c r="G2135">
        <v>153</v>
      </c>
      <c r="H2135">
        <v>9</v>
      </c>
      <c r="Q2135" t="s">
        <v>11232</v>
      </c>
    </row>
    <row r="2136" spans="2:19" x14ac:dyDescent="0.25">
      <c r="B2136">
        <v>17451</v>
      </c>
      <c r="C2136" t="s">
        <v>18056</v>
      </c>
      <c r="E2136">
        <v>71</v>
      </c>
      <c r="F2136">
        <v>195</v>
      </c>
      <c r="G2136">
        <v>172</v>
      </c>
      <c r="H2136">
        <v>9</v>
      </c>
      <c r="Q2136" t="s">
        <v>11234</v>
      </c>
    </row>
    <row r="2137" spans="2:19" x14ac:dyDescent="0.25">
      <c r="B2137">
        <v>17452</v>
      </c>
      <c r="C2137" t="s">
        <v>18057</v>
      </c>
      <c r="E2137">
        <v>71</v>
      </c>
      <c r="F2137">
        <v>195</v>
      </c>
      <c r="G2137">
        <v>172</v>
      </c>
      <c r="H2137">
        <v>10</v>
      </c>
      <c r="R2137" t="s">
        <v>11236</v>
      </c>
    </row>
    <row r="2138" spans="2:19" x14ac:dyDescent="0.25">
      <c r="B2138">
        <v>17453</v>
      </c>
      <c r="C2138" t="s">
        <v>18058</v>
      </c>
      <c r="E2138">
        <v>71</v>
      </c>
      <c r="F2138">
        <v>195</v>
      </c>
      <c r="G2138">
        <v>172</v>
      </c>
      <c r="H2138">
        <v>11</v>
      </c>
      <c r="S2138" t="s">
        <v>11238</v>
      </c>
    </row>
    <row r="2139" spans="2:19" x14ac:dyDescent="0.25">
      <c r="B2139">
        <v>17454</v>
      </c>
      <c r="C2139" t="s">
        <v>18059</v>
      </c>
      <c r="E2139">
        <v>71</v>
      </c>
      <c r="F2139">
        <v>195</v>
      </c>
      <c r="G2139">
        <v>172</v>
      </c>
      <c r="H2139">
        <v>11</v>
      </c>
      <c r="S2139" t="s">
        <v>11240</v>
      </c>
    </row>
    <row r="2140" spans="2:19" x14ac:dyDescent="0.25">
      <c r="B2140">
        <v>17455</v>
      </c>
      <c r="C2140" t="s">
        <v>18060</v>
      </c>
      <c r="E2140">
        <v>71</v>
      </c>
      <c r="F2140">
        <v>195</v>
      </c>
      <c r="G2140">
        <v>172</v>
      </c>
      <c r="H2140">
        <v>10</v>
      </c>
      <c r="R2140" t="s">
        <v>11242</v>
      </c>
    </row>
    <row r="2141" spans="2:19" x14ac:dyDescent="0.25">
      <c r="B2141">
        <v>17456</v>
      </c>
      <c r="C2141" t="s">
        <v>18061</v>
      </c>
      <c r="E2141">
        <v>71</v>
      </c>
      <c r="F2141">
        <v>195</v>
      </c>
      <c r="G2141">
        <v>172</v>
      </c>
      <c r="H2141">
        <v>11</v>
      </c>
      <c r="S2141" t="s">
        <v>11244</v>
      </c>
    </row>
    <row r="2142" spans="2:19" x14ac:dyDescent="0.25">
      <c r="B2142">
        <v>17457</v>
      </c>
      <c r="C2142" t="s">
        <v>18062</v>
      </c>
      <c r="E2142">
        <v>71</v>
      </c>
      <c r="F2142">
        <v>195</v>
      </c>
      <c r="G2142">
        <v>172</v>
      </c>
      <c r="H2142">
        <v>10</v>
      </c>
      <c r="R2142" t="s">
        <v>11246</v>
      </c>
    </row>
    <row r="2143" spans="2:19" x14ac:dyDescent="0.25">
      <c r="B2143">
        <v>17458</v>
      </c>
      <c r="C2143" t="s">
        <v>18063</v>
      </c>
      <c r="E2143">
        <v>71</v>
      </c>
      <c r="F2143">
        <v>195</v>
      </c>
      <c r="G2143">
        <v>172</v>
      </c>
      <c r="H2143">
        <v>11</v>
      </c>
      <c r="S2143" t="s">
        <v>11248</v>
      </c>
    </row>
    <row r="2144" spans="2:19" x14ac:dyDescent="0.25">
      <c r="B2144">
        <v>17459</v>
      </c>
      <c r="C2144" t="s">
        <v>18064</v>
      </c>
      <c r="E2144">
        <v>71</v>
      </c>
      <c r="F2144">
        <v>195</v>
      </c>
      <c r="G2144">
        <v>172</v>
      </c>
      <c r="H2144">
        <v>11</v>
      </c>
      <c r="S2144" t="s">
        <v>11250</v>
      </c>
    </row>
    <row r="2145" spans="2:19" x14ac:dyDescent="0.25">
      <c r="B2145">
        <v>17460</v>
      </c>
      <c r="C2145" t="s">
        <v>18065</v>
      </c>
      <c r="E2145">
        <v>63</v>
      </c>
      <c r="F2145">
        <v>174</v>
      </c>
      <c r="G2145">
        <v>153</v>
      </c>
      <c r="H2145">
        <v>7</v>
      </c>
      <c r="P2145" t="s">
        <v>11252</v>
      </c>
    </row>
    <row r="2146" spans="2:19" x14ac:dyDescent="0.25">
      <c r="B2146">
        <v>17461</v>
      </c>
      <c r="C2146" t="s">
        <v>18066</v>
      </c>
      <c r="E2146">
        <v>63</v>
      </c>
      <c r="F2146">
        <v>174</v>
      </c>
      <c r="G2146">
        <v>153</v>
      </c>
      <c r="H2146">
        <v>9</v>
      </c>
      <c r="Q2146" t="s">
        <v>11254</v>
      </c>
    </row>
    <row r="2147" spans="2:19" x14ac:dyDescent="0.25">
      <c r="B2147">
        <v>17462</v>
      </c>
      <c r="C2147" t="s">
        <v>18067</v>
      </c>
      <c r="E2147">
        <v>71</v>
      </c>
      <c r="F2147">
        <v>195</v>
      </c>
      <c r="G2147">
        <v>172</v>
      </c>
      <c r="H2147">
        <v>9</v>
      </c>
      <c r="Q2147" t="s">
        <v>11256</v>
      </c>
    </row>
    <row r="2148" spans="2:19" x14ac:dyDescent="0.25">
      <c r="B2148">
        <v>17463</v>
      </c>
      <c r="C2148" t="s">
        <v>18068</v>
      </c>
      <c r="E2148">
        <v>71</v>
      </c>
      <c r="F2148">
        <v>195</v>
      </c>
      <c r="G2148">
        <v>172</v>
      </c>
      <c r="H2148">
        <v>10</v>
      </c>
      <c r="R2148" t="s">
        <v>11258</v>
      </c>
    </row>
    <row r="2149" spans="2:19" x14ac:dyDescent="0.25">
      <c r="B2149">
        <v>17464</v>
      </c>
      <c r="C2149" t="s">
        <v>18069</v>
      </c>
      <c r="E2149">
        <v>71</v>
      </c>
      <c r="F2149">
        <v>195</v>
      </c>
      <c r="G2149">
        <v>172</v>
      </c>
      <c r="H2149">
        <v>11</v>
      </c>
      <c r="S2149" t="s">
        <v>11260</v>
      </c>
    </row>
    <row r="2150" spans="2:19" x14ac:dyDescent="0.25">
      <c r="B2150">
        <v>17465</v>
      </c>
      <c r="C2150" t="s">
        <v>18070</v>
      </c>
      <c r="E2150">
        <v>71</v>
      </c>
      <c r="F2150">
        <v>195</v>
      </c>
      <c r="G2150">
        <v>172</v>
      </c>
      <c r="H2150">
        <v>11</v>
      </c>
      <c r="S2150" t="s">
        <v>11262</v>
      </c>
    </row>
    <row r="2151" spans="2:19" x14ac:dyDescent="0.25">
      <c r="B2151">
        <v>17466</v>
      </c>
      <c r="C2151" t="s">
        <v>18071</v>
      </c>
      <c r="E2151">
        <v>71</v>
      </c>
      <c r="F2151">
        <v>195</v>
      </c>
      <c r="G2151">
        <v>172</v>
      </c>
      <c r="H2151">
        <v>11</v>
      </c>
      <c r="S2151" t="s">
        <v>11264</v>
      </c>
    </row>
    <row r="2152" spans="2:19" x14ac:dyDescent="0.25">
      <c r="B2152">
        <v>17467</v>
      </c>
      <c r="C2152" t="s">
        <v>18072</v>
      </c>
      <c r="E2152">
        <v>71</v>
      </c>
      <c r="F2152">
        <v>195</v>
      </c>
      <c r="G2152">
        <v>172</v>
      </c>
      <c r="H2152">
        <v>10</v>
      </c>
      <c r="R2152" t="s">
        <v>11266</v>
      </c>
    </row>
    <row r="2153" spans="2:19" x14ac:dyDescent="0.25">
      <c r="B2153">
        <v>17468</v>
      </c>
      <c r="C2153" t="s">
        <v>18073</v>
      </c>
      <c r="E2153">
        <v>71</v>
      </c>
      <c r="F2153">
        <v>195</v>
      </c>
      <c r="G2153">
        <v>172</v>
      </c>
      <c r="H2153">
        <v>11</v>
      </c>
      <c r="S2153" t="s">
        <v>11268</v>
      </c>
    </row>
    <row r="2154" spans="2:19" x14ac:dyDescent="0.25">
      <c r="B2154">
        <v>17469</v>
      </c>
      <c r="C2154" t="s">
        <v>18074</v>
      </c>
      <c r="E2154">
        <v>71</v>
      </c>
      <c r="F2154">
        <v>195</v>
      </c>
      <c r="G2154">
        <v>172</v>
      </c>
      <c r="H2154">
        <v>11</v>
      </c>
      <c r="S2154" t="s">
        <v>11270</v>
      </c>
    </row>
    <row r="2155" spans="2:19" x14ac:dyDescent="0.25">
      <c r="B2155">
        <v>17470</v>
      </c>
      <c r="C2155" t="s">
        <v>18075</v>
      </c>
      <c r="E2155">
        <v>71</v>
      </c>
      <c r="F2155">
        <v>195</v>
      </c>
      <c r="G2155">
        <v>172</v>
      </c>
      <c r="H2155">
        <v>11</v>
      </c>
      <c r="S2155" t="s">
        <v>11272</v>
      </c>
    </row>
    <row r="2156" spans="2:19" x14ac:dyDescent="0.25">
      <c r="B2156">
        <v>17471</v>
      </c>
      <c r="C2156" t="s">
        <v>18076</v>
      </c>
      <c r="E2156">
        <v>71</v>
      </c>
      <c r="F2156">
        <v>195</v>
      </c>
      <c r="G2156">
        <v>172</v>
      </c>
      <c r="H2156">
        <v>11</v>
      </c>
      <c r="S2156" t="s">
        <v>11274</v>
      </c>
    </row>
    <row r="2157" spans="2:19" x14ac:dyDescent="0.25">
      <c r="B2157">
        <v>17472</v>
      </c>
      <c r="C2157" t="s">
        <v>18077</v>
      </c>
      <c r="E2157">
        <v>71</v>
      </c>
      <c r="F2157">
        <v>195</v>
      </c>
      <c r="G2157">
        <v>172</v>
      </c>
      <c r="H2157">
        <v>10</v>
      </c>
      <c r="R2157" t="s">
        <v>11276</v>
      </c>
    </row>
    <row r="2158" spans="2:19" x14ac:dyDescent="0.25">
      <c r="B2158">
        <v>17473</v>
      </c>
      <c r="C2158" t="s">
        <v>18078</v>
      </c>
      <c r="E2158">
        <v>71</v>
      </c>
      <c r="F2158">
        <v>195</v>
      </c>
      <c r="G2158">
        <v>172</v>
      </c>
      <c r="H2158">
        <v>11</v>
      </c>
      <c r="S2158" t="s">
        <v>11278</v>
      </c>
    </row>
    <row r="2159" spans="2:19" x14ac:dyDescent="0.25">
      <c r="B2159">
        <v>17474</v>
      </c>
      <c r="C2159" t="s">
        <v>18079</v>
      </c>
      <c r="E2159">
        <v>71</v>
      </c>
      <c r="F2159">
        <v>195</v>
      </c>
      <c r="G2159">
        <v>172</v>
      </c>
      <c r="H2159">
        <v>11</v>
      </c>
      <c r="S2159" t="s">
        <v>11280</v>
      </c>
    </row>
    <row r="2160" spans="2:19" x14ac:dyDescent="0.25">
      <c r="B2160">
        <v>17475</v>
      </c>
      <c r="C2160" t="s">
        <v>18080</v>
      </c>
      <c r="E2160">
        <v>55</v>
      </c>
      <c r="F2160">
        <v>152</v>
      </c>
      <c r="G2160">
        <v>134</v>
      </c>
      <c r="H2160">
        <v>5</v>
      </c>
      <c r="O2160" t="s">
        <v>4849</v>
      </c>
    </row>
    <row r="2161" spans="2:19" x14ac:dyDescent="0.25">
      <c r="B2161">
        <v>112892395</v>
      </c>
      <c r="C2161" t="s">
        <v>18081</v>
      </c>
      <c r="E2161">
        <v>47</v>
      </c>
      <c r="F2161">
        <v>135</v>
      </c>
      <c r="G2161">
        <v>118</v>
      </c>
      <c r="H2161">
        <v>9</v>
      </c>
      <c r="P2161" t="s">
        <v>1906</v>
      </c>
    </row>
    <row r="2162" spans="2:19" x14ac:dyDescent="0.25">
      <c r="B2162">
        <v>112892397</v>
      </c>
      <c r="C2162" t="s">
        <v>18082</v>
      </c>
      <c r="E2162">
        <v>63</v>
      </c>
      <c r="F2162">
        <v>174</v>
      </c>
      <c r="G2162">
        <v>153</v>
      </c>
      <c r="H2162">
        <v>9</v>
      </c>
      <c r="P2162" t="s">
        <v>1908</v>
      </c>
    </row>
    <row r="2163" spans="2:19" x14ac:dyDescent="0.25">
      <c r="B2163">
        <v>112892399</v>
      </c>
      <c r="C2163" t="s">
        <v>18083</v>
      </c>
      <c r="E2163">
        <v>63</v>
      </c>
      <c r="F2163">
        <v>174</v>
      </c>
      <c r="G2163">
        <v>153</v>
      </c>
      <c r="H2163">
        <v>10</v>
      </c>
      <c r="Q2163" t="s">
        <v>1910</v>
      </c>
    </row>
    <row r="2164" spans="2:19" x14ac:dyDescent="0.25">
      <c r="B2164">
        <v>112892401</v>
      </c>
      <c r="C2164" t="s">
        <v>18084</v>
      </c>
      <c r="E2164">
        <v>63</v>
      </c>
      <c r="F2164">
        <v>174</v>
      </c>
      <c r="G2164">
        <v>153</v>
      </c>
      <c r="H2164">
        <v>10</v>
      </c>
      <c r="Q2164" t="s">
        <v>1912</v>
      </c>
    </row>
    <row r="2165" spans="2:19" x14ac:dyDescent="0.25">
      <c r="B2165">
        <v>112892403</v>
      </c>
      <c r="C2165" t="s">
        <v>18085</v>
      </c>
      <c r="E2165">
        <v>63</v>
      </c>
      <c r="F2165">
        <v>174</v>
      </c>
      <c r="G2165">
        <v>153</v>
      </c>
      <c r="H2165">
        <v>10</v>
      </c>
      <c r="Q2165" t="s">
        <v>1914</v>
      </c>
    </row>
    <row r="2166" spans="2:19" x14ac:dyDescent="0.25">
      <c r="B2166">
        <v>17476</v>
      </c>
      <c r="C2166" t="s">
        <v>18086</v>
      </c>
      <c r="E2166">
        <v>117</v>
      </c>
      <c r="F2166">
        <v>217</v>
      </c>
      <c r="G2166">
        <v>191</v>
      </c>
      <c r="H2166">
        <v>3</v>
      </c>
      <c r="N2166" t="s">
        <v>4855</v>
      </c>
    </row>
    <row r="2167" spans="2:19" x14ac:dyDescent="0.25">
      <c r="B2167">
        <v>17477</v>
      </c>
      <c r="C2167" t="s">
        <v>18087</v>
      </c>
      <c r="E2167">
        <v>170</v>
      </c>
      <c r="F2167">
        <v>231</v>
      </c>
      <c r="G2167">
        <v>215</v>
      </c>
      <c r="H2167">
        <v>5</v>
      </c>
      <c r="O2167" t="s">
        <v>11282</v>
      </c>
    </row>
    <row r="2168" spans="2:19" x14ac:dyDescent="0.25">
      <c r="B2168">
        <v>17478</v>
      </c>
      <c r="C2168" t="s">
        <v>18088</v>
      </c>
      <c r="E2168">
        <v>117</v>
      </c>
      <c r="F2168">
        <v>217</v>
      </c>
      <c r="G2168">
        <v>191</v>
      </c>
      <c r="H2168">
        <v>5</v>
      </c>
      <c r="O2168" t="s">
        <v>11284</v>
      </c>
    </row>
    <row r="2169" spans="2:19" x14ac:dyDescent="0.25">
      <c r="B2169">
        <v>111220864</v>
      </c>
      <c r="C2169" t="s">
        <v>18089</v>
      </c>
      <c r="E2169">
        <v>117</v>
      </c>
      <c r="F2169">
        <v>217</v>
      </c>
      <c r="G2169">
        <v>191</v>
      </c>
      <c r="H2169">
        <v>9</v>
      </c>
      <c r="P2169" t="s">
        <v>8951</v>
      </c>
    </row>
    <row r="2170" spans="2:19" x14ac:dyDescent="0.25">
      <c r="B2170">
        <v>111220866</v>
      </c>
      <c r="C2170" t="s">
        <v>18090</v>
      </c>
      <c r="E2170">
        <v>150</v>
      </c>
      <c r="F2170">
        <v>226</v>
      </c>
      <c r="G2170">
        <v>206</v>
      </c>
      <c r="H2170">
        <v>9</v>
      </c>
      <c r="P2170" t="s">
        <v>8953</v>
      </c>
    </row>
    <row r="2171" spans="2:19" x14ac:dyDescent="0.25">
      <c r="B2171">
        <v>17479</v>
      </c>
      <c r="C2171" t="s">
        <v>18091</v>
      </c>
      <c r="E2171">
        <v>117</v>
      </c>
      <c r="F2171">
        <v>217</v>
      </c>
      <c r="G2171">
        <v>191</v>
      </c>
      <c r="H2171">
        <v>7</v>
      </c>
      <c r="P2171" t="s">
        <v>11286</v>
      </c>
    </row>
    <row r="2172" spans="2:19" x14ac:dyDescent="0.25">
      <c r="B2172">
        <v>17480</v>
      </c>
      <c r="C2172" t="s">
        <v>18092</v>
      </c>
      <c r="E2172">
        <v>117</v>
      </c>
      <c r="F2172">
        <v>217</v>
      </c>
      <c r="G2172">
        <v>191</v>
      </c>
      <c r="H2172">
        <v>9</v>
      </c>
      <c r="Q2172" t="s">
        <v>11288</v>
      </c>
    </row>
    <row r="2173" spans="2:19" x14ac:dyDescent="0.25">
      <c r="B2173">
        <v>17481</v>
      </c>
      <c r="C2173" t="s">
        <v>18093</v>
      </c>
      <c r="E2173">
        <v>150</v>
      </c>
      <c r="F2173">
        <v>226</v>
      </c>
      <c r="G2173">
        <v>206</v>
      </c>
      <c r="H2173">
        <v>9</v>
      </c>
      <c r="Q2173" t="s">
        <v>11290</v>
      </c>
    </row>
    <row r="2174" spans="2:19" x14ac:dyDescent="0.25">
      <c r="B2174">
        <v>111220868</v>
      </c>
      <c r="C2174" t="s">
        <v>18094</v>
      </c>
      <c r="E2174">
        <v>150</v>
      </c>
      <c r="F2174">
        <v>226</v>
      </c>
      <c r="G2174">
        <v>206</v>
      </c>
      <c r="H2174">
        <v>10</v>
      </c>
      <c r="R2174" t="s">
        <v>8955</v>
      </c>
    </row>
    <row r="2175" spans="2:19" x14ac:dyDescent="0.25">
      <c r="B2175">
        <v>17483</v>
      </c>
      <c r="C2175" t="s">
        <v>18095</v>
      </c>
      <c r="E2175">
        <v>150</v>
      </c>
      <c r="F2175">
        <v>226</v>
      </c>
      <c r="G2175">
        <v>206</v>
      </c>
      <c r="H2175">
        <v>11</v>
      </c>
      <c r="S2175" t="s">
        <v>11294</v>
      </c>
    </row>
    <row r="2176" spans="2:19" x14ac:dyDescent="0.25">
      <c r="B2176">
        <v>111220870</v>
      </c>
      <c r="C2176" t="s">
        <v>18096</v>
      </c>
      <c r="E2176">
        <v>150</v>
      </c>
      <c r="F2176">
        <v>226</v>
      </c>
      <c r="G2176">
        <v>206</v>
      </c>
      <c r="H2176">
        <v>10</v>
      </c>
      <c r="R2176" t="s">
        <v>8957</v>
      </c>
    </row>
    <row r="2177" spans="2:19" x14ac:dyDescent="0.25">
      <c r="B2177">
        <v>17482</v>
      </c>
      <c r="C2177" t="s">
        <v>18097</v>
      </c>
      <c r="E2177">
        <v>150</v>
      </c>
      <c r="F2177">
        <v>226</v>
      </c>
      <c r="G2177">
        <v>206</v>
      </c>
      <c r="H2177">
        <v>11</v>
      </c>
      <c r="S2177" t="s">
        <v>11292</v>
      </c>
    </row>
    <row r="2178" spans="2:19" x14ac:dyDescent="0.25">
      <c r="B2178">
        <v>111220872</v>
      </c>
      <c r="C2178" t="s">
        <v>18098</v>
      </c>
      <c r="E2178">
        <v>150</v>
      </c>
      <c r="F2178">
        <v>226</v>
      </c>
      <c r="G2178">
        <v>206</v>
      </c>
      <c r="H2178">
        <v>10</v>
      </c>
      <c r="R2178" t="s">
        <v>8959</v>
      </c>
    </row>
    <row r="2179" spans="2:19" x14ac:dyDescent="0.25">
      <c r="B2179">
        <v>17484</v>
      </c>
      <c r="C2179" t="s">
        <v>18099</v>
      </c>
      <c r="E2179">
        <v>150</v>
      </c>
      <c r="F2179">
        <v>226</v>
      </c>
      <c r="G2179">
        <v>206</v>
      </c>
      <c r="H2179">
        <v>11</v>
      </c>
      <c r="S2179" t="s">
        <v>11296</v>
      </c>
    </row>
    <row r="2180" spans="2:19" x14ac:dyDescent="0.25">
      <c r="B2180">
        <v>17485</v>
      </c>
      <c r="C2180" t="s">
        <v>18100</v>
      </c>
      <c r="E2180">
        <v>117</v>
      </c>
      <c r="F2180">
        <v>217</v>
      </c>
      <c r="G2180">
        <v>191</v>
      </c>
      <c r="H2180">
        <v>7</v>
      </c>
      <c r="P2180" t="s">
        <v>11298</v>
      </c>
    </row>
    <row r="2181" spans="2:19" x14ac:dyDescent="0.25">
      <c r="B2181">
        <v>17486</v>
      </c>
      <c r="C2181" t="s">
        <v>18101</v>
      </c>
      <c r="E2181">
        <v>117</v>
      </c>
      <c r="F2181">
        <v>217</v>
      </c>
      <c r="G2181">
        <v>191</v>
      </c>
      <c r="H2181">
        <v>9</v>
      </c>
      <c r="Q2181" t="s">
        <v>11300</v>
      </c>
    </row>
    <row r="2182" spans="2:19" x14ac:dyDescent="0.25">
      <c r="B2182">
        <v>17487</v>
      </c>
      <c r="C2182" t="s">
        <v>18102</v>
      </c>
      <c r="E2182">
        <v>150</v>
      </c>
      <c r="F2182">
        <v>226</v>
      </c>
      <c r="G2182">
        <v>206</v>
      </c>
      <c r="H2182">
        <v>9</v>
      </c>
      <c r="Q2182" t="s">
        <v>11302</v>
      </c>
    </row>
    <row r="2183" spans="2:19" x14ac:dyDescent="0.25">
      <c r="B2183">
        <v>111220874</v>
      </c>
      <c r="C2183" t="s">
        <v>18103</v>
      </c>
      <c r="E2183">
        <v>150</v>
      </c>
      <c r="F2183">
        <v>226</v>
      </c>
      <c r="G2183">
        <v>206</v>
      </c>
      <c r="H2183">
        <v>10</v>
      </c>
      <c r="R2183" t="s">
        <v>8961</v>
      </c>
    </row>
    <row r="2184" spans="2:19" x14ac:dyDescent="0.25">
      <c r="B2184">
        <v>17490</v>
      </c>
      <c r="C2184" t="s">
        <v>18104</v>
      </c>
      <c r="E2184">
        <v>150</v>
      </c>
      <c r="F2184">
        <v>226</v>
      </c>
      <c r="G2184">
        <v>206</v>
      </c>
      <c r="H2184">
        <v>11</v>
      </c>
      <c r="S2184" t="s">
        <v>11308</v>
      </c>
    </row>
    <row r="2185" spans="2:19" x14ac:dyDescent="0.25">
      <c r="B2185">
        <v>111220876</v>
      </c>
      <c r="C2185" t="s">
        <v>18105</v>
      </c>
      <c r="E2185">
        <v>150</v>
      </c>
      <c r="F2185">
        <v>226</v>
      </c>
      <c r="G2185">
        <v>206</v>
      </c>
      <c r="H2185">
        <v>10</v>
      </c>
      <c r="R2185" t="s">
        <v>8963</v>
      </c>
    </row>
    <row r="2186" spans="2:19" x14ac:dyDescent="0.25">
      <c r="B2186">
        <v>17489</v>
      </c>
      <c r="C2186" t="s">
        <v>18106</v>
      </c>
      <c r="E2186">
        <v>150</v>
      </c>
      <c r="F2186">
        <v>226</v>
      </c>
      <c r="G2186">
        <v>206</v>
      </c>
      <c r="H2186">
        <v>11</v>
      </c>
      <c r="S2186" t="s">
        <v>11306</v>
      </c>
    </row>
    <row r="2187" spans="2:19" x14ac:dyDescent="0.25">
      <c r="B2187">
        <v>17493</v>
      </c>
      <c r="C2187" t="s">
        <v>18107</v>
      </c>
      <c r="E2187">
        <v>150</v>
      </c>
      <c r="F2187">
        <v>226</v>
      </c>
      <c r="G2187">
        <v>206</v>
      </c>
      <c r="H2187">
        <v>11</v>
      </c>
      <c r="S2187" t="s">
        <v>11314</v>
      </c>
    </row>
    <row r="2188" spans="2:19" x14ac:dyDescent="0.25">
      <c r="B2188">
        <v>111220878</v>
      </c>
      <c r="C2188" t="s">
        <v>18108</v>
      </c>
      <c r="E2188">
        <v>150</v>
      </c>
      <c r="F2188">
        <v>226</v>
      </c>
      <c r="G2188">
        <v>206</v>
      </c>
      <c r="H2188">
        <v>10</v>
      </c>
      <c r="R2188" t="s">
        <v>8965</v>
      </c>
    </row>
    <row r="2189" spans="2:19" x14ac:dyDescent="0.25">
      <c r="B2189">
        <v>17488</v>
      </c>
      <c r="C2189" t="s">
        <v>18109</v>
      </c>
      <c r="E2189">
        <v>150</v>
      </c>
      <c r="F2189">
        <v>226</v>
      </c>
      <c r="G2189">
        <v>206</v>
      </c>
      <c r="H2189">
        <v>11</v>
      </c>
      <c r="S2189" t="s">
        <v>11304</v>
      </c>
    </row>
    <row r="2190" spans="2:19" x14ac:dyDescent="0.25">
      <c r="B2190">
        <v>17491</v>
      </c>
      <c r="C2190" t="s">
        <v>18110</v>
      </c>
      <c r="E2190">
        <v>150</v>
      </c>
      <c r="F2190">
        <v>226</v>
      </c>
      <c r="G2190">
        <v>206</v>
      </c>
      <c r="H2190">
        <v>11</v>
      </c>
      <c r="S2190" t="s">
        <v>11310</v>
      </c>
    </row>
    <row r="2191" spans="2:19" x14ac:dyDescent="0.25">
      <c r="B2191">
        <v>17492</v>
      </c>
      <c r="C2191" t="s">
        <v>18111</v>
      </c>
      <c r="E2191">
        <v>150</v>
      </c>
      <c r="F2191">
        <v>226</v>
      </c>
      <c r="G2191">
        <v>206</v>
      </c>
      <c r="H2191">
        <v>11</v>
      </c>
      <c r="S2191" t="s">
        <v>11312</v>
      </c>
    </row>
    <row r="2192" spans="2:19" x14ac:dyDescent="0.25">
      <c r="B2192">
        <v>17494</v>
      </c>
      <c r="C2192" t="s">
        <v>18112</v>
      </c>
      <c r="E2192">
        <v>117</v>
      </c>
      <c r="F2192">
        <v>217</v>
      </c>
      <c r="G2192">
        <v>191</v>
      </c>
      <c r="H2192">
        <v>7</v>
      </c>
      <c r="P2192" t="s">
        <v>11316</v>
      </c>
    </row>
    <row r="2193" spans="2:19" x14ac:dyDescent="0.25">
      <c r="B2193">
        <v>17495</v>
      </c>
      <c r="C2193" t="s">
        <v>18113</v>
      </c>
      <c r="E2193">
        <v>117</v>
      </c>
      <c r="F2193">
        <v>217</v>
      </c>
      <c r="G2193">
        <v>191</v>
      </c>
      <c r="H2193">
        <v>9</v>
      </c>
      <c r="Q2193" t="s">
        <v>11318</v>
      </c>
    </row>
    <row r="2194" spans="2:19" x14ac:dyDescent="0.25">
      <c r="B2194">
        <v>17496</v>
      </c>
      <c r="C2194" t="s">
        <v>18114</v>
      </c>
      <c r="E2194">
        <v>150</v>
      </c>
      <c r="F2194">
        <v>226</v>
      </c>
      <c r="G2194">
        <v>206</v>
      </c>
      <c r="H2194">
        <v>9</v>
      </c>
      <c r="Q2194" t="s">
        <v>11320</v>
      </c>
    </row>
    <row r="2195" spans="2:19" x14ac:dyDescent="0.25">
      <c r="B2195">
        <v>111220880</v>
      </c>
      <c r="C2195" t="s">
        <v>18115</v>
      </c>
      <c r="E2195">
        <v>150</v>
      </c>
      <c r="F2195">
        <v>226</v>
      </c>
      <c r="G2195">
        <v>206</v>
      </c>
      <c r="H2195">
        <v>10</v>
      </c>
      <c r="R2195" t="s">
        <v>8967</v>
      </c>
    </row>
    <row r="2196" spans="2:19" x14ac:dyDescent="0.25">
      <c r="B2196">
        <v>17498</v>
      </c>
      <c r="C2196" t="s">
        <v>18116</v>
      </c>
      <c r="E2196">
        <v>150</v>
      </c>
      <c r="F2196">
        <v>226</v>
      </c>
      <c r="G2196">
        <v>206</v>
      </c>
      <c r="H2196">
        <v>11</v>
      </c>
      <c r="S2196" t="s">
        <v>11324</v>
      </c>
    </row>
    <row r="2197" spans="2:19" x14ac:dyDescent="0.25">
      <c r="B2197">
        <v>112892405</v>
      </c>
      <c r="C2197" t="s">
        <v>18117</v>
      </c>
      <c r="E2197">
        <v>150</v>
      </c>
      <c r="F2197">
        <v>226</v>
      </c>
      <c r="G2197">
        <v>206</v>
      </c>
      <c r="H2197">
        <v>11</v>
      </c>
      <c r="S2197" t="s">
        <v>9059</v>
      </c>
    </row>
    <row r="2198" spans="2:19" x14ac:dyDescent="0.25">
      <c r="B2198">
        <v>111220882</v>
      </c>
      <c r="C2198" t="s">
        <v>18118</v>
      </c>
      <c r="E2198">
        <v>150</v>
      </c>
      <c r="F2198">
        <v>226</v>
      </c>
      <c r="G2198">
        <v>206</v>
      </c>
      <c r="H2198">
        <v>10</v>
      </c>
      <c r="R2198" t="s">
        <v>8969</v>
      </c>
    </row>
    <row r="2199" spans="2:19" x14ac:dyDescent="0.25">
      <c r="B2199">
        <v>17497</v>
      </c>
      <c r="C2199" t="s">
        <v>18119</v>
      </c>
      <c r="E2199">
        <v>150</v>
      </c>
      <c r="F2199">
        <v>226</v>
      </c>
      <c r="G2199">
        <v>206</v>
      </c>
      <c r="H2199">
        <v>11</v>
      </c>
      <c r="S2199" t="s">
        <v>11322</v>
      </c>
    </row>
    <row r="2200" spans="2:19" x14ac:dyDescent="0.25">
      <c r="B2200">
        <v>111220884</v>
      </c>
      <c r="C2200" t="s">
        <v>18120</v>
      </c>
      <c r="E2200">
        <v>150</v>
      </c>
      <c r="F2200">
        <v>226</v>
      </c>
      <c r="G2200">
        <v>206</v>
      </c>
      <c r="H2200">
        <v>10</v>
      </c>
      <c r="R2200" t="s">
        <v>8971</v>
      </c>
    </row>
    <row r="2201" spans="2:19" x14ac:dyDescent="0.25">
      <c r="B2201">
        <v>17499</v>
      </c>
      <c r="C2201" t="s">
        <v>18121</v>
      </c>
      <c r="E2201">
        <v>150</v>
      </c>
      <c r="F2201">
        <v>226</v>
      </c>
      <c r="G2201">
        <v>206</v>
      </c>
      <c r="H2201">
        <v>11</v>
      </c>
      <c r="S2201" t="s">
        <v>11326</v>
      </c>
    </row>
    <row r="2202" spans="2:19" x14ac:dyDescent="0.25">
      <c r="B2202">
        <v>17500</v>
      </c>
      <c r="C2202" t="s">
        <v>18122</v>
      </c>
      <c r="E2202">
        <v>94</v>
      </c>
      <c r="F2202">
        <v>174</v>
      </c>
      <c r="G2202">
        <v>153</v>
      </c>
      <c r="H2202">
        <v>5</v>
      </c>
      <c r="O2202" t="s">
        <v>11328</v>
      </c>
    </row>
    <row r="2203" spans="2:19" x14ac:dyDescent="0.25">
      <c r="B2203">
        <v>111220886</v>
      </c>
      <c r="C2203" t="s">
        <v>18123</v>
      </c>
      <c r="E2203">
        <v>94</v>
      </c>
      <c r="F2203">
        <v>174</v>
      </c>
      <c r="G2203">
        <v>153</v>
      </c>
      <c r="H2203">
        <v>9</v>
      </c>
      <c r="P2203" t="s">
        <v>8973</v>
      </c>
    </row>
    <row r="2204" spans="2:19" x14ac:dyDescent="0.25">
      <c r="B2204">
        <v>111220888</v>
      </c>
      <c r="C2204" t="s">
        <v>18124</v>
      </c>
      <c r="E2204">
        <v>105</v>
      </c>
      <c r="F2204">
        <v>195</v>
      </c>
      <c r="G2204">
        <v>172</v>
      </c>
      <c r="H2204">
        <v>9</v>
      </c>
      <c r="P2204" t="s">
        <v>8975</v>
      </c>
    </row>
    <row r="2205" spans="2:19" x14ac:dyDescent="0.25">
      <c r="B2205">
        <v>17501</v>
      </c>
      <c r="C2205" t="s">
        <v>18125</v>
      </c>
      <c r="E2205">
        <v>94</v>
      </c>
      <c r="F2205">
        <v>174</v>
      </c>
      <c r="G2205">
        <v>153</v>
      </c>
      <c r="H2205">
        <v>7</v>
      </c>
      <c r="P2205" t="s">
        <v>11330</v>
      </c>
    </row>
    <row r="2206" spans="2:19" x14ac:dyDescent="0.25">
      <c r="B2206">
        <v>17502</v>
      </c>
      <c r="C2206" t="s">
        <v>18126</v>
      </c>
      <c r="E2206">
        <v>94</v>
      </c>
      <c r="F2206">
        <v>174</v>
      </c>
      <c r="G2206">
        <v>153</v>
      </c>
      <c r="H2206">
        <v>9</v>
      </c>
      <c r="Q2206" t="s">
        <v>11332</v>
      </c>
    </row>
    <row r="2207" spans="2:19" x14ac:dyDescent="0.25">
      <c r="B2207">
        <v>17503</v>
      </c>
      <c r="C2207" t="s">
        <v>18127</v>
      </c>
      <c r="E2207">
        <v>105</v>
      </c>
      <c r="F2207">
        <v>195</v>
      </c>
      <c r="G2207">
        <v>172</v>
      </c>
      <c r="H2207">
        <v>9</v>
      </c>
      <c r="Q2207" t="s">
        <v>11334</v>
      </c>
    </row>
    <row r="2208" spans="2:19" x14ac:dyDescent="0.25">
      <c r="B2208">
        <v>17504</v>
      </c>
      <c r="C2208" t="s">
        <v>18128</v>
      </c>
      <c r="E2208">
        <v>105</v>
      </c>
      <c r="F2208">
        <v>195</v>
      </c>
      <c r="G2208">
        <v>172</v>
      </c>
      <c r="H2208">
        <v>10</v>
      </c>
      <c r="R2208" t="s">
        <v>11336</v>
      </c>
    </row>
    <row r="2209" spans="2:19" x14ac:dyDescent="0.25">
      <c r="B2209">
        <v>17505</v>
      </c>
      <c r="C2209" t="s">
        <v>18129</v>
      </c>
      <c r="E2209">
        <v>105</v>
      </c>
      <c r="F2209">
        <v>195</v>
      </c>
      <c r="G2209">
        <v>172</v>
      </c>
      <c r="H2209">
        <v>11</v>
      </c>
      <c r="S2209" t="s">
        <v>11338</v>
      </c>
    </row>
    <row r="2210" spans="2:19" x14ac:dyDescent="0.25">
      <c r="B2210">
        <v>17506</v>
      </c>
      <c r="C2210" t="s">
        <v>18130</v>
      </c>
      <c r="E2210">
        <v>105</v>
      </c>
      <c r="F2210">
        <v>195</v>
      </c>
      <c r="G2210">
        <v>172</v>
      </c>
      <c r="H2210">
        <v>10</v>
      </c>
      <c r="R2210" t="s">
        <v>11340</v>
      </c>
    </row>
    <row r="2211" spans="2:19" x14ac:dyDescent="0.25">
      <c r="B2211">
        <v>17507</v>
      </c>
      <c r="C2211" t="s">
        <v>18131</v>
      </c>
      <c r="E2211">
        <v>105</v>
      </c>
      <c r="F2211">
        <v>195</v>
      </c>
      <c r="G2211">
        <v>172</v>
      </c>
      <c r="H2211">
        <v>11</v>
      </c>
      <c r="S2211" t="s">
        <v>11342</v>
      </c>
    </row>
    <row r="2212" spans="2:19" x14ac:dyDescent="0.25">
      <c r="B2212">
        <v>17508</v>
      </c>
      <c r="C2212" t="s">
        <v>18132</v>
      </c>
      <c r="E2212">
        <v>105</v>
      </c>
      <c r="F2212">
        <v>195</v>
      </c>
      <c r="G2212">
        <v>172</v>
      </c>
      <c r="H2212">
        <v>10</v>
      </c>
      <c r="R2212" t="s">
        <v>11344</v>
      </c>
    </row>
    <row r="2213" spans="2:19" x14ac:dyDescent="0.25">
      <c r="B2213">
        <v>17509</v>
      </c>
      <c r="C2213" t="s">
        <v>18133</v>
      </c>
      <c r="E2213">
        <v>105</v>
      </c>
      <c r="F2213">
        <v>195</v>
      </c>
      <c r="G2213">
        <v>172</v>
      </c>
      <c r="H2213">
        <v>11</v>
      </c>
      <c r="S2213" t="s">
        <v>11346</v>
      </c>
    </row>
    <row r="2214" spans="2:19" x14ac:dyDescent="0.25">
      <c r="B2214">
        <v>17510</v>
      </c>
      <c r="C2214" t="s">
        <v>18134</v>
      </c>
      <c r="E2214">
        <v>105</v>
      </c>
      <c r="F2214">
        <v>195</v>
      </c>
      <c r="G2214">
        <v>172</v>
      </c>
      <c r="H2214">
        <v>11</v>
      </c>
      <c r="S2214" t="s">
        <v>11348</v>
      </c>
    </row>
    <row r="2215" spans="2:19" x14ac:dyDescent="0.25">
      <c r="B2215">
        <v>17511</v>
      </c>
      <c r="C2215" t="s">
        <v>18135</v>
      </c>
      <c r="E2215">
        <v>105</v>
      </c>
      <c r="F2215">
        <v>195</v>
      </c>
      <c r="G2215">
        <v>172</v>
      </c>
      <c r="H2215">
        <v>11</v>
      </c>
      <c r="S2215" t="s">
        <v>11350</v>
      </c>
    </row>
    <row r="2216" spans="2:19" x14ac:dyDescent="0.25">
      <c r="B2216">
        <v>17512</v>
      </c>
      <c r="C2216" t="s">
        <v>18136</v>
      </c>
      <c r="E2216">
        <v>94</v>
      </c>
      <c r="F2216">
        <v>174</v>
      </c>
      <c r="G2216">
        <v>153</v>
      </c>
      <c r="H2216">
        <v>7</v>
      </c>
      <c r="P2216" t="s">
        <v>11352</v>
      </c>
    </row>
    <row r="2217" spans="2:19" x14ac:dyDescent="0.25">
      <c r="B2217">
        <v>17513</v>
      </c>
      <c r="C2217" t="s">
        <v>18137</v>
      </c>
      <c r="E2217">
        <v>94</v>
      </c>
      <c r="F2217">
        <v>174</v>
      </c>
      <c r="G2217">
        <v>153</v>
      </c>
      <c r="H2217">
        <v>9</v>
      </c>
      <c r="Q2217" t="s">
        <v>11354</v>
      </c>
    </row>
    <row r="2218" spans="2:19" x14ac:dyDescent="0.25">
      <c r="B2218">
        <v>17514</v>
      </c>
      <c r="C2218" t="s">
        <v>18138</v>
      </c>
      <c r="E2218">
        <v>105</v>
      </c>
      <c r="F2218">
        <v>195</v>
      </c>
      <c r="G2218">
        <v>172</v>
      </c>
      <c r="H2218">
        <v>9</v>
      </c>
      <c r="Q2218" t="s">
        <v>11356</v>
      </c>
    </row>
    <row r="2219" spans="2:19" x14ac:dyDescent="0.25">
      <c r="B2219">
        <v>17515</v>
      </c>
      <c r="C2219" t="s">
        <v>18139</v>
      </c>
      <c r="E2219">
        <v>105</v>
      </c>
      <c r="F2219">
        <v>195</v>
      </c>
      <c r="G2219">
        <v>172</v>
      </c>
      <c r="H2219">
        <v>10</v>
      </c>
      <c r="R2219" t="s">
        <v>11358</v>
      </c>
    </row>
    <row r="2220" spans="2:19" x14ac:dyDescent="0.25">
      <c r="B2220">
        <v>17516</v>
      </c>
      <c r="C2220" t="s">
        <v>18140</v>
      </c>
      <c r="E2220">
        <v>105</v>
      </c>
      <c r="F2220">
        <v>195</v>
      </c>
      <c r="G2220">
        <v>172</v>
      </c>
      <c r="H2220">
        <v>11</v>
      </c>
      <c r="S2220" t="s">
        <v>11360</v>
      </c>
    </row>
    <row r="2221" spans="2:19" x14ac:dyDescent="0.25">
      <c r="B2221">
        <v>17517</v>
      </c>
      <c r="C2221" t="s">
        <v>18141</v>
      </c>
      <c r="E2221">
        <v>105</v>
      </c>
      <c r="F2221">
        <v>195</v>
      </c>
      <c r="G2221">
        <v>172</v>
      </c>
      <c r="H2221">
        <v>11</v>
      </c>
      <c r="S2221" t="s">
        <v>11362</v>
      </c>
    </row>
    <row r="2222" spans="2:19" x14ac:dyDescent="0.25">
      <c r="B2222">
        <v>17518</v>
      </c>
      <c r="C2222" t="s">
        <v>18142</v>
      </c>
      <c r="E2222">
        <v>105</v>
      </c>
      <c r="F2222">
        <v>195</v>
      </c>
      <c r="G2222">
        <v>172</v>
      </c>
      <c r="H2222">
        <v>10</v>
      </c>
      <c r="R2222" t="s">
        <v>11364</v>
      </c>
    </row>
    <row r="2223" spans="2:19" x14ac:dyDescent="0.25">
      <c r="B2223">
        <v>17519</v>
      </c>
      <c r="C2223" t="s">
        <v>18143</v>
      </c>
      <c r="E2223">
        <v>105</v>
      </c>
      <c r="F2223">
        <v>195</v>
      </c>
      <c r="G2223">
        <v>172</v>
      </c>
      <c r="H2223">
        <v>11</v>
      </c>
      <c r="S2223" t="s">
        <v>11366</v>
      </c>
    </row>
    <row r="2224" spans="2:19" x14ac:dyDescent="0.25">
      <c r="B2224">
        <v>17520</v>
      </c>
      <c r="C2224" t="s">
        <v>18144</v>
      </c>
      <c r="E2224">
        <v>105</v>
      </c>
      <c r="F2224">
        <v>195</v>
      </c>
      <c r="G2224">
        <v>172</v>
      </c>
      <c r="H2224">
        <v>10</v>
      </c>
      <c r="R2224" t="s">
        <v>11368</v>
      </c>
    </row>
    <row r="2225" spans="2:19" x14ac:dyDescent="0.25">
      <c r="B2225">
        <v>17521</v>
      </c>
      <c r="C2225" t="s">
        <v>18145</v>
      </c>
      <c r="E2225">
        <v>105</v>
      </c>
      <c r="F2225">
        <v>195</v>
      </c>
      <c r="G2225">
        <v>172</v>
      </c>
      <c r="H2225">
        <v>11</v>
      </c>
      <c r="S2225" t="s">
        <v>11370</v>
      </c>
    </row>
    <row r="2226" spans="2:19" x14ac:dyDescent="0.25">
      <c r="B2226">
        <v>17522</v>
      </c>
      <c r="C2226" t="s">
        <v>18146</v>
      </c>
      <c r="E2226">
        <v>105</v>
      </c>
      <c r="F2226">
        <v>195</v>
      </c>
      <c r="G2226">
        <v>172</v>
      </c>
      <c r="H2226">
        <v>11</v>
      </c>
      <c r="S2226" t="s">
        <v>11372</v>
      </c>
    </row>
    <row r="2227" spans="2:19" x14ac:dyDescent="0.25">
      <c r="B2227">
        <v>17523</v>
      </c>
      <c r="C2227" t="s">
        <v>18147</v>
      </c>
      <c r="E2227">
        <v>94</v>
      </c>
      <c r="F2227">
        <v>174</v>
      </c>
      <c r="G2227">
        <v>153</v>
      </c>
      <c r="H2227">
        <v>7</v>
      </c>
      <c r="P2227" t="s">
        <v>11374</v>
      </c>
    </row>
    <row r="2228" spans="2:19" x14ac:dyDescent="0.25">
      <c r="B2228">
        <v>17524</v>
      </c>
      <c r="C2228" t="s">
        <v>18148</v>
      </c>
      <c r="E2228">
        <v>94</v>
      </c>
      <c r="F2228">
        <v>174</v>
      </c>
      <c r="G2228">
        <v>153</v>
      </c>
      <c r="H2228">
        <v>9</v>
      </c>
      <c r="Q2228" t="s">
        <v>11376</v>
      </c>
    </row>
    <row r="2229" spans="2:19" x14ac:dyDescent="0.25">
      <c r="B2229">
        <v>17525</v>
      </c>
      <c r="C2229" t="s">
        <v>18149</v>
      </c>
      <c r="E2229">
        <v>105</v>
      </c>
      <c r="F2229">
        <v>195</v>
      </c>
      <c r="G2229">
        <v>172</v>
      </c>
      <c r="H2229">
        <v>9</v>
      </c>
      <c r="Q2229" t="s">
        <v>11378</v>
      </c>
    </row>
    <row r="2230" spans="2:19" x14ac:dyDescent="0.25">
      <c r="B2230">
        <v>17526</v>
      </c>
      <c r="C2230" t="s">
        <v>18150</v>
      </c>
      <c r="E2230">
        <v>105</v>
      </c>
      <c r="F2230">
        <v>195</v>
      </c>
      <c r="G2230">
        <v>172</v>
      </c>
      <c r="H2230">
        <v>10</v>
      </c>
      <c r="R2230" t="s">
        <v>11380</v>
      </c>
    </row>
    <row r="2231" spans="2:19" x14ac:dyDescent="0.25">
      <c r="B2231">
        <v>17527</v>
      </c>
      <c r="C2231" t="s">
        <v>18151</v>
      </c>
      <c r="E2231">
        <v>105</v>
      </c>
      <c r="F2231">
        <v>195</v>
      </c>
      <c r="G2231">
        <v>172</v>
      </c>
      <c r="H2231">
        <v>11</v>
      </c>
      <c r="S2231" t="s">
        <v>11382</v>
      </c>
    </row>
    <row r="2232" spans="2:19" x14ac:dyDescent="0.25">
      <c r="B2232">
        <v>17528</v>
      </c>
      <c r="C2232" t="s">
        <v>18152</v>
      </c>
      <c r="E2232">
        <v>105</v>
      </c>
      <c r="F2232">
        <v>195</v>
      </c>
      <c r="G2232">
        <v>172</v>
      </c>
      <c r="H2232">
        <v>11</v>
      </c>
      <c r="S2232" t="s">
        <v>11384</v>
      </c>
    </row>
    <row r="2233" spans="2:19" x14ac:dyDescent="0.25">
      <c r="B2233">
        <v>17529</v>
      </c>
      <c r="C2233" t="s">
        <v>18153</v>
      </c>
      <c r="E2233">
        <v>105</v>
      </c>
      <c r="F2233">
        <v>195</v>
      </c>
      <c r="G2233">
        <v>172</v>
      </c>
      <c r="H2233">
        <v>10</v>
      </c>
      <c r="R2233" t="s">
        <v>11386</v>
      </c>
    </row>
    <row r="2234" spans="2:19" x14ac:dyDescent="0.25">
      <c r="B2234">
        <v>17530</v>
      </c>
      <c r="C2234" t="s">
        <v>18154</v>
      </c>
      <c r="E2234">
        <v>105</v>
      </c>
      <c r="F2234">
        <v>195</v>
      </c>
      <c r="G2234">
        <v>172</v>
      </c>
      <c r="H2234">
        <v>11</v>
      </c>
      <c r="S2234" t="s">
        <v>11388</v>
      </c>
    </row>
    <row r="2235" spans="2:19" x14ac:dyDescent="0.25">
      <c r="B2235">
        <v>17531</v>
      </c>
      <c r="C2235" t="s">
        <v>18155</v>
      </c>
      <c r="E2235">
        <v>105</v>
      </c>
      <c r="F2235">
        <v>195</v>
      </c>
      <c r="G2235">
        <v>172</v>
      </c>
      <c r="H2235">
        <v>11</v>
      </c>
      <c r="S2235" t="s">
        <v>11390</v>
      </c>
    </row>
    <row r="2236" spans="2:19" x14ac:dyDescent="0.25">
      <c r="B2236">
        <v>17532</v>
      </c>
      <c r="C2236" t="s">
        <v>18156</v>
      </c>
      <c r="E2236">
        <v>105</v>
      </c>
      <c r="F2236">
        <v>195</v>
      </c>
      <c r="G2236">
        <v>172</v>
      </c>
      <c r="H2236">
        <v>11</v>
      </c>
      <c r="S2236" t="s">
        <v>11392</v>
      </c>
    </row>
    <row r="2237" spans="2:19" x14ac:dyDescent="0.25">
      <c r="B2237">
        <v>17533</v>
      </c>
      <c r="C2237" t="s">
        <v>18157</v>
      </c>
      <c r="E2237">
        <v>105</v>
      </c>
      <c r="F2237">
        <v>195</v>
      </c>
      <c r="G2237">
        <v>172</v>
      </c>
      <c r="H2237">
        <v>11</v>
      </c>
      <c r="S2237" t="s">
        <v>11394</v>
      </c>
    </row>
    <row r="2238" spans="2:19" x14ac:dyDescent="0.25">
      <c r="B2238">
        <v>17534</v>
      </c>
      <c r="C2238" t="s">
        <v>18158</v>
      </c>
      <c r="E2238">
        <v>105</v>
      </c>
      <c r="F2238">
        <v>195</v>
      </c>
      <c r="G2238">
        <v>172</v>
      </c>
      <c r="H2238">
        <v>10</v>
      </c>
      <c r="R2238" t="s">
        <v>11396</v>
      </c>
    </row>
    <row r="2239" spans="2:19" x14ac:dyDescent="0.25">
      <c r="B2239">
        <v>17535</v>
      </c>
      <c r="C2239" t="s">
        <v>18159</v>
      </c>
      <c r="E2239">
        <v>105</v>
      </c>
      <c r="F2239">
        <v>195</v>
      </c>
      <c r="G2239">
        <v>172</v>
      </c>
      <c r="H2239">
        <v>11</v>
      </c>
      <c r="S2239" t="s">
        <v>11398</v>
      </c>
    </row>
    <row r="2240" spans="2:19" x14ac:dyDescent="0.25">
      <c r="B2240">
        <v>17536</v>
      </c>
      <c r="C2240" t="s">
        <v>18160</v>
      </c>
      <c r="E2240">
        <v>105</v>
      </c>
      <c r="F2240">
        <v>195</v>
      </c>
      <c r="G2240">
        <v>172</v>
      </c>
      <c r="H2240">
        <v>11</v>
      </c>
      <c r="S2240" t="s">
        <v>11400</v>
      </c>
    </row>
    <row r="2241" spans="2:19" x14ac:dyDescent="0.25">
      <c r="B2241">
        <v>17537</v>
      </c>
      <c r="C2241" t="s">
        <v>18161</v>
      </c>
      <c r="E2241">
        <v>82</v>
      </c>
      <c r="F2241">
        <v>152</v>
      </c>
      <c r="G2241">
        <v>134</v>
      </c>
      <c r="H2241">
        <v>5</v>
      </c>
      <c r="O2241" t="s">
        <v>11402</v>
      </c>
    </row>
    <row r="2242" spans="2:19" x14ac:dyDescent="0.25">
      <c r="B2242">
        <v>112892407</v>
      </c>
      <c r="C2242" t="s">
        <v>18162</v>
      </c>
      <c r="E2242">
        <v>67</v>
      </c>
      <c r="F2242">
        <v>126</v>
      </c>
      <c r="G2242">
        <v>111</v>
      </c>
      <c r="H2242">
        <v>9</v>
      </c>
      <c r="P2242" t="s">
        <v>9061</v>
      </c>
    </row>
    <row r="2243" spans="2:19" x14ac:dyDescent="0.25">
      <c r="B2243">
        <v>112892409</v>
      </c>
      <c r="C2243" t="s">
        <v>18163</v>
      </c>
      <c r="E2243">
        <v>94</v>
      </c>
      <c r="F2243">
        <v>174</v>
      </c>
      <c r="G2243">
        <v>153</v>
      </c>
      <c r="H2243">
        <v>9</v>
      </c>
      <c r="P2243" t="s">
        <v>9063</v>
      </c>
    </row>
    <row r="2244" spans="2:19" x14ac:dyDescent="0.25">
      <c r="B2244">
        <v>112892411</v>
      </c>
      <c r="C2244" t="s">
        <v>18164</v>
      </c>
      <c r="E2244">
        <v>94</v>
      </c>
      <c r="F2244">
        <v>174</v>
      </c>
      <c r="G2244">
        <v>153</v>
      </c>
      <c r="H2244">
        <v>10</v>
      </c>
      <c r="Q2244" t="s">
        <v>9065</v>
      </c>
    </row>
    <row r="2245" spans="2:19" x14ac:dyDescent="0.25">
      <c r="B2245">
        <v>112892413</v>
      </c>
      <c r="C2245" t="s">
        <v>18165</v>
      </c>
      <c r="E2245">
        <v>94</v>
      </c>
      <c r="F2245">
        <v>174</v>
      </c>
      <c r="G2245">
        <v>153</v>
      </c>
      <c r="H2245">
        <v>10</v>
      </c>
      <c r="Q2245" t="s">
        <v>9067</v>
      </c>
    </row>
    <row r="2246" spans="2:19" x14ac:dyDescent="0.25">
      <c r="B2246">
        <v>112892415</v>
      </c>
      <c r="C2246" t="s">
        <v>18166</v>
      </c>
      <c r="E2246">
        <v>94</v>
      </c>
      <c r="F2246">
        <v>174</v>
      </c>
      <c r="G2246">
        <v>153</v>
      </c>
      <c r="H2246">
        <v>10</v>
      </c>
      <c r="Q2246" t="s">
        <v>9069</v>
      </c>
    </row>
    <row r="2247" spans="2:19" x14ac:dyDescent="0.25">
      <c r="B2247">
        <v>17538</v>
      </c>
      <c r="C2247" t="s">
        <v>18167</v>
      </c>
      <c r="E2247">
        <v>145</v>
      </c>
      <c r="F2247">
        <v>217</v>
      </c>
      <c r="G2247">
        <v>191</v>
      </c>
      <c r="H2247">
        <v>3</v>
      </c>
      <c r="N2247" t="s">
        <v>4777</v>
      </c>
    </row>
    <row r="2248" spans="2:19" x14ac:dyDescent="0.25">
      <c r="B2248">
        <v>17539</v>
      </c>
      <c r="C2248" t="s">
        <v>18168</v>
      </c>
      <c r="E2248">
        <v>171</v>
      </c>
      <c r="F2248">
        <v>226</v>
      </c>
      <c r="G2248">
        <v>206</v>
      </c>
      <c r="H2248">
        <v>5</v>
      </c>
      <c r="O2248" t="s">
        <v>11404</v>
      </c>
    </row>
    <row r="2249" spans="2:19" x14ac:dyDescent="0.25">
      <c r="B2249">
        <v>17540</v>
      </c>
      <c r="C2249" t="s">
        <v>18169</v>
      </c>
      <c r="E2249">
        <v>145</v>
      </c>
      <c r="F2249">
        <v>217</v>
      </c>
      <c r="G2249">
        <v>191</v>
      </c>
      <c r="H2249">
        <v>5</v>
      </c>
      <c r="O2249" t="s">
        <v>11406</v>
      </c>
    </row>
    <row r="2250" spans="2:19" x14ac:dyDescent="0.25">
      <c r="B2250">
        <v>111220890</v>
      </c>
      <c r="C2250" t="s">
        <v>18170</v>
      </c>
      <c r="E2250">
        <v>145</v>
      </c>
      <c r="F2250">
        <v>217</v>
      </c>
      <c r="G2250">
        <v>191</v>
      </c>
      <c r="H2250">
        <v>9</v>
      </c>
      <c r="P2250" t="s">
        <v>8977</v>
      </c>
    </row>
    <row r="2251" spans="2:19" x14ac:dyDescent="0.25">
      <c r="B2251">
        <v>111220892</v>
      </c>
      <c r="C2251" t="s">
        <v>18171</v>
      </c>
      <c r="E2251">
        <v>166</v>
      </c>
      <c r="F2251">
        <v>224</v>
      </c>
      <c r="G2251">
        <v>203</v>
      </c>
      <c r="H2251">
        <v>9</v>
      </c>
      <c r="P2251" t="s">
        <v>8979</v>
      </c>
    </row>
    <row r="2252" spans="2:19" x14ac:dyDescent="0.25">
      <c r="B2252">
        <v>17541</v>
      </c>
      <c r="C2252" t="s">
        <v>18172</v>
      </c>
      <c r="E2252">
        <v>145</v>
      </c>
      <c r="F2252">
        <v>217</v>
      </c>
      <c r="G2252">
        <v>191</v>
      </c>
      <c r="H2252">
        <v>7</v>
      </c>
      <c r="P2252" t="s">
        <v>11408</v>
      </c>
    </row>
    <row r="2253" spans="2:19" x14ac:dyDescent="0.25">
      <c r="B2253">
        <v>17542</v>
      </c>
      <c r="C2253" t="s">
        <v>18173</v>
      </c>
      <c r="E2253">
        <v>145</v>
      </c>
      <c r="F2253">
        <v>217</v>
      </c>
      <c r="G2253">
        <v>191</v>
      </c>
      <c r="H2253">
        <v>9</v>
      </c>
      <c r="Q2253" t="s">
        <v>11410</v>
      </c>
    </row>
    <row r="2254" spans="2:19" x14ac:dyDescent="0.25">
      <c r="B2254">
        <v>17543</v>
      </c>
      <c r="C2254" t="s">
        <v>18174</v>
      </c>
      <c r="E2254">
        <v>166</v>
      </c>
      <c r="F2254">
        <v>224</v>
      </c>
      <c r="G2254">
        <v>203</v>
      </c>
      <c r="H2254">
        <v>9</v>
      </c>
      <c r="Q2254" t="s">
        <v>11412</v>
      </c>
    </row>
    <row r="2255" spans="2:19" x14ac:dyDescent="0.25">
      <c r="B2255">
        <v>111220894</v>
      </c>
      <c r="C2255" t="s">
        <v>18175</v>
      </c>
      <c r="E2255">
        <v>166</v>
      </c>
      <c r="F2255">
        <v>224</v>
      </c>
      <c r="G2255">
        <v>203</v>
      </c>
      <c r="H2255">
        <v>10</v>
      </c>
      <c r="R2255" t="s">
        <v>8981</v>
      </c>
    </row>
    <row r="2256" spans="2:19" x14ac:dyDescent="0.25">
      <c r="B2256">
        <v>17545</v>
      </c>
      <c r="C2256" t="s">
        <v>18176</v>
      </c>
      <c r="E2256">
        <v>166</v>
      </c>
      <c r="F2256">
        <v>224</v>
      </c>
      <c r="G2256">
        <v>203</v>
      </c>
      <c r="H2256">
        <v>11</v>
      </c>
      <c r="S2256" t="s">
        <v>11416</v>
      </c>
    </row>
    <row r="2257" spans="2:19" x14ac:dyDescent="0.25">
      <c r="B2257">
        <v>111220896</v>
      </c>
      <c r="C2257" t="s">
        <v>18177</v>
      </c>
      <c r="E2257">
        <v>166</v>
      </c>
      <c r="F2257">
        <v>224</v>
      </c>
      <c r="G2257">
        <v>203</v>
      </c>
      <c r="H2257">
        <v>10</v>
      </c>
      <c r="R2257" t="s">
        <v>8983</v>
      </c>
    </row>
    <row r="2258" spans="2:19" x14ac:dyDescent="0.25">
      <c r="B2258">
        <v>17544</v>
      </c>
      <c r="C2258" t="s">
        <v>18178</v>
      </c>
      <c r="E2258">
        <v>166</v>
      </c>
      <c r="F2258">
        <v>224</v>
      </c>
      <c r="G2258">
        <v>203</v>
      </c>
      <c r="H2258">
        <v>11</v>
      </c>
      <c r="S2258" t="s">
        <v>11414</v>
      </c>
    </row>
    <row r="2259" spans="2:19" x14ac:dyDescent="0.25">
      <c r="B2259">
        <v>111220898</v>
      </c>
      <c r="C2259" t="s">
        <v>18179</v>
      </c>
      <c r="E2259">
        <v>166</v>
      </c>
      <c r="F2259">
        <v>224</v>
      </c>
      <c r="G2259">
        <v>203</v>
      </c>
      <c r="H2259">
        <v>10</v>
      </c>
      <c r="R2259" t="s">
        <v>8985</v>
      </c>
    </row>
    <row r="2260" spans="2:19" x14ac:dyDescent="0.25">
      <c r="B2260">
        <v>17546</v>
      </c>
      <c r="C2260" t="s">
        <v>18180</v>
      </c>
      <c r="E2260">
        <v>166</v>
      </c>
      <c r="F2260">
        <v>224</v>
      </c>
      <c r="G2260">
        <v>203</v>
      </c>
      <c r="H2260">
        <v>11</v>
      </c>
      <c r="S2260" t="s">
        <v>11418</v>
      </c>
    </row>
    <row r="2261" spans="2:19" x14ac:dyDescent="0.25">
      <c r="B2261">
        <v>17547</v>
      </c>
      <c r="C2261" t="s">
        <v>18181</v>
      </c>
      <c r="E2261">
        <v>145</v>
      </c>
      <c r="F2261">
        <v>217</v>
      </c>
      <c r="G2261">
        <v>191</v>
      </c>
      <c r="H2261">
        <v>7</v>
      </c>
      <c r="P2261" t="s">
        <v>11420</v>
      </c>
    </row>
    <row r="2262" spans="2:19" x14ac:dyDescent="0.25">
      <c r="B2262">
        <v>17548</v>
      </c>
      <c r="C2262" t="s">
        <v>18182</v>
      </c>
      <c r="E2262">
        <v>145</v>
      </c>
      <c r="F2262">
        <v>217</v>
      </c>
      <c r="G2262">
        <v>191</v>
      </c>
      <c r="H2262">
        <v>9</v>
      </c>
      <c r="Q2262" t="s">
        <v>11422</v>
      </c>
    </row>
    <row r="2263" spans="2:19" x14ac:dyDescent="0.25">
      <c r="B2263">
        <v>17549</v>
      </c>
      <c r="C2263" t="s">
        <v>18183</v>
      </c>
      <c r="E2263">
        <v>166</v>
      </c>
      <c r="F2263">
        <v>224</v>
      </c>
      <c r="G2263">
        <v>203</v>
      </c>
      <c r="H2263">
        <v>9</v>
      </c>
      <c r="Q2263" t="s">
        <v>11424</v>
      </c>
    </row>
    <row r="2264" spans="2:19" x14ac:dyDescent="0.25">
      <c r="B2264">
        <v>111220900</v>
      </c>
      <c r="C2264" t="s">
        <v>18184</v>
      </c>
      <c r="E2264">
        <v>166</v>
      </c>
      <c r="F2264">
        <v>224</v>
      </c>
      <c r="G2264">
        <v>203</v>
      </c>
      <c r="H2264">
        <v>10</v>
      </c>
      <c r="R2264" t="s">
        <v>8987</v>
      </c>
    </row>
    <row r="2265" spans="2:19" x14ac:dyDescent="0.25">
      <c r="B2265">
        <v>17552</v>
      </c>
      <c r="C2265" t="s">
        <v>18185</v>
      </c>
      <c r="E2265">
        <v>166</v>
      </c>
      <c r="F2265">
        <v>224</v>
      </c>
      <c r="G2265">
        <v>203</v>
      </c>
      <c r="H2265">
        <v>11</v>
      </c>
      <c r="S2265" t="s">
        <v>11430</v>
      </c>
    </row>
    <row r="2266" spans="2:19" x14ac:dyDescent="0.25">
      <c r="B2266">
        <v>111220902</v>
      </c>
      <c r="C2266" t="s">
        <v>18186</v>
      </c>
      <c r="E2266">
        <v>166</v>
      </c>
      <c r="F2266">
        <v>224</v>
      </c>
      <c r="G2266">
        <v>203</v>
      </c>
      <c r="H2266">
        <v>10</v>
      </c>
      <c r="R2266" t="s">
        <v>8989</v>
      </c>
    </row>
    <row r="2267" spans="2:19" x14ac:dyDescent="0.25">
      <c r="B2267">
        <v>17551</v>
      </c>
      <c r="C2267" t="s">
        <v>18187</v>
      </c>
      <c r="E2267">
        <v>166</v>
      </c>
      <c r="F2267">
        <v>224</v>
      </c>
      <c r="G2267">
        <v>203</v>
      </c>
      <c r="H2267">
        <v>11</v>
      </c>
      <c r="S2267" t="s">
        <v>11428</v>
      </c>
    </row>
    <row r="2268" spans="2:19" x14ac:dyDescent="0.25">
      <c r="B2268">
        <v>17555</v>
      </c>
      <c r="C2268" t="s">
        <v>18188</v>
      </c>
      <c r="E2268">
        <v>166</v>
      </c>
      <c r="F2268">
        <v>224</v>
      </c>
      <c r="G2268">
        <v>203</v>
      </c>
      <c r="H2268">
        <v>11</v>
      </c>
      <c r="S2268" t="s">
        <v>11436</v>
      </c>
    </row>
    <row r="2269" spans="2:19" x14ac:dyDescent="0.25">
      <c r="B2269">
        <v>111220904</v>
      </c>
      <c r="C2269" t="s">
        <v>18189</v>
      </c>
      <c r="E2269">
        <v>166</v>
      </c>
      <c r="F2269">
        <v>224</v>
      </c>
      <c r="G2269">
        <v>203</v>
      </c>
      <c r="H2269">
        <v>10</v>
      </c>
      <c r="R2269" t="s">
        <v>8991</v>
      </c>
    </row>
    <row r="2270" spans="2:19" x14ac:dyDescent="0.25">
      <c r="B2270">
        <v>17550</v>
      </c>
      <c r="C2270" t="s">
        <v>18190</v>
      </c>
      <c r="E2270">
        <v>166</v>
      </c>
      <c r="F2270">
        <v>224</v>
      </c>
      <c r="G2270">
        <v>203</v>
      </c>
      <c r="H2270">
        <v>11</v>
      </c>
      <c r="S2270" t="s">
        <v>11426</v>
      </c>
    </row>
    <row r="2271" spans="2:19" x14ac:dyDescent="0.25">
      <c r="B2271">
        <v>17553</v>
      </c>
      <c r="C2271" t="s">
        <v>18191</v>
      </c>
      <c r="E2271">
        <v>166</v>
      </c>
      <c r="F2271">
        <v>224</v>
      </c>
      <c r="G2271">
        <v>203</v>
      </c>
      <c r="H2271">
        <v>11</v>
      </c>
      <c r="S2271" t="s">
        <v>11432</v>
      </c>
    </row>
    <row r="2272" spans="2:19" x14ac:dyDescent="0.25">
      <c r="B2272">
        <v>17554</v>
      </c>
      <c r="C2272" t="s">
        <v>18192</v>
      </c>
      <c r="E2272">
        <v>166</v>
      </c>
      <c r="F2272">
        <v>224</v>
      </c>
      <c r="G2272">
        <v>203</v>
      </c>
      <c r="H2272">
        <v>11</v>
      </c>
      <c r="S2272" t="s">
        <v>11434</v>
      </c>
    </row>
    <row r="2273" spans="2:19" x14ac:dyDescent="0.25">
      <c r="B2273">
        <v>17556</v>
      </c>
      <c r="C2273" t="s">
        <v>18193</v>
      </c>
      <c r="E2273">
        <v>145</v>
      </c>
      <c r="F2273">
        <v>217</v>
      </c>
      <c r="G2273">
        <v>191</v>
      </c>
      <c r="H2273">
        <v>7</v>
      </c>
      <c r="P2273" t="s">
        <v>11438</v>
      </c>
    </row>
    <row r="2274" spans="2:19" x14ac:dyDescent="0.25">
      <c r="B2274">
        <v>17557</v>
      </c>
      <c r="C2274" t="s">
        <v>18194</v>
      </c>
      <c r="E2274">
        <v>145</v>
      </c>
      <c r="F2274">
        <v>217</v>
      </c>
      <c r="G2274">
        <v>191</v>
      </c>
      <c r="H2274">
        <v>9</v>
      </c>
      <c r="Q2274" t="s">
        <v>11440</v>
      </c>
    </row>
    <row r="2275" spans="2:19" x14ac:dyDescent="0.25">
      <c r="B2275">
        <v>17558</v>
      </c>
      <c r="C2275" t="s">
        <v>18195</v>
      </c>
      <c r="E2275">
        <v>166</v>
      </c>
      <c r="F2275">
        <v>224</v>
      </c>
      <c r="G2275">
        <v>203</v>
      </c>
      <c r="H2275">
        <v>9</v>
      </c>
      <c r="Q2275" t="s">
        <v>11442</v>
      </c>
    </row>
    <row r="2276" spans="2:19" x14ac:dyDescent="0.25">
      <c r="B2276">
        <v>111220906</v>
      </c>
      <c r="C2276" t="s">
        <v>18196</v>
      </c>
      <c r="E2276">
        <v>166</v>
      </c>
      <c r="F2276">
        <v>224</v>
      </c>
      <c r="G2276">
        <v>203</v>
      </c>
      <c r="H2276">
        <v>10</v>
      </c>
      <c r="R2276" t="s">
        <v>8993</v>
      </c>
    </row>
    <row r="2277" spans="2:19" x14ac:dyDescent="0.25">
      <c r="B2277">
        <v>17560</v>
      </c>
      <c r="C2277" t="s">
        <v>18197</v>
      </c>
      <c r="E2277">
        <v>166</v>
      </c>
      <c r="F2277">
        <v>224</v>
      </c>
      <c r="G2277">
        <v>203</v>
      </c>
      <c r="H2277">
        <v>11</v>
      </c>
      <c r="S2277" t="s">
        <v>11446</v>
      </c>
    </row>
    <row r="2278" spans="2:19" x14ac:dyDescent="0.25">
      <c r="B2278">
        <v>112892417</v>
      </c>
      <c r="C2278" t="s">
        <v>18198</v>
      </c>
      <c r="E2278">
        <v>166</v>
      </c>
      <c r="F2278">
        <v>224</v>
      </c>
      <c r="G2278">
        <v>203</v>
      </c>
      <c r="H2278">
        <v>11</v>
      </c>
      <c r="S2278" t="s">
        <v>9071</v>
      </c>
    </row>
    <row r="2279" spans="2:19" x14ac:dyDescent="0.25">
      <c r="B2279">
        <v>111220908</v>
      </c>
      <c r="C2279" t="s">
        <v>18199</v>
      </c>
      <c r="E2279">
        <v>166</v>
      </c>
      <c r="F2279">
        <v>224</v>
      </c>
      <c r="G2279">
        <v>203</v>
      </c>
      <c r="H2279">
        <v>10</v>
      </c>
      <c r="R2279" t="s">
        <v>8995</v>
      </c>
    </row>
    <row r="2280" spans="2:19" x14ac:dyDescent="0.25">
      <c r="B2280">
        <v>17559</v>
      </c>
      <c r="C2280" t="s">
        <v>18200</v>
      </c>
      <c r="E2280">
        <v>166</v>
      </c>
      <c r="F2280">
        <v>224</v>
      </c>
      <c r="G2280">
        <v>203</v>
      </c>
      <c r="H2280">
        <v>11</v>
      </c>
      <c r="S2280" t="s">
        <v>11444</v>
      </c>
    </row>
    <row r="2281" spans="2:19" x14ac:dyDescent="0.25">
      <c r="B2281">
        <v>111220910</v>
      </c>
      <c r="C2281" t="s">
        <v>18201</v>
      </c>
      <c r="E2281">
        <v>166</v>
      </c>
      <c r="F2281">
        <v>224</v>
      </c>
      <c r="G2281">
        <v>203</v>
      </c>
      <c r="H2281">
        <v>10</v>
      </c>
      <c r="R2281" t="s">
        <v>8997</v>
      </c>
    </row>
    <row r="2282" spans="2:19" x14ac:dyDescent="0.25">
      <c r="B2282">
        <v>17561</v>
      </c>
      <c r="C2282" t="s">
        <v>18202</v>
      </c>
      <c r="E2282">
        <v>166</v>
      </c>
      <c r="F2282">
        <v>224</v>
      </c>
      <c r="G2282">
        <v>203</v>
      </c>
      <c r="H2282">
        <v>11</v>
      </c>
      <c r="S2282" t="s">
        <v>11448</v>
      </c>
    </row>
    <row r="2283" spans="2:19" x14ac:dyDescent="0.25">
      <c r="B2283">
        <v>17562</v>
      </c>
      <c r="C2283" t="s">
        <v>18203</v>
      </c>
      <c r="E2283">
        <v>116</v>
      </c>
      <c r="F2283">
        <v>174</v>
      </c>
      <c r="G2283">
        <v>153</v>
      </c>
      <c r="H2283">
        <v>5</v>
      </c>
      <c r="O2283" t="s">
        <v>11450</v>
      </c>
    </row>
    <row r="2284" spans="2:19" x14ac:dyDescent="0.25">
      <c r="B2284">
        <v>111220912</v>
      </c>
      <c r="C2284" t="s">
        <v>18204</v>
      </c>
      <c r="E2284">
        <v>116</v>
      </c>
      <c r="F2284">
        <v>174</v>
      </c>
      <c r="G2284">
        <v>153</v>
      </c>
      <c r="H2284">
        <v>9</v>
      </c>
      <c r="P2284" t="s">
        <v>8999</v>
      </c>
    </row>
    <row r="2285" spans="2:19" x14ac:dyDescent="0.25">
      <c r="B2285">
        <v>111220914</v>
      </c>
      <c r="C2285" t="s">
        <v>18205</v>
      </c>
      <c r="E2285">
        <v>131</v>
      </c>
      <c r="F2285">
        <v>195</v>
      </c>
      <c r="G2285">
        <v>172</v>
      </c>
      <c r="H2285">
        <v>9</v>
      </c>
      <c r="P2285" t="s">
        <v>9001</v>
      </c>
    </row>
    <row r="2286" spans="2:19" x14ac:dyDescent="0.25">
      <c r="B2286">
        <v>17563</v>
      </c>
      <c r="C2286" t="s">
        <v>18206</v>
      </c>
      <c r="E2286">
        <v>116</v>
      </c>
      <c r="F2286">
        <v>174</v>
      </c>
      <c r="G2286">
        <v>153</v>
      </c>
      <c r="H2286">
        <v>7</v>
      </c>
      <c r="P2286" t="s">
        <v>11452</v>
      </c>
    </row>
    <row r="2287" spans="2:19" x14ac:dyDescent="0.25">
      <c r="B2287">
        <v>17564</v>
      </c>
      <c r="C2287" t="s">
        <v>18207</v>
      </c>
      <c r="E2287">
        <v>116</v>
      </c>
      <c r="F2287">
        <v>174</v>
      </c>
      <c r="G2287">
        <v>153</v>
      </c>
      <c r="H2287">
        <v>9</v>
      </c>
      <c r="Q2287" t="s">
        <v>11454</v>
      </c>
    </row>
    <row r="2288" spans="2:19" x14ac:dyDescent="0.25">
      <c r="B2288">
        <v>17565</v>
      </c>
      <c r="C2288" t="s">
        <v>18208</v>
      </c>
      <c r="E2288">
        <v>131</v>
      </c>
      <c r="F2288">
        <v>195</v>
      </c>
      <c r="G2288">
        <v>172</v>
      </c>
      <c r="H2288">
        <v>9</v>
      </c>
      <c r="Q2288" t="s">
        <v>11456</v>
      </c>
    </row>
    <row r="2289" spans="2:19" x14ac:dyDescent="0.25">
      <c r="B2289">
        <v>17566</v>
      </c>
      <c r="C2289" t="s">
        <v>18209</v>
      </c>
      <c r="E2289">
        <v>131</v>
      </c>
      <c r="F2289">
        <v>195</v>
      </c>
      <c r="G2289">
        <v>172</v>
      </c>
      <c r="H2289">
        <v>10</v>
      </c>
      <c r="R2289" t="s">
        <v>11458</v>
      </c>
    </row>
    <row r="2290" spans="2:19" x14ac:dyDescent="0.25">
      <c r="B2290">
        <v>17567</v>
      </c>
      <c r="C2290" t="s">
        <v>18210</v>
      </c>
      <c r="E2290">
        <v>131</v>
      </c>
      <c r="F2290">
        <v>195</v>
      </c>
      <c r="G2290">
        <v>172</v>
      </c>
      <c r="H2290">
        <v>11</v>
      </c>
      <c r="S2290" t="s">
        <v>11460</v>
      </c>
    </row>
    <row r="2291" spans="2:19" x14ac:dyDescent="0.25">
      <c r="B2291">
        <v>17568</v>
      </c>
      <c r="C2291" t="s">
        <v>18211</v>
      </c>
      <c r="E2291">
        <v>131</v>
      </c>
      <c r="F2291">
        <v>195</v>
      </c>
      <c r="G2291">
        <v>172</v>
      </c>
      <c r="H2291">
        <v>10</v>
      </c>
      <c r="R2291" t="s">
        <v>11462</v>
      </c>
    </row>
    <row r="2292" spans="2:19" x14ac:dyDescent="0.25">
      <c r="B2292">
        <v>17569</v>
      </c>
      <c r="C2292" t="s">
        <v>18212</v>
      </c>
      <c r="E2292">
        <v>131</v>
      </c>
      <c r="F2292">
        <v>195</v>
      </c>
      <c r="G2292">
        <v>172</v>
      </c>
      <c r="H2292">
        <v>11</v>
      </c>
      <c r="S2292" t="s">
        <v>11464</v>
      </c>
    </row>
    <row r="2293" spans="2:19" x14ac:dyDescent="0.25">
      <c r="B2293">
        <v>17570</v>
      </c>
      <c r="C2293" t="s">
        <v>18213</v>
      </c>
      <c r="E2293">
        <v>131</v>
      </c>
      <c r="F2293">
        <v>195</v>
      </c>
      <c r="G2293">
        <v>172</v>
      </c>
      <c r="H2293">
        <v>10</v>
      </c>
      <c r="R2293" t="s">
        <v>11466</v>
      </c>
    </row>
    <row r="2294" spans="2:19" x14ac:dyDescent="0.25">
      <c r="B2294">
        <v>17571</v>
      </c>
      <c r="C2294" t="s">
        <v>18214</v>
      </c>
      <c r="E2294">
        <v>116</v>
      </c>
      <c r="F2294">
        <v>174</v>
      </c>
      <c r="G2294">
        <v>153</v>
      </c>
      <c r="H2294">
        <v>7</v>
      </c>
      <c r="P2294" t="s">
        <v>11468</v>
      </c>
    </row>
    <row r="2295" spans="2:19" x14ac:dyDescent="0.25">
      <c r="B2295">
        <v>17572</v>
      </c>
      <c r="C2295" t="s">
        <v>18215</v>
      </c>
      <c r="E2295">
        <v>116</v>
      </c>
      <c r="F2295">
        <v>174</v>
      </c>
      <c r="G2295">
        <v>153</v>
      </c>
      <c r="H2295">
        <v>9</v>
      </c>
      <c r="Q2295" t="s">
        <v>11470</v>
      </c>
    </row>
    <row r="2296" spans="2:19" x14ac:dyDescent="0.25">
      <c r="B2296">
        <v>17573</v>
      </c>
      <c r="C2296" t="s">
        <v>18216</v>
      </c>
      <c r="E2296">
        <v>131</v>
      </c>
      <c r="F2296">
        <v>195</v>
      </c>
      <c r="G2296">
        <v>172</v>
      </c>
      <c r="H2296">
        <v>9</v>
      </c>
      <c r="Q2296" t="s">
        <v>11472</v>
      </c>
    </row>
    <row r="2297" spans="2:19" x14ac:dyDescent="0.25">
      <c r="B2297">
        <v>17574</v>
      </c>
      <c r="C2297" t="s">
        <v>18217</v>
      </c>
      <c r="E2297">
        <v>131</v>
      </c>
      <c r="F2297">
        <v>195</v>
      </c>
      <c r="G2297">
        <v>172</v>
      </c>
      <c r="H2297">
        <v>10</v>
      </c>
      <c r="R2297" t="s">
        <v>11474</v>
      </c>
    </row>
    <row r="2298" spans="2:19" x14ac:dyDescent="0.25">
      <c r="B2298">
        <v>17575</v>
      </c>
      <c r="C2298" t="s">
        <v>18218</v>
      </c>
      <c r="E2298">
        <v>131</v>
      </c>
      <c r="F2298">
        <v>195</v>
      </c>
      <c r="G2298">
        <v>172</v>
      </c>
      <c r="H2298">
        <v>11</v>
      </c>
      <c r="S2298" t="s">
        <v>11476</v>
      </c>
    </row>
    <row r="2299" spans="2:19" x14ac:dyDescent="0.25">
      <c r="B2299">
        <v>17576</v>
      </c>
      <c r="C2299" t="s">
        <v>18219</v>
      </c>
      <c r="E2299">
        <v>131</v>
      </c>
      <c r="F2299">
        <v>195</v>
      </c>
      <c r="G2299">
        <v>172</v>
      </c>
      <c r="H2299">
        <v>11</v>
      </c>
      <c r="S2299" t="s">
        <v>11478</v>
      </c>
    </row>
    <row r="2300" spans="2:19" x14ac:dyDescent="0.25">
      <c r="B2300">
        <v>17577</v>
      </c>
      <c r="C2300" t="s">
        <v>18220</v>
      </c>
      <c r="E2300">
        <v>131</v>
      </c>
      <c r="F2300">
        <v>195</v>
      </c>
      <c r="G2300">
        <v>172</v>
      </c>
      <c r="H2300">
        <v>10</v>
      </c>
      <c r="R2300" t="s">
        <v>11480</v>
      </c>
    </row>
    <row r="2301" spans="2:19" x14ac:dyDescent="0.25">
      <c r="B2301">
        <v>17578</v>
      </c>
      <c r="C2301" t="s">
        <v>18221</v>
      </c>
      <c r="E2301">
        <v>131</v>
      </c>
      <c r="F2301">
        <v>195</v>
      </c>
      <c r="G2301">
        <v>172</v>
      </c>
      <c r="H2301">
        <v>11</v>
      </c>
      <c r="S2301" t="s">
        <v>11482</v>
      </c>
    </row>
    <row r="2302" spans="2:19" x14ac:dyDescent="0.25">
      <c r="B2302">
        <v>17579</v>
      </c>
      <c r="C2302" t="s">
        <v>18222</v>
      </c>
      <c r="E2302">
        <v>131</v>
      </c>
      <c r="F2302">
        <v>195</v>
      </c>
      <c r="G2302">
        <v>172</v>
      </c>
      <c r="H2302">
        <v>11</v>
      </c>
      <c r="S2302" t="s">
        <v>11484</v>
      </c>
    </row>
    <row r="2303" spans="2:19" x14ac:dyDescent="0.25">
      <c r="B2303">
        <v>17580</v>
      </c>
      <c r="C2303" t="s">
        <v>18223</v>
      </c>
      <c r="E2303">
        <v>131</v>
      </c>
      <c r="F2303">
        <v>195</v>
      </c>
      <c r="G2303">
        <v>172</v>
      </c>
      <c r="H2303">
        <v>10</v>
      </c>
      <c r="R2303" t="s">
        <v>11486</v>
      </c>
    </row>
    <row r="2304" spans="2:19" x14ac:dyDescent="0.25">
      <c r="B2304">
        <v>17581</v>
      </c>
      <c r="C2304" t="s">
        <v>18224</v>
      </c>
      <c r="E2304">
        <v>116</v>
      </c>
      <c r="F2304">
        <v>174</v>
      </c>
      <c r="G2304">
        <v>153</v>
      </c>
      <c r="H2304">
        <v>7</v>
      </c>
      <c r="P2304" t="s">
        <v>11488</v>
      </c>
    </row>
    <row r="2305" spans="2:19" x14ac:dyDescent="0.25">
      <c r="B2305">
        <v>17582</v>
      </c>
      <c r="C2305" t="s">
        <v>18225</v>
      </c>
      <c r="E2305">
        <v>116</v>
      </c>
      <c r="F2305">
        <v>174</v>
      </c>
      <c r="G2305">
        <v>153</v>
      </c>
      <c r="H2305">
        <v>9</v>
      </c>
      <c r="Q2305" t="s">
        <v>11490</v>
      </c>
    </row>
    <row r="2306" spans="2:19" x14ac:dyDescent="0.25">
      <c r="B2306">
        <v>17583</v>
      </c>
      <c r="C2306" t="s">
        <v>18226</v>
      </c>
      <c r="E2306">
        <v>131</v>
      </c>
      <c r="F2306">
        <v>195</v>
      </c>
      <c r="G2306">
        <v>172</v>
      </c>
      <c r="H2306">
        <v>9</v>
      </c>
      <c r="Q2306" t="s">
        <v>11492</v>
      </c>
    </row>
    <row r="2307" spans="2:19" x14ac:dyDescent="0.25">
      <c r="B2307">
        <v>17584</v>
      </c>
      <c r="C2307" t="s">
        <v>18227</v>
      </c>
      <c r="E2307">
        <v>131</v>
      </c>
      <c r="F2307">
        <v>195</v>
      </c>
      <c r="G2307">
        <v>172</v>
      </c>
      <c r="H2307">
        <v>10</v>
      </c>
      <c r="R2307" t="s">
        <v>11494</v>
      </c>
    </row>
    <row r="2308" spans="2:19" x14ac:dyDescent="0.25">
      <c r="B2308">
        <v>17585</v>
      </c>
      <c r="C2308" t="s">
        <v>18228</v>
      </c>
      <c r="E2308">
        <v>131</v>
      </c>
      <c r="F2308">
        <v>195</v>
      </c>
      <c r="G2308">
        <v>172</v>
      </c>
      <c r="H2308">
        <v>11</v>
      </c>
      <c r="S2308" t="s">
        <v>11496</v>
      </c>
    </row>
    <row r="2309" spans="2:19" x14ac:dyDescent="0.25">
      <c r="B2309">
        <v>17586</v>
      </c>
      <c r="C2309" t="s">
        <v>18229</v>
      </c>
      <c r="E2309">
        <v>131</v>
      </c>
      <c r="F2309">
        <v>195</v>
      </c>
      <c r="G2309">
        <v>172</v>
      </c>
      <c r="H2309">
        <v>11</v>
      </c>
      <c r="S2309" t="s">
        <v>11498</v>
      </c>
    </row>
    <row r="2310" spans="2:19" x14ac:dyDescent="0.25">
      <c r="B2310">
        <v>17587</v>
      </c>
      <c r="C2310" t="s">
        <v>18230</v>
      </c>
      <c r="E2310">
        <v>131</v>
      </c>
      <c r="F2310">
        <v>195</v>
      </c>
      <c r="G2310">
        <v>172</v>
      </c>
      <c r="H2310">
        <v>10</v>
      </c>
      <c r="R2310" t="s">
        <v>11500</v>
      </c>
    </row>
    <row r="2311" spans="2:19" x14ac:dyDescent="0.25">
      <c r="B2311">
        <v>17588</v>
      </c>
      <c r="C2311" t="s">
        <v>18231</v>
      </c>
      <c r="E2311">
        <v>131</v>
      </c>
      <c r="F2311">
        <v>195</v>
      </c>
      <c r="G2311">
        <v>172</v>
      </c>
      <c r="H2311">
        <v>11</v>
      </c>
      <c r="S2311" t="s">
        <v>11502</v>
      </c>
    </row>
    <row r="2312" spans="2:19" x14ac:dyDescent="0.25">
      <c r="B2312">
        <v>17589</v>
      </c>
      <c r="C2312" t="s">
        <v>18232</v>
      </c>
      <c r="E2312">
        <v>131</v>
      </c>
      <c r="F2312">
        <v>195</v>
      </c>
      <c r="G2312">
        <v>172</v>
      </c>
      <c r="H2312">
        <v>11</v>
      </c>
      <c r="S2312" t="s">
        <v>11504</v>
      </c>
    </row>
    <row r="2313" spans="2:19" x14ac:dyDescent="0.25">
      <c r="B2313">
        <v>17590</v>
      </c>
      <c r="C2313" t="s">
        <v>18233</v>
      </c>
      <c r="E2313">
        <v>131</v>
      </c>
      <c r="F2313">
        <v>195</v>
      </c>
      <c r="G2313">
        <v>172</v>
      </c>
      <c r="H2313">
        <v>11</v>
      </c>
      <c r="S2313" t="s">
        <v>11506</v>
      </c>
    </row>
    <row r="2314" spans="2:19" x14ac:dyDescent="0.25">
      <c r="B2314">
        <v>17591</v>
      </c>
      <c r="C2314" t="s">
        <v>18234</v>
      </c>
      <c r="E2314">
        <v>131</v>
      </c>
      <c r="F2314">
        <v>195</v>
      </c>
      <c r="G2314">
        <v>172</v>
      </c>
      <c r="H2314">
        <v>11</v>
      </c>
      <c r="S2314" t="s">
        <v>11508</v>
      </c>
    </row>
    <row r="2315" spans="2:19" x14ac:dyDescent="0.25">
      <c r="B2315">
        <v>17592</v>
      </c>
      <c r="C2315" t="s">
        <v>18235</v>
      </c>
      <c r="E2315">
        <v>131</v>
      </c>
      <c r="F2315">
        <v>195</v>
      </c>
      <c r="G2315">
        <v>172</v>
      </c>
      <c r="H2315">
        <v>10</v>
      </c>
      <c r="R2315" t="s">
        <v>11510</v>
      </c>
    </row>
    <row r="2316" spans="2:19" x14ac:dyDescent="0.25">
      <c r="B2316">
        <v>17593</v>
      </c>
      <c r="C2316" t="s">
        <v>18236</v>
      </c>
      <c r="E2316">
        <v>131</v>
      </c>
      <c r="F2316">
        <v>195</v>
      </c>
      <c r="G2316">
        <v>172</v>
      </c>
      <c r="H2316">
        <v>11</v>
      </c>
      <c r="S2316" t="s">
        <v>11512</v>
      </c>
    </row>
    <row r="2317" spans="2:19" x14ac:dyDescent="0.25">
      <c r="B2317">
        <v>17594</v>
      </c>
      <c r="C2317" t="s">
        <v>18237</v>
      </c>
      <c r="E2317">
        <v>131</v>
      </c>
      <c r="F2317">
        <v>195</v>
      </c>
      <c r="G2317">
        <v>172</v>
      </c>
      <c r="H2317">
        <v>11</v>
      </c>
      <c r="S2317" t="s">
        <v>11514</v>
      </c>
    </row>
    <row r="2318" spans="2:19" x14ac:dyDescent="0.25">
      <c r="B2318">
        <v>17595</v>
      </c>
      <c r="C2318" t="s">
        <v>18238</v>
      </c>
      <c r="E2318">
        <v>102</v>
      </c>
      <c r="F2318">
        <v>152</v>
      </c>
      <c r="G2318">
        <v>134</v>
      </c>
      <c r="H2318">
        <v>5</v>
      </c>
      <c r="O2318" t="s">
        <v>11516</v>
      </c>
    </row>
    <row r="2319" spans="2:19" x14ac:dyDescent="0.25">
      <c r="B2319">
        <v>112892419</v>
      </c>
      <c r="C2319" t="s">
        <v>18239</v>
      </c>
      <c r="E2319">
        <v>87</v>
      </c>
      <c r="F2319">
        <v>132</v>
      </c>
      <c r="G2319">
        <v>116</v>
      </c>
      <c r="H2319">
        <v>9</v>
      </c>
      <c r="P2319" t="s">
        <v>9073</v>
      </c>
    </row>
    <row r="2320" spans="2:19" x14ac:dyDescent="0.25">
      <c r="B2320">
        <v>112892421</v>
      </c>
      <c r="C2320" t="s">
        <v>18240</v>
      </c>
      <c r="E2320">
        <v>116</v>
      </c>
      <c r="F2320">
        <v>174</v>
      </c>
      <c r="G2320">
        <v>153</v>
      </c>
      <c r="H2320">
        <v>9</v>
      </c>
      <c r="P2320" t="s">
        <v>9075</v>
      </c>
    </row>
    <row r="2321" spans="2:19" x14ac:dyDescent="0.25">
      <c r="B2321">
        <v>112892423</v>
      </c>
      <c r="C2321" t="s">
        <v>18241</v>
      </c>
      <c r="E2321">
        <v>116</v>
      </c>
      <c r="F2321">
        <v>174</v>
      </c>
      <c r="G2321">
        <v>153</v>
      </c>
      <c r="H2321">
        <v>10</v>
      </c>
      <c r="Q2321" t="s">
        <v>9077</v>
      </c>
    </row>
    <row r="2322" spans="2:19" x14ac:dyDescent="0.25">
      <c r="B2322">
        <v>112892425</v>
      </c>
      <c r="C2322" t="s">
        <v>18242</v>
      </c>
      <c r="E2322">
        <v>116</v>
      </c>
      <c r="F2322">
        <v>174</v>
      </c>
      <c r="G2322">
        <v>153</v>
      </c>
      <c r="H2322">
        <v>10</v>
      </c>
      <c r="Q2322" t="s">
        <v>9079</v>
      </c>
    </row>
    <row r="2323" spans="2:19" x14ac:dyDescent="0.25">
      <c r="B2323">
        <v>112892427</v>
      </c>
      <c r="C2323" t="s">
        <v>18243</v>
      </c>
      <c r="E2323">
        <v>116</v>
      </c>
      <c r="F2323">
        <v>174</v>
      </c>
      <c r="G2323">
        <v>153</v>
      </c>
      <c r="H2323">
        <v>10</v>
      </c>
      <c r="Q2323" t="s">
        <v>9081</v>
      </c>
    </row>
    <row r="2324" spans="2:19" x14ac:dyDescent="0.25">
      <c r="B2324">
        <v>17596</v>
      </c>
      <c r="C2324" t="s">
        <v>18244</v>
      </c>
      <c r="E2324">
        <v>191</v>
      </c>
      <c r="F2324">
        <v>217</v>
      </c>
      <c r="G2324">
        <v>191</v>
      </c>
      <c r="H2324">
        <v>3</v>
      </c>
      <c r="N2324" t="s">
        <v>4780</v>
      </c>
    </row>
    <row r="2325" spans="2:19" x14ac:dyDescent="0.25">
      <c r="B2325">
        <v>17597</v>
      </c>
      <c r="C2325" t="s">
        <v>18245</v>
      </c>
      <c r="E2325">
        <v>207</v>
      </c>
      <c r="F2325">
        <v>233</v>
      </c>
      <c r="G2325">
        <v>218</v>
      </c>
      <c r="H2325">
        <v>5</v>
      </c>
      <c r="O2325" t="s">
        <v>11518</v>
      </c>
    </row>
    <row r="2326" spans="2:19" x14ac:dyDescent="0.25">
      <c r="B2326">
        <v>17598</v>
      </c>
      <c r="C2326" t="s">
        <v>18246</v>
      </c>
      <c r="E2326">
        <v>191</v>
      </c>
      <c r="F2326">
        <v>217</v>
      </c>
      <c r="G2326">
        <v>191</v>
      </c>
      <c r="H2326">
        <v>5</v>
      </c>
      <c r="O2326" t="s">
        <v>11520</v>
      </c>
    </row>
    <row r="2327" spans="2:19" x14ac:dyDescent="0.25">
      <c r="B2327">
        <v>111220916</v>
      </c>
      <c r="C2327" t="s">
        <v>18247</v>
      </c>
      <c r="E2327">
        <v>191</v>
      </c>
      <c r="F2327">
        <v>217</v>
      </c>
      <c r="G2327">
        <v>191</v>
      </c>
      <c r="H2327">
        <v>9</v>
      </c>
      <c r="P2327" t="s">
        <v>9003</v>
      </c>
    </row>
    <row r="2328" spans="2:19" x14ac:dyDescent="0.25">
      <c r="B2328">
        <v>111220918</v>
      </c>
      <c r="C2328" t="s">
        <v>18248</v>
      </c>
      <c r="E2328">
        <v>187</v>
      </c>
      <c r="F2328">
        <v>224</v>
      </c>
      <c r="G2328">
        <v>203</v>
      </c>
      <c r="H2328">
        <v>9</v>
      </c>
      <c r="P2328" t="s">
        <v>9005</v>
      </c>
    </row>
    <row r="2329" spans="2:19" x14ac:dyDescent="0.25">
      <c r="B2329">
        <v>17599</v>
      </c>
      <c r="C2329" t="s">
        <v>18249</v>
      </c>
      <c r="E2329">
        <v>191</v>
      </c>
      <c r="F2329">
        <v>217</v>
      </c>
      <c r="G2329">
        <v>191</v>
      </c>
      <c r="H2329">
        <v>7</v>
      </c>
      <c r="P2329" t="s">
        <v>11522</v>
      </c>
    </row>
    <row r="2330" spans="2:19" x14ac:dyDescent="0.25">
      <c r="B2330">
        <v>17600</v>
      </c>
      <c r="C2330" t="s">
        <v>18250</v>
      </c>
      <c r="E2330">
        <v>191</v>
      </c>
      <c r="F2330">
        <v>217</v>
      </c>
      <c r="G2330">
        <v>191</v>
      </c>
      <c r="H2330">
        <v>9</v>
      </c>
      <c r="Q2330" t="s">
        <v>11524</v>
      </c>
    </row>
    <row r="2331" spans="2:19" x14ac:dyDescent="0.25">
      <c r="B2331">
        <v>17601</v>
      </c>
      <c r="C2331" t="s">
        <v>18251</v>
      </c>
      <c r="E2331">
        <v>187</v>
      </c>
      <c r="F2331">
        <v>224</v>
      </c>
      <c r="G2331">
        <v>203</v>
      </c>
      <c r="H2331">
        <v>9</v>
      </c>
      <c r="Q2331" t="s">
        <v>11526</v>
      </c>
    </row>
    <row r="2332" spans="2:19" x14ac:dyDescent="0.25">
      <c r="B2332">
        <v>111220920</v>
      </c>
      <c r="C2332" t="s">
        <v>18252</v>
      </c>
      <c r="E2332">
        <v>187</v>
      </c>
      <c r="F2332">
        <v>224</v>
      </c>
      <c r="G2332">
        <v>203</v>
      </c>
      <c r="H2332">
        <v>10</v>
      </c>
      <c r="R2332" t="s">
        <v>9007</v>
      </c>
    </row>
    <row r="2333" spans="2:19" x14ac:dyDescent="0.25">
      <c r="B2333">
        <v>111220922</v>
      </c>
      <c r="C2333" t="s">
        <v>18253</v>
      </c>
      <c r="E2333">
        <v>187</v>
      </c>
      <c r="F2333">
        <v>224</v>
      </c>
      <c r="G2333">
        <v>203</v>
      </c>
      <c r="H2333">
        <v>10</v>
      </c>
      <c r="R2333" t="s">
        <v>9009</v>
      </c>
    </row>
    <row r="2334" spans="2:19" x14ac:dyDescent="0.25">
      <c r="B2334">
        <v>111220924</v>
      </c>
      <c r="C2334" t="s">
        <v>18254</v>
      </c>
      <c r="E2334">
        <v>187</v>
      </c>
      <c r="F2334">
        <v>224</v>
      </c>
      <c r="G2334">
        <v>203</v>
      </c>
      <c r="H2334">
        <v>10</v>
      </c>
      <c r="R2334" t="s">
        <v>9011</v>
      </c>
    </row>
    <row r="2335" spans="2:19" x14ac:dyDescent="0.25">
      <c r="B2335">
        <v>17602</v>
      </c>
      <c r="C2335" t="s">
        <v>18255</v>
      </c>
      <c r="E2335">
        <v>187</v>
      </c>
      <c r="F2335">
        <v>224</v>
      </c>
      <c r="G2335">
        <v>203</v>
      </c>
      <c r="H2335">
        <v>11</v>
      </c>
      <c r="S2335" t="s">
        <v>11528</v>
      </c>
    </row>
    <row r="2336" spans="2:19" x14ac:dyDescent="0.25">
      <c r="B2336">
        <v>17603</v>
      </c>
      <c r="C2336" t="s">
        <v>18256</v>
      </c>
      <c r="E2336">
        <v>191</v>
      </c>
      <c r="F2336">
        <v>217</v>
      </c>
      <c r="G2336">
        <v>191</v>
      </c>
      <c r="H2336">
        <v>7</v>
      </c>
      <c r="P2336" t="s">
        <v>11530</v>
      </c>
    </row>
    <row r="2337" spans="2:19" x14ac:dyDescent="0.25">
      <c r="B2337">
        <v>17604</v>
      </c>
      <c r="C2337" t="s">
        <v>18257</v>
      </c>
      <c r="E2337">
        <v>187</v>
      </c>
      <c r="F2337">
        <v>224</v>
      </c>
      <c r="G2337">
        <v>203</v>
      </c>
      <c r="H2337">
        <v>9</v>
      </c>
      <c r="Q2337" t="s">
        <v>11532</v>
      </c>
    </row>
    <row r="2338" spans="2:19" x14ac:dyDescent="0.25">
      <c r="B2338">
        <v>17605</v>
      </c>
      <c r="C2338" t="s">
        <v>18258</v>
      </c>
      <c r="E2338">
        <v>187</v>
      </c>
      <c r="F2338">
        <v>224</v>
      </c>
      <c r="G2338">
        <v>203</v>
      </c>
      <c r="H2338">
        <v>9</v>
      </c>
      <c r="Q2338" t="s">
        <v>11534</v>
      </c>
    </row>
    <row r="2339" spans="2:19" x14ac:dyDescent="0.25">
      <c r="B2339">
        <v>111220926</v>
      </c>
      <c r="C2339" t="s">
        <v>18259</v>
      </c>
      <c r="E2339">
        <v>187</v>
      </c>
      <c r="F2339">
        <v>224</v>
      </c>
      <c r="G2339">
        <v>203</v>
      </c>
      <c r="H2339">
        <v>10</v>
      </c>
      <c r="R2339" t="s">
        <v>9013</v>
      </c>
    </row>
    <row r="2340" spans="2:19" x14ac:dyDescent="0.25">
      <c r="B2340">
        <v>17608</v>
      </c>
      <c r="C2340" t="s">
        <v>18260</v>
      </c>
      <c r="E2340">
        <v>187</v>
      </c>
      <c r="F2340">
        <v>224</v>
      </c>
      <c r="G2340">
        <v>203</v>
      </c>
      <c r="H2340">
        <v>11</v>
      </c>
      <c r="S2340" t="s">
        <v>11540</v>
      </c>
    </row>
    <row r="2341" spans="2:19" x14ac:dyDescent="0.25">
      <c r="B2341">
        <v>111220928</v>
      </c>
      <c r="C2341" t="s">
        <v>18261</v>
      </c>
      <c r="E2341">
        <v>187</v>
      </c>
      <c r="F2341">
        <v>224</v>
      </c>
      <c r="G2341">
        <v>203</v>
      </c>
      <c r="H2341">
        <v>10</v>
      </c>
      <c r="R2341" t="s">
        <v>9015</v>
      </c>
    </row>
    <row r="2342" spans="2:19" x14ac:dyDescent="0.25">
      <c r="B2342">
        <v>17607</v>
      </c>
      <c r="C2342" t="s">
        <v>18262</v>
      </c>
      <c r="E2342">
        <v>187</v>
      </c>
      <c r="F2342">
        <v>224</v>
      </c>
      <c r="G2342">
        <v>203</v>
      </c>
      <c r="H2342">
        <v>11</v>
      </c>
      <c r="S2342" t="s">
        <v>11538</v>
      </c>
    </row>
    <row r="2343" spans="2:19" x14ac:dyDescent="0.25">
      <c r="B2343">
        <v>17611</v>
      </c>
      <c r="C2343" t="s">
        <v>18263</v>
      </c>
      <c r="E2343">
        <v>187</v>
      </c>
      <c r="F2343">
        <v>224</v>
      </c>
      <c r="G2343">
        <v>203</v>
      </c>
      <c r="H2343">
        <v>11</v>
      </c>
      <c r="S2343" t="s">
        <v>11546</v>
      </c>
    </row>
    <row r="2344" spans="2:19" x14ac:dyDescent="0.25">
      <c r="B2344">
        <v>111220930</v>
      </c>
      <c r="C2344" t="s">
        <v>18264</v>
      </c>
      <c r="E2344">
        <v>187</v>
      </c>
      <c r="F2344">
        <v>224</v>
      </c>
      <c r="G2344">
        <v>203</v>
      </c>
      <c r="H2344">
        <v>10</v>
      </c>
      <c r="R2344" t="s">
        <v>9017</v>
      </c>
    </row>
    <row r="2345" spans="2:19" x14ac:dyDescent="0.25">
      <c r="B2345">
        <v>17606</v>
      </c>
      <c r="C2345" t="s">
        <v>18265</v>
      </c>
      <c r="E2345">
        <v>187</v>
      </c>
      <c r="F2345">
        <v>224</v>
      </c>
      <c r="G2345">
        <v>203</v>
      </c>
      <c r="H2345">
        <v>11</v>
      </c>
      <c r="S2345" t="s">
        <v>11536</v>
      </c>
    </row>
    <row r="2346" spans="2:19" x14ac:dyDescent="0.25">
      <c r="B2346">
        <v>17609</v>
      </c>
      <c r="C2346" t="s">
        <v>18266</v>
      </c>
      <c r="E2346">
        <v>187</v>
      </c>
      <c r="F2346">
        <v>224</v>
      </c>
      <c r="G2346">
        <v>203</v>
      </c>
      <c r="H2346">
        <v>11</v>
      </c>
      <c r="S2346" t="s">
        <v>11542</v>
      </c>
    </row>
    <row r="2347" spans="2:19" x14ac:dyDescent="0.25">
      <c r="B2347">
        <v>17610</v>
      </c>
      <c r="C2347" t="s">
        <v>18267</v>
      </c>
      <c r="E2347">
        <v>187</v>
      </c>
      <c r="F2347">
        <v>224</v>
      </c>
      <c r="G2347">
        <v>203</v>
      </c>
      <c r="H2347">
        <v>11</v>
      </c>
      <c r="S2347" t="s">
        <v>11544</v>
      </c>
    </row>
    <row r="2348" spans="2:19" x14ac:dyDescent="0.25">
      <c r="B2348">
        <v>17612</v>
      </c>
      <c r="C2348" t="s">
        <v>18268</v>
      </c>
      <c r="E2348">
        <v>191</v>
      </c>
      <c r="F2348">
        <v>217</v>
      </c>
      <c r="G2348">
        <v>191</v>
      </c>
      <c r="H2348">
        <v>7</v>
      </c>
      <c r="P2348" t="s">
        <v>11548</v>
      </c>
    </row>
    <row r="2349" spans="2:19" x14ac:dyDescent="0.25">
      <c r="B2349">
        <v>17613</v>
      </c>
      <c r="C2349" t="s">
        <v>18269</v>
      </c>
      <c r="E2349">
        <v>191</v>
      </c>
      <c r="F2349">
        <v>217</v>
      </c>
      <c r="G2349">
        <v>191</v>
      </c>
      <c r="H2349">
        <v>9</v>
      </c>
      <c r="Q2349" t="s">
        <v>11550</v>
      </c>
    </row>
    <row r="2350" spans="2:19" x14ac:dyDescent="0.25">
      <c r="B2350">
        <v>17614</v>
      </c>
      <c r="C2350" t="s">
        <v>18270</v>
      </c>
      <c r="E2350">
        <v>187</v>
      </c>
      <c r="F2350">
        <v>224</v>
      </c>
      <c r="G2350">
        <v>203</v>
      </c>
      <c r="H2350">
        <v>9</v>
      </c>
      <c r="Q2350" t="s">
        <v>11552</v>
      </c>
    </row>
    <row r="2351" spans="2:19" x14ac:dyDescent="0.25">
      <c r="B2351">
        <v>111220932</v>
      </c>
      <c r="C2351" t="s">
        <v>18271</v>
      </c>
      <c r="E2351">
        <v>187</v>
      </c>
      <c r="F2351">
        <v>224</v>
      </c>
      <c r="G2351">
        <v>203</v>
      </c>
      <c r="H2351">
        <v>10</v>
      </c>
      <c r="R2351" t="s">
        <v>9019</v>
      </c>
    </row>
    <row r="2352" spans="2:19" x14ac:dyDescent="0.25">
      <c r="B2352">
        <v>17615</v>
      </c>
      <c r="C2352" t="s">
        <v>18272</v>
      </c>
      <c r="E2352">
        <v>187</v>
      </c>
      <c r="F2352">
        <v>224</v>
      </c>
      <c r="G2352">
        <v>203</v>
      </c>
      <c r="H2352">
        <v>11</v>
      </c>
      <c r="S2352" t="s">
        <v>11554</v>
      </c>
    </row>
    <row r="2353" spans="2:19" x14ac:dyDescent="0.25">
      <c r="B2353">
        <v>17617</v>
      </c>
      <c r="C2353" t="s">
        <v>18273</v>
      </c>
      <c r="E2353">
        <v>187</v>
      </c>
      <c r="F2353">
        <v>224</v>
      </c>
      <c r="G2353">
        <v>203</v>
      </c>
      <c r="H2353">
        <v>11</v>
      </c>
      <c r="S2353" t="s">
        <v>11558</v>
      </c>
    </row>
    <row r="2354" spans="2:19" x14ac:dyDescent="0.25">
      <c r="B2354">
        <v>111220934</v>
      </c>
      <c r="C2354" t="s">
        <v>18274</v>
      </c>
      <c r="E2354">
        <v>187</v>
      </c>
      <c r="F2354">
        <v>224</v>
      </c>
      <c r="G2354">
        <v>203</v>
      </c>
      <c r="H2354">
        <v>10</v>
      </c>
      <c r="R2354" t="s">
        <v>9021</v>
      </c>
    </row>
    <row r="2355" spans="2:19" x14ac:dyDescent="0.25">
      <c r="B2355">
        <v>17616</v>
      </c>
      <c r="C2355" t="s">
        <v>18275</v>
      </c>
      <c r="E2355">
        <v>187</v>
      </c>
      <c r="F2355">
        <v>224</v>
      </c>
      <c r="G2355">
        <v>203</v>
      </c>
      <c r="H2355">
        <v>11</v>
      </c>
      <c r="S2355" t="s">
        <v>11556</v>
      </c>
    </row>
    <row r="2356" spans="2:19" x14ac:dyDescent="0.25">
      <c r="B2356">
        <v>17618</v>
      </c>
      <c r="C2356" t="s">
        <v>18276</v>
      </c>
      <c r="E2356">
        <v>187</v>
      </c>
      <c r="F2356">
        <v>224</v>
      </c>
      <c r="G2356">
        <v>203</v>
      </c>
      <c r="H2356">
        <v>11</v>
      </c>
      <c r="S2356" t="s">
        <v>11560</v>
      </c>
    </row>
    <row r="2357" spans="2:19" x14ac:dyDescent="0.25">
      <c r="B2357">
        <v>111220936</v>
      </c>
      <c r="C2357" t="s">
        <v>18277</v>
      </c>
      <c r="E2357">
        <v>187</v>
      </c>
      <c r="F2357">
        <v>224</v>
      </c>
      <c r="G2357">
        <v>203</v>
      </c>
      <c r="H2357">
        <v>10</v>
      </c>
      <c r="R2357" t="s">
        <v>9023</v>
      </c>
    </row>
    <row r="2358" spans="2:19" x14ac:dyDescent="0.25">
      <c r="B2358">
        <v>17619</v>
      </c>
      <c r="C2358" t="s">
        <v>18278</v>
      </c>
      <c r="E2358">
        <v>187</v>
      </c>
      <c r="F2358">
        <v>224</v>
      </c>
      <c r="G2358">
        <v>203</v>
      </c>
      <c r="H2358">
        <v>11</v>
      </c>
      <c r="S2358" t="s">
        <v>11562</v>
      </c>
    </row>
    <row r="2359" spans="2:19" x14ac:dyDescent="0.25">
      <c r="B2359">
        <v>17620</v>
      </c>
      <c r="C2359" t="s">
        <v>18279</v>
      </c>
      <c r="E2359">
        <v>137</v>
      </c>
      <c r="F2359">
        <v>174</v>
      </c>
      <c r="G2359">
        <v>153</v>
      </c>
      <c r="H2359">
        <v>5</v>
      </c>
      <c r="O2359" t="s">
        <v>11564</v>
      </c>
    </row>
    <row r="2360" spans="2:19" x14ac:dyDescent="0.25">
      <c r="B2360">
        <v>111220938</v>
      </c>
      <c r="C2360" t="s">
        <v>18280</v>
      </c>
      <c r="E2360">
        <v>137</v>
      </c>
      <c r="F2360">
        <v>174</v>
      </c>
      <c r="G2360">
        <v>153</v>
      </c>
      <c r="H2360">
        <v>9</v>
      </c>
      <c r="P2360" t="s">
        <v>9025</v>
      </c>
    </row>
    <row r="2361" spans="2:19" x14ac:dyDescent="0.25">
      <c r="B2361">
        <v>111220940</v>
      </c>
      <c r="C2361" t="s">
        <v>18281</v>
      </c>
      <c r="E2361">
        <v>154</v>
      </c>
      <c r="F2361">
        <v>195</v>
      </c>
      <c r="G2361">
        <v>172</v>
      </c>
      <c r="H2361">
        <v>9</v>
      </c>
      <c r="P2361" t="s">
        <v>9027</v>
      </c>
    </row>
    <row r="2362" spans="2:19" x14ac:dyDescent="0.25">
      <c r="B2362">
        <v>17621</v>
      </c>
      <c r="C2362" t="s">
        <v>18282</v>
      </c>
      <c r="E2362">
        <v>137</v>
      </c>
      <c r="F2362">
        <v>174</v>
      </c>
      <c r="G2362">
        <v>153</v>
      </c>
      <c r="H2362">
        <v>7</v>
      </c>
      <c r="P2362" t="s">
        <v>11566</v>
      </c>
    </row>
    <row r="2363" spans="2:19" x14ac:dyDescent="0.25">
      <c r="B2363">
        <v>17622</v>
      </c>
      <c r="C2363" t="s">
        <v>18283</v>
      </c>
      <c r="E2363">
        <v>137</v>
      </c>
      <c r="F2363">
        <v>174</v>
      </c>
      <c r="G2363">
        <v>153</v>
      </c>
      <c r="H2363">
        <v>9</v>
      </c>
      <c r="Q2363" t="s">
        <v>11568</v>
      </c>
    </row>
    <row r="2364" spans="2:19" x14ac:dyDescent="0.25">
      <c r="B2364">
        <v>17623</v>
      </c>
      <c r="C2364" t="s">
        <v>18284</v>
      </c>
      <c r="E2364">
        <v>154</v>
      </c>
      <c r="F2364">
        <v>195</v>
      </c>
      <c r="G2364">
        <v>172</v>
      </c>
      <c r="H2364">
        <v>9</v>
      </c>
      <c r="Q2364" t="s">
        <v>11570</v>
      </c>
    </row>
    <row r="2365" spans="2:19" x14ac:dyDescent="0.25">
      <c r="B2365">
        <v>17624</v>
      </c>
      <c r="C2365" t="s">
        <v>18285</v>
      </c>
      <c r="E2365">
        <v>154</v>
      </c>
      <c r="F2365">
        <v>195</v>
      </c>
      <c r="G2365">
        <v>172</v>
      </c>
      <c r="H2365">
        <v>10</v>
      </c>
      <c r="R2365" t="s">
        <v>11572</v>
      </c>
    </row>
    <row r="2366" spans="2:19" x14ac:dyDescent="0.25">
      <c r="B2366">
        <v>17625</v>
      </c>
      <c r="C2366" t="s">
        <v>18286</v>
      </c>
      <c r="E2366">
        <v>154</v>
      </c>
      <c r="F2366">
        <v>195</v>
      </c>
      <c r="G2366">
        <v>172</v>
      </c>
      <c r="H2366">
        <v>11</v>
      </c>
      <c r="S2366" t="s">
        <v>11574</v>
      </c>
    </row>
    <row r="2367" spans="2:19" x14ac:dyDescent="0.25">
      <c r="B2367">
        <v>17626</v>
      </c>
      <c r="C2367" t="s">
        <v>18287</v>
      </c>
      <c r="E2367">
        <v>154</v>
      </c>
      <c r="F2367">
        <v>195</v>
      </c>
      <c r="G2367">
        <v>172</v>
      </c>
      <c r="H2367">
        <v>10</v>
      </c>
      <c r="R2367" t="s">
        <v>11576</v>
      </c>
    </row>
    <row r="2368" spans="2:19" x14ac:dyDescent="0.25">
      <c r="B2368">
        <v>17627</v>
      </c>
      <c r="C2368" t="s">
        <v>18288</v>
      </c>
      <c r="E2368">
        <v>154</v>
      </c>
      <c r="F2368">
        <v>195</v>
      </c>
      <c r="G2368">
        <v>172</v>
      </c>
      <c r="H2368">
        <v>11</v>
      </c>
      <c r="S2368" t="s">
        <v>11578</v>
      </c>
    </row>
    <row r="2369" spans="2:19" x14ac:dyDescent="0.25">
      <c r="B2369">
        <v>17628</v>
      </c>
      <c r="C2369" t="s">
        <v>18289</v>
      </c>
      <c r="E2369">
        <v>154</v>
      </c>
      <c r="F2369">
        <v>195</v>
      </c>
      <c r="G2369">
        <v>172</v>
      </c>
      <c r="H2369">
        <v>10</v>
      </c>
      <c r="R2369" t="s">
        <v>11580</v>
      </c>
    </row>
    <row r="2370" spans="2:19" x14ac:dyDescent="0.25">
      <c r="B2370">
        <v>17629</v>
      </c>
      <c r="C2370" t="s">
        <v>18290</v>
      </c>
      <c r="E2370">
        <v>137</v>
      </c>
      <c r="F2370">
        <v>174</v>
      </c>
      <c r="G2370">
        <v>153</v>
      </c>
      <c r="H2370">
        <v>7</v>
      </c>
      <c r="P2370" t="s">
        <v>11582</v>
      </c>
    </row>
    <row r="2371" spans="2:19" x14ac:dyDescent="0.25">
      <c r="B2371">
        <v>17630</v>
      </c>
      <c r="C2371" t="s">
        <v>18291</v>
      </c>
      <c r="E2371">
        <v>137</v>
      </c>
      <c r="F2371">
        <v>174</v>
      </c>
      <c r="G2371">
        <v>153</v>
      </c>
      <c r="H2371">
        <v>9</v>
      </c>
      <c r="Q2371" t="s">
        <v>11584</v>
      </c>
    </row>
    <row r="2372" spans="2:19" x14ac:dyDescent="0.25">
      <c r="B2372">
        <v>17631</v>
      </c>
      <c r="C2372" t="s">
        <v>18292</v>
      </c>
      <c r="E2372">
        <v>154</v>
      </c>
      <c r="F2372">
        <v>195</v>
      </c>
      <c r="G2372">
        <v>172</v>
      </c>
      <c r="H2372">
        <v>9</v>
      </c>
      <c r="Q2372" t="s">
        <v>11586</v>
      </c>
    </row>
    <row r="2373" spans="2:19" x14ac:dyDescent="0.25">
      <c r="B2373">
        <v>17632</v>
      </c>
      <c r="C2373" t="s">
        <v>18293</v>
      </c>
      <c r="E2373">
        <v>154</v>
      </c>
      <c r="F2373">
        <v>195</v>
      </c>
      <c r="G2373">
        <v>172</v>
      </c>
      <c r="H2373">
        <v>10</v>
      </c>
      <c r="R2373" t="s">
        <v>11588</v>
      </c>
    </row>
    <row r="2374" spans="2:19" x14ac:dyDescent="0.25">
      <c r="B2374">
        <v>17633</v>
      </c>
      <c r="C2374" t="s">
        <v>18294</v>
      </c>
      <c r="E2374">
        <v>154</v>
      </c>
      <c r="F2374">
        <v>195</v>
      </c>
      <c r="G2374">
        <v>172</v>
      </c>
      <c r="H2374">
        <v>11</v>
      </c>
      <c r="S2374" t="s">
        <v>11590</v>
      </c>
    </row>
    <row r="2375" spans="2:19" x14ac:dyDescent="0.25">
      <c r="B2375">
        <v>17634</v>
      </c>
      <c r="C2375" t="s">
        <v>18295</v>
      </c>
      <c r="E2375">
        <v>154</v>
      </c>
      <c r="F2375">
        <v>195</v>
      </c>
      <c r="G2375">
        <v>172</v>
      </c>
      <c r="H2375">
        <v>11</v>
      </c>
      <c r="S2375" t="s">
        <v>11592</v>
      </c>
    </row>
    <row r="2376" spans="2:19" x14ac:dyDescent="0.25">
      <c r="B2376">
        <v>17635</v>
      </c>
      <c r="C2376" t="s">
        <v>18296</v>
      </c>
      <c r="E2376">
        <v>154</v>
      </c>
      <c r="F2376">
        <v>195</v>
      </c>
      <c r="G2376">
        <v>172</v>
      </c>
      <c r="H2376">
        <v>10</v>
      </c>
      <c r="R2376" t="s">
        <v>11594</v>
      </c>
    </row>
    <row r="2377" spans="2:19" x14ac:dyDescent="0.25">
      <c r="B2377">
        <v>17636</v>
      </c>
      <c r="C2377" t="s">
        <v>18297</v>
      </c>
      <c r="E2377">
        <v>154</v>
      </c>
      <c r="F2377">
        <v>195</v>
      </c>
      <c r="G2377">
        <v>172</v>
      </c>
      <c r="H2377">
        <v>11</v>
      </c>
      <c r="S2377" t="s">
        <v>11596</v>
      </c>
    </row>
    <row r="2378" spans="2:19" x14ac:dyDescent="0.25">
      <c r="B2378">
        <v>17637</v>
      </c>
      <c r="C2378" t="s">
        <v>18298</v>
      </c>
      <c r="E2378">
        <v>154</v>
      </c>
      <c r="F2378">
        <v>195</v>
      </c>
      <c r="G2378">
        <v>172</v>
      </c>
      <c r="H2378">
        <v>10</v>
      </c>
      <c r="R2378" t="s">
        <v>11598</v>
      </c>
    </row>
    <row r="2379" spans="2:19" x14ac:dyDescent="0.25">
      <c r="B2379">
        <v>17638</v>
      </c>
      <c r="C2379" t="s">
        <v>18299</v>
      </c>
      <c r="E2379">
        <v>137</v>
      </c>
      <c r="F2379">
        <v>174</v>
      </c>
      <c r="G2379">
        <v>153</v>
      </c>
      <c r="H2379">
        <v>7</v>
      </c>
      <c r="P2379" t="s">
        <v>11600</v>
      </c>
    </row>
    <row r="2380" spans="2:19" x14ac:dyDescent="0.25">
      <c r="B2380">
        <v>17639</v>
      </c>
      <c r="C2380" t="s">
        <v>18300</v>
      </c>
      <c r="E2380">
        <v>137</v>
      </c>
      <c r="F2380">
        <v>174</v>
      </c>
      <c r="G2380">
        <v>153</v>
      </c>
      <c r="H2380">
        <v>9</v>
      </c>
      <c r="Q2380" t="s">
        <v>11602</v>
      </c>
    </row>
    <row r="2381" spans="2:19" x14ac:dyDescent="0.25">
      <c r="B2381">
        <v>17640</v>
      </c>
      <c r="C2381" t="s">
        <v>18301</v>
      </c>
      <c r="E2381">
        <v>154</v>
      </c>
      <c r="F2381">
        <v>195</v>
      </c>
      <c r="G2381">
        <v>172</v>
      </c>
      <c r="H2381">
        <v>9</v>
      </c>
      <c r="Q2381" t="s">
        <v>11604</v>
      </c>
    </row>
    <row r="2382" spans="2:19" x14ac:dyDescent="0.25">
      <c r="B2382">
        <v>17641</v>
      </c>
      <c r="C2382" t="s">
        <v>18302</v>
      </c>
      <c r="E2382">
        <v>154</v>
      </c>
      <c r="F2382">
        <v>195</v>
      </c>
      <c r="G2382">
        <v>172</v>
      </c>
      <c r="H2382">
        <v>10</v>
      </c>
      <c r="R2382" t="s">
        <v>11606</v>
      </c>
    </row>
    <row r="2383" spans="2:19" x14ac:dyDescent="0.25">
      <c r="B2383">
        <v>114403731</v>
      </c>
      <c r="C2383" t="s">
        <v>18303</v>
      </c>
      <c r="E2383">
        <v>154</v>
      </c>
      <c r="F2383">
        <v>195</v>
      </c>
      <c r="G2383">
        <v>172</v>
      </c>
      <c r="H2383">
        <v>10</v>
      </c>
      <c r="S2383" t="s">
        <v>9101</v>
      </c>
    </row>
    <row r="2384" spans="2:19" x14ac:dyDescent="0.25">
      <c r="B2384">
        <v>17642</v>
      </c>
      <c r="C2384" t="s">
        <v>18304</v>
      </c>
      <c r="E2384">
        <v>154</v>
      </c>
      <c r="F2384">
        <v>195</v>
      </c>
      <c r="G2384">
        <v>172</v>
      </c>
      <c r="H2384">
        <v>11</v>
      </c>
      <c r="S2384" t="s">
        <v>11608</v>
      </c>
    </row>
    <row r="2385" spans="2:19" x14ac:dyDescent="0.25">
      <c r="B2385">
        <v>17643</v>
      </c>
      <c r="C2385" t="s">
        <v>18305</v>
      </c>
      <c r="E2385">
        <v>154</v>
      </c>
      <c r="F2385">
        <v>195</v>
      </c>
      <c r="G2385">
        <v>172</v>
      </c>
      <c r="H2385">
        <v>10</v>
      </c>
      <c r="R2385" t="s">
        <v>11610</v>
      </c>
    </row>
    <row r="2386" spans="2:19" x14ac:dyDescent="0.25">
      <c r="B2386">
        <v>17644</v>
      </c>
      <c r="C2386" t="s">
        <v>18306</v>
      </c>
      <c r="E2386">
        <v>154</v>
      </c>
      <c r="F2386">
        <v>195</v>
      </c>
      <c r="G2386">
        <v>172</v>
      </c>
      <c r="H2386">
        <v>11</v>
      </c>
      <c r="S2386" t="s">
        <v>11612</v>
      </c>
    </row>
    <row r="2387" spans="2:19" x14ac:dyDescent="0.25">
      <c r="B2387">
        <v>17645</v>
      </c>
      <c r="C2387" t="s">
        <v>18307</v>
      </c>
      <c r="E2387">
        <v>154</v>
      </c>
      <c r="F2387">
        <v>195</v>
      </c>
      <c r="G2387">
        <v>172</v>
      </c>
      <c r="H2387">
        <v>11</v>
      </c>
      <c r="S2387" t="s">
        <v>11614</v>
      </c>
    </row>
    <row r="2388" spans="2:19" x14ac:dyDescent="0.25">
      <c r="B2388">
        <v>17646</v>
      </c>
      <c r="C2388" t="s">
        <v>18308</v>
      </c>
      <c r="E2388">
        <v>154</v>
      </c>
      <c r="F2388">
        <v>195</v>
      </c>
      <c r="G2388">
        <v>172</v>
      </c>
      <c r="H2388">
        <v>11</v>
      </c>
      <c r="S2388" t="s">
        <v>11616</v>
      </c>
    </row>
    <row r="2389" spans="2:19" x14ac:dyDescent="0.25">
      <c r="B2389">
        <v>17647</v>
      </c>
      <c r="C2389" t="s">
        <v>18309</v>
      </c>
      <c r="E2389">
        <v>154</v>
      </c>
      <c r="F2389">
        <v>195</v>
      </c>
      <c r="G2389">
        <v>172</v>
      </c>
      <c r="H2389">
        <v>11</v>
      </c>
      <c r="S2389" t="s">
        <v>11618</v>
      </c>
    </row>
    <row r="2390" spans="2:19" x14ac:dyDescent="0.25">
      <c r="B2390">
        <v>17648</v>
      </c>
      <c r="C2390" t="s">
        <v>18310</v>
      </c>
      <c r="E2390">
        <v>154</v>
      </c>
      <c r="F2390">
        <v>195</v>
      </c>
      <c r="G2390">
        <v>172</v>
      </c>
      <c r="H2390">
        <v>10</v>
      </c>
      <c r="R2390" t="s">
        <v>11620</v>
      </c>
    </row>
    <row r="2391" spans="2:19" x14ac:dyDescent="0.25">
      <c r="B2391">
        <v>17649</v>
      </c>
      <c r="C2391" t="s">
        <v>18311</v>
      </c>
      <c r="E2391">
        <v>154</v>
      </c>
      <c r="F2391">
        <v>195</v>
      </c>
      <c r="G2391">
        <v>172</v>
      </c>
      <c r="H2391">
        <v>11</v>
      </c>
      <c r="S2391" t="s">
        <v>11622</v>
      </c>
    </row>
    <row r="2392" spans="2:19" x14ac:dyDescent="0.25">
      <c r="B2392">
        <v>127201621</v>
      </c>
      <c r="C2392" t="s">
        <v>18312</v>
      </c>
      <c r="E2392">
        <v>154</v>
      </c>
      <c r="F2392">
        <v>195</v>
      </c>
      <c r="G2392">
        <v>172</v>
      </c>
      <c r="H2392">
        <v>11</v>
      </c>
      <c r="S2392" t="s">
        <v>9355</v>
      </c>
    </row>
    <row r="2393" spans="2:19" x14ac:dyDescent="0.25">
      <c r="B2393">
        <v>17650</v>
      </c>
      <c r="C2393" t="s">
        <v>18313</v>
      </c>
      <c r="E2393">
        <v>120</v>
      </c>
      <c r="F2393">
        <v>152</v>
      </c>
      <c r="G2393">
        <v>134</v>
      </c>
      <c r="H2393">
        <v>5</v>
      </c>
      <c r="O2393" t="s">
        <v>11624</v>
      </c>
    </row>
    <row r="2394" spans="2:19" x14ac:dyDescent="0.25">
      <c r="B2394">
        <v>112892429</v>
      </c>
      <c r="C2394" t="s">
        <v>18314</v>
      </c>
      <c r="E2394">
        <v>108</v>
      </c>
      <c r="F2394">
        <v>138</v>
      </c>
      <c r="G2394">
        <v>121</v>
      </c>
      <c r="H2394">
        <v>9</v>
      </c>
      <c r="P2394" t="s">
        <v>9083</v>
      </c>
    </row>
    <row r="2395" spans="2:19" x14ac:dyDescent="0.25">
      <c r="B2395">
        <v>112892431</v>
      </c>
      <c r="C2395" t="s">
        <v>18315</v>
      </c>
      <c r="E2395">
        <v>137</v>
      </c>
      <c r="F2395">
        <v>174</v>
      </c>
      <c r="G2395">
        <v>153</v>
      </c>
      <c r="H2395">
        <v>9</v>
      </c>
      <c r="P2395" t="s">
        <v>9085</v>
      </c>
    </row>
    <row r="2396" spans="2:19" x14ac:dyDescent="0.25">
      <c r="B2396">
        <v>112892433</v>
      </c>
      <c r="C2396" t="s">
        <v>18316</v>
      </c>
      <c r="E2396">
        <v>137</v>
      </c>
      <c r="F2396">
        <v>174</v>
      </c>
      <c r="G2396">
        <v>153</v>
      </c>
      <c r="H2396">
        <v>10</v>
      </c>
      <c r="Q2396" t="s">
        <v>9087</v>
      </c>
    </row>
    <row r="2397" spans="2:19" x14ac:dyDescent="0.25">
      <c r="B2397">
        <v>112892435</v>
      </c>
      <c r="C2397" t="s">
        <v>18317</v>
      </c>
      <c r="E2397">
        <v>137</v>
      </c>
      <c r="F2397">
        <v>174</v>
      </c>
      <c r="G2397">
        <v>153</v>
      </c>
      <c r="H2397">
        <v>10</v>
      </c>
      <c r="Q2397" t="s">
        <v>9089</v>
      </c>
    </row>
    <row r="2398" spans="2:19" x14ac:dyDescent="0.25">
      <c r="B2398">
        <v>112892437</v>
      </c>
      <c r="C2398" t="s">
        <v>18318</v>
      </c>
      <c r="E2398">
        <v>137</v>
      </c>
      <c r="F2398">
        <v>174</v>
      </c>
      <c r="G2398">
        <v>153</v>
      </c>
      <c r="H2398">
        <v>10</v>
      </c>
      <c r="Q2398" t="s">
        <v>9091</v>
      </c>
    </row>
    <row r="2399" spans="2:19" x14ac:dyDescent="0.25">
      <c r="B2399">
        <v>17651</v>
      </c>
      <c r="C2399" t="s">
        <v>18319</v>
      </c>
      <c r="E2399">
        <v>235</v>
      </c>
      <c r="F2399">
        <v>227</v>
      </c>
      <c r="G2399">
        <v>213</v>
      </c>
      <c r="H2399">
        <v>1</v>
      </c>
      <c r="L2399" t="s">
        <v>4989</v>
      </c>
    </row>
    <row r="2400" spans="2:19" x14ac:dyDescent="0.25">
      <c r="B2400">
        <v>17652</v>
      </c>
      <c r="C2400" t="s">
        <v>18320</v>
      </c>
      <c r="E2400">
        <v>235</v>
      </c>
      <c r="F2400">
        <v>227</v>
      </c>
      <c r="G2400">
        <v>213</v>
      </c>
      <c r="H2400">
        <v>5</v>
      </c>
      <c r="M2400" t="s">
        <v>4533</v>
      </c>
    </row>
    <row r="2401" spans="2:17" x14ac:dyDescent="0.25">
      <c r="B2401">
        <v>17653</v>
      </c>
      <c r="C2401" t="s">
        <v>18321</v>
      </c>
      <c r="E2401">
        <v>235</v>
      </c>
      <c r="F2401">
        <v>227</v>
      </c>
      <c r="G2401">
        <v>213</v>
      </c>
      <c r="H2401">
        <v>5</v>
      </c>
      <c r="M2401" t="s">
        <v>4535</v>
      </c>
    </row>
    <row r="2402" spans="2:17" x14ac:dyDescent="0.25">
      <c r="B2402">
        <v>111220942</v>
      </c>
      <c r="C2402" t="s">
        <v>18322</v>
      </c>
      <c r="E2402">
        <v>235</v>
      </c>
      <c r="F2402">
        <v>227</v>
      </c>
      <c r="G2402">
        <v>213</v>
      </c>
      <c r="H2402">
        <v>9</v>
      </c>
      <c r="N2402" t="s">
        <v>4507</v>
      </c>
    </row>
    <row r="2403" spans="2:17" x14ac:dyDescent="0.25">
      <c r="B2403">
        <v>111220944</v>
      </c>
      <c r="C2403" t="s">
        <v>18323</v>
      </c>
      <c r="E2403">
        <v>235</v>
      </c>
      <c r="F2403">
        <v>227</v>
      </c>
      <c r="G2403">
        <v>213</v>
      </c>
      <c r="H2403">
        <v>9</v>
      </c>
      <c r="N2403" t="s">
        <v>4509</v>
      </c>
    </row>
    <row r="2404" spans="2:17" x14ac:dyDescent="0.25">
      <c r="B2404">
        <v>17654</v>
      </c>
      <c r="C2404" t="s">
        <v>18324</v>
      </c>
      <c r="E2404">
        <v>235</v>
      </c>
      <c r="F2404">
        <v>227</v>
      </c>
      <c r="G2404">
        <v>213</v>
      </c>
      <c r="H2404">
        <v>7</v>
      </c>
      <c r="N2404" t="s">
        <v>4537</v>
      </c>
    </row>
    <row r="2405" spans="2:17" x14ac:dyDescent="0.25">
      <c r="B2405">
        <v>17655</v>
      </c>
      <c r="C2405" t="s">
        <v>18325</v>
      </c>
      <c r="E2405">
        <v>235</v>
      </c>
      <c r="F2405">
        <v>227</v>
      </c>
      <c r="G2405">
        <v>213</v>
      </c>
      <c r="H2405">
        <v>9</v>
      </c>
      <c r="O2405" t="s">
        <v>4539</v>
      </c>
    </row>
    <row r="2406" spans="2:17" x14ac:dyDescent="0.25">
      <c r="B2406">
        <v>17656</v>
      </c>
      <c r="C2406" t="s">
        <v>18326</v>
      </c>
      <c r="E2406">
        <v>235</v>
      </c>
      <c r="F2406">
        <v>227</v>
      </c>
      <c r="G2406">
        <v>213</v>
      </c>
      <c r="H2406">
        <v>9</v>
      </c>
      <c r="O2406" t="s">
        <v>4541</v>
      </c>
    </row>
    <row r="2407" spans="2:17" x14ac:dyDescent="0.25">
      <c r="B2407">
        <v>17657</v>
      </c>
      <c r="C2407" t="s">
        <v>18327</v>
      </c>
      <c r="E2407">
        <v>235</v>
      </c>
      <c r="F2407">
        <v>227</v>
      </c>
      <c r="G2407">
        <v>213</v>
      </c>
      <c r="H2407">
        <v>10</v>
      </c>
      <c r="P2407" t="s">
        <v>4543</v>
      </c>
    </row>
    <row r="2408" spans="2:17" x14ac:dyDescent="0.25">
      <c r="B2408">
        <v>17658</v>
      </c>
      <c r="C2408" t="s">
        <v>18328</v>
      </c>
      <c r="E2408">
        <v>235</v>
      </c>
      <c r="F2408">
        <v>227</v>
      </c>
      <c r="G2408">
        <v>213</v>
      </c>
      <c r="H2408">
        <v>11</v>
      </c>
      <c r="Q2408" t="s">
        <v>4545</v>
      </c>
    </row>
    <row r="2409" spans="2:17" x14ac:dyDescent="0.25">
      <c r="B2409">
        <v>17659</v>
      </c>
      <c r="C2409" t="s">
        <v>18329</v>
      </c>
      <c r="E2409">
        <v>235</v>
      </c>
      <c r="F2409">
        <v>227</v>
      </c>
      <c r="G2409">
        <v>213</v>
      </c>
      <c r="H2409">
        <v>10</v>
      </c>
      <c r="P2409" t="s">
        <v>4547</v>
      </c>
    </row>
    <row r="2410" spans="2:17" x14ac:dyDescent="0.25">
      <c r="B2410">
        <v>17660</v>
      </c>
      <c r="C2410" t="s">
        <v>18330</v>
      </c>
      <c r="E2410">
        <v>235</v>
      </c>
      <c r="F2410">
        <v>227</v>
      </c>
      <c r="G2410">
        <v>213</v>
      </c>
      <c r="H2410">
        <v>11</v>
      </c>
      <c r="Q2410" t="s">
        <v>4549</v>
      </c>
    </row>
    <row r="2411" spans="2:17" x14ac:dyDescent="0.25">
      <c r="B2411">
        <v>17661</v>
      </c>
      <c r="C2411" t="s">
        <v>18331</v>
      </c>
      <c r="E2411">
        <v>235</v>
      </c>
      <c r="F2411">
        <v>227</v>
      </c>
      <c r="G2411">
        <v>213</v>
      </c>
      <c r="H2411">
        <v>11</v>
      </c>
      <c r="Q2411" t="s">
        <v>4551</v>
      </c>
    </row>
    <row r="2412" spans="2:17" x14ac:dyDescent="0.25">
      <c r="B2412">
        <v>17662</v>
      </c>
      <c r="C2412" t="s">
        <v>18332</v>
      </c>
      <c r="E2412">
        <v>235</v>
      </c>
      <c r="F2412">
        <v>227</v>
      </c>
      <c r="G2412">
        <v>213</v>
      </c>
      <c r="H2412">
        <v>11</v>
      </c>
      <c r="Q2412" t="s">
        <v>4553</v>
      </c>
    </row>
    <row r="2413" spans="2:17" x14ac:dyDescent="0.25">
      <c r="B2413">
        <v>17663</v>
      </c>
      <c r="C2413" t="s">
        <v>18333</v>
      </c>
      <c r="E2413">
        <v>235</v>
      </c>
      <c r="F2413">
        <v>227</v>
      </c>
      <c r="G2413">
        <v>213</v>
      </c>
      <c r="H2413">
        <v>11</v>
      </c>
      <c r="Q2413" t="s">
        <v>4555</v>
      </c>
    </row>
    <row r="2414" spans="2:17" x14ac:dyDescent="0.25">
      <c r="B2414">
        <v>17664</v>
      </c>
      <c r="C2414" t="s">
        <v>18334</v>
      </c>
      <c r="E2414">
        <v>235</v>
      </c>
      <c r="F2414">
        <v>227</v>
      </c>
      <c r="G2414">
        <v>213</v>
      </c>
      <c r="H2414">
        <v>11</v>
      </c>
      <c r="Q2414" t="s">
        <v>4557</v>
      </c>
    </row>
    <row r="2415" spans="2:17" x14ac:dyDescent="0.25">
      <c r="B2415">
        <v>17665</v>
      </c>
      <c r="C2415" t="s">
        <v>18335</v>
      </c>
      <c r="E2415">
        <v>235</v>
      </c>
      <c r="F2415">
        <v>227</v>
      </c>
      <c r="G2415">
        <v>213</v>
      </c>
      <c r="H2415">
        <v>10</v>
      </c>
      <c r="P2415" t="s">
        <v>4559</v>
      </c>
    </row>
    <row r="2416" spans="2:17" x14ac:dyDescent="0.25">
      <c r="B2416">
        <v>17666</v>
      </c>
      <c r="C2416" t="s">
        <v>18336</v>
      </c>
      <c r="E2416">
        <v>235</v>
      </c>
      <c r="F2416">
        <v>227</v>
      </c>
      <c r="G2416">
        <v>213</v>
      </c>
      <c r="H2416">
        <v>7</v>
      </c>
      <c r="N2416" t="s">
        <v>4561</v>
      </c>
    </row>
    <row r="2417" spans="2:17" x14ac:dyDescent="0.25">
      <c r="B2417">
        <v>17667</v>
      </c>
      <c r="C2417" t="s">
        <v>18337</v>
      </c>
      <c r="E2417">
        <v>235</v>
      </c>
      <c r="F2417">
        <v>227</v>
      </c>
      <c r="G2417">
        <v>213</v>
      </c>
      <c r="H2417">
        <v>9</v>
      </c>
      <c r="O2417" t="s">
        <v>4563</v>
      </c>
    </row>
    <row r="2418" spans="2:17" x14ac:dyDescent="0.25">
      <c r="B2418">
        <v>17668</v>
      </c>
      <c r="C2418" t="s">
        <v>18338</v>
      </c>
      <c r="E2418">
        <v>235</v>
      </c>
      <c r="F2418">
        <v>227</v>
      </c>
      <c r="G2418">
        <v>213</v>
      </c>
      <c r="H2418">
        <v>11</v>
      </c>
      <c r="P2418" t="s">
        <v>4565</v>
      </c>
    </row>
    <row r="2419" spans="2:17" x14ac:dyDescent="0.25">
      <c r="B2419">
        <v>17669</v>
      </c>
      <c r="C2419" t="s">
        <v>18339</v>
      </c>
      <c r="E2419">
        <v>235</v>
      </c>
      <c r="F2419">
        <v>227</v>
      </c>
      <c r="G2419">
        <v>213</v>
      </c>
      <c r="H2419">
        <v>9</v>
      </c>
      <c r="O2419" t="s">
        <v>4567</v>
      </c>
    </row>
    <row r="2420" spans="2:17" x14ac:dyDescent="0.25">
      <c r="B2420">
        <v>17670</v>
      </c>
      <c r="C2420" t="s">
        <v>18340</v>
      </c>
      <c r="E2420">
        <v>235</v>
      </c>
      <c r="F2420">
        <v>227</v>
      </c>
      <c r="G2420">
        <v>213</v>
      </c>
      <c r="H2420">
        <v>10</v>
      </c>
      <c r="P2420" t="s">
        <v>4569</v>
      </c>
    </row>
    <row r="2421" spans="2:17" x14ac:dyDescent="0.25">
      <c r="B2421">
        <v>17671</v>
      </c>
      <c r="C2421" t="s">
        <v>18341</v>
      </c>
      <c r="E2421">
        <v>235</v>
      </c>
      <c r="F2421">
        <v>227</v>
      </c>
      <c r="G2421">
        <v>213</v>
      </c>
      <c r="H2421">
        <v>10</v>
      </c>
      <c r="P2421" t="s">
        <v>4571</v>
      </c>
    </row>
    <row r="2422" spans="2:17" x14ac:dyDescent="0.25">
      <c r="B2422">
        <v>17672</v>
      </c>
      <c r="C2422" t="s">
        <v>18342</v>
      </c>
      <c r="E2422">
        <v>235</v>
      </c>
      <c r="F2422">
        <v>227</v>
      </c>
      <c r="G2422">
        <v>213</v>
      </c>
      <c r="H2422">
        <v>11</v>
      </c>
      <c r="Q2422" t="s">
        <v>4573</v>
      </c>
    </row>
    <row r="2423" spans="2:17" x14ac:dyDescent="0.25">
      <c r="B2423">
        <v>17673</v>
      </c>
      <c r="C2423" t="s">
        <v>18343</v>
      </c>
      <c r="E2423">
        <v>235</v>
      </c>
      <c r="F2423">
        <v>227</v>
      </c>
      <c r="G2423">
        <v>213</v>
      </c>
      <c r="H2423">
        <v>11</v>
      </c>
      <c r="Q2423" t="s">
        <v>4575</v>
      </c>
    </row>
    <row r="2424" spans="2:17" x14ac:dyDescent="0.25">
      <c r="B2424">
        <v>17674</v>
      </c>
      <c r="C2424" t="s">
        <v>18344</v>
      </c>
      <c r="E2424">
        <v>235</v>
      </c>
      <c r="F2424">
        <v>227</v>
      </c>
      <c r="G2424">
        <v>213</v>
      </c>
      <c r="H2424">
        <v>10</v>
      </c>
      <c r="P2424" t="s">
        <v>4577</v>
      </c>
    </row>
    <row r="2425" spans="2:17" x14ac:dyDescent="0.25">
      <c r="B2425">
        <v>17675</v>
      </c>
      <c r="C2425" t="s">
        <v>18345</v>
      </c>
      <c r="E2425">
        <v>235</v>
      </c>
      <c r="F2425">
        <v>227</v>
      </c>
      <c r="G2425">
        <v>213</v>
      </c>
      <c r="H2425">
        <v>11</v>
      </c>
      <c r="Q2425" t="s">
        <v>4579</v>
      </c>
    </row>
    <row r="2426" spans="2:17" x14ac:dyDescent="0.25">
      <c r="B2426">
        <v>17676</v>
      </c>
      <c r="C2426" t="s">
        <v>18346</v>
      </c>
      <c r="E2426">
        <v>235</v>
      </c>
      <c r="F2426">
        <v>227</v>
      </c>
      <c r="G2426">
        <v>213</v>
      </c>
      <c r="H2426">
        <v>11</v>
      </c>
      <c r="Q2426" t="s">
        <v>4581</v>
      </c>
    </row>
    <row r="2427" spans="2:17" x14ac:dyDescent="0.25">
      <c r="B2427">
        <v>17677</v>
      </c>
      <c r="C2427" t="s">
        <v>18347</v>
      </c>
      <c r="E2427">
        <v>235</v>
      </c>
      <c r="F2427">
        <v>227</v>
      </c>
      <c r="G2427">
        <v>213</v>
      </c>
      <c r="H2427">
        <v>7</v>
      </c>
      <c r="N2427" t="s">
        <v>4583</v>
      </c>
    </row>
    <row r="2428" spans="2:17" x14ac:dyDescent="0.25">
      <c r="B2428">
        <v>17678</v>
      </c>
      <c r="C2428" t="s">
        <v>18348</v>
      </c>
      <c r="E2428">
        <v>235</v>
      </c>
      <c r="F2428">
        <v>227</v>
      </c>
      <c r="G2428">
        <v>213</v>
      </c>
      <c r="H2428">
        <v>9</v>
      </c>
      <c r="O2428" t="s">
        <v>4585</v>
      </c>
    </row>
    <row r="2429" spans="2:17" x14ac:dyDescent="0.25">
      <c r="B2429">
        <v>17679</v>
      </c>
      <c r="C2429" t="s">
        <v>18349</v>
      </c>
      <c r="E2429">
        <v>235</v>
      </c>
      <c r="F2429">
        <v>227</v>
      </c>
      <c r="G2429">
        <v>213</v>
      </c>
      <c r="H2429">
        <v>9</v>
      </c>
      <c r="O2429" t="s">
        <v>4587</v>
      </c>
    </row>
    <row r="2430" spans="2:17" x14ac:dyDescent="0.25">
      <c r="B2430">
        <v>17680</v>
      </c>
      <c r="C2430" t="s">
        <v>18350</v>
      </c>
      <c r="E2430">
        <v>235</v>
      </c>
      <c r="F2430">
        <v>227</v>
      </c>
      <c r="G2430">
        <v>213</v>
      </c>
      <c r="H2430">
        <v>10</v>
      </c>
      <c r="P2430" t="s">
        <v>4589</v>
      </c>
    </row>
    <row r="2431" spans="2:17" x14ac:dyDescent="0.25">
      <c r="B2431">
        <v>17681</v>
      </c>
      <c r="C2431" t="s">
        <v>18351</v>
      </c>
      <c r="E2431">
        <v>235</v>
      </c>
      <c r="F2431">
        <v>227</v>
      </c>
      <c r="G2431">
        <v>213</v>
      </c>
      <c r="H2431">
        <v>11</v>
      </c>
      <c r="Q2431" t="s">
        <v>4591</v>
      </c>
    </row>
    <row r="2432" spans="2:17" x14ac:dyDescent="0.25">
      <c r="B2432">
        <v>17682</v>
      </c>
      <c r="C2432" t="s">
        <v>18352</v>
      </c>
      <c r="E2432">
        <v>235</v>
      </c>
      <c r="F2432">
        <v>227</v>
      </c>
      <c r="G2432">
        <v>213</v>
      </c>
      <c r="H2432">
        <v>10</v>
      </c>
      <c r="P2432" t="s">
        <v>4593</v>
      </c>
    </row>
    <row r="2433" spans="2:18" x14ac:dyDescent="0.25">
      <c r="B2433">
        <v>17683</v>
      </c>
      <c r="C2433" t="s">
        <v>18353</v>
      </c>
      <c r="E2433">
        <v>235</v>
      </c>
      <c r="F2433">
        <v>227</v>
      </c>
      <c r="G2433">
        <v>213</v>
      </c>
      <c r="H2433">
        <v>11</v>
      </c>
      <c r="Q2433" t="s">
        <v>4595</v>
      </c>
    </row>
    <row r="2434" spans="2:18" x14ac:dyDescent="0.25">
      <c r="B2434">
        <v>17684</v>
      </c>
      <c r="C2434" t="s">
        <v>18354</v>
      </c>
      <c r="E2434">
        <v>235</v>
      </c>
      <c r="F2434">
        <v>227</v>
      </c>
      <c r="G2434">
        <v>213</v>
      </c>
      <c r="H2434">
        <v>12</v>
      </c>
      <c r="R2434" t="s">
        <v>4597</v>
      </c>
    </row>
    <row r="2435" spans="2:18" x14ac:dyDescent="0.25">
      <c r="B2435">
        <v>17685</v>
      </c>
      <c r="C2435" t="s">
        <v>18355</v>
      </c>
      <c r="E2435">
        <v>235</v>
      </c>
      <c r="F2435">
        <v>227</v>
      </c>
      <c r="G2435">
        <v>213</v>
      </c>
      <c r="H2435">
        <v>12</v>
      </c>
      <c r="R2435" t="s">
        <v>4599</v>
      </c>
    </row>
    <row r="2436" spans="2:18" x14ac:dyDescent="0.25">
      <c r="B2436">
        <v>17686</v>
      </c>
      <c r="C2436" t="s">
        <v>18356</v>
      </c>
      <c r="E2436">
        <v>235</v>
      </c>
      <c r="F2436">
        <v>227</v>
      </c>
      <c r="G2436">
        <v>213</v>
      </c>
      <c r="H2436">
        <v>11</v>
      </c>
      <c r="Q2436" t="s">
        <v>4601</v>
      </c>
    </row>
    <row r="2437" spans="2:18" x14ac:dyDescent="0.25">
      <c r="B2437">
        <v>17687</v>
      </c>
      <c r="C2437" t="s">
        <v>18357</v>
      </c>
      <c r="E2437">
        <v>235</v>
      </c>
      <c r="F2437">
        <v>227</v>
      </c>
      <c r="G2437">
        <v>213</v>
      </c>
      <c r="H2437">
        <v>12</v>
      </c>
      <c r="R2437" t="s">
        <v>4603</v>
      </c>
    </row>
    <row r="2438" spans="2:18" x14ac:dyDescent="0.25">
      <c r="B2438">
        <v>17688</v>
      </c>
      <c r="C2438" t="s">
        <v>18358</v>
      </c>
      <c r="E2438">
        <v>235</v>
      </c>
      <c r="F2438">
        <v>227</v>
      </c>
      <c r="G2438">
        <v>213</v>
      </c>
      <c r="H2438">
        <v>12</v>
      </c>
      <c r="R2438" t="s">
        <v>4605</v>
      </c>
    </row>
    <row r="2439" spans="2:18" x14ac:dyDescent="0.25">
      <c r="B2439">
        <v>17689</v>
      </c>
      <c r="C2439" t="s">
        <v>18359</v>
      </c>
      <c r="E2439">
        <v>235</v>
      </c>
      <c r="F2439">
        <v>227</v>
      </c>
      <c r="G2439">
        <v>213</v>
      </c>
      <c r="H2439">
        <v>10</v>
      </c>
      <c r="P2439" t="s">
        <v>4607</v>
      </c>
    </row>
    <row r="2440" spans="2:18" x14ac:dyDescent="0.25">
      <c r="B2440">
        <v>17690</v>
      </c>
      <c r="C2440" t="s">
        <v>18360</v>
      </c>
      <c r="E2440">
        <v>235</v>
      </c>
      <c r="F2440">
        <v>227</v>
      </c>
      <c r="G2440">
        <v>213</v>
      </c>
      <c r="H2440">
        <v>11</v>
      </c>
      <c r="Q2440" t="s">
        <v>2721</v>
      </c>
    </row>
    <row r="2441" spans="2:18" x14ac:dyDescent="0.25">
      <c r="B2441">
        <v>17691</v>
      </c>
      <c r="C2441" t="s">
        <v>18361</v>
      </c>
      <c r="E2441">
        <v>235</v>
      </c>
      <c r="F2441">
        <v>227</v>
      </c>
      <c r="G2441">
        <v>213</v>
      </c>
      <c r="H2441">
        <v>11</v>
      </c>
      <c r="Q2441" t="s">
        <v>2566</v>
      </c>
    </row>
    <row r="2442" spans="2:18" x14ac:dyDescent="0.25">
      <c r="B2442">
        <v>17692</v>
      </c>
      <c r="C2442" t="s">
        <v>18362</v>
      </c>
      <c r="E2442">
        <v>212</v>
      </c>
      <c r="F2442">
        <v>204</v>
      </c>
      <c r="G2442">
        <v>192</v>
      </c>
      <c r="H2442">
        <v>5</v>
      </c>
      <c r="M2442" t="s">
        <v>4609</v>
      </c>
    </row>
    <row r="2443" spans="2:18" x14ac:dyDescent="0.25">
      <c r="B2443">
        <v>111220946</v>
      </c>
      <c r="C2443" t="s">
        <v>18363</v>
      </c>
      <c r="E2443">
        <v>212</v>
      </c>
      <c r="F2443">
        <v>204</v>
      </c>
      <c r="G2443">
        <v>192</v>
      </c>
      <c r="H2443">
        <v>9</v>
      </c>
      <c r="N2443" t="s">
        <v>4511</v>
      </c>
    </row>
    <row r="2444" spans="2:18" x14ac:dyDescent="0.25">
      <c r="B2444">
        <v>111220948</v>
      </c>
      <c r="C2444" t="s">
        <v>18364</v>
      </c>
      <c r="E2444">
        <v>212</v>
      </c>
      <c r="F2444">
        <v>204</v>
      </c>
      <c r="G2444">
        <v>192</v>
      </c>
      <c r="H2444">
        <v>9</v>
      </c>
      <c r="N2444" t="s">
        <v>4513</v>
      </c>
    </row>
    <row r="2445" spans="2:18" x14ac:dyDescent="0.25">
      <c r="B2445">
        <v>17693</v>
      </c>
      <c r="C2445" t="s">
        <v>18365</v>
      </c>
      <c r="E2445">
        <v>212</v>
      </c>
      <c r="F2445">
        <v>204</v>
      </c>
      <c r="G2445">
        <v>192</v>
      </c>
      <c r="H2445">
        <v>7</v>
      </c>
      <c r="N2445" t="s">
        <v>4611</v>
      </c>
    </row>
    <row r="2446" spans="2:18" x14ac:dyDescent="0.25">
      <c r="B2446">
        <v>17694</v>
      </c>
      <c r="C2446" t="s">
        <v>18366</v>
      </c>
      <c r="E2446">
        <v>212</v>
      </c>
      <c r="F2446">
        <v>204</v>
      </c>
      <c r="G2446">
        <v>192</v>
      </c>
      <c r="H2446">
        <v>9</v>
      </c>
      <c r="O2446" t="s">
        <v>4613</v>
      </c>
    </row>
    <row r="2447" spans="2:18" x14ac:dyDescent="0.25">
      <c r="B2447">
        <v>17695</v>
      </c>
      <c r="C2447" t="s">
        <v>18367</v>
      </c>
      <c r="E2447">
        <v>212</v>
      </c>
      <c r="F2447">
        <v>204</v>
      </c>
      <c r="G2447">
        <v>192</v>
      </c>
      <c r="H2447">
        <v>9</v>
      </c>
      <c r="O2447" t="s">
        <v>4615</v>
      </c>
    </row>
    <row r="2448" spans="2:18" x14ac:dyDescent="0.25">
      <c r="B2448">
        <v>17696</v>
      </c>
      <c r="C2448" t="s">
        <v>18368</v>
      </c>
      <c r="E2448">
        <v>212</v>
      </c>
      <c r="F2448">
        <v>204</v>
      </c>
      <c r="G2448">
        <v>192</v>
      </c>
      <c r="H2448">
        <v>10</v>
      </c>
      <c r="P2448" t="s">
        <v>4617</v>
      </c>
    </row>
    <row r="2449" spans="2:18" x14ac:dyDescent="0.25">
      <c r="B2449">
        <v>17697</v>
      </c>
      <c r="C2449" t="s">
        <v>18369</v>
      </c>
      <c r="E2449">
        <v>212</v>
      </c>
      <c r="F2449">
        <v>204</v>
      </c>
      <c r="G2449">
        <v>192</v>
      </c>
      <c r="H2449">
        <v>11</v>
      </c>
      <c r="Q2449" t="s">
        <v>4619</v>
      </c>
    </row>
    <row r="2450" spans="2:18" x14ac:dyDescent="0.25">
      <c r="B2450">
        <v>17698</v>
      </c>
      <c r="C2450" t="s">
        <v>18370</v>
      </c>
      <c r="E2450">
        <v>212</v>
      </c>
      <c r="F2450">
        <v>204</v>
      </c>
      <c r="G2450">
        <v>192</v>
      </c>
      <c r="H2450">
        <v>10</v>
      </c>
      <c r="P2450" t="s">
        <v>4621</v>
      </c>
    </row>
    <row r="2451" spans="2:18" x14ac:dyDescent="0.25">
      <c r="B2451">
        <v>17699</v>
      </c>
      <c r="C2451" t="s">
        <v>18371</v>
      </c>
      <c r="E2451">
        <v>212</v>
      </c>
      <c r="F2451">
        <v>204</v>
      </c>
      <c r="G2451">
        <v>192</v>
      </c>
      <c r="H2451">
        <v>11</v>
      </c>
      <c r="Q2451" t="s">
        <v>4623</v>
      </c>
    </row>
    <row r="2452" spans="2:18" x14ac:dyDescent="0.25">
      <c r="B2452">
        <v>17700</v>
      </c>
      <c r="C2452" t="s">
        <v>18372</v>
      </c>
      <c r="E2452">
        <v>212</v>
      </c>
      <c r="F2452">
        <v>204</v>
      </c>
      <c r="G2452">
        <v>192</v>
      </c>
      <c r="H2452">
        <v>12</v>
      </c>
      <c r="R2452" t="s">
        <v>4625</v>
      </c>
    </row>
    <row r="2453" spans="2:18" x14ac:dyDescent="0.25">
      <c r="B2453">
        <v>17701</v>
      </c>
      <c r="C2453" t="s">
        <v>18373</v>
      </c>
      <c r="E2453">
        <v>212</v>
      </c>
      <c r="F2453">
        <v>204</v>
      </c>
      <c r="G2453">
        <v>192</v>
      </c>
      <c r="H2453">
        <v>12</v>
      </c>
      <c r="R2453" t="s">
        <v>4627</v>
      </c>
    </row>
    <row r="2454" spans="2:18" x14ac:dyDescent="0.25">
      <c r="B2454">
        <v>17702</v>
      </c>
      <c r="C2454" t="s">
        <v>18374</v>
      </c>
      <c r="E2454">
        <v>212</v>
      </c>
      <c r="F2454">
        <v>204</v>
      </c>
      <c r="G2454">
        <v>192</v>
      </c>
      <c r="H2454">
        <v>12</v>
      </c>
      <c r="R2454" t="s">
        <v>4629</v>
      </c>
    </row>
    <row r="2455" spans="2:18" x14ac:dyDescent="0.25">
      <c r="B2455">
        <v>17703</v>
      </c>
      <c r="C2455" t="s">
        <v>18375</v>
      </c>
      <c r="E2455">
        <v>212</v>
      </c>
      <c r="F2455">
        <v>204</v>
      </c>
      <c r="G2455">
        <v>192</v>
      </c>
      <c r="H2455">
        <v>11</v>
      </c>
      <c r="Q2455" t="s">
        <v>4631</v>
      </c>
    </row>
    <row r="2456" spans="2:18" x14ac:dyDescent="0.25">
      <c r="B2456">
        <v>17704</v>
      </c>
      <c r="C2456" t="s">
        <v>18376</v>
      </c>
      <c r="E2456">
        <v>212</v>
      </c>
      <c r="F2456">
        <v>204</v>
      </c>
      <c r="G2456">
        <v>192</v>
      </c>
      <c r="H2456">
        <v>11</v>
      </c>
      <c r="Q2456" t="s">
        <v>4633</v>
      </c>
    </row>
    <row r="2457" spans="2:18" x14ac:dyDescent="0.25">
      <c r="B2457">
        <v>17705</v>
      </c>
      <c r="C2457" t="s">
        <v>18377</v>
      </c>
      <c r="E2457">
        <v>212</v>
      </c>
      <c r="F2457">
        <v>204</v>
      </c>
      <c r="G2457">
        <v>192</v>
      </c>
      <c r="H2457">
        <v>12</v>
      </c>
      <c r="R2457" t="s">
        <v>4635</v>
      </c>
    </row>
    <row r="2458" spans="2:18" x14ac:dyDescent="0.25">
      <c r="B2458">
        <v>17706</v>
      </c>
      <c r="C2458" t="s">
        <v>18378</v>
      </c>
      <c r="E2458">
        <v>212</v>
      </c>
      <c r="F2458">
        <v>204</v>
      </c>
      <c r="G2458">
        <v>192</v>
      </c>
      <c r="H2458">
        <v>12</v>
      </c>
      <c r="R2458" t="s">
        <v>4637</v>
      </c>
    </row>
    <row r="2459" spans="2:18" x14ac:dyDescent="0.25">
      <c r="B2459">
        <v>17707</v>
      </c>
      <c r="C2459" t="s">
        <v>18379</v>
      </c>
      <c r="E2459">
        <v>212</v>
      </c>
      <c r="F2459">
        <v>204</v>
      </c>
      <c r="G2459">
        <v>192</v>
      </c>
      <c r="H2459">
        <v>12</v>
      </c>
      <c r="R2459" t="s">
        <v>4639</v>
      </c>
    </row>
    <row r="2460" spans="2:18" x14ac:dyDescent="0.25">
      <c r="B2460">
        <v>17708</v>
      </c>
      <c r="C2460" t="s">
        <v>18380</v>
      </c>
      <c r="E2460">
        <v>212</v>
      </c>
      <c r="F2460">
        <v>204</v>
      </c>
      <c r="G2460">
        <v>192</v>
      </c>
      <c r="H2460">
        <v>11</v>
      </c>
      <c r="Q2460" t="s">
        <v>4641</v>
      </c>
    </row>
    <row r="2461" spans="2:18" x14ac:dyDescent="0.25">
      <c r="B2461">
        <v>17709</v>
      </c>
      <c r="C2461" t="s">
        <v>18381</v>
      </c>
      <c r="E2461">
        <v>212</v>
      </c>
      <c r="F2461">
        <v>204</v>
      </c>
      <c r="G2461">
        <v>192</v>
      </c>
      <c r="H2461">
        <v>10</v>
      </c>
      <c r="P2461" t="s">
        <v>4643</v>
      </c>
    </row>
    <row r="2462" spans="2:18" x14ac:dyDescent="0.25">
      <c r="B2462">
        <v>17710</v>
      </c>
      <c r="C2462" t="s">
        <v>18382</v>
      </c>
      <c r="E2462">
        <v>212</v>
      </c>
      <c r="F2462">
        <v>204</v>
      </c>
      <c r="G2462">
        <v>192</v>
      </c>
      <c r="H2462">
        <v>7</v>
      </c>
      <c r="N2462" t="s">
        <v>4645</v>
      </c>
    </row>
    <row r="2463" spans="2:18" x14ac:dyDescent="0.25">
      <c r="B2463">
        <v>17711</v>
      </c>
      <c r="C2463" t="s">
        <v>18383</v>
      </c>
      <c r="E2463">
        <v>212</v>
      </c>
      <c r="F2463">
        <v>204</v>
      </c>
      <c r="G2463">
        <v>192</v>
      </c>
      <c r="H2463">
        <v>9</v>
      </c>
      <c r="O2463" t="s">
        <v>4647</v>
      </c>
    </row>
    <row r="2464" spans="2:18" x14ac:dyDescent="0.25">
      <c r="B2464">
        <v>17712</v>
      </c>
      <c r="C2464" t="s">
        <v>18384</v>
      </c>
      <c r="E2464">
        <v>212</v>
      </c>
      <c r="F2464">
        <v>204</v>
      </c>
      <c r="G2464">
        <v>192</v>
      </c>
      <c r="H2464">
        <v>9</v>
      </c>
      <c r="O2464" t="s">
        <v>4649</v>
      </c>
    </row>
    <row r="2465" spans="2:18" x14ac:dyDescent="0.25">
      <c r="B2465">
        <v>17713</v>
      </c>
      <c r="C2465" t="s">
        <v>18385</v>
      </c>
      <c r="E2465">
        <v>212</v>
      </c>
      <c r="F2465">
        <v>204</v>
      </c>
      <c r="G2465">
        <v>192</v>
      </c>
      <c r="H2465">
        <v>10</v>
      </c>
      <c r="P2465" t="s">
        <v>4651</v>
      </c>
    </row>
    <row r="2466" spans="2:18" x14ac:dyDescent="0.25">
      <c r="B2466">
        <v>17714</v>
      </c>
      <c r="C2466" t="s">
        <v>18386</v>
      </c>
      <c r="E2466">
        <v>212</v>
      </c>
      <c r="F2466">
        <v>204</v>
      </c>
      <c r="G2466">
        <v>192</v>
      </c>
      <c r="H2466">
        <v>11</v>
      </c>
      <c r="Q2466" t="s">
        <v>4653</v>
      </c>
    </row>
    <row r="2467" spans="2:18" x14ac:dyDescent="0.25">
      <c r="B2467">
        <v>17715</v>
      </c>
      <c r="C2467" t="s">
        <v>18387</v>
      </c>
      <c r="E2467">
        <v>212</v>
      </c>
      <c r="F2467">
        <v>204</v>
      </c>
      <c r="G2467">
        <v>192</v>
      </c>
      <c r="H2467">
        <v>10</v>
      </c>
      <c r="P2467" t="s">
        <v>4655</v>
      </c>
    </row>
    <row r="2468" spans="2:18" x14ac:dyDescent="0.25">
      <c r="B2468">
        <v>17716</v>
      </c>
      <c r="C2468" t="s">
        <v>18388</v>
      </c>
      <c r="E2468">
        <v>212</v>
      </c>
      <c r="F2468">
        <v>204</v>
      </c>
      <c r="G2468">
        <v>192</v>
      </c>
      <c r="H2468">
        <v>11</v>
      </c>
      <c r="Q2468" t="s">
        <v>4657</v>
      </c>
    </row>
    <row r="2469" spans="2:18" x14ac:dyDescent="0.25">
      <c r="B2469">
        <v>17717</v>
      </c>
      <c r="C2469" t="s">
        <v>18389</v>
      </c>
      <c r="E2469">
        <v>212</v>
      </c>
      <c r="F2469">
        <v>204</v>
      </c>
      <c r="G2469">
        <v>192</v>
      </c>
      <c r="H2469">
        <v>11</v>
      </c>
      <c r="Q2469" t="s">
        <v>4659</v>
      </c>
    </row>
    <row r="2470" spans="2:18" x14ac:dyDescent="0.25">
      <c r="B2470">
        <v>17718</v>
      </c>
      <c r="C2470" t="s">
        <v>18390</v>
      </c>
      <c r="E2470">
        <v>212</v>
      </c>
      <c r="F2470">
        <v>204</v>
      </c>
      <c r="G2470">
        <v>192</v>
      </c>
      <c r="H2470">
        <v>12</v>
      </c>
      <c r="R2470" t="s">
        <v>4661</v>
      </c>
    </row>
    <row r="2471" spans="2:18" x14ac:dyDescent="0.25">
      <c r="B2471">
        <v>17719</v>
      </c>
      <c r="C2471" t="s">
        <v>18391</v>
      </c>
      <c r="E2471">
        <v>212</v>
      </c>
      <c r="F2471">
        <v>204</v>
      </c>
      <c r="G2471">
        <v>192</v>
      </c>
      <c r="H2471">
        <v>12</v>
      </c>
      <c r="R2471" t="s">
        <v>4663</v>
      </c>
    </row>
    <row r="2472" spans="2:18" x14ac:dyDescent="0.25">
      <c r="B2472">
        <v>17720</v>
      </c>
      <c r="C2472" t="s">
        <v>18392</v>
      </c>
      <c r="E2472">
        <v>212</v>
      </c>
      <c r="F2472">
        <v>204</v>
      </c>
      <c r="G2472">
        <v>192</v>
      </c>
      <c r="H2472">
        <v>12</v>
      </c>
      <c r="R2472" t="s">
        <v>4665</v>
      </c>
    </row>
    <row r="2473" spans="2:18" x14ac:dyDescent="0.25">
      <c r="B2473">
        <v>17721</v>
      </c>
      <c r="C2473" t="s">
        <v>18393</v>
      </c>
      <c r="E2473">
        <v>212</v>
      </c>
      <c r="F2473">
        <v>204</v>
      </c>
      <c r="G2473">
        <v>192</v>
      </c>
      <c r="H2473">
        <v>11</v>
      </c>
      <c r="Q2473" t="s">
        <v>4667</v>
      </c>
    </row>
    <row r="2474" spans="2:18" x14ac:dyDescent="0.25">
      <c r="B2474">
        <v>17722</v>
      </c>
      <c r="C2474" t="s">
        <v>18394</v>
      </c>
      <c r="E2474">
        <v>212</v>
      </c>
      <c r="F2474">
        <v>204</v>
      </c>
      <c r="G2474">
        <v>192</v>
      </c>
      <c r="H2474">
        <v>12</v>
      </c>
      <c r="R2474" t="s">
        <v>4669</v>
      </c>
    </row>
    <row r="2475" spans="2:18" x14ac:dyDescent="0.25">
      <c r="B2475">
        <v>17723</v>
      </c>
      <c r="C2475" t="s">
        <v>18395</v>
      </c>
      <c r="E2475">
        <v>212</v>
      </c>
      <c r="F2475">
        <v>204</v>
      </c>
      <c r="G2475">
        <v>192</v>
      </c>
      <c r="H2475">
        <v>12</v>
      </c>
      <c r="R2475" t="s">
        <v>4671</v>
      </c>
    </row>
    <row r="2476" spans="2:18" x14ac:dyDescent="0.25">
      <c r="B2476">
        <v>17724</v>
      </c>
      <c r="C2476" t="s">
        <v>18396</v>
      </c>
      <c r="E2476">
        <v>212</v>
      </c>
      <c r="F2476">
        <v>204</v>
      </c>
      <c r="G2476">
        <v>192</v>
      </c>
      <c r="H2476">
        <v>10</v>
      </c>
      <c r="P2476" t="s">
        <v>4673</v>
      </c>
    </row>
    <row r="2477" spans="2:18" x14ac:dyDescent="0.25">
      <c r="B2477">
        <v>17725</v>
      </c>
      <c r="C2477" t="s">
        <v>18397</v>
      </c>
      <c r="E2477">
        <v>212</v>
      </c>
      <c r="F2477">
        <v>204</v>
      </c>
      <c r="G2477">
        <v>192</v>
      </c>
      <c r="H2477">
        <v>7</v>
      </c>
      <c r="N2477" t="s">
        <v>4675</v>
      </c>
    </row>
    <row r="2478" spans="2:18" x14ac:dyDescent="0.25">
      <c r="B2478">
        <v>17726</v>
      </c>
      <c r="C2478" t="s">
        <v>18398</v>
      </c>
      <c r="E2478">
        <v>212</v>
      </c>
      <c r="F2478">
        <v>204</v>
      </c>
      <c r="G2478">
        <v>192</v>
      </c>
      <c r="H2478">
        <v>9</v>
      </c>
      <c r="O2478" t="s">
        <v>4677</v>
      </c>
    </row>
    <row r="2479" spans="2:18" x14ac:dyDescent="0.25">
      <c r="B2479">
        <v>17727</v>
      </c>
      <c r="C2479" t="s">
        <v>18399</v>
      </c>
      <c r="E2479">
        <v>212</v>
      </c>
      <c r="F2479">
        <v>204</v>
      </c>
      <c r="G2479">
        <v>192</v>
      </c>
      <c r="H2479">
        <v>9</v>
      </c>
      <c r="O2479" t="s">
        <v>4679</v>
      </c>
    </row>
    <row r="2480" spans="2:18" x14ac:dyDescent="0.25">
      <c r="B2480">
        <v>17728</v>
      </c>
      <c r="C2480" t="s">
        <v>18400</v>
      </c>
      <c r="E2480">
        <v>212</v>
      </c>
      <c r="F2480">
        <v>204</v>
      </c>
      <c r="G2480">
        <v>192</v>
      </c>
      <c r="H2480">
        <v>10</v>
      </c>
      <c r="P2480" t="s">
        <v>4681</v>
      </c>
    </row>
    <row r="2481" spans="2:17" x14ac:dyDescent="0.25">
      <c r="B2481">
        <v>17729</v>
      </c>
      <c r="C2481" t="s">
        <v>18401</v>
      </c>
      <c r="E2481">
        <v>212</v>
      </c>
      <c r="F2481">
        <v>204</v>
      </c>
      <c r="G2481">
        <v>192</v>
      </c>
      <c r="H2481">
        <v>11</v>
      </c>
      <c r="Q2481" t="s">
        <v>4683</v>
      </c>
    </row>
    <row r="2482" spans="2:17" x14ac:dyDescent="0.25">
      <c r="B2482">
        <v>17730</v>
      </c>
      <c r="C2482" t="s">
        <v>18402</v>
      </c>
      <c r="E2482">
        <v>212</v>
      </c>
      <c r="F2482">
        <v>204</v>
      </c>
      <c r="G2482">
        <v>192</v>
      </c>
      <c r="H2482">
        <v>10</v>
      </c>
      <c r="P2482" t="s">
        <v>4685</v>
      </c>
    </row>
    <row r="2483" spans="2:17" x14ac:dyDescent="0.25">
      <c r="B2483">
        <v>17731</v>
      </c>
      <c r="C2483" t="s">
        <v>18403</v>
      </c>
      <c r="E2483">
        <v>212</v>
      </c>
      <c r="F2483">
        <v>204</v>
      </c>
      <c r="G2483">
        <v>192</v>
      </c>
      <c r="H2483">
        <v>11</v>
      </c>
      <c r="Q2483" t="s">
        <v>4687</v>
      </c>
    </row>
    <row r="2484" spans="2:17" x14ac:dyDescent="0.25">
      <c r="B2484">
        <v>17732</v>
      </c>
      <c r="C2484" t="s">
        <v>18404</v>
      </c>
      <c r="E2484">
        <v>212</v>
      </c>
      <c r="F2484">
        <v>204</v>
      </c>
      <c r="G2484">
        <v>192</v>
      </c>
      <c r="H2484">
        <v>11</v>
      </c>
      <c r="Q2484" t="s">
        <v>4689</v>
      </c>
    </row>
    <row r="2485" spans="2:17" x14ac:dyDescent="0.25">
      <c r="B2485">
        <v>17733</v>
      </c>
      <c r="C2485" t="s">
        <v>18405</v>
      </c>
      <c r="E2485">
        <v>212</v>
      </c>
      <c r="F2485">
        <v>204</v>
      </c>
      <c r="G2485">
        <v>192</v>
      </c>
      <c r="H2485">
        <v>10</v>
      </c>
      <c r="P2485" t="s">
        <v>4691</v>
      </c>
    </row>
    <row r="2486" spans="2:17" x14ac:dyDescent="0.25">
      <c r="B2486">
        <v>17734</v>
      </c>
      <c r="C2486" t="s">
        <v>18406</v>
      </c>
      <c r="E2486">
        <v>212</v>
      </c>
      <c r="F2486">
        <v>204</v>
      </c>
      <c r="G2486">
        <v>192</v>
      </c>
      <c r="H2486">
        <v>5</v>
      </c>
      <c r="M2486" t="s">
        <v>4693</v>
      </c>
    </row>
    <row r="2487" spans="2:17" x14ac:dyDescent="0.25">
      <c r="B2487">
        <v>112892439</v>
      </c>
      <c r="C2487" t="s">
        <v>18407</v>
      </c>
      <c r="E2487">
        <v>212</v>
      </c>
      <c r="F2487">
        <v>204</v>
      </c>
      <c r="G2487">
        <v>192</v>
      </c>
      <c r="H2487">
        <v>9</v>
      </c>
      <c r="N2487" t="s">
        <v>4515</v>
      </c>
    </row>
    <row r="2488" spans="2:17" x14ac:dyDescent="0.25">
      <c r="B2488">
        <v>112892441</v>
      </c>
      <c r="C2488" t="s">
        <v>18408</v>
      </c>
      <c r="E2488">
        <v>212</v>
      </c>
      <c r="F2488">
        <v>204</v>
      </c>
      <c r="G2488">
        <v>192</v>
      </c>
      <c r="H2488">
        <v>9</v>
      </c>
      <c r="N2488" t="s">
        <v>4517</v>
      </c>
    </row>
    <row r="2489" spans="2:17" x14ac:dyDescent="0.25">
      <c r="B2489">
        <v>112892443</v>
      </c>
      <c r="C2489" t="s">
        <v>18409</v>
      </c>
      <c r="E2489">
        <v>212</v>
      </c>
      <c r="F2489">
        <v>204</v>
      </c>
      <c r="G2489">
        <v>192</v>
      </c>
      <c r="H2489">
        <v>10</v>
      </c>
      <c r="O2489" t="s">
        <v>4519</v>
      </c>
    </row>
    <row r="2490" spans="2:17" x14ac:dyDescent="0.25">
      <c r="B2490">
        <v>112892445</v>
      </c>
      <c r="C2490" t="s">
        <v>18410</v>
      </c>
      <c r="E2490">
        <v>212</v>
      </c>
      <c r="F2490">
        <v>204</v>
      </c>
      <c r="G2490">
        <v>192</v>
      </c>
      <c r="H2490">
        <v>10</v>
      </c>
      <c r="O2490" t="s">
        <v>4521</v>
      </c>
    </row>
    <row r="2491" spans="2:17" x14ac:dyDescent="0.25">
      <c r="B2491">
        <v>112892447</v>
      </c>
      <c r="C2491" t="s">
        <v>18411</v>
      </c>
      <c r="E2491">
        <v>212</v>
      </c>
      <c r="F2491">
        <v>204</v>
      </c>
      <c r="G2491">
        <v>192</v>
      </c>
      <c r="H2491">
        <v>10</v>
      </c>
      <c r="O2491" t="s">
        <v>4523</v>
      </c>
    </row>
    <row r="2492" spans="2:17" x14ac:dyDescent="0.25">
      <c r="B2492">
        <v>17735</v>
      </c>
      <c r="C2492" t="s">
        <v>18412</v>
      </c>
      <c r="E2492">
        <v>204</v>
      </c>
      <c r="F2492">
        <v>204</v>
      </c>
      <c r="G2492">
        <v>204</v>
      </c>
      <c r="H2492">
        <v>0</v>
      </c>
      <c r="K2492" t="s">
        <v>18413</v>
      </c>
    </row>
    <row r="2493" spans="2:17" x14ac:dyDescent="0.25">
      <c r="B2493">
        <v>17736</v>
      </c>
      <c r="C2493" t="s">
        <v>18414</v>
      </c>
      <c r="E2493">
        <v>204</v>
      </c>
      <c r="F2493">
        <v>204</v>
      </c>
      <c r="G2493">
        <v>204</v>
      </c>
      <c r="H2493">
        <v>12</v>
      </c>
      <c r="L2493" t="s">
        <v>3408</v>
      </c>
    </row>
    <row r="2494" spans="2:17" x14ac:dyDescent="0.25">
      <c r="B2494">
        <v>17737</v>
      </c>
      <c r="C2494" t="s">
        <v>18415</v>
      </c>
      <c r="E2494">
        <v>204</v>
      </c>
      <c r="F2494">
        <v>204</v>
      </c>
      <c r="G2494">
        <v>204</v>
      </c>
      <c r="H2494">
        <v>12</v>
      </c>
      <c r="L2494" t="s">
        <v>4876</v>
      </c>
    </row>
    <row r="2495" spans="2:17" x14ac:dyDescent="0.25">
      <c r="B2495">
        <v>17738</v>
      </c>
      <c r="C2495" t="s">
        <v>18416</v>
      </c>
      <c r="E2495">
        <v>204</v>
      </c>
      <c r="F2495">
        <v>204</v>
      </c>
      <c r="G2495">
        <v>204</v>
      </c>
      <c r="H2495">
        <v>12</v>
      </c>
      <c r="L2495" t="s">
        <v>18417</v>
      </c>
    </row>
    <row r="2496" spans="2:17" x14ac:dyDescent="0.25">
      <c r="B2496">
        <v>17739</v>
      </c>
      <c r="C2496" t="s">
        <v>18418</v>
      </c>
      <c r="E2496">
        <v>204</v>
      </c>
      <c r="F2496">
        <v>204</v>
      </c>
      <c r="G2496">
        <v>204</v>
      </c>
      <c r="H2496">
        <v>12</v>
      </c>
      <c r="L2496" t="s">
        <v>11626</v>
      </c>
    </row>
    <row r="2497" spans="2:12" x14ac:dyDescent="0.25">
      <c r="B2497">
        <v>17740</v>
      </c>
      <c r="C2497" t="s">
        <v>18419</v>
      </c>
      <c r="E2497">
        <v>204</v>
      </c>
      <c r="F2497">
        <v>204</v>
      </c>
      <c r="G2497">
        <v>204</v>
      </c>
      <c r="H2497">
        <v>12</v>
      </c>
      <c r="L2497" t="s">
        <v>18420</v>
      </c>
    </row>
    <row r="2498" spans="2:12" x14ac:dyDescent="0.25">
      <c r="B2498">
        <v>17741</v>
      </c>
      <c r="C2498" t="s">
        <v>18421</v>
      </c>
      <c r="E2498">
        <v>204</v>
      </c>
      <c r="F2498">
        <v>204</v>
      </c>
      <c r="G2498">
        <v>204</v>
      </c>
      <c r="H2498">
        <v>12</v>
      </c>
      <c r="L2498" t="s">
        <v>4866</v>
      </c>
    </row>
    <row r="2499" spans="2:12" x14ac:dyDescent="0.25">
      <c r="B2499">
        <v>17742</v>
      </c>
      <c r="C2499" t="s">
        <v>18422</v>
      </c>
      <c r="E2499">
        <v>204</v>
      </c>
      <c r="F2499">
        <v>204</v>
      </c>
      <c r="G2499">
        <v>204</v>
      </c>
      <c r="H2499">
        <v>12</v>
      </c>
      <c r="L2499" t="s">
        <v>1820</v>
      </c>
    </row>
    <row r="2500" spans="2:12" x14ac:dyDescent="0.25">
      <c r="B2500">
        <v>17743</v>
      </c>
      <c r="C2500" t="s">
        <v>18423</v>
      </c>
      <c r="E2500">
        <v>204</v>
      </c>
      <c r="F2500">
        <v>204</v>
      </c>
      <c r="G2500">
        <v>204</v>
      </c>
      <c r="H2500">
        <v>12</v>
      </c>
      <c r="L2500" t="s">
        <v>18424</v>
      </c>
    </row>
    <row r="2501" spans="2:12" x14ac:dyDescent="0.25">
      <c r="B2501">
        <v>17744</v>
      </c>
      <c r="C2501" t="s">
        <v>18425</v>
      </c>
      <c r="E2501">
        <v>204</v>
      </c>
      <c r="F2501">
        <v>204</v>
      </c>
      <c r="G2501">
        <v>204</v>
      </c>
      <c r="H2501">
        <v>12</v>
      </c>
      <c r="L2501" t="s">
        <v>18426</v>
      </c>
    </row>
    <row r="2502" spans="2:12" x14ac:dyDescent="0.25">
      <c r="B2502">
        <v>17745</v>
      </c>
      <c r="C2502" t="s">
        <v>18427</v>
      </c>
      <c r="E2502">
        <v>204</v>
      </c>
      <c r="F2502">
        <v>204</v>
      </c>
      <c r="G2502">
        <v>204</v>
      </c>
      <c r="H2502">
        <v>12</v>
      </c>
      <c r="L2502" t="s">
        <v>18428</v>
      </c>
    </row>
    <row r="2503" spans="2:12" x14ac:dyDescent="0.25">
      <c r="B2503">
        <v>17746</v>
      </c>
      <c r="C2503" t="s">
        <v>18429</v>
      </c>
      <c r="E2503">
        <v>204</v>
      </c>
      <c r="F2503">
        <v>204</v>
      </c>
      <c r="G2503">
        <v>204</v>
      </c>
      <c r="H2503">
        <v>12</v>
      </c>
      <c r="L2503" t="s">
        <v>11628</v>
      </c>
    </row>
    <row r="2504" spans="2:12" x14ac:dyDescent="0.25">
      <c r="B2504">
        <v>17747</v>
      </c>
      <c r="C2504" t="s">
        <v>18430</v>
      </c>
      <c r="E2504">
        <v>204</v>
      </c>
      <c r="F2504">
        <v>204</v>
      </c>
      <c r="G2504">
        <v>204</v>
      </c>
      <c r="H2504">
        <v>12</v>
      </c>
      <c r="L2504" t="s">
        <v>2093</v>
      </c>
    </row>
    <row r="2505" spans="2:12" x14ac:dyDescent="0.25">
      <c r="B2505">
        <v>17748</v>
      </c>
      <c r="C2505" t="s">
        <v>18431</v>
      </c>
      <c r="E2505">
        <v>204</v>
      </c>
      <c r="F2505">
        <v>204</v>
      </c>
      <c r="G2505">
        <v>204</v>
      </c>
      <c r="H2505">
        <v>12</v>
      </c>
      <c r="L2505" t="s">
        <v>4871</v>
      </c>
    </row>
    <row r="2506" spans="2:12" x14ac:dyDescent="0.25">
      <c r="B2506">
        <v>17749</v>
      </c>
      <c r="C2506" t="s">
        <v>18432</v>
      </c>
      <c r="E2506">
        <v>204</v>
      </c>
      <c r="F2506">
        <v>204</v>
      </c>
      <c r="G2506">
        <v>204</v>
      </c>
      <c r="H2506">
        <v>12</v>
      </c>
      <c r="L2506" t="s">
        <v>187</v>
      </c>
    </row>
    <row r="2507" spans="2:12" x14ac:dyDescent="0.25">
      <c r="B2507">
        <v>17750</v>
      </c>
      <c r="C2507" t="s">
        <v>18433</v>
      </c>
      <c r="E2507">
        <v>204</v>
      </c>
      <c r="F2507">
        <v>204</v>
      </c>
      <c r="G2507">
        <v>204</v>
      </c>
      <c r="H2507">
        <v>12</v>
      </c>
      <c r="L2507" t="s">
        <v>2324</v>
      </c>
    </row>
    <row r="2508" spans="2:12" x14ac:dyDescent="0.25">
      <c r="B2508">
        <v>17751</v>
      </c>
      <c r="C2508" t="s">
        <v>18434</v>
      </c>
      <c r="E2508">
        <v>204</v>
      </c>
      <c r="F2508">
        <v>204</v>
      </c>
      <c r="G2508">
        <v>204</v>
      </c>
      <c r="H2508">
        <v>12</v>
      </c>
      <c r="L2508" t="s">
        <v>318</v>
      </c>
    </row>
    <row r="2509" spans="2:12" x14ac:dyDescent="0.25">
      <c r="B2509">
        <v>16129</v>
      </c>
      <c r="C2509" t="s">
        <v>18435</v>
      </c>
      <c r="E2509">
        <v>204</v>
      </c>
      <c r="F2509">
        <v>204</v>
      </c>
      <c r="G2509">
        <v>204</v>
      </c>
      <c r="H2509">
        <v>12</v>
      </c>
      <c r="L2509" t="s">
        <v>18436</v>
      </c>
    </row>
    <row r="2510" spans="2:12" x14ac:dyDescent="0.25">
      <c r="B2510">
        <v>16168</v>
      </c>
      <c r="C2510" t="s">
        <v>18437</v>
      </c>
      <c r="E2510">
        <v>204</v>
      </c>
      <c r="F2510">
        <v>204</v>
      </c>
      <c r="G2510">
        <v>204</v>
      </c>
      <c r="H2510">
        <v>12</v>
      </c>
      <c r="L2510" t="s">
        <v>18438</v>
      </c>
    </row>
    <row r="2511" spans="2:12" x14ac:dyDescent="0.25">
      <c r="B2511">
        <v>17752</v>
      </c>
      <c r="C2511" t="s">
        <v>18439</v>
      </c>
      <c r="E2511">
        <v>204</v>
      </c>
      <c r="F2511">
        <v>204</v>
      </c>
      <c r="G2511">
        <v>204</v>
      </c>
      <c r="H2511">
        <v>12</v>
      </c>
      <c r="L2511" t="s">
        <v>18440</v>
      </c>
    </row>
    <row r="2512" spans="2:12" x14ac:dyDescent="0.25">
      <c r="B2512">
        <v>17753</v>
      </c>
      <c r="C2512" t="s">
        <v>18441</v>
      </c>
      <c r="E2512">
        <v>204</v>
      </c>
      <c r="F2512">
        <v>204</v>
      </c>
      <c r="G2512">
        <v>204</v>
      </c>
      <c r="H2512">
        <v>12</v>
      </c>
      <c r="L2512" t="s">
        <v>593</v>
      </c>
    </row>
    <row r="2513" spans="2:12" x14ac:dyDescent="0.25">
      <c r="B2513">
        <v>17754</v>
      </c>
      <c r="C2513" t="s">
        <v>18442</v>
      </c>
      <c r="E2513">
        <v>204</v>
      </c>
      <c r="F2513">
        <v>204</v>
      </c>
      <c r="G2513">
        <v>204</v>
      </c>
      <c r="H2513">
        <v>12</v>
      </c>
      <c r="L2513" t="s">
        <v>615</v>
      </c>
    </row>
    <row r="2514" spans="2:12" x14ac:dyDescent="0.25">
      <c r="B2514">
        <v>17755</v>
      </c>
      <c r="C2514" t="s">
        <v>18443</v>
      </c>
      <c r="E2514">
        <v>204</v>
      </c>
      <c r="F2514">
        <v>204</v>
      </c>
      <c r="G2514">
        <v>204</v>
      </c>
      <c r="H2514">
        <v>12</v>
      </c>
      <c r="L2514" t="s">
        <v>18444</v>
      </c>
    </row>
    <row r="2515" spans="2:12" x14ac:dyDescent="0.25">
      <c r="B2515">
        <v>17756</v>
      </c>
      <c r="C2515" t="s">
        <v>18445</v>
      </c>
      <c r="E2515">
        <v>204</v>
      </c>
      <c r="F2515">
        <v>204</v>
      </c>
      <c r="G2515">
        <v>204</v>
      </c>
      <c r="H2515">
        <v>12</v>
      </c>
      <c r="L2515" t="s">
        <v>1370</v>
      </c>
    </row>
    <row r="2516" spans="2:12" x14ac:dyDescent="0.25">
      <c r="B2516">
        <v>17757</v>
      </c>
      <c r="C2516" t="s">
        <v>18446</v>
      </c>
      <c r="E2516">
        <v>204</v>
      </c>
      <c r="F2516">
        <v>204</v>
      </c>
      <c r="G2516">
        <v>204</v>
      </c>
      <c r="H2516">
        <v>12</v>
      </c>
      <c r="L2516" t="s">
        <v>18447</v>
      </c>
    </row>
    <row r="2517" spans="2:12" x14ac:dyDescent="0.25">
      <c r="B2517">
        <v>17758</v>
      </c>
      <c r="C2517" t="s">
        <v>18448</v>
      </c>
      <c r="E2517">
        <v>204</v>
      </c>
      <c r="F2517">
        <v>204</v>
      </c>
      <c r="G2517">
        <v>204</v>
      </c>
      <c r="H2517">
        <v>12</v>
      </c>
      <c r="L2517" t="s">
        <v>18449</v>
      </c>
    </row>
    <row r="2518" spans="2:12" x14ac:dyDescent="0.25">
      <c r="B2518">
        <v>17759</v>
      </c>
      <c r="C2518" t="s">
        <v>18450</v>
      </c>
      <c r="E2518">
        <v>204</v>
      </c>
      <c r="F2518">
        <v>204</v>
      </c>
      <c r="G2518">
        <v>204</v>
      </c>
      <c r="H2518">
        <v>12</v>
      </c>
      <c r="L2518" t="s">
        <v>977</v>
      </c>
    </row>
    <row r="2519" spans="2:12" x14ac:dyDescent="0.25">
      <c r="B2519">
        <v>17760</v>
      </c>
      <c r="C2519" t="s">
        <v>18451</v>
      </c>
      <c r="E2519">
        <v>204</v>
      </c>
      <c r="F2519">
        <v>204</v>
      </c>
      <c r="G2519">
        <v>204</v>
      </c>
      <c r="H2519">
        <v>12</v>
      </c>
      <c r="L2519" t="s">
        <v>4215</v>
      </c>
    </row>
    <row r="2520" spans="2:12" x14ac:dyDescent="0.25">
      <c r="B2520">
        <v>17761</v>
      </c>
      <c r="C2520" t="s">
        <v>18452</v>
      </c>
      <c r="E2520">
        <v>204</v>
      </c>
      <c r="F2520">
        <v>204</v>
      </c>
      <c r="G2520">
        <v>204</v>
      </c>
      <c r="H2520">
        <v>12</v>
      </c>
      <c r="L2520" t="s">
        <v>3992</v>
      </c>
    </row>
    <row r="2521" spans="2:12" x14ac:dyDescent="0.25">
      <c r="B2521">
        <v>17762</v>
      </c>
      <c r="C2521" t="s">
        <v>18453</v>
      </c>
      <c r="E2521">
        <v>204</v>
      </c>
      <c r="F2521">
        <v>204</v>
      </c>
      <c r="G2521">
        <v>204</v>
      </c>
      <c r="H2521">
        <v>12</v>
      </c>
      <c r="L2521" t="s">
        <v>18454</v>
      </c>
    </row>
    <row r="2522" spans="2:12" x14ac:dyDescent="0.25">
      <c r="B2522">
        <v>17763</v>
      </c>
      <c r="C2522" t="s">
        <v>18455</v>
      </c>
      <c r="E2522">
        <v>204</v>
      </c>
      <c r="F2522">
        <v>204</v>
      </c>
      <c r="G2522">
        <v>204</v>
      </c>
      <c r="H2522">
        <v>12</v>
      </c>
      <c r="L2522" t="s">
        <v>18456</v>
      </c>
    </row>
    <row r="2523" spans="2:12" x14ac:dyDescent="0.25">
      <c r="B2523">
        <v>17764</v>
      </c>
      <c r="C2523" t="s">
        <v>18457</v>
      </c>
      <c r="E2523">
        <v>204</v>
      </c>
      <c r="F2523">
        <v>204</v>
      </c>
      <c r="G2523">
        <v>204</v>
      </c>
      <c r="H2523">
        <v>12</v>
      </c>
      <c r="L2523" t="s">
        <v>18458</v>
      </c>
    </row>
    <row r="2524" spans="2:12" x14ac:dyDescent="0.25">
      <c r="B2524">
        <v>17765</v>
      </c>
      <c r="C2524" t="s">
        <v>18459</v>
      </c>
      <c r="E2524">
        <v>204</v>
      </c>
      <c r="F2524">
        <v>204</v>
      </c>
      <c r="G2524">
        <v>204</v>
      </c>
      <c r="H2524">
        <v>12</v>
      </c>
      <c r="L2524" t="s">
        <v>1782</v>
      </c>
    </row>
    <row r="2525" spans="2:12" x14ac:dyDescent="0.25">
      <c r="B2525">
        <v>17766</v>
      </c>
      <c r="C2525" t="s">
        <v>18460</v>
      </c>
      <c r="E2525">
        <v>204</v>
      </c>
      <c r="F2525">
        <v>204</v>
      </c>
      <c r="G2525">
        <v>204</v>
      </c>
      <c r="H2525">
        <v>12</v>
      </c>
      <c r="L2525" t="s">
        <v>2308</v>
      </c>
    </row>
    <row r="2526" spans="2:12" x14ac:dyDescent="0.25">
      <c r="B2526">
        <v>17767</v>
      </c>
      <c r="C2526" t="s">
        <v>18461</v>
      </c>
      <c r="E2526">
        <v>204</v>
      </c>
      <c r="F2526">
        <v>204</v>
      </c>
      <c r="G2526">
        <v>204</v>
      </c>
      <c r="H2526">
        <v>12</v>
      </c>
      <c r="L2526" t="s">
        <v>2001</v>
      </c>
    </row>
    <row r="2527" spans="2:12" x14ac:dyDescent="0.25">
      <c r="B2527">
        <v>17768</v>
      </c>
      <c r="C2527" t="s">
        <v>18462</v>
      </c>
      <c r="E2527">
        <v>204</v>
      </c>
      <c r="F2527">
        <v>204</v>
      </c>
      <c r="G2527">
        <v>204</v>
      </c>
      <c r="H2527">
        <v>12</v>
      </c>
      <c r="L2527" t="s">
        <v>2138</v>
      </c>
    </row>
    <row r="2528" spans="2:12" x14ac:dyDescent="0.25">
      <c r="B2528">
        <v>17769</v>
      </c>
      <c r="C2528" t="s">
        <v>18463</v>
      </c>
      <c r="E2528">
        <v>204</v>
      </c>
      <c r="F2528">
        <v>204</v>
      </c>
      <c r="G2528">
        <v>204</v>
      </c>
      <c r="H2528">
        <v>12</v>
      </c>
      <c r="L2528" t="s">
        <v>2282</v>
      </c>
    </row>
    <row r="2529" spans="2:12" x14ac:dyDescent="0.25">
      <c r="B2529">
        <v>17770</v>
      </c>
      <c r="C2529" t="s">
        <v>18464</v>
      </c>
      <c r="E2529">
        <v>204</v>
      </c>
      <c r="F2529">
        <v>204</v>
      </c>
      <c r="G2529">
        <v>204</v>
      </c>
      <c r="H2529">
        <v>12</v>
      </c>
      <c r="L2529" t="s">
        <v>2490</v>
      </c>
    </row>
    <row r="2530" spans="2:12" x14ac:dyDescent="0.25">
      <c r="B2530">
        <v>17771</v>
      </c>
      <c r="C2530" t="s">
        <v>18465</v>
      </c>
      <c r="E2530">
        <v>204</v>
      </c>
      <c r="F2530">
        <v>204</v>
      </c>
      <c r="G2530">
        <v>204</v>
      </c>
      <c r="H2530">
        <v>12</v>
      </c>
      <c r="L2530" t="s">
        <v>18466</v>
      </c>
    </row>
    <row r="2531" spans="2:12" x14ac:dyDescent="0.25">
      <c r="B2531">
        <v>17772</v>
      </c>
      <c r="C2531" t="s">
        <v>18467</v>
      </c>
      <c r="E2531">
        <v>204</v>
      </c>
      <c r="F2531">
        <v>204</v>
      </c>
      <c r="G2531">
        <v>204</v>
      </c>
      <c r="H2531">
        <v>12</v>
      </c>
      <c r="L2531" t="s">
        <v>2350</v>
      </c>
    </row>
    <row r="2532" spans="2:12" x14ac:dyDescent="0.25">
      <c r="B2532">
        <v>17773</v>
      </c>
      <c r="C2532" t="s">
        <v>18468</v>
      </c>
      <c r="E2532">
        <v>204</v>
      </c>
      <c r="F2532">
        <v>204</v>
      </c>
      <c r="G2532">
        <v>204</v>
      </c>
      <c r="H2532">
        <v>12</v>
      </c>
      <c r="L2532" t="s">
        <v>2645</v>
      </c>
    </row>
    <row r="2533" spans="2:12" x14ac:dyDescent="0.25">
      <c r="B2533">
        <v>17774</v>
      </c>
      <c r="C2533" t="s">
        <v>18469</v>
      </c>
      <c r="E2533">
        <v>204</v>
      </c>
      <c r="F2533">
        <v>204</v>
      </c>
      <c r="G2533">
        <v>204</v>
      </c>
      <c r="H2533">
        <v>12</v>
      </c>
      <c r="L2533" t="s">
        <v>2607</v>
      </c>
    </row>
    <row r="2534" spans="2:12" x14ac:dyDescent="0.25">
      <c r="B2534">
        <v>17775</v>
      </c>
      <c r="C2534" t="s">
        <v>18470</v>
      </c>
      <c r="E2534">
        <v>204</v>
      </c>
      <c r="F2534">
        <v>204</v>
      </c>
      <c r="G2534">
        <v>204</v>
      </c>
      <c r="H2534">
        <v>12</v>
      </c>
      <c r="L2534" t="s">
        <v>18471</v>
      </c>
    </row>
    <row r="2535" spans="2:12" x14ac:dyDescent="0.25">
      <c r="B2535">
        <v>17776</v>
      </c>
      <c r="C2535" t="s">
        <v>18472</v>
      </c>
      <c r="E2535">
        <v>204</v>
      </c>
      <c r="F2535">
        <v>204</v>
      </c>
      <c r="G2535">
        <v>204</v>
      </c>
      <c r="H2535">
        <v>12</v>
      </c>
      <c r="L2535" t="s">
        <v>2924</v>
      </c>
    </row>
    <row r="2536" spans="2:12" x14ac:dyDescent="0.25">
      <c r="B2536">
        <v>17777</v>
      </c>
      <c r="C2536" t="s">
        <v>18473</v>
      </c>
      <c r="E2536">
        <v>204</v>
      </c>
      <c r="F2536">
        <v>204</v>
      </c>
      <c r="G2536">
        <v>204</v>
      </c>
      <c r="H2536">
        <v>12</v>
      </c>
      <c r="L2536" t="s">
        <v>1416</v>
      </c>
    </row>
    <row r="2537" spans="2:12" x14ac:dyDescent="0.25">
      <c r="B2537">
        <v>17778</v>
      </c>
      <c r="C2537" t="s">
        <v>18474</v>
      </c>
      <c r="E2537">
        <v>204</v>
      </c>
      <c r="F2537">
        <v>204</v>
      </c>
      <c r="G2537">
        <v>204</v>
      </c>
      <c r="H2537">
        <v>12</v>
      </c>
      <c r="L2537" t="s">
        <v>18475</v>
      </c>
    </row>
    <row r="2538" spans="2:12" x14ac:dyDescent="0.25">
      <c r="B2538">
        <v>17779</v>
      </c>
      <c r="C2538" t="s">
        <v>18476</v>
      </c>
      <c r="E2538">
        <v>204</v>
      </c>
      <c r="F2538">
        <v>204</v>
      </c>
      <c r="G2538">
        <v>204</v>
      </c>
      <c r="H2538">
        <v>12</v>
      </c>
      <c r="L2538" t="s">
        <v>630</v>
      </c>
    </row>
    <row r="2539" spans="2:12" x14ac:dyDescent="0.25">
      <c r="B2539">
        <v>17780</v>
      </c>
      <c r="C2539" t="s">
        <v>18477</v>
      </c>
      <c r="E2539">
        <v>204</v>
      </c>
      <c r="F2539">
        <v>204</v>
      </c>
      <c r="G2539">
        <v>204</v>
      </c>
      <c r="H2539">
        <v>12</v>
      </c>
      <c r="L2539" t="s">
        <v>2861</v>
      </c>
    </row>
    <row r="2540" spans="2:12" x14ac:dyDescent="0.25">
      <c r="B2540">
        <v>17781</v>
      </c>
      <c r="C2540" t="s">
        <v>18478</v>
      </c>
      <c r="E2540">
        <v>204</v>
      </c>
      <c r="F2540">
        <v>204</v>
      </c>
      <c r="G2540">
        <v>204</v>
      </c>
      <c r="H2540">
        <v>12</v>
      </c>
      <c r="L2540" t="s">
        <v>2870</v>
      </c>
    </row>
    <row r="2541" spans="2:12" x14ac:dyDescent="0.25">
      <c r="B2541">
        <v>17782</v>
      </c>
      <c r="C2541" t="s">
        <v>18479</v>
      </c>
      <c r="E2541">
        <v>204</v>
      </c>
      <c r="F2541">
        <v>204</v>
      </c>
      <c r="G2541">
        <v>204</v>
      </c>
      <c r="H2541">
        <v>12</v>
      </c>
      <c r="L2541" t="s">
        <v>2876</v>
      </c>
    </row>
    <row r="2542" spans="2:12" x14ac:dyDescent="0.25">
      <c r="B2542">
        <v>17783</v>
      </c>
      <c r="C2542" t="s">
        <v>18480</v>
      </c>
      <c r="E2542">
        <v>204</v>
      </c>
      <c r="F2542">
        <v>204</v>
      </c>
      <c r="G2542">
        <v>204</v>
      </c>
      <c r="H2542">
        <v>12</v>
      </c>
      <c r="L2542" t="s">
        <v>3492</v>
      </c>
    </row>
    <row r="2543" spans="2:12" x14ac:dyDescent="0.25">
      <c r="B2543">
        <v>17784</v>
      </c>
      <c r="C2543" t="s">
        <v>18481</v>
      </c>
      <c r="E2543">
        <v>204</v>
      </c>
      <c r="F2543">
        <v>204</v>
      </c>
      <c r="G2543">
        <v>204</v>
      </c>
      <c r="H2543">
        <v>12</v>
      </c>
      <c r="L2543" t="s">
        <v>18482</v>
      </c>
    </row>
    <row r="2544" spans="2:12" x14ac:dyDescent="0.25">
      <c r="B2544">
        <v>17785</v>
      </c>
      <c r="C2544" t="s">
        <v>18483</v>
      </c>
      <c r="E2544">
        <v>204</v>
      </c>
      <c r="F2544">
        <v>204</v>
      </c>
      <c r="G2544">
        <v>204</v>
      </c>
      <c r="H2544">
        <v>12</v>
      </c>
      <c r="L2544" t="s">
        <v>3504</v>
      </c>
    </row>
    <row r="2545" spans="2:12" x14ac:dyDescent="0.25">
      <c r="B2545">
        <v>17786</v>
      </c>
      <c r="C2545" t="s">
        <v>18484</v>
      </c>
      <c r="E2545">
        <v>204</v>
      </c>
      <c r="F2545">
        <v>204</v>
      </c>
      <c r="G2545">
        <v>204</v>
      </c>
      <c r="H2545">
        <v>12</v>
      </c>
      <c r="L2545" t="s">
        <v>18485</v>
      </c>
    </row>
    <row r="2546" spans="2:12" x14ac:dyDescent="0.25">
      <c r="B2546">
        <v>17787</v>
      </c>
      <c r="C2546" t="s">
        <v>18486</v>
      </c>
      <c r="E2546">
        <v>204</v>
      </c>
      <c r="F2546">
        <v>204</v>
      </c>
      <c r="G2546">
        <v>204</v>
      </c>
      <c r="H2546">
        <v>12</v>
      </c>
      <c r="L2546" t="s">
        <v>3922</v>
      </c>
    </row>
    <row r="2547" spans="2:12" x14ac:dyDescent="0.25">
      <c r="B2547">
        <v>17788</v>
      </c>
      <c r="C2547" t="s">
        <v>18487</v>
      </c>
      <c r="E2547">
        <v>204</v>
      </c>
      <c r="F2547">
        <v>204</v>
      </c>
      <c r="G2547">
        <v>204</v>
      </c>
      <c r="H2547">
        <v>12</v>
      </c>
      <c r="L2547" t="s">
        <v>18488</v>
      </c>
    </row>
    <row r="2548" spans="2:12" x14ac:dyDescent="0.25">
      <c r="B2548">
        <v>17789</v>
      </c>
      <c r="C2548" t="s">
        <v>18489</v>
      </c>
      <c r="E2548">
        <v>204</v>
      </c>
      <c r="F2548">
        <v>204</v>
      </c>
      <c r="G2548">
        <v>204</v>
      </c>
      <c r="H2548">
        <v>12</v>
      </c>
      <c r="L2548" t="s">
        <v>18490</v>
      </c>
    </row>
    <row r="2549" spans="2:12" x14ac:dyDescent="0.25">
      <c r="B2549">
        <v>17790</v>
      </c>
      <c r="C2549" t="s">
        <v>18491</v>
      </c>
      <c r="E2549">
        <v>204</v>
      </c>
      <c r="F2549">
        <v>204</v>
      </c>
      <c r="G2549">
        <v>204</v>
      </c>
      <c r="H2549">
        <v>12</v>
      </c>
      <c r="L2549" t="s">
        <v>2148</v>
      </c>
    </row>
    <row r="2550" spans="2:12" x14ac:dyDescent="0.25">
      <c r="B2550">
        <v>17791</v>
      </c>
      <c r="C2550" t="s">
        <v>18492</v>
      </c>
      <c r="E2550">
        <v>204</v>
      </c>
      <c r="F2550">
        <v>204</v>
      </c>
      <c r="G2550">
        <v>204</v>
      </c>
      <c r="H2550">
        <v>12</v>
      </c>
      <c r="L2550" t="s">
        <v>18493</v>
      </c>
    </row>
    <row r="2551" spans="2:12" x14ac:dyDescent="0.25">
      <c r="B2551">
        <v>17792</v>
      </c>
      <c r="C2551" t="s">
        <v>18494</v>
      </c>
      <c r="E2551">
        <v>204</v>
      </c>
      <c r="F2551">
        <v>204</v>
      </c>
      <c r="G2551">
        <v>204</v>
      </c>
      <c r="H2551">
        <v>12</v>
      </c>
      <c r="L2551" t="s">
        <v>4929</v>
      </c>
    </row>
    <row r="2552" spans="2:12" x14ac:dyDescent="0.25">
      <c r="B2552">
        <v>17793</v>
      </c>
      <c r="C2552" t="s">
        <v>18495</v>
      </c>
      <c r="E2552">
        <v>204</v>
      </c>
      <c r="F2552">
        <v>204</v>
      </c>
      <c r="G2552">
        <v>204</v>
      </c>
      <c r="H2552">
        <v>12</v>
      </c>
      <c r="L2552" t="s">
        <v>12936</v>
      </c>
    </row>
    <row r="2553" spans="2:12" x14ac:dyDescent="0.25">
      <c r="B2553">
        <v>17794</v>
      </c>
      <c r="C2553" t="s">
        <v>18496</v>
      </c>
      <c r="E2553">
        <v>204</v>
      </c>
      <c r="F2553">
        <v>204</v>
      </c>
      <c r="G2553">
        <v>204</v>
      </c>
      <c r="H2553">
        <v>12</v>
      </c>
      <c r="L2553" t="s">
        <v>5076</v>
      </c>
    </row>
    <row r="2554" spans="2:12" x14ac:dyDescent="0.25">
      <c r="B2554">
        <v>17795</v>
      </c>
      <c r="C2554" t="s">
        <v>18497</v>
      </c>
      <c r="E2554">
        <v>204</v>
      </c>
      <c r="F2554">
        <v>204</v>
      </c>
      <c r="G2554">
        <v>204</v>
      </c>
      <c r="H2554">
        <v>12</v>
      </c>
      <c r="L2554" t="s">
        <v>18498</v>
      </c>
    </row>
    <row r="2555" spans="2:12" x14ac:dyDescent="0.25">
      <c r="B2555">
        <v>17796</v>
      </c>
      <c r="C2555" t="s">
        <v>18499</v>
      </c>
      <c r="E2555">
        <v>204</v>
      </c>
      <c r="F2555">
        <v>204</v>
      </c>
      <c r="G2555">
        <v>204</v>
      </c>
      <c r="H2555">
        <v>12</v>
      </c>
      <c r="L2555" t="s">
        <v>4980</v>
      </c>
    </row>
    <row r="2556" spans="2:12" x14ac:dyDescent="0.25">
      <c r="B2556">
        <v>17797</v>
      </c>
      <c r="C2556" t="s">
        <v>18500</v>
      </c>
      <c r="E2556">
        <v>204</v>
      </c>
      <c r="F2556">
        <v>204</v>
      </c>
      <c r="G2556">
        <v>204</v>
      </c>
      <c r="H2556">
        <v>12</v>
      </c>
      <c r="L2556" t="s">
        <v>3214</v>
      </c>
    </row>
    <row r="2557" spans="2:12" x14ac:dyDescent="0.25">
      <c r="B2557">
        <v>17798</v>
      </c>
      <c r="C2557" t="s">
        <v>18501</v>
      </c>
      <c r="E2557">
        <v>204</v>
      </c>
      <c r="F2557">
        <v>204</v>
      </c>
      <c r="G2557">
        <v>204</v>
      </c>
      <c r="H2557">
        <v>12</v>
      </c>
      <c r="L2557" t="s">
        <v>18502</v>
      </c>
    </row>
    <row r="2558" spans="2:12" x14ac:dyDescent="0.25">
      <c r="B2558">
        <v>17799</v>
      </c>
      <c r="C2558" t="s">
        <v>18503</v>
      </c>
      <c r="E2558">
        <v>204</v>
      </c>
      <c r="F2558">
        <v>204</v>
      </c>
      <c r="G2558">
        <v>204</v>
      </c>
      <c r="H2558">
        <v>12</v>
      </c>
      <c r="L2558" t="s">
        <v>18504</v>
      </c>
    </row>
    <row r="2559" spans="2:12" x14ac:dyDescent="0.25">
      <c r="B2559">
        <v>17800</v>
      </c>
      <c r="C2559" t="s">
        <v>18505</v>
      </c>
      <c r="E2559">
        <v>204</v>
      </c>
      <c r="F2559">
        <v>204</v>
      </c>
      <c r="G2559">
        <v>204</v>
      </c>
      <c r="H2559">
        <v>12</v>
      </c>
      <c r="L2559" t="s">
        <v>18506</v>
      </c>
    </row>
    <row r="2560" spans="2:12" x14ac:dyDescent="0.25">
      <c r="B2560">
        <v>17801</v>
      </c>
      <c r="C2560" t="s">
        <v>18507</v>
      </c>
      <c r="E2560">
        <v>204</v>
      </c>
      <c r="F2560">
        <v>204</v>
      </c>
      <c r="G2560">
        <v>204</v>
      </c>
      <c r="H2560">
        <v>12</v>
      </c>
      <c r="L2560" t="s">
        <v>18508</v>
      </c>
    </row>
    <row r="2561" spans="2:16" x14ac:dyDescent="0.25">
      <c r="B2561">
        <v>17802</v>
      </c>
      <c r="C2561" t="s">
        <v>18509</v>
      </c>
      <c r="E2561">
        <v>204</v>
      </c>
      <c r="F2561">
        <v>204</v>
      </c>
      <c r="G2561">
        <v>204</v>
      </c>
      <c r="H2561">
        <v>12</v>
      </c>
      <c r="L2561" t="s">
        <v>7806</v>
      </c>
    </row>
    <row r="2562" spans="2:16" x14ac:dyDescent="0.25">
      <c r="B2562">
        <v>17803</v>
      </c>
      <c r="C2562" t="s">
        <v>18510</v>
      </c>
      <c r="E2562">
        <v>204</v>
      </c>
      <c r="F2562">
        <v>204</v>
      </c>
      <c r="G2562">
        <v>204</v>
      </c>
      <c r="H2562">
        <v>12</v>
      </c>
      <c r="L2562" t="s">
        <v>18511</v>
      </c>
    </row>
    <row r="2563" spans="2:16" x14ac:dyDescent="0.25">
      <c r="B2563">
        <v>17804</v>
      </c>
      <c r="C2563" t="s">
        <v>18512</v>
      </c>
      <c r="E2563">
        <v>204</v>
      </c>
      <c r="F2563">
        <v>204</v>
      </c>
      <c r="G2563">
        <v>204</v>
      </c>
      <c r="H2563">
        <v>12</v>
      </c>
      <c r="L2563" t="s">
        <v>18513</v>
      </c>
    </row>
    <row r="2564" spans="2:16" x14ac:dyDescent="0.25">
      <c r="B2564">
        <v>17805</v>
      </c>
      <c r="C2564" t="s">
        <v>18514</v>
      </c>
      <c r="E2564">
        <v>204</v>
      </c>
      <c r="F2564">
        <v>204</v>
      </c>
      <c r="G2564">
        <v>204</v>
      </c>
      <c r="H2564">
        <v>12</v>
      </c>
      <c r="L2564" t="s">
        <v>417</v>
      </c>
    </row>
    <row r="2565" spans="2:16" x14ac:dyDescent="0.25">
      <c r="B2565">
        <v>17806</v>
      </c>
      <c r="C2565" t="s">
        <v>18515</v>
      </c>
      <c r="E2565">
        <v>204</v>
      </c>
      <c r="F2565">
        <v>204</v>
      </c>
      <c r="G2565">
        <v>204</v>
      </c>
      <c r="H2565">
        <v>12</v>
      </c>
      <c r="L2565" t="s">
        <v>18516</v>
      </c>
    </row>
    <row r="2566" spans="2:16" x14ac:dyDescent="0.25">
      <c r="B2566">
        <v>17807</v>
      </c>
      <c r="C2566" t="s">
        <v>18517</v>
      </c>
      <c r="E2566">
        <v>204</v>
      </c>
      <c r="F2566">
        <v>204</v>
      </c>
      <c r="G2566">
        <v>204</v>
      </c>
      <c r="H2566">
        <v>12</v>
      </c>
      <c r="L2566" t="s">
        <v>11631</v>
      </c>
    </row>
    <row r="2567" spans="2:16" x14ac:dyDescent="0.25">
      <c r="B2567">
        <v>17808</v>
      </c>
      <c r="C2567" t="s">
        <v>18518</v>
      </c>
      <c r="E2567">
        <v>204</v>
      </c>
      <c r="F2567">
        <v>204</v>
      </c>
      <c r="G2567">
        <v>204</v>
      </c>
      <c r="H2567">
        <v>12</v>
      </c>
      <c r="L2567" t="s">
        <v>18519</v>
      </c>
    </row>
    <row r="2568" spans="2:16" x14ac:dyDescent="0.25">
      <c r="B2568">
        <v>126651558</v>
      </c>
      <c r="C2568" t="s">
        <v>627</v>
      </c>
      <c r="E2568">
        <v>195</v>
      </c>
      <c r="F2568">
        <v>92</v>
      </c>
      <c r="G2568">
        <v>46</v>
      </c>
      <c r="H2568">
        <v>0</v>
      </c>
      <c r="K2568" t="s">
        <v>18520</v>
      </c>
    </row>
    <row r="2569" spans="2:16" x14ac:dyDescent="0.25">
      <c r="B2569">
        <v>126651562</v>
      </c>
      <c r="C2569" t="s">
        <v>18521</v>
      </c>
      <c r="E2569">
        <v>195</v>
      </c>
      <c r="F2569">
        <v>92</v>
      </c>
      <c r="G2569">
        <v>46</v>
      </c>
      <c r="H2569">
        <v>1</v>
      </c>
      <c r="L2569" t="s">
        <v>14905</v>
      </c>
    </row>
    <row r="2570" spans="2:16" x14ac:dyDescent="0.25">
      <c r="B2570">
        <v>126651566</v>
      </c>
      <c r="C2570" t="s">
        <v>18522</v>
      </c>
      <c r="E2570">
        <v>168</v>
      </c>
      <c r="F2570">
        <v>77</v>
      </c>
      <c r="G2570">
        <v>16</v>
      </c>
      <c r="H2570">
        <v>2</v>
      </c>
      <c r="M2570" t="s">
        <v>9121</v>
      </c>
    </row>
    <row r="2571" spans="2:16" x14ac:dyDescent="0.25">
      <c r="B2571">
        <v>126651570</v>
      </c>
      <c r="C2571" t="s">
        <v>18523</v>
      </c>
      <c r="E2571">
        <v>168</v>
      </c>
      <c r="F2571">
        <v>77</v>
      </c>
      <c r="G2571">
        <v>16</v>
      </c>
      <c r="H2571">
        <v>3</v>
      </c>
      <c r="N2571" t="s">
        <v>9123</v>
      </c>
    </row>
    <row r="2572" spans="2:16" x14ac:dyDescent="0.25">
      <c r="B2572">
        <v>126651574</v>
      </c>
      <c r="C2572" t="s">
        <v>18524</v>
      </c>
      <c r="E2572">
        <v>168</v>
      </c>
      <c r="F2572">
        <v>77</v>
      </c>
      <c r="G2572">
        <v>16</v>
      </c>
      <c r="H2572">
        <v>4</v>
      </c>
      <c r="O2572" t="s">
        <v>9125</v>
      </c>
    </row>
    <row r="2573" spans="2:16" x14ac:dyDescent="0.25">
      <c r="B2573">
        <v>126651578</v>
      </c>
      <c r="C2573" t="s">
        <v>18525</v>
      </c>
      <c r="E2573">
        <v>195</v>
      </c>
      <c r="F2573">
        <v>92</v>
      </c>
      <c r="G2573">
        <v>46</v>
      </c>
      <c r="H2573">
        <v>5</v>
      </c>
      <c r="P2573" t="s">
        <v>9127</v>
      </c>
    </row>
    <row r="2574" spans="2:16" x14ac:dyDescent="0.25">
      <c r="B2574">
        <v>126651582</v>
      </c>
      <c r="C2574" t="s">
        <v>18526</v>
      </c>
      <c r="E2574">
        <v>168</v>
      </c>
      <c r="F2574">
        <v>77</v>
      </c>
      <c r="G2574">
        <v>16</v>
      </c>
      <c r="H2574">
        <v>5</v>
      </c>
      <c r="P2574" t="s">
        <v>9129</v>
      </c>
    </row>
    <row r="2575" spans="2:16" x14ac:dyDescent="0.25">
      <c r="B2575">
        <v>126651586</v>
      </c>
      <c r="C2575" t="s">
        <v>18527</v>
      </c>
      <c r="E2575">
        <v>168</v>
      </c>
      <c r="F2575">
        <v>102</v>
      </c>
      <c r="G2575">
        <v>58</v>
      </c>
      <c r="H2575">
        <v>4</v>
      </c>
      <c r="O2575" t="s">
        <v>9131</v>
      </c>
    </row>
    <row r="2576" spans="2:16" x14ac:dyDescent="0.25">
      <c r="B2576">
        <v>126651590</v>
      </c>
      <c r="C2576" t="s">
        <v>18528</v>
      </c>
      <c r="E2576">
        <v>168</v>
      </c>
      <c r="F2576">
        <v>102</v>
      </c>
      <c r="G2576">
        <v>58</v>
      </c>
      <c r="H2576">
        <v>5</v>
      </c>
      <c r="P2576" t="s">
        <v>9133</v>
      </c>
    </row>
    <row r="2577" spans="2:16" x14ac:dyDescent="0.25">
      <c r="B2577">
        <v>126651594</v>
      </c>
      <c r="C2577" t="s">
        <v>18529</v>
      </c>
      <c r="E2577">
        <v>134</v>
      </c>
      <c r="F2577">
        <v>82</v>
      </c>
      <c r="G2577">
        <v>46</v>
      </c>
      <c r="H2577">
        <v>5</v>
      </c>
      <c r="P2577" t="s">
        <v>9135</v>
      </c>
    </row>
    <row r="2578" spans="2:16" x14ac:dyDescent="0.25">
      <c r="B2578">
        <v>126651598</v>
      </c>
      <c r="C2578" t="s">
        <v>18530</v>
      </c>
      <c r="E2578">
        <v>109</v>
      </c>
      <c r="F2578">
        <v>66</v>
      </c>
      <c r="G2578">
        <v>38</v>
      </c>
      <c r="H2578">
        <v>5</v>
      </c>
      <c r="P2578" t="s">
        <v>9137</v>
      </c>
    </row>
    <row r="2579" spans="2:16" x14ac:dyDescent="0.25">
      <c r="B2579">
        <v>126651602</v>
      </c>
      <c r="C2579" t="s">
        <v>18531</v>
      </c>
      <c r="E2579">
        <v>237</v>
      </c>
      <c r="F2579">
        <v>152</v>
      </c>
      <c r="G2579">
        <v>92</v>
      </c>
      <c r="H2579">
        <v>3</v>
      </c>
      <c r="N2579" t="s">
        <v>9139</v>
      </c>
    </row>
    <row r="2580" spans="2:16" x14ac:dyDescent="0.25">
      <c r="B2580">
        <v>126651606</v>
      </c>
      <c r="C2580" t="s">
        <v>18532</v>
      </c>
      <c r="E2580">
        <v>237</v>
      </c>
      <c r="F2580">
        <v>152</v>
      </c>
      <c r="G2580">
        <v>92</v>
      </c>
      <c r="H2580">
        <v>4</v>
      </c>
      <c r="O2580" t="s">
        <v>9141</v>
      </c>
    </row>
    <row r="2581" spans="2:16" x14ac:dyDescent="0.25">
      <c r="B2581">
        <v>126651610</v>
      </c>
      <c r="C2581" t="s">
        <v>18533</v>
      </c>
      <c r="E2581">
        <v>255</v>
      </c>
      <c r="F2581">
        <v>156</v>
      </c>
      <c r="G2581">
        <v>89</v>
      </c>
      <c r="H2581">
        <v>5</v>
      </c>
      <c r="P2581" t="s">
        <v>9143</v>
      </c>
    </row>
    <row r="2582" spans="2:16" x14ac:dyDescent="0.25">
      <c r="B2582">
        <v>126651614</v>
      </c>
      <c r="C2582" t="s">
        <v>18534</v>
      </c>
      <c r="E2582">
        <v>237</v>
      </c>
      <c r="F2582">
        <v>152</v>
      </c>
      <c r="G2582">
        <v>92</v>
      </c>
      <c r="H2582">
        <v>5</v>
      </c>
      <c r="P2582" t="s">
        <v>9145</v>
      </c>
    </row>
    <row r="2583" spans="2:16" x14ac:dyDescent="0.25">
      <c r="B2583">
        <v>126651618</v>
      </c>
      <c r="C2583" t="s">
        <v>18535</v>
      </c>
      <c r="E2583">
        <v>223</v>
      </c>
      <c r="F2583">
        <v>114</v>
      </c>
      <c r="G2583">
        <v>87</v>
      </c>
      <c r="H2583">
        <v>4</v>
      </c>
      <c r="O2583" t="s">
        <v>9147</v>
      </c>
    </row>
    <row r="2584" spans="2:16" x14ac:dyDescent="0.25">
      <c r="B2584">
        <v>126651622</v>
      </c>
      <c r="C2584" t="s">
        <v>18536</v>
      </c>
      <c r="E2584">
        <v>223</v>
      </c>
      <c r="F2584">
        <v>114</v>
      </c>
      <c r="G2584">
        <v>87</v>
      </c>
      <c r="H2584">
        <v>5</v>
      </c>
      <c r="P2584" t="s">
        <v>9149</v>
      </c>
    </row>
    <row r="2585" spans="2:16" x14ac:dyDescent="0.25">
      <c r="B2585">
        <v>126651626</v>
      </c>
      <c r="C2585" t="s">
        <v>18537</v>
      </c>
      <c r="E2585">
        <v>178</v>
      </c>
      <c r="F2585">
        <v>91</v>
      </c>
      <c r="G2585">
        <v>70</v>
      </c>
      <c r="H2585">
        <v>5</v>
      </c>
      <c r="P2585" t="s">
        <v>9151</v>
      </c>
    </row>
    <row r="2586" spans="2:16" x14ac:dyDescent="0.25">
      <c r="B2586">
        <v>126651630</v>
      </c>
      <c r="C2586" t="s">
        <v>18538</v>
      </c>
      <c r="E2586">
        <v>171</v>
      </c>
      <c r="F2586">
        <v>101</v>
      </c>
      <c r="G2586">
        <v>83</v>
      </c>
      <c r="H2586">
        <v>5</v>
      </c>
      <c r="P2586" t="s">
        <v>9153</v>
      </c>
    </row>
    <row r="2587" spans="2:16" x14ac:dyDescent="0.25">
      <c r="B2587">
        <v>126651634</v>
      </c>
      <c r="C2587" t="s">
        <v>18539</v>
      </c>
      <c r="E2587">
        <v>255</v>
      </c>
      <c r="F2587">
        <v>249</v>
      </c>
      <c r="G2587">
        <v>199</v>
      </c>
      <c r="H2587">
        <v>2</v>
      </c>
      <c r="M2587" t="s">
        <v>9155</v>
      </c>
    </row>
    <row r="2588" spans="2:16" x14ac:dyDescent="0.25">
      <c r="B2588">
        <v>126651638</v>
      </c>
      <c r="C2588" t="s">
        <v>18540</v>
      </c>
      <c r="E2588">
        <v>255</v>
      </c>
      <c r="F2588">
        <v>249</v>
      </c>
      <c r="G2588">
        <v>199</v>
      </c>
      <c r="H2588">
        <v>3</v>
      </c>
      <c r="N2588" t="s">
        <v>9157</v>
      </c>
    </row>
    <row r="2589" spans="2:16" x14ac:dyDescent="0.25">
      <c r="B2589">
        <v>126651642</v>
      </c>
      <c r="C2589" t="s">
        <v>18541</v>
      </c>
      <c r="E2589">
        <v>255</v>
      </c>
      <c r="F2589">
        <v>249</v>
      </c>
      <c r="G2589">
        <v>199</v>
      </c>
      <c r="H2589">
        <v>4</v>
      </c>
      <c r="O2589" t="s">
        <v>9159</v>
      </c>
    </row>
    <row r="2590" spans="2:16" x14ac:dyDescent="0.25">
      <c r="B2590">
        <v>126651646</v>
      </c>
      <c r="C2590" t="s">
        <v>18542</v>
      </c>
      <c r="E2590">
        <v>255</v>
      </c>
      <c r="F2590">
        <v>249</v>
      </c>
      <c r="G2590">
        <v>199</v>
      </c>
      <c r="H2590">
        <v>5</v>
      </c>
      <c r="P2590" t="s">
        <v>9161</v>
      </c>
    </row>
    <row r="2591" spans="2:16" x14ac:dyDescent="0.25">
      <c r="B2591">
        <v>126651650</v>
      </c>
      <c r="C2591" t="s">
        <v>18543</v>
      </c>
      <c r="E2591">
        <v>255</v>
      </c>
      <c r="F2591">
        <v>244</v>
      </c>
      <c r="G2591">
        <v>164</v>
      </c>
      <c r="H2591">
        <v>5</v>
      </c>
      <c r="P2591" t="s">
        <v>9163</v>
      </c>
    </row>
    <row r="2592" spans="2:16" x14ac:dyDescent="0.25">
      <c r="B2592">
        <v>126651654</v>
      </c>
      <c r="C2592" t="s">
        <v>18544</v>
      </c>
      <c r="E2592">
        <v>204</v>
      </c>
      <c r="F2592">
        <v>195</v>
      </c>
      <c r="G2592">
        <v>131</v>
      </c>
      <c r="H2592">
        <v>4</v>
      </c>
      <c r="O2592" t="s">
        <v>9165</v>
      </c>
    </row>
    <row r="2593" spans="2:16" x14ac:dyDescent="0.25">
      <c r="B2593">
        <v>126651658</v>
      </c>
      <c r="C2593" t="s">
        <v>18545</v>
      </c>
      <c r="E2593">
        <v>204</v>
      </c>
      <c r="F2593">
        <v>195</v>
      </c>
      <c r="G2593">
        <v>131</v>
      </c>
      <c r="H2593">
        <v>5</v>
      </c>
      <c r="P2593" t="s">
        <v>9167</v>
      </c>
    </row>
    <row r="2594" spans="2:16" x14ac:dyDescent="0.25">
      <c r="B2594">
        <v>126651662</v>
      </c>
      <c r="C2594" t="s">
        <v>18546</v>
      </c>
      <c r="E2594">
        <v>166</v>
      </c>
      <c r="F2594">
        <v>159</v>
      </c>
      <c r="G2594">
        <v>107</v>
      </c>
      <c r="H2594">
        <v>5</v>
      </c>
      <c r="P2594" t="s">
        <v>9169</v>
      </c>
    </row>
    <row r="2595" spans="2:16" x14ac:dyDescent="0.25">
      <c r="B2595">
        <v>126651666</v>
      </c>
      <c r="C2595" t="s">
        <v>18547</v>
      </c>
      <c r="E2595">
        <v>255</v>
      </c>
      <c r="F2595">
        <v>241</v>
      </c>
      <c r="G2595">
        <v>137</v>
      </c>
      <c r="H2595">
        <v>3</v>
      </c>
      <c r="N2595" t="s">
        <v>9171</v>
      </c>
    </row>
    <row r="2596" spans="2:16" x14ac:dyDescent="0.25">
      <c r="B2596">
        <v>126651670</v>
      </c>
      <c r="C2596" t="s">
        <v>18548</v>
      </c>
      <c r="E2596">
        <v>255</v>
      </c>
      <c r="F2596">
        <v>241</v>
      </c>
      <c r="G2596">
        <v>137</v>
      </c>
      <c r="H2596">
        <v>4</v>
      </c>
      <c r="O2596" t="s">
        <v>9173</v>
      </c>
    </row>
    <row r="2597" spans="2:16" x14ac:dyDescent="0.25">
      <c r="B2597">
        <v>126651674</v>
      </c>
      <c r="C2597" t="s">
        <v>18549</v>
      </c>
      <c r="E2597">
        <v>255</v>
      </c>
      <c r="F2597">
        <v>249</v>
      </c>
      <c r="G2597">
        <v>203</v>
      </c>
      <c r="H2597">
        <v>5</v>
      </c>
      <c r="P2597" t="s">
        <v>9175</v>
      </c>
    </row>
    <row r="2598" spans="2:16" x14ac:dyDescent="0.25">
      <c r="B2598">
        <v>126651678</v>
      </c>
      <c r="C2598" t="s">
        <v>18550</v>
      </c>
      <c r="E2598">
        <v>255</v>
      </c>
      <c r="F2598">
        <v>237</v>
      </c>
      <c r="G2598">
        <v>100</v>
      </c>
      <c r="H2598">
        <v>5</v>
      </c>
      <c r="P2598" t="s">
        <v>9177</v>
      </c>
    </row>
    <row r="2599" spans="2:16" x14ac:dyDescent="0.25">
      <c r="B2599">
        <v>126651682</v>
      </c>
      <c r="C2599" t="s">
        <v>18551</v>
      </c>
      <c r="E2599">
        <v>204</v>
      </c>
      <c r="F2599">
        <v>190</v>
      </c>
      <c r="G2599">
        <v>80</v>
      </c>
      <c r="H2599">
        <v>4</v>
      </c>
      <c r="O2599" t="s">
        <v>9179</v>
      </c>
    </row>
    <row r="2600" spans="2:16" x14ac:dyDescent="0.25">
      <c r="B2600">
        <v>126651686</v>
      </c>
      <c r="C2600" t="s">
        <v>18552</v>
      </c>
      <c r="E2600">
        <v>204</v>
      </c>
      <c r="F2600">
        <v>190</v>
      </c>
      <c r="G2600">
        <v>80</v>
      </c>
      <c r="H2600">
        <v>5</v>
      </c>
      <c r="P2600" t="s">
        <v>9181</v>
      </c>
    </row>
    <row r="2601" spans="2:16" x14ac:dyDescent="0.25">
      <c r="B2601">
        <v>126651690</v>
      </c>
      <c r="C2601" t="s">
        <v>18553</v>
      </c>
      <c r="E2601">
        <v>179</v>
      </c>
      <c r="F2601">
        <v>166</v>
      </c>
      <c r="G2601">
        <v>70</v>
      </c>
      <c r="H2601">
        <v>5</v>
      </c>
      <c r="P2601" t="s">
        <v>9183</v>
      </c>
    </row>
    <row r="2602" spans="2:16" x14ac:dyDescent="0.25">
      <c r="B2602">
        <v>126651694</v>
      </c>
      <c r="C2602" t="s">
        <v>18554</v>
      </c>
      <c r="E2602">
        <v>255</v>
      </c>
      <c r="F2602">
        <v>229</v>
      </c>
      <c r="G2602">
        <v>36</v>
      </c>
      <c r="H2602">
        <v>3</v>
      </c>
      <c r="N2602" t="s">
        <v>9185</v>
      </c>
    </row>
    <row r="2603" spans="2:16" x14ac:dyDescent="0.25">
      <c r="B2603">
        <v>126651698</v>
      </c>
      <c r="C2603" t="s">
        <v>18555</v>
      </c>
      <c r="E2603">
        <v>255</v>
      </c>
      <c r="F2603">
        <v>229</v>
      </c>
      <c r="G2603">
        <v>36</v>
      </c>
      <c r="H2603">
        <v>4</v>
      </c>
      <c r="O2603" t="s">
        <v>9187</v>
      </c>
    </row>
    <row r="2604" spans="2:16" x14ac:dyDescent="0.25">
      <c r="B2604">
        <v>126651702</v>
      </c>
      <c r="C2604" t="s">
        <v>18556</v>
      </c>
      <c r="E2604">
        <v>255</v>
      </c>
      <c r="F2604">
        <v>246</v>
      </c>
      <c r="G2604">
        <v>181</v>
      </c>
      <c r="H2604">
        <v>5</v>
      </c>
      <c r="P2604" t="s">
        <v>9189</v>
      </c>
    </row>
    <row r="2605" spans="2:16" x14ac:dyDescent="0.25">
      <c r="B2605">
        <v>126651706</v>
      </c>
      <c r="C2605" t="s">
        <v>18557</v>
      </c>
      <c r="E2605">
        <v>255</v>
      </c>
      <c r="F2605">
        <v>229</v>
      </c>
      <c r="G2605">
        <v>36</v>
      </c>
      <c r="H2605">
        <v>5</v>
      </c>
      <c r="P2605" t="s">
        <v>9191</v>
      </c>
    </row>
    <row r="2606" spans="2:16" x14ac:dyDescent="0.25">
      <c r="B2606">
        <v>126651710</v>
      </c>
      <c r="C2606" t="s">
        <v>18558</v>
      </c>
      <c r="E2606">
        <v>204</v>
      </c>
      <c r="F2606">
        <v>183</v>
      </c>
      <c r="G2606">
        <v>29</v>
      </c>
      <c r="H2606">
        <v>4</v>
      </c>
      <c r="O2606" t="s">
        <v>9193</v>
      </c>
    </row>
    <row r="2607" spans="2:16" x14ac:dyDescent="0.25">
      <c r="B2607">
        <v>126651714</v>
      </c>
      <c r="C2607" t="s">
        <v>18559</v>
      </c>
      <c r="E2607">
        <v>204</v>
      </c>
      <c r="F2607">
        <v>183</v>
      </c>
      <c r="G2607">
        <v>29</v>
      </c>
      <c r="H2607">
        <v>5</v>
      </c>
      <c r="P2607" t="s">
        <v>9195</v>
      </c>
    </row>
    <row r="2608" spans="2:16" x14ac:dyDescent="0.25">
      <c r="B2608">
        <v>126651718</v>
      </c>
      <c r="C2608" t="s">
        <v>18560</v>
      </c>
      <c r="E2608">
        <v>179</v>
      </c>
      <c r="F2608">
        <v>160</v>
      </c>
      <c r="G2608">
        <v>25</v>
      </c>
      <c r="H2608">
        <v>5</v>
      </c>
      <c r="P2608" t="s">
        <v>9197</v>
      </c>
    </row>
    <row r="2609" spans="2:15" x14ac:dyDescent="0.25">
      <c r="B2609">
        <v>126651722</v>
      </c>
      <c r="C2609" t="s">
        <v>18561</v>
      </c>
      <c r="E2609">
        <v>23</v>
      </c>
      <c r="F2609">
        <v>179</v>
      </c>
      <c r="G2609">
        <v>23</v>
      </c>
      <c r="H2609">
        <v>1</v>
      </c>
      <c r="L2609" t="s">
        <v>3115</v>
      </c>
    </row>
    <row r="2610" spans="2:15" x14ac:dyDescent="0.25">
      <c r="B2610">
        <v>126651726</v>
      </c>
      <c r="C2610" t="s">
        <v>18562</v>
      </c>
      <c r="E2610">
        <v>23</v>
      </c>
      <c r="F2610">
        <v>179</v>
      </c>
      <c r="G2610">
        <v>23</v>
      </c>
      <c r="H2610">
        <v>3</v>
      </c>
      <c r="M2610" t="s">
        <v>9199</v>
      </c>
    </row>
    <row r="2611" spans="2:15" x14ac:dyDescent="0.25">
      <c r="B2611">
        <v>126651730</v>
      </c>
      <c r="C2611" t="s">
        <v>18563</v>
      </c>
      <c r="E2611">
        <v>23</v>
      </c>
      <c r="F2611">
        <v>179</v>
      </c>
      <c r="G2611">
        <v>23</v>
      </c>
      <c r="H2611">
        <v>4</v>
      </c>
      <c r="N2611" t="s">
        <v>9201</v>
      </c>
    </row>
    <row r="2612" spans="2:15" x14ac:dyDescent="0.25">
      <c r="B2612">
        <v>126651734</v>
      </c>
      <c r="C2612" t="s">
        <v>18564</v>
      </c>
      <c r="E2612">
        <v>137</v>
      </c>
      <c r="F2612">
        <v>216</v>
      </c>
      <c r="G2612">
        <v>137</v>
      </c>
      <c r="H2612">
        <v>5</v>
      </c>
      <c r="O2612" t="s">
        <v>9203</v>
      </c>
    </row>
    <row r="2613" spans="2:15" x14ac:dyDescent="0.25">
      <c r="B2613">
        <v>126651738</v>
      </c>
      <c r="C2613" t="s">
        <v>18565</v>
      </c>
      <c r="E2613">
        <v>23</v>
      </c>
      <c r="F2613">
        <v>179</v>
      </c>
      <c r="G2613">
        <v>23</v>
      </c>
      <c r="H2613">
        <v>5</v>
      </c>
      <c r="O2613" t="s">
        <v>9205</v>
      </c>
    </row>
    <row r="2614" spans="2:15" x14ac:dyDescent="0.25">
      <c r="B2614">
        <v>126651742</v>
      </c>
      <c r="C2614" t="s">
        <v>18566</v>
      </c>
      <c r="E2614">
        <v>18</v>
      </c>
      <c r="F2614">
        <v>143</v>
      </c>
      <c r="G2614">
        <v>18</v>
      </c>
      <c r="H2614">
        <v>4</v>
      </c>
      <c r="N2614" t="s">
        <v>9207</v>
      </c>
    </row>
    <row r="2615" spans="2:15" x14ac:dyDescent="0.25">
      <c r="B2615">
        <v>126651746</v>
      </c>
      <c r="C2615" t="s">
        <v>18567</v>
      </c>
      <c r="E2615">
        <v>18</v>
      </c>
      <c r="F2615">
        <v>143</v>
      </c>
      <c r="G2615">
        <v>18</v>
      </c>
      <c r="H2615">
        <v>5</v>
      </c>
      <c r="O2615" t="s">
        <v>9209</v>
      </c>
    </row>
    <row r="2616" spans="2:15" x14ac:dyDescent="0.25">
      <c r="B2616">
        <v>126651750</v>
      </c>
      <c r="C2616" t="s">
        <v>18568</v>
      </c>
      <c r="E2616">
        <v>55</v>
      </c>
      <c r="F2616">
        <v>138</v>
      </c>
      <c r="G2616">
        <v>55</v>
      </c>
      <c r="H2616">
        <v>5</v>
      </c>
      <c r="O2616" t="s">
        <v>9211</v>
      </c>
    </row>
    <row r="2617" spans="2:15" x14ac:dyDescent="0.25">
      <c r="B2617">
        <v>126651754</v>
      </c>
      <c r="C2617" t="s">
        <v>18569</v>
      </c>
      <c r="E2617">
        <v>0</v>
      </c>
      <c r="F2617">
        <v>209</v>
      </c>
      <c r="G2617">
        <v>0</v>
      </c>
      <c r="H2617">
        <v>3</v>
      </c>
      <c r="M2617" t="s">
        <v>9213</v>
      </c>
    </row>
    <row r="2618" spans="2:15" x14ac:dyDescent="0.25">
      <c r="B2618">
        <v>126651758</v>
      </c>
      <c r="C2618" t="s">
        <v>18570</v>
      </c>
      <c r="E2618">
        <v>0</v>
      </c>
      <c r="F2618">
        <v>209</v>
      </c>
      <c r="G2618">
        <v>0</v>
      </c>
      <c r="H2618">
        <v>4</v>
      </c>
      <c r="N2618" t="s">
        <v>9215</v>
      </c>
    </row>
    <row r="2619" spans="2:15" x14ac:dyDescent="0.25">
      <c r="B2619">
        <v>126651762</v>
      </c>
      <c r="C2619" t="s">
        <v>18571</v>
      </c>
      <c r="E2619">
        <v>147</v>
      </c>
      <c r="F2619">
        <v>236</v>
      </c>
      <c r="G2619">
        <v>147</v>
      </c>
      <c r="H2619">
        <v>5</v>
      </c>
      <c r="O2619" t="s">
        <v>9217</v>
      </c>
    </row>
    <row r="2620" spans="2:15" x14ac:dyDescent="0.25">
      <c r="B2620">
        <v>126651766</v>
      </c>
      <c r="C2620" t="s">
        <v>18572</v>
      </c>
      <c r="E2620">
        <v>0</v>
      </c>
      <c r="F2620">
        <v>209</v>
      </c>
      <c r="G2620">
        <v>0</v>
      </c>
      <c r="H2620">
        <v>5</v>
      </c>
      <c r="O2620" t="s">
        <v>9219</v>
      </c>
    </row>
    <row r="2621" spans="2:15" x14ac:dyDescent="0.25">
      <c r="B2621">
        <v>126651770</v>
      </c>
      <c r="C2621" t="s">
        <v>18573</v>
      </c>
      <c r="E2621">
        <v>0</v>
      </c>
      <c r="F2621">
        <v>167</v>
      </c>
      <c r="G2621">
        <v>0</v>
      </c>
      <c r="H2621">
        <v>4</v>
      </c>
      <c r="N2621" t="s">
        <v>9221</v>
      </c>
    </row>
    <row r="2622" spans="2:15" x14ac:dyDescent="0.25">
      <c r="B2622">
        <v>126651774</v>
      </c>
      <c r="C2622" t="s">
        <v>18574</v>
      </c>
      <c r="E2622">
        <v>0</v>
      </c>
      <c r="F2622">
        <v>167</v>
      </c>
      <c r="G2622">
        <v>0</v>
      </c>
      <c r="H2622">
        <v>5</v>
      </c>
      <c r="O2622" t="s">
        <v>9223</v>
      </c>
    </row>
    <row r="2623" spans="2:15" x14ac:dyDescent="0.25">
      <c r="B2623">
        <v>126651778</v>
      </c>
      <c r="C2623" t="s">
        <v>18575</v>
      </c>
      <c r="E2623">
        <v>68</v>
      </c>
      <c r="F2623">
        <v>159</v>
      </c>
      <c r="G2623">
        <v>68</v>
      </c>
      <c r="H2623">
        <v>5</v>
      </c>
      <c r="O2623" t="s">
        <v>9225</v>
      </c>
    </row>
    <row r="2624" spans="2:15" x14ac:dyDescent="0.25">
      <c r="B2624">
        <v>126651782</v>
      </c>
      <c r="C2624" t="s">
        <v>18576</v>
      </c>
      <c r="E2624">
        <v>234</v>
      </c>
      <c r="F2624">
        <v>55</v>
      </c>
      <c r="G2624">
        <v>255</v>
      </c>
      <c r="H2624">
        <v>1</v>
      </c>
      <c r="L2624" t="s">
        <v>2009</v>
      </c>
    </row>
    <row r="2625" spans="2:15" x14ac:dyDescent="0.25">
      <c r="B2625">
        <v>126651786</v>
      </c>
      <c r="C2625" t="s">
        <v>18577</v>
      </c>
      <c r="E2625">
        <v>234</v>
      </c>
      <c r="F2625">
        <v>55</v>
      </c>
      <c r="G2625">
        <v>255</v>
      </c>
      <c r="H2625">
        <v>2</v>
      </c>
      <c r="M2625" t="s">
        <v>9227</v>
      </c>
    </row>
    <row r="2626" spans="2:15" x14ac:dyDescent="0.25">
      <c r="B2626">
        <v>126651790</v>
      </c>
      <c r="C2626" t="s">
        <v>18578</v>
      </c>
      <c r="E2626">
        <v>234</v>
      </c>
      <c r="F2626">
        <v>55</v>
      </c>
      <c r="G2626">
        <v>255</v>
      </c>
      <c r="H2626">
        <v>3</v>
      </c>
      <c r="N2626" t="s">
        <v>9229</v>
      </c>
    </row>
    <row r="2627" spans="2:15" x14ac:dyDescent="0.25">
      <c r="B2627">
        <v>126651794</v>
      </c>
      <c r="C2627" t="s">
        <v>18579</v>
      </c>
      <c r="E2627">
        <v>243</v>
      </c>
      <c r="F2627">
        <v>139</v>
      </c>
      <c r="G2627">
        <v>255</v>
      </c>
      <c r="H2627">
        <v>5</v>
      </c>
      <c r="O2627" t="s">
        <v>9231</v>
      </c>
    </row>
    <row r="2628" spans="2:15" x14ac:dyDescent="0.25">
      <c r="B2628">
        <v>126651798</v>
      </c>
      <c r="C2628" t="s">
        <v>18580</v>
      </c>
      <c r="E2628">
        <v>234</v>
      </c>
      <c r="F2628">
        <v>55</v>
      </c>
      <c r="G2628">
        <v>255</v>
      </c>
      <c r="H2628">
        <v>5</v>
      </c>
      <c r="O2628" t="s">
        <v>9233</v>
      </c>
    </row>
    <row r="2629" spans="2:15" x14ac:dyDescent="0.25">
      <c r="B2629">
        <v>126651802</v>
      </c>
      <c r="C2629" t="s">
        <v>18581</v>
      </c>
      <c r="E2629">
        <v>187</v>
      </c>
      <c r="F2629">
        <v>44</v>
      </c>
      <c r="G2629">
        <v>204</v>
      </c>
      <c r="H2629">
        <v>5</v>
      </c>
      <c r="O2629" t="s">
        <v>9235</v>
      </c>
    </row>
    <row r="2630" spans="2:15" x14ac:dyDescent="0.25">
      <c r="B2630">
        <v>126651806</v>
      </c>
      <c r="C2630" t="s">
        <v>18582</v>
      </c>
      <c r="E2630">
        <v>164</v>
      </c>
      <c r="F2630">
        <v>39</v>
      </c>
      <c r="G2630">
        <v>179</v>
      </c>
      <c r="H2630">
        <v>5</v>
      </c>
      <c r="O2630" t="s">
        <v>9237</v>
      </c>
    </row>
    <row r="2631" spans="2:15" x14ac:dyDescent="0.25">
      <c r="B2631">
        <v>126651810</v>
      </c>
      <c r="C2631" t="s">
        <v>18583</v>
      </c>
      <c r="E2631">
        <v>238</v>
      </c>
      <c r="F2631">
        <v>93</v>
      </c>
      <c r="G2631">
        <v>255</v>
      </c>
      <c r="H2631">
        <v>3</v>
      </c>
      <c r="N2631" t="s">
        <v>9239</v>
      </c>
    </row>
    <row r="2632" spans="2:15" x14ac:dyDescent="0.25">
      <c r="B2632">
        <v>126651814</v>
      </c>
      <c r="C2632" t="s">
        <v>18584</v>
      </c>
      <c r="E2632">
        <v>245</v>
      </c>
      <c r="F2632">
        <v>181</v>
      </c>
      <c r="G2632">
        <v>255</v>
      </c>
      <c r="H2632">
        <v>5</v>
      </c>
      <c r="O2632" t="s">
        <v>9241</v>
      </c>
    </row>
    <row r="2633" spans="2:15" x14ac:dyDescent="0.25">
      <c r="B2633">
        <v>126651818</v>
      </c>
      <c r="C2633" t="s">
        <v>18585</v>
      </c>
      <c r="E2633">
        <v>238</v>
      </c>
      <c r="F2633">
        <v>93</v>
      </c>
      <c r="G2633">
        <v>255</v>
      </c>
      <c r="H2633">
        <v>5</v>
      </c>
      <c r="O2633" t="s">
        <v>9243</v>
      </c>
    </row>
    <row r="2634" spans="2:15" x14ac:dyDescent="0.25">
      <c r="B2634">
        <v>126651822</v>
      </c>
      <c r="C2634" t="s">
        <v>18586</v>
      </c>
      <c r="E2634">
        <v>190</v>
      </c>
      <c r="F2634">
        <v>74</v>
      </c>
      <c r="G2634">
        <v>204</v>
      </c>
      <c r="H2634">
        <v>5</v>
      </c>
      <c r="O2634" t="s">
        <v>9245</v>
      </c>
    </row>
    <row r="2635" spans="2:15" x14ac:dyDescent="0.25">
      <c r="B2635">
        <v>126651826</v>
      </c>
      <c r="C2635" t="s">
        <v>18587</v>
      </c>
      <c r="E2635">
        <v>167</v>
      </c>
      <c r="F2635">
        <v>65</v>
      </c>
      <c r="G2635">
        <v>179</v>
      </c>
      <c r="H2635">
        <v>5</v>
      </c>
      <c r="O2635" t="s">
        <v>9247</v>
      </c>
    </row>
    <row r="2636" spans="2:15" x14ac:dyDescent="0.25">
      <c r="B2636">
        <v>126651830</v>
      </c>
      <c r="C2636" t="s">
        <v>18588</v>
      </c>
      <c r="E2636">
        <v>238</v>
      </c>
      <c r="F2636">
        <v>128</v>
      </c>
      <c r="G2636">
        <v>255</v>
      </c>
      <c r="H2636">
        <v>3</v>
      </c>
      <c r="N2636" t="s">
        <v>9249</v>
      </c>
    </row>
    <row r="2637" spans="2:15" x14ac:dyDescent="0.25">
      <c r="B2637">
        <v>126651834</v>
      </c>
      <c r="C2637" t="s">
        <v>18589</v>
      </c>
      <c r="E2637">
        <v>243</v>
      </c>
      <c r="F2637">
        <v>164</v>
      </c>
      <c r="G2637">
        <v>255</v>
      </c>
      <c r="H2637">
        <v>5</v>
      </c>
      <c r="O2637" t="s">
        <v>9251</v>
      </c>
    </row>
    <row r="2638" spans="2:15" x14ac:dyDescent="0.25">
      <c r="B2638">
        <v>126651838</v>
      </c>
      <c r="C2638" t="s">
        <v>18590</v>
      </c>
      <c r="E2638">
        <v>238</v>
      </c>
      <c r="F2638">
        <v>128</v>
      </c>
      <c r="G2638">
        <v>255</v>
      </c>
      <c r="H2638">
        <v>5</v>
      </c>
      <c r="O2638" t="s">
        <v>9253</v>
      </c>
    </row>
    <row r="2639" spans="2:15" x14ac:dyDescent="0.25">
      <c r="B2639">
        <v>126651842</v>
      </c>
      <c r="C2639" t="s">
        <v>18591</v>
      </c>
      <c r="E2639">
        <v>202</v>
      </c>
      <c r="F2639">
        <v>109</v>
      </c>
      <c r="G2639">
        <v>217</v>
      </c>
      <c r="H2639">
        <v>5</v>
      </c>
      <c r="O2639" t="s">
        <v>9255</v>
      </c>
    </row>
    <row r="2640" spans="2:15" x14ac:dyDescent="0.25">
      <c r="B2640">
        <v>126651846</v>
      </c>
      <c r="C2640" t="s">
        <v>18592</v>
      </c>
      <c r="E2640">
        <v>167</v>
      </c>
      <c r="F2640">
        <v>90</v>
      </c>
      <c r="G2640">
        <v>179</v>
      </c>
      <c r="H2640">
        <v>5</v>
      </c>
      <c r="O2640" t="s">
        <v>9257</v>
      </c>
    </row>
    <row r="2641" spans="2:15" x14ac:dyDescent="0.25">
      <c r="B2641">
        <v>126651850</v>
      </c>
      <c r="C2641" t="s">
        <v>18593</v>
      </c>
      <c r="E2641">
        <v>148</v>
      </c>
      <c r="F2641">
        <v>66</v>
      </c>
      <c r="G2641">
        <v>255</v>
      </c>
      <c r="H2641">
        <v>2</v>
      </c>
      <c r="M2641" t="s">
        <v>9259</v>
      </c>
    </row>
    <row r="2642" spans="2:15" x14ac:dyDescent="0.25">
      <c r="B2642">
        <v>126651854</v>
      </c>
      <c r="C2642" t="s">
        <v>18594</v>
      </c>
      <c r="E2642">
        <v>148</v>
      </c>
      <c r="F2642">
        <v>66</v>
      </c>
      <c r="G2642">
        <v>255</v>
      </c>
      <c r="H2642">
        <v>3</v>
      </c>
      <c r="N2642" t="s">
        <v>9261</v>
      </c>
    </row>
    <row r="2643" spans="2:15" x14ac:dyDescent="0.25">
      <c r="B2643">
        <v>126651858</v>
      </c>
      <c r="C2643" t="s">
        <v>18595</v>
      </c>
      <c r="E2643">
        <v>179</v>
      </c>
      <c r="F2643">
        <v>120</v>
      </c>
      <c r="G2643">
        <v>255</v>
      </c>
      <c r="H2643">
        <v>5</v>
      </c>
      <c r="O2643" t="s">
        <v>9263</v>
      </c>
    </row>
    <row r="2644" spans="2:15" x14ac:dyDescent="0.25">
      <c r="B2644">
        <v>126651862</v>
      </c>
      <c r="C2644" t="s">
        <v>18596</v>
      </c>
      <c r="E2644">
        <v>148</v>
      </c>
      <c r="F2644">
        <v>66</v>
      </c>
      <c r="G2644">
        <v>255</v>
      </c>
      <c r="H2644">
        <v>5</v>
      </c>
      <c r="O2644" t="s">
        <v>9265</v>
      </c>
    </row>
    <row r="2645" spans="2:15" x14ac:dyDescent="0.25">
      <c r="B2645">
        <v>126651866</v>
      </c>
      <c r="C2645" t="s">
        <v>18597</v>
      </c>
      <c r="E2645">
        <v>118</v>
      </c>
      <c r="F2645">
        <v>53</v>
      </c>
      <c r="G2645">
        <v>204</v>
      </c>
      <c r="H2645">
        <v>5</v>
      </c>
      <c r="O2645" t="s">
        <v>9267</v>
      </c>
    </row>
    <row r="2646" spans="2:15" x14ac:dyDescent="0.25">
      <c r="B2646">
        <v>126651870</v>
      </c>
      <c r="C2646" t="s">
        <v>18598</v>
      </c>
      <c r="E2646">
        <v>104</v>
      </c>
      <c r="F2646">
        <v>46</v>
      </c>
      <c r="G2646">
        <v>179</v>
      </c>
      <c r="H2646">
        <v>5</v>
      </c>
      <c r="O2646" t="s">
        <v>9269</v>
      </c>
    </row>
    <row r="2647" spans="2:15" x14ac:dyDescent="0.25">
      <c r="B2647">
        <v>126651874</v>
      </c>
      <c r="C2647" t="s">
        <v>18599</v>
      </c>
      <c r="E2647">
        <v>158</v>
      </c>
      <c r="F2647">
        <v>99</v>
      </c>
      <c r="G2647">
        <v>255</v>
      </c>
      <c r="H2647">
        <v>3</v>
      </c>
      <c r="N2647" t="s">
        <v>9271</v>
      </c>
    </row>
    <row r="2648" spans="2:15" x14ac:dyDescent="0.25">
      <c r="B2648">
        <v>126651878</v>
      </c>
      <c r="C2648" t="s">
        <v>18600</v>
      </c>
      <c r="E2648">
        <v>186</v>
      </c>
      <c r="F2648">
        <v>144</v>
      </c>
      <c r="G2648">
        <v>255</v>
      </c>
      <c r="H2648">
        <v>5</v>
      </c>
      <c r="O2648" t="s">
        <v>9273</v>
      </c>
    </row>
    <row r="2649" spans="2:15" x14ac:dyDescent="0.25">
      <c r="B2649">
        <v>126651882</v>
      </c>
      <c r="C2649" t="s">
        <v>18601</v>
      </c>
      <c r="E2649">
        <v>158</v>
      </c>
      <c r="F2649">
        <v>99</v>
      </c>
      <c r="G2649">
        <v>255</v>
      </c>
      <c r="H2649">
        <v>5</v>
      </c>
      <c r="O2649" t="s">
        <v>9275</v>
      </c>
    </row>
    <row r="2650" spans="2:15" x14ac:dyDescent="0.25">
      <c r="B2650">
        <v>126651886</v>
      </c>
      <c r="C2650" t="s">
        <v>18602</v>
      </c>
      <c r="E2650">
        <v>126</v>
      </c>
      <c r="F2650">
        <v>79</v>
      </c>
      <c r="G2650">
        <v>204</v>
      </c>
      <c r="H2650">
        <v>5</v>
      </c>
      <c r="O2650" t="s">
        <v>9277</v>
      </c>
    </row>
    <row r="2651" spans="2:15" x14ac:dyDescent="0.25">
      <c r="B2651">
        <v>126651890</v>
      </c>
      <c r="C2651" t="s">
        <v>18603</v>
      </c>
      <c r="E2651">
        <v>111</v>
      </c>
      <c r="F2651">
        <v>69</v>
      </c>
      <c r="G2651">
        <v>179</v>
      </c>
      <c r="H2651">
        <v>5</v>
      </c>
      <c r="O2651" t="s">
        <v>9279</v>
      </c>
    </row>
    <row r="2652" spans="2:15" x14ac:dyDescent="0.25">
      <c r="B2652">
        <v>126651894</v>
      </c>
      <c r="C2652" t="s">
        <v>18604</v>
      </c>
      <c r="E2652">
        <v>55</v>
      </c>
      <c r="F2652">
        <v>167</v>
      </c>
      <c r="G2652">
        <v>255</v>
      </c>
      <c r="H2652">
        <v>2</v>
      </c>
      <c r="M2652" t="s">
        <v>9281</v>
      </c>
    </row>
    <row r="2653" spans="2:15" x14ac:dyDescent="0.25">
      <c r="B2653">
        <v>126651898</v>
      </c>
      <c r="C2653" t="s">
        <v>18605</v>
      </c>
      <c r="E2653">
        <v>55</v>
      </c>
      <c r="F2653">
        <v>167</v>
      </c>
      <c r="G2653">
        <v>255</v>
      </c>
      <c r="H2653">
        <v>3</v>
      </c>
      <c r="N2653" t="s">
        <v>9283</v>
      </c>
    </row>
    <row r="2654" spans="2:15" x14ac:dyDescent="0.25">
      <c r="B2654">
        <v>126651902</v>
      </c>
      <c r="C2654" t="s">
        <v>18606</v>
      </c>
      <c r="E2654">
        <v>112</v>
      </c>
      <c r="F2654">
        <v>192</v>
      </c>
      <c r="G2654">
        <v>255</v>
      </c>
      <c r="H2654">
        <v>5</v>
      </c>
      <c r="O2654" t="s">
        <v>9285</v>
      </c>
    </row>
    <row r="2655" spans="2:15" x14ac:dyDescent="0.25">
      <c r="B2655">
        <v>126651906</v>
      </c>
      <c r="C2655" t="s">
        <v>18607</v>
      </c>
      <c r="E2655">
        <v>55</v>
      </c>
      <c r="F2655">
        <v>167</v>
      </c>
      <c r="G2655">
        <v>255</v>
      </c>
      <c r="H2655">
        <v>5</v>
      </c>
      <c r="O2655" t="s">
        <v>9287</v>
      </c>
    </row>
    <row r="2656" spans="2:15" x14ac:dyDescent="0.25">
      <c r="B2656">
        <v>126651910</v>
      </c>
      <c r="C2656" t="s">
        <v>18608</v>
      </c>
      <c r="E2656">
        <v>44</v>
      </c>
      <c r="F2656">
        <v>134</v>
      </c>
      <c r="G2656">
        <v>204</v>
      </c>
      <c r="H2656">
        <v>5</v>
      </c>
      <c r="O2656" t="s">
        <v>9289</v>
      </c>
    </row>
    <row r="2657" spans="2:15" x14ac:dyDescent="0.25">
      <c r="B2657">
        <v>126651914</v>
      </c>
      <c r="C2657" t="s">
        <v>18609</v>
      </c>
      <c r="E2657">
        <v>39</v>
      </c>
      <c r="F2657">
        <v>117</v>
      </c>
      <c r="G2657">
        <v>179</v>
      </c>
      <c r="H2657">
        <v>5</v>
      </c>
      <c r="O2657" t="s">
        <v>9291</v>
      </c>
    </row>
    <row r="2658" spans="2:15" x14ac:dyDescent="0.25">
      <c r="B2658">
        <v>126651918</v>
      </c>
      <c r="C2658" t="s">
        <v>18610</v>
      </c>
      <c r="E2658">
        <v>93</v>
      </c>
      <c r="F2658">
        <v>184</v>
      </c>
      <c r="G2658">
        <v>255</v>
      </c>
      <c r="H2658">
        <v>3</v>
      </c>
      <c r="N2658" t="s">
        <v>9293</v>
      </c>
    </row>
    <row r="2659" spans="2:15" x14ac:dyDescent="0.25">
      <c r="B2659">
        <v>126651922</v>
      </c>
      <c r="C2659" t="s">
        <v>18611</v>
      </c>
      <c r="E2659">
        <v>139</v>
      </c>
      <c r="F2659">
        <v>204</v>
      </c>
      <c r="G2659">
        <v>255</v>
      </c>
      <c r="H2659">
        <v>5</v>
      </c>
      <c r="O2659" t="s">
        <v>9295</v>
      </c>
    </row>
    <row r="2660" spans="2:15" x14ac:dyDescent="0.25">
      <c r="B2660">
        <v>126651926</v>
      </c>
      <c r="C2660" t="s">
        <v>18612</v>
      </c>
      <c r="E2660">
        <v>93</v>
      </c>
      <c r="F2660">
        <v>184</v>
      </c>
      <c r="G2660">
        <v>255</v>
      </c>
      <c r="H2660">
        <v>5</v>
      </c>
      <c r="O2660" t="s">
        <v>9297</v>
      </c>
    </row>
    <row r="2661" spans="2:15" x14ac:dyDescent="0.25">
      <c r="B2661">
        <v>126651930</v>
      </c>
      <c r="C2661" t="s">
        <v>18613</v>
      </c>
      <c r="E2661">
        <v>74</v>
      </c>
      <c r="F2661">
        <v>147</v>
      </c>
      <c r="G2661">
        <v>204</v>
      </c>
      <c r="H2661">
        <v>5</v>
      </c>
      <c r="O2661" t="s">
        <v>9299</v>
      </c>
    </row>
    <row r="2662" spans="2:15" x14ac:dyDescent="0.25">
      <c r="B2662">
        <v>126651934</v>
      </c>
      <c r="C2662" t="s">
        <v>18614</v>
      </c>
      <c r="E2662">
        <v>65</v>
      </c>
      <c r="F2662">
        <v>129</v>
      </c>
      <c r="G2662">
        <v>179</v>
      </c>
      <c r="H2662">
        <v>5</v>
      </c>
      <c r="O2662" t="s">
        <v>9301</v>
      </c>
    </row>
    <row r="2663" spans="2:15" x14ac:dyDescent="0.25">
      <c r="B2663">
        <v>126651938</v>
      </c>
      <c r="C2663" t="s">
        <v>18615</v>
      </c>
      <c r="E2663">
        <v>18</v>
      </c>
      <c r="F2663">
        <v>217</v>
      </c>
      <c r="G2663">
        <v>185</v>
      </c>
      <c r="H2663">
        <v>2</v>
      </c>
      <c r="M2663" t="s">
        <v>9303</v>
      </c>
    </row>
    <row r="2664" spans="2:15" x14ac:dyDescent="0.25">
      <c r="B2664">
        <v>126651942</v>
      </c>
      <c r="C2664" t="s">
        <v>18616</v>
      </c>
      <c r="E2664">
        <v>18</v>
      </c>
      <c r="F2664">
        <v>217</v>
      </c>
      <c r="G2664">
        <v>185</v>
      </c>
      <c r="H2664">
        <v>3</v>
      </c>
      <c r="N2664" t="s">
        <v>9305</v>
      </c>
    </row>
    <row r="2665" spans="2:15" x14ac:dyDescent="0.25">
      <c r="B2665">
        <v>126651946</v>
      </c>
      <c r="C2665" t="s">
        <v>18617</v>
      </c>
      <c r="E2665">
        <v>110</v>
      </c>
      <c r="F2665">
        <v>232</v>
      </c>
      <c r="G2665">
        <v>212</v>
      </c>
      <c r="H2665">
        <v>5</v>
      </c>
      <c r="O2665" t="s">
        <v>9307</v>
      </c>
    </row>
    <row r="2666" spans="2:15" x14ac:dyDescent="0.25">
      <c r="B2666">
        <v>126651950</v>
      </c>
      <c r="C2666" t="s">
        <v>18618</v>
      </c>
      <c r="E2666">
        <v>18</v>
      </c>
      <c r="F2666">
        <v>217</v>
      </c>
      <c r="G2666">
        <v>185</v>
      </c>
      <c r="H2666">
        <v>5</v>
      </c>
      <c r="O2666" t="s">
        <v>9309</v>
      </c>
    </row>
    <row r="2667" spans="2:15" x14ac:dyDescent="0.25">
      <c r="B2667">
        <v>126651954</v>
      </c>
      <c r="C2667" t="s">
        <v>18619</v>
      </c>
      <c r="E2667">
        <v>14</v>
      </c>
      <c r="F2667">
        <v>174</v>
      </c>
      <c r="G2667">
        <v>148</v>
      </c>
      <c r="H2667">
        <v>5</v>
      </c>
      <c r="O2667" t="s">
        <v>9311</v>
      </c>
    </row>
    <row r="2668" spans="2:15" x14ac:dyDescent="0.25">
      <c r="B2668">
        <v>126651958</v>
      </c>
      <c r="C2668" t="s">
        <v>18620</v>
      </c>
      <c r="E2668">
        <v>13</v>
      </c>
      <c r="F2668">
        <v>152</v>
      </c>
      <c r="G2668">
        <v>130</v>
      </c>
      <c r="H2668">
        <v>5</v>
      </c>
      <c r="O2668" t="s">
        <v>9313</v>
      </c>
    </row>
    <row r="2669" spans="2:15" x14ac:dyDescent="0.25">
      <c r="B2669">
        <v>126651962</v>
      </c>
      <c r="C2669" t="s">
        <v>18621</v>
      </c>
      <c r="E2669">
        <v>79</v>
      </c>
      <c r="F2669">
        <v>217</v>
      </c>
      <c r="G2669">
        <v>191</v>
      </c>
      <c r="H2669">
        <v>3</v>
      </c>
      <c r="N2669" t="s">
        <v>9315</v>
      </c>
    </row>
    <row r="2670" spans="2:15" x14ac:dyDescent="0.25">
      <c r="B2670">
        <v>126651966</v>
      </c>
      <c r="C2670" t="s">
        <v>18622</v>
      </c>
      <c r="E2670">
        <v>129</v>
      </c>
      <c r="F2670">
        <v>228</v>
      </c>
      <c r="G2670">
        <v>209</v>
      </c>
      <c r="H2670">
        <v>5</v>
      </c>
      <c r="O2670" t="s">
        <v>9317</v>
      </c>
    </row>
    <row r="2671" spans="2:15" x14ac:dyDescent="0.25">
      <c r="B2671">
        <v>126651970</v>
      </c>
      <c r="C2671" t="s">
        <v>18623</v>
      </c>
      <c r="E2671">
        <v>79</v>
      </c>
      <c r="F2671">
        <v>217</v>
      </c>
      <c r="G2671">
        <v>191</v>
      </c>
      <c r="H2671">
        <v>5</v>
      </c>
      <c r="O2671" t="s">
        <v>9319</v>
      </c>
    </row>
    <row r="2672" spans="2:15" x14ac:dyDescent="0.25">
      <c r="B2672">
        <v>126651974</v>
      </c>
      <c r="C2672" t="s">
        <v>18624</v>
      </c>
      <c r="E2672">
        <v>63</v>
      </c>
      <c r="F2672">
        <v>174</v>
      </c>
      <c r="G2672">
        <v>153</v>
      </c>
      <c r="H2672">
        <v>5</v>
      </c>
      <c r="O2672" t="s">
        <v>9321</v>
      </c>
    </row>
    <row r="2673" spans="2:15" x14ac:dyDescent="0.25">
      <c r="B2673">
        <v>126651978</v>
      </c>
      <c r="C2673" t="s">
        <v>18625</v>
      </c>
      <c r="E2673">
        <v>55</v>
      </c>
      <c r="F2673">
        <v>152</v>
      </c>
      <c r="G2673">
        <v>134</v>
      </c>
      <c r="H2673">
        <v>5</v>
      </c>
      <c r="O2673" t="s">
        <v>9323</v>
      </c>
    </row>
    <row r="2674" spans="2:15" x14ac:dyDescent="0.25">
      <c r="B2674">
        <v>126651982</v>
      </c>
      <c r="C2674" t="s">
        <v>18626</v>
      </c>
      <c r="E2674">
        <v>117</v>
      </c>
      <c r="F2674">
        <v>217</v>
      </c>
      <c r="G2674">
        <v>191</v>
      </c>
      <c r="H2674">
        <v>3</v>
      </c>
      <c r="N2674" t="s">
        <v>9325</v>
      </c>
    </row>
    <row r="2675" spans="2:15" x14ac:dyDescent="0.25">
      <c r="B2675">
        <v>126651986</v>
      </c>
      <c r="C2675" t="s">
        <v>18627</v>
      </c>
      <c r="E2675">
        <v>170</v>
      </c>
      <c r="F2675">
        <v>231</v>
      </c>
      <c r="G2675">
        <v>215</v>
      </c>
      <c r="H2675">
        <v>5</v>
      </c>
      <c r="O2675" t="s">
        <v>9327</v>
      </c>
    </row>
    <row r="2676" spans="2:15" x14ac:dyDescent="0.25">
      <c r="B2676">
        <v>126651990</v>
      </c>
      <c r="C2676" t="s">
        <v>18628</v>
      </c>
      <c r="E2676">
        <v>117</v>
      </c>
      <c r="F2676">
        <v>217</v>
      </c>
      <c r="G2676">
        <v>191</v>
      </c>
      <c r="H2676">
        <v>5</v>
      </c>
      <c r="O2676" t="s">
        <v>9329</v>
      </c>
    </row>
    <row r="2677" spans="2:15" x14ac:dyDescent="0.25">
      <c r="B2677">
        <v>126651994</v>
      </c>
      <c r="C2677" t="s">
        <v>18629</v>
      </c>
      <c r="E2677">
        <v>94</v>
      </c>
      <c r="F2677">
        <v>174</v>
      </c>
      <c r="G2677">
        <v>153</v>
      </c>
      <c r="H2677">
        <v>5</v>
      </c>
      <c r="O2677" t="s">
        <v>9331</v>
      </c>
    </row>
    <row r="2678" spans="2:15" x14ac:dyDescent="0.25">
      <c r="B2678">
        <v>126651998</v>
      </c>
      <c r="C2678" t="s">
        <v>18630</v>
      </c>
      <c r="E2678">
        <v>82</v>
      </c>
      <c r="F2678">
        <v>152</v>
      </c>
      <c r="G2678">
        <v>134</v>
      </c>
      <c r="H2678">
        <v>5</v>
      </c>
      <c r="O2678" t="s">
        <v>9333</v>
      </c>
    </row>
    <row r="2679" spans="2:15" x14ac:dyDescent="0.25">
      <c r="B2679">
        <v>126652002</v>
      </c>
      <c r="C2679" t="s">
        <v>18631</v>
      </c>
      <c r="E2679">
        <v>145</v>
      </c>
      <c r="F2679">
        <v>217</v>
      </c>
      <c r="G2679">
        <v>191</v>
      </c>
      <c r="H2679">
        <v>3</v>
      </c>
      <c r="N2679" t="s">
        <v>9335</v>
      </c>
    </row>
    <row r="2680" spans="2:15" x14ac:dyDescent="0.25">
      <c r="B2680">
        <v>126652006</v>
      </c>
      <c r="C2680" t="s">
        <v>18632</v>
      </c>
      <c r="E2680">
        <v>171</v>
      </c>
      <c r="F2680">
        <v>226</v>
      </c>
      <c r="G2680">
        <v>206</v>
      </c>
      <c r="H2680">
        <v>5</v>
      </c>
      <c r="O2680" t="s">
        <v>9337</v>
      </c>
    </row>
    <row r="2681" spans="2:15" x14ac:dyDescent="0.25">
      <c r="B2681">
        <v>126652010</v>
      </c>
      <c r="C2681" t="s">
        <v>18633</v>
      </c>
      <c r="E2681">
        <v>145</v>
      </c>
      <c r="F2681">
        <v>217</v>
      </c>
      <c r="G2681">
        <v>191</v>
      </c>
      <c r="H2681">
        <v>5</v>
      </c>
      <c r="O2681" t="s">
        <v>9339</v>
      </c>
    </row>
    <row r="2682" spans="2:15" x14ac:dyDescent="0.25">
      <c r="B2682">
        <v>126652014</v>
      </c>
      <c r="C2682" t="s">
        <v>18634</v>
      </c>
      <c r="E2682">
        <v>116</v>
      </c>
      <c r="F2682">
        <v>174</v>
      </c>
      <c r="G2682">
        <v>153</v>
      </c>
      <c r="H2682">
        <v>5</v>
      </c>
      <c r="O2682" t="s">
        <v>9341</v>
      </c>
    </row>
    <row r="2683" spans="2:15" x14ac:dyDescent="0.25">
      <c r="B2683">
        <v>126652018</v>
      </c>
      <c r="C2683" t="s">
        <v>18635</v>
      </c>
      <c r="E2683">
        <v>102</v>
      </c>
      <c r="F2683">
        <v>152</v>
      </c>
      <c r="G2683">
        <v>134</v>
      </c>
      <c r="H2683">
        <v>5</v>
      </c>
      <c r="O2683" t="s">
        <v>9343</v>
      </c>
    </row>
    <row r="2684" spans="2:15" x14ac:dyDescent="0.25">
      <c r="B2684">
        <v>126652022</v>
      </c>
      <c r="C2684" t="s">
        <v>18636</v>
      </c>
      <c r="E2684">
        <v>191</v>
      </c>
      <c r="F2684">
        <v>217</v>
      </c>
      <c r="G2684">
        <v>191</v>
      </c>
      <c r="H2684">
        <v>3</v>
      </c>
      <c r="N2684" t="s">
        <v>9345</v>
      </c>
    </row>
    <row r="2685" spans="2:15" x14ac:dyDescent="0.25">
      <c r="B2685">
        <v>126652026</v>
      </c>
      <c r="C2685" t="s">
        <v>18637</v>
      </c>
      <c r="E2685">
        <v>207</v>
      </c>
      <c r="F2685">
        <v>233</v>
      </c>
      <c r="G2685">
        <v>218</v>
      </c>
      <c r="H2685">
        <v>5</v>
      </c>
      <c r="O2685" t="s">
        <v>9347</v>
      </c>
    </row>
    <row r="2686" spans="2:15" x14ac:dyDescent="0.25">
      <c r="B2686">
        <v>126652030</v>
      </c>
      <c r="C2686" t="s">
        <v>18638</v>
      </c>
      <c r="E2686">
        <v>191</v>
      </c>
      <c r="F2686">
        <v>217</v>
      </c>
      <c r="G2686">
        <v>191</v>
      </c>
      <c r="H2686">
        <v>5</v>
      </c>
      <c r="O2686" t="s">
        <v>9349</v>
      </c>
    </row>
    <row r="2687" spans="2:15" x14ac:dyDescent="0.25">
      <c r="B2687">
        <v>126652034</v>
      </c>
      <c r="C2687" t="s">
        <v>18639</v>
      </c>
      <c r="E2687">
        <v>137</v>
      </c>
      <c r="F2687">
        <v>174</v>
      </c>
      <c r="G2687">
        <v>153</v>
      </c>
      <c r="H2687">
        <v>5</v>
      </c>
      <c r="O2687" t="s">
        <v>9351</v>
      </c>
    </row>
    <row r="2688" spans="2:15" x14ac:dyDescent="0.25">
      <c r="B2688">
        <v>126652038</v>
      </c>
      <c r="C2688" t="s">
        <v>18640</v>
      </c>
      <c r="E2688">
        <v>120</v>
      </c>
      <c r="F2688">
        <v>152</v>
      </c>
      <c r="G2688">
        <v>134</v>
      </c>
      <c r="H2688">
        <v>5</v>
      </c>
      <c r="O2688" t="s">
        <v>9353</v>
      </c>
    </row>
    <row r="2689" spans="2:13" x14ac:dyDescent="0.25">
      <c r="B2689">
        <v>126652042</v>
      </c>
      <c r="C2689" t="s">
        <v>18641</v>
      </c>
      <c r="E2689">
        <v>235</v>
      </c>
      <c r="F2689">
        <v>227</v>
      </c>
      <c r="G2689">
        <v>213</v>
      </c>
      <c r="H2689">
        <v>1</v>
      </c>
      <c r="L2689" t="s">
        <v>925</v>
      </c>
    </row>
    <row r="2690" spans="2:13" x14ac:dyDescent="0.25">
      <c r="B2690">
        <v>126652046</v>
      </c>
      <c r="C2690" t="s">
        <v>18642</v>
      </c>
      <c r="E2690">
        <v>235</v>
      </c>
      <c r="F2690">
        <v>227</v>
      </c>
      <c r="G2690">
        <v>213</v>
      </c>
      <c r="H2690">
        <v>5</v>
      </c>
      <c r="M2690" t="s">
        <v>4525</v>
      </c>
    </row>
    <row r="2691" spans="2:13" x14ac:dyDescent="0.25">
      <c r="B2691">
        <v>126652050</v>
      </c>
      <c r="C2691" t="s">
        <v>18643</v>
      </c>
      <c r="E2691">
        <v>235</v>
      </c>
      <c r="F2691">
        <v>227</v>
      </c>
      <c r="G2691">
        <v>213</v>
      </c>
      <c r="H2691">
        <v>5</v>
      </c>
      <c r="M2691" t="s">
        <v>4527</v>
      </c>
    </row>
    <row r="2692" spans="2:13" x14ac:dyDescent="0.25">
      <c r="B2692">
        <v>126652054</v>
      </c>
      <c r="C2692" t="s">
        <v>18644</v>
      </c>
      <c r="E2692">
        <v>212</v>
      </c>
      <c r="F2692">
        <v>204</v>
      </c>
      <c r="G2692">
        <v>192</v>
      </c>
      <c r="H2692">
        <v>5</v>
      </c>
      <c r="M2692" t="s">
        <v>4529</v>
      </c>
    </row>
    <row r="2693" spans="2:13" x14ac:dyDescent="0.25">
      <c r="B2693">
        <v>126652058</v>
      </c>
      <c r="C2693" t="s">
        <v>18645</v>
      </c>
      <c r="E2693">
        <v>212</v>
      </c>
      <c r="F2693">
        <v>204</v>
      </c>
      <c r="G2693">
        <v>192</v>
      </c>
      <c r="H2693">
        <v>5</v>
      </c>
      <c r="M2693" t="s">
        <v>4531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6AA6B-9135-4637-B9CA-B1D0089619A8}">
  <dimension ref="A1:X3318"/>
  <sheetViews>
    <sheetView topLeftCell="A8" zoomScale="112" zoomScaleNormal="112" workbookViewId="0">
      <selection activeCell="AF8" sqref="AF8"/>
    </sheetView>
  </sheetViews>
  <sheetFormatPr defaultRowHeight="15" x14ac:dyDescent="0.25"/>
  <cols>
    <col min="2" max="3" width="7.7109375" customWidth="1"/>
    <col min="4" max="4" width="8.28515625" hidden="1" customWidth="1"/>
    <col min="5" max="7" width="6.140625" hidden="1" customWidth="1"/>
    <col min="8" max="24" width="4.85546875" customWidth="1"/>
  </cols>
  <sheetData>
    <row r="1" spans="1:18" x14ac:dyDescent="0.25">
      <c r="A1" t="s">
        <v>15179</v>
      </c>
      <c r="B1" t="s">
        <v>15180</v>
      </c>
      <c r="C1" t="s">
        <v>15181</v>
      </c>
      <c r="D1" t="s">
        <v>15182</v>
      </c>
      <c r="E1" t="s">
        <v>15183</v>
      </c>
      <c r="F1" t="s">
        <v>15184</v>
      </c>
      <c r="G1" t="s">
        <v>15185</v>
      </c>
      <c r="H1" t="s">
        <v>15186</v>
      </c>
      <c r="I1" t="s">
        <v>15187</v>
      </c>
      <c r="J1" t="s">
        <v>15188</v>
      </c>
    </row>
    <row r="2" spans="1:18" x14ac:dyDescent="0.25">
      <c r="B2">
        <v>10153</v>
      </c>
      <c r="C2" t="s">
        <v>15191</v>
      </c>
      <c r="E2">
        <v>215</v>
      </c>
      <c r="F2">
        <v>216</v>
      </c>
      <c r="G2">
        <v>216</v>
      </c>
      <c r="J2" t="s">
        <v>3225</v>
      </c>
    </row>
    <row r="3" spans="1:18" x14ac:dyDescent="0.25">
      <c r="B3">
        <v>10154</v>
      </c>
      <c r="C3" t="s">
        <v>20995</v>
      </c>
      <c r="E3">
        <v>208</v>
      </c>
      <c r="F3">
        <v>208</v>
      </c>
      <c r="G3">
        <v>209</v>
      </c>
      <c r="K3" t="s">
        <v>3229</v>
      </c>
    </row>
    <row r="4" spans="1:18" x14ac:dyDescent="0.25">
      <c r="B4">
        <v>10155</v>
      </c>
      <c r="C4" t="s">
        <v>20996</v>
      </c>
      <c r="E4">
        <v>224</v>
      </c>
      <c r="F4">
        <v>224</v>
      </c>
      <c r="G4">
        <v>224</v>
      </c>
      <c r="L4" t="s">
        <v>606</v>
      </c>
    </row>
    <row r="5" spans="1:18" x14ac:dyDescent="0.25">
      <c r="B5">
        <v>10156</v>
      </c>
      <c r="C5" t="s">
        <v>15192</v>
      </c>
      <c r="E5">
        <v>235</v>
      </c>
      <c r="F5">
        <v>214</v>
      </c>
      <c r="G5">
        <v>208</v>
      </c>
      <c r="M5" t="s">
        <v>1991</v>
      </c>
    </row>
    <row r="6" spans="1:18" x14ac:dyDescent="0.25">
      <c r="B6">
        <v>10157</v>
      </c>
      <c r="C6" t="s">
        <v>20997</v>
      </c>
      <c r="E6">
        <v>235</v>
      </c>
      <c r="F6">
        <v>214</v>
      </c>
      <c r="G6">
        <v>208</v>
      </c>
      <c r="N6" t="s">
        <v>2117</v>
      </c>
    </row>
    <row r="7" spans="1:18" x14ac:dyDescent="0.25">
      <c r="B7">
        <v>10506</v>
      </c>
      <c r="C7" t="s">
        <v>20998</v>
      </c>
      <c r="E7">
        <v>227</v>
      </c>
      <c r="F7">
        <v>214</v>
      </c>
      <c r="G7">
        <v>215</v>
      </c>
      <c r="O7" t="s">
        <v>20999</v>
      </c>
    </row>
    <row r="8" spans="1:18" x14ac:dyDescent="0.25">
      <c r="B8">
        <v>11580</v>
      </c>
      <c r="C8" t="s">
        <v>16486</v>
      </c>
      <c r="E8">
        <v>129</v>
      </c>
      <c r="F8">
        <v>105</v>
      </c>
      <c r="G8">
        <v>107</v>
      </c>
      <c r="P8" t="s">
        <v>14672</v>
      </c>
    </row>
    <row r="9" spans="1:18" x14ac:dyDescent="0.25">
      <c r="B9">
        <v>11581</v>
      </c>
      <c r="C9" t="s">
        <v>21000</v>
      </c>
      <c r="E9">
        <v>141</v>
      </c>
      <c r="F9">
        <v>118</v>
      </c>
      <c r="G9">
        <v>45</v>
      </c>
      <c r="Q9" t="s">
        <v>21001</v>
      </c>
    </row>
    <row r="10" spans="1:18" x14ac:dyDescent="0.25">
      <c r="B10">
        <v>11587</v>
      </c>
      <c r="C10" t="s">
        <v>21002</v>
      </c>
      <c r="E10">
        <v>128</v>
      </c>
      <c r="F10">
        <v>109</v>
      </c>
      <c r="G10">
        <v>44</v>
      </c>
      <c r="R10" t="s">
        <v>21003</v>
      </c>
    </row>
    <row r="11" spans="1:18" x14ac:dyDescent="0.25">
      <c r="B11">
        <v>11582</v>
      </c>
      <c r="C11" t="s">
        <v>21004</v>
      </c>
      <c r="E11">
        <v>128</v>
      </c>
      <c r="F11">
        <v>109</v>
      </c>
      <c r="G11">
        <v>44</v>
      </c>
      <c r="R11" t="s">
        <v>21005</v>
      </c>
    </row>
    <row r="12" spans="1:18" x14ac:dyDescent="0.25">
      <c r="B12">
        <v>11585</v>
      </c>
      <c r="C12" t="s">
        <v>21006</v>
      </c>
      <c r="E12">
        <v>128</v>
      </c>
      <c r="F12">
        <v>109</v>
      </c>
      <c r="G12">
        <v>44</v>
      </c>
      <c r="R12" t="s">
        <v>21007</v>
      </c>
    </row>
    <row r="13" spans="1:18" x14ac:dyDescent="0.25">
      <c r="B13">
        <v>11586</v>
      </c>
      <c r="C13" t="s">
        <v>21008</v>
      </c>
      <c r="E13">
        <v>128</v>
      </c>
      <c r="F13">
        <v>109</v>
      </c>
      <c r="G13">
        <v>44</v>
      </c>
      <c r="R13" t="s">
        <v>21009</v>
      </c>
    </row>
    <row r="14" spans="1:18" x14ac:dyDescent="0.25">
      <c r="B14">
        <v>11583</v>
      </c>
      <c r="C14" t="s">
        <v>21010</v>
      </c>
      <c r="E14">
        <v>142</v>
      </c>
      <c r="F14">
        <v>113</v>
      </c>
      <c r="G14">
        <v>44</v>
      </c>
      <c r="R14" t="s">
        <v>21011</v>
      </c>
    </row>
    <row r="15" spans="1:18" x14ac:dyDescent="0.25">
      <c r="B15">
        <v>11584</v>
      </c>
      <c r="C15" t="s">
        <v>21012</v>
      </c>
      <c r="E15">
        <v>123</v>
      </c>
      <c r="F15">
        <v>114</v>
      </c>
      <c r="G15">
        <v>72</v>
      </c>
      <c r="R15" t="s">
        <v>21013</v>
      </c>
    </row>
    <row r="16" spans="1:18" x14ac:dyDescent="0.25">
      <c r="B16">
        <v>11593</v>
      </c>
      <c r="C16" t="s">
        <v>21014</v>
      </c>
      <c r="E16">
        <v>174</v>
      </c>
      <c r="F16">
        <v>123</v>
      </c>
      <c r="G16">
        <v>44</v>
      </c>
      <c r="Q16" t="s">
        <v>21015</v>
      </c>
    </row>
    <row r="17" spans="2:20" x14ac:dyDescent="0.25">
      <c r="B17">
        <v>11594</v>
      </c>
      <c r="C17" t="s">
        <v>21016</v>
      </c>
      <c r="E17">
        <v>180</v>
      </c>
      <c r="F17">
        <v>93</v>
      </c>
      <c r="G17">
        <v>39</v>
      </c>
      <c r="R17" t="s">
        <v>21017</v>
      </c>
    </row>
    <row r="18" spans="2:20" x14ac:dyDescent="0.25">
      <c r="B18">
        <v>11597</v>
      </c>
      <c r="C18" t="s">
        <v>21018</v>
      </c>
      <c r="E18">
        <v>174</v>
      </c>
      <c r="F18">
        <v>123</v>
      </c>
      <c r="G18">
        <v>44</v>
      </c>
      <c r="R18" t="s">
        <v>21019</v>
      </c>
    </row>
    <row r="19" spans="2:20" x14ac:dyDescent="0.25">
      <c r="B19">
        <v>11595</v>
      </c>
      <c r="C19" t="s">
        <v>21020</v>
      </c>
      <c r="E19">
        <v>174</v>
      </c>
      <c r="F19">
        <v>123</v>
      </c>
      <c r="G19">
        <v>44</v>
      </c>
      <c r="R19" t="s">
        <v>21021</v>
      </c>
    </row>
    <row r="20" spans="2:20" x14ac:dyDescent="0.25">
      <c r="B20">
        <v>11596</v>
      </c>
      <c r="C20" t="s">
        <v>21022</v>
      </c>
      <c r="E20">
        <v>174</v>
      </c>
      <c r="F20">
        <v>123</v>
      </c>
      <c r="G20">
        <v>44</v>
      </c>
      <c r="R20" t="s">
        <v>21023</v>
      </c>
    </row>
    <row r="21" spans="2:20" x14ac:dyDescent="0.25">
      <c r="B21">
        <v>11598</v>
      </c>
      <c r="C21" t="s">
        <v>21024</v>
      </c>
      <c r="E21">
        <v>167</v>
      </c>
      <c r="F21">
        <v>70</v>
      </c>
      <c r="G21">
        <v>119</v>
      </c>
      <c r="Q21" t="s">
        <v>21025</v>
      </c>
    </row>
    <row r="22" spans="2:20" x14ac:dyDescent="0.25">
      <c r="B22">
        <v>15498</v>
      </c>
      <c r="C22" t="s">
        <v>21026</v>
      </c>
      <c r="E22">
        <v>167</v>
      </c>
      <c r="F22">
        <v>70</v>
      </c>
      <c r="G22">
        <v>119</v>
      </c>
      <c r="R22" t="s">
        <v>21027</v>
      </c>
    </row>
    <row r="23" spans="2:20" x14ac:dyDescent="0.25">
      <c r="B23">
        <v>11599</v>
      </c>
      <c r="C23" t="s">
        <v>21028</v>
      </c>
      <c r="E23">
        <v>167</v>
      </c>
      <c r="F23">
        <v>70</v>
      </c>
      <c r="G23">
        <v>119</v>
      </c>
      <c r="S23" t="s">
        <v>21029</v>
      </c>
    </row>
    <row r="24" spans="2:20" x14ac:dyDescent="0.25">
      <c r="B24">
        <v>11600</v>
      </c>
      <c r="C24" t="s">
        <v>21030</v>
      </c>
      <c r="E24">
        <v>167</v>
      </c>
      <c r="F24">
        <v>70</v>
      </c>
      <c r="G24">
        <v>119</v>
      </c>
      <c r="S24" t="s">
        <v>21031</v>
      </c>
    </row>
    <row r="25" spans="2:20" x14ac:dyDescent="0.25">
      <c r="B25">
        <v>13202</v>
      </c>
      <c r="C25" t="s">
        <v>21032</v>
      </c>
      <c r="E25">
        <v>167</v>
      </c>
      <c r="F25">
        <v>70</v>
      </c>
      <c r="G25">
        <v>119</v>
      </c>
      <c r="S25" t="s">
        <v>21033</v>
      </c>
    </row>
    <row r="26" spans="2:20" x14ac:dyDescent="0.25">
      <c r="B26">
        <v>13206</v>
      </c>
      <c r="C26" t="s">
        <v>21034</v>
      </c>
      <c r="E26">
        <v>167</v>
      </c>
      <c r="F26">
        <v>70</v>
      </c>
      <c r="G26">
        <v>119</v>
      </c>
      <c r="S26" t="s">
        <v>21035</v>
      </c>
    </row>
    <row r="27" spans="2:20" x14ac:dyDescent="0.25">
      <c r="B27">
        <v>15499</v>
      </c>
      <c r="C27" t="s">
        <v>21036</v>
      </c>
      <c r="E27">
        <v>167</v>
      </c>
      <c r="F27">
        <v>70</v>
      </c>
      <c r="G27">
        <v>119</v>
      </c>
      <c r="R27" t="s">
        <v>21037</v>
      </c>
    </row>
    <row r="28" spans="2:20" x14ac:dyDescent="0.25">
      <c r="B28">
        <v>13203</v>
      </c>
      <c r="C28" t="s">
        <v>21038</v>
      </c>
      <c r="E28">
        <v>167</v>
      </c>
      <c r="F28">
        <v>70</v>
      </c>
      <c r="G28">
        <v>119</v>
      </c>
      <c r="S28" t="s">
        <v>21039</v>
      </c>
    </row>
    <row r="29" spans="2:20" x14ac:dyDescent="0.25">
      <c r="B29">
        <v>11601</v>
      </c>
      <c r="C29" t="s">
        <v>21040</v>
      </c>
      <c r="E29">
        <v>167</v>
      </c>
      <c r="F29">
        <v>70</v>
      </c>
      <c r="G29">
        <v>119</v>
      </c>
      <c r="S29" t="s">
        <v>21041</v>
      </c>
    </row>
    <row r="30" spans="2:20" x14ac:dyDescent="0.25">
      <c r="B30">
        <v>11602</v>
      </c>
      <c r="C30" t="s">
        <v>21042</v>
      </c>
      <c r="E30">
        <v>167</v>
      </c>
      <c r="F30">
        <v>70</v>
      </c>
      <c r="G30">
        <v>119</v>
      </c>
      <c r="S30" t="s">
        <v>21043</v>
      </c>
    </row>
    <row r="31" spans="2:20" x14ac:dyDescent="0.25">
      <c r="B31">
        <v>13204</v>
      </c>
      <c r="C31" t="s">
        <v>21044</v>
      </c>
      <c r="E31">
        <v>167</v>
      </c>
      <c r="F31">
        <v>70</v>
      </c>
      <c r="G31">
        <v>119</v>
      </c>
      <c r="T31" t="s">
        <v>21045</v>
      </c>
    </row>
    <row r="32" spans="2:20" x14ac:dyDescent="0.25">
      <c r="B32">
        <v>13205</v>
      </c>
      <c r="C32" t="s">
        <v>21046</v>
      </c>
      <c r="E32">
        <v>167</v>
      </c>
      <c r="F32">
        <v>70</v>
      </c>
      <c r="G32">
        <v>119</v>
      </c>
      <c r="T32" t="s">
        <v>21047</v>
      </c>
    </row>
    <row r="33" spans="2:19" x14ac:dyDescent="0.25">
      <c r="B33">
        <v>11603</v>
      </c>
      <c r="C33" t="s">
        <v>21048</v>
      </c>
      <c r="E33">
        <v>167</v>
      </c>
      <c r="F33">
        <v>70</v>
      </c>
      <c r="G33">
        <v>119</v>
      </c>
      <c r="R33" t="s">
        <v>21049</v>
      </c>
    </row>
    <row r="34" spans="2:19" x14ac:dyDescent="0.25">
      <c r="B34">
        <v>11604</v>
      </c>
      <c r="C34" t="s">
        <v>21050</v>
      </c>
      <c r="E34">
        <v>167</v>
      </c>
      <c r="F34">
        <v>70</v>
      </c>
      <c r="G34">
        <v>119</v>
      </c>
      <c r="R34" t="s">
        <v>21051</v>
      </c>
    </row>
    <row r="35" spans="2:19" x14ac:dyDescent="0.25">
      <c r="B35">
        <v>11605</v>
      </c>
      <c r="C35" t="s">
        <v>21052</v>
      </c>
      <c r="E35">
        <v>167</v>
      </c>
      <c r="F35">
        <v>70</v>
      </c>
      <c r="G35">
        <v>119</v>
      </c>
      <c r="R35" t="s">
        <v>21053</v>
      </c>
    </row>
    <row r="36" spans="2:19" x14ac:dyDescent="0.25">
      <c r="B36">
        <v>11606</v>
      </c>
      <c r="C36" t="s">
        <v>21054</v>
      </c>
      <c r="E36">
        <v>167</v>
      </c>
      <c r="F36">
        <v>70</v>
      </c>
      <c r="G36">
        <v>119</v>
      </c>
      <c r="R36" t="s">
        <v>21055</v>
      </c>
    </row>
    <row r="37" spans="2:19" x14ac:dyDescent="0.25">
      <c r="B37">
        <v>11588</v>
      </c>
      <c r="C37" t="s">
        <v>21056</v>
      </c>
      <c r="E37">
        <v>174</v>
      </c>
      <c r="F37">
        <v>65</v>
      </c>
      <c r="G37">
        <v>37</v>
      </c>
      <c r="Q37" t="s">
        <v>21057</v>
      </c>
    </row>
    <row r="38" spans="2:19" x14ac:dyDescent="0.25">
      <c r="B38">
        <v>13201</v>
      </c>
      <c r="C38" t="s">
        <v>21058</v>
      </c>
      <c r="E38">
        <v>174</v>
      </c>
      <c r="F38">
        <v>65</v>
      </c>
      <c r="G38">
        <v>37</v>
      </c>
      <c r="R38" t="s">
        <v>21059</v>
      </c>
    </row>
    <row r="39" spans="2:19" x14ac:dyDescent="0.25">
      <c r="B39">
        <v>11589</v>
      </c>
      <c r="C39" t="s">
        <v>21060</v>
      </c>
      <c r="E39">
        <v>174</v>
      </c>
      <c r="F39">
        <v>65</v>
      </c>
      <c r="G39">
        <v>37</v>
      </c>
      <c r="R39" t="s">
        <v>21061</v>
      </c>
    </row>
    <row r="40" spans="2:19" x14ac:dyDescent="0.25">
      <c r="B40">
        <v>13200</v>
      </c>
      <c r="C40" t="s">
        <v>21062</v>
      </c>
      <c r="E40">
        <v>174</v>
      </c>
      <c r="F40">
        <v>65</v>
      </c>
      <c r="G40">
        <v>37</v>
      </c>
      <c r="R40" t="s">
        <v>21063</v>
      </c>
    </row>
    <row r="41" spans="2:19" x14ac:dyDescent="0.25">
      <c r="B41">
        <v>11590</v>
      </c>
      <c r="C41" t="s">
        <v>21064</v>
      </c>
      <c r="E41">
        <v>174</v>
      </c>
      <c r="F41">
        <v>65</v>
      </c>
      <c r="G41">
        <v>37</v>
      </c>
      <c r="S41" t="s">
        <v>21065</v>
      </c>
    </row>
    <row r="42" spans="2:19" x14ac:dyDescent="0.25">
      <c r="B42">
        <v>11591</v>
      </c>
      <c r="C42" t="s">
        <v>21066</v>
      </c>
      <c r="E42">
        <v>174</v>
      </c>
      <c r="F42">
        <v>65</v>
      </c>
      <c r="G42">
        <v>37</v>
      </c>
      <c r="S42" t="s">
        <v>21067</v>
      </c>
    </row>
    <row r="43" spans="2:19" x14ac:dyDescent="0.25">
      <c r="B43">
        <v>11592</v>
      </c>
      <c r="C43" t="s">
        <v>21068</v>
      </c>
      <c r="E43">
        <v>174</v>
      </c>
      <c r="F43">
        <v>65</v>
      </c>
      <c r="G43">
        <v>37</v>
      </c>
      <c r="S43" t="s">
        <v>21069</v>
      </c>
    </row>
    <row r="44" spans="2:19" x14ac:dyDescent="0.25">
      <c r="B44">
        <v>12971</v>
      </c>
      <c r="C44" t="s">
        <v>21070</v>
      </c>
      <c r="E44">
        <v>186</v>
      </c>
      <c r="F44">
        <v>46</v>
      </c>
      <c r="G44">
        <v>46</v>
      </c>
      <c r="Q44" t="s">
        <v>21071</v>
      </c>
    </row>
    <row r="45" spans="2:19" x14ac:dyDescent="0.25">
      <c r="B45">
        <v>12972</v>
      </c>
      <c r="C45" t="s">
        <v>21072</v>
      </c>
      <c r="E45">
        <v>186</v>
      </c>
      <c r="F45">
        <v>46</v>
      </c>
      <c r="G45">
        <v>46</v>
      </c>
      <c r="R45" t="s">
        <v>21073</v>
      </c>
    </row>
    <row r="46" spans="2:19" x14ac:dyDescent="0.25">
      <c r="B46">
        <v>12973</v>
      </c>
      <c r="C46" t="s">
        <v>21074</v>
      </c>
      <c r="E46">
        <v>186</v>
      </c>
      <c r="F46">
        <v>46</v>
      </c>
      <c r="G46">
        <v>46</v>
      </c>
      <c r="R46" t="s">
        <v>21075</v>
      </c>
    </row>
    <row r="47" spans="2:19" x14ac:dyDescent="0.25">
      <c r="B47">
        <v>12966</v>
      </c>
      <c r="C47" t="s">
        <v>21076</v>
      </c>
      <c r="E47">
        <v>173</v>
      </c>
      <c r="F47">
        <v>64</v>
      </c>
      <c r="G47">
        <v>91</v>
      </c>
      <c r="Q47" t="s">
        <v>21077</v>
      </c>
    </row>
    <row r="48" spans="2:19" x14ac:dyDescent="0.25">
      <c r="B48">
        <v>12967</v>
      </c>
      <c r="C48" t="s">
        <v>21078</v>
      </c>
      <c r="E48">
        <v>173</v>
      </c>
      <c r="F48">
        <v>64</v>
      </c>
      <c r="G48">
        <v>91</v>
      </c>
      <c r="R48" t="s">
        <v>21079</v>
      </c>
    </row>
    <row r="49" spans="2:20" x14ac:dyDescent="0.25">
      <c r="B49">
        <v>12968</v>
      </c>
      <c r="C49" t="s">
        <v>21080</v>
      </c>
      <c r="E49">
        <v>173</v>
      </c>
      <c r="F49">
        <v>64</v>
      </c>
      <c r="G49">
        <v>91</v>
      </c>
      <c r="R49" t="s">
        <v>21081</v>
      </c>
    </row>
    <row r="50" spans="2:20" x14ac:dyDescent="0.25">
      <c r="B50">
        <v>12969</v>
      </c>
      <c r="C50" t="s">
        <v>21082</v>
      </c>
      <c r="E50">
        <v>173</v>
      </c>
      <c r="F50">
        <v>64</v>
      </c>
      <c r="G50">
        <v>91</v>
      </c>
      <c r="R50" t="s">
        <v>21083</v>
      </c>
    </row>
    <row r="51" spans="2:20" x14ac:dyDescent="0.25">
      <c r="B51">
        <v>12970</v>
      </c>
      <c r="C51" t="s">
        <v>21084</v>
      </c>
      <c r="E51">
        <v>173</v>
      </c>
      <c r="F51">
        <v>64</v>
      </c>
      <c r="G51">
        <v>91</v>
      </c>
      <c r="R51" t="s">
        <v>21085</v>
      </c>
    </row>
    <row r="52" spans="2:20" x14ac:dyDescent="0.25">
      <c r="B52">
        <v>12974</v>
      </c>
      <c r="C52" t="s">
        <v>21086</v>
      </c>
      <c r="E52">
        <v>153</v>
      </c>
      <c r="F52">
        <v>119</v>
      </c>
      <c r="G52">
        <v>92</v>
      </c>
      <c r="Q52" t="s">
        <v>21087</v>
      </c>
    </row>
    <row r="53" spans="2:20" x14ac:dyDescent="0.25">
      <c r="B53">
        <v>13213</v>
      </c>
      <c r="C53" t="s">
        <v>21088</v>
      </c>
      <c r="E53">
        <v>153</v>
      </c>
      <c r="F53">
        <v>119</v>
      </c>
      <c r="G53">
        <v>92</v>
      </c>
      <c r="R53" t="s">
        <v>21089</v>
      </c>
    </row>
    <row r="54" spans="2:20" x14ac:dyDescent="0.25">
      <c r="B54">
        <v>12979</v>
      </c>
      <c r="C54" t="s">
        <v>21090</v>
      </c>
      <c r="E54">
        <v>153</v>
      </c>
      <c r="F54">
        <v>119</v>
      </c>
      <c r="G54">
        <v>92</v>
      </c>
      <c r="S54" t="s">
        <v>21091</v>
      </c>
    </row>
    <row r="55" spans="2:20" x14ac:dyDescent="0.25">
      <c r="B55">
        <v>13214</v>
      </c>
      <c r="C55" t="s">
        <v>21092</v>
      </c>
      <c r="E55">
        <v>153</v>
      </c>
      <c r="F55">
        <v>119</v>
      </c>
      <c r="G55">
        <v>92</v>
      </c>
      <c r="S55" t="s">
        <v>21093</v>
      </c>
    </row>
    <row r="56" spans="2:20" x14ac:dyDescent="0.25">
      <c r="B56">
        <v>13273</v>
      </c>
      <c r="C56" t="s">
        <v>21094</v>
      </c>
      <c r="E56">
        <v>153</v>
      </c>
      <c r="F56">
        <v>119</v>
      </c>
      <c r="G56">
        <v>92</v>
      </c>
      <c r="R56" t="s">
        <v>21095</v>
      </c>
    </row>
    <row r="57" spans="2:20" x14ac:dyDescent="0.25">
      <c r="B57">
        <v>12975</v>
      </c>
      <c r="C57" t="s">
        <v>21096</v>
      </c>
      <c r="E57">
        <v>153</v>
      </c>
      <c r="F57">
        <v>119</v>
      </c>
      <c r="G57">
        <v>92</v>
      </c>
      <c r="R57" t="s">
        <v>21097</v>
      </c>
    </row>
    <row r="58" spans="2:20" x14ac:dyDescent="0.25">
      <c r="B58">
        <v>13212</v>
      </c>
      <c r="C58" t="s">
        <v>21098</v>
      </c>
      <c r="E58">
        <v>153</v>
      </c>
      <c r="F58">
        <v>119</v>
      </c>
      <c r="G58">
        <v>92</v>
      </c>
      <c r="S58" t="s">
        <v>21099</v>
      </c>
    </row>
    <row r="59" spans="2:20" x14ac:dyDescent="0.25">
      <c r="B59">
        <v>12976</v>
      </c>
      <c r="C59" t="s">
        <v>21100</v>
      </c>
      <c r="E59">
        <v>153</v>
      </c>
      <c r="F59">
        <v>119</v>
      </c>
      <c r="G59">
        <v>92</v>
      </c>
      <c r="T59" t="s">
        <v>21101</v>
      </c>
    </row>
    <row r="60" spans="2:20" x14ac:dyDescent="0.25">
      <c r="B60">
        <v>12977</v>
      </c>
      <c r="C60" t="s">
        <v>21102</v>
      </c>
      <c r="E60">
        <v>153</v>
      </c>
      <c r="F60">
        <v>119</v>
      </c>
      <c r="G60">
        <v>92</v>
      </c>
      <c r="T60" t="s">
        <v>21103</v>
      </c>
    </row>
    <row r="61" spans="2:20" x14ac:dyDescent="0.25">
      <c r="B61">
        <v>13211</v>
      </c>
      <c r="C61" t="s">
        <v>21104</v>
      </c>
      <c r="E61">
        <v>153</v>
      </c>
      <c r="F61">
        <v>119</v>
      </c>
      <c r="G61">
        <v>92</v>
      </c>
      <c r="S61" t="s">
        <v>21105</v>
      </c>
    </row>
    <row r="62" spans="2:20" x14ac:dyDescent="0.25">
      <c r="B62">
        <v>12978</v>
      </c>
      <c r="C62" t="s">
        <v>21106</v>
      </c>
      <c r="E62">
        <v>153</v>
      </c>
      <c r="F62">
        <v>119</v>
      </c>
      <c r="G62">
        <v>92</v>
      </c>
      <c r="T62" t="s">
        <v>21107</v>
      </c>
    </row>
    <row r="63" spans="2:20" x14ac:dyDescent="0.25">
      <c r="B63">
        <v>13210</v>
      </c>
      <c r="C63" t="s">
        <v>21108</v>
      </c>
      <c r="E63">
        <v>153</v>
      </c>
      <c r="F63">
        <v>119</v>
      </c>
      <c r="G63">
        <v>92</v>
      </c>
      <c r="R63" t="s">
        <v>21109</v>
      </c>
    </row>
    <row r="64" spans="2:20" x14ac:dyDescent="0.25">
      <c r="B64">
        <v>13274</v>
      </c>
      <c r="C64" t="s">
        <v>21110</v>
      </c>
      <c r="E64">
        <v>153</v>
      </c>
      <c r="F64">
        <v>119</v>
      </c>
      <c r="G64">
        <v>92</v>
      </c>
      <c r="S64" t="s">
        <v>21111</v>
      </c>
    </row>
    <row r="65" spans="2:19" x14ac:dyDescent="0.25">
      <c r="B65">
        <v>13275</v>
      </c>
      <c r="C65" t="s">
        <v>21112</v>
      </c>
      <c r="E65">
        <v>153</v>
      </c>
      <c r="F65">
        <v>119</v>
      </c>
      <c r="G65">
        <v>92</v>
      </c>
      <c r="S65" t="s">
        <v>21113</v>
      </c>
    </row>
    <row r="66" spans="2:19" x14ac:dyDescent="0.25">
      <c r="B66">
        <v>12980</v>
      </c>
      <c r="C66" t="s">
        <v>21114</v>
      </c>
      <c r="E66">
        <v>153</v>
      </c>
      <c r="F66">
        <v>119</v>
      </c>
      <c r="G66">
        <v>92</v>
      </c>
      <c r="R66" t="s">
        <v>21115</v>
      </c>
    </row>
    <row r="67" spans="2:19" x14ac:dyDescent="0.25">
      <c r="B67">
        <v>13276</v>
      </c>
      <c r="C67" t="s">
        <v>21116</v>
      </c>
      <c r="E67">
        <v>153</v>
      </c>
      <c r="F67">
        <v>119</v>
      </c>
      <c r="G67">
        <v>92</v>
      </c>
      <c r="R67" t="s">
        <v>21117</v>
      </c>
    </row>
    <row r="68" spans="2:19" x14ac:dyDescent="0.25">
      <c r="B68">
        <v>13207</v>
      </c>
      <c r="C68" t="s">
        <v>21118</v>
      </c>
      <c r="E68">
        <v>93</v>
      </c>
      <c r="F68">
        <v>69</v>
      </c>
      <c r="G68">
        <v>127</v>
      </c>
      <c r="Q68" t="s">
        <v>21119</v>
      </c>
    </row>
    <row r="69" spans="2:19" x14ac:dyDescent="0.25">
      <c r="B69">
        <v>13208</v>
      </c>
      <c r="C69" t="s">
        <v>21120</v>
      </c>
      <c r="E69">
        <v>93</v>
      </c>
      <c r="F69">
        <v>69</v>
      </c>
      <c r="G69">
        <v>127</v>
      </c>
      <c r="R69" t="s">
        <v>21121</v>
      </c>
    </row>
    <row r="70" spans="2:19" x14ac:dyDescent="0.25">
      <c r="B70">
        <v>13209</v>
      </c>
      <c r="C70" t="s">
        <v>21122</v>
      </c>
      <c r="E70">
        <v>93</v>
      </c>
      <c r="F70">
        <v>69</v>
      </c>
      <c r="G70">
        <v>127</v>
      </c>
      <c r="R70" t="s">
        <v>21123</v>
      </c>
    </row>
    <row r="71" spans="2:19" x14ac:dyDescent="0.25">
      <c r="B71">
        <v>13277</v>
      </c>
      <c r="C71" t="s">
        <v>21124</v>
      </c>
      <c r="E71">
        <v>93</v>
      </c>
      <c r="F71">
        <v>69</v>
      </c>
      <c r="G71">
        <v>127</v>
      </c>
      <c r="R71" t="s">
        <v>21125</v>
      </c>
    </row>
    <row r="72" spans="2:19" x14ac:dyDescent="0.25">
      <c r="B72">
        <v>146034614</v>
      </c>
      <c r="C72" t="s">
        <v>21126</v>
      </c>
      <c r="E72">
        <v>93</v>
      </c>
      <c r="F72">
        <v>69</v>
      </c>
      <c r="G72">
        <v>127</v>
      </c>
      <c r="R72" t="s">
        <v>21117</v>
      </c>
    </row>
    <row r="73" spans="2:19" x14ac:dyDescent="0.25">
      <c r="B73">
        <v>10508</v>
      </c>
      <c r="C73" t="s">
        <v>21127</v>
      </c>
      <c r="E73">
        <v>223</v>
      </c>
      <c r="F73">
        <v>206</v>
      </c>
      <c r="G73">
        <v>206</v>
      </c>
      <c r="P73" t="s">
        <v>624</v>
      </c>
    </row>
    <row r="74" spans="2:19" x14ac:dyDescent="0.25">
      <c r="B74">
        <v>10509</v>
      </c>
      <c r="C74" t="s">
        <v>21128</v>
      </c>
      <c r="E74">
        <v>238</v>
      </c>
      <c r="F74">
        <v>224</v>
      </c>
      <c r="G74">
        <v>168</v>
      </c>
      <c r="Q74" t="s">
        <v>21129</v>
      </c>
    </row>
    <row r="75" spans="2:19" x14ac:dyDescent="0.25">
      <c r="B75">
        <v>11612</v>
      </c>
      <c r="C75" t="s">
        <v>21130</v>
      </c>
      <c r="E75">
        <v>238</v>
      </c>
      <c r="F75">
        <v>224</v>
      </c>
      <c r="G75">
        <v>168</v>
      </c>
      <c r="R75" t="s">
        <v>21131</v>
      </c>
    </row>
    <row r="76" spans="2:19" x14ac:dyDescent="0.25">
      <c r="B76">
        <v>11607</v>
      </c>
      <c r="C76" t="s">
        <v>21132</v>
      </c>
      <c r="E76">
        <v>238</v>
      </c>
      <c r="F76">
        <v>224</v>
      </c>
      <c r="G76">
        <v>168</v>
      </c>
      <c r="R76" t="s">
        <v>21133</v>
      </c>
    </row>
    <row r="77" spans="2:19" x14ac:dyDescent="0.25">
      <c r="B77">
        <v>11610</v>
      </c>
      <c r="C77" t="s">
        <v>21134</v>
      </c>
      <c r="E77">
        <v>238</v>
      </c>
      <c r="F77">
        <v>224</v>
      </c>
      <c r="G77">
        <v>168</v>
      </c>
      <c r="R77" t="s">
        <v>21135</v>
      </c>
    </row>
    <row r="78" spans="2:19" x14ac:dyDescent="0.25">
      <c r="B78">
        <v>11611</v>
      </c>
      <c r="C78" t="s">
        <v>21136</v>
      </c>
      <c r="E78">
        <v>238</v>
      </c>
      <c r="F78">
        <v>224</v>
      </c>
      <c r="G78">
        <v>168</v>
      </c>
      <c r="R78" t="s">
        <v>21137</v>
      </c>
    </row>
    <row r="79" spans="2:19" x14ac:dyDescent="0.25">
      <c r="B79">
        <v>11608</v>
      </c>
      <c r="C79" t="s">
        <v>21138</v>
      </c>
      <c r="E79">
        <v>226</v>
      </c>
      <c r="F79">
        <v>212</v>
      </c>
      <c r="G79">
        <v>167</v>
      </c>
      <c r="R79" t="s">
        <v>21139</v>
      </c>
    </row>
    <row r="80" spans="2:19" x14ac:dyDescent="0.25">
      <c r="B80">
        <v>11609</v>
      </c>
      <c r="C80" t="s">
        <v>21140</v>
      </c>
      <c r="E80">
        <v>252</v>
      </c>
      <c r="F80">
        <v>230</v>
      </c>
      <c r="G80">
        <v>145</v>
      </c>
      <c r="R80" t="s">
        <v>21141</v>
      </c>
    </row>
    <row r="81" spans="2:20" x14ac:dyDescent="0.25">
      <c r="B81">
        <v>10511</v>
      </c>
      <c r="C81" t="s">
        <v>21142</v>
      </c>
      <c r="E81">
        <v>240</v>
      </c>
      <c r="F81">
        <v>218</v>
      </c>
      <c r="G81">
        <v>190</v>
      </c>
      <c r="Q81" t="s">
        <v>21143</v>
      </c>
    </row>
    <row r="82" spans="2:20" x14ac:dyDescent="0.25">
      <c r="B82">
        <v>11617</v>
      </c>
      <c r="C82" t="s">
        <v>21144</v>
      </c>
      <c r="E82">
        <v>239</v>
      </c>
      <c r="F82">
        <v>206</v>
      </c>
      <c r="G82">
        <v>182</v>
      </c>
      <c r="R82" t="s">
        <v>21145</v>
      </c>
    </row>
    <row r="83" spans="2:20" x14ac:dyDescent="0.25">
      <c r="B83">
        <v>11620</v>
      </c>
      <c r="C83" t="s">
        <v>21146</v>
      </c>
      <c r="E83">
        <v>240</v>
      </c>
      <c r="F83">
        <v>218</v>
      </c>
      <c r="G83">
        <v>190</v>
      </c>
      <c r="R83" t="s">
        <v>21147</v>
      </c>
    </row>
    <row r="84" spans="2:20" x14ac:dyDescent="0.25">
      <c r="B84">
        <v>11618</v>
      </c>
      <c r="C84" t="s">
        <v>21148</v>
      </c>
      <c r="E84">
        <v>240</v>
      </c>
      <c r="F84">
        <v>218</v>
      </c>
      <c r="G84">
        <v>190</v>
      </c>
      <c r="R84" t="s">
        <v>21149</v>
      </c>
    </row>
    <row r="85" spans="2:20" x14ac:dyDescent="0.25">
      <c r="B85">
        <v>11619</v>
      </c>
      <c r="C85" t="s">
        <v>21150</v>
      </c>
      <c r="E85">
        <v>240</v>
      </c>
      <c r="F85">
        <v>218</v>
      </c>
      <c r="G85">
        <v>190</v>
      </c>
      <c r="R85" t="s">
        <v>21151</v>
      </c>
    </row>
    <row r="86" spans="2:20" x14ac:dyDescent="0.25">
      <c r="B86">
        <v>10512</v>
      </c>
      <c r="C86" t="s">
        <v>21152</v>
      </c>
      <c r="E86">
        <v>240</v>
      </c>
      <c r="F86">
        <v>213</v>
      </c>
      <c r="G86">
        <v>225</v>
      </c>
      <c r="Q86" t="s">
        <v>21153</v>
      </c>
    </row>
    <row r="87" spans="2:20" x14ac:dyDescent="0.25">
      <c r="B87">
        <v>15500</v>
      </c>
      <c r="C87" t="s">
        <v>21154</v>
      </c>
      <c r="E87">
        <v>240</v>
      </c>
      <c r="F87">
        <v>213</v>
      </c>
      <c r="G87">
        <v>225</v>
      </c>
      <c r="R87" t="s">
        <v>21155</v>
      </c>
    </row>
    <row r="88" spans="2:20" x14ac:dyDescent="0.25">
      <c r="B88">
        <v>11621</v>
      </c>
      <c r="C88" t="s">
        <v>21156</v>
      </c>
      <c r="E88">
        <v>240</v>
      </c>
      <c r="F88">
        <v>213</v>
      </c>
      <c r="G88">
        <v>225</v>
      </c>
      <c r="S88" t="s">
        <v>21157</v>
      </c>
    </row>
    <row r="89" spans="2:20" x14ac:dyDescent="0.25">
      <c r="B89">
        <v>11622</v>
      </c>
      <c r="C89" t="s">
        <v>21158</v>
      </c>
      <c r="E89">
        <v>240</v>
      </c>
      <c r="F89">
        <v>213</v>
      </c>
      <c r="G89">
        <v>225</v>
      </c>
      <c r="S89" t="s">
        <v>21159</v>
      </c>
    </row>
    <row r="90" spans="2:20" x14ac:dyDescent="0.25">
      <c r="B90">
        <v>13082</v>
      </c>
      <c r="C90" t="s">
        <v>21160</v>
      </c>
      <c r="E90">
        <v>240</v>
      </c>
      <c r="F90">
        <v>213</v>
      </c>
      <c r="G90">
        <v>225</v>
      </c>
      <c r="S90" t="s">
        <v>21161</v>
      </c>
    </row>
    <row r="91" spans="2:20" x14ac:dyDescent="0.25">
      <c r="B91">
        <v>13086</v>
      </c>
      <c r="C91" t="s">
        <v>21162</v>
      </c>
      <c r="E91">
        <v>240</v>
      </c>
      <c r="F91">
        <v>213</v>
      </c>
      <c r="G91">
        <v>225</v>
      </c>
      <c r="S91" t="s">
        <v>21163</v>
      </c>
    </row>
    <row r="92" spans="2:20" x14ac:dyDescent="0.25">
      <c r="B92">
        <v>15501</v>
      </c>
      <c r="C92" t="s">
        <v>21164</v>
      </c>
      <c r="E92">
        <v>240</v>
      </c>
      <c r="F92">
        <v>213</v>
      </c>
      <c r="G92">
        <v>225</v>
      </c>
      <c r="R92" t="s">
        <v>21165</v>
      </c>
    </row>
    <row r="93" spans="2:20" x14ac:dyDescent="0.25">
      <c r="B93">
        <v>13083</v>
      </c>
      <c r="C93" t="s">
        <v>21166</v>
      </c>
      <c r="E93">
        <v>240</v>
      </c>
      <c r="F93">
        <v>213</v>
      </c>
      <c r="G93">
        <v>225</v>
      </c>
      <c r="S93" t="s">
        <v>21167</v>
      </c>
    </row>
    <row r="94" spans="2:20" x14ac:dyDescent="0.25">
      <c r="B94">
        <v>11623</v>
      </c>
      <c r="C94" t="s">
        <v>21168</v>
      </c>
      <c r="E94">
        <v>240</v>
      </c>
      <c r="F94">
        <v>213</v>
      </c>
      <c r="G94">
        <v>225</v>
      </c>
      <c r="S94" t="s">
        <v>21169</v>
      </c>
    </row>
    <row r="95" spans="2:20" x14ac:dyDescent="0.25">
      <c r="B95">
        <v>11624</v>
      </c>
      <c r="C95" t="s">
        <v>21170</v>
      </c>
      <c r="E95">
        <v>240</v>
      </c>
      <c r="F95">
        <v>213</v>
      </c>
      <c r="G95">
        <v>225</v>
      </c>
      <c r="S95" t="s">
        <v>21171</v>
      </c>
    </row>
    <row r="96" spans="2:20" x14ac:dyDescent="0.25">
      <c r="B96">
        <v>13084</v>
      </c>
      <c r="C96" t="s">
        <v>21172</v>
      </c>
      <c r="E96">
        <v>240</v>
      </c>
      <c r="F96">
        <v>213</v>
      </c>
      <c r="G96">
        <v>225</v>
      </c>
      <c r="T96" t="s">
        <v>21173</v>
      </c>
    </row>
    <row r="97" spans="2:20" x14ac:dyDescent="0.25">
      <c r="B97">
        <v>13085</v>
      </c>
      <c r="C97" t="s">
        <v>21174</v>
      </c>
      <c r="E97">
        <v>240</v>
      </c>
      <c r="F97">
        <v>213</v>
      </c>
      <c r="G97">
        <v>225</v>
      </c>
      <c r="T97" t="s">
        <v>21175</v>
      </c>
    </row>
    <row r="98" spans="2:20" x14ac:dyDescent="0.25">
      <c r="B98">
        <v>11625</v>
      </c>
      <c r="C98" t="s">
        <v>21176</v>
      </c>
      <c r="E98">
        <v>240</v>
      </c>
      <c r="F98">
        <v>213</v>
      </c>
      <c r="G98">
        <v>225</v>
      </c>
      <c r="R98" t="s">
        <v>21177</v>
      </c>
    </row>
    <row r="99" spans="2:20" x14ac:dyDescent="0.25">
      <c r="B99">
        <v>11626</v>
      </c>
      <c r="C99" t="s">
        <v>21178</v>
      </c>
      <c r="E99">
        <v>240</v>
      </c>
      <c r="F99">
        <v>213</v>
      </c>
      <c r="G99">
        <v>225</v>
      </c>
      <c r="R99" t="s">
        <v>21179</v>
      </c>
    </row>
    <row r="100" spans="2:20" x14ac:dyDescent="0.25">
      <c r="B100">
        <v>11627</v>
      </c>
      <c r="C100" t="s">
        <v>21180</v>
      </c>
      <c r="E100">
        <v>240</v>
      </c>
      <c r="F100">
        <v>213</v>
      </c>
      <c r="G100">
        <v>225</v>
      </c>
      <c r="R100" t="s">
        <v>21181</v>
      </c>
    </row>
    <row r="101" spans="2:20" x14ac:dyDescent="0.25">
      <c r="B101">
        <v>11628</v>
      </c>
      <c r="C101" t="s">
        <v>21182</v>
      </c>
      <c r="E101">
        <v>240</v>
      </c>
      <c r="F101">
        <v>213</v>
      </c>
      <c r="G101">
        <v>225</v>
      </c>
      <c r="R101" t="s">
        <v>21183</v>
      </c>
    </row>
    <row r="102" spans="2:20" x14ac:dyDescent="0.25">
      <c r="B102">
        <v>10510</v>
      </c>
      <c r="C102" t="s">
        <v>21184</v>
      </c>
      <c r="E102">
        <v>234</v>
      </c>
      <c r="F102">
        <v>191</v>
      </c>
      <c r="G102">
        <v>176</v>
      </c>
      <c r="Q102" t="s">
        <v>21185</v>
      </c>
    </row>
    <row r="103" spans="2:20" x14ac:dyDescent="0.25">
      <c r="B103">
        <v>13081</v>
      </c>
      <c r="C103" t="s">
        <v>21186</v>
      </c>
      <c r="E103">
        <v>234</v>
      </c>
      <c r="F103">
        <v>191</v>
      </c>
      <c r="G103">
        <v>176</v>
      </c>
      <c r="R103" t="s">
        <v>21187</v>
      </c>
    </row>
    <row r="104" spans="2:20" x14ac:dyDescent="0.25">
      <c r="B104">
        <v>11613</v>
      </c>
      <c r="C104" t="s">
        <v>21188</v>
      </c>
      <c r="E104">
        <v>234</v>
      </c>
      <c r="F104">
        <v>191</v>
      </c>
      <c r="G104">
        <v>176</v>
      </c>
      <c r="R104" t="s">
        <v>21189</v>
      </c>
    </row>
    <row r="105" spans="2:20" x14ac:dyDescent="0.25">
      <c r="B105">
        <v>13080</v>
      </c>
      <c r="C105" t="s">
        <v>21190</v>
      </c>
      <c r="E105">
        <v>234</v>
      </c>
      <c r="F105">
        <v>191</v>
      </c>
      <c r="G105">
        <v>176</v>
      </c>
      <c r="R105" t="s">
        <v>21191</v>
      </c>
    </row>
    <row r="106" spans="2:20" x14ac:dyDescent="0.25">
      <c r="B106">
        <v>11614</v>
      </c>
      <c r="C106" t="s">
        <v>21192</v>
      </c>
      <c r="E106">
        <v>234</v>
      </c>
      <c r="F106">
        <v>191</v>
      </c>
      <c r="G106">
        <v>176</v>
      </c>
      <c r="S106" t="s">
        <v>21193</v>
      </c>
    </row>
    <row r="107" spans="2:20" x14ac:dyDescent="0.25">
      <c r="B107">
        <v>11615</v>
      </c>
      <c r="C107" t="s">
        <v>21194</v>
      </c>
      <c r="E107">
        <v>234</v>
      </c>
      <c r="F107">
        <v>191</v>
      </c>
      <c r="G107">
        <v>176</v>
      </c>
      <c r="S107" t="s">
        <v>21195</v>
      </c>
    </row>
    <row r="108" spans="2:20" x14ac:dyDescent="0.25">
      <c r="B108">
        <v>11616</v>
      </c>
      <c r="C108" t="s">
        <v>21196</v>
      </c>
      <c r="E108">
        <v>234</v>
      </c>
      <c r="F108">
        <v>191</v>
      </c>
      <c r="G108">
        <v>176</v>
      </c>
      <c r="S108" t="s">
        <v>21197</v>
      </c>
    </row>
    <row r="109" spans="2:20" x14ac:dyDescent="0.25">
      <c r="B109">
        <v>11634</v>
      </c>
      <c r="C109" t="s">
        <v>21198</v>
      </c>
      <c r="E109">
        <v>237</v>
      </c>
      <c r="F109">
        <v>201</v>
      </c>
      <c r="G109">
        <v>192</v>
      </c>
      <c r="Q109" t="s">
        <v>21199</v>
      </c>
    </row>
    <row r="110" spans="2:20" x14ac:dyDescent="0.25">
      <c r="B110">
        <v>11635</v>
      </c>
      <c r="C110" t="s">
        <v>21200</v>
      </c>
      <c r="E110">
        <v>237</v>
      </c>
      <c r="F110">
        <v>201</v>
      </c>
      <c r="G110">
        <v>192</v>
      </c>
      <c r="R110" t="s">
        <v>21201</v>
      </c>
    </row>
    <row r="111" spans="2:20" x14ac:dyDescent="0.25">
      <c r="B111">
        <v>11636</v>
      </c>
      <c r="C111" t="s">
        <v>21202</v>
      </c>
      <c r="E111">
        <v>237</v>
      </c>
      <c r="F111">
        <v>201</v>
      </c>
      <c r="G111">
        <v>192</v>
      </c>
      <c r="R111" t="s">
        <v>21203</v>
      </c>
    </row>
    <row r="112" spans="2:20" x14ac:dyDescent="0.25">
      <c r="B112">
        <v>11629</v>
      </c>
      <c r="C112" t="s">
        <v>21204</v>
      </c>
      <c r="E112">
        <v>239</v>
      </c>
      <c r="F112">
        <v>209</v>
      </c>
      <c r="G112">
        <v>212</v>
      </c>
      <c r="Q112" t="s">
        <v>21205</v>
      </c>
    </row>
    <row r="113" spans="2:20" x14ac:dyDescent="0.25">
      <c r="B113">
        <v>11630</v>
      </c>
      <c r="C113" t="s">
        <v>21206</v>
      </c>
      <c r="E113">
        <v>239</v>
      </c>
      <c r="F113">
        <v>209</v>
      </c>
      <c r="G113">
        <v>212</v>
      </c>
      <c r="R113" t="s">
        <v>21207</v>
      </c>
    </row>
    <row r="114" spans="2:20" x14ac:dyDescent="0.25">
      <c r="B114">
        <v>11631</v>
      </c>
      <c r="C114" t="s">
        <v>21208</v>
      </c>
      <c r="E114">
        <v>239</v>
      </c>
      <c r="F114">
        <v>209</v>
      </c>
      <c r="G114">
        <v>212</v>
      </c>
      <c r="R114" t="s">
        <v>21209</v>
      </c>
    </row>
    <row r="115" spans="2:20" x14ac:dyDescent="0.25">
      <c r="B115">
        <v>11632</v>
      </c>
      <c r="C115" t="s">
        <v>21210</v>
      </c>
      <c r="E115">
        <v>239</v>
      </c>
      <c r="F115">
        <v>209</v>
      </c>
      <c r="G115">
        <v>212</v>
      </c>
      <c r="R115" t="s">
        <v>21211</v>
      </c>
    </row>
    <row r="116" spans="2:20" x14ac:dyDescent="0.25">
      <c r="B116">
        <v>11633</v>
      </c>
      <c r="C116" t="s">
        <v>21212</v>
      </c>
      <c r="E116">
        <v>239</v>
      </c>
      <c r="F116">
        <v>209</v>
      </c>
      <c r="G116">
        <v>212</v>
      </c>
      <c r="R116" t="s">
        <v>21213</v>
      </c>
    </row>
    <row r="117" spans="2:20" x14ac:dyDescent="0.25">
      <c r="B117">
        <v>10514</v>
      </c>
      <c r="C117" t="s">
        <v>21214</v>
      </c>
      <c r="E117">
        <v>220</v>
      </c>
      <c r="F117">
        <v>208</v>
      </c>
      <c r="G117">
        <v>198</v>
      </c>
      <c r="Q117" t="s">
        <v>21215</v>
      </c>
    </row>
    <row r="118" spans="2:20" x14ac:dyDescent="0.25">
      <c r="B118">
        <v>11645</v>
      </c>
      <c r="C118" t="s">
        <v>21216</v>
      </c>
      <c r="E118">
        <v>220</v>
      </c>
      <c r="F118">
        <v>208</v>
      </c>
      <c r="G118">
        <v>198</v>
      </c>
      <c r="R118" t="s">
        <v>21217</v>
      </c>
    </row>
    <row r="119" spans="2:20" x14ac:dyDescent="0.25">
      <c r="B119">
        <v>11646</v>
      </c>
      <c r="C119" t="s">
        <v>21218</v>
      </c>
      <c r="E119">
        <v>220</v>
      </c>
      <c r="F119">
        <v>208</v>
      </c>
      <c r="G119">
        <v>198</v>
      </c>
      <c r="S119" t="s">
        <v>21219</v>
      </c>
    </row>
    <row r="120" spans="2:20" x14ac:dyDescent="0.25">
      <c r="B120">
        <v>11647</v>
      </c>
      <c r="C120" t="s">
        <v>21220</v>
      </c>
      <c r="E120">
        <v>220</v>
      </c>
      <c r="F120">
        <v>208</v>
      </c>
      <c r="G120">
        <v>198</v>
      </c>
      <c r="S120" t="s">
        <v>21221</v>
      </c>
    </row>
    <row r="121" spans="2:20" x14ac:dyDescent="0.25">
      <c r="B121">
        <v>13278</v>
      </c>
      <c r="C121" t="s">
        <v>21222</v>
      </c>
      <c r="E121">
        <v>220</v>
      </c>
      <c r="F121">
        <v>208</v>
      </c>
      <c r="G121">
        <v>198</v>
      </c>
      <c r="R121" t="s">
        <v>21223</v>
      </c>
    </row>
    <row r="122" spans="2:20" x14ac:dyDescent="0.25">
      <c r="B122">
        <v>11641</v>
      </c>
      <c r="C122" t="s">
        <v>21224</v>
      </c>
      <c r="E122">
        <v>220</v>
      </c>
      <c r="F122">
        <v>208</v>
      </c>
      <c r="G122">
        <v>198</v>
      </c>
      <c r="R122" t="s">
        <v>21225</v>
      </c>
    </row>
    <row r="123" spans="2:20" x14ac:dyDescent="0.25">
      <c r="B123">
        <v>13094</v>
      </c>
      <c r="C123" t="s">
        <v>21226</v>
      </c>
      <c r="E123">
        <v>220</v>
      </c>
      <c r="F123">
        <v>208</v>
      </c>
      <c r="G123">
        <v>198</v>
      </c>
      <c r="S123" t="s">
        <v>21227</v>
      </c>
    </row>
    <row r="124" spans="2:20" x14ac:dyDescent="0.25">
      <c r="B124">
        <v>11642</v>
      </c>
      <c r="C124" t="s">
        <v>21228</v>
      </c>
      <c r="E124">
        <v>220</v>
      </c>
      <c r="F124">
        <v>208</v>
      </c>
      <c r="G124">
        <v>198</v>
      </c>
      <c r="T124" t="s">
        <v>21229</v>
      </c>
    </row>
    <row r="125" spans="2:20" x14ac:dyDescent="0.25">
      <c r="B125">
        <v>11643</v>
      </c>
      <c r="C125" t="s">
        <v>21230</v>
      </c>
      <c r="E125">
        <v>220</v>
      </c>
      <c r="F125">
        <v>208</v>
      </c>
      <c r="G125">
        <v>198</v>
      </c>
      <c r="T125" t="s">
        <v>21231</v>
      </c>
    </row>
    <row r="126" spans="2:20" x14ac:dyDescent="0.25">
      <c r="B126">
        <v>13093</v>
      </c>
      <c r="C126" t="s">
        <v>21232</v>
      </c>
      <c r="E126">
        <v>220</v>
      </c>
      <c r="F126">
        <v>208</v>
      </c>
      <c r="G126">
        <v>198</v>
      </c>
      <c r="S126" t="s">
        <v>21233</v>
      </c>
    </row>
    <row r="127" spans="2:20" x14ac:dyDescent="0.25">
      <c r="B127">
        <v>11644</v>
      </c>
      <c r="C127" t="s">
        <v>21234</v>
      </c>
      <c r="E127">
        <v>220</v>
      </c>
      <c r="F127">
        <v>208</v>
      </c>
      <c r="G127">
        <v>198</v>
      </c>
      <c r="T127" t="s">
        <v>21235</v>
      </c>
    </row>
    <row r="128" spans="2:20" x14ac:dyDescent="0.25">
      <c r="B128">
        <v>11640</v>
      </c>
      <c r="C128" t="s">
        <v>21236</v>
      </c>
      <c r="E128">
        <v>220</v>
      </c>
      <c r="F128">
        <v>208</v>
      </c>
      <c r="G128">
        <v>198</v>
      </c>
      <c r="R128" t="s">
        <v>21237</v>
      </c>
    </row>
    <row r="129" spans="2:19" x14ac:dyDescent="0.25">
      <c r="B129">
        <v>13091</v>
      </c>
      <c r="C129" t="s">
        <v>21238</v>
      </c>
      <c r="E129">
        <v>220</v>
      </c>
      <c r="F129">
        <v>208</v>
      </c>
      <c r="G129">
        <v>198</v>
      </c>
      <c r="S129" t="s">
        <v>21239</v>
      </c>
    </row>
    <row r="130" spans="2:19" x14ac:dyDescent="0.25">
      <c r="B130">
        <v>13092</v>
      </c>
      <c r="C130" t="s">
        <v>21240</v>
      </c>
      <c r="E130">
        <v>220</v>
      </c>
      <c r="F130">
        <v>208</v>
      </c>
      <c r="G130">
        <v>198</v>
      </c>
      <c r="S130" t="s">
        <v>21241</v>
      </c>
    </row>
    <row r="131" spans="2:19" x14ac:dyDescent="0.25">
      <c r="B131">
        <v>11648</v>
      </c>
      <c r="C131" t="s">
        <v>21242</v>
      </c>
      <c r="E131">
        <v>220</v>
      </c>
      <c r="F131">
        <v>208</v>
      </c>
      <c r="G131">
        <v>198</v>
      </c>
      <c r="R131" t="s">
        <v>21243</v>
      </c>
    </row>
    <row r="132" spans="2:19" x14ac:dyDescent="0.25">
      <c r="B132">
        <v>13279</v>
      </c>
      <c r="C132" t="s">
        <v>21244</v>
      </c>
      <c r="E132">
        <v>220</v>
      </c>
      <c r="F132">
        <v>208</v>
      </c>
      <c r="G132">
        <v>198</v>
      </c>
      <c r="R132" t="s">
        <v>21245</v>
      </c>
    </row>
    <row r="133" spans="2:19" x14ac:dyDescent="0.25">
      <c r="B133">
        <v>10513</v>
      </c>
      <c r="C133" t="s">
        <v>21246</v>
      </c>
      <c r="E133">
        <v>209</v>
      </c>
      <c r="F133">
        <v>206</v>
      </c>
      <c r="G133">
        <v>226</v>
      </c>
      <c r="Q133" t="s">
        <v>21247</v>
      </c>
    </row>
    <row r="134" spans="2:19" x14ac:dyDescent="0.25">
      <c r="B134">
        <v>11637</v>
      </c>
      <c r="C134" t="s">
        <v>21248</v>
      </c>
      <c r="E134">
        <v>209</v>
      </c>
      <c r="F134">
        <v>206</v>
      </c>
      <c r="G134">
        <v>226</v>
      </c>
      <c r="R134" t="s">
        <v>21249</v>
      </c>
    </row>
    <row r="135" spans="2:19" x14ac:dyDescent="0.25">
      <c r="B135">
        <v>13087</v>
      </c>
      <c r="C135" t="s">
        <v>21250</v>
      </c>
      <c r="E135">
        <v>209</v>
      </c>
      <c r="F135">
        <v>206</v>
      </c>
      <c r="G135">
        <v>226</v>
      </c>
      <c r="S135" t="s">
        <v>21251</v>
      </c>
    </row>
    <row r="136" spans="2:19" x14ac:dyDescent="0.25">
      <c r="B136">
        <v>13088</v>
      </c>
      <c r="C136" t="s">
        <v>21252</v>
      </c>
      <c r="E136">
        <v>209</v>
      </c>
      <c r="F136">
        <v>206</v>
      </c>
      <c r="G136">
        <v>226</v>
      </c>
      <c r="S136" t="s">
        <v>21253</v>
      </c>
    </row>
    <row r="137" spans="2:19" x14ac:dyDescent="0.25">
      <c r="B137">
        <v>11638</v>
      </c>
      <c r="C137" t="s">
        <v>21254</v>
      </c>
      <c r="E137">
        <v>209</v>
      </c>
      <c r="F137">
        <v>206</v>
      </c>
      <c r="G137">
        <v>226</v>
      </c>
      <c r="R137" t="s">
        <v>21255</v>
      </c>
    </row>
    <row r="138" spans="2:19" x14ac:dyDescent="0.25">
      <c r="B138">
        <v>13089</v>
      </c>
      <c r="C138" t="s">
        <v>21256</v>
      </c>
      <c r="E138">
        <v>209</v>
      </c>
      <c r="F138">
        <v>206</v>
      </c>
      <c r="G138">
        <v>226</v>
      </c>
      <c r="S138" t="s">
        <v>21257</v>
      </c>
    </row>
    <row r="139" spans="2:19" x14ac:dyDescent="0.25">
      <c r="B139">
        <v>13090</v>
      </c>
      <c r="C139" t="s">
        <v>21258</v>
      </c>
      <c r="E139">
        <v>209</v>
      </c>
      <c r="F139">
        <v>206</v>
      </c>
      <c r="G139">
        <v>226</v>
      </c>
      <c r="S139" t="s">
        <v>21259</v>
      </c>
    </row>
    <row r="140" spans="2:19" x14ac:dyDescent="0.25">
      <c r="B140">
        <v>11639</v>
      </c>
      <c r="C140" t="s">
        <v>21260</v>
      </c>
      <c r="E140">
        <v>209</v>
      </c>
      <c r="F140">
        <v>206</v>
      </c>
      <c r="G140">
        <v>226</v>
      </c>
      <c r="R140" t="s">
        <v>21261</v>
      </c>
    </row>
    <row r="141" spans="2:19" x14ac:dyDescent="0.25">
      <c r="B141">
        <v>146034618</v>
      </c>
      <c r="C141" t="s">
        <v>21262</v>
      </c>
      <c r="E141">
        <v>209</v>
      </c>
      <c r="F141">
        <v>206</v>
      </c>
      <c r="G141">
        <v>226</v>
      </c>
      <c r="R141" t="s">
        <v>21245</v>
      </c>
    </row>
    <row r="142" spans="2:19" x14ac:dyDescent="0.25">
      <c r="B142">
        <v>10515</v>
      </c>
      <c r="C142" t="s">
        <v>19744</v>
      </c>
      <c r="E142">
        <v>129</v>
      </c>
      <c r="F142">
        <v>105</v>
      </c>
      <c r="G142">
        <v>107</v>
      </c>
      <c r="P142" t="s">
        <v>1347</v>
      </c>
    </row>
    <row r="143" spans="2:19" x14ac:dyDescent="0.25">
      <c r="B143">
        <v>10516</v>
      </c>
      <c r="C143" t="s">
        <v>21263</v>
      </c>
      <c r="E143">
        <v>128</v>
      </c>
      <c r="F143">
        <v>109</v>
      </c>
      <c r="G143">
        <v>44</v>
      </c>
      <c r="Q143" t="s">
        <v>5371</v>
      </c>
    </row>
    <row r="144" spans="2:19" x14ac:dyDescent="0.25">
      <c r="B144">
        <v>11664</v>
      </c>
      <c r="C144" t="s">
        <v>21264</v>
      </c>
      <c r="E144">
        <v>128</v>
      </c>
      <c r="F144">
        <v>109</v>
      </c>
      <c r="G144">
        <v>44</v>
      </c>
      <c r="R144" t="s">
        <v>6957</v>
      </c>
    </row>
    <row r="145" spans="2:19" x14ac:dyDescent="0.25">
      <c r="B145">
        <v>11665</v>
      </c>
      <c r="C145" t="s">
        <v>21265</v>
      </c>
      <c r="E145">
        <v>128</v>
      </c>
      <c r="F145">
        <v>109</v>
      </c>
      <c r="G145">
        <v>44</v>
      </c>
      <c r="S145" t="s">
        <v>6959</v>
      </c>
    </row>
    <row r="146" spans="2:19" x14ac:dyDescent="0.25">
      <c r="B146">
        <v>11666</v>
      </c>
      <c r="C146" t="s">
        <v>21266</v>
      </c>
      <c r="E146">
        <v>128</v>
      </c>
      <c r="F146">
        <v>109</v>
      </c>
      <c r="G146">
        <v>44</v>
      </c>
      <c r="S146" t="s">
        <v>6961</v>
      </c>
    </row>
    <row r="147" spans="2:19" x14ac:dyDescent="0.25">
      <c r="B147">
        <v>11649</v>
      </c>
      <c r="C147" t="s">
        <v>21267</v>
      </c>
      <c r="E147">
        <v>128</v>
      </c>
      <c r="F147">
        <v>109</v>
      </c>
      <c r="G147">
        <v>44</v>
      </c>
      <c r="R147" t="s">
        <v>6927</v>
      </c>
    </row>
    <row r="148" spans="2:19" x14ac:dyDescent="0.25">
      <c r="B148">
        <v>11650</v>
      </c>
      <c r="C148" t="s">
        <v>21268</v>
      </c>
      <c r="E148">
        <v>128</v>
      </c>
      <c r="F148">
        <v>109</v>
      </c>
      <c r="G148">
        <v>44</v>
      </c>
      <c r="S148" t="s">
        <v>6929</v>
      </c>
    </row>
    <row r="149" spans="2:19" x14ac:dyDescent="0.25">
      <c r="B149">
        <v>11651</v>
      </c>
      <c r="C149" t="s">
        <v>21269</v>
      </c>
      <c r="E149">
        <v>141</v>
      </c>
      <c r="F149">
        <v>118</v>
      </c>
      <c r="G149">
        <v>45</v>
      </c>
      <c r="S149" t="s">
        <v>6931</v>
      </c>
    </row>
    <row r="150" spans="2:19" x14ac:dyDescent="0.25">
      <c r="B150">
        <v>11658</v>
      </c>
      <c r="C150" t="s">
        <v>21270</v>
      </c>
      <c r="E150">
        <v>128</v>
      </c>
      <c r="F150">
        <v>109</v>
      </c>
      <c r="G150">
        <v>44</v>
      </c>
      <c r="R150" t="s">
        <v>6945</v>
      </c>
    </row>
    <row r="151" spans="2:19" x14ac:dyDescent="0.25">
      <c r="B151">
        <v>11659</v>
      </c>
      <c r="C151" t="s">
        <v>21271</v>
      </c>
      <c r="E151">
        <v>128</v>
      </c>
      <c r="F151">
        <v>109</v>
      </c>
      <c r="G151">
        <v>44</v>
      </c>
      <c r="S151" t="s">
        <v>6947</v>
      </c>
    </row>
    <row r="152" spans="2:19" x14ac:dyDescent="0.25">
      <c r="B152">
        <v>11660</v>
      </c>
      <c r="C152" t="s">
        <v>21272</v>
      </c>
      <c r="E152">
        <v>141</v>
      </c>
      <c r="F152">
        <v>118</v>
      </c>
      <c r="G152">
        <v>45</v>
      </c>
      <c r="S152" t="s">
        <v>6949</v>
      </c>
    </row>
    <row r="153" spans="2:19" x14ac:dyDescent="0.25">
      <c r="B153">
        <v>11661</v>
      </c>
      <c r="C153" t="s">
        <v>21273</v>
      </c>
      <c r="E153">
        <v>128</v>
      </c>
      <c r="F153">
        <v>109</v>
      </c>
      <c r="G153">
        <v>44</v>
      </c>
      <c r="R153" t="s">
        <v>6951</v>
      </c>
    </row>
    <row r="154" spans="2:19" x14ac:dyDescent="0.25">
      <c r="B154">
        <v>11662</v>
      </c>
      <c r="C154" t="s">
        <v>21274</v>
      </c>
      <c r="E154">
        <v>128</v>
      </c>
      <c r="F154">
        <v>109</v>
      </c>
      <c r="G154">
        <v>44</v>
      </c>
      <c r="S154" t="s">
        <v>6953</v>
      </c>
    </row>
    <row r="155" spans="2:19" x14ac:dyDescent="0.25">
      <c r="B155">
        <v>11663</v>
      </c>
      <c r="C155" t="s">
        <v>21275</v>
      </c>
      <c r="E155">
        <v>141</v>
      </c>
      <c r="F155">
        <v>118</v>
      </c>
      <c r="G155">
        <v>45</v>
      </c>
      <c r="S155" t="s">
        <v>6955</v>
      </c>
    </row>
    <row r="156" spans="2:19" x14ac:dyDescent="0.25">
      <c r="B156">
        <v>11652</v>
      </c>
      <c r="C156" t="s">
        <v>21276</v>
      </c>
      <c r="E156">
        <v>142</v>
      </c>
      <c r="F156">
        <v>113</v>
      </c>
      <c r="G156">
        <v>44</v>
      </c>
      <c r="R156" t="s">
        <v>6933</v>
      </c>
    </row>
    <row r="157" spans="2:19" x14ac:dyDescent="0.25">
      <c r="B157">
        <v>11653</v>
      </c>
      <c r="C157" t="s">
        <v>21277</v>
      </c>
      <c r="E157">
        <v>142</v>
      </c>
      <c r="F157">
        <v>113</v>
      </c>
      <c r="G157">
        <v>44</v>
      </c>
      <c r="S157" t="s">
        <v>6935</v>
      </c>
    </row>
    <row r="158" spans="2:19" x14ac:dyDescent="0.25">
      <c r="B158">
        <v>11654</v>
      </c>
      <c r="C158" t="s">
        <v>21278</v>
      </c>
      <c r="E158">
        <v>150</v>
      </c>
      <c r="F158">
        <v>122</v>
      </c>
      <c r="G158">
        <v>47</v>
      </c>
      <c r="S158" t="s">
        <v>6937</v>
      </c>
    </row>
    <row r="159" spans="2:19" x14ac:dyDescent="0.25">
      <c r="B159">
        <v>11655</v>
      </c>
      <c r="C159" t="s">
        <v>21279</v>
      </c>
      <c r="E159">
        <v>123</v>
      </c>
      <c r="F159">
        <v>114</v>
      </c>
      <c r="G159">
        <v>72</v>
      </c>
      <c r="R159" t="s">
        <v>6939</v>
      </c>
    </row>
    <row r="160" spans="2:19" x14ac:dyDescent="0.25">
      <c r="B160">
        <v>11656</v>
      </c>
      <c r="C160" t="s">
        <v>21280</v>
      </c>
      <c r="E160">
        <v>123</v>
      </c>
      <c r="F160">
        <v>114</v>
      </c>
      <c r="G160">
        <v>72</v>
      </c>
      <c r="S160" t="s">
        <v>6941</v>
      </c>
    </row>
    <row r="161" spans="2:19" x14ac:dyDescent="0.25">
      <c r="B161">
        <v>11657</v>
      </c>
      <c r="C161" t="s">
        <v>21281</v>
      </c>
      <c r="E161">
        <v>138</v>
      </c>
      <c r="F161">
        <v>128</v>
      </c>
      <c r="G161">
        <v>71</v>
      </c>
      <c r="S161" t="s">
        <v>6943</v>
      </c>
    </row>
    <row r="162" spans="2:19" x14ac:dyDescent="0.25">
      <c r="B162">
        <v>10518</v>
      </c>
      <c r="C162" t="s">
        <v>21282</v>
      </c>
      <c r="E162">
        <v>174</v>
      </c>
      <c r="F162">
        <v>123</v>
      </c>
      <c r="G162">
        <v>44</v>
      </c>
      <c r="Q162" t="s">
        <v>5375</v>
      </c>
    </row>
    <row r="163" spans="2:19" x14ac:dyDescent="0.25">
      <c r="B163">
        <v>11679</v>
      </c>
      <c r="C163" t="s">
        <v>21283</v>
      </c>
      <c r="E163">
        <v>180</v>
      </c>
      <c r="F163">
        <v>93</v>
      </c>
      <c r="G163">
        <v>39</v>
      </c>
      <c r="R163" t="s">
        <v>6987</v>
      </c>
    </row>
    <row r="164" spans="2:19" x14ac:dyDescent="0.25">
      <c r="B164">
        <v>11680</v>
      </c>
      <c r="C164" t="s">
        <v>21284</v>
      </c>
      <c r="E164">
        <v>180</v>
      </c>
      <c r="F164">
        <v>93</v>
      </c>
      <c r="G164">
        <v>39</v>
      </c>
      <c r="S164" t="s">
        <v>6989</v>
      </c>
    </row>
    <row r="165" spans="2:19" x14ac:dyDescent="0.25">
      <c r="B165">
        <v>11681</v>
      </c>
      <c r="C165" t="s">
        <v>21285</v>
      </c>
      <c r="E165">
        <v>193</v>
      </c>
      <c r="F165">
        <v>99</v>
      </c>
      <c r="G165">
        <v>40</v>
      </c>
      <c r="S165" t="s">
        <v>6991</v>
      </c>
    </row>
    <row r="166" spans="2:19" x14ac:dyDescent="0.25">
      <c r="B166">
        <v>11688</v>
      </c>
      <c r="C166" t="s">
        <v>21286</v>
      </c>
      <c r="E166">
        <v>174</v>
      </c>
      <c r="F166">
        <v>123</v>
      </c>
      <c r="G166">
        <v>44</v>
      </c>
      <c r="R166" t="s">
        <v>7005</v>
      </c>
    </row>
    <row r="167" spans="2:19" x14ac:dyDescent="0.25">
      <c r="B167">
        <v>11689</v>
      </c>
      <c r="C167" t="s">
        <v>21287</v>
      </c>
      <c r="E167">
        <v>174</v>
      </c>
      <c r="F167">
        <v>123</v>
      </c>
      <c r="G167">
        <v>44</v>
      </c>
      <c r="S167" t="s">
        <v>7007</v>
      </c>
    </row>
    <row r="168" spans="2:19" x14ac:dyDescent="0.25">
      <c r="B168">
        <v>11690</v>
      </c>
      <c r="C168" t="s">
        <v>21288</v>
      </c>
      <c r="E168">
        <v>184</v>
      </c>
      <c r="F168">
        <v>128</v>
      </c>
      <c r="G168">
        <v>45</v>
      </c>
      <c r="S168" t="s">
        <v>7009</v>
      </c>
    </row>
    <row r="169" spans="2:19" x14ac:dyDescent="0.25">
      <c r="B169">
        <v>11682</v>
      </c>
      <c r="C169" t="s">
        <v>21289</v>
      </c>
      <c r="E169">
        <v>174</v>
      </c>
      <c r="F169">
        <v>123</v>
      </c>
      <c r="G169">
        <v>44</v>
      </c>
      <c r="R169" t="s">
        <v>6993</v>
      </c>
    </row>
    <row r="170" spans="2:19" x14ac:dyDescent="0.25">
      <c r="B170">
        <v>11683</v>
      </c>
      <c r="C170" t="s">
        <v>21290</v>
      </c>
      <c r="E170">
        <v>174</v>
      </c>
      <c r="F170">
        <v>123</v>
      </c>
      <c r="G170">
        <v>44</v>
      </c>
      <c r="S170" t="s">
        <v>6995</v>
      </c>
    </row>
    <row r="171" spans="2:19" x14ac:dyDescent="0.25">
      <c r="B171">
        <v>11684</v>
      </c>
      <c r="C171" t="s">
        <v>21291</v>
      </c>
      <c r="E171">
        <v>184</v>
      </c>
      <c r="F171">
        <v>128</v>
      </c>
      <c r="G171">
        <v>45</v>
      </c>
      <c r="S171" t="s">
        <v>6997</v>
      </c>
    </row>
    <row r="172" spans="2:19" x14ac:dyDescent="0.25">
      <c r="B172">
        <v>11685</v>
      </c>
      <c r="C172" t="s">
        <v>21292</v>
      </c>
      <c r="E172">
        <v>174</v>
      </c>
      <c r="F172">
        <v>123</v>
      </c>
      <c r="G172">
        <v>44</v>
      </c>
      <c r="R172" t="s">
        <v>6999</v>
      </c>
    </row>
    <row r="173" spans="2:19" x14ac:dyDescent="0.25">
      <c r="B173">
        <v>11686</v>
      </c>
      <c r="C173" t="s">
        <v>21293</v>
      </c>
      <c r="E173">
        <v>174</v>
      </c>
      <c r="F173">
        <v>123</v>
      </c>
      <c r="G173">
        <v>44</v>
      </c>
      <c r="S173" t="s">
        <v>7001</v>
      </c>
    </row>
    <row r="174" spans="2:19" x14ac:dyDescent="0.25">
      <c r="B174">
        <v>11687</v>
      </c>
      <c r="C174" t="s">
        <v>21294</v>
      </c>
      <c r="E174">
        <v>184</v>
      </c>
      <c r="F174">
        <v>128</v>
      </c>
      <c r="G174">
        <v>45</v>
      </c>
      <c r="S174" t="s">
        <v>7003</v>
      </c>
    </row>
    <row r="175" spans="2:19" x14ac:dyDescent="0.25">
      <c r="B175">
        <v>10519</v>
      </c>
      <c r="C175" t="s">
        <v>21295</v>
      </c>
      <c r="E175">
        <v>167</v>
      </c>
      <c r="F175">
        <v>70</v>
      </c>
      <c r="G175">
        <v>119</v>
      </c>
      <c r="Q175" t="s">
        <v>5377</v>
      </c>
    </row>
    <row r="176" spans="2:19" x14ac:dyDescent="0.25">
      <c r="B176">
        <v>15502</v>
      </c>
      <c r="C176" t="s">
        <v>21296</v>
      </c>
      <c r="E176">
        <v>167</v>
      </c>
      <c r="F176">
        <v>70</v>
      </c>
      <c r="G176">
        <v>119</v>
      </c>
      <c r="R176" t="s">
        <v>8283</v>
      </c>
    </row>
    <row r="177" spans="2:20" x14ac:dyDescent="0.25">
      <c r="B177">
        <v>11691</v>
      </c>
      <c r="C177" t="s">
        <v>21297</v>
      </c>
      <c r="E177">
        <v>167</v>
      </c>
      <c r="F177">
        <v>70</v>
      </c>
      <c r="G177">
        <v>119</v>
      </c>
      <c r="S177" t="s">
        <v>7011</v>
      </c>
    </row>
    <row r="178" spans="2:20" x14ac:dyDescent="0.25">
      <c r="B178">
        <v>11692</v>
      </c>
      <c r="C178" t="s">
        <v>21298</v>
      </c>
      <c r="E178">
        <v>167</v>
      </c>
      <c r="F178">
        <v>70</v>
      </c>
      <c r="G178">
        <v>119</v>
      </c>
      <c r="T178" t="s">
        <v>7013</v>
      </c>
    </row>
    <row r="179" spans="2:20" x14ac:dyDescent="0.25">
      <c r="B179">
        <v>11693</v>
      </c>
      <c r="C179" t="s">
        <v>21299</v>
      </c>
      <c r="E179">
        <v>176</v>
      </c>
      <c r="F179">
        <v>74</v>
      </c>
      <c r="G179">
        <v>126</v>
      </c>
      <c r="T179" t="s">
        <v>7015</v>
      </c>
    </row>
    <row r="180" spans="2:20" x14ac:dyDescent="0.25">
      <c r="B180">
        <v>11694</v>
      </c>
      <c r="C180" t="s">
        <v>21300</v>
      </c>
      <c r="E180">
        <v>167</v>
      </c>
      <c r="F180">
        <v>70</v>
      </c>
      <c r="G180">
        <v>119</v>
      </c>
      <c r="S180" t="s">
        <v>7017</v>
      </c>
    </row>
    <row r="181" spans="2:20" x14ac:dyDescent="0.25">
      <c r="B181">
        <v>11695</v>
      </c>
      <c r="C181" t="s">
        <v>21301</v>
      </c>
      <c r="E181">
        <v>167</v>
      </c>
      <c r="F181">
        <v>70</v>
      </c>
      <c r="G181">
        <v>119</v>
      </c>
      <c r="T181" t="s">
        <v>7019</v>
      </c>
    </row>
    <row r="182" spans="2:20" x14ac:dyDescent="0.25">
      <c r="B182">
        <v>11696</v>
      </c>
      <c r="C182" t="s">
        <v>21302</v>
      </c>
      <c r="E182">
        <v>176</v>
      </c>
      <c r="F182">
        <v>74</v>
      </c>
      <c r="G182">
        <v>126</v>
      </c>
      <c r="T182" t="s">
        <v>7021</v>
      </c>
    </row>
    <row r="183" spans="2:20" x14ac:dyDescent="0.25">
      <c r="B183">
        <v>13097</v>
      </c>
      <c r="C183" t="s">
        <v>21303</v>
      </c>
      <c r="E183">
        <v>167</v>
      </c>
      <c r="F183">
        <v>70</v>
      </c>
      <c r="G183">
        <v>119</v>
      </c>
      <c r="S183" t="s">
        <v>7976</v>
      </c>
    </row>
    <row r="184" spans="2:20" x14ac:dyDescent="0.25">
      <c r="B184">
        <v>13105</v>
      </c>
      <c r="C184" t="s">
        <v>21304</v>
      </c>
      <c r="E184">
        <v>167</v>
      </c>
      <c r="F184">
        <v>70</v>
      </c>
      <c r="G184">
        <v>119</v>
      </c>
      <c r="S184" t="s">
        <v>7992</v>
      </c>
    </row>
    <row r="185" spans="2:20" x14ac:dyDescent="0.25">
      <c r="B185">
        <v>15503</v>
      </c>
      <c r="C185" t="s">
        <v>21305</v>
      </c>
      <c r="E185">
        <v>167</v>
      </c>
      <c r="F185">
        <v>70</v>
      </c>
      <c r="G185">
        <v>119</v>
      </c>
      <c r="R185" t="s">
        <v>8285</v>
      </c>
    </row>
    <row r="186" spans="2:20" x14ac:dyDescent="0.25">
      <c r="B186">
        <v>13098</v>
      </c>
      <c r="C186" t="s">
        <v>21306</v>
      </c>
      <c r="E186">
        <v>167</v>
      </c>
      <c r="F186">
        <v>70</v>
      </c>
      <c r="G186">
        <v>119</v>
      </c>
      <c r="S186" t="s">
        <v>7978</v>
      </c>
    </row>
    <row r="187" spans="2:20" x14ac:dyDescent="0.25">
      <c r="B187">
        <v>11697</v>
      </c>
      <c r="C187" t="s">
        <v>21307</v>
      </c>
      <c r="E187">
        <v>167</v>
      </c>
      <c r="F187">
        <v>70</v>
      </c>
      <c r="G187">
        <v>119</v>
      </c>
      <c r="S187" t="s">
        <v>7023</v>
      </c>
    </row>
    <row r="188" spans="2:20" x14ac:dyDescent="0.25">
      <c r="B188">
        <v>11698</v>
      </c>
      <c r="C188" t="s">
        <v>21308</v>
      </c>
      <c r="E188">
        <v>167</v>
      </c>
      <c r="F188">
        <v>70</v>
      </c>
      <c r="G188">
        <v>119</v>
      </c>
      <c r="T188" t="s">
        <v>7025</v>
      </c>
    </row>
    <row r="189" spans="2:20" x14ac:dyDescent="0.25">
      <c r="B189">
        <v>11699</v>
      </c>
      <c r="C189" t="s">
        <v>21309</v>
      </c>
      <c r="E189">
        <v>176</v>
      </c>
      <c r="F189">
        <v>74</v>
      </c>
      <c r="G189">
        <v>126</v>
      </c>
      <c r="T189" t="s">
        <v>7027</v>
      </c>
    </row>
    <row r="190" spans="2:20" x14ac:dyDescent="0.25">
      <c r="B190">
        <v>11700</v>
      </c>
      <c r="C190" t="s">
        <v>21310</v>
      </c>
      <c r="E190">
        <v>167</v>
      </c>
      <c r="F190">
        <v>70</v>
      </c>
      <c r="G190">
        <v>119</v>
      </c>
      <c r="S190" t="s">
        <v>7029</v>
      </c>
    </row>
    <row r="191" spans="2:20" x14ac:dyDescent="0.25">
      <c r="B191">
        <v>11701</v>
      </c>
      <c r="C191" t="s">
        <v>21311</v>
      </c>
      <c r="E191">
        <v>167</v>
      </c>
      <c r="F191">
        <v>70</v>
      </c>
      <c r="G191">
        <v>119</v>
      </c>
      <c r="T191" t="s">
        <v>7031</v>
      </c>
    </row>
    <row r="192" spans="2:20" x14ac:dyDescent="0.25">
      <c r="B192">
        <v>11702</v>
      </c>
      <c r="C192" t="s">
        <v>21312</v>
      </c>
      <c r="E192">
        <v>176</v>
      </c>
      <c r="F192">
        <v>74</v>
      </c>
      <c r="G192">
        <v>126</v>
      </c>
      <c r="T192" t="s">
        <v>7033</v>
      </c>
    </row>
    <row r="193" spans="2:21" x14ac:dyDescent="0.25">
      <c r="B193">
        <v>13099</v>
      </c>
      <c r="C193" t="s">
        <v>21313</v>
      </c>
      <c r="E193">
        <v>167</v>
      </c>
      <c r="F193">
        <v>70</v>
      </c>
      <c r="G193">
        <v>119</v>
      </c>
      <c r="T193" t="s">
        <v>7980</v>
      </c>
    </row>
    <row r="194" spans="2:21" x14ac:dyDescent="0.25">
      <c r="B194">
        <v>13100</v>
      </c>
      <c r="C194" t="s">
        <v>21314</v>
      </c>
      <c r="E194">
        <v>167</v>
      </c>
      <c r="F194">
        <v>70</v>
      </c>
      <c r="G194">
        <v>119</v>
      </c>
      <c r="U194" t="s">
        <v>7982</v>
      </c>
    </row>
    <row r="195" spans="2:21" x14ac:dyDescent="0.25">
      <c r="B195">
        <v>13101</v>
      </c>
      <c r="C195" t="s">
        <v>21315</v>
      </c>
      <c r="E195">
        <v>176</v>
      </c>
      <c r="F195">
        <v>74</v>
      </c>
      <c r="G195">
        <v>126</v>
      </c>
      <c r="U195" t="s">
        <v>7984</v>
      </c>
    </row>
    <row r="196" spans="2:21" x14ac:dyDescent="0.25">
      <c r="B196">
        <v>13102</v>
      </c>
      <c r="C196" t="s">
        <v>21316</v>
      </c>
      <c r="E196">
        <v>167</v>
      </c>
      <c r="F196">
        <v>70</v>
      </c>
      <c r="G196">
        <v>119</v>
      </c>
      <c r="T196" t="s">
        <v>7986</v>
      </c>
    </row>
    <row r="197" spans="2:21" x14ac:dyDescent="0.25">
      <c r="B197">
        <v>13103</v>
      </c>
      <c r="C197" t="s">
        <v>21317</v>
      </c>
      <c r="E197">
        <v>167</v>
      </c>
      <c r="F197">
        <v>70</v>
      </c>
      <c r="G197">
        <v>119</v>
      </c>
      <c r="U197" t="s">
        <v>7988</v>
      </c>
    </row>
    <row r="198" spans="2:21" x14ac:dyDescent="0.25">
      <c r="B198">
        <v>13104</v>
      </c>
      <c r="C198" t="s">
        <v>21318</v>
      </c>
      <c r="E198">
        <v>176</v>
      </c>
      <c r="F198">
        <v>74</v>
      </c>
      <c r="G198">
        <v>126</v>
      </c>
      <c r="U198" t="s">
        <v>7990</v>
      </c>
    </row>
    <row r="199" spans="2:21" x14ac:dyDescent="0.25">
      <c r="B199">
        <v>11703</v>
      </c>
      <c r="C199" t="s">
        <v>21319</v>
      </c>
      <c r="E199">
        <v>167</v>
      </c>
      <c r="F199">
        <v>70</v>
      </c>
      <c r="G199">
        <v>119</v>
      </c>
      <c r="R199" t="s">
        <v>7035</v>
      </c>
    </row>
    <row r="200" spans="2:21" x14ac:dyDescent="0.25">
      <c r="B200">
        <v>11704</v>
      </c>
      <c r="C200" t="s">
        <v>21320</v>
      </c>
      <c r="E200">
        <v>167</v>
      </c>
      <c r="F200">
        <v>70</v>
      </c>
      <c r="G200">
        <v>119</v>
      </c>
      <c r="S200" t="s">
        <v>7037</v>
      </c>
    </row>
    <row r="201" spans="2:21" x14ac:dyDescent="0.25">
      <c r="B201">
        <v>11705</v>
      </c>
      <c r="C201" t="s">
        <v>21321</v>
      </c>
      <c r="E201">
        <v>176</v>
      </c>
      <c r="F201">
        <v>74</v>
      </c>
      <c r="G201">
        <v>126</v>
      </c>
      <c r="S201" t="s">
        <v>7039</v>
      </c>
    </row>
    <row r="202" spans="2:21" x14ac:dyDescent="0.25">
      <c r="B202">
        <v>11706</v>
      </c>
      <c r="C202" t="s">
        <v>21322</v>
      </c>
      <c r="E202">
        <v>167</v>
      </c>
      <c r="F202">
        <v>70</v>
      </c>
      <c r="G202">
        <v>119</v>
      </c>
      <c r="R202" t="s">
        <v>7041</v>
      </c>
    </row>
    <row r="203" spans="2:21" x14ac:dyDescent="0.25">
      <c r="B203">
        <v>11707</v>
      </c>
      <c r="C203" t="s">
        <v>21323</v>
      </c>
      <c r="E203">
        <v>167</v>
      </c>
      <c r="F203">
        <v>70</v>
      </c>
      <c r="G203">
        <v>119</v>
      </c>
      <c r="S203" t="s">
        <v>7043</v>
      </c>
    </row>
    <row r="204" spans="2:21" x14ac:dyDescent="0.25">
      <c r="B204">
        <v>11708</v>
      </c>
      <c r="C204" t="s">
        <v>21324</v>
      </c>
      <c r="E204">
        <v>176</v>
      </c>
      <c r="F204">
        <v>74</v>
      </c>
      <c r="G204">
        <v>126</v>
      </c>
      <c r="S204" t="s">
        <v>7045</v>
      </c>
    </row>
    <row r="205" spans="2:21" x14ac:dyDescent="0.25">
      <c r="B205">
        <v>11709</v>
      </c>
      <c r="C205" t="s">
        <v>21325</v>
      </c>
      <c r="E205">
        <v>167</v>
      </c>
      <c r="F205">
        <v>70</v>
      </c>
      <c r="G205">
        <v>119</v>
      </c>
      <c r="R205" t="s">
        <v>7047</v>
      </c>
    </row>
    <row r="206" spans="2:21" x14ac:dyDescent="0.25">
      <c r="B206">
        <v>11710</v>
      </c>
      <c r="C206" t="s">
        <v>21326</v>
      </c>
      <c r="E206">
        <v>167</v>
      </c>
      <c r="F206">
        <v>70</v>
      </c>
      <c r="G206">
        <v>119</v>
      </c>
      <c r="S206" t="s">
        <v>7049</v>
      </c>
    </row>
    <row r="207" spans="2:21" x14ac:dyDescent="0.25">
      <c r="B207">
        <v>11711</v>
      </c>
      <c r="C207" t="s">
        <v>21327</v>
      </c>
      <c r="E207">
        <v>176</v>
      </c>
      <c r="F207">
        <v>74</v>
      </c>
      <c r="G207">
        <v>126</v>
      </c>
      <c r="S207" t="s">
        <v>7051</v>
      </c>
    </row>
    <row r="208" spans="2:21" x14ac:dyDescent="0.25">
      <c r="B208">
        <v>11712</v>
      </c>
      <c r="C208" t="s">
        <v>21328</v>
      </c>
      <c r="E208">
        <v>167</v>
      </c>
      <c r="F208">
        <v>70</v>
      </c>
      <c r="G208">
        <v>119</v>
      </c>
      <c r="R208" t="s">
        <v>7053</v>
      </c>
    </row>
    <row r="209" spans="2:20" x14ac:dyDescent="0.25">
      <c r="B209">
        <v>11713</v>
      </c>
      <c r="C209" t="s">
        <v>21329</v>
      </c>
      <c r="E209">
        <v>167</v>
      </c>
      <c r="F209">
        <v>70</v>
      </c>
      <c r="G209">
        <v>119</v>
      </c>
      <c r="S209" t="s">
        <v>7055</v>
      </c>
    </row>
    <row r="210" spans="2:20" x14ac:dyDescent="0.25">
      <c r="B210">
        <v>11714</v>
      </c>
      <c r="C210" t="s">
        <v>21330</v>
      </c>
      <c r="E210">
        <v>176</v>
      </c>
      <c r="F210">
        <v>74</v>
      </c>
      <c r="G210">
        <v>126</v>
      </c>
      <c r="S210" t="s">
        <v>7057</v>
      </c>
    </row>
    <row r="211" spans="2:20" x14ac:dyDescent="0.25">
      <c r="B211">
        <v>10517</v>
      </c>
      <c r="C211" t="s">
        <v>21331</v>
      </c>
      <c r="E211">
        <v>174</v>
      </c>
      <c r="F211">
        <v>65</v>
      </c>
      <c r="G211">
        <v>37</v>
      </c>
      <c r="Q211" t="s">
        <v>5373</v>
      </c>
    </row>
    <row r="212" spans="2:20" x14ac:dyDescent="0.25">
      <c r="B212">
        <v>13096</v>
      </c>
      <c r="C212" t="s">
        <v>21332</v>
      </c>
      <c r="E212">
        <v>179</v>
      </c>
      <c r="F212">
        <v>68</v>
      </c>
      <c r="G212">
        <v>41</v>
      </c>
      <c r="R212" t="s">
        <v>7974</v>
      </c>
    </row>
    <row r="213" spans="2:20" x14ac:dyDescent="0.25">
      <c r="B213">
        <v>11667</v>
      </c>
      <c r="C213" t="s">
        <v>21333</v>
      </c>
      <c r="E213">
        <v>174</v>
      </c>
      <c r="F213">
        <v>65</v>
      </c>
      <c r="G213">
        <v>37</v>
      </c>
      <c r="R213" t="s">
        <v>6963</v>
      </c>
    </row>
    <row r="214" spans="2:20" x14ac:dyDescent="0.25">
      <c r="B214">
        <v>11668</v>
      </c>
      <c r="C214" t="s">
        <v>21334</v>
      </c>
      <c r="E214">
        <v>174</v>
      </c>
      <c r="F214">
        <v>65</v>
      </c>
      <c r="G214">
        <v>37</v>
      </c>
      <c r="S214" t="s">
        <v>6965</v>
      </c>
    </row>
    <row r="215" spans="2:20" x14ac:dyDescent="0.25">
      <c r="B215">
        <v>11669</v>
      </c>
      <c r="C215" t="s">
        <v>21335</v>
      </c>
      <c r="E215">
        <v>173</v>
      </c>
      <c r="F215">
        <v>63</v>
      </c>
      <c r="G215">
        <v>37</v>
      </c>
      <c r="S215" t="s">
        <v>6967</v>
      </c>
    </row>
    <row r="216" spans="2:20" x14ac:dyDescent="0.25">
      <c r="B216">
        <v>13095</v>
      </c>
      <c r="C216" t="s">
        <v>21336</v>
      </c>
      <c r="E216">
        <v>179</v>
      </c>
      <c r="F216">
        <v>68</v>
      </c>
      <c r="G216">
        <v>41</v>
      </c>
      <c r="R216" t="s">
        <v>7972</v>
      </c>
    </row>
    <row r="217" spans="2:20" x14ac:dyDescent="0.25">
      <c r="B217">
        <v>11670</v>
      </c>
      <c r="C217" t="s">
        <v>21337</v>
      </c>
      <c r="E217">
        <v>174</v>
      </c>
      <c r="F217">
        <v>65</v>
      </c>
      <c r="G217">
        <v>37</v>
      </c>
      <c r="S217" t="s">
        <v>6969</v>
      </c>
    </row>
    <row r="218" spans="2:20" x14ac:dyDescent="0.25">
      <c r="B218">
        <v>11671</v>
      </c>
      <c r="C218" t="s">
        <v>21338</v>
      </c>
      <c r="E218">
        <v>174</v>
      </c>
      <c r="F218">
        <v>65</v>
      </c>
      <c r="G218">
        <v>37</v>
      </c>
      <c r="T218" t="s">
        <v>6971</v>
      </c>
    </row>
    <row r="219" spans="2:20" x14ac:dyDescent="0.25">
      <c r="B219">
        <v>11672</v>
      </c>
      <c r="C219" t="s">
        <v>21339</v>
      </c>
      <c r="E219">
        <v>173</v>
      </c>
      <c r="F219">
        <v>63</v>
      </c>
      <c r="G219">
        <v>37</v>
      </c>
      <c r="T219" t="s">
        <v>6973</v>
      </c>
    </row>
    <row r="220" spans="2:20" x14ac:dyDescent="0.25">
      <c r="B220">
        <v>11673</v>
      </c>
      <c r="C220" t="s">
        <v>21340</v>
      </c>
      <c r="E220">
        <v>174</v>
      </c>
      <c r="F220">
        <v>65</v>
      </c>
      <c r="G220">
        <v>37</v>
      </c>
      <c r="S220" t="s">
        <v>6975</v>
      </c>
    </row>
    <row r="221" spans="2:20" x14ac:dyDescent="0.25">
      <c r="B221">
        <v>11674</v>
      </c>
      <c r="C221" t="s">
        <v>21341</v>
      </c>
      <c r="E221">
        <v>174</v>
      </c>
      <c r="F221">
        <v>65</v>
      </c>
      <c r="G221">
        <v>37</v>
      </c>
      <c r="T221" t="s">
        <v>6977</v>
      </c>
    </row>
    <row r="222" spans="2:20" x14ac:dyDescent="0.25">
      <c r="B222">
        <v>11675</v>
      </c>
      <c r="C222" t="s">
        <v>21342</v>
      </c>
      <c r="E222">
        <v>173</v>
      </c>
      <c r="F222">
        <v>63</v>
      </c>
      <c r="G222">
        <v>37</v>
      </c>
      <c r="T222" t="s">
        <v>6979</v>
      </c>
    </row>
    <row r="223" spans="2:20" x14ac:dyDescent="0.25">
      <c r="B223">
        <v>11676</v>
      </c>
      <c r="C223" t="s">
        <v>21343</v>
      </c>
      <c r="E223">
        <v>174</v>
      </c>
      <c r="F223">
        <v>65</v>
      </c>
      <c r="G223">
        <v>37</v>
      </c>
      <c r="S223" t="s">
        <v>6981</v>
      </c>
    </row>
    <row r="224" spans="2:20" x14ac:dyDescent="0.25">
      <c r="B224">
        <v>11677</v>
      </c>
      <c r="C224" t="s">
        <v>21344</v>
      </c>
      <c r="E224">
        <v>174</v>
      </c>
      <c r="F224">
        <v>65</v>
      </c>
      <c r="G224">
        <v>37</v>
      </c>
      <c r="T224" t="s">
        <v>6983</v>
      </c>
    </row>
    <row r="225" spans="2:20" x14ac:dyDescent="0.25">
      <c r="B225">
        <v>11678</v>
      </c>
      <c r="C225" t="s">
        <v>21345</v>
      </c>
      <c r="E225">
        <v>173</v>
      </c>
      <c r="F225">
        <v>63</v>
      </c>
      <c r="G225">
        <v>37</v>
      </c>
      <c r="T225" t="s">
        <v>6985</v>
      </c>
    </row>
    <row r="226" spans="2:20" x14ac:dyDescent="0.25">
      <c r="B226">
        <v>11728</v>
      </c>
      <c r="C226" t="s">
        <v>21346</v>
      </c>
      <c r="E226">
        <v>186</v>
      </c>
      <c r="F226">
        <v>46</v>
      </c>
      <c r="G226">
        <v>46</v>
      </c>
      <c r="Q226" t="s">
        <v>7085</v>
      </c>
    </row>
    <row r="227" spans="2:20" x14ac:dyDescent="0.25">
      <c r="B227">
        <v>11729</v>
      </c>
      <c r="C227" t="s">
        <v>21347</v>
      </c>
      <c r="E227">
        <v>186</v>
      </c>
      <c r="F227">
        <v>46</v>
      </c>
      <c r="G227">
        <v>46</v>
      </c>
      <c r="R227" t="s">
        <v>7087</v>
      </c>
    </row>
    <row r="228" spans="2:20" x14ac:dyDescent="0.25">
      <c r="B228">
        <v>11730</v>
      </c>
      <c r="C228" t="s">
        <v>21348</v>
      </c>
      <c r="E228">
        <v>186</v>
      </c>
      <c r="F228">
        <v>46</v>
      </c>
      <c r="G228">
        <v>46</v>
      </c>
      <c r="S228" t="s">
        <v>7089</v>
      </c>
    </row>
    <row r="229" spans="2:20" x14ac:dyDescent="0.25">
      <c r="B229">
        <v>11731</v>
      </c>
      <c r="C229" t="s">
        <v>21349</v>
      </c>
      <c r="E229">
        <v>193</v>
      </c>
      <c r="F229">
        <v>51</v>
      </c>
      <c r="G229">
        <v>49</v>
      </c>
      <c r="S229" t="s">
        <v>7091</v>
      </c>
    </row>
    <row r="230" spans="2:20" x14ac:dyDescent="0.25">
      <c r="B230">
        <v>11732</v>
      </c>
      <c r="C230" t="s">
        <v>21350</v>
      </c>
      <c r="E230">
        <v>186</v>
      </c>
      <c r="F230">
        <v>46</v>
      </c>
      <c r="G230">
        <v>46</v>
      </c>
      <c r="R230" t="s">
        <v>7093</v>
      </c>
    </row>
    <row r="231" spans="2:20" x14ac:dyDescent="0.25">
      <c r="B231">
        <v>11733</v>
      </c>
      <c r="C231" t="s">
        <v>21351</v>
      </c>
      <c r="E231">
        <v>186</v>
      </c>
      <c r="F231">
        <v>46</v>
      </c>
      <c r="G231">
        <v>46</v>
      </c>
      <c r="S231" t="s">
        <v>7095</v>
      </c>
    </row>
    <row r="232" spans="2:20" x14ac:dyDescent="0.25">
      <c r="B232">
        <v>11734</v>
      </c>
      <c r="C232" t="s">
        <v>21352</v>
      </c>
      <c r="E232">
        <v>193</v>
      </c>
      <c r="F232">
        <v>51</v>
      </c>
      <c r="G232">
        <v>49</v>
      </c>
      <c r="S232" t="s">
        <v>7097</v>
      </c>
    </row>
    <row r="233" spans="2:20" x14ac:dyDescent="0.25">
      <c r="B233">
        <v>11715</v>
      </c>
      <c r="C233" t="s">
        <v>21353</v>
      </c>
      <c r="E233">
        <v>173</v>
      </c>
      <c r="F233">
        <v>64</v>
      </c>
      <c r="G233">
        <v>91</v>
      </c>
      <c r="Q233" t="s">
        <v>7059</v>
      </c>
    </row>
    <row r="234" spans="2:20" x14ac:dyDescent="0.25">
      <c r="B234">
        <v>11716</v>
      </c>
      <c r="C234" t="s">
        <v>21354</v>
      </c>
      <c r="E234">
        <v>173</v>
      </c>
      <c r="F234">
        <v>64</v>
      </c>
      <c r="G234">
        <v>91</v>
      </c>
      <c r="R234" t="s">
        <v>7061</v>
      </c>
    </row>
    <row r="235" spans="2:20" x14ac:dyDescent="0.25">
      <c r="B235">
        <v>11717</v>
      </c>
      <c r="C235" t="s">
        <v>21355</v>
      </c>
      <c r="E235">
        <v>173</v>
      </c>
      <c r="F235">
        <v>64</v>
      </c>
      <c r="G235">
        <v>91</v>
      </c>
      <c r="S235" t="s">
        <v>7063</v>
      </c>
    </row>
    <row r="236" spans="2:20" x14ac:dyDescent="0.25">
      <c r="B236">
        <v>11718</v>
      </c>
      <c r="C236" t="s">
        <v>21356</v>
      </c>
      <c r="E236">
        <v>186</v>
      </c>
      <c r="F236">
        <v>66</v>
      </c>
      <c r="G236">
        <v>96</v>
      </c>
      <c r="S236" t="s">
        <v>7065</v>
      </c>
    </row>
    <row r="237" spans="2:20" x14ac:dyDescent="0.25">
      <c r="B237">
        <v>11719</v>
      </c>
      <c r="C237" t="s">
        <v>21357</v>
      </c>
      <c r="E237">
        <v>173</v>
      </c>
      <c r="F237">
        <v>64</v>
      </c>
      <c r="G237">
        <v>91</v>
      </c>
      <c r="R237" t="s">
        <v>7067</v>
      </c>
    </row>
    <row r="238" spans="2:20" x14ac:dyDescent="0.25">
      <c r="B238">
        <v>11720</v>
      </c>
      <c r="C238" t="s">
        <v>21358</v>
      </c>
      <c r="E238">
        <v>173</v>
      </c>
      <c r="F238">
        <v>64</v>
      </c>
      <c r="G238">
        <v>91</v>
      </c>
      <c r="S238" t="s">
        <v>7069</v>
      </c>
    </row>
    <row r="239" spans="2:20" x14ac:dyDescent="0.25">
      <c r="B239">
        <v>11721</v>
      </c>
      <c r="C239" t="s">
        <v>21359</v>
      </c>
      <c r="E239">
        <v>186</v>
      </c>
      <c r="F239">
        <v>66</v>
      </c>
      <c r="G239">
        <v>96</v>
      </c>
      <c r="S239" t="s">
        <v>7071</v>
      </c>
    </row>
    <row r="240" spans="2:20" x14ac:dyDescent="0.25">
      <c r="B240">
        <v>11722</v>
      </c>
      <c r="C240" t="s">
        <v>21360</v>
      </c>
      <c r="E240">
        <v>173</v>
      </c>
      <c r="F240">
        <v>64</v>
      </c>
      <c r="G240">
        <v>91</v>
      </c>
      <c r="R240" t="s">
        <v>7073</v>
      </c>
    </row>
    <row r="241" spans="2:20" x14ac:dyDescent="0.25">
      <c r="B241">
        <v>11723</v>
      </c>
      <c r="C241" t="s">
        <v>21361</v>
      </c>
      <c r="E241">
        <v>173</v>
      </c>
      <c r="F241">
        <v>64</v>
      </c>
      <c r="G241">
        <v>91</v>
      </c>
      <c r="S241" t="s">
        <v>7075</v>
      </c>
    </row>
    <row r="242" spans="2:20" x14ac:dyDescent="0.25">
      <c r="B242">
        <v>11724</v>
      </c>
      <c r="C242" t="s">
        <v>21362</v>
      </c>
      <c r="E242">
        <v>186</v>
      </c>
      <c r="F242">
        <v>66</v>
      </c>
      <c r="G242">
        <v>96</v>
      </c>
      <c r="S242" t="s">
        <v>7077</v>
      </c>
    </row>
    <row r="243" spans="2:20" x14ac:dyDescent="0.25">
      <c r="B243">
        <v>11725</v>
      </c>
      <c r="C243" t="s">
        <v>21363</v>
      </c>
      <c r="E243">
        <v>173</v>
      </c>
      <c r="F243">
        <v>64</v>
      </c>
      <c r="G243">
        <v>91</v>
      </c>
      <c r="R243" t="s">
        <v>7079</v>
      </c>
    </row>
    <row r="244" spans="2:20" x14ac:dyDescent="0.25">
      <c r="B244">
        <v>11726</v>
      </c>
      <c r="C244" t="s">
        <v>21364</v>
      </c>
      <c r="E244">
        <v>173</v>
      </c>
      <c r="F244">
        <v>64</v>
      </c>
      <c r="G244">
        <v>91</v>
      </c>
      <c r="S244" t="s">
        <v>7081</v>
      </c>
    </row>
    <row r="245" spans="2:20" x14ac:dyDescent="0.25">
      <c r="B245">
        <v>11727</v>
      </c>
      <c r="C245" t="s">
        <v>21365</v>
      </c>
      <c r="E245">
        <v>186</v>
      </c>
      <c r="F245">
        <v>66</v>
      </c>
      <c r="G245">
        <v>96</v>
      </c>
      <c r="S245" t="s">
        <v>7083</v>
      </c>
    </row>
    <row r="246" spans="2:20" x14ac:dyDescent="0.25">
      <c r="B246">
        <v>10521</v>
      </c>
      <c r="C246" t="s">
        <v>21366</v>
      </c>
      <c r="E246">
        <v>153</v>
      </c>
      <c r="F246">
        <v>119</v>
      </c>
      <c r="G246">
        <v>92</v>
      </c>
      <c r="Q246" t="s">
        <v>5381</v>
      </c>
    </row>
    <row r="247" spans="2:20" x14ac:dyDescent="0.25">
      <c r="B247">
        <v>11746</v>
      </c>
      <c r="C247" t="s">
        <v>21367</v>
      </c>
      <c r="E247">
        <v>153</v>
      </c>
      <c r="F247">
        <v>119</v>
      </c>
      <c r="G247">
        <v>92</v>
      </c>
      <c r="R247" t="s">
        <v>7121</v>
      </c>
    </row>
    <row r="248" spans="2:20" x14ac:dyDescent="0.25">
      <c r="B248">
        <v>11747</v>
      </c>
      <c r="C248" t="s">
        <v>21368</v>
      </c>
      <c r="E248">
        <v>153</v>
      </c>
      <c r="F248">
        <v>119</v>
      </c>
      <c r="G248">
        <v>92</v>
      </c>
      <c r="S248" t="s">
        <v>7123</v>
      </c>
    </row>
    <row r="249" spans="2:20" x14ac:dyDescent="0.25">
      <c r="B249">
        <v>11748</v>
      </c>
      <c r="C249" t="s">
        <v>21369</v>
      </c>
      <c r="E249">
        <v>153</v>
      </c>
      <c r="F249">
        <v>119</v>
      </c>
      <c r="G249">
        <v>92</v>
      </c>
      <c r="T249" t="s">
        <v>7125</v>
      </c>
    </row>
    <row r="250" spans="2:20" x14ac:dyDescent="0.25">
      <c r="B250">
        <v>11749</v>
      </c>
      <c r="C250" t="s">
        <v>21370</v>
      </c>
      <c r="E250">
        <v>159</v>
      </c>
      <c r="F250">
        <v>123</v>
      </c>
      <c r="G250">
        <v>96</v>
      </c>
      <c r="T250" t="s">
        <v>7127</v>
      </c>
    </row>
    <row r="251" spans="2:20" x14ac:dyDescent="0.25">
      <c r="B251">
        <v>11750</v>
      </c>
      <c r="C251" t="s">
        <v>21371</v>
      </c>
      <c r="E251">
        <v>153</v>
      </c>
      <c r="F251">
        <v>119</v>
      </c>
      <c r="G251">
        <v>92</v>
      </c>
      <c r="S251" t="s">
        <v>7129</v>
      </c>
    </row>
    <row r="252" spans="2:20" x14ac:dyDescent="0.25">
      <c r="B252">
        <v>11751</v>
      </c>
      <c r="C252" t="s">
        <v>21372</v>
      </c>
      <c r="E252">
        <v>153</v>
      </c>
      <c r="F252">
        <v>119</v>
      </c>
      <c r="G252">
        <v>92</v>
      </c>
      <c r="T252" t="s">
        <v>7131</v>
      </c>
    </row>
    <row r="253" spans="2:20" x14ac:dyDescent="0.25">
      <c r="B253">
        <v>11752</v>
      </c>
      <c r="C253" t="s">
        <v>21373</v>
      </c>
      <c r="E253">
        <v>159</v>
      </c>
      <c r="F253">
        <v>123</v>
      </c>
      <c r="G253">
        <v>96</v>
      </c>
      <c r="T253" t="s">
        <v>7133</v>
      </c>
    </row>
    <row r="254" spans="2:20" x14ac:dyDescent="0.25">
      <c r="B254">
        <v>13280</v>
      </c>
      <c r="C254" t="s">
        <v>21374</v>
      </c>
      <c r="E254">
        <v>153</v>
      </c>
      <c r="F254">
        <v>119</v>
      </c>
      <c r="G254">
        <v>92</v>
      </c>
      <c r="R254" t="s">
        <v>8058</v>
      </c>
    </row>
    <row r="255" spans="2:20" x14ac:dyDescent="0.25">
      <c r="B255">
        <v>11742</v>
      </c>
      <c r="C255" t="s">
        <v>21375</v>
      </c>
      <c r="E255">
        <v>153</v>
      </c>
      <c r="F255">
        <v>119</v>
      </c>
      <c r="G255">
        <v>92</v>
      </c>
      <c r="R255" t="s">
        <v>7113</v>
      </c>
    </row>
    <row r="256" spans="2:20" x14ac:dyDescent="0.25">
      <c r="B256">
        <v>13109</v>
      </c>
      <c r="C256" t="s">
        <v>21376</v>
      </c>
      <c r="E256">
        <v>153</v>
      </c>
      <c r="F256">
        <v>119</v>
      </c>
      <c r="G256">
        <v>92</v>
      </c>
      <c r="S256" t="s">
        <v>8000</v>
      </c>
    </row>
    <row r="257" spans="2:20" x14ac:dyDescent="0.25">
      <c r="B257">
        <v>11743</v>
      </c>
      <c r="C257" t="s">
        <v>21377</v>
      </c>
      <c r="E257">
        <v>153</v>
      </c>
      <c r="F257">
        <v>119</v>
      </c>
      <c r="G257">
        <v>92</v>
      </c>
      <c r="T257" t="s">
        <v>7115</v>
      </c>
    </row>
    <row r="258" spans="2:20" x14ac:dyDescent="0.25">
      <c r="B258">
        <v>11744</v>
      </c>
      <c r="C258" t="s">
        <v>21378</v>
      </c>
      <c r="E258">
        <v>153</v>
      </c>
      <c r="F258">
        <v>119</v>
      </c>
      <c r="G258">
        <v>92</v>
      </c>
      <c r="T258" t="s">
        <v>7117</v>
      </c>
    </row>
    <row r="259" spans="2:20" x14ac:dyDescent="0.25">
      <c r="B259">
        <v>13108</v>
      </c>
      <c r="C259" t="s">
        <v>21379</v>
      </c>
      <c r="E259">
        <v>153</v>
      </c>
      <c r="F259">
        <v>119</v>
      </c>
      <c r="G259">
        <v>92</v>
      </c>
      <c r="S259" t="s">
        <v>7998</v>
      </c>
    </row>
    <row r="260" spans="2:20" x14ac:dyDescent="0.25">
      <c r="B260">
        <v>11745</v>
      </c>
      <c r="C260" t="s">
        <v>21380</v>
      </c>
      <c r="E260">
        <v>153</v>
      </c>
      <c r="F260">
        <v>119</v>
      </c>
      <c r="G260">
        <v>92</v>
      </c>
      <c r="T260" t="s">
        <v>7119</v>
      </c>
    </row>
    <row r="261" spans="2:20" x14ac:dyDescent="0.25">
      <c r="B261">
        <v>11741</v>
      </c>
      <c r="C261" t="s">
        <v>21381</v>
      </c>
      <c r="E261">
        <v>153</v>
      </c>
      <c r="F261">
        <v>119</v>
      </c>
      <c r="G261">
        <v>92</v>
      </c>
      <c r="R261" t="s">
        <v>7111</v>
      </c>
    </row>
    <row r="262" spans="2:20" x14ac:dyDescent="0.25">
      <c r="B262">
        <v>13106</v>
      </c>
      <c r="C262" t="s">
        <v>21382</v>
      </c>
      <c r="E262">
        <v>153</v>
      </c>
      <c r="F262">
        <v>119</v>
      </c>
      <c r="G262">
        <v>92</v>
      </c>
      <c r="S262" t="s">
        <v>7994</v>
      </c>
    </row>
    <row r="263" spans="2:20" x14ac:dyDescent="0.25">
      <c r="B263">
        <v>13107</v>
      </c>
      <c r="C263" t="s">
        <v>21383</v>
      </c>
      <c r="E263">
        <v>153</v>
      </c>
      <c r="F263">
        <v>119</v>
      </c>
      <c r="G263">
        <v>92</v>
      </c>
      <c r="S263" t="s">
        <v>7996</v>
      </c>
    </row>
    <row r="264" spans="2:20" x14ac:dyDescent="0.25">
      <c r="B264">
        <v>11753</v>
      </c>
      <c r="C264" t="s">
        <v>21384</v>
      </c>
      <c r="E264">
        <v>153</v>
      </c>
      <c r="F264">
        <v>119</v>
      </c>
      <c r="G264">
        <v>92</v>
      </c>
      <c r="R264" t="s">
        <v>7135</v>
      </c>
    </row>
    <row r="265" spans="2:20" x14ac:dyDescent="0.25">
      <c r="B265">
        <v>11754</v>
      </c>
      <c r="C265" t="s">
        <v>21385</v>
      </c>
      <c r="E265">
        <v>153</v>
      </c>
      <c r="F265">
        <v>119</v>
      </c>
      <c r="G265">
        <v>92</v>
      </c>
      <c r="S265" t="s">
        <v>7137</v>
      </c>
    </row>
    <row r="266" spans="2:20" x14ac:dyDescent="0.25">
      <c r="B266">
        <v>11755</v>
      </c>
      <c r="C266" t="s">
        <v>21386</v>
      </c>
      <c r="E266">
        <v>159</v>
      </c>
      <c r="F266">
        <v>123</v>
      </c>
      <c r="G266">
        <v>96</v>
      </c>
      <c r="S266" t="s">
        <v>7139</v>
      </c>
    </row>
    <row r="267" spans="2:20" x14ac:dyDescent="0.25">
      <c r="B267">
        <v>13281</v>
      </c>
      <c r="C267" t="s">
        <v>21387</v>
      </c>
      <c r="E267">
        <v>153</v>
      </c>
      <c r="F267">
        <v>119</v>
      </c>
      <c r="G267">
        <v>92</v>
      </c>
      <c r="R267" t="s">
        <v>8060</v>
      </c>
    </row>
    <row r="268" spans="2:20" x14ac:dyDescent="0.25">
      <c r="B268">
        <v>13282</v>
      </c>
      <c r="C268" t="s">
        <v>21388</v>
      </c>
      <c r="E268">
        <v>153</v>
      </c>
      <c r="F268">
        <v>119</v>
      </c>
      <c r="G268">
        <v>92</v>
      </c>
      <c r="S268" t="s">
        <v>8062</v>
      </c>
    </row>
    <row r="269" spans="2:20" x14ac:dyDescent="0.25">
      <c r="B269">
        <v>13283</v>
      </c>
      <c r="C269" t="s">
        <v>21389</v>
      </c>
      <c r="E269">
        <v>153</v>
      </c>
      <c r="F269">
        <v>119</v>
      </c>
      <c r="G269">
        <v>92</v>
      </c>
      <c r="S269" t="s">
        <v>8064</v>
      </c>
    </row>
    <row r="270" spans="2:20" x14ac:dyDescent="0.25">
      <c r="B270">
        <v>10520</v>
      </c>
      <c r="C270" t="s">
        <v>21390</v>
      </c>
      <c r="E270">
        <v>93</v>
      </c>
      <c r="F270">
        <v>69</v>
      </c>
      <c r="G270">
        <v>127</v>
      </c>
      <c r="Q270" t="s">
        <v>5379</v>
      </c>
    </row>
    <row r="271" spans="2:20" x14ac:dyDescent="0.25">
      <c r="B271">
        <v>11735</v>
      </c>
      <c r="C271" t="s">
        <v>21391</v>
      </c>
      <c r="E271">
        <v>93</v>
      </c>
      <c r="F271">
        <v>69</v>
      </c>
      <c r="G271">
        <v>127</v>
      </c>
      <c r="R271" t="s">
        <v>7099</v>
      </c>
    </row>
    <row r="272" spans="2:20" x14ac:dyDescent="0.25">
      <c r="B272">
        <v>11736</v>
      </c>
      <c r="C272" t="s">
        <v>21392</v>
      </c>
      <c r="E272">
        <v>93</v>
      </c>
      <c r="F272">
        <v>69</v>
      </c>
      <c r="G272">
        <v>127</v>
      </c>
      <c r="S272" t="s">
        <v>7101</v>
      </c>
    </row>
    <row r="273" spans="2:19" x14ac:dyDescent="0.25">
      <c r="B273">
        <v>11737</v>
      </c>
      <c r="C273" t="s">
        <v>21393</v>
      </c>
      <c r="E273">
        <v>93</v>
      </c>
      <c r="F273">
        <v>69</v>
      </c>
      <c r="G273">
        <v>127</v>
      </c>
      <c r="S273" t="s">
        <v>7103</v>
      </c>
    </row>
    <row r="274" spans="2:19" x14ac:dyDescent="0.25">
      <c r="B274">
        <v>11738</v>
      </c>
      <c r="C274" t="s">
        <v>21394</v>
      </c>
      <c r="E274">
        <v>93</v>
      </c>
      <c r="F274">
        <v>69</v>
      </c>
      <c r="G274">
        <v>127</v>
      </c>
      <c r="R274" t="s">
        <v>7105</v>
      </c>
    </row>
    <row r="275" spans="2:19" x14ac:dyDescent="0.25">
      <c r="B275">
        <v>11739</v>
      </c>
      <c r="C275" t="s">
        <v>21395</v>
      </c>
      <c r="E275">
        <v>93</v>
      </c>
      <c r="F275">
        <v>69</v>
      </c>
      <c r="G275">
        <v>127</v>
      </c>
      <c r="S275" t="s">
        <v>7107</v>
      </c>
    </row>
    <row r="276" spans="2:19" x14ac:dyDescent="0.25">
      <c r="B276">
        <v>11740</v>
      </c>
      <c r="C276" t="s">
        <v>21396</v>
      </c>
      <c r="E276">
        <v>93</v>
      </c>
      <c r="F276">
        <v>69</v>
      </c>
      <c r="G276">
        <v>127</v>
      </c>
      <c r="S276" t="s">
        <v>7109</v>
      </c>
    </row>
    <row r="277" spans="2:19" x14ac:dyDescent="0.25">
      <c r="B277">
        <v>13284</v>
      </c>
      <c r="C277" t="s">
        <v>21397</v>
      </c>
      <c r="E277">
        <v>93</v>
      </c>
      <c r="F277">
        <v>69</v>
      </c>
      <c r="G277">
        <v>127</v>
      </c>
      <c r="R277" t="s">
        <v>8066</v>
      </c>
    </row>
    <row r="278" spans="2:19" x14ac:dyDescent="0.25">
      <c r="B278">
        <v>146034622</v>
      </c>
      <c r="C278" t="s">
        <v>21398</v>
      </c>
      <c r="E278">
        <v>93</v>
      </c>
      <c r="F278">
        <v>69</v>
      </c>
      <c r="G278">
        <v>127</v>
      </c>
      <c r="R278" t="s">
        <v>8060</v>
      </c>
    </row>
    <row r="279" spans="2:19" x14ac:dyDescent="0.25">
      <c r="B279">
        <v>10522</v>
      </c>
      <c r="C279" t="s">
        <v>15193</v>
      </c>
      <c r="E279">
        <v>223</v>
      </c>
      <c r="F279">
        <v>206</v>
      </c>
      <c r="G279">
        <v>206</v>
      </c>
      <c r="P279" t="s">
        <v>1352</v>
      </c>
    </row>
    <row r="280" spans="2:19" x14ac:dyDescent="0.25">
      <c r="B280">
        <v>10523</v>
      </c>
      <c r="C280" t="s">
        <v>21399</v>
      </c>
      <c r="E280">
        <v>238</v>
      </c>
      <c r="F280">
        <v>224</v>
      </c>
      <c r="G280">
        <v>168</v>
      </c>
      <c r="Q280" t="s">
        <v>5383</v>
      </c>
    </row>
    <row r="281" spans="2:19" x14ac:dyDescent="0.25">
      <c r="B281">
        <v>11761</v>
      </c>
      <c r="C281" t="s">
        <v>21400</v>
      </c>
      <c r="E281">
        <v>238</v>
      </c>
      <c r="F281">
        <v>224</v>
      </c>
      <c r="G281">
        <v>168</v>
      </c>
      <c r="R281" t="s">
        <v>7151</v>
      </c>
    </row>
    <row r="282" spans="2:19" x14ac:dyDescent="0.25">
      <c r="B282">
        <v>11756</v>
      </c>
      <c r="C282" t="s">
        <v>21401</v>
      </c>
      <c r="E282">
        <v>238</v>
      </c>
      <c r="F282">
        <v>224</v>
      </c>
      <c r="G282">
        <v>168</v>
      </c>
      <c r="R282" t="s">
        <v>7141</v>
      </c>
    </row>
    <row r="283" spans="2:19" x14ac:dyDescent="0.25">
      <c r="B283">
        <v>11759</v>
      </c>
      <c r="C283" t="s">
        <v>21402</v>
      </c>
      <c r="E283">
        <v>238</v>
      </c>
      <c r="F283">
        <v>224</v>
      </c>
      <c r="G283">
        <v>168</v>
      </c>
      <c r="R283" t="s">
        <v>7147</v>
      </c>
    </row>
    <row r="284" spans="2:19" x14ac:dyDescent="0.25">
      <c r="B284">
        <v>11760</v>
      </c>
      <c r="C284" t="s">
        <v>21403</v>
      </c>
      <c r="E284">
        <v>238</v>
      </c>
      <c r="F284">
        <v>224</v>
      </c>
      <c r="G284">
        <v>168</v>
      </c>
      <c r="R284" t="s">
        <v>7149</v>
      </c>
    </row>
    <row r="285" spans="2:19" x14ac:dyDescent="0.25">
      <c r="B285">
        <v>11757</v>
      </c>
      <c r="C285" t="s">
        <v>21404</v>
      </c>
      <c r="E285">
        <v>226</v>
      </c>
      <c r="F285">
        <v>212</v>
      </c>
      <c r="G285">
        <v>167</v>
      </c>
      <c r="R285" t="s">
        <v>7143</v>
      </c>
    </row>
    <row r="286" spans="2:19" x14ac:dyDescent="0.25">
      <c r="B286">
        <v>11758</v>
      </c>
      <c r="C286" t="s">
        <v>21405</v>
      </c>
      <c r="E286">
        <v>252</v>
      </c>
      <c r="F286">
        <v>230</v>
      </c>
      <c r="G286">
        <v>145</v>
      </c>
      <c r="R286" t="s">
        <v>7145</v>
      </c>
    </row>
    <row r="287" spans="2:19" x14ac:dyDescent="0.25">
      <c r="B287">
        <v>10525</v>
      </c>
      <c r="C287" t="s">
        <v>21406</v>
      </c>
      <c r="E287">
        <v>240</v>
      </c>
      <c r="F287">
        <v>218</v>
      </c>
      <c r="G287">
        <v>190</v>
      </c>
      <c r="Q287" t="s">
        <v>5387</v>
      </c>
    </row>
    <row r="288" spans="2:19" x14ac:dyDescent="0.25">
      <c r="B288">
        <v>11766</v>
      </c>
      <c r="C288" t="s">
        <v>21407</v>
      </c>
      <c r="E288">
        <v>239</v>
      </c>
      <c r="F288">
        <v>206</v>
      </c>
      <c r="G288">
        <v>182</v>
      </c>
      <c r="R288" t="s">
        <v>7161</v>
      </c>
    </row>
    <row r="289" spans="2:20" x14ac:dyDescent="0.25">
      <c r="B289">
        <v>11769</v>
      </c>
      <c r="C289" t="s">
        <v>21408</v>
      </c>
      <c r="E289">
        <v>240</v>
      </c>
      <c r="F289">
        <v>218</v>
      </c>
      <c r="G289">
        <v>190</v>
      </c>
      <c r="R289" t="s">
        <v>7167</v>
      </c>
    </row>
    <row r="290" spans="2:20" x14ac:dyDescent="0.25">
      <c r="B290">
        <v>11767</v>
      </c>
      <c r="C290" t="s">
        <v>21409</v>
      </c>
      <c r="E290">
        <v>240</v>
      </c>
      <c r="F290">
        <v>218</v>
      </c>
      <c r="G290">
        <v>190</v>
      </c>
      <c r="R290" t="s">
        <v>7163</v>
      </c>
    </row>
    <row r="291" spans="2:20" x14ac:dyDescent="0.25">
      <c r="B291">
        <v>11768</v>
      </c>
      <c r="C291" t="s">
        <v>21410</v>
      </c>
      <c r="E291">
        <v>240</v>
      </c>
      <c r="F291">
        <v>218</v>
      </c>
      <c r="G291">
        <v>190</v>
      </c>
      <c r="R291" t="s">
        <v>7165</v>
      </c>
    </row>
    <row r="292" spans="2:20" x14ac:dyDescent="0.25">
      <c r="B292">
        <v>10526</v>
      </c>
      <c r="C292" t="s">
        <v>21411</v>
      </c>
      <c r="E292">
        <v>240</v>
      </c>
      <c r="F292">
        <v>213</v>
      </c>
      <c r="G292">
        <v>225</v>
      </c>
      <c r="Q292" t="s">
        <v>5389</v>
      </c>
    </row>
    <row r="293" spans="2:20" x14ac:dyDescent="0.25">
      <c r="B293">
        <v>15504</v>
      </c>
      <c r="C293" t="s">
        <v>21412</v>
      </c>
      <c r="E293">
        <v>240</v>
      </c>
      <c r="F293">
        <v>213</v>
      </c>
      <c r="G293">
        <v>225</v>
      </c>
      <c r="R293" t="s">
        <v>8287</v>
      </c>
    </row>
    <row r="294" spans="2:20" x14ac:dyDescent="0.25">
      <c r="B294">
        <v>11770</v>
      </c>
      <c r="C294" t="s">
        <v>21413</v>
      </c>
      <c r="E294">
        <v>240</v>
      </c>
      <c r="F294">
        <v>213</v>
      </c>
      <c r="G294">
        <v>225</v>
      </c>
      <c r="S294" t="s">
        <v>7169</v>
      </c>
    </row>
    <row r="295" spans="2:20" x14ac:dyDescent="0.25">
      <c r="B295">
        <v>11771</v>
      </c>
      <c r="C295" t="s">
        <v>21414</v>
      </c>
      <c r="E295">
        <v>240</v>
      </c>
      <c r="F295">
        <v>213</v>
      </c>
      <c r="G295">
        <v>225</v>
      </c>
      <c r="S295" t="s">
        <v>7171</v>
      </c>
    </row>
    <row r="296" spans="2:20" x14ac:dyDescent="0.25">
      <c r="B296">
        <v>13112</v>
      </c>
      <c r="C296" t="s">
        <v>21415</v>
      </c>
      <c r="E296">
        <v>240</v>
      </c>
      <c r="F296">
        <v>213</v>
      </c>
      <c r="G296">
        <v>225</v>
      </c>
      <c r="S296" t="s">
        <v>8006</v>
      </c>
    </row>
    <row r="297" spans="2:20" x14ac:dyDescent="0.25">
      <c r="B297">
        <v>13116</v>
      </c>
      <c r="C297" t="s">
        <v>21416</v>
      </c>
      <c r="E297">
        <v>240</v>
      </c>
      <c r="F297">
        <v>213</v>
      </c>
      <c r="G297">
        <v>225</v>
      </c>
      <c r="S297" t="s">
        <v>8014</v>
      </c>
    </row>
    <row r="298" spans="2:20" x14ac:dyDescent="0.25">
      <c r="B298">
        <v>15505</v>
      </c>
      <c r="C298" t="s">
        <v>21417</v>
      </c>
      <c r="E298">
        <v>240</v>
      </c>
      <c r="F298">
        <v>213</v>
      </c>
      <c r="G298">
        <v>225</v>
      </c>
      <c r="R298" t="s">
        <v>8289</v>
      </c>
    </row>
    <row r="299" spans="2:20" x14ac:dyDescent="0.25">
      <c r="B299">
        <v>13113</v>
      </c>
      <c r="C299" t="s">
        <v>21418</v>
      </c>
      <c r="E299">
        <v>240</v>
      </c>
      <c r="F299">
        <v>213</v>
      </c>
      <c r="G299">
        <v>225</v>
      </c>
      <c r="S299" t="s">
        <v>8008</v>
      </c>
    </row>
    <row r="300" spans="2:20" x14ac:dyDescent="0.25">
      <c r="B300">
        <v>11772</v>
      </c>
      <c r="C300" t="s">
        <v>21419</v>
      </c>
      <c r="E300">
        <v>240</v>
      </c>
      <c r="F300">
        <v>213</v>
      </c>
      <c r="G300">
        <v>225</v>
      </c>
      <c r="S300" t="s">
        <v>7173</v>
      </c>
    </row>
    <row r="301" spans="2:20" x14ac:dyDescent="0.25">
      <c r="B301">
        <v>11773</v>
      </c>
      <c r="C301" t="s">
        <v>21420</v>
      </c>
      <c r="E301">
        <v>240</v>
      </c>
      <c r="F301">
        <v>213</v>
      </c>
      <c r="G301">
        <v>225</v>
      </c>
      <c r="S301" t="s">
        <v>7175</v>
      </c>
    </row>
    <row r="302" spans="2:20" x14ac:dyDescent="0.25">
      <c r="B302">
        <v>13114</v>
      </c>
      <c r="C302" t="s">
        <v>21421</v>
      </c>
      <c r="E302">
        <v>240</v>
      </c>
      <c r="F302">
        <v>213</v>
      </c>
      <c r="G302">
        <v>225</v>
      </c>
      <c r="T302" t="s">
        <v>8010</v>
      </c>
    </row>
    <row r="303" spans="2:20" x14ac:dyDescent="0.25">
      <c r="B303">
        <v>13115</v>
      </c>
      <c r="C303" t="s">
        <v>21422</v>
      </c>
      <c r="E303">
        <v>240</v>
      </c>
      <c r="F303">
        <v>213</v>
      </c>
      <c r="G303">
        <v>225</v>
      </c>
      <c r="T303" t="s">
        <v>8012</v>
      </c>
    </row>
    <row r="304" spans="2:20" x14ac:dyDescent="0.25">
      <c r="B304">
        <v>11774</v>
      </c>
      <c r="C304" t="s">
        <v>21423</v>
      </c>
      <c r="E304">
        <v>240</v>
      </c>
      <c r="F304">
        <v>213</v>
      </c>
      <c r="G304">
        <v>225</v>
      </c>
      <c r="R304" t="s">
        <v>7177</v>
      </c>
    </row>
    <row r="305" spans="2:19" x14ac:dyDescent="0.25">
      <c r="B305">
        <v>11775</v>
      </c>
      <c r="C305" t="s">
        <v>21424</v>
      </c>
      <c r="E305">
        <v>240</v>
      </c>
      <c r="F305">
        <v>213</v>
      </c>
      <c r="G305">
        <v>225</v>
      </c>
      <c r="R305" t="s">
        <v>7179</v>
      </c>
    </row>
    <row r="306" spans="2:19" x14ac:dyDescent="0.25">
      <c r="B306">
        <v>11776</v>
      </c>
      <c r="C306" t="s">
        <v>21425</v>
      </c>
      <c r="E306">
        <v>240</v>
      </c>
      <c r="F306">
        <v>213</v>
      </c>
      <c r="G306">
        <v>225</v>
      </c>
      <c r="R306" t="s">
        <v>7181</v>
      </c>
    </row>
    <row r="307" spans="2:19" x14ac:dyDescent="0.25">
      <c r="B307">
        <v>11777</v>
      </c>
      <c r="C307" t="s">
        <v>21426</v>
      </c>
      <c r="E307">
        <v>240</v>
      </c>
      <c r="F307">
        <v>213</v>
      </c>
      <c r="G307">
        <v>225</v>
      </c>
      <c r="R307" t="s">
        <v>7183</v>
      </c>
    </row>
    <row r="308" spans="2:19" x14ac:dyDescent="0.25">
      <c r="B308">
        <v>10524</v>
      </c>
      <c r="C308" t="s">
        <v>21427</v>
      </c>
      <c r="E308">
        <v>234</v>
      </c>
      <c r="F308">
        <v>191</v>
      </c>
      <c r="G308">
        <v>176</v>
      </c>
      <c r="Q308" t="s">
        <v>5385</v>
      </c>
    </row>
    <row r="309" spans="2:19" x14ac:dyDescent="0.25">
      <c r="B309">
        <v>13111</v>
      </c>
      <c r="C309" t="s">
        <v>21428</v>
      </c>
      <c r="E309">
        <v>234</v>
      </c>
      <c r="F309">
        <v>191</v>
      </c>
      <c r="G309">
        <v>176</v>
      </c>
      <c r="R309" t="s">
        <v>8004</v>
      </c>
    </row>
    <row r="310" spans="2:19" x14ac:dyDescent="0.25">
      <c r="B310">
        <v>11762</v>
      </c>
      <c r="C310" t="s">
        <v>21429</v>
      </c>
      <c r="E310">
        <v>234</v>
      </c>
      <c r="F310">
        <v>191</v>
      </c>
      <c r="G310">
        <v>176</v>
      </c>
      <c r="R310" t="s">
        <v>7153</v>
      </c>
    </row>
    <row r="311" spans="2:19" x14ac:dyDescent="0.25">
      <c r="B311">
        <v>13110</v>
      </c>
      <c r="C311" t="s">
        <v>21430</v>
      </c>
      <c r="E311">
        <v>234</v>
      </c>
      <c r="F311">
        <v>191</v>
      </c>
      <c r="G311">
        <v>176</v>
      </c>
      <c r="R311" t="s">
        <v>8002</v>
      </c>
    </row>
    <row r="312" spans="2:19" x14ac:dyDescent="0.25">
      <c r="B312">
        <v>11763</v>
      </c>
      <c r="C312" t="s">
        <v>21431</v>
      </c>
      <c r="E312">
        <v>234</v>
      </c>
      <c r="F312">
        <v>191</v>
      </c>
      <c r="G312">
        <v>176</v>
      </c>
      <c r="S312" t="s">
        <v>7155</v>
      </c>
    </row>
    <row r="313" spans="2:19" x14ac:dyDescent="0.25">
      <c r="B313">
        <v>11764</v>
      </c>
      <c r="C313" t="s">
        <v>21432</v>
      </c>
      <c r="E313">
        <v>234</v>
      </c>
      <c r="F313">
        <v>191</v>
      </c>
      <c r="G313">
        <v>176</v>
      </c>
      <c r="S313" t="s">
        <v>7157</v>
      </c>
    </row>
    <row r="314" spans="2:19" x14ac:dyDescent="0.25">
      <c r="B314">
        <v>11765</v>
      </c>
      <c r="C314" t="s">
        <v>21433</v>
      </c>
      <c r="E314">
        <v>234</v>
      </c>
      <c r="F314">
        <v>191</v>
      </c>
      <c r="G314">
        <v>176</v>
      </c>
      <c r="S314" t="s">
        <v>7159</v>
      </c>
    </row>
    <row r="315" spans="2:19" x14ac:dyDescent="0.25">
      <c r="B315">
        <v>11783</v>
      </c>
      <c r="C315" t="s">
        <v>21434</v>
      </c>
      <c r="E315">
        <v>237</v>
      </c>
      <c r="F315">
        <v>201</v>
      </c>
      <c r="G315">
        <v>192</v>
      </c>
      <c r="Q315" t="s">
        <v>7195</v>
      </c>
    </row>
    <row r="316" spans="2:19" x14ac:dyDescent="0.25">
      <c r="B316">
        <v>11784</v>
      </c>
      <c r="C316" t="s">
        <v>21435</v>
      </c>
      <c r="E316">
        <v>237</v>
      </c>
      <c r="F316">
        <v>201</v>
      </c>
      <c r="G316">
        <v>192</v>
      </c>
      <c r="R316" t="s">
        <v>7197</v>
      </c>
    </row>
    <row r="317" spans="2:19" x14ac:dyDescent="0.25">
      <c r="B317">
        <v>11785</v>
      </c>
      <c r="C317" t="s">
        <v>21436</v>
      </c>
      <c r="E317">
        <v>237</v>
      </c>
      <c r="F317">
        <v>201</v>
      </c>
      <c r="G317">
        <v>192</v>
      </c>
      <c r="R317" t="s">
        <v>7199</v>
      </c>
    </row>
    <row r="318" spans="2:19" x14ac:dyDescent="0.25">
      <c r="B318">
        <v>11778</v>
      </c>
      <c r="C318" t="s">
        <v>21437</v>
      </c>
      <c r="E318">
        <v>239</v>
      </c>
      <c r="F318">
        <v>209</v>
      </c>
      <c r="G318">
        <v>212</v>
      </c>
      <c r="Q318" t="s">
        <v>7185</v>
      </c>
    </row>
    <row r="319" spans="2:19" x14ac:dyDescent="0.25">
      <c r="B319">
        <v>11779</v>
      </c>
      <c r="C319" t="s">
        <v>21438</v>
      </c>
      <c r="E319">
        <v>239</v>
      </c>
      <c r="F319">
        <v>209</v>
      </c>
      <c r="G319">
        <v>212</v>
      </c>
      <c r="R319" t="s">
        <v>7187</v>
      </c>
    </row>
    <row r="320" spans="2:19" x14ac:dyDescent="0.25">
      <c r="B320">
        <v>11780</v>
      </c>
      <c r="C320" t="s">
        <v>21439</v>
      </c>
      <c r="E320">
        <v>239</v>
      </c>
      <c r="F320">
        <v>209</v>
      </c>
      <c r="G320">
        <v>212</v>
      </c>
      <c r="R320" t="s">
        <v>7189</v>
      </c>
    </row>
    <row r="321" spans="2:19" x14ac:dyDescent="0.25">
      <c r="B321">
        <v>11781</v>
      </c>
      <c r="C321" t="s">
        <v>21440</v>
      </c>
      <c r="E321">
        <v>239</v>
      </c>
      <c r="F321">
        <v>209</v>
      </c>
      <c r="G321">
        <v>212</v>
      </c>
      <c r="R321" t="s">
        <v>7191</v>
      </c>
    </row>
    <row r="322" spans="2:19" x14ac:dyDescent="0.25">
      <c r="B322">
        <v>11782</v>
      </c>
      <c r="C322" t="s">
        <v>21441</v>
      </c>
      <c r="E322">
        <v>239</v>
      </c>
      <c r="F322">
        <v>209</v>
      </c>
      <c r="G322">
        <v>212</v>
      </c>
      <c r="R322" t="s">
        <v>7193</v>
      </c>
    </row>
    <row r="323" spans="2:19" x14ac:dyDescent="0.25">
      <c r="B323">
        <v>10528</v>
      </c>
      <c r="C323" t="s">
        <v>21442</v>
      </c>
      <c r="E323">
        <v>220</v>
      </c>
      <c r="F323">
        <v>208</v>
      </c>
      <c r="G323">
        <v>198</v>
      </c>
      <c r="Q323" t="s">
        <v>5393</v>
      </c>
    </row>
    <row r="324" spans="2:19" x14ac:dyDescent="0.25">
      <c r="B324">
        <v>11790</v>
      </c>
      <c r="C324" t="s">
        <v>21443</v>
      </c>
      <c r="E324">
        <v>220</v>
      </c>
      <c r="F324">
        <v>208</v>
      </c>
      <c r="G324">
        <v>198</v>
      </c>
      <c r="R324" t="s">
        <v>7209</v>
      </c>
    </row>
    <row r="325" spans="2:19" x14ac:dyDescent="0.25">
      <c r="B325">
        <v>13125</v>
      </c>
      <c r="C325" t="s">
        <v>21444</v>
      </c>
      <c r="E325">
        <v>220</v>
      </c>
      <c r="F325">
        <v>208</v>
      </c>
      <c r="G325">
        <v>198</v>
      </c>
      <c r="S325" t="s">
        <v>8032</v>
      </c>
    </row>
    <row r="326" spans="2:19" x14ac:dyDescent="0.25">
      <c r="B326">
        <v>13126</v>
      </c>
      <c r="C326" t="s">
        <v>21445</v>
      </c>
      <c r="E326">
        <v>220</v>
      </c>
      <c r="F326">
        <v>208</v>
      </c>
      <c r="G326">
        <v>198</v>
      </c>
      <c r="S326" t="s">
        <v>8034</v>
      </c>
    </row>
    <row r="327" spans="2:19" x14ac:dyDescent="0.25">
      <c r="B327">
        <v>13285</v>
      </c>
      <c r="C327" t="s">
        <v>21446</v>
      </c>
      <c r="E327">
        <v>220</v>
      </c>
      <c r="F327">
        <v>208</v>
      </c>
      <c r="G327">
        <v>198</v>
      </c>
      <c r="R327" t="s">
        <v>8068</v>
      </c>
    </row>
    <row r="328" spans="2:19" x14ac:dyDescent="0.25">
      <c r="B328">
        <v>11789</v>
      </c>
      <c r="C328" t="s">
        <v>21447</v>
      </c>
      <c r="E328">
        <v>220</v>
      </c>
      <c r="F328">
        <v>208</v>
      </c>
      <c r="G328">
        <v>198</v>
      </c>
      <c r="R328" t="s">
        <v>7207</v>
      </c>
    </row>
    <row r="329" spans="2:19" x14ac:dyDescent="0.25">
      <c r="B329">
        <v>13124</v>
      </c>
      <c r="C329" t="s">
        <v>21448</v>
      </c>
      <c r="E329">
        <v>220</v>
      </c>
      <c r="F329">
        <v>208</v>
      </c>
      <c r="G329">
        <v>198</v>
      </c>
      <c r="S329" t="s">
        <v>8030</v>
      </c>
    </row>
    <row r="330" spans="2:19" x14ac:dyDescent="0.25">
      <c r="B330">
        <v>13123</v>
      </c>
      <c r="C330" t="s">
        <v>21449</v>
      </c>
      <c r="E330">
        <v>220</v>
      </c>
      <c r="F330">
        <v>208</v>
      </c>
      <c r="G330">
        <v>198</v>
      </c>
      <c r="S330" t="s">
        <v>8028</v>
      </c>
    </row>
    <row r="331" spans="2:19" x14ac:dyDescent="0.25">
      <c r="B331">
        <v>11788</v>
      </c>
      <c r="C331" t="s">
        <v>21450</v>
      </c>
      <c r="E331">
        <v>220</v>
      </c>
      <c r="F331">
        <v>208</v>
      </c>
      <c r="G331">
        <v>198</v>
      </c>
      <c r="R331" t="s">
        <v>7205</v>
      </c>
    </row>
    <row r="332" spans="2:19" x14ac:dyDescent="0.25">
      <c r="B332">
        <v>13121</v>
      </c>
      <c r="C332" t="s">
        <v>21451</v>
      </c>
      <c r="E332">
        <v>220</v>
      </c>
      <c r="F332">
        <v>208</v>
      </c>
      <c r="G332">
        <v>198</v>
      </c>
      <c r="S332" t="s">
        <v>8024</v>
      </c>
    </row>
    <row r="333" spans="2:19" x14ac:dyDescent="0.25">
      <c r="B333">
        <v>13122</v>
      </c>
      <c r="C333" t="s">
        <v>21452</v>
      </c>
      <c r="E333">
        <v>220</v>
      </c>
      <c r="F333">
        <v>208</v>
      </c>
      <c r="G333">
        <v>198</v>
      </c>
      <c r="S333" t="s">
        <v>8026</v>
      </c>
    </row>
    <row r="334" spans="2:19" x14ac:dyDescent="0.25">
      <c r="B334">
        <v>11791</v>
      </c>
      <c r="C334" t="s">
        <v>21453</v>
      </c>
      <c r="E334">
        <v>220</v>
      </c>
      <c r="F334">
        <v>208</v>
      </c>
      <c r="G334">
        <v>198</v>
      </c>
      <c r="R334" t="s">
        <v>7211</v>
      </c>
    </row>
    <row r="335" spans="2:19" x14ac:dyDescent="0.25">
      <c r="B335">
        <v>13286</v>
      </c>
      <c r="C335" t="s">
        <v>21454</v>
      </c>
      <c r="E335">
        <v>220</v>
      </c>
      <c r="F335">
        <v>208</v>
      </c>
      <c r="G335">
        <v>198</v>
      </c>
      <c r="R335" t="s">
        <v>8070</v>
      </c>
    </row>
    <row r="336" spans="2:19" x14ac:dyDescent="0.25">
      <c r="B336">
        <v>10527</v>
      </c>
      <c r="C336" t="s">
        <v>21455</v>
      </c>
      <c r="E336">
        <v>209</v>
      </c>
      <c r="F336">
        <v>206</v>
      </c>
      <c r="G336">
        <v>226</v>
      </c>
      <c r="Q336" t="s">
        <v>5391</v>
      </c>
    </row>
    <row r="337" spans="2:19" x14ac:dyDescent="0.25">
      <c r="B337">
        <v>11786</v>
      </c>
      <c r="C337" t="s">
        <v>21456</v>
      </c>
      <c r="E337">
        <v>209</v>
      </c>
      <c r="F337">
        <v>206</v>
      </c>
      <c r="G337">
        <v>226</v>
      </c>
      <c r="R337" t="s">
        <v>7201</v>
      </c>
    </row>
    <row r="338" spans="2:19" x14ac:dyDescent="0.25">
      <c r="B338">
        <v>13117</v>
      </c>
      <c r="C338" t="s">
        <v>21457</v>
      </c>
      <c r="E338">
        <v>209</v>
      </c>
      <c r="F338">
        <v>206</v>
      </c>
      <c r="G338">
        <v>226</v>
      </c>
      <c r="S338" t="s">
        <v>8016</v>
      </c>
    </row>
    <row r="339" spans="2:19" x14ac:dyDescent="0.25">
      <c r="B339">
        <v>13118</v>
      </c>
      <c r="C339" t="s">
        <v>21458</v>
      </c>
      <c r="E339">
        <v>209</v>
      </c>
      <c r="F339">
        <v>206</v>
      </c>
      <c r="G339">
        <v>226</v>
      </c>
      <c r="S339" t="s">
        <v>8018</v>
      </c>
    </row>
    <row r="340" spans="2:19" x14ac:dyDescent="0.25">
      <c r="B340">
        <v>11787</v>
      </c>
      <c r="C340" t="s">
        <v>21459</v>
      </c>
      <c r="E340">
        <v>209</v>
      </c>
      <c r="F340">
        <v>206</v>
      </c>
      <c r="G340">
        <v>226</v>
      </c>
      <c r="R340" t="s">
        <v>7203</v>
      </c>
    </row>
    <row r="341" spans="2:19" x14ac:dyDescent="0.25">
      <c r="B341">
        <v>13119</v>
      </c>
      <c r="C341" t="s">
        <v>21460</v>
      </c>
      <c r="E341">
        <v>209</v>
      </c>
      <c r="F341">
        <v>206</v>
      </c>
      <c r="G341">
        <v>226</v>
      </c>
      <c r="S341" t="s">
        <v>8020</v>
      </c>
    </row>
    <row r="342" spans="2:19" x14ac:dyDescent="0.25">
      <c r="B342">
        <v>13120</v>
      </c>
      <c r="C342" t="s">
        <v>21461</v>
      </c>
      <c r="E342">
        <v>209</v>
      </c>
      <c r="F342">
        <v>206</v>
      </c>
      <c r="G342">
        <v>226</v>
      </c>
      <c r="S342" t="s">
        <v>8022</v>
      </c>
    </row>
    <row r="343" spans="2:19" x14ac:dyDescent="0.25">
      <c r="B343">
        <v>13287</v>
      </c>
      <c r="C343" t="s">
        <v>21462</v>
      </c>
      <c r="E343">
        <v>220</v>
      </c>
      <c r="F343">
        <v>208</v>
      </c>
      <c r="G343">
        <v>198</v>
      </c>
      <c r="R343" t="s">
        <v>8072</v>
      </c>
    </row>
    <row r="344" spans="2:19" x14ac:dyDescent="0.25">
      <c r="B344">
        <v>10529</v>
      </c>
      <c r="C344" t="s">
        <v>21463</v>
      </c>
      <c r="E344">
        <v>234</v>
      </c>
      <c r="F344">
        <v>225</v>
      </c>
      <c r="G344">
        <v>226</v>
      </c>
      <c r="P344" t="s">
        <v>1130</v>
      </c>
    </row>
    <row r="345" spans="2:19" x14ac:dyDescent="0.25">
      <c r="B345">
        <v>10530</v>
      </c>
      <c r="C345" t="s">
        <v>21464</v>
      </c>
      <c r="E345">
        <v>249</v>
      </c>
      <c r="F345">
        <v>241</v>
      </c>
      <c r="G345">
        <v>213</v>
      </c>
      <c r="Q345" t="s">
        <v>21465</v>
      </c>
    </row>
    <row r="346" spans="2:19" x14ac:dyDescent="0.25">
      <c r="B346">
        <v>11807</v>
      </c>
      <c r="C346" t="s">
        <v>21466</v>
      </c>
      <c r="E346">
        <v>249</v>
      </c>
      <c r="F346">
        <v>241</v>
      </c>
      <c r="G346">
        <v>213</v>
      </c>
      <c r="R346" t="s">
        <v>21467</v>
      </c>
    </row>
    <row r="347" spans="2:19" x14ac:dyDescent="0.25">
      <c r="B347">
        <v>11792</v>
      </c>
      <c r="C347" t="s">
        <v>21468</v>
      </c>
      <c r="E347">
        <v>249</v>
      </c>
      <c r="F347">
        <v>241</v>
      </c>
      <c r="G347">
        <v>213</v>
      </c>
      <c r="R347" t="s">
        <v>21469</v>
      </c>
    </row>
    <row r="348" spans="2:19" x14ac:dyDescent="0.25">
      <c r="B348">
        <v>11801</v>
      </c>
      <c r="C348" t="s">
        <v>21470</v>
      </c>
      <c r="E348">
        <v>249</v>
      </c>
      <c r="F348">
        <v>241</v>
      </c>
      <c r="G348">
        <v>213</v>
      </c>
      <c r="R348" t="s">
        <v>21471</v>
      </c>
    </row>
    <row r="349" spans="2:19" x14ac:dyDescent="0.25">
      <c r="B349">
        <v>11804</v>
      </c>
      <c r="C349" t="s">
        <v>21472</v>
      </c>
      <c r="E349">
        <v>249</v>
      </c>
      <c r="F349">
        <v>241</v>
      </c>
      <c r="G349">
        <v>213</v>
      </c>
      <c r="R349" t="s">
        <v>21473</v>
      </c>
    </row>
    <row r="350" spans="2:19" x14ac:dyDescent="0.25">
      <c r="B350">
        <v>11795</v>
      </c>
      <c r="C350" t="s">
        <v>21474</v>
      </c>
      <c r="E350">
        <v>239</v>
      </c>
      <c r="F350">
        <v>232</v>
      </c>
      <c r="G350">
        <v>197</v>
      </c>
      <c r="R350" t="s">
        <v>21475</v>
      </c>
    </row>
    <row r="351" spans="2:19" x14ac:dyDescent="0.25">
      <c r="B351">
        <v>11798</v>
      </c>
      <c r="C351" t="s">
        <v>21476</v>
      </c>
      <c r="E351">
        <v>255</v>
      </c>
      <c r="F351">
        <v>240</v>
      </c>
      <c r="G351">
        <v>182</v>
      </c>
      <c r="R351" t="s">
        <v>21477</v>
      </c>
    </row>
    <row r="352" spans="2:19" x14ac:dyDescent="0.25">
      <c r="B352">
        <v>10532</v>
      </c>
      <c r="C352" t="s">
        <v>21478</v>
      </c>
      <c r="E352">
        <v>240</v>
      </c>
      <c r="F352">
        <v>229</v>
      </c>
      <c r="G352">
        <v>213</v>
      </c>
      <c r="Q352" t="s">
        <v>21479</v>
      </c>
    </row>
    <row r="353" spans="2:20" x14ac:dyDescent="0.25">
      <c r="B353">
        <v>11822</v>
      </c>
      <c r="C353" t="s">
        <v>21480</v>
      </c>
      <c r="E353">
        <v>240</v>
      </c>
      <c r="F353">
        <v>221</v>
      </c>
      <c r="G353">
        <v>209</v>
      </c>
      <c r="R353" t="s">
        <v>21481</v>
      </c>
    </row>
    <row r="354" spans="2:20" x14ac:dyDescent="0.25">
      <c r="B354">
        <v>11831</v>
      </c>
      <c r="C354" t="s">
        <v>21482</v>
      </c>
      <c r="E354">
        <v>240</v>
      </c>
      <c r="F354">
        <v>229</v>
      </c>
      <c r="G354">
        <v>213</v>
      </c>
      <c r="R354" t="s">
        <v>21483</v>
      </c>
    </row>
    <row r="355" spans="2:20" x14ac:dyDescent="0.25">
      <c r="B355">
        <v>11825</v>
      </c>
      <c r="C355" t="s">
        <v>21484</v>
      </c>
      <c r="E355">
        <v>240</v>
      </c>
      <c r="F355">
        <v>229</v>
      </c>
      <c r="G355">
        <v>213</v>
      </c>
      <c r="R355" t="s">
        <v>21485</v>
      </c>
    </row>
    <row r="356" spans="2:20" x14ac:dyDescent="0.25">
      <c r="B356">
        <v>11828</v>
      </c>
      <c r="C356" t="s">
        <v>21486</v>
      </c>
      <c r="E356">
        <v>240</v>
      </c>
      <c r="F356">
        <v>229</v>
      </c>
      <c r="G356">
        <v>213</v>
      </c>
      <c r="R356" t="s">
        <v>21487</v>
      </c>
    </row>
    <row r="357" spans="2:20" x14ac:dyDescent="0.25">
      <c r="B357">
        <v>10533</v>
      </c>
      <c r="C357" t="s">
        <v>21488</v>
      </c>
      <c r="E357">
        <v>246</v>
      </c>
      <c r="F357">
        <v>232</v>
      </c>
      <c r="G357">
        <v>237</v>
      </c>
      <c r="Q357" t="s">
        <v>21489</v>
      </c>
    </row>
    <row r="358" spans="2:20" x14ac:dyDescent="0.25">
      <c r="B358">
        <v>15506</v>
      </c>
      <c r="C358" t="s">
        <v>21490</v>
      </c>
      <c r="E358">
        <v>246</v>
      </c>
      <c r="F358">
        <v>232</v>
      </c>
      <c r="G358">
        <v>237</v>
      </c>
      <c r="R358" t="s">
        <v>21491</v>
      </c>
    </row>
    <row r="359" spans="2:20" x14ac:dyDescent="0.25">
      <c r="B359">
        <v>11834</v>
      </c>
      <c r="C359" t="s">
        <v>21492</v>
      </c>
      <c r="E359">
        <v>246</v>
      </c>
      <c r="F359">
        <v>232</v>
      </c>
      <c r="G359">
        <v>237</v>
      </c>
      <c r="S359" t="s">
        <v>21493</v>
      </c>
    </row>
    <row r="360" spans="2:20" x14ac:dyDescent="0.25">
      <c r="B360">
        <v>11837</v>
      </c>
      <c r="C360" t="s">
        <v>21494</v>
      </c>
      <c r="E360">
        <v>246</v>
      </c>
      <c r="F360">
        <v>232</v>
      </c>
      <c r="G360">
        <v>237</v>
      </c>
      <c r="S360" t="s">
        <v>21495</v>
      </c>
    </row>
    <row r="361" spans="2:20" x14ac:dyDescent="0.25">
      <c r="B361">
        <v>13129</v>
      </c>
      <c r="C361" t="s">
        <v>21496</v>
      </c>
      <c r="E361">
        <v>246</v>
      </c>
      <c r="F361">
        <v>232</v>
      </c>
      <c r="G361">
        <v>237</v>
      </c>
      <c r="S361" t="s">
        <v>21497</v>
      </c>
    </row>
    <row r="362" spans="2:20" x14ac:dyDescent="0.25">
      <c r="B362">
        <v>13133</v>
      </c>
      <c r="C362" t="s">
        <v>21498</v>
      </c>
      <c r="E362">
        <v>246</v>
      </c>
      <c r="F362">
        <v>232</v>
      </c>
      <c r="G362">
        <v>237</v>
      </c>
      <c r="S362" t="s">
        <v>21499</v>
      </c>
    </row>
    <row r="363" spans="2:20" x14ac:dyDescent="0.25">
      <c r="B363">
        <v>15507</v>
      </c>
      <c r="C363" t="s">
        <v>21500</v>
      </c>
      <c r="E363">
        <v>246</v>
      </c>
      <c r="F363">
        <v>232</v>
      </c>
      <c r="G363">
        <v>237</v>
      </c>
      <c r="R363" t="s">
        <v>21501</v>
      </c>
    </row>
    <row r="364" spans="2:20" x14ac:dyDescent="0.25">
      <c r="B364">
        <v>13130</v>
      </c>
      <c r="C364" t="s">
        <v>21502</v>
      </c>
      <c r="E364">
        <v>246</v>
      </c>
      <c r="F364">
        <v>232</v>
      </c>
      <c r="G364">
        <v>237</v>
      </c>
      <c r="S364" t="s">
        <v>21503</v>
      </c>
    </row>
    <row r="365" spans="2:20" x14ac:dyDescent="0.25">
      <c r="B365">
        <v>11840</v>
      </c>
      <c r="C365" t="s">
        <v>21504</v>
      </c>
      <c r="E365">
        <v>246</v>
      </c>
      <c r="F365">
        <v>232</v>
      </c>
      <c r="G365">
        <v>237</v>
      </c>
      <c r="S365" t="s">
        <v>21505</v>
      </c>
    </row>
    <row r="366" spans="2:20" x14ac:dyDescent="0.25">
      <c r="B366">
        <v>11843</v>
      </c>
      <c r="C366" t="s">
        <v>21506</v>
      </c>
      <c r="E366">
        <v>246</v>
      </c>
      <c r="F366">
        <v>232</v>
      </c>
      <c r="G366">
        <v>237</v>
      </c>
      <c r="S366" t="s">
        <v>21507</v>
      </c>
    </row>
    <row r="367" spans="2:20" x14ac:dyDescent="0.25">
      <c r="B367">
        <v>13131</v>
      </c>
      <c r="C367" t="s">
        <v>21508</v>
      </c>
      <c r="E367">
        <v>246</v>
      </c>
      <c r="F367">
        <v>232</v>
      </c>
      <c r="G367">
        <v>237</v>
      </c>
      <c r="T367" t="s">
        <v>21509</v>
      </c>
    </row>
    <row r="368" spans="2:20" x14ac:dyDescent="0.25">
      <c r="B368">
        <v>13132</v>
      </c>
      <c r="C368" t="s">
        <v>21510</v>
      </c>
      <c r="E368">
        <v>246</v>
      </c>
      <c r="F368">
        <v>232</v>
      </c>
      <c r="G368">
        <v>237</v>
      </c>
      <c r="T368" t="s">
        <v>21511</v>
      </c>
    </row>
    <row r="369" spans="2:19" x14ac:dyDescent="0.25">
      <c r="B369">
        <v>11846</v>
      </c>
      <c r="C369" t="s">
        <v>21512</v>
      </c>
      <c r="E369">
        <v>246</v>
      </c>
      <c r="F369">
        <v>232</v>
      </c>
      <c r="G369">
        <v>237</v>
      </c>
      <c r="R369" t="s">
        <v>21513</v>
      </c>
    </row>
    <row r="370" spans="2:19" x14ac:dyDescent="0.25">
      <c r="B370">
        <v>11849</v>
      </c>
      <c r="C370" t="s">
        <v>21514</v>
      </c>
      <c r="E370">
        <v>246</v>
      </c>
      <c r="F370">
        <v>232</v>
      </c>
      <c r="G370">
        <v>237</v>
      </c>
      <c r="R370" t="s">
        <v>21515</v>
      </c>
    </row>
    <row r="371" spans="2:19" x14ac:dyDescent="0.25">
      <c r="B371">
        <v>11852</v>
      </c>
      <c r="C371" t="s">
        <v>21516</v>
      </c>
      <c r="E371">
        <v>246</v>
      </c>
      <c r="F371">
        <v>232</v>
      </c>
      <c r="G371">
        <v>237</v>
      </c>
      <c r="R371" t="s">
        <v>21517</v>
      </c>
    </row>
    <row r="372" spans="2:19" x14ac:dyDescent="0.25">
      <c r="B372">
        <v>11855</v>
      </c>
      <c r="C372" t="s">
        <v>21518</v>
      </c>
      <c r="E372">
        <v>246</v>
      </c>
      <c r="F372">
        <v>232</v>
      </c>
      <c r="G372">
        <v>237</v>
      </c>
      <c r="R372" t="s">
        <v>21519</v>
      </c>
    </row>
    <row r="373" spans="2:19" x14ac:dyDescent="0.25">
      <c r="B373">
        <v>10531</v>
      </c>
      <c r="C373" t="s">
        <v>21520</v>
      </c>
      <c r="E373">
        <v>238</v>
      </c>
      <c r="F373">
        <v>210</v>
      </c>
      <c r="G373">
        <v>199</v>
      </c>
      <c r="Q373" t="s">
        <v>21521</v>
      </c>
    </row>
    <row r="374" spans="2:19" x14ac:dyDescent="0.25">
      <c r="B374">
        <v>13128</v>
      </c>
      <c r="C374" t="s">
        <v>21522</v>
      </c>
      <c r="E374">
        <v>238</v>
      </c>
      <c r="F374">
        <v>210</v>
      </c>
      <c r="G374">
        <v>199</v>
      </c>
      <c r="R374" t="s">
        <v>21523</v>
      </c>
    </row>
    <row r="375" spans="2:19" x14ac:dyDescent="0.25">
      <c r="B375">
        <v>11810</v>
      </c>
      <c r="C375" t="s">
        <v>21524</v>
      </c>
      <c r="E375">
        <v>238</v>
      </c>
      <c r="F375">
        <v>210</v>
      </c>
      <c r="G375">
        <v>199</v>
      </c>
      <c r="R375" t="s">
        <v>21525</v>
      </c>
    </row>
    <row r="376" spans="2:19" x14ac:dyDescent="0.25">
      <c r="B376">
        <v>13127</v>
      </c>
      <c r="C376" t="s">
        <v>21526</v>
      </c>
      <c r="E376">
        <v>238</v>
      </c>
      <c r="F376">
        <v>210</v>
      </c>
      <c r="G376">
        <v>199</v>
      </c>
      <c r="R376" t="s">
        <v>21527</v>
      </c>
    </row>
    <row r="377" spans="2:19" x14ac:dyDescent="0.25">
      <c r="B377">
        <v>11813</v>
      </c>
      <c r="C377" t="s">
        <v>21528</v>
      </c>
      <c r="E377">
        <v>238</v>
      </c>
      <c r="F377">
        <v>210</v>
      </c>
      <c r="G377">
        <v>199</v>
      </c>
      <c r="S377" t="s">
        <v>21529</v>
      </c>
    </row>
    <row r="378" spans="2:19" x14ac:dyDescent="0.25">
      <c r="B378">
        <v>11816</v>
      </c>
      <c r="C378" t="s">
        <v>21530</v>
      </c>
      <c r="E378">
        <v>238</v>
      </c>
      <c r="F378">
        <v>210</v>
      </c>
      <c r="G378">
        <v>199</v>
      </c>
      <c r="S378" t="s">
        <v>21531</v>
      </c>
    </row>
    <row r="379" spans="2:19" x14ac:dyDescent="0.25">
      <c r="B379">
        <v>11819</v>
      </c>
      <c r="C379" t="s">
        <v>21532</v>
      </c>
      <c r="E379">
        <v>238</v>
      </c>
      <c r="F379">
        <v>210</v>
      </c>
      <c r="G379">
        <v>199</v>
      </c>
      <c r="S379" t="s">
        <v>21533</v>
      </c>
    </row>
    <row r="380" spans="2:19" x14ac:dyDescent="0.25">
      <c r="B380">
        <v>11871</v>
      </c>
      <c r="C380" t="s">
        <v>21534</v>
      </c>
      <c r="E380">
        <v>240</v>
      </c>
      <c r="F380">
        <v>216</v>
      </c>
      <c r="G380">
        <v>208</v>
      </c>
      <c r="Q380" t="s">
        <v>21535</v>
      </c>
    </row>
    <row r="381" spans="2:19" x14ac:dyDescent="0.25">
      <c r="B381">
        <v>11872</v>
      </c>
      <c r="C381" t="s">
        <v>21536</v>
      </c>
      <c r="E381">
        <v>240</v>
      </c>
      <c r="F381">
        <v>216</v>
      </c>
      <c r="G381">
        <v>208</v>
      </c>
      <c r="R381" t="s">
        <v>21537</v>
      </c>
    </row>
    <row r="382" spans="2:19" x14ac:dyDescent="0.25">
      <c r="B382">
        <v>11873</v>
      </c>
      <c r="C382" t="s">
        <v>21538</v>
      </c>
      <c r="E382">
        <v>240</v>
      </c>
      <c r="F382">
        <v>216</v>
      </c>
      <c r="G382">
        <v>208</v>
      </c>
      <c r="R382" t="s">
        <v>21539</v>
      </c>
    </row>
    <row r="383" spans="2:19" x14ac:dyDescent="0.25">
      <c r="B383">
        <v>11858</v>
      </c>
      <c r="C383" t="s">
        <v>21540</v>
      </c>
      <c r="E383">
        <v>242</v>
      </c>
      <c r="F383">
        <v>228</v>
      </c>
      <c r="G383">
        <v>230</v>
      </c>
      <c r="Q383" t="s">
        <v>21541</v>
      </c>
    </row>
    <row r="384" spans="2:19" x14ac:dyDescent="0.25">
      <c r="B384">
        <v>11859</v>
      </c>
      <c r="C384" t="s">
        <v>21542</v>
      </c>
      <c r="E384">
        <v>242</v>
      </c>
      <c r="F384">
        <v>228</v>
      </c>
      <c r="G384">
        <v>230</v>
      </c>
      <c r="R384" t="s">
        <v>21543</v>
      </c>
    </row>
    <row r="385" spans="2:19" x14ac:dyDescent="0.25">
      <c r="B385">
        <v>11862</v>
      </c>
      <c r="C385" t="s">
        <v>21544</v>
      </c>
      <c r="E385">
        <v>242</v>
      </c>
      <c r="F385">
        <v>228</v>
      </c>
      <c r="G385">
        <v>230</v>
      </c>
      <c r="R385" t="s">
        <v>21545</v>
      </c>
    </row>
    <row r="386" spans="2:19" x14ac:dyDescent="0.25">
      <c r="B386">
        <v>11865</v>
      </c>
      <c r="C386" t="s">
        <v>21546</v>
      </c>
      <c r="E386">
        <v>242</v>
      </c>
      <c r="F386">
        <v>228</v>
      </c>
      <c r="G386">
        <v>230</v>
      </c>
      <c r="R386" t="s">
        <v>21547</v>
      </c>
    </row>
    <row r="387" spans="2:19" x14ac:dyDescent="0.25">
      <c r="B387">
        <v>11868</v>
      </c>
      <c r="C387" t="s">
        <v>21548</v>
      </c>
      <c r="E387">
        <v>242</v>
      </c>
      <c r="F387">
        <v>228</v>
      </c>
      <c r="G387">
        <v>230</v>
      </c>
      <c r="R387" t="s">
        <v>21549</v>
      </c>
    </row>
    <row r="388" spans="2:19" x14ac:dyDescent="0.25">
      <c r="B388">
        <v>10535</v>
      </c>
      <c r="C388" t="s">
        <v>21550</v>
      </c>
      <c r="E388">
        <v>231</v>
      </c>
      <c r="F388">
        <v>220</v>
      </c>
      <c r="G388">
        <v>210</v>
      </c>
      <c r="Q388" t="s">
        <v>21551</v>
      </c>
    </row>
    <row r="389" spans="2:19" x14ac:dyDescent="0.25">
      <c r="B389">
        <v>11878</v>
      </c>
      <c r="C389" t="s">
        <v>21552</v>
      </c>
      <c r="E389">
        <v>231</v>
      </c>
      <c r="F389">
        <v>220</v>
      </c>
      <c r="G389">
        <v>210</v>
      </c>
      <c r="R389" t="s">
        <v>21553</v>
      </c>
    </row>
    <row r="390" spans="2:19" x14ac:dyDescent="0.25">
      <c r="B390">
        <v>13142</v>
      </c>
      <c r="C390" t="s">
        <v>21554</v>
      </c>
      <c r="E390">
        <v>231</v>
      </c>
      <c r="F390">
        <v>220</v>
      </c>
      <c r="G390">
        <v>210</v>
      </c>
      <c r="S390" t="s">
        <v>21555</v>
      </c>
    </row>
    <row r="391" spans="2:19" x14ac:dyDescent="0.25">
      <c r="B391">
        <v>13143</v>
      </c>
      <c r="C391" t="s">
        <v>21556</v>
      </c>
      <c r="E391">
        <v>231</v>
      </c>
      <c r="F391">
        <v>220</v>
      </c>
      <c r="G391">
        <v>210</v>
      </c>
      <c r="S391" t="s">
        <v>21557</v>
      </c>
    </row>
    <row r="392" spans="2:19" x14ac:dyDescent="0.25">
      <c r="B392">
        <v>11877</v>
      </c>
      <c r="C392" t="s">
        <v>21558</v>
      </c>
      <c r="E392">
        <v>231</v>
      </c>
      <c r="F392">
        <v>220</v>
      </c>
      <c r="G392">
        <v>210</v>
      </c>
      <c r="R392" t="s">
        <v>21559</v>
      </c>
    </row>
    <row r="393" spans="2:19" x14ac:dyDescent="0.25">
      <c r="B393">
        <v>13141</v>
      </c>
      <c r="C393" t="s">
        <v>21560</v>
      </c>
      <c r="E393">
        <v>231</v>
      </c>
      <c r="F393">
        <v>220</v>
      </c>
      <c r="G393">
        <v>210</v>
      </c>
      <c r="S393" t="s">
        <v>21561</v>
      </c>
    </row>
    <row r="394" spans="2:19" x14ac:dyDescent="0.25">
      <c r="B394">
        <v>13140</v>
      </c>
      <c r="C394" t="s">
        <v>21562</v>
      </c>
      <c r="E394">
        <v>231</v>
      </c>
      <c r="F394">
        <v>220</v>
      </c>
      <c r="G394">
        <v>210</v>
      </c>
      <c r="S394" t="s">
        <v>21563</v>
      </c>
    </row>
    <row r="395" spans="2:19" x14ac:dyDescent="0.25">
      <c r="B395">
        <v>11876</v>
      </c>
      <c r="C395" t="s">
        <v>21564</v>
      </c>
      <c r="E395">
        <v>231</v>
      </c>
      <c r="F395">
        <v>220</v>
      </c>
      <c r="G395">
        <v>210</v>
      </c>
      <c r="R395" t="s">
        <v>21565</v>
      </c>
    </row>
    <row r="396" spans="2:19" x14ac:dyDescent="0.25">
      <c r="B396">
        <v>13138</v>
      </c>
      <c r="C396" t="s">
        <v>21566</v>
      </c>
      <c r="E396">
        <v>231</v>
      </c>
      <c r="F396">
        <v>220</v>
      </c>
      <c r="G396">
        <v>210</v>
      </c>
      <c r="S396" t="s">
        <v>21567</v>
      </c>
    </row>
    <row r="397" spans="2:19" x14ac:dyDescent="0.25">
      <c r="B397">
        <v>13139</v>
      </c>
      <c r="C397" t="s">
        <v>21568</v>
      </c>
      <c r="E397">
        <v>231</v>
      </c>
      <c r="F397">
        <v>220</v>
      </c>
      <c r="G397">
        <v>210</v>
      </c>
      <c r="S397" t="s">
        <v>21569</v>
      </c>
    </row>
    <row r="398" spans="2:19" x14ac:dyDescent="0.25">
      <c r="B398">
        <v>11879</v>
      </c>
      <c r="C398" t="s">
        <v>21570</v>
      </c>
      <c r="E398">
        <v>231</v>
      </c>
      <c r="F398">
        <v>220</v>
      </c>
      <c r="G398">
        <v>210</v>
      </c>
      <c r="R398" t="s">
        <v>21571</v>
      </c>
    </row>
    <row r="399" spans="2:19" x14ac:dyDescent="0.25">
      <c r="B399">
        <v>10534</v>
      </c>
      <c r="C399" t="s">
        <v>21572</v>
      </c>
      <c r="E399">
        <v>230</v>
      </c>
      <c r="F399">
        <v>230</v>
      </c>
      <c r="G399">
        <v>236</v>
      </c>
      <c r="Q399" t="s">
        <v>21573</v>
      </c>
    </row>
    <row r="400" spans="2:19" x14ac:dyDescent="0.25">
      <c r="B400">
        <v>11874</v>
      </c>
      <c r="C400" t="s">
        <v>21574</v>
      </c>
      <c r="E400">
        <v>230</v>
      </c>
      <c r="F400">
        <v>230</v>
      </c>
      <c r="G400">
        <v>236</v>
      </c>
      <c r="R400" t="s">
        <v>21575</v>
      </c>
    </row>
    <row r="401" spans="2:20" x14ac:dyDescent="0.25">
      <c r="B401">
        <v>13134</v>
      </c>
      <c r="C401" t="s">
        <v>21576</v>
      </c>
      <c r="E401">
        <v>230</v>
      </c>
      <c r="F401">
        <v>230</v>
      </c>
      <c r="G401">
        <v>236</v>
      </c>
      <c r="S401" t="s">
        <v>21577</v>
      </c>
    </row>
    <row r="402" spans="2:20" x14ac:dyDescent="0.25">
      <c r="B402">
        <v>13135</v>
      </c>
      <c r="C402" t="s">
        <v>21578</v>
      </c>
      <c r="E402">
        <v>230</v>
      </c>
      <c r="F402">
        <v>230</v>
      </c>
      <c r="G402">
        <v>236</v>
      </c>
      <c r="S402" t="s">
        <v>21579</v>
      </c>
    </row>
    <row r="403" spans="2:20" x14ac:dyDescent="0.25">
      <c r="B403">
        <v>11875</v>
      </c>
      <c r="C403" t="s">
        <v>21580</v>
      </c>
      <c r="E403">
        <v>230</v>
      </c>
      <c r="F403">
        <v>230</v>
      </c>
      <c r="G403">
        <v>236</v>
      </c>
      <c r="R403" t="s">
        <v>21581</v>
      </c>
    </row>
    <row r="404" spans="2:20" x14ac:dyDescent="0.25">
      <c r="B404">
        <v>13136</v>
      </c>
      <c r="C404" t="s">
        <v>21582</v>
      </c>
      <c r="E404">
        <v>230</v>
      </c>
      <c r="F404">
        <v>230</v>
      </c>
      <c r="G404">
        <v>236</v>
      </c>
      <c r="S404" t="s">
        <v>21583</v>
      </c>
    </row>
    <row r="405" spans="2:20" x14ac:dyDescent="0.25">
      <c r="B405">
        <v>13137</v>
      </c>
      <c r="C405" t="s">
        <v>21584</v>
      </c>
      <c r="E405">
        <v>230</v>
      </c>
      <c r="F405">
        <v>230</v>
      </c>
      <c r="G405">
        <v>236</v>
      </c>
      <c r="S405" t="s">
        <v>21585</v>
      </c>
    </row>
    <row r="406" spans="2:20" x14ac:dyDescent="0.25">
      <c r="B406">
        <v>10536</v>
      </c>
      <c r="C406" t="s">
        <v>21586</v>
      </c>
      <c r="E406">
        <v>198</v>
      </c>
      <c r="F406">
        <v>178</v>
      </c>
      <c r="G406">
        <v>177</v>
      </c>
      <c r="P406" t="s">
        <v>1188</v>
      </c>
    </row>
    <row r="407" spans="2:20" x14ac:dyDescent="0.25">
      <c r="B407">
        <v>10537</v>
      </c>
      <c r="C407" t="s">
        <v>21587</v>
      </c>
      <c r="E407">
        <v>234</v>
      </c>
      <c r="F407">
        <v>209</v>
      </c>
      <c r="G407">
        <v>128</v>
      </c>
      <c r="Q407" t="s">
        <v>21588</v>
      </c>
    </row>
    <row r="408" spans="2:20" x14ac:dyDescent="0.25">
      <c r="B408">
        <v>11905</v>
      </c>
      <c r="C408" t="s">
        <v>21589</v>
      </c>
      <c r="E408">
        <v>234</v>
      </c>
      <c r="F408">
        <v>209</v>
      </c>
      <c r="G408">
        <v>128</v>
      </c>
      <c r="R408" t="s">
        <v>21590</v>
      </c>
    </row>
    <row r="409" spans="2:20" x14ac:dyDescent="0.25">
      <c r="B409">
        <v>11906</v>
      </c>
      <c r="C409" t="s">
        <v>21591</v>
      </c>
      <c r="E409">
        <v>234</v>
      </c>
      <c r="F409">
        <v>209</v>
      </c>
      <c r="G409">
        <v>128</v>
      </c>
      <c r="S409" t="s">
        <v>21592</v>
      </c>
    </row>
    <row r="410" spans="2:20" x14ac:dyDescent="0.25">
      <c r="B410">
        <v>11907</v>
      </c>
      <c r="C410" t="s">
        <v>21593</v>
      </c>
      <c r="E410">
        <v>228</v>
      </c>
      <c r="F410">
        <v>200</v>
      </c>
      <c r="G410">
        <v>107</v>
      </c>
      <c r="S410" t="s">
        <v>21594</v>
      </c>
    </row>
    <row r="411" spans="2:20" x14ac:dyDescent="0.25">
      <c r="B411">
        <v>11880</v>
      </c>
      <c r="C411" t="s">
        <v>21595</v>
      </c>
      <c r="E411">
        <v>234</v>
      </c>
      <c r="F411">
        <v>209</v>
      </c>
      <c r="G411">
        <v>128</v>
      </c>
      <c r="R411" t="s">
        <v>21596</v>
      </c>
    </row>
    <row r="412" spans="2:20" x14ac:dyDescent="0.25">
      <c r="B412">
        <v>11881</v>
      </c>
      <c r="C412" t="s">
        <v>21597</v>
      </c>
      <c r="E412">
        <v>234</v>
      </c>
      <c r="F412">
        <v>209</v>
      </c>
      <c r="G412">
        <v>128</v>
      </c>
      <c r="S412" t="s">
        <v>21598</v>
      </c>
    </row>
    <row r="413" spans="2:20" x14ac:dyDescent="0.25">
      <c r="B413">
        <v>11882</v>
      </c>
      <c r="C413" t="s">
        <v>21599</v>
      </c>
      <c r="E413">
        <v>234</v>
      </c>
      <c r="F413">
        <v>209</v>
      </c>
      <c r="G413">
        <v>128</v>
      </c>
      <c r="T413" t="s">
        <v>21600</v>
      </c>
    </row>
    <row r="414" spans="2:20" x14ac:dyDescent="0.25">
      <c r="B414">
        <v>11883</v>
      </c>
      <c r="C414" t="s">
        <v>21601</v>
      </c>
      <c r="E414">
        <v>228</v>
      </c>
      <c r="F414">
        <v>200</v>
      </c>
      <c r="G414">
        <v>107</v>
      </c>
      <c r="S414" t="s">
        <v>21602</v>
      </c>
    </row>
    <row r="415" spans="2:20" x14ac:dyDescent="0.25">
      <c r="B415">
        <v>11884</v>
      </c>
      <c r="C415" t="s">
        <v>21603</v>
      </c>
      <c r="E415">
        <v>228</v>
      </c>
      <c r="F415">
        <v>200</v>
      </c>
      <c r="G415">
        <v>107</v>
      </c>
      <c r="T415" t="s">
        <v>21604</v>
      </c>
    </row>
    <row r="416" spans="2:20" x14ac:dyDescent="0.25">
      <c r="B416">
        <v>11895</v>
      </c>
      <c r="C416" t="s">
        <v>21605</v>
      </c>
      <c r="E416">
        <v>234</v>
      </c>
      <c r="F416">
        <v>209</v>
      </c>
      <c r="G416">
        <v>128</v>
      </c>
      <c r="R416" t="s">
        <v>21606</v>
      </c>
    </row>
    <row r="417" spans="2:20" x14ac:dyDescent="0.25">
      <c r="B417">
        <v>11896</v>
      </c>
      <c r="C417" t="s">
        <v>21607</v>
      </c>
      <c r="E417">
        <v>234</v>
      </c>
      <c r="F417">
        <v>209</v>
      </c>
      <c r="G417">
        <v>128</v>
      </c>
      <c r="S417" t="s">
        <v>21608</v>
      </c>
    </row>
    <row r="418" spans="2:20" x14ac:dyDescent="0.25">
      <c r="B418">
        <v>11897</v>
      </c>
      <c r="C418" t="s">
        <v>21609</v>
      </c>
      <c r="E418">
        <v>234</v>
      </c>
      <c r="F418">
        <v>209</v>
      </c>
      <c r="G418">
        <v>128</v>
      </c>
      <c r="T418" t="s">
        <v>21610</v>
      </c>
    </row>
    <row r="419" spans="2:20" x14ac:dyDescent="0.25">
      <c r="B419">
        <v>11898</v>
      </c>
      <c r="C419" t="s">
        <v>21611</v>
      </c>
      <c r="E419">
        <v>228</v>
      </c>
      <c r="F419">
        <v>200</v>
      </c>
      <c r="G419">
        <v>107</v>
      </c>
      <c r="S419" t="s">
        <v>21612</v>
      </c>
    </row>
    <row r="420" spans="2:20" x14ac:dyDescent="0.25">
      <c r="B420">
        <v>11899</v>
      </c>
      <c r="C420" t="s">
        <v>21613</v>
      </c>
      <c r="E420">
        <v>228</v>
      </c>
      <c r="F420">
        <v>200</v>
      </c>
      <c r="G420">
        <v>107</v>
      </c>
      <c r="T420" t="s">
        <v>21614</v>
      </c>
    </row>
    <row r="421" spans="2:20" x14ac:dyDescent="0.25">
      <c r="B421">
        <v>11900</v>
      </c>
      <c r="C421" t="s">
        <v>21615</v>
      </c>
      <c r="E421">
        <v>234</v>
      </c>
      <c r="F421">
        <v>209</v>
      </c>
      <c r="G421">
        <v>128</v>
      </c>
      <c r="R421" t="s">
        <v>21616</v>
      </c>
    </row>
    <row r="422" spans="2:20" x14ac:dyDescent="0.25">
      <c r="B422">
        <v>11901</v>
      </c>
      <c r="C422" t="s">
        <v>21617</v>
      </c>
      <c r="E422">
        <v>234</v>
      </c>
      <c r="F422">
        <v>209</v>
      </c>
      <c r="G422">
        <v>128</v>
      </c>
      <c r="S422" t="s">
        <v>21618</v>
      </c>
    </row>
    <row r="423" spans="2:20" x14ac:dyDescent="0.25">
      <c r="B423">
        <v>11902</v>
      </c>
      <c r="C423" t="s">
        <v>21619</v>
      </c>
      <c r="E423">
        <v>234</v>
      </c>
      <c r="F423">
        <v>209</v>
      </c>
      <c r="G423">
        <v>128</v>
      </c>
      <c r="T423" t="s">
        <v>21620</v>
      </c>
    </row>
    <row r="424" spans="2:20" x14ac:dyDescent="0.25">
      <c r="B424">
        <v>11903</v>
      </c>
      <c r="C424" t="s">
        <v>21621</v>
      </c>
      <c r="E424">
        <v>228</v>
      </c>
      <c r="F424">
        <v>200</v>
      </c>
      <c r="G424">
        <v>107</v>
      </c>
      <c r="S424" t="s">
        <v>21622</v>
      </c>
    </row>
    <row r="425" spans="2:20" x14ac:dyDescent="0.25">
      <c r="B425">
        <v>11904</v>
      </c>
      <c r="C425" t="s">
        <v>21623</v>
      </c>
      <c r="E425">
        <v>228</v>
      </c>
      <c r="F425">
        <v>200</v>
      </c>
      <c r="G425">
        <v>107</v>
      </c>
      <c r="T425" t="s">
        <v>21624</v>
      </c>
    </row>
    <row r="426" spans="2:20" x14ac:dyDescent="0.25">
      <c r="B426">
        <v>11885</v>
      </c>
      <c r="C426" t="s">
        <v>21625</v>
      </c>
      <c r="E426">
        <v>226</v>
      </c>
      <c r="F426">
        <v>212</v>
      </c>
      <c r="G426">
        <v>167</v>
      </c>
      <c r="R426" t="s">
        <v>21626</v>
      </c>
    </row>
    <row r="427" spans="2:20" x14ac:dyDescent="0.25">
      <c r="B427">
        <v>11886</v>
      </c>
      <c r="C427" t="s">
        <v>21627</v>
      </c>
      <c r="E427">
        <v>226</v>
      </c>
      <c r="F427">
        <v>212</v>
      </c>
      <c r="G427">
        <v>167</v>
      </c>
      <c r="S427" t="s">
        <v>21628</v>
      </c>
    </row>
    <row r="428" spans="2:20" x14ac:dyDescent="0.25">
      <c r="B428">
        <v>11887</v>
      </c>
      <c r="C428" t="s">
        <v>21629</v>
      </c>
      <c r="E428">
        <v>226</v>
      </c>
      <c r="F428">
        <v>212</v>
      </c>
      <c r="G428">
        <v>167</v>
      </c>
      <c r="T428" t="s">
        <v>21630</v>
      </c>
    </row>
    <row r="429" spans="2:20" x14ac:dyDescent="0.25">
      <c r="B429">
        <v>11888</v>
      </c>
      <c r="C429" t="s">
        <v>21631</v>
      </c>
      <c r="E429">
        <v>213</v>
      </c>
      <c r="F429">
        <v>198</v>
      </c>
      <c r="G429">
        <v>153</v>
      </c>
      <c r="S429" t="s">
        <v>21632</v>
      </c>
    </row>
    <row r="430" spans="2:20" x14ac:dyDescent="0.25">
      <c r="B430">
        <v>11889</v>
      </c>
      <c r="C430" t="s">
        <v>21633</v>
      </c>
      <c r="E430">
        <v>213</v>
      </c>
      <c r="F430">
        <v>198</v>
      </c>
      <c r="G430">
        <v>153</v>
      </c>
      <c r="T430" t="s">
        <v>21634</v>
      </c>
    </row>
    <row r="431" spans="2:20" x14ac:dyDescent="0.25">
      <c r="B431">
        <v>11890</v>
      </c>
      <c r="C431" t="s">
        <v>21635</v>
      </c>
      <c r="E431">
        <v>252</v>
      </c>
      <c r="F431">
        <v>225</v>
      </c>
      <c r="G431">
        <v>122</v>
      </c>
      <c r="R431" t="s">
        <v>21636</v>
      </c>
    </row>
    <row r="432" spans="2:20" x14ac:dyDescent="0.25">
      <c r="B432">
        <v>11891</v>
      </c>
      <c r="C432" t="s">
        <v>21637</v>
      </c>
      <c r="E432">
        <v>252</v>
      </c>
      <c r="F432">
        <v>225</v>
      </c>
      <c r="G432">
        <v>122</v>
      </c>
      <c r="S432" t="s">
        <v>21638</v>
      </c>
    </row>
    <row r="433" spans="2:20" x14ac:dyDescent="0.25">
      <c r="B433">
        <v>11892</v>
      </c>
      <c r="C433" t="s">
        <v>21639</v>
      </c>
      <c r="E433">
        <v>252</v>
      </c>
      <c r="F433">
        <v>225</v>
      </c>
      <c r="G433">
        <v>122</v>
      </c>
      <c r="T433" t="s">
        <v>21640</v>
      </c>
    </row>
    <row r="434" spans="2:20" x14ac:dyDescent="0.25">
      <c r="B434">
        <v>11893</v>
      </c>
      <c r="C434" t="s">
        <v>21641</v>
      </c>
      <c r="E434">
        <v>255</v>
      </c>
      <c r="F434">
        <v>225</v>
      </c>
      <c r="G434">
        <v>104</v>
      </c>
      <c r="S434" t="s">
        <v>21642</v>
      </c>
    </row>
    <row r="435" spans="2:20" x14ac:dyDescent="0.25">
      <c r="B435">
        <v>11894</v>
      </c>
      <c r="C435" t="s">
        <v>21643</v>
      </c>
      <c r="E435">
        <v>255</v>
      </c>
      <c r="F435">
        <v>225</v>
      </c>
      <c r="G435">
        <v>104</v>
      </c>
      <c r="T435" t="s">
        <v>21644</v>
      </c>
    </row>
    <row r="436" spans="2:20" x14ac:dyDescent="0.25">
      <c r="B436">
        <v>10539</v>
      </c>
      <c r="C436" t="s">
        <v>21645</v>
      </c>
      <c r="E436">
        <v>234</v>
      </c>
      <c r="F436">
        <v>184</v>
      </c>
      <c r="G436">
        <v>123</v>
      </c>
      <c r="Q436" t="s">
        <v>21646</v>
      </c>
    </row>
    <row r="437" spans="2:20" x14ac:dyDescent="0.25">
      <c r="B437">
        <v>11928</v>
      </c>
      <c r="C437" t="s">
        <v>21647</v>
      </c>
      <c r="E437">
        <v>239</v>
      </c>
      <c r="F437">
        <v>206</v>
      </c>
      <c r="G437">
        <v>182</v>
      </c>
      <c r="R437" t="s">
        <v>21648</v>
      </c>
    </row>
    <row r="438" spans="2:20" x14ac:dyDescent="0.25">
      <c r="B438">
        <v>11929</v>
      </c>
      <c r="C438" t="s">
        <v>21649</v>
      </c>
      <c r="E438">
        <v>239</v>
      </c>
      <c r="F438">
        <v>206</v>
      </c>
      <c r="G438">
        <v>182</v>
      </c>
      <c r="S438" t="s">
        <v>21650</v>
      </c>
    </row>
    <row r="439" spans="2:20" x14ac:dyDescent="0.25">
      <c r="B439">
        <v>11930</v>
      </c>
      <c r="C439" t="s">
        <v>21651</v>
      </c>
      <c r="E439">
        <v>239</v>
      </c>
      <c r="F439">
        <v>206</v>
      </c>
      <c r="G439">
        <v>182</v>
      </c>
      <c r="T439" t="s">
        <v>21652</v>
      </c>
    </row>
    <row r="440" spans="2:20" x14ac:dyDescent="0.25">
      <c r="B440">
        <v>11931</v>
      </c>
      <c r="C440" t="s">
        <v>21653</v>
      </c>
      <c r="E440">
        <v>238</v>
      </c>
      <c r="F440">
        <v>191</v>
      </c>
      <c r="G440">
        <v>154</v>
      </c>
      <c r="S440" t="s">
        <v>21654</v>
      </c>
    </row>
    <row r="441" spans="2:20" x14ac:dyDescent="0.25">
      <c r="B441">
        <v>11932</v>
      </c>
      <c r="C441" t="s">
        <v>21655</v>
      </c>
      <c r="E441">
        <v>238</v>
      </c>
      <c r="F441">
        <v>191</v>
      </c>
      <c r="G441">
        <v>154</v>
      </c>
      <c r="T441" t="s">
        <v>21656</v>
      </c>
    </row>
    <row r="442" spans="2:20" x14ac:dyDescent="0.25">
      <c r="B442">
        <v>11943</v>
      </c>
      <c r="C442" t="s">
        <v>21657</v>
      </c>
      <c r="E442">
        <v>234</v>
      </c>
      <c r="F442">
        <v>184</v>
      </c>
      <c r="G442">
        <v>123</v>
      </c>
      <c r="R442" t="s">
        <v>21658</v>
      </c>
    </row>
    <row r="443" spans="2:20" x14ac:dyDescent="0.25">
      <c r="B443">
        <v>11944</v>
      </c>
      <c r="C443" t="s">
        <v>21659</v>
      </c>
      <c r="E443">
        <v>234</v>
      </c>
      <c r="F443">
        <v>184</v>
      </c>
      <c r="G443">
        <v>123</v>
      </c>
      <c r="S443" t="s">
        <v>21660</v>
      </c>
    </row>
    <row r="444" spans="2:20" x14ac:dyDescent="0.25">
      <c r="B444">
        <v>11946</v>
      </c>
      <c r="C444" t="s">
        <v>21661</v>
      </c>
      <c r="E444">
        <v>232</v>
      </c>
      <c r="F444">
        <v>175</v>
      </c>
      <c r="G444">
        <v>102</v>
      </c>
      <c r="S444" t="s">
        <v>21662</v>
      </c>
    </row>
    <row r="445" spans="2:20" x14ac:dyDescent="0.25">
      <c r="B445">
        <v>11933</v>
      </c>
      <c r="C445" t="s">
        <v>21663</v>
      </c>
      <c r="E445">
        <v>234</v>
      </c>
      <c r="F445">
        <v>184</v>
      </c>
      <c r="G445">
        <v>123</v>
      </c>
      <c r="R445" t="s">
        <v>21664</v>
      </c>
    </row>
    <row r="446" spans="2:20" x14ac:dyDescent="0.25">
      <c r="B446">
        <v>11934</v>
      </c>
      <c r="C446" t="s">
        <v>21665</v>
      </c>
      <c r="E446">
        <v>234</v>
      </c>
      <c r="F446">
        <v>184</v>
      </c>
      <c r="G446">
        <v>123</v>
      </c>
      <c r="S446" t="s">
        <v>21666</v>
      </c>
    </row>
    <row r="447" spans="2:20" x14ac:dyDescent="0.25">
      <c r="B447">
        <v>11935</v>
      </c>
      <c r="C447" t="s">
        <v>21667</v>
      </c>
      <c r="E447">
        <v>234</v>
      </c>
      <c r="F447">
        <v>184</v>
      </c>
      <c r="G447">
        <v>123</v>
      </c>
      <c r="T447" t="s">
        <v>21668</v>
      </c>
    </row>
    <row r="448" spans="2:20" x14ac:dyDescent="0.25">
      <c r="B448">
        <v>11936</v>
      </c>
      <c r="C448" t="s">
        <v>21669</v>
      </c>
      <c r="E448">
        <v>232</v>
      </c>
      <c r="F448">
        <v>175</v>
      </c>
      <c r="G448">
        <v>102</v>
      </c>
      <c r="S448" t="s">
        <v>21670</v>
      </c>
    </row>
    <row r="449" spans="2:21" x14ac:dyDescent="0.25">
      <c r="B449">
        <v>11937</v>
      </c>
      <c r="C449" t="s">
        <v>21671</v>
      </c>
      <c r="E449">
        <v>232</v>
      </c>
      <c r="F449">
        <v>175</v>
      </c>
      <c r="G449">
        <v>102</v>
      </c>
      <c r="T449" t="s">
        <v>21672</v>
      </c>
    </row>
    <row r="450" spans="2:21" x14ac:dyDescent="0.25">
      <c r="B450">
        <v>11938</v>
      </c>
      <c r="C450" t="s">
        <v>21673</v>
      </c>
      <c r="E450">
        <v>234</v>
      </c>
      <c r="F450">
        <v>184</v>
      </c>
      <c r="G450">
        <v>123</v>
      </c>
      <c r="R450" t="s">
        <v>21674</v>
      </c>
    </row>
    <row r="451" spans="2:21" x14ac:dyDescent="0.25">
      <c r="B451">
        <v>11939</v>
      </c>
      <c r="C451" t="s">
        <v>21675</v>
      </c>
      <c r="E451">
        <v>234</v>
      </c>
      <c r="F451">
        <v>184</v>
      </c>
      <c r="G451">
        <v>123</v>
      </c>
      <c r="S451" t="s">
        <v>21676</v>
      </c>
    </row>
    <row r="452" spans="2:21" x14ac:dyDescent="0.25">
      <c r="B452">
        <v>11940</v>
      </c>
      <c r="C452" t="s">
        <v>21677</v>
      </c>
      <c r="E452">
        <v>234</v>
      </c>
      <c r="F452">
        <v>184</v>
      </c>
      <c r="G452">
        <v>123</v>
      </c>
      <c r="T452" t="s">
        <v>21678</v>
      </c>
    </row>
    <row r="453" spans="2:21" x14ac:dyDescent="0.25">
      <c r="B453">
        <v>11941</v>
      </c>
      <c r="C453" t="s">
        <v>21679</v>
      </c>
      <c r="E453">
        <v>232</v>
      </c>
      <c r="F453">
        <v>175</v>
      </c>
      <c r="G453">
        <v>102</v>
      </c>
      <c r="S453" t="s">
        <v>21680</v>
      </c>
    </row>
    <row r="454" spans="2:21" x14ac:dyDescent="0.25">
      <c r="B454">
        <v>11942</v>
      </c>
      <c r="C454" t="s">
        <v>21681</v>
      </c>
      <c r="E454">
        <v>232</v>
      </c>
      <c r="F454">
        <v>175</v>
      </c>
      <c r="G454">
        <v>102</v>
      </c>
      <c r="T454" t="s">
        <v>21682</v>
      </c>
    </row>
    <row r="455" spans="2:21" x14ac:dyDescent="0.25">
      <c r="B455">
        <v>10540</v>
      </c>
      <c r="C455" t="s">
        <v>21683</v>
      </c>
      <c r="E455">
        <v>225</v>
      </c>
      <c r="F455">
        <v>150</v>
      </c>
      <c r="G455">
        <v>183</v>
      </c>
      <c r="Q455" t="s">
        <v>21684</v>
      </c>
    </row>
    <row r="456" spans="2:21" x14ac:dyDescent="0.25">
      <c r="B456">
        <v>15508</v>
      </c>
      <c r="C456" t="s">
        <v>21685</v>
      </c>
      <c r="E456">
        <v>225</v>
      </c>
      <c r="F456">
        <v>150</v>
      </c>
      <c r="G456">
        <v>183</v>
      </c>
      <c r="R456" t="s">
        <v>21686</v>
      </c>
    </row>
    <row r="457" spans="2:21" x14ac:dyDescent="0.25">
      <c r="B457">
        <v>11948</v>
      </c>
      <c r="C457" t="s">
        <v>21687</v>
      </c>
      <c r="E457">
        <v>225</v>
      </c>
      <c r="F457">
        <v>150</v>
      </c>
      <c r="G457">
        <v>183</v>
      </c>
      <c r="S457" t="s">
        <v>21688</v>
      </c>
    </row>
    <row r="458" spans="2:21" x14ac:dyDescent="0.25">
      <c r="B458">
        <v>11949</v>
      </c>
      <c r="C458" t="s">
        <v>21689</v>
      </c>
      <c r="E458">
        <v>225</v>
      </c>
      <c r="F458">
        <v>150</v>
      </c>
      <c r="G458">
        <v>183</v>
      </c>
      <c r="T458" t="s">
        <v>21690</v>
      </c>
    </row>
    <row r="459" spans="2:21" x14ac:dyDescent="0.25">
      <c r="B459">
        <v>11950</v>
      </c>
      <c r="C459" t="s">
        <v>21691</v>
      </c>
      <c r="E459">
        <v>225</v>
      </c>
      <c r="F459">
        <v>150</v>
      </c>
      <c r="G459">
        <v>183</v>
      </c>
      <c r="U459" t="s">
        <v>21692</v>
      </c>
    </row>
    <row r="460" spans="2:21" x14ac:dyDescent="0.25">
      <c r="B460">
        <v>11951</v>
      </c>
      <c r="C460" t="s">
        <v>21693</v>
      </c>
      <c r="E460">
        <v>218</v>
      </c>
      <c r="F460">
        <v>128</v>
      </c>
      <c r="G460">
        <v>168</v>
      </c>
      <c r="T460" t="s">
        <v>21694</v>
      </c>
    </row>
    <row r="461" spans="2:21" x14ac:dyDescent="0.25">
      <c r="B461">
        <v>11952</v>
      </c>
      <c r="C461" t="s">
        <v>21695</v>
      </c>
      <c r="E461">
        <v>218</v>
      </c>
      <c r="F461">
        <v>128</v>
      </c>
      <c r="G461">
        <v>168</v>
      </c>
      <c r="U461" t="s">
        <v>21696</v>
      </c>
    </row>
    <row r="462" spans="2:21" x14ac:dyDescent="0.25">
      <c r="B462">
        <v>11953</v>
      </c>
      <c r="C462" t="s">
        <v>21697</v>
      </c>
      <c r="E462">
        <v>225</v>
      </c>
      <c r="F462">
        <v>150</v>
      </c>
      <c r="G462">
        <v>183</v>
      </c>
      <c r="S462" t="s">
        <v>21698</v>
      </c>
    </row>
    <row r="463" spans="2:21" x14ac:dyDescent="0.25">
      <c r="B463">
        <v>11954</v>
      </c>
      <c r="C463" t="s">
        <v>21699</v>
      </c>
      <c r="E463">
        <v>225</v>
      </c>
      <c r="F463">
        <v>150</v>
      </c>
      <c r="G463">
        <v>183</v>
      </c>
      <c r="T463" t="s">
        <v>21700</v>
      </c>
    </row>
    <row r="464" spans="2:21" x14ac:dyDescent="0.25">
      <c r="B464">
        <v>11955</v>
      </c>
      <c r="C464" t="s">
        <v>21701</v>
      </c>
      <c r="E464">
        <v>225</v>
      </c>
      <c r="F464">
        <v>150</v>
      </c>
      <c r="G464">
        <v>183</v>
      </c>
      <c r="U464" t="s">
        <v>21702</v>
      </c>
    </row>
    <row r="465" spans="2:21" x14ac:dyDescent="0.25">
      <c r="B465">
        <v>11956</v>
      </c>
      <c r="C465" t="s">
        <v>21703</v>
      </c>
      <c r="E465">
        <v>218</v>
      </c>
      <c r="F465">
        <v>128</v>
      </c>
      <c r="G465">
        <v>168</v>
      </c>
      <c r="T465" t="s">
        <v>21704</v>
      </c>
    </row>
    <row r="466" spans="2:21" x14ac:dyDescent="0.25">
      <c r="B466">
        <v>11957</v>
      </c>
      <c r="C466" t="s">
        <v>21705</v>
      </c>
      <c r="E466">
        <v>218</v>
      </c>
      <c r="F466">
        <v>128</v>
      </c>
      <c r="G466">
        <v>168</v>
      </c>
      <c r="U466" t="s">
        <v>21706</v>
      </c>
    </row>
    <row r="467" spans="2:21" x14ac:dyDescent="0.25">
      <c r="B467">
        <v>13154</v>
      </c>
      <c r="C467" t="s">
        <v>21707</v>
      </c>
      <c r="E467">
        <v>225</v>
      </c>
      <c r="F467">
        <v>150</v>
      </c>
      <c r="G467">
        <v>183</v>
      </c>
      <c r="S467" t="s">
        <v>21708</v>
      </c>
    </row>
    <row r="468" spans="2:21" x14ac:dyDescent="0.25">
      <c r="B468">
        <v>13155</v>
      </c>
      <c r="C468" t="s">
        <v>21709</v>
      </c>
      <c r="E468">
        <v>225</v>
      </c>
      <c r="F468">
        <v>150</v>
      </c>
      <c r="G468">
        <v>183</v>
      </c>
      <c r="T468" t="s">
        <v>21710</v>
      </c>
    </row>
    <row r="469" spans="2:21" x14ac:dyDescent="0.25">
      <c r="B469">
        <v>13156</v>
      </c>
      <c r="C469" t="s">
        <v>21711</v>
      </c>
      <c r="E469">
        <v>225</v>
      </c>
      <c r="F469">
        <v>150</v>
      </c>
      <c r="G469">
        <v>183</v>
      </c>
      <c r="U469" t="s">
        <v>21712</v>
      </c>
    </row>
    <row r="470" spans="2:21" x14ac:dyDescent="0.25">
      <c r="B470">
        <v>13157</v>
      </c>
      <c r="C470" t="s">
        <v>21713</v>
      </c>
      <c r="E470">
        <v>218</v>
      </c>
      <c r="F470">
        <v>128</v>
      </c>
      <c r="G470">
        <v>168</v>
      </c>
      <c r="T470" t="s">
        <v>21714</v>
      </c>
    </row>
    <row r="471" spans="2:21" x14ac:dyDescent="0.25">
      <c r="B471">
        <v>13158</v>
      </c>
      <c r="C471" t="s">
        <v>21715</v>
      </c>
      <c r="E471">
        <v>218</v>
      </c>
      <c r="F471">
        <v>128</v>
      </c>
      <c r="G471">
        <v>168</v>
      </c>
      <c r="U471" t="s">
        <v>21716</v>
      </c>
    </row>
    <row r="472" spans="2:21" x14ac:dyDescent="0.25">
      <c r="B472">
        <v>13174</v>
      </c>
      <c r="C472" t="s">
        <v>21717</v>
      </c>
      <c r="E472">
        <v>225</v>
      </c>
      <c r="F472">
        <v>150</v>
      </c>
      <c r="G472">
        <v>183</v>
      </c>
      <c r="S472" t="s">
        <v>21718</v>
      </c>
    </row>
    <row r="473" spans="2:21" x14ac:dyDescent="0.25">
      <c r="B473">
        <v>13175</v>
      </c>
      <c r="C473" t="s">
        <v>21719</v>
      </c>
      <c r="E473">
        <v>225</v>
      </c>
      <c r="F473">
        <v>150</v>
      </c>
      <c r="G473">
        <v>183</v>
      </c>
      <c r="T473" t="s">
        <v>21720</v>
      </c>
    </row>
    <row r="474" spans="2:21" x14ac:dyDescent="0.25">
      <c r="B474">
        <v>13176</v>
      </c>
      <c r="C474" t="s">
        <v>21721</v>
      </c>
      <c r="E474">
        <v>225</v>
      </c>
      <c r="F474">
        <v>150</v>
      </c>
      <c r="G474">
        <v>183</v>
      </c>
      <c r="U474" t="s">
        <v>21722</v>
      </c>
    </row>
    <row r="475" spans="2:21" x14ac:dyDescent="0.25">
      <c r="B475">
        <v>13177</v>
      </c>
      <c r="C475" t="s">
        <v>21723</v>
      </c>
      <c r="E475">
        <v>218</v>
      </c>
      <c r="F475">
        <v>128</v>
      </c>
      <c r="G475">
        <v>168</v>
      </c>
      <c r="T475" t="s">
        <v>21724</v>
      </c>
    </row>
    <row r="476" spans="2:21" x14ac:dyDescent="0.25">
      <c r="B476">
        <v>13178</v>
      </c>
      <c r="C476" t="s">
        <v>21725</v>
      </c>
      <c r="E476">
        <v>218</v>
      </c>
      <c r="F476">
        <v>128</v>
      </c>
      <c r="G476">
        <v>168</v>
      </c>
      <c r="U476" t="s">
        <v>21726</v>
      </c>
    </row>
    <row r="477" spans="2:21" x14ac:dyDescent="0.25">
      <c r="B477">
        <v>15509</v>
      </c>
      <c r="C477" t="s">
        <v>21727</v>
      </c>
      <c r="E477">
        <v>225</v>
      </c>
      <c r="F477">
        <v>150</v>
      </c>
      <c r="G477">
        <v>183</v>
      </c>
      <c r="R477" t="s">
        <v>21728</v>
      </c>
    </row>
    <row r="478" spans="2:21" x14ac:dyDescent="0.25">
      <c r="B478">
        <v>13159</v>
      </c>
      <c r="C478" t="s">
        <v>21729</v>
      </c>
      <c r="E478">
        <v>225</v>
      </c>
      <c r="F478">
        <v>150</v>
      </c>
      <c r="G478">
        <v>183</v>
      </c>
      <c r="S478" t="s">
        <v>21730</v>
      </c>
    </row>
    <row r="479" spans="2:21" x14ac:dyDescent="0.25">
      <c r="B479">
        <v>13160</v>
      </c>
      <c r="C479" t="s">
        <v>21731</v>
      </c>
      <c r="E479">
        <v>225</v>
      </c>
      <c r="F479">
        <v>150</v>
      </c>
      <c r="G479">
        <v>183</v>
      </c>
      <c r="T479" t="s">
        <v>21732</v>
      </c>
    </row>
    <row r="480" spans="2:21" x14ac:dyDescent="0.25">
      <c r="B480">
        <v>13161</v>
      </c>
      <c r="C480" t="s">
        <v>21733</v>
      </c>
      <c r="E480">
        <v>225</v>
      </c>
      <c r="F480">
        <v>150</v>
      </c>
      <c r="G480">
        <v>183</v>
      </c>
      <c r="U480" t="s">
        <v>21734</v>
      </c>
    </row>
    <row r="481" spans="2:22" x14ac:dyDescent="0.25">
      <c r="B481">
        <v>13162</v>
      </c>
      <c r="C481" t="s">
        <v>21735</v>
      </c>
      <c r="E481">
        <v>218</v>
      </c>
      <c r="F481">
        <v>128</v>
      </c>
      <c r="G481">
        <v>168</v>
      </c>
      <c r="T481" t="s">
        <v>21736</v>
      </c>
    </row>
    <row r="482" spans="2:22" x14ac:dyDescent="0.25">
      <c r="B482">
        <v>13163</v>
      </c>
      <c r="C482" t="s">
        <v>21737</v>
      </c>
      <c r="E482">
        <v>218</v>
      </c>
      <c r="F482">
        <v>128</v>
      </c>
      <c r="G482">
        <v>168</v>
      </c>
      <c r="U482" t="s">
        <v>21738</v>
      </c>
    </row>
    <row r="483" spans="2:22" x14ac:dyDescent="0.25">
      <c r="B483">
        <v>11958</v>
      </c>
      <c r="C483" t="s">
        <v>21739</v>
      </c>
      <c r="E483">
        <v>225</v>
      </c>
      <c r="F483">
        <v>150</v>
      </c>
      <c r="G483">
        <v>183</v>
      </c>
      <c r="S483" t="s">
        <v>21740</v>
      </c>
    </row>
    <row r="484" spans="2:22" x14ac:dyDescent="0.25">
      <c r="B484">
        <v>11959</v>
      </c>
      <c r="C484" t="s">
        <v>21741</v>
      </c>
      <c r="E484">
        <v>225</v>
      </c>
      <c r="F484">
        <v>150</v>
      </c>
      <c r="G484">
        <v>183</v>
      </c>
      <c r="T484" t="s">
        <v>21742</v>
      </c>
    </row>
    <row r="485" spans="2:22" x14ac:dyDescent="0.25">
      <c r="B485">
        <v>11960</v>
      </c>
      <c r="C485" t="s">
        <v>21743</v>
      </c>
      <c r="E485">
        <v>225</v>
      </c>
      <c r="F485">
        <v>150</v>
      </c>
      <c r="G485">
        <v>183</v>
      </c>
      <c r="U485" t="s">
        <v>21744</v>
      </c>
    </row>
    <row r="486" spans="2:22" x14ac:dyDescent="0.25">
      <c r="B486">
        <v>11961</v>
      </c>
      <c r="C486" t="s">
        <v>21745</v>
      </c>
      <c r="E486">
        <v>218</v>
      </c>
      <c r="F486">
        <v>128</v>
      </c>
      <c r="G486">
        <v>168</v>
      </c>
      <c r="T486" t="s">
        <v>21746</v>
      </c>
    </row>
    <row r="487" spans="2:22" x14ac:dyDescent="0.25">
      <c r="B487">
        <v>11962</v>
      </c>
      <c r="C487" t="s">
        <v>21747</v>
      </c>
      <c r="E487">
        <v>218</v>
      </c>
      <c r="F487">
        <v>128</v>
      </c>
      <c r="G487">
        <v>168</v>
      </c>
      <c r="U487" t="s">
        <v>21748</v>
      </c>
    </row>
    <row r="488" spans="2:22" x14ac:dyDescent="0.25">
      <c r="B488">
        <v>11963</v>
      </c>
      <c r="C488" t="s">
        <v>21749</v>
      </c>
      <c r="E488">
        <v>225</v>
      </c>
      <c r="F488">
        <v>150</v>
      </c>
      <c r="G488">
        <v>183</v>
      </c>
      <c r="S488" t="s">
        <v>21750</v>
      </c>
    </row>
    <row r="489" spans="2:22" x14ac:dyDescent="0.25">
      <c r="B489">
        <v>13164</v>
      </c>
      <c r="C489" t="s">
        <v>21751</v>
      </c>
      <c r="E489">
        <v>225</v>
      </c>
      <c r="F489">
        <v>150</v>
      </c>
      <c r="G489">
        <v>183</v>
      </c>
      <c r="T489" t="s">
        <v>21752</v>
      </c>
    </row>
    <row r="490" spans="2:22" x14ac:dyDescent="0.25">
      <c r="B490">
        <v>13165</v>
      </c>
      <c r="C490" t="s">
        <v>21753</v>
      </c>
      <c r="E490">
        <v>225</v>
      </c>
      <c r="F490">
        <v>150</v>
      </c>
      <c r="G490">
        <v>183</v>
      </c>
      <c r="U490" t="s">
        <v>21754</v>
      </c>
    </row>
    <row r="491" spans="2:22" x14ac:dyDescent="0.25">
      <c r="B491">
        <v>13166</v>
      </c>
      <c r="C491" t="s">
        <v>21755</v>
      </c>
      <c r="E491">
        <v>225</v>
      </c>
      <c r="F491">
        <v>150</v>
      </c>
      <c r="G491">
        <v>183</v>
      </c>
      <c r="V491" t="s">
        <v>21756</v>
      </c>
    </row>
    <row r="492" spans="2:22" x14ac:dyDescent="0.25">
      <c r="B492">
        <v>13167</v>
      </c>
      <c r="C492" t="s">
        <v>21757</v>
      </c>
      <c r="E492">
        <v>218</v>
      </c>
      <c r="F492">
        <v>128</v>
      </c>
      <c r="G492">
        <v>168</v>
      </c>
      <c r="U492" t="s">
        <v>21758</v>
      </c>
    </row>
    <row r="493" spans="2:22" x14ac:dyDescent="0.25">
      <c r="B493">
        <v>13168</v>
      </c>
      <c r="C493" t="s">
        <v>21759</v>
      </c>
      <c r="E493">
        <v>218</v>
      </c>
      <c r="F493">
        <v>128</v>
      </c>
      <c r="G493">
        <v>168</v>
      </c>
      <c r="V493" t="s">
        <v>21760</v>
      </c>
    </row>
    <row r="494" spans="2:22" x14ac:dyDescent="0.25">
      <c r="B494">
        <v>13169</v>
      </c>
      <c r="C494" t="s">
        <v>21761</v>
      </c>
      <c r="E494">
        <v>225</v>
      </c>
      <c r="F494">
        <v>150</v>
      </c>
      <c r="G494">
        <v>183</v>
      </c>
      <c r="T494" t="s">
        <v>21762</v>
      </c>
    </row>
    <row r="495" spans="2:22" x14ac:dyDescent="0.25">
      <c r="B495">
        <v>13170</v>
      </c>
      <c r="C495" t="s">
        <v>21763</v>
      </c>
      <c r="E495">
        <v>225</v>
      </c>
      <c r="F495">
        <v>150</v>
      </c>
      <c r="G495">
        <v>183</v>
      </c>
      <c r="U495" t="s">
        <v>21764</v>
      </c>
    </row>
    <row r="496" spans="2:22" x14ac:dyDescent="0.25">
      <c r="B496">
        <v>13171</v>
      </c>
      <c r="C496" t="s">
        <v>21765</v>
      </c>
      <c r="E496">
        <v>225</v>
      </c>
      <c r="F496">
        <v>150</v>
      </c>
      <c r="G496">
        <v>183</v>
      </c>
      <c r="V496" t="s">
        <v>21766</v>
      </c>
    </row>
    <row r="497" spans="2:22" x14ac:dyDescent="0.25">
      <c r="B497">
        <v>13172</v>
      </c>
      <c r="C497" t="s">
        <v>21767</v>
      </c>
      <c r="E497">
        <v>218</v>
      </c>
      <c r="F497">
        <v>128</v>
      </c>
      <c r="G497">
        <v>168</v>
      </c>
      <c r="U497" t="s">
        <v>21768</v>
      </c>
    </row>
    <row r="498" spans="2:22" x14ac:dyDescent="0.25">
      <c r="B498">
        <v>13173</v>
      </c>
      <c r="C498" t="s">
        <v>21769</v>
      </c>
      <c r="E498">
        <v>218</v>
      </c>
      <c r="F498">
        <v>128</v>
      </c>
      <c r="G498">
        <v>168</v>
      </c>
      <c r="V498" t="s">
        <v>21770</v>
      </c>
    </row>
    <row r="499" spans="2:22" x14ac:dyDescent="0.25">
      <c r="B499">
        <v>11968</v>
      </c>
      <c r="C499" t="s">
        <v>21771</v>
      </c>
      <c r="E499">
        <v>225</v>
      </c>
      <c r="F499">
        <v>150</v>
      </c>
      <c r="G499">
        <v>183</v>
      </c>
      <c r="R499" t="s">
        <v>21772</v>
      </c>
    </row>
    <row r="500" spans="2:22" x14ac:dyDescent="0.25">
      <c r="B500">
        <v>11969</v>
      </c>
      <c r="C500" t="s">
        <v>21773</v>
      </c>
      <c r="E500">
        <v>225</v>
      </c>
      <c r="F500">
        <v>150</v>
      </c>
      <c r="G500">
        <v>183</v>
      </c>
      <c r="S500" t="s">
        <v>21774</v>
      </c>
    </row>
    <row r="501" spans="2:22" x14ac:dyDescent="0.25">
      <c r="B501">
        <v>11970</v>
      </c>
      <c r="C501" t="s">
        <v>21775</v>
      </c>
      <c r="E501">
        <v>225</v>
      </c>
      <c r="F501">
        <v>150</v>
      </c>
      <c r="G501">
        <v>183</v>
      </c>
      <c r="T501" t="s">
        <v>21776</v>
      </c>
    </row>
    <row r="502" spans="2:22" x14ac:dyDescent="0.25">
      <c r="B502">
        <v>11971</v>
      </c>
      <c r="C502" t="s">
        <v>21777</v>
      </c>
      <c r="E502">
        <v>218</v>
      </c>
      <c r="F502">
        <v>128</v>
      </c>
      <c r="G502">
        <v>168</v>
      </c>
      <c r="S502" t="s">
        <v>21778</v>
      </c>
    </row>
    <row r="503" spans="2:22" x14ac:dyDescent="0.25">
      <c r="B503">
        <v>11972</v>
      </c>
      <c r="C503" t="s">
        <v>21779</v>
      </c>
      <c r="E503">
        <v>218</v>
      </c>
      <c r="F503">
        <v>128</v>
      </c>
      <c r="G503">
        <v>168</v>
      </c>
      <c r="T503" t="s">
        <v>21780</v>
      </c>
    </row>
    <row r="504" spans="2:22" x14ac:dyDescent="0.25">
      <c r="B504">
        <v>11973</v>
      </c>
      <c r="C504" t="s">
        <v>21781</v>
      </c>
      <c r="E504">
        <v>225</v>
      </c>
      <c r="F504">
        <v>150</v>
      </c>
      <c r="G504">
        <v>183</v>
      </c>
      <c r="R504" t="s">
        <v>21782</v>
      </c>
    </row>
    <row r="505" spans="2:22" x14ac:dyDescent="0.25">
      <c r="B505">
        <v>11974</v>
      </c>
      <c r="C505" t="s">
        <v>21783</v>
      </c>
      <c r="E505">
        <v>225</v>
      </c>
      <c r="F505">
        <v>150</v>
      </c>
      <c r="G505">
        <v>183</v>
      </c>
      <c r="S505" t="s">
        <v>21784</v>
      </c>
    </row>
    <row r="506" spans="2:22" x14ac:dyDescent="0.25">
      <c r="B506">
        <v>11975</v>
      </c>
      <c r="C506" t="s">
        <v>21785</v>
      </c>
      <c r="E506">
        <v>225</v>
      </c>
      <c r="F506">
        <v>150</v>
      </c>
      <c r="G506">
        <v>183</v>
      </c>
      <c r="T506" t="s">
        <v>21786</v>
      </c>
    </row>
    <row r="507" spans="2:22" x14ac:dyDescent="0.25">
      <c r="B507">
        <v>11976</v>
      </c>
      <c r="C507" t="s">
        <v>21787</v>
      </c>
      <c r="E507">
        <v>218</v>
      </c>
      <c r="F507">
        <v>128</v>
      </c>
      <c r="G507">
        <v>168</v>
      </c>
      <c r="S507" t="s">
        <v>21788</v>
      </c>
    </row>
    <row r="508" spans="2:22" x14ac:dyDescent="0.25">
      <c r="B508">
        <v>11977</v>
      </c>
      <c r="C508" t="s">
        <v>21789</v>
      </c>
      <c r="E508">
        <v>218</v>
      </c>
      <c r="F508">
        <v>128</v>
      </c>
      <c r="G508">
        <v>168</v>
      </c>
      <c r="T508" t="s">
        <v>21790</v>
      </c>
    </row>
    <row r="509" spans="2:22" x14ac:dyDescent="0.25">
      <c r="B509">
        <v>11978</v>
      </c>
      <c r="C509" t="s">
        <v>21791</v>
      </c>
      <c r="E509">
        <v>225</v>
      </c>
      <c r="F509">
        <v>150</v>
      </c>
      <c r="G509">
        <v>183</v>
      </c>
      <c r="R509" t="s">
        <v>21792</v>
      </c>
    </row>
    <row r="510" spans="2:22" x14ac:dyDescent="0.25">
      <c r="B510">
        <v>11979</v>
      </c>
      <c r="C510" t="s">
        <v>21793</v>
      </c>
      <c r="E510">
        <v>225</v>
      </c>
      <c r="F510">
        <v>150</v>
      </c>
      <c r="G510">
        <v>183</v>
      </c>
      <c r="S510" t="s">
        <v>21794</v>
      </c>
    </row>
    <row r="511" spans="2:22" x14ac:dyDescent="0.25">
      <c r="B511">
        <v>11980</v>
      </c>
      <c r="C511" t="s">
        <v>21795</v>
      </c>
      <c r="E511">
        <v>225</v>
      </c>
      <c r="F511">
        <v>150</v>
      </c>
      <c r="G511">
        <v>183</v>
      </c>
      <c r="T511" t="s">
        <v>21796</v>
      </c>
    </row>
    <row r="512" spans="2:22" x14ac:dyDescent="0.25">
      <c r="B512">
        <v>11981</v>
      </c>
      <c r="C512" t="s">
        <v>21797</v>
      </c>
      <c r="E512">
        <v>218</v>
      </c>
      <c r="F512">
        <v>128</v>
      </c>
      <c r="G512">
        <v>168</v>
      </c>
      <c r="S512" t="s">
        <v>21798</v>
      </c>
    </row>
    <row r="513" spans="2:20" x14ac:dyDescent="0.25">
      <c r="B513">
        <v>11982</v>
      </c>
      <c r="C513" t="s">
        <v>21799</v>
      </c>
      <c r="E513">
        <v>218</v>
      </c>
      <c r="F513">
        <v>128</v>
      </c>
      <c r="G513">
        <v>168</v>
      </c>
      <c r="T513" t="s">
        <v>21800</v>
      </c>
    </row>
    <row r="514" spans="2:20" x14ac:dyDescent="0.25">
      <c r="B514">
        <v>11983</v>
      </c>
      <c r="C514" t="s">
        <v>21801</v>
      </c>
      <c r="E514">
        <v>225</v>
      </c>
      <c r="F514">
        <v>150</v>
      </c>
      <c r="G514">
        <v>183</v>
      </c>
      <c r="R514" t="s">
        <v>21802</v>
      </c>
    </row>
    <row r="515" spans="2:20" x14ac:dyDescent="0.25">
      <c r="B515">
        <v>10538</v>
      </c>
      <c r="C515" t="s">
        <v>21803</v>
      </c>
      <c r="E515">
        <v>229</v>
      </c>
      <c r="F515">
        <v>171</v>
      </c>
      <c r="G515">
        <v>154</v>
      </c>
      <c r="Q515" t="s">
        <v>21804</v>
      </c>
    </row>
    <row r="516" spans="2:20" x14ac:dyDescent="0.25">
      <c r="B516">
        <v>13149</v>
      </c>
      <c r="C516" t="s">
        <v>21805</v>
      </c>
      <c r="E516">
        <v>229</v>
      </c>
      <c r="F516">
        <v>171</v>
      </c>
      <c r="G516">
        <v>154</v>
      </c>
      <c r="R516" t="s">
        <v>21806</v>
      </c>
    </row>
    <row r="517" spans="2:20" x14ac:dyDescent="0.25">
      <c r="B517">
        <v>13150</v>
      </c>
      <c r="C517" t="s">
        <v>21807</v>
      </c>
      <c r="E517">
        <v>229</v>
      </c>
      <c r="F517">
        <v>171</v>
      </c>
      <c r="G517">
        <v>154</v>
      </c>
      <c r="S517" t="s">
        <v>21808</v>
      </c>
    </row>
    <row r="518" spans="2:20" x14ac:dyDescent="0.25">
      <c r="B518">
        <v>13151</v>
      </c>
      <c r="C518" t="s">
        <v>21809</v>
      </c>
      <c r="E518">
        <v>229</v>
      </c>
      <c r="F518">
        <v>171</v>
      </c>
      <c r="G518">
        <v>154</v>
      </c>
      <c r="T518" t="s">
        <v>21810</v>
      </c>
    </row>
    <row r="519" spans="2:20" x14ac:dyDescent="0.25">
      <c r="B519">
        <v>13152</v>
      </c>
      <c r="C519" t="s">
        <v>21811</v>
      </c>
      <c r="E519">
        <v>225</v>
      </c>
      <c r="F519">
        <v>153</v>
      </c>
      <c r="G519">
        <v>133</v>
      </c>
      <c r="S519" t="s">
        <v>21812</v>
      </c>
    </row>
    <row r="520" spans="2:20" x14ac:dyDescent="0.25">
      <c r="B520">
        <v>13153</v>
      </c>
      <c r="C520" t="s">
        <v>21813</v>
      </c>
      <c r="E520">
        <v>225</v>
      </c>
      <c r="F520">
        <v>153</v>
      </c>
      <c r="G520">
        <v>133</v>
      </c>
      <c r="T520" t="s">
        <v>21814</v>
      </c>
    </row>
    <row r="521" spans="2:20" x14ac:dyDescent="0.25">
      <c r="B521">
        <v>11908</v>
      </c>
      <c r="C521" t="s">
        <v>21815</v>
      </c>
      <c r="E521">
        <v>229</v>
      </c>
      <c r="F521">
        <v>171</v>
      </c>
      <c r="G521">
        <v>154</v>
      </c>
      <c r="R521" t="s">
        <v>21816</v>
      </c>
    </row>
    <row r="522" spans="2:20" x14ac:dyDescent="0.25">
      <c r="B522">
        <v>11909</v>
      </c>
      <c r="C522" t="s">
        <v>21817</v>
      </c>
      <c r="E522">
        <v>229</v>
      </c>
      <c r="F522">
        <v>171</v>
      </c>
      <c r="G522">
        <v>154</v>
      </c>
      <c r="S522" t="s">
        <v>21818</v>
      </c>
    </row>
    <row r="523" spans="2:20" x14ac:dyDescent="0.25">
      <c r="B523">
        <v>11910</v>
      </c>
      <c r="C523" t="s">
        <v>21819</v>
      </c>
      <c r="E523">
        <v>229</v>
      </c>
      <c r="F523">
        <v>171</v>
      </c>
      <c r="G523">
        <v>154</v>
      </c>
      <c r="T523" t="s">
        <v>21820</v>
      </c>
    </row>
    <row r="524" spans="2:20" x14ac:dyDescent="0.25">
      <c r="B524">
        <v>11911</v>
      </c>
      <c r="C524" t="s">
        <v>21821</v>
      </c>
      <c r="E524">
        <v>225</v>
      </c>
      <c r="F524">
        <v>153</v>
      </c>
      <c r="G524">
        <v>133</v>
      </c>
      <c r="S524" t="s">
        <v>21822</v>
      </c>
    </row>
    <row r="525" spans="2:20" x14ac:dyDescent="0.25">
      <c r="B525">
        <v>11912</v>
      </c>
      <c r="C525" t="s">
        <v>21823</v>
      </c>
      <c r="E525">
        <v>225</v>
      </c>
      <c r="F525">
        <v>153</v>
      </c>
      <c r="G525">
        <v>133</v>
      </c>
      <c r="T525" t="s">
        <v>21824</v>
      </c>
    </row>
    <row r="526" spans="2:20" x14ac:dyDescent="0.25">
      <c r="B526">
        <v>13144</v>
      </c>
      <c r="C526" t="s">
        <v>21825</v>
      </c>
      <c r="E526">
        <v>229</v>
      </c>
      <c r="F526">
        <v>171</v>
      </c>
      <c r="G526">
        <v>154</v>
      </c>
      <c r="R526" t="s">
        <v>21826</v>
      </c>
    </row>
    <row r="527" spans="2:20" x14ac:dyDescent="0.25">
      <c r="B527">
        <v>11913</v>
      </c>
      <c r="C527" t="s">
        <v>21827</v>
      </c>
      <c r="E527">
        <v>229</v>
      </c>
      <c r="F527">
        <v>171</v>
      </c>
      <c r="G527">
        <v>154</v>
      </c>
      <c r="S527" t="s">
        <v>21828</v>
      </c>
    </row>
    <row r="528" spans="2:20" x14ac:dyDescent="0.25">
      <c r="B528">
        <v>11914</v>
      </c>
      <c r="C528" t="s">
        <v>21829</v>
      </c>
      <c r="E528">
        <v>229</v>
      </c>
      <c r="F528">
        <v>171</v>
      </c>
      <c r="G528">
        <v>154</v>
      </c>
      <c r="T528" t="s">
        <v>21830</v>
      </c>
    </row>
    <row r="529" spans="2:20" x14ac:dyDescent="0.25">
      <c r="B529">
        <v>11916</v>
      </c>
      <c r="C529" t="s">
        <v>21831</v>
      </c>
      <c r="E529">
        <v>225</v>
      </c>
      <c r="F529">
        <v>153</v>
      </c>
      <c r="G529">
        <v>133</v>
      </c>
      <c r="T529" t="s">
        <v>21832</v>
      </c>
    </row>
    <row r="530" spans="2:20" x14ac:dyDescent="0.25">
      <c r="B530">
        <v>11918</v>
      </c>
      <c r="C530" t="s">
        <v>21833</v>
      </c>
      <c r="E530">
        <v>229</v>
      </c>
      <c r="F530">
        <v>171</v>
      </c>
      <c r="G530">
        <v>154</v>
      </c>
      <c r="S530" t="s">
        <v>21834</v>
      </c>
    </row>
    <row r="531" spans="2:20" x14ac:dyDescent="0.25">
      <c r="B531">
        <v>11919</v>
      </c>
      <c r="C531" t="s">
        <v>21835</v>
      </c>
      <c r="E531">
        <v>229</v>
      </c>
      <c r="F531">
        <v>171</v>
      </c>
      <c r="G531">
        <v>154</v>
      </c>
      <c r="T531" t="s">
        <v>21836</v>
      </c>
    </row>
    <row r="532" spans="2:20" x14ac:dyDescent="0.25">
      <c r="B532">
        <v>11921</v>
      </c>
      <c r="C532" t="s">
        <v>21837</v>
      </c>
      <c r="E532">
        <v>225</v>
      </c>
      <c r="F532">
        <v>153</v>
      </c>
      <c r="G532">
        <v>133</v>
      </c>
      <c r="T532" t="s">
        <v>21838</v>
      </c>
    </row>
    <row r="533" spans="2:20" x14ac:dyDescent="0.25">
      <c r="B533">
        <v>11923</v>
      </c>
      <c r="C533" t="s">
        <v>21839</v>
      </c>
      <c r="E533">
        <v>229</v>
      </c>
      <c r="F533">
        <v>171</v>
      </c>
      <c r="G533">
        <v>154</v>
      </c>
      <c r="S533" t="s">
        <v>21840</v>
      </c>
    </row>
    <row r="534" spans="2:20" x14ac:dyDescent="0.25">
      <c r="B534">
        <v>11924</v>
      </c>
      <c r="C534" t="s">
        <v>21841</v>
      </c>
      <c r="E534">
        <v>229</v>
      </c>
      <c r="F534">
        <v>171</v>
      </c>
      <c r="G534">
        <v>154</v>
      </c>
      <c r="T534" t="s">
        <v>21842</v>
      </c>
    </row>
    <row r="535" spans="2:20" x14ac:dyDescent="0.25">
      <c r="B535">
        <v>11926</v>
      </c>
      <c r="C535" t="s">
        <v>21843</v>
      </c>
      <c r="E535">
        <v>225</v>
      </c>
      <c r="F535">
        <v>153</v>
      </c>
      <c r="G535">
        <v>133</v>
      </c>
      <c r="T535" t="s">
        <v>21844</v>
      </c>
    </row>
    <row r="536" spans="2:20" x14ac:dyDescent="0.25">
      <c r="B536">
        <v>13145</v>
      </c>
      <c r="C536" t="s">
        <v>21845</v>
      </c>
      <c r="E536">
        <v>229</v>
      </c>
      <c r="F536">
        <v>171</v>
      </c>
      <c r="G536">
        <v>154</v>
      </c>
      <c r="S536" t="s">
        <v>21846</v>
      </c>
    </row>
    <row r="537" spans="2:20" x14ac:dyDescent="0.25">
      <c r="B537">
        <v>13146</v>
      </c>
      <c r="C537" t="s">
        <v>21847</v>
      </c>
      <c r="E537">
        <v>229</v>
      </c>
      <c r="F537">
        <v>171</v>
      </c>
      <c r="G537">
        <v>154</v>
      </c>
      <c r="T537" t="s">
        <v>21848</v>
      </c>
    </row>
    <row r="538" spans="2:20" x14ac:dyDescent="0.25">
      <c r="B538">
        <v>13147</v>
      </c>
      <c r="C538" t="s">
        <v>21849</v>
      </c>
      <c r="E538">
        <v>225</v>
      </c>
      <c r="F538">
        <v>153</v>
      </c>
      <c r="G538">
        <v>133</v>
      </c>
      <c r="S538" t="s">
        <v>21850</v>
      </c>
    </row>
    <row r="539" spans="2:20" x14ac:dyDescent="0.25">
      <c r="B539">
        <v>13148</v>
      </c>
      <c r="C539" t="s">
        <v>21851</v>
      </c>
      <c r="E539">
        <v>225</v>
      </c>
      <c r="F539">
        <v>153</v>
      </c>
      <c r="G539">
        <v>133</v>
      </c>
      <c r="T539" t="s">
        <v>21852</v>
      </c>
    </row>
    <row r="540" spans="2:20" x14ac:dyDescent="0.25">
      <c r="B540">
        <v>11984</v>
      </c>
      <c r="C540" t="s">
        <v>21853</v>
      </c>
      <c r="E540">
        <v>234</v>
      </c>
      <c r="F540">
        <v>166</v>
      </c>
      <c r="G540">
        <v>175</v>
      </c>
      <c r="Q540" t="s">
        <v>21854</v>
      </c>
    </row>
    <row r="541" spans="2:20" x14ac:dyDescent="0.25">
      <c r="B541">
        <v>11985</v>
      </c>
      <c r="C541" t="s">
        <v>21855</v>
      </c>
      <c r="E541">
        <v>234</v>
      </c>
      <c r="F541">
        <v>166</v>
      </c>
      <c r="G541">
        <v>175</v>
      </c>
      <c r="R541" t="s">
        <v>21856</v>
      </c>
    </row>
    <row r="542" spans="2:20" x14ac:dyDescent="0.25">
      <c r="B542">
        <v>11986</v>
      </c>
      <c r="C542" t="s">
        <v>21857</v>
      </c>
      <c r="E542">
        <v>234</v>
      </c>
      <c r="F542">
        <v>166</v>
      </c>
      <c r="G542">
        <v>175</v>
      </c>
      <c r="R542" t="s">
        <v>21858</v>
      </c>
    </row>
    <row r="543" spans="2:20" x14ac:dyDescent="0.25">
      <c r="B543">
        <v>11987</v>
      </c>
      <c r="C543" t="s">
        <v>21859</v>
      </c>
      <c r="E543">
        <v>234</v>
      </c>
      <c r="F543">
        <v>166</v>
      </c>
      <c r="G543">
        <v>175</v>
      </c>
      <c r="R543" t="s">
        <v>21860</v>
      </c>
    </row>
    <row r="544" spans="2:20" x14ac:dyDescent="0.25">
      <c r="B544">
        <v>13288</v>
      </c>
      <c r="C544" t="s">
        <v>21861</v>
      </c>
      <c r="E544">
        <v>234</v>
      </c>
      <c r="F544">
        <v>166</v>
      </c>
      <c r="G544">
        <v>175</v>
      </c>
      <c r="R544" t="s">
        <v>21862</v>
      </c>
    </row>
    <row r="545" spans="2:19" x14ac:dyDescent="0.25">
      <c r="B545">
        <v>10541</v>
      </c>
      <c r="C545" t="s">
        <v>21863</v>
      </c>
      <c r="E545">
        <v>203</v>
      </c>
      <c r="F545">
        <v>183</v>
      </c>
      <c r="G545">
        <v>168</v>
      </c>
      <c r="Q545" t="s">
        <v>21864</v>
      </c>
    </row>
    <row r="546" spans="2:19" x14ac:dyDescent="0.25">
      <c r="B546">
        <v>15510</v>
      </c>
      <c r="C546" t="s">
        <v>21865</v>
      </c>
      <c r="E546">
        <v>195</v>
      </c>
      <c r="F546">
        <v>194</v>
      </c>
      <c r="G546">
        <v>134</v>
      </c>
      <c r="Q546" t="s">
        <v>21866</v>
      </c>
    </row>
    <row r="547" spans="2:19" x14ac:dyDescent="0.25">
      <c r="B547">
        <v>10542</v>
      </c>
      <c r="C547" t="s">
        <v>21867</v>
      </c>
      <c r="E547">
        <v>129</v>
      </c>
      <c r="F547">
        <v>105</v>
      </c>
      <c r="G547">
        <v>107</v>
      </c>
      <c r="P547" t="s">
        <v>14694</v>
      </c>
    </row>
    <row r="548" spans="2:19" x14ac:dyDescent="0.25">
      <c r="B548">
        <v>10543</v>
      </c>
      <c r="C548" t="s">
        <v>21868</v>
      </c>
      <c r="E548">
        <v>128</v>
      </c>
      <c r="F548">
        <v>109</v>
      </c>
      <c r="G548">
        <v>44</v>
      </c>
      <c r="Q548" t="s">
        <v>21869</v>
      </c>
    </row>
    <row r="549" spans="2:19" x14ac:dyDescent="0.25">
      <c r="B549">
        <v>11993</v>
      </c>
      <c r="C549" t="s">
        <v>21870</v>
      </c>
      <c r="E549">
        <v>128</v>
      </c>
      <c r="F549">
        <v>109</v>
      </c>
      <c r="G549">
        <v>44</v>
      </c>
      <c r="R549" t="s">
        <v>21871</v>
      </c>
    </row>
    <row r="550" spans="2:19" x14ac:dyDescent="0.25">
      <c r="B550">
        <v>11988</v>
      </c>
      <c r="C550" t="s">
        <v>21872</v>
      </c>
      <c r="E550">
        <v>128</v>
      </c>
      <c r="F550">
        <v>109</v>
      </c>
      <c r="G550">
        <v>44</v>
      </c>
      <c r="R550" t="s">
        <v>21873</v>
      </c>
    </row>
    <row r="551" spans="2:19" x14ac:dyDescent="0.25">
      <c r="B551">
        <v>11991</v>
      </c>
      <c r="C551" t="s">
        <v>21874</v>
      </c>
      <c r="E551">
        <v>128</v>
      </c>
      <c r="F551">
        <v>109</v>
      </c>
      <c r="G551">
        <v>44</v>
      </c>
      <c r="R551" t="s">
        <v>21875</v>
      </c>
    </row>
    <row r="552" spans="2:19" x14ac:dyDescent="0.25">
      <c r="B552">
        <v>13289</v>
      </c>
      <c r="C552" t="s">
        <v>21876</v>
      </c>
      <c r="E552">
        <v>128</v>
      </c>
      <c r="F552">
        <v>109</v>
      </c>
      <c r="G552">
        <v>44</v>
      </c>
      <c r="S552" t="s">
        <v>21877</v>
      </c>
    </row>
    <row r="553" spans="2:19" x14ac:dyDescent="0.25">
      <c r="B553">
        <v>13290</v>
      </c>
      <c r="C553" t="s">
        <v>21878</v>
      </c>
      <c r="E553">
        <v>128</v>
      </c>
      <c r="F553">
        <v>109</v>
      </c>
      <c r="G553">
        <v>44</v>
      </c>
      <c r="S553" t="s">
        <v>21879</v>
      </c>
    </row>
    <row r="554" spans="2:19" x14ac:dyDescent="0.25">
      <c r="B554">
        <v>11992</v>
      </c>
      <c r="C554" t="s">
        <v>21880</v>
      </c>
      <c r="E554">
        <v>128</v>
      </c>
      <c r="F554">
        <v>109</v>
      </c>
      <c r="G554">
        <v>44</v>
      </c>
      <c r="R554" t="s">
        <v>21881</v>
      </c>
    </row>
    <row r="555" spans="2:19" x14ac:dyDescent="0.25">
      <c r="B555">
        <v>11989</v>
      </c>
      <c r="C555" t="s">
        <v>21882</v>
      </c>
      <c r="E555">
        <v>142</v>
      </c>
      <c r="F555">
        <v>113</v>
      </c>
      <c r="G555">
        <v>44</v>
      </c>
      <c r="R555" t="s">
        <v>21883</v>
      </c>
    </row>
    <row r="556" spans="2:19" x14ac:dyDescent="0.25">
      <c r="B556">
        <v>11990</v>
      </c>
      <c r="C556" t="s">
        <v>21884</v>
      </c>
      <c r="E556">
        <v>123</v>
      </c>
      <c r="F556">
        <v>114</v>
      </c>
      <c r="G556">
        <v>72</v>
      </c>
      <c r="R556" t="s">
        <v>21885</v>
      </c>
    </row>
    <row r="557" spans="2:19" x14ac:dyDescent="0.25">
      <c r="B557">
        <v>13291</v>
      </c>
      <c r="C557" t="s">
        <v>21886</v>
      </c>
      <c r="E557">
        <v>123</v>
      </c>
      <c r="F557">
        <v>114</v>
      </c>
      <c r="G557">
        <v>72</v>
      </c>
      <c r="S557" t="s">
        <v>21887</v>
      </c>
    </row>
    <row r="558" spans="2:19" x14ac:dyDescent="0.25">
      <c r="B558">
        <v>13292</v>
      </c>
      <c r="C558" t="s">
        <v>21888</v>
      </c>
      <c r="E558">
        <v>123</v>
      </c>
      <c r="F558">
        <v>114</v>
      </c>
      <c r="G558">
        <v>72</v>
      </c>
      <c r="S558" t="s">
        <v>21889</v>
      </c>
    </row>
    <row r="559" spans="2:19" x14ac:dyDescent="0.25">
      <c r="B559">
        <v>10545</v>
      </c>
      <c r="C559" t="s">
        <v>21890</v>
      </c>
      <c r="E559">
        <v>174</v>
      </c>
      <c r="F559">
        <v>123</v>
      </c>
      <c r="G559">
        <v>44</v>
      </c>
      <c r="Q559" t="s">
        <v>21891</v>
      </c>
    </row>
    <row r="560" spans="2:19" x14ac:dyDescent="0.25">
      <c r="B560">
        <v>11998</v>
      </c>
      <c r="C560" t="s">
        <v>21892</v>
      </c>
      <c r="E560">
        <v>180</v>
      </c>
      <c r="F560">
        <v>93</v>
      </c>
      <c r="G560">
        <v>39</v>
      </c>
      <c r="R560" t="s">
        <v>21893</v>
      </c>
    </row>
    <row r="561" spans="2:19" x14ac:dyDescent="0.25">
      <c r="B561">
        <v>13293</v>
      </c>
      <c r="C561" t="s">
        <v>21894</v>
      </c>
      <c r="E561">
        <v>180</v>
      </c>
      <c r="F561">
        <v>93</v>
      </c>
      <c r="G561">
        <v>39</v>
      </c>
      <c r="S561" t="s">
        <v>21895</v>
      </c>
    </row>
    <row r="562" spans="2:19" x14ac:dyDescent="0.25">
      <c r="B562">
        <v>13294</v>
      </c>
      <c r="C562" t="s">
        <v>21896</v>
      </c>
      <c r="E562">
        <v>180</v>
      </c>
      <c r="F562">
        <v>93</v>
      </c>
      <c r="G562">
        <v>39</v>
      </c>
      <c r="S562" t="s">
        <v>21897</v>
      </c>
    </row>
    <row r="563" spans="2:19" x14ac:dyDescent="0.25">
      <c r="B563">
        <v>12001</v>
      </c>
      <c r="C563" t="s">
        <v>21898</v>
      </c>
      <c r="E563">
        <v>174</v>
      </c>
      <c r="F563">
        <v>123</v>
      </c>
      <c r="G563">
        <v>44</v>
      </c>
      <c r="R563" t="s">
        <v>21899</v>
      </c>
    </row>
    <row r="564" spans="2:19" x14ac:dyDescent="0.25">
      <c r="B564">
        <v>11999</v>
      </c>
      <c r="C564" t="s">
        <v>21900</v>
      </c>
      <c r="E564">
        <v>174</v>
      </c>
      <c r="F564">
        <v>123</v>
      </c>
      <c r="G564">
        <v>44</v>
      </c>
      <c r="R564" t="s">
        <v>21901</v>
      </c>
    </row>
    <row r="565" spans="2:19" x14ac:dyDescent="0.25">
      <c r="B565">
        <v>12000</v>
      </c>
      <c r="C565" t="s">
        <v>21902</v>
      </c>
      <c r="E565">
        <v>174</v>
      </c>
      <c r="F565">
        <v>123</v>
      </c>
      <c r="G565">
        <v>44</v>
      </c>
      <c r="R565" t="s">
        <v>21903</v>
      </c>
    </row>
    <row r="566" spans="2:19" x14ac:dyDescent="0.25">
      <c r="B566">
        <v>13295</v>
      </c>
      <c r="C566" t="s">
        <v>21904</v>
      </c>
      <c r="E566">
        <v>174</v>
      </c>
      <c r="F566">
        <v>123</v>
      </c>
      <c r="G566">
        <v>44</v>
      </c>
      <c r="S566" t="s">
        <v>21905</v>
      </c>
    </row>
    <row r="567" spans="2:19" x14ac:dyDescent="0.25">
      <c r="B567">
        <v>13296</v>
      </c>
      <c r="C567" t="s">
        <v>21906</v>
      </c>
      <c r="E567">
        <v>174</v>
      </c>
      <c r="F567">
        <v>123</v>
      </c>
      <c r="G567">
        <v>44</v>
      </c>
      <c r="S567" t="s">
        <v>21907</v>
      </c>
    </row>
    <row r="568" spans="2:19" x14ac:dyDescent="0.25">
      <c r="B568">
        <v>10546</v>
      </c>
      <c r="C568" t="s">
        <v>21908</v>
      </c>
      <c r="E568">
        <v>167</v>
      </c>
      <c r="F568">
        <v>70</v>
      </c>
      <c r="G568">
        <v>119</v>
      </c>
      <c r="Q568" t="s">
        <v>21909</v>
      </c>
    </row>
    <row r="569" spans="2:19" x14ac:dyDescent="0.25">
      <c r="B569">
        <v>15511</v>
      </c>
      <c r="C569" t="s">
        <v>21910</v>
      </c>
      <c r="E569">
        <v>167</v>
      </c>
      <c r="F569">
        <v>70</v>
      </c>
      <c r="G569">
        <v>119</v>
      </c>
      <c r="R569" t="s">
        <v>21911</v>
      </c>
    </row>
    <row r="570" spans="2:19" x14ac:dyDescent="0.25">
      <c r="B570">
        <v>12002</v>
      </c>
      <c r="C570" t="s">
        <v>21912</v>
      </c>
      <c r="E570">
        <v>167</v>
      </c>
      <c r="F570">
        <v>70</v>
      </c>
      <c r="G570">
        <v>119</v>
      </c>
      <c r="S570" t="s">
        <v>21913</v>
      </c>
    </row>
    <row r="571" spans="2:19" x14ac:dyDescent="0.25">
      <c r="B571">
        <v>12003</v>
      </c>
      <c r="C571" t="s">
        <v>21914</v>
      </c>
      <c r="E571">
        <v>167</v>
      </c>
      <c r="F571">
        <v>70</v>
      </c>
      <c r="G571">
        <v>119</v>
      </c>
      <c r="S571" t="s">
        <v>21915</v>
      </c>
    </row>
    <row r="572" spans="2:19" x14ac:dyDescent="0.25">
      <c r="B572">
        <v>13181</v>
      </c>
      <c r="C572" t="s">
        <v>21916</v>
      </c>
      <c r="E572">
        <v>167</v>
      </c>
      <c r="F572">
        <v>70</v>
      </c>
      <c r="G572">
        <v>119</v>
      </c>
      <c r="S572" t="s">
        <v>21917</v>
      </c>
    </row>
    <row r="573" spans="2:19" x14ac:dyDescent="0.25">
      <c r="B573">
        <v>13185</v>
      </c>
      <c r="C573" t="s">
        <v>21918</v>
      </c>
      <c r="E573">
        <v>167</v>
      </c>
      <c r="F573">
        <v>70</v>
      </c>
      <c r="G573">
        <v>119</v>
      </c>
      <c r="S573" t="s">
        <v>21919</v>
      </c>
    </row>
    <row r="574" spans="2:19" x14ac:dyDescent="0.25">
      <c r="B574">
        <v>15512</v>
      </c>
      <c r="C574" t="s">
        <v>21920</v>
      </c>
      <c r="E574">
        <v>167</v>
      </c>
      <c r="F574">
        <v>70</v>
      </c>
      <c r="G574">
        <v>119</v>
      </c>
      <c r="R574" t="s">
        <v>21921</v>
      </c>
    </row>
    <row r="575" spans="2:19" x14ac:dyDescent="0.25">
      <c r="B575">
        <v>13182</v>
      </c>
      <c r="C575" t="s">
        <v>21922</v>
      </c>
      <c r="E575">
        <v>167</v>
      </c>
      <c r="F575">
        <v>70</v>
      </c>
      <c r="G575">
        <v>119</v>
      </c>
      <c r="S575" t="s">
        <v>21923</v>
      </c>
    </row>
    <row r="576" spans="2:19" x14ac:dyDescent="0.25">
      <c r="B576">
        <v>12004</v>
      </c>
      <c r="C576" t="s">
        <v>21924</v>
      </c>
      <c r="E576">
        <v>167</v>
      </c>
      <c r="F576">
        <v>70</v>
      </c>
      <c r="G576">
        <v>119</v>
      </c>
      <c r="S576" t="s">
        <v>21925</v>
      </c>
    </row>
    <row r="577" spans="2:21" x14ac:dyDescent="0.25">
      <c r="B577">
        <v>13297</v>
      </c>
      <c r="C577" t="s">
        <v>21926</v>
      </c>
      <c r="E577">
        <v>167</v>
      </c>
      <c r="F577">
        <v>70</v>
      </c>
      <c r="G577">
        <v>119</v>
      </c>
      <c r="T577" t="s">
        <v>21927</v>
      </c>
    </row>
    <row r="578" spans="2:21" x14ac:dyDescent="0.25">
      <c r="B578">
        <v>13298</v>
      </c>
      <c r="C578" t="s">
        <v>21928</v>
      </c>
      <c r="E578">
        <v>167</v>
      </c>
      <c r="F578">
        <v>70</v>
      </c>
      <c r="G578">
        <v>119</v>
      </c>
      <c r="T578" t="s">
        <v>21929</v>
      </c>
    </row>
    <row r="579" spans="2:21" x14ac:dyDescent="0.25">
      <c r="B579">
        <v>12005</v>
      </c>
      <c r="C579" t="s">
        <v>21930</v>
      </c>
      <c r="E579">
        <v>167</v>
      </c>
      <c r="F579">
        <v>70</v>
      </c>
      <c r="G579">
        <v>119</v>
      </c>
      <c r="S579" t="s">
        <v>21931</v>
      </c>
    </row>
    <row r="580" spans="2:21" x14ac:dyDescent="0.25">
      <c r="B580">
        <v>13183</v>
      </c>
      <c r="C580" t="s">
        <v>21932</v>
      </c>
      <c r="E580">
        <v>167</v>
      </c>
      <c r="F580">
        <v>70</v>
      </c>
      <c r="G580">
        <v>119</v>
      </c>
      <c r="T580" t="s">
        <v>21933</v>
      </c>
    </row>
    <row r="581" spans="2:21" x14ac:dyDescent="0.25">
      <c r="B581">
        <v>13184</v>
      </c>
      <c r="C581" t="s">
        <v>21934</v>
      </c>
      <c r="E581">
        <v>167</v>
      </c>
      <c r="F581">
        <v>70</v>
      </c>
      <c r="G581">
        <v>119</v>
      </c>
      <c r="T581" t="s">
        <v>21935</v>
      </c>
    </row>
    <row r="582" spans="2:21" x14ac:dyDescent="0.25">
      <c r="B582">
        <v>13299</v>
      </c>
      <c r="C582" t="s">
        <v>21936</v>
      </c>
      <c r="E582">
        <v>167</v>
      </c>
      <c r="F582">
        <v>70</v>
      </c>
      <c r="G582">
        <v>119</v>
      </c>
      <c r="U582" t="s">
        <v>21937</v>
      </c>
    </row>
    <row r="583" spans="2:21" x14ac:dyDescent="0.25">
      <c r="B583">
        <v>13300</v>
      </c>
      <c r="C583" t="s">
        <v>21938</v>
      </c>
      <c r="E583">
        <v>167</v>
      </c>
      <c r="F583">
        <v>70</v>
      </c>
      <c r="G583">
        <v>119</v>
      </c>
      <c r="U583" t="s">
        <v>21939</v>
      </c>
    </row>
    <row r="584" spans="2:21" x14ac:dyDescent="0.25">
      <c r="B584">
        <v>12006</v>
      </c>
      <c r="C584" t="s">
        <v>21940</v>
      </c>
      <c r="E584">
        <v>167</v>
      </c>
      <c r="F584">
        <v>70</v>
      </c>
      <c r="G584">
        <v>119</v>
      </c>
      <c r="R584" t="s">
        <v>21941</v>
      </c>
    </row>
    <row r="585" spans="2:21" x14ac:dyDescent="0.25">
      <c r="B585">
        <v>13301</v>
      </c>
      <c r="C585" t="s">
        <v>21942</v>
      </c>
      <c r="E585">
        <v>167</v>
      </c>
      <c r="F585">
        <v>70</v>
      </c>
      <c r="G585">
        <v>119</v>
      </c>
      <c r="S585" t="s">
        <v>21943</v>
      </c>
    </row>
    <row r="586" spans="2:21" x14ac:dyDescent="0.25">
      <c r="B586">
        <v>13302</v>
      </c>
      <c r="C586" t="s">
        <v>21944</v>
      </c>
      <c r="E586">
        <v>167</v>
      </c>
      <c r="F586">
        <v>70</v>
      </c>
      <c r="G586">
        <v>119</v>
      </c>
      <c r="S586" t="s">
        <v>21945</v>
      </c>
    </row>
    <row r="587" spans="2:21" x14ac:dyDescent="0.25">
      <c r="B587">
        <v>12007</v>
      </c>
      <c r="C587" t="s">
        <v>21946</v>
      </c>
      <c r="E587">
        <v>167</v>
      </c>
      <c r="F587">
        <v>70</v>
      </c>
      <c r="G587">
        <v>119</v>
      </c>
      <c r="R587" t="s">
        <v>21947</v>
      </c>
    </row>
    <row r="588" spans="2:21" x14ac:dyDescent="0.25">
      <c r="B588">
        <v>12008</v>
      </c>
      <c r="C588" t="s">
        <v>21948</v>
      </c>
      <c r="E588">
        <v>167</v>
      </c>
      <c r="F588">
        <v>70</v>
      </c>
      <c r="G588">
        <v>119</v>
      </c>
      <c r="R588" t="s">
        <v>21949</v>
      </c>
    </row>
    <row r="589" spans="2:21" x14ac:dyDescent="0.25">
      <c r="B589">
        <v>12009</v>
      </c>
      <c r="C589" t="s">
        <v>21950</v>
      </c>
      <c r="E589">
        <v>167</v>
      </c>
      <c r="F589">
        <v>70</v>
      </c>
      <c r="G589">
        <v>119</v>
      </c>
      <c r="R589" t="s">
        <v>21951</v>
      </c>
    </row>
    <row r="590" spans="2:21" x14ac:dyDescent="0.25">
      <c r="B590">
        <v>10544</v>
      </c>
      <c r="C590" t="s">
        <v>21952</v>
      </c>
      <c r="E590">
        <v>174</v>
      </c>
      <c r="F590">
        <v>65</v>
      </c>
      <c r="G590">
        <v>37</v>
      </c>
      <c r="Q590" t="s">
        <v>21953</v>
      </c>
    </row>
    <row r="591" spans="2:21" x14ac:dyDescent="0.25">
      <c r="B591">
        <v>13180</v>
      </c>
      <c r="C591" t="s">
        <v>21954</v>
      </c>
      <c r="E591">
        <v>179</v>
      </c>
      <c r="F591">
        <v>68</v>
      </c>
      <c r="G591">
        <v>41</v>
      </c>
      <c r="R591" t="s">
        <v>21955</v>
      </c>
    </row>
    <row r="592" spans="2:21" x14ac:dyDescent="0.25">
      <c r="B592">
        <v>11994</v>
      </c>
      <c r="C592" t="s">
        <v>21956</v>
      </c>
      <c r="E592">
        <v>174</v>
      </c>
      <c r="F592">
        <v>65</v>
      </c>
      <c r="G592">
        <v>37</v>
      </c>
      <c r="R592" t="s">
        <v>21957</v>
      </c>
    </row>
    <row r="593" spans="2:19" x14ac:dyDescent="0.25">
      <c r="B593">
        <v>13303</v>
      </c>
      <c r="C593" t="s">
        <v>21958</v>
      </c>
      <c r="E593">
        <v>174</v>
      </c>
      <c r="F593">
        <v>65</v>
      </c>
      <c r="G593">
        <v>37</v>
      </c>
      <c r="S593" t="s">
        <v>21959</v>
      </c>
    </row>
    <row r="594" spans="2:19" x14ac:dyDescent="0.25">
      <c r="B594">
        <v>13304</v>
      </c>
      <c r="C594" t="s">
        <v>21960</v>
      </c>
      <c r="E594">
        <v>174</v>
      </c>
      <c r="F594">
        <v>65</v>
      </c>
      <c r="G594">
        <v>37</v>
      </c>
      <c r="S594" t="s">
        <v>21961</v>
      </c>
    </row>
    <row r="595" spans="2:19" x14ac:dyDescent="0.25">
      <c r="B595">
        <v>13179</v>
      </c>
      <c r="C595" t="s">
        <v>21962</v>
      </c>
      <c r="E595">
        <v>179</v>
      </c>
      <c r="F595">
        <v>68</v>
      </c>
      <c r="G595">
        <v>41</v>
      </c>
      <c r="R595" t="s">
        <v>21963</v>
      </c>
    </row>
    <row r="596" spans="2:19" x14ac:dyDescent="0.25">
      <c r="B596">
        <v>11995</v>
      </c>
      <c r="C596" t="s">
        <v>21964</v>
      </c>
      <c r="E596">
        <v>174</v>
      </c>
      <c r="F596">
        <v>65</v>
      </c>
      <c r="G596">
        <v>37</v>
      </c>
      <c r="S596" t="s">
        <v>21965</v>
      </c>
    </row>
    <row r="597" spans="2:19" x14ac:dyDescent="0.25">
      <c r="B597">
        <v>11996</v>
      </c>
      <c r="C597" t="s">
        <v>21966</v>
      </c>
      <c r="E597">
        <v>174</v>
      </c>
      <c r="F597">
        <v>65</v>
      </c>
      <c r="G597">
        <v>37</v>
      </c>
      <c r="S597" t="s">
        <v>21967</v>
      </c>
    </row>
    <row r="598" spans="2:19" x14ac:dyDescent="0.25">
      <c r="B598">
        <v>11997</v>
      </c>
      <c r="C598" t="s">
        <v>21968</v>
      </c>
      <c r="E598">
        <v>174</v>
      </c>
      <c r="F598">
        <v>65</v>
      </c>
      <c r="G598">
        <v>37</v>
      </c>
      <c r="S598" t="s">
        <v>21969</v>
      </c>
    </row>
    <row r="599" spans="2:19" x14ac:dyDescent="0.25">
      <c r="B599">
        <v>12010</v>
      </c>
      <c r="C599" t="s">
        <v>21970</v>
      </c>
      <c r="E599">
        <v>173</v>
      </c>
      <c r="F599">
        <v>64</v>
      </c>
      <c r="G599">
        <v>91</v>
      </c>
      <c r="Q599" t="s">
        <v>21971</v>
      </c>
    </row>
    <row r="600" spans="2:19" x14ac:dyDescent="0.25">
      <c r="B600">
        <v>12011</v>
      </c>
      <c r="C600" t="s">
        <v>21972</v>
      </c>
      <c r="E600">
        <v>173</v>
      </c>
      <c r="F600">
        <v>64</v>
      </c>
      <c r="G600">
        <v>91</v>
      </c>
      <c r="R600" t="s">
        <v>21973</v>
      </c>
    </row>
    <row r="601" spans="2:19" x14ac:dyDescent="0.25">
      <c r="B601">
        <v>12012</v>
      </c>
      <c r="C601" t="s">
        <v>21974</v>
      </c>
      <c r="E601">
        <v>173</v>
      </c>
      <c r="F601">
        <v>64</v>
      </c>
      <c r="G601">
        <v>91</v>
      </c>
      <c r="R601" t="s">
        <v>21975</v>
      </c>
    </row>
    <row r="602" spans="2:19" x14ac:dyDescent="0.25">
      <c r="B602">
        <v>12013</v>
      </c>
      <c r="C602" t="s">
        <v>21976</v>
      </c>
      <c r="E602">
        <v>173</v>
      </c>
      <c r="F602">
        <v>64</v>
      </c>
      <c r="G602">
        <v>91</v>
      </c>
      <c r="R602" t="s">
        <v>21977</v>
      </c>
    </row>
    <row r="603" spans="2:19" x14ac:dyDescent="0.25">
      <c r="B603">
        <v>12014</v>
      </c>
      <c r="C603" t="s">
        <v>21978</v>
      </c>
      <c r="E603">
        <v>173</v>
      </c>
      <c r="F603">
        <v>64</v>
      </c>
      <c r="G603">
        <v>91</v>
      </c>
      <c r="R603" t="s">
        <v>21979</v>
      </c>
    </row>
    <row r="604" spans="2:19" x14ac:dyDescent="0.25">
      <c r="B604">
        <v>10548</v>
      </c>
      <c r="C604" t="s">
        <v>21980</v>
      </c>
      <c r="E604">
        <v>153</v>
      </c>
      <c r="F604">
        <v>119</v>
      </c>
      <c r="G604">
        <v>92</v>
      </c>
      <c r="Q604" t="s">
        <v>21981</v>
      </c>
    </row>
    <row r="605" spans="2:19" x14ac:dyDescent="0.25">
      <c r="B605">
        <v>12019</v>
      </c>
      <c r="C605" t="s">
        <v>21982</v>
      </c>
      <c r="E605">
        <v>153</v>
      </c>
      <c r="F605">
        <v>119</v>
      </c>
      <c r="G605">
        <v>92</v>
      </c>
      <c r="R605" t="s">
        <v>21983</v>
      </c>
    </row>
    <row r="606" spans="2:19" x14ac:dyDescent="0.25">
      <c r="B606">
        <v>13196</v>
      </c>
      <c r="C606" t="s">
        <v>21984</v>
      </c>
      <c r="E606">
        <v>153</v>
      </c>
      <c r="F606">
        <v>119</v>
      </c>
      <c r="G606">
        <v>92</v>
      </c>
      <c r="S606" t="s">
        <v>21985</v>
      </c>
    </row>
    <row r="607" spans="2:19" x14ac:dyDescent="0.25">
      <c r="B607">
        <v>13197</v>
      </c>
      <c r="C607" t="s">
        <v>21986</v>
      </c>
      <c r="E607">
        <v>153</v>
      </c>
      <c r="F607">
        <v>119</v>
      </c>
      <c r="G607">
        <v>92</v>
      </c>
      <c r="S607" t="s">
        <v>21987</v>
      </c>
    </row>
    <row r="608" spans="2:19" x14ac:dyDescent="0.25">
      <c r="B608">
        <v>13192</v>
      </c>
      <c r="C608" t="s">
        <v>21988</v>
      </c>
      <c r="E608">
        <v>153</v>
      </c>
      <c r="F608">
        <v>119</v>
      </c>
      <c r="G608">
        <v>92</v>
      </c>
      <c r="R608" t="s">
        <v>21989</v>
      </c>
    </row>
    <row r="609" spans="2:20" x14ac:dyDescent="0.25">
      <c r="B609">
        <v>13193</v>
      </c>
      <c r="C609" t="s">
        <v>21990</v>
      </c>
      <c r="E609">
        <v>153</v>
      </c>
      <c r="F609">
        <v>119</v>
      </c>
      <c r="G609">
        <v>92</v>
      </c>
      <c r="S609" t="s">
        <v>21991</v>
      </c>
    </row>
    <row r="610" spans="2:20" x14ac:dyDescent="0.25">
      <c r="B610">
        <v>12018</v>
      </c>
      <c r="C610" t="s">
        <v>21992</v>
      </c>
      <c r="E610">
        <v>153</v>
      </c>
      <c r="F610">
        <v>119</v>
      </c>
      <c r="G610">
        <v>92</v>
      </c>
      <c r="T610" t="s">
        <v>21993</v>
      </c>
    </row>
    <row r="611" spans="2:20" x14ac:dyDescent="0.25">
      <c r="B611">
        <v>13194</v>
      </c>
      <c r="C611" t="s">
        <v>21994</v>
      </c>
      <c r="E611">
        <v>153</v>
      </c>
      <c r="F611">
        <v>119</v>
      </c>
      <c r="G611">
        <v>92</v>
      </c>
      <c r="S611" t="s">
        <v>21995</v>
      </c>
    </row>
    <row r="612" spans="2:20" x14ac:dyDescent="0.25">
      <c r="B612">
        <v>13195</v>
      </c>
      <c r="C612" t="s">
        <v>21996</v>
      </c>
      <c r="E612">
        <v>153</v>
      </c>
      <c r="F612">
        <v>119</v>
      </c>
      <c r="G612">
        <v>92</v>
      </c>
      <c r="T612" t="s">
        <v>21997</v>
      </c>
    </row>
    <row r="613" spans="2:20" x14ac:dyDescent="0.25">
      <c r="B613">
        <v>12017</v>
      </c>
      <c r="C613" t="s">
        <v>21998</v>
      </c>
      <c r="E613">
        <v>153</v>
      </c>
      <c r="F613">
        <v>119</v>
      </c>
      <c r="G613">
        <v>92</v>
      </c>
      <c r="R613" t="s">
        <v>21999</v>
      </c>
    </row>
    <row r="614" spans="2:20" x14ac:dyDescent="0.25">
      <c r="B614">
        <v>13190</v>
      </c>
      <c r="C614" t="s">
        <v>22000</v>
      </c>
      <c r="E614">
        <v>153</v>
      </c>
      <c r="F614">
        <v>119</v>
      </c>
      <c r="G614">
        <v>92</v>
      </c>
      <c r="S614" t="s">
        <v>22001</v>
      </c>
    </row>
    <row r="615" spans="2:20" x14ac:dyDescent="0.25">
      <c r="B615">
        <v>13191</v>
      </c>
      <c r="C615" t="s">
        <v>22002</v>
      </c>
      <c r="E615">
        <v>153</v>
      </c>
      <c r="F615">
        <v>119</v>
      </c>
      <c r="G615">
        <v>92</v>
      </c>
      <c r="S615" t="s">
        <v>22003</v>
      </c>
    </row>
    <row r="616" spans="2:20" x14ac:dyDescent="0.25">
      <c r="B616">
        <v>12020</v>
      </c>
      <c r="C616" t="s">
        <v>22004</v>
      </c>
      <c r="E616">
        <v>153</v>
      </c>
      <c r="F616">
        <v>119</v>
      </c>
      <c r="G616">
        <v>92</v>
      </c>
      <c r="R616" t="s">
        <v>22005</v>
      </c>
    </row>
    <row r="617" spans="2:20" x14ac:dyDescent="0.25">
      <c r="B617">
        <v>10547</v>
      </c>
      <c r="C617" t="s">
        <v>22006</v>
      </c>
      <c r="E617">
        <v>93</v>
      </c>
      <c r="F617">
        <v>69</v>
      </c>
      <c r="G617">
        <v>127</v>
      </c>
      <c r="Q617" t="s">
        <v>22007</v>
      </c>
    </row>
    <row r="618" spans="2:20" x14ac:dyDescent="0.25">
      <c r="B618">
        <v>12015</v>
      </c>
      <c r="C618" t="s">
        <v>22008</v>
      </c>
      <c r="E618">
        <v>93</v>
      </c>
      <c r="F618">
        <v>69</v>
      </c>
      <c r="G618">
        <v>127</v>
      </c>
      <c r="R618" t="s">
        <v>22009</v>
      </c>
    </row>
    <row r="619" spans="2:20" x14ac:dyDescent="0.25">
      <c r="B619">
        <v>13186</v>
      </c>
      <c r="C619" t="s">
        <v>22010</v>
      </c>
      <c r="E619">
        <v>93</v>
      </c>
      <c r="F619">
        <v>69</v>
      </c>
      <c r="G619">
        <v>127</v>
      </c>
      <c r="S619" t="s">
        <v>22011</v>
      </c>
    </row>
    <row r="620" spans="2:20" x14ac:dyDescent="0.25">
      <c r="B620">
        <v>13187</v>
      </c>
      <c r="C620" t="s">
        <v>22012</v>
      </c>
      <c r="E620">
        <v>93</v>
      </c>
      <c r="F620">
        <v>69</v>
      </c>
      <c r="G620">
        <v>127</v>
      </c>
      <c r="S620" t="s">
        <v>22013</v>
      </c>
    </row>
    <row r="621" spans="2:20" x14ac:dyDescent="0.25">
      <c r="B621">
        <v>12016</v>
      </c>
      <c r="C621" t="s">
        <v>22014</v>
      </c>
      <c r="E621">
        <v>93</v>
      </c>
      <c r="F621">
        <v>69</v>
      </c>
      <c r="G621">
        <v>127</v>
      </c>
      <c r="R621" t="s">
        <v>22015</v>
      </c>
    </row>
    <row r="622" spans="2:20" x14ac:dyDescent="0.25">
      <c r="B622">
        <v>13188</v>
      </c>
      <c r="C622" t="s">
        <v>22016</v>
      </c>
      <c r="E622">
        <v>93</v>
      </c>
      <c r="F622">
        <v>69</v>
      </c>
      <c r="G622">
        <v>127</v>
      </c>
      <c r="S622" t="s">
        <v>22017</v>
      </c>
    </row>
    <row r="623" spans="2:20" x14ac:dyDescent="0.25">
      <c r="B623">
        <v>13189</v>
      </c>
      <c r="C623" t="s">
        <v>22018</v>
      </c>
      <c r="E623">
        <v>93</v>
      </c>
      <c r="F623">
        <v>69</v>
      </c>
      <c r="G623">
        <v>127</v>
      </c>
      <c r="S623" t="s">
        <v>22019</v>
      </c>
    </row>
    <row r="624" spans="2:20" x14ac:dyDescent="0.25">
      <c r="B624">
        <v>10549</v>
      </c>
      <c r="C624" t="s">
        <v>22020</v>
      </c>
      <c r="E624">
        <v>129</v>
      </c>
      <c r="F624">
        <v>105</v>
      </c>
      <c r="G624">
        <v>107</v>
      </c>
      <c r="Q624" t="s">
        <v>2052</v>
      </c>
    </row>
    <row r="625" spans="2:19" x14ac:dyDescent="0.25">
      <c r="B625">
        <v>13305</v>
      </c>
      <c r="C625" t="s">
        <v>22021</v>
      </c>
      <c r="E625">
        <v>129</v>
      </c>
      <c r="F625">
        <v>105</v>
      </c>
      <c r="G625">
        <v>107</v>
      </c>
      <c r="R625" t="s">
        <v>22022</v>
      </c>
    </row>
    <row r="626" spans="2:19" x14ac:dyDescent="0.25">
      <c r="B626">
        <v>10551</v>
      </c>
      <c r="C626" t="s">
        <v>22023</v>
      </c>
      <c r="E626">
        <v>147</v>
      </c>
      <c r="F626">
        <v>123</v>
      </c>
      <c r="G626">
        <v>124</v>
      </c>
      <c r="R626" t="s">
        <v>2585</v>
      </c>
    </row>
    <row r="627" spans="2:19" x14ac:dyDescent="0.25">
      <c r="B627">
        <v>13306</v>
      </c>
      <c r="C627" t="s">
        <v>22024</v>
      </c>
      <c r="E627">
        <v>147</v>
      </c>
      <c r="F627">
        <v>123</v>
      </c>
      <c r="G627">
        <v>124</v>
      </c>
      <c r="S627" t="s">
        <v>22025</v>
      </c>
    </row>
    <row r="628" spans="2:19" x14ac:dyDescent="0.25">
      <c r="B628">
        <v>13307</v>
      </c>
      <c r="C628" t="s">
        <v>22026</v>
      </c>
      <c r="E628">
        <v>147</v>
      </c>
      <c r="F628">
        <v>123</v>
      </c>
      <c r="G628">
        <v>124</v>
      </c>
      <c r="S628" t="s">
        <v>22027</v>
      </c>
    </row>
    <row r="629" spans="2:19" x14ac:dyDescent="0.25">
      <c r="B629">
        <v>13308</v>
      </c>
      <c r="C629" t="s">
        <v>22028</v>
      </c>
      <c r="E629">
        <v>129</v>
      </c>
      <c r="F629">
        <v>105</v>
      </c>
      <c r="G629">
        <v>107</v>
      </c>
      <c r="R629" t="s">
        <v>22029</v>
      </c>
    </row>
    <row r="630" spans="2:19" x14ac:dyDescent="0.25">
      <c r="B630">
        <v>10550</v>
      </c>
      <c r="C630" t="s">
        <v>22030</v>
      </c>
      <c r="E630">
        <v>140</v>
      </c>
      <c r="F630">
        <v>115</v>
      </c>
      <c r="G630">
        <v>115</v>
      </c>
      <c r="R630" t="s">
        <v>2899</v>
      </c>
    </row>
    <row r="631" spans="2:19" x14ac:dyDescent="0.25">
      <c r="B631">
        <v>13309</v>
      </c>
      <c r="C631" t="s">
        <v>22031</v>
      </c>
      <c r="E631">
        <v>140</v>
      </c>
      <c r="F631">
        <v>115</v>
      </c>
      <c r="G631">
        <v>115</v>
      </c>
      <c r="S631" t="s">
        <v>22032</v>
      </c>
    </row>
    <row r="632" spans="2:19" x14ac:dyDescent="0.25">
      <c r="B632">
        <v>13310</v>
      </c>
      <c r="C632" t="s">
        <v>22033</v>
      </c>
      <c r="E632">
        <v>140</v>
      </c>
      <c r="F632">
        <v>115</v>
      </c>
      <c r="G632">
        <v>115</v>
      </c>
      <c r="S632" t="s">
        <v>22034</v>
      </c>
    </row>
    <row r="633" spans="2:19" x14ac:dyDescent="0.25">
      <c r="B633">
        <v>10552</v>
      </c>
      <c r="C633" t="s">
        <v>22035</v>
      </c>
      <c r="E633">
        <v>129</v>
      </c>
      <c r="F633">
        <v>105</v>
      </c>
      <c r="G633">
        <v>107</v>
      </c>
      <c r="R633" t="s">
        <v>875</v>
      </c>
    </row>
    <row r="634" spans="2:19" x14ac:dyDescent="0.25">
      <c r="B634">
        <v>13311</v>
      </c>
      <c r="C634" t="s">
        <v>22036</v>
      </c>
      <c r="E634">
        <v>129</v>
      </c>
      <c r="F634">
        <v>105</v>
      </c>
      <c r="G634">
        <v>107</v>
      </c>
      <c r="S634" t="s">
        <v>22037</v>
      </c>
    </row>
    <row r="635" spans="2:19" x14ac:dyDescent="0.25">
      <c r="B635">
        <v>13312</v>
      </c>
      <c r="C635" t="s">
        <v>22038</v>
      </c>
      <c r="E635">
        <v>129</v>
      </c>
      <c r="F635">
        <v>105</v>
      </c>
      <c r="G635">
        <v>107</v>
      </c>
      <c r="S635" t="s">
        <v>22039</v>
      </c>
    </row>
    <row r="636" spans="2:19" x14ac:dyDescent="0.25">
      <c r="B636">
        <v>13313</v>
      </c>
      <c r="C636" t="s">
        <v>22040</v>
      </c>
      <c r="E636">
        <v>120</v>
      </c>
      <c r="F636">
        <v>122</v>
      </c>
      <c r="G636">
        <v>50</v>
      </c>
      <c r="Q636" t="s">
        <v>22041</v>
      </c>
    </row>
    <row r="637" spans="2:19" x14ac:dyDescent="0.25">
      <c r="B637">
        <v>13314</v>
      </c>
      <c r="C637" t="s">
        <v>22042</v>
      </c>
      <c r="E637">
        <v>119</v>
      </c>
      <c r="F637">
        <v>95</v>
      </c>
      <c r="G637">
        <v>95</v>
      </c>
      <c r="Q637" t="s">
        <v>22043</v>
      </c>
    </row>
    <row r="638" spans="2:19" x14ac:dyDescent="0.25">
      <c r="B638">
        <v>10553</v>
      </c>
      <c r="C638" t="s">
        <v>22044</v>
      </c>
      <c r="E638">
        <v>103</v>
      </c>
      <c r="F638">
        <v>139</v>
      </c>
      <c r="G638">
        <v>60</v>
      </c>
      <c r="Q638" t="s">
        <v>22045</v>
      </c>
    </row>
    <row r="639" spans="2:19" x14ac:dyDescent="0.25">
      <c r="B639">
        <v>10554</v>
      </c>
      <c r="C639" t="s">
        <v>22046</v>
      </c>
      <c r="E639">
        <v>129</v>
      </c>
      <c r="F639">
        <v>63</v>
      </c>
      <c r="G639">
        <v>127</v>
      </c>
      <c r="Q639" t="s">
        <v>22047</v>
      </c>
    </row>
    <row r="640" spans="2:19" x14ac:dyDescent="0.25">
      <c r="B640">
        <v>10555</v>
      </c>
      <c r="C640" t="s">
        <v>22048</v>
      </c>
      <c r="E640">
        <v>120</v>
      </c>
      <c r="F640">
        <v>78</v>
      </c>
      <c r="G640">
        <v>105</v>
      </c>
      <c r="Q640" t="s">
        <v>22049</v>
      </c>
    </row>
    <row r="641" spans="2:19" x14ac:dyDescent="0.25">
      <c r="B641">
        <v>10556</v>
      </c>
      <c r="C641" t="s">
        <v>22050</v>
      </c>
      <c r="E641">
        <v>167</v>
      </c>
      <c r="F641">
        <v>141</v>
      </c>
      <c r="G641">
        <v>141</v>
      </c>
      <c r="Q641" t="s">
        <v>4911</v>
      </c>
    </row>
    <row r="642" spans="2:19" x14ac:dyDescent="0.25">
      <c r="B642">
        <v>13198</v>
      </c>
      <c r="C642" t="s">
        <v>22051</v>
      </c>
      <c r="E642">
        <v>147</v>
      </c>
      <c r="F642">
        <v>123</v>
      </c>
      <c r="G642">
        <v>124</v>
      </c>
      <c r="R642" t="s">
        <v>8036</v>
      </c>
    </row>
    <row r="643" spans="2:19" x14ac:dyDescent="0.25">
      <c r="B643">
        <v>13315</v>
      </c>
      <c r="C643" t="s">
        <v>22052</v>
      </c>
      <c r="E643">
        <v>129</v>
      </c>
      <c r="F643">
        <v>105</v>
      </c>
      <c r="G643">
        <v>107</v>
      </c>
      <c r="S643" t="s">
        <v>8074</v>
      </c>
    </row>
    <row r="644" spans="2:19" x14ac:dyDescent="0.25">
      <c r="B644">
        <v>13316</v>
      </c>
      <c r="C644" t="s">
        <v>22053</v>
      </c>
      <c r="E644">
        <v>129</v>
      </c>
      <c r="F644">
        <v>105</v>
      </c>
      <c r="G644">
        <v>107</v>
      </c>
      <c r="S644" t="s">
        <v>8076</v>
      </c>
    </row>
    <row r="645" spans="2:19" x14ac:dyDescent="0.25">
      <c r="B645">
        <v>13317</v>
      </c>
      <c r="C645" t="s">
        <v>22054</v>
      </c>
      <c r="E645">
        <v>129</v>
      </c>
      <c r="F645">
        <v>105</v>
      </c>
      <c r="G645">
        <v>107</v>
      </c>
      <c r="S645" t="s">
        <v>8078</v>
      </c>
    </row>
    <row r="646" spans="2:19" x14ac:dyDescent="0.25">
      <c r="B646">
        <v>13199</v>
      </c>
      <c r="C646" t="s">
        <v>22055</v>
      </c>
      <c r="E646">
        <v>140</v>
      </c>
      <c r="F646">
        <v>115</v>
      </c>
      <c r="G646">
        <v>115</v>
      </c>
      <c r="R646" t="s">
        <v>8038</v>
      </c>
    </row>
    <row r="647" spans="2:19" x14ac:dyDescent="0.25">
      <c r="B647">
        <v>13318</v>
      </c>
      <c r="C647" t="s">
        <v>22056</v>
      </c>
      <c r="E647">
        <v>119</v>
      </c>
      <c r="F647">
        <v>95</v>
      </c>
      <c r="G647">
        <v>95</v>
      </c>
      <c r="S647" t="s">
        <v>8080</v>
      </c>
    </row>
    <row r="648" spans="2:19" x14ac:dyDescent="0.25">
      <c r="B648">
        <v>13319</v>
      </c>
      <c r="C648" t="s">
        <v>22057</v>
      </c>
      <c r="E648">
        <v>119</v>
      </c>
      <c r="F648">
        <v>95</v>
      </c>
      <c r="G648">
        <v>95</v>
      </c>
      <c r="S648" t="s">
        <v>8082</v>
      </c>
    </row>
    <row r="649" spans="2:19" x14ac:dyDescent="0.25">
      <c r="B649">
        <v>13320</v>
      </c>
      <c r="C649" t="s">
        <v>22058</v>
      </c>
      <c r="E649">
        <v>119</v>
      </c>
      <c r="F649">
        <v>95</v>
      </c>
      <c r="G649">
        <v>95</v>
      </c>
      <c r="S649" t="s">
        <v>8084</v>
      </c>
    </row>
    <row r="650" spans="2:19" x14ac:dyDescent="0.25">
      <c r="B650">
        <v>13077</v>
      </c>
      <c r="C650" t="s">
        <v>22059</v>
      </c>
      <c r="E650">
        <v>205</v>
      </c>
      <c r="F650">
        <v>186</v>
      </c>
      <c r="G650">
        <v>186</v>
      </c>
      <c r="P650" t="s">
        <v>22060</v>
      </c>
    </row>
    <row r="651" spans="2:19" x14ac:dyDescent="0.25">
      <c r="B651">
        <v>13075</v>
      </c>
      <c r="C651" t="s">
        <v>22061</v>
      </c>
      <c r="E651">
        <v>198</v>
      </c>
      <c r="F651">
        <v>178</v>
      </c>
      <c r="G651">
        <v>177</v>
      </c>
      <c r="P651" t="s">
        <v>22062</v>
      </c>
    </row>
    <row r="652" spans="2:19" x14ac:dyDescent="0.25">
      <c r="B652">
        <v>13074</v>
      </c>
      <c r="C652" t="s">
        <v>22063</v>
      </c>
      <c r="E652">
        <v>205</v>
      </c>
      <c r="F652">
        <v>186</v>
      </c>
      <c r="G652">
        <v>186</v>
      </c>
      <c r="P652" t="s">
        <v>22064</v>
      </c>
    </row>
    <row r="653" spans="2:19" x14ac:dyDescent="0.25">
      <c r="B653">
        <v>13079</v>
      </c>
      <c r="C653" t="s">
        <v>22065</v>
      </c>
      <c r="E653">
        <v>182</v>
      </c>
      <c r="F653">
        <v>158</v>
      </c>
      <c r="G653">
        <v>158</v>
      </c>
      <c r="P653" t="s">
        <v>22066</v>
      </c>
    </row>
    <row r="654" spans="2:19" x14ac:dyDescent="0.25">
      <c r="B654">
        <v>13078</v>
      </c>
      <c r="C654" t="s">
        <v>22067</v>
      </c>
      <c r="E654">
        <v>212</v>
      </c>
      <c r="F654">
        <v>196</v>
      </c>
      <c r="G654">
        <v>195</v>
      </c>
      <c r="P654" t="s">
        <v>22068</v>
      </c>
    </row>
    <row r="655" spans="2:19" x14ac:dyDescent="0.25">
      <c r="B655">
        <v>10507</v>
      </c>
      <c r="C655" t="s">
        <v>22069</v>
      </c>
      <c r="E655">
        <v>227</v>
      </c>
      <c r="F655">
        <v>214</v>
      </c>
      <c r="G655">
        <v>215</v>
      </c>
      <c r="P655" t="s">
        <v>22070</v>
      </c>
    </row>
    <row r="656" spans="2:19" x14ac:dyDescent="0.25">
      <c r="B656">
        <v>13076</v>
      </c>
      <c r="C656" t="s">
        <v>22071</v>
      </c>
      <c r="E656">
        <v>205</v>
      </c>
      <c r="F656">
        <v>186</v>
      </c>
      <c r="G656">
        <v>186</v>
      </c>
      <c r="P656" t="s">
        <v>22072</v>
      </c>
    </row>
    <row r="657" spans="2:22" x14ac:dyDescent="0.25">
      <c r="B657">
        <v>146034626</v>
      </c>
      <c r="C657" t="s">
        <v>22073</v>
      </c>
      <c r="E657">
        <v>235</v>
      </c>
      <c r="F657">
        <v>225</v>
      </c>
      <c r="G657">
        <v>226</v>
      </c>
      <c r="P657" t="s">
        <v>22074</v>
      </c>
    </row>
    <row r="658" spans="2:22" x14ac:dyDescent="0.25">
      <c r="B658">
        <v>13321</v>
      </c>
      <c r="C658" t="s">
        <v>22075</v>
      </c>
      <c r="E658">
        <v>235</v>
      </c>
      <c r="F658">
        <v>225</v>
      </c>
      <c r="G658">
        <v>226</v>
      </c>
      <c r="P658" t="s">
        <v>22076</v>
      </c>
    </row>
    <row r="659" spans="2:22" x14ac:dyDescent="0.25">
      <c r="B659">
        <v>10158</v>
      </c>
      <c r="C659" t="s">
        <v>15520</v>
      </c>
      <c r="E659">
        <v>235</v>
      </c>
      <c r="F659">
        <v>214</v>
      </c>
      <c r="G659">
        <v>208</v>
      </c>
      <c r="O659" t="s">
        <v>14911</v>
      </c>
    </row>
    <row r="660" spans="2:22" x14ac:dyDescent="0.25">
      <c r="B660">
        <v>10159</v>
      </c>
      <c r="C660" t="s">
        <v>22077</v>
      </c>
      <c r="E660">
        <v>233</v>
      </c>
      <c r="F660">
        <v>204</v>
      </c>
      <c r="G660">
        <v>194</v>
      </c>
      <c r="P660" t="s">
        <v>1180</v>
      </c>
    </row>
    <row r="661" spans="2:22" x14ac:dyDescent="0.25">
      <c r="B661">
        <v>10160</v>
      </c>
      <c r="C661" t="s">
        <v>22078</v>
      </c>
      <c r="E661">
        <v>233</v>
      </c>
      <c r="F661">
        <v>204</v>
      </c>
      <c r="G661">
        <v>194</v>
      </c>
      <c r="Q661" t="s">
        <v>3201</v>
      </c>
    </row>
    <row r="662" spans="2:22" x14ac:dyDescent="0.25">
      <c r="B662">
        <v>10161</v>
      </c>
      <c r="C662" t="s">
        <v>15797</v>
      </c>
      <c r="E662">
        <v>242</v>
      </c>
      <c r="F662">
        <v>229</v>
      </c>
      <c r="G662">
        <v>187</v>
      </c>
      <c r="R662" t="s">
        <v>2014</v>
      </c>
    </row>
    <row r="663" spans="2:22" x14ac:dyDescent="0.25">
      <c r="B663">
        <v>10172</v>
      </c>
      <c r="C663" t="s">
        <v>22079</v>
      </c>
      <c r="E663">
        <v>238</v>
      </c>
      <c r="F663">
        <v>224</v>
      </c>
      <c r="G663">
        <v>168</v>
      </c>
      <c r="S663" t="s">
        <v>4077</v>
      </c>
    </row>
    <row r="664" spans="2:22" x14ac:dyDescent="0.25">
      <c r="B664">
        <v>10190</v>
      </c>
      <c r="C664" t="s">
        <v>22080</v>
      </c>
      <c r="E664">
        <v>222</v>
      </c>
      <c r="F664">
        <v>189</v>
      </c>
      <c r="G664">
        <v>62</v>
      </c>
      <c r="T664" t="s">
        <v>5139</v>
      </c>
    </row>
    <row r="665" spans="2:22" x14ac:dyDescent="0.25">
      <c r="B665">
        <v>10191</v>
      </c>
      <c r="C665" t="s">
        <v>22081</v>
      </c>
      <c r="E665">
        <v>222</v>
      </c>
      <c r="F665">
        <v>189</v>
      </c>
      <c r="G665">
        <v>62</v>
      </c>
      <c r="U665" t="s">
        <v>5141</v>
      </c>
    </row>
    <row r="666" spans="2:22" x14ac:dyDescent="0.25">
      <c r="B666">
        <v>10895</v>
      </c>
      <c r="C666" t="s">
        <v>22082</v>
      </c>
      <c r="E666">
        <v>242</v>
      </c>
      <c r="F666">
        <v>229</v>
      </c>
      <c r="G666">
        <v>187</v>
      </c>
      <c r="V666" t="s">
        <v>5713</v>
      </c>
    </row>
    <row r="667" spans="2:22" x14ac:dyDescent="0.25">
      <c r="B667">
        <v>10896</v>
      </c>
      <c r="C667" t="s">
        <v>22083</v>
      </c>
      <c r="E667">
        <v>222</v>
      </c>
      <c r="F667">
        <v>189</v>
      </c>
      <c r="G667">
        <v>62</v>
      </c>
      <c r="V667" t="s">
        <v>5715</v>
      </c>
    </row>
    <row r="668" spans="2:22" x14ac:dyDescent="0.25">
      <c r="B668">
        <v>10897</v>
      </c>
      <c r="C668" t="s">
        <v>22084</v>
      </c>
      <c r="E668">
        <v>225</v>
      </c>
      <c r="F668">
        <v>193</v>
      </c>
      <c r="G668">
        <v>82</v>
      </c>
      <c r="V668" t="s">
        <v>5717</v>
      </c>
    </row>
    <row r="669" spans="2:22" x14ac:dyDescent="0.25">
      <c r="B669">
        <v>10898</v>
      </c>
      <c r="C669" t="s">
        <v>22085</v>
      </c>
      <c r="E669">
        <v>222</v>
      </c>
      <c r="F669">
        <v>189</v>
      </c>
      <c r="G669">
        <v>62</v>
      </c>
      <c r="V669" t="s">
        <v>5719</v>
      </c>
    </row>
    <row r="670" spans="2:22" x14ac:dyDescent="0.25">
      <c r="B670">
        <v>10899</v>
      </c>
      <c r="C670" t="s">
        <v>22086</v>
      </c>
      <c r="E670">
        <v>225</v>
      </c>
      <c r="F670">
        <v>193</v>
      </c>
      <c r="G670">
        <v>82</v>
      </c>
      <c r="V670" t="s">
        <v>5721</v>
      </c>
    </row>
    <row r="671" spans="2:22" x14ac:dyDescent="0.25">
      <c r="B671">
        <v>10900</v>
      </c>
      <c r="C671" t="s">
        <v>22087</v>
      </c>
      <c r="E671">
        <v>222</v>
      </c>
      <c r="F671">
        <v>189</v>
      </c>
      <c r="G671">
        <v>62</v>
      </c>
      <c r="V671" t="s">
        <v>5723</v>
      </c>
    </row>
    <row r="672" spans="2:22" x14ac:dyDescent="0.25">
      <c r="B672">
        <v>10192</v>
      </c>
      <c r="C672" t="s">
        <v>22088</v>
      </c>
      <c r="E672">
        <v>222</v>
      </c>
      <c r="F672">
        <v>189</v>
      </c>
      <c r="G672">
        <v>62</v>
      </c>
      <c r="U672" t="s">
        <v>5143</v>
      </c>
    </row>
    <row r="673" spans="2:22" x14ac:dyDescent="0.25">
      <c r="B673">
        <v>10901</v>
      </c>
      <c r="C673" t="s">
        <v>22089</v>
      </c>
      <c r="E673">
        <v>242</v>
      </c>
      <c r="F673">
        <v>229</v>
      </c>
      <c r="G673">
        <v>187</v>
      </c>
      <c r="V673" t="s">
        <v>5725</v>
      </c>
    </row>
    <row r="674" spans="2:22" x14ac:dyDescent="0.25">
      <c r="B674">
        <v>10902</v>
      </c>
      <c r="C674" t="s">
        <v>22090</v>
      </c>
      <c r="E674">
        <v>222</v>
      </c>
      <c r="F674">
        <v>189</v>
      </c>
      <c r="G674">
        <v>62</v>
      </c>
      <c r="V674" t="s">
        <v>5727</v>
      </c>
    </row>
    <row r="675" spans="2:22" x14ac:dyDescent="0.25">
      <c r="B675">
        <v>10903</v>
      </c>
      <c r="C675" t="s">
        <v>22091</v>
      </c>
      <c r="E675">
        <v>225</v>
      </c>
      <c r="F675">
        <v>193</v>
      </c>
      <c r="G675">
        <v>82</v>
      </c>
      <c r="V675" t="s">
        <v>5729</v>
      </c>
    </row>
    <row r="676" spans="2:22" x14ac:dyDescent="0.25">
      <c r="B676">
        <v>10904</v>
      </c>
      <c r="C676" t="s">
        <v>22092</v>
      </c>
      <c r="E676">
        <v>222</v>
      </c>
      <c r="F676">
        <v>189</v>
      </c>
      <c r="G676">
        <v>62</v>
      </c>
      <c r="V676" t="s">
        <v>5731</v>
      </c>
    </row>
    <row r="677" spans="2:22" x14ac:dyDescent="0.25">
      <c r="B677">
        <v>10905</v>
      </c>
      <c r="C677" t="s">
        <v>22093</v>
      </c>
      <c r="E677">
        <v>225</v>
      </c>
      <c r="F677">
        <v>193</v>
      </c>
      <c r="G677">
        <v>82</v>
      </c>
      <c r="V677" t="s">
        <v>5733</v>
      </c>
    </row>
    <row r="678" spans="2:22" x14ac:dyDescent="0.25">
      <c r="B678">
        <v>10906</v>
      </c>
      <c r="C678" t="s">
        <v>22094</v>
      </c>
      <c r="E678">
        <v>222</v>
      </c>
      <c r="F678">
        <v>189</v>
      </c>
      <c r="G678">
        <v>62</v>
      </c>
      <c r="V678" t="s">
        <v>5735</v>
      </c>
    </row>
    <row r="679" spans="2:22" x14ac:dyDescent="0.25">
      <c r="B679">
        <v>10193</v>
      </c>
      <c r="C679" t="s">
        <v>22095</v>
      </c>
      <c r="E679">
        <v>222</v>
      </c>
      <c r="F679">
        <v>189</v>
      </c>
      <c r="G679">
        <v>62</v>
      </c>
      <c r="U679" t="s">
        <v>5145</v>
      </c>
    </row>
    <row r="680" spans="2:22" x14ac:dyDescent="0.25">
      <c r="B680">
        <v>10907</v>
      </c>
      <c r="C680" t="s">
        <v>22096</v>
      </c>
      <c r="E680">
        <v>242</v>
      </c>
      <c r="F680">
        <v>229</v>
      </c>
      <c r="G680">
        <v>187</v>
      </c>
      <c r="V680" t="s">
        <v>5737</v>
      </c>
    </row>
    <row r="681" spans="2:22" x14ac:dyDescent="0.25">
      <c r="B681">
        <v>10908</v>
      </c>
      <c r="C681" t="s">
        <v>22097</v>
      </c>
      <c r="E681">
        <v>222</v>
      </c>
      <c r="F681">
        <v>189</v>
      </c>
      <c r="G681">
        <v>62</v>
      </c>
      <c r="V681" t="s">
        <v>5739</v>
      </c>
    </row>
    <row r="682" spans="2:22" x14ac:dyDescent="0.25">
      <c r="B682">
        <v>10909</v>
      </c>
      <c r="C682" t="s">
        <v>22098</v>
      </c>
      <c r="E682">
        <v>225</v>
      </c>
      <c r="F682">
        <v>193</v>
      </c>
      <c r="G682">
        <v>82</v>
      </c>
      <c r="V682" t="s">
        <v>5741</v>
      </c>
    </row>
    <row r="683" spans="2:22" x14ac:dyDescent="0.25">
      <c r="B683">
        <v>10910</v>
      </c>
      <c r="C683" t="s">
        <v>22099</v>
      </c>
      <c r="E683">
        <v>222</v>
      </c>
      <c r="F683">
        <v>189</v>
      </c>
      <c r="G683">
        <v>62</v>
      </c>
      <c r="V683" t="s">
        <v>5743</v>
      </c>
    </row>
    <row r="684" spans="2:22" x14ac:dyDescent="0.25">
      <c r="B684">
        <v>10911</v>
      </c>
      <c r="C684" t="s">
        <v>22100</v>
      </c>
      <c r="E684">
        <v>225</v>
      </c>
      <c r="F684">
        <v>193</v>
      </c>
      <c r="G684">
        <v>82</v>
      </c>
      <c r="V684" t="s">
        <v>5745</v>
      </c>
    </row>
    <row r="685" spans="2:22" x14ac:dyDescent="0.25">
      <c r="B685">
        <v>10912</v>
      </c>
      <c r="C685" t="s">
        <v>22101</v>
      </c>
      <c r="E685">
        <v>222</v>
      </c>
      <c r="F685">
        <v>189</v>
      </c>
      <c r="G685">
        <v>62</v>
      </c>
      <c r="V685" t="s">
        <v>5747</v>
      </c>
    </row>
    <row r="686" spans="2:22" x14ac:dyDescent="0.25">
      <c r="B686">
        <v>10173</v>
      </c>
      <c r="C686" t="s">
        <v>22102</v>
      </c>
      <c r="E686">
        <v>212</v>
      </c>
      <c r="F686">
        <v>178</v>
      </c>
      <c r="G686">
        <v>53</v>
      </c>
      <c r="T686" t="s">
        <v>1636</v>
      </c>
    </row>
    <row r="687" spans="2:22" x14ac:dyDescent="0.25">
      <c r="B687">
        <v>10174</v>
      </c>
      <c r="C687" t="s">
        <v>22103</v>
      </c>
      <c r="E687">
        <v>212</v>
      </c>
      <c r="F687">
        <v>178</v>
      </c>
      <c r="G687">
        <v>53</v>
      </c>
      <c r="U687" t="s">
        <v>5107</v>
      </c>
    </row>
    <row r="688" spans="2:22" x14ac:dyDescent="0.25">
      <c r="B688">
        <v>10175</v>
      </c>
      <c r="C688" t="s">
        <v>22104</v>
      </c>
      <c r="E688">
        <v>212</v>
      </c>
      <c r="F688">
        <v>178</v>
      </c>
      <c r="G688">
        <v>53</v>
      </c>
      <c r="V688" t="s">
        <v>5109</v>
      </c>
    </row>
    <row r="689" spans="2:23" x14ac:dyDescent="0.25">
      <c r="B689">
        <v>10821</v>
      </c>
      <c r="C689" t="s">
        <v>22105</v>
      </c>
      <c r="E689">
        <v>242</v>
      </c>
      <c r="F689">
        <v>229</v>
      </c>
      <c r="G689">
        <v>187</v>
      </c>
      <c r="W689" t="s">
        <v>5577</v>
      </c>
    </row>
    <row r="690" spans="2:23" x14ac:dyDescent="0.25">
      <c r="B690">
        <v>10822</v>
      </c>
      <c r="C690" t="s">
        <v>22106</v>
      </c>
      <c r="E690">
        <v>212</v>
      </c>
      <c r="F690">
        <v>178</v>
      </c>
      <c r="G690">
        <v>53</v>
      </c>
      <c r="W690" t="s">
        <v>5579</v>
      </c>
    </row>
    <row r="691" spans="2:23" x14ac:dyDescent="0.25">
      <c r="B691">
        <v>10823</v>
      </c>
      <c r="C691" t="s">
        <v>22107</v>
      </c>
      <c r="E691">
        <v>222</v>
      </c>
      <c r="F691">
        <v>189</v>
      </c>
      <c r="G691">
        <v>62</v>
      </c>
      <c r="W691" t="s">
        <v>5581</v>
      </c>
    </row>
    <row r="692" spans="2:23" x14ac:dyDescent="0.25">
      <c r="B692">
        <v>10824</v>
      </c>
      <c r="C692" t="s">
        <v>22108</v>
      </c>
      <c r="E692">
        <v>212</v>
      </c>
      <c r="F692">
        <v>178</v>
      </c>
      <c r="G692">
        <v>53</v>
      </c>
      <c r="W692" t="s">
        <v>5583</v>
      </c>
    </row>
    <row r="693" spans="2:23" x14ac:dyDescent="0.25">
      <c r="B693">
        <v>10825</v>
      </c>
      <c r="C693" t="s">
        <v>22109</v>
      </c>
      <c r="E693">
        <v>222</v>
      </c>
      <c r="F693">
        <v>189</v>
      </c>
      <c r="G693">
        <v>62</v>
      </c>
      <c r="W693" t="s">
        <v>5585</v>
      </c>
    </row>
    <row r="694" spans="2:23" x14ac:dyDescent="0.25">
      <c r="B694">
        <v>10826</v>
      </c>
      <c r="C694" t="s">
        <v>22110</v>
      </c>
      <c r="E694">
        <v>212</v>
      </c>
      <c r="F694">
        <v>178</v>
      </c>
      <c r="G694">
        <v>53</v>
      </c>
      <c r="W694" t="s">
        <v>5587</v>
      </c>
    </row>
    <row r="695" spans="2:23" x14ac:dyDescent="0.25">
      <c r="B695">
        <v>10176</v>
      </c>
      <c r="C695" t="s">
        <v>22111</v>
      </c>
      <c r="E695">
        <v>212</v>
      </c>
      <c r="F695">
        <v>178</v>
      </c>
      <c r="G695">
        <v>53</v>
      </c>
      <c r="V695" t="s">
        <v>5111</v>
      </c>
    </row>
    <row r="696" spans="2:23" x14ac:dyDescent="0.25">
      <c r="B696">
        <v>10827</v>
      </c>
      <c r="C696" t="s">
        <v>22112</v>
      </c>
      <c r="E696">
        <v>242</v>
      </c>
      <c r="F696">
        <v>229</v>
      </c>
      <c r="G696">
        <v>187</v>
      </c>
      <c r="W696" t="s">
        <v>5589</v>
      </c>
    </row>
    <row r="697" spans="2:23" x14ac:dyDescent="0.25">
      <c r="B697">
        <v>10828</v>
      </c>
      <c r="C697" t="s">
        <v>22113</v>
      </c>
      <c r="E697">
        <v>212</v>
      </c>
      <c r="F697">
        <v>178</v>
      </c>
      <c r="G697">
        <v>53</v>
      </c>
      <c r="W697" t="s">
        <v>5591</v>
      </c>
    </row>
    <row r="698" spans="2:23" x14ac:dyDescent="0.25">
      <c r="B698">
        <v>10829</v>
      </c>
      <c r="C698" t="s">
        <v>22114</v>
      </c>
      <c r="E698">
        <v>222</v>
      </c>
      <c r="F698">
        <v>189</v>
      </c>
      <c r="G698">
        <v>62</v>
      </c>
      <c r="W698" t="s">
        <v>5593</v>
      </c>
    </row>
    <row r="699" spans="2:23" x14ac:dyDescent="0.25">
      <c r="B699">
        <v>10830</v>
      </c>
      <c r="C699" t="s">
        <v>22115</v>
      </c>
      <c r="E699">
        <v>212</v>
      </c>
      <c r="F699">
        <v>178</v>
      </c>
      <c r="G699">
        <v>53</v>
      </c>
      <c r="W699" t="s">
        <v>5595</v>
      </c>
    </row>
    <row r="700" spans="2:23" x14ac:dyDescent="0.25">
      <c r="B700">
        <v>10831</v>
      </c>
      <c r="C700" t="s">
        <v>22116</v>
      </c>
      <c r="E700">
        <v>222</v>
      </c>
      <c r="F700">
        <v>189</v>
      </c>
      <c r="G700">
        <v>62</v>
      </c>
      <c r="W700" t="s">
        <v>5597</v>
      </c>
    </row>
    <row r="701" spans="2:23" x14ac:dyDescent="0.25">
      <c r="B701">
        <v>10832</v>
      </c>
      <c r="C701" t="s">
        <v>22117</v>
      </c>
      <c r="E701">
        <v>212</v>
      </c>
      <c r="F701">
        <v>178</v>
      </c>
      <c r="G701">
        <v>53</v>
      </c>
      <c r="W701" t="s">
        <v>5599</v>
      </c>
    </row>
    <row r="702" spans="2:23" x14ac:dyDescent="0.25">
      <c r="B702">
        <v>10177</v>
      </c>
      <c r="C702" t="s">
        <v>22118</v>
      </c>
      <c r="E702">
        <v>212</v>
      </c>
      <c r="F702">
        <v>178</v>
      </c>
      <c r="G702">
        <v>53</v>
      </c>
      <c r="V702" t="s">
        <v>5113</v>
      </c>
    </row>
    <row r="703" spans="2:23" x14ac:dyDescent="0.25">
      <c r="B703">
        <v>10833</v>
      </c>
      <c r="C703" t="s">
        <v>22119</v>
      </c>
      <c r="E703">
        <v>242</v>
      </c>
      <c r="F703">
        <v>229</v>
      </c>
      <c r="G703">
        <v>187</v>
      </c>
      <c r="W703" t="s">
        <v>5601</v>
      </c>
    </row>
    <row r="704" spans="2:23" x14ac:dyDescent="0.25">
      <c r="B704">
        <v>10834</v>
      </c>
      <c r="C704" t="s">
        <v>22120</v>
      </c>
      <c r="E704">
        <v>212</v>
      </c>
      <c r="F704">
        <v>178</v>
      </c>
      <c r="G704">
        <v>53</v>
      </c>
      <c r="W704" t="s">
        <v>5603</v>
      </c>
    </row>
    <row r="705" spans="2:23" x14ac:dyDescent="0.25">
      <c r="B705">
        <v>10835</v>
      </c>
      <c r="C705" t="s">
        <v>22121</v>
      </c>
      <c r="E705">
        <v>222</v>
      </c>
      <c r="F705">
        <v>189</v>
      </c>
      <c r="G705">
        <v>62</v>
      </c>
      <c r="W705" t="s">
        <v>5605</v>
      </c>
    </row>
    <row r="706" spans="2:23" x14ac:dyDescent="0.25">
      <c r="B706">
        <v>10836</v>
      </c>
      <c r="C706" t="s">
        <v>22122</v>
      </c>
      <c r="E706">
        <v>212</v>
      </c>
      <c r="F706">
        <v>178</v>
      </c>
      <c r="G706">
        <v>53</v>
      </c>
      <c r="W706" t="s">
        <v>5607</v>
      </c>
    </row>
    <row r="707" spans="2:23" x14ac:dyDescent="0.25">
      <c r="B707">
        <v>10837</v>
      </c>
      <c r="C707" t="s">
        <v>22123</v>
      </c>
      <c r="E707">
        <v>222</v>
      </c>
      <c r="F707">
        <v>189</v>
      </c>
      <c r="G707">
        <v>62</v>
      </c>
      <c r="W707" t="s">
        <v>5609</v>
      </c>
    </row>
    <row r="708" spans="2:23" x14ac:dyDescent="0.25">
      <c r="B708">
        <v>10838</v>
      </c>
      <c r="C708" t="s">
        <v>22124</v>
      </c>
      <c r="E708">
        <v>212</v>
      </c>
      <c r="F708">
        <v>178</v>
      </c>
      <c r="G708">
        <v>53</v>
      </c>
      <c r="W708" t="s">
        <v>5611</v>
      </c>
    </row>
    <row r="709" spans="2:23" x14ac:dyDescent="0.25">
      <c r="B709">
        <v>10178</v>
      </c>
      <c r="C709" t="s">
        <v>22125</v>
      </c>
      <c r="E709">
        <v>212</v>
      </c>
      <c r="F709">
        <v>178</v>
      </c>
      <c r="G709">
        <v>53</v>
      </c>
      <c r="U709" t="s">
        <v>5115</v>
      </c>
    </row>
    <row r="710" spans="2:23" x14ac:dyDescent="0.25">
      <c r="B710">
        <v>10179</v>
      </c>
      <c r="C710" t="s">
        <v>22126</v>
      </c>
      <c r="E710">
        <v>212</v>
      </c>
      <c r="F710">
        <v>178</v>
      </c>
      <c r="G710">
        <v>53</v>
      </c>
      <c r="V710" t="s">
        <v>5117</v>
      </c>
    </row>
    <row r="711" spans="2:23" x14ac:dyDescent="0.25">
      <c r="B711">
        <v>10839</v>
      </c>
      <c r="C711" t="s">
        <v>22127</v>
      </c>
      <c r="E711">
        <v>242</v>
      </c>
      <c r="F711">
        <v>229</v>
      </c>
      <c r="G711">
        <v>187</v>
      </c>
      <c r="W711" t="s">
        <v>5613</v>
      </c>
    </row>
    <row r="712" spans="2:23" x14ac:dyDescent="0.25">
      <c r="B712">
        <v>10840</v>
      </c>
      <c r="C712" t="s">
        <v>22128</v>
      </c>
      <c r="E712">
        <v>212</v>
      </c>
      <c r="F712">
        <v>178</v>
      </c>
      <c r="G712">
        <v>53</v>
      </c>
      <c r="W712" t="s">
        <v>5615</v>
      </c>
    </row>
    <row r="713" spans="2:23" x14ac:dyDescent="0.25">
      <c r="B713">
        <v>10841</v>
      </c>
      <c r="C713" t="s">
        <v>22129</v>
      </c>
      <c r="E713">
        <v>222</v>
      </c>
      <c r="F713">
        <v>189</v>
      </c>
      <c r="G713">
        <v>62</v>
      </c>
      <c r="W713" t="s">
        <v>5617</v>
      </c>
    </row>
    <row r="714" spans="2:23" x14ac:dyDescent="0.25">
      <c r="B714">
        <v>10842</v>
      </c>
      <c r="C714" t="s">
        <v>22130</v>
      </c>
      <c r="E714">
        <v>212</v>
      </c>
      <c r="F714">
        <v>178</v>
      </c>
      <c r="G714">
        <v>53</v>
      </c>
      <c r="W714" t="s">
        <v>5619</v>
      </c>
    </row>
    <row r="715" spans="2:23" x14ac:dyDescent="0.25">
      <c r="B715">
        <v>10843</v>
      </c>
      <c r="C715" t="s">
        <v>22131</v>
      </c>
      <c r="E715">
        <v>222</v>
      </c>
      <c r="F715">
        <v>189</v>
      </c>
      <c r="G715">
        <v>62</v>
      </c>
      <c r="W715" t="s">
        <v>5621</v>
      </c>
    </row>
    <row r="716" spans="2:23" x14ac:dyDescent="0.25">
      <c r="B716">
        <v>10844</v>
      </c>
      <c r="C716" t="s">
        <v>22132</v>
      </c>
      <c r="E716">
        <v>212</v>
      </c>
      <c r="F716">
        <v>178</v>
      </c>
      <c r="G716">
        <v>53</v>
      </c>
      <c r="W716" t="s">
        <v>5623</v>
      </c>
    </row>
    <row r="717" spans="2:23" x14ac:dyDescent="0.25">
      <c r="B717">
        <v>10180</v>
      </c>
      <c r="C717" t="s">
        <v>22133</v>
      </c>
      <c r="E717">
        <v>212</v>
      </c>
      <c r="F717">
        <v>178</v>
      </c>
      <c r="G717">
        <v>53</v>
      </c>
      <c r="V717" t="s">
        <v>5119</v>
      </c>
    </row>
    <row r="718" spans="2:23" x14ac:dyDescent="0.25">
      <c r="B718">
        <v>10845</v>
      </c>
      <c r="C718" t="s">
        <v>22134</v>
      </c>
      <c r="E718">
        <v>242</v>
      </c>
      <c r="F718">
        <v>229</v>
      </c>
      <c r="G718">
        <v>187</v>
      </c>
      <c r="W718" t="s">
        <v>5625</v>
      </c>
    </row>
    <row r="719" spans="2:23" x14ac:dyDescent="0.25">
      <c r="B719">
        <v>10846</v>
      </c>
      <c r="C719" t="s">
        <v>22135</v>
      </c>
      <c r="E719">
        <v>212</v>
      </c>
      <c r="F719">
        <v>178</v>
      </c>
      <c r="G719">
        <v>53</v>
      </c>
      <c r="W719" t="s">
        <v>5627</v>
      </c>
    </row>
    <row r="720" spans="2:23" x14ac:dyDescent="0.25">
      <c r="B720">
        <v>10847</v>
      </c>
      <c r="C720" t="s">
        <v>22136</v>
      </c>
      <c r="E720">
        <v>222</v>
      </c>
      <c r="F720">
        <v>189</v>
      </c>
      <c r="G720">
        <v>62</v>
      </c>
      <c r="W720" t="s">
        <v>5629</v>
      </c>
    </row>
    <row r="721" spans="2:23" x14ac:dyDescent="0.25">
      <c r="B721">
        <v>10848</v>
      </c>
      <c r="C721" t="s">
        <v>22137</v>
      </c>
      <c r="E721">
        <v>212</v>
      </c>
      <c r="F721">
        <v>178</v>
      </c>
      <c r="G721">
        <v>53</v>
      </c>
      <c r="W721" t="s">
        <v>5631</v>
      </c>
    </row>
    <row r="722" spans="2:23" x14ac:dyDescent="0.25">
      <c r="B722">
        <v>10849</v>
      </c>
      <c r="C722" t="s">
        <v>22138</v>
      </c>
      <c r="E722">
        <v>222</v>
      </c>
      <c r="F722">
        <v>189</v>
      </c>
      <c r="G722">
        <v>62</v>
      </c>
      <c r="W722" t="s">
        <v>5633</v>
      </c>
    </row>
    <row r="723" spans="2:23" x14ac:dyDescent="0.25">
      <c r="B723">
        <v>10850</v>
      </c>
      <c r="C723" t="s">
        <v>22139</v>
      </c>
      <c r="E723">
        <v>212</v>
      </c>
      <c r="F723">
        <v>178</v>
      </c>
      <c r="G723">
        <v>53</v>
      </c>
      <c r="W723" t="s">
        <v>5635</v>
      </c>
    </row>
    <row r="724" spans="2:23" x14ac:dyDescent="0.25">
      <c r="B724">
        <v>10181</v>
      </c>
      <c r="C724" t="s">
        <v>22140</v>
      </c>
      <c r="E724">
        <v>212</v>
      </c>
      <c r="F724">
        <v>178</v>
      </c>
      <c r="G724">
        <v>53</v>
      </c>
      <c r="U724" t="s">
        <v>5121</v>
      </c>
    </row>
    <row r="725" spans="2:23" x14ac:dyDescent="0.25">
      <c r="B725">
        <v>10182</v>
      </c>
      <c r="C725" t="s">
        <v>22141</v>
      </c>
      <c r="E725">
        <v>212</v>
      </c>
      <c r="F725">
        <v>178</v>
      </c>
      <c r="G725">
        <v>53</v>
      </c>
      <c r="V725" t="s">
        <v>5123</v>
      </c>
    </row>
    <row r="726" spans="2:23" x14ac:dyDescent="0.25">
      <c r="B726">
        <v>10851</v>
      </c>
      <c r="C726" t="s">
        <v>22142</v>
      </c>
      <c r="E726">
        <v>242</v>
      </c>
      <c r="F726">
        <v>229</v>
      </c>
      <c r="G726">
        <v>187</v>
      </c>
      <c r="W726" t="s">
        <v>5637</v>
      </c>
    </row>
    <row r="727" spans="2:23" x14ac:dyDescent="0.25">
      <c r="B727">
        <v>10852</v>
      </c>
      <c r="C727" t="s">
        <v>22143</v>
      </c>
      <c r="E727">
        <v>212</v>
      </c>
      <c r="F727">
        <v>178</v>
      </c>
      <c r="G727">
        <v>53</v>
      </c>
      <c r="W727" t="s">
        <v>5639</v>
      </c>
    </row>
    <row r="728" spans="2:23" x14ac:dyDescent="0.25">
      <c r="B728">
        <v>10853</v>
      </c>
      <c r="C728" t="s">
        <v>22144</v>
      </c>
      <c r="E728">
        <v>222</v>
      </c>
      <c r="F728">
        <v>189</v>
      </c>
      <c r="G728">
        <v>62</v>
      </c>
      <c r="W728" t="s">
        <v>5641</v>
      </c>
    </row>
    <row r="729" spans="2:23" x14ac:dyDescent="0.25">
      <c r="B729">
        <v>10854</v>
      </c>
      <c r="C729" t="s">
        <v>22145</v>
      </c>
      <c r="E729">
        <v>212</v>
      </c>
      <c r="F729">
        <v>178</v>
      </c>
      <c r="G729">
        <v>53</v>
      </c>
      <c r="W729" t="s">
        <v>5643</v>
      </c>
    </row>
    <row r="730" spans="2:23" x14ac:dyDescent="0.25">
      <c r="B730">
        <v>10855</v>
      </c>
      <c r="C730" t="s">
        <v>22146</v>
      </c>
      <c r="E730">
        <v>222</v>
      </c>
      <c r="F730">
        <v>189</v>
      </c>
      <c r="G730">
        <v>62</v>
      </c>
      <c r="W730" t="s">
        <v>5645</v>
      </c>
    </row>
    <row r="731" spans="2:23" x14ac:dyDescent="0.25">
      <c r="B731">
        <v>10856</v>
      </c>
      <c r="C731" t="s">
        <v>22147</v>
      </c>
      <c r="E731">
        <v>212</v>
      </c>
      <c r="F731">
        <v>178</v>
      </c>
      <c r="G731">
        <v>53</v>
      </c>
      <c r="W731" t="s">
        <v>5647</v>
      </c>
    </row>
    <row r="732" spans="2:23" x14ac:dyDescent="0.25">
      <c r="B732">
        <v>10183</v>
      </c>
      <c r="C732" t="s">
        <v>22148</v>
      </c>
      <c r="E732">
        <v>212</v>
      </c>
      <c r="F732">
        <v>178</v>
      </c>
      <c r="G732">
        <v>53</v>
      </c>
      <c r="V732" t="s">
        <v>5125</v>
      </c>
    </row>
    <row r="733" spans="2:23" x14ac:dyDescent="0.25">
      <c r="B733">
        <v>10857</v>
      </c>
      <c r="C733" t="s">
        <v>22149</v>
      </c>
      <c r="E733">
        <v>242</v>
      </c>
      <c r="F733">
        <v>229</v>
      </c>
      <c r="G733">
        <v>187</v>
      </c>
      <c r="W733" t="s">
        <v>5649</v>
      </c>
    </row>
    <row r="734" spans="2:23" x14ac:dyDescent="0.25">
      <c r="B734">
        <v>10858</v>
      </c>
      <c r="C734" t="s">
        <v>22150</v>
      </c>
      <c r="E734">
        <v>212</v>
      </c>
      <c r="F734">
        <v>178</v>
      </c>
      <c r="G734">
        <v>53</v>
      </c>
      <c r="W734" t="s">
        <v>5651</v>
      </c>
    </row>
    <row r="735" spans="2:23" x14ac:dyDescent="0.25">
      <c r="B735">
        <v>10859</v>
      </c>
      <c r="C735" t="s">
        <v>22151</v>
      </c>
      <c r="E735">
        <v>222</v>
      </c>
      <c r="F735">
        <v>189</v>
      </c>
      <c r="G735">
        <v>62</v>
      </c>
      <c r="W735" t="s">
        <v>5653</v>
      </c>
    </row>
    <row r="736" spans="2:23" x14ac:dyDescent="0.25">
      <c r="B736">
        <v>10860</v>
      </c>
      <c r="C736" t="s">
        <v>22152</v>
      </c>
      <c r="E736">
        <v>212</v>
      </c>
      <c r="F736">
        <v>178</v>
      </c>
      <c r="G736">
        <v>53</v>
      </c>
      <c r="W736" t="s">
        <v>5655</v>
      </c>
    </row>
    <row r="737" spans="2:23" x14ac:dyDescent="0.25">
      <c r="B737">
        <v>10861</v>
      </c>
      <c r="C737" t="s">
        <v>22153</v>
      </c>
      <c r="E737">
        <v>222</v>
      </c>
      <c r="F737">
        <v>189</v>
      </c>
      <c r="G737">
        <v>62</v>
      </c>
      <c r="W737" t="s">
        <v>5657</v>
      </c>
    </row>
    <row r="738" spans="2:23" x14ac:dyDescent="0.25">
      <c r="B738">
        <v>10862</v>
      </c>
      <c r="C738" t="s">
        <v>22154</v>
      </c>
      <c r="E738">
        <v>212</v>
      </c>
      <c r="F738">
        <v>178</v>
      </c>
      <c r="G738">
        <v>53</v>
      </c>
      <c r="W738" t="s">
        <v>5659</v>
      </c>
    </row>
    <row r="739" spans="2:23" x14ac:dyDescent="0.25">
      <c r="B739">
        <v>10184</v>
      </c>
      <c r="C739" t="s">
        <v>22155</v>
      </c>
      <c r="E739">
        <v>212</v>
      </c>
      <c r="F739">
        <v>178</v>
      </c>
      <c r="G739">
        <v>53</v>
      </c>
      <c r="U739" t="s">
        <v>5127</v>
      </c>
    </row>
    <row r="740" spans="2:23" x14ac:dyDescent="0.25">
      <c r="B740">
        <v>10863</v>
      </c>
      <c r="C740" t="s">
        <v>22156</v>
      </c>
      <c r="E740">
        <v>212</v>
      </c>
      <c r="F740">
        <v>178</v>
      </c>
      <c r="G740">
        <v>53</v>
      </c>
      <c r="V740" t="s">
        <v>5661</v>
      </c>
    </row>
    <row r="741" spans="2:23" x14ac:dyDescent="0.25">
      <c r="B741">
        <v>10864</v>
      </c>
      <c r="C741" t="s">
        <v>22157</v>
      </c>
      <c r="E741">
        <v>242</v>
      </c>
      <c r="F741">
        <v>229</v>
      </c>
      <c r="G741">
        <v>187</v>
      </c>
      <c r="W741" t="s">
        <v>5663</v>
      </c>
    </row>
    <row r="742" spans="2:23" x14ac:dyDescent="0.25">
      <c r="B742">
        <v>10865</v>
      </c>
      <c r="C742" t="s">
        <v>22158</v>
      </c>
      <c r="E742">
        <v>212</v>
      </c>
      <c r="F742">
        <v>178</v>
      </c>
      <c r="G742">
        <v>53</v>
      </c>
      <c r="W742" t="s">
        <v>5665</v>
      </c>
    </row>
    <row r="743" spans="2:23" x14ac:dyDescent="0.25">
      <c r="B743">
        <v>10866</v>
      </c>
      <c r="C743" t="s">
        <v>22159</v>
      </c>
      <c r="E743">
        <v>222</v>
      </c>
      <c r="F743">
        <v>189</v>
      </c>
      <c r="G743">
        <v>62</v>
      </c>
      <c r="W743" t="s">
        <v>5667</v>
      </c>
    </row>
    <row r="744" spans="2:23" x14ac:dyDescent="0.25">
      <c r="B744">
        <v>10867</v>
      </c>
      <c r="C744" t="s">
        <v>22160</v>
      </c>
      <c r="E744">
        <v>212</v>
      </c>
      <c r="F744">
        <v>178</v>
      </c>
      <c r="G744">
        <v>53</v>
      </c>
      <c r="W744" t="s">
        <v>5669</v>
      </c>
    </row>
    <row r="745" spans="2:23" x14ac:dyDescent="0.25">
      <c r="B745">
        <v>10868</v>
      </c>
      <c r="C745" t="s">
        <v>22161</v>
      </c>
      <c r="E745">
        <v>222</v>
      </c>
      <c r="F745">
        <v>189</v>
      </c>
      <c r="G745">
        <v>62</v>
      </c>
      <c r="W745" t="s">
        <v>5671</v>
      </c>
    </row>
    <row r="746" spans="2:23" x14ac:dyDescent="0.25">
      <c r="B746">
        <v>10869</v>
      </c>
      <c r="C746" t="s">
        <v>22162</v>
      </c>
      <c r="E746">
        <v>212</v>
      </c>
      <c r="F746">
        <v>178</v>
      </c>
      <c r="G746">
        <v>53</v>
      </c>
      <c r="W746" t="s">
        <v>5673</v>
      </c>
    </row>
    <row r="747" spans="2:23" x14ac:dyDescent="0.25">
      <c r="B747">
        <v>10870</v>
      </c>
      <c r="C747" t="s">
        <v>22163</v>
      </c>
      <c r="E747">
        <v>212</v>
      </c>
      <c r="F747">
        <v>178</v>
      </c>
      <c r="G747">
        <v>53</v>
      </c>
      <c r="V747" t="s">
        <v>5675</v>
      </c>
    </row>
    <row r="748" spans="2:23" x14ac:dyDescent="0.25">
      <c r="B748">
        <v>10871</v>
      </c>
      <c r="C748" t="s">
        <v>22164</v>
      </c>
      <c r="E748">
        <v>242</v>
      </c>
      <c r="F748">
        <v>229</v>
      </c>
      <c r="G748">
        <v>187</v>
      </c>
      <c r="W748" t="s">
        <v>5677</v>
      </c>
    </row>
    <row r="749" spans="2:23" x14ac:dyDescent="0.25">
      <c r="B749">
        <v>10872</v>
      </c>
      <c r="C749" t="s">
        <v>22165</v>
      </c>
      <c r="E749">
        <v>212</v>
      </c>
      <c r="F749">
        <v>178</v>
      </c>
      <c r="G749">
        <v>53</v>
      </c>
      <c r="W749" t="s">
        <v>5679</v>
      </c>
    </row>
    <row r="750" spans="2:23" x14ac:dyDescent="0.25">
      <c r="B750">
        <v>10873</v>
      </c>
      <c r="C750" t="s">
        <v>22166</v>
      </c>
      <c r="E750">
        <v>222</v>
      </c>
      <c r="F750">
        <v>189</v>
      </c>
      <c r="G750">
        <v>62</v>
      </c>
      <c r="W750" t="s">
        <v>5681</v>
      </c>
    </row>
    <row r="751" spans="2:23" x14ac:dyDescent="0.25">
      <c r="B751">
        <v>10874</v>
      </c>
      <c r="C751" t="s">
        <v>22167</v>
      </c>
      <c r="E751">
        <v>212</v>
      </c>
      <c r="F751">
        <v>178</v>
      </c>
      <c r="G751">
        <v>53</v>
      </c>
      <c r="W751" t="s">
        <v>5683</v>
      </c>
    </row>
    <row r="752" spans="2:23" x14ac:dyDescent="0.25">
      <c r="B752">
        <v>10875</v>
      </c>
      <c r="C752" t="s">
        <v>22168</v>
      </c>
      <c r="E752">
        <v>222</v>
      </c>
      <c r="F752">
        <v>189</v>
      </c>
      <c r="G752">
        <v>62</v>
      </c>
      <c r="W752" t="s">
        <v>5685</v>
      </c>
    </row>
    <row r="753" spans="2:23" x14ac:dyDescent="0.25">
      <c r="B753">
        <v>10876</v>
      </c>
      <c r="C753" t="s">
        <v>22169</v>
      </c>
      <c r="E753">
        <v>212</v>
      </c>
      <c r="F753">
        <v>178</v>
      </c>
      <c r="G753">
        <v>53</v>
      </c>
      <c r="W753" t="s">
        <v>5687</v>
      </c>
    </row>
    <row r="754" spans="2:23" x14ac:dyDescent="0.25">
      <c r="B754">
        <v>10185</v>
      </c>
      <c r="C754" t="s">
        <v>22170</v>
      </c>
      <c r="E754">
        <v>194</v>
      </c>
      <c r="F754">
        <v>163</v>
      </c>
      <c r="G754">
        <v>53</v>
      </c>
      <c r="T754" t="s">
        <v>5129</v>
      </c>
    </row>
    <row r="755" spans="2:23" x14ac:dyDescent="0.25">
      <c r="B755">
        <v>10186</v>
      </c>
      <c r="C755" t="s">
        <v>22171</v>
      </c>
      <c r="E755">
        <v>194</v>
      </c>
      <c r="F755">
        <v>163</v>
      </c>
      <c r="G755">
        <v>53</v>
      </c>
      <c r="U755" t="s">
        <v>5131</v>
      </c>
    </row>
    <row r="756" spans="2:23" x14ac:dyDescent="0.25">
      <c r="B756">
        <v>266441105</v>
      </c>
      <c r="C756" t="s">
        <v>22172</v>
      </c>
      <c r="E756">
        <v>194</v>
      </c>
      <c r="F756">
        <v>163</v>
      </c>
      <c r="G756">
        <v>53</v>
      </c>
      <c r="V756" t="s">
        <v>8349</v>
      </c>
    </row>
    <row r="757" spans="2:23" x14ac:dyDescent="0.25">
      <c r="B757">
        <v>266441109</v>
      </c>
      <c r="C757" t="s">
        <v>22173</v>
      </c>
      <c r="E757">
        <v>242</v>
      </c>
      <c r="F757">
        <v>229</v>
      </c>
      <c r="G757">
        <v>187</v>
      </c>
      <c r="W757" t="s">
        <v>8351</v>
      </c>
    </row>
    <row r="758" spans="2:23" x14ac:dyDescent="0.25">
      <c r="B758">
        <v>266441113</v>
      </c>
      <c r="C758" t="s">
        <v>22174</v>
      </c>
      <c r="E758">
        <v>212</v>
      </c>
      <c r="F758">
        <v>178</v>
      </c>
      <c r="G758">
        <v>53</v>
      </c>
      <c r="W758" t="s">
        <v>8353</v>
      </c>
    </row>
    <row r="759" spans="2:23" x14ac:dyDescent="0.25">
      <c r="B759">
        <v>266441117</v>
      </c>
      <c r="C759" t="s">
        <v>22175</v>
      </c>
      <c r="E759">
        <v>194</v>
      </c>
      <c r="F759">
        <v>163</v>
      </c>
      <c r="G759">
        <v>53</v>
      </c>
      <c r="W759" t="s">
        <v>8355</v>
      </c>
    </row>
    <row r="760" spans="2:23" x14ac:dyDescent="0.25">
      <c r="B760">
        <v>266441121</v>
      </c>
      <c r="C760" t="s">
        <v>22176</v>
      </c>
      <c r="E760">
        <v>212</v>
      </c>
      <c r="F760">
        <v>178</v>
      </c>
      <c r="G760">
        <v>53</v>
      </c>
      <c r="W760" t="s">
        <v>8357</v>
      </c>
    </row>
    <row r="761" spans="2:23" x14ac:dyDescent="0.25">
      <c r="B761">
        <v>266441125</v>
      </c>
      <c r="C761" t="s">
        <v>22177</v>
      </c>
      <c r="E761">
        <v>194</v>
      </c>
      <c r="F761">
        <v>163</v>
      </c>
      <c r="G761">
        <v>53</v>
      </c>
      <c r="W761" t="s">
        <v>8359</v>
      </c>
    </row>
    <row r="762" spans="2:23" x14ac:dyDescent="0.25">
      <c r="B762">
        <v>266441129</v>
      </c>
      <c r="C762" t="s">
        <v>22178</v>
      </c>
      <c r="E762">
        <v>194</v>
      </c>
      <c r="F762">
        <v>163</v>
      </c>
      <c r="G762">
        <v>53</v>
      </c>
      <c r="W762" t="s">
        <v>8361</v>
      </c>
    </row>
    <row r="763" spans="2:23" x14ac:dyDescent="0.25">
      <c r="B763">
        <v>266441133</v>
      </c>
      <c r="C763" t="s">
        <v>22179</v>
      </c>
      <c r="E763">
        <v>194</v>
      </c>
      <c r="F763">
        <v>163</v>
      </c>
      <c r="G763">
        <v>53</v>
      </c>
      <c r="V763" t="s">
        <v>8363</v>
      </c>
    </row>
    <row r="764" spans="2:23" x14ac:dyDescent="0.25">
      <c r="B764">
        <v>266441137</v>
      </c>
      <c r="C764" t="s">
        <v>22180</v>
      </c>
      <c r="E764">
        <v>242</v>
      </c>
      <c r="F764">
        <v>229</v>
      </c>
      <c r="G764">
        <v>187</v>
      </c>
      <c r="W764" t="s">
        <v>8365</v>
      </c>
    </row>
    <row r="765" spans="2:23" x14ac:dyDescent="0.25">
      <c r="B765">
        <v>266441141</v>
      </c>
      <c r="C765" t="s">
        <v>22181</v>
      </c>
      <c r="E765">
        <v>194</v>
      </c>
      <c r="F765">
        <v>163</v>
      </c>
      <c r="G765">
        <v>53</v>
      </c>
      <c r="W765" t="s">
        <v>8367</v>
      </c>
    </row>
    <row r="766" spans="2:23" x14ac:dyDescent="0.25">
      <c r="B766">
        <v>266441145</v>
      </c>
      <c r="C766" t="s">
        <v>22182</v>
      </c>
      <c r="E766">
        <v>212</v>
      </c>
      <c r="F766">
        <v>178</v>
      </c>
      <c r="G766">
        <v>53</v>
      </c>
      <c r="W766" t="s">
        <v>8369</v>
      </c>
    </row>
    <row r="767" spans="2:23" x14ac:dyDescent="0.25">
      <c r="B767">
        <v>266441149</v>
      </c>
      <c r="C767" t="s">
        <v>22183</v>
      </c>
      <c r="E767">
        <v>194</v>
      </c>
      <c r="F767">
        <v>163</v>
      </c>
      <c r="G767">
        <v>53</v>
      </c>
      <c r="W767" t="s">
        <v>8371</v>
      </c>
    </row>
    <row r="768" spans="2:23" x14ac:dyDescent="0.25">
      <c r="B768">
        <v>266441153</v>
      </c>
      <c r="C768" t="s">
        <v>22184</v>
      </c>
      <c r="E768">
        <v>212</v>
      </c>
      <c r="F768">
        <v>178</v>
      </c>
      <c r="G768">
        <v>53</v>
      </c>
      <c r="W768" t="s">
        <v>8373</v>
      </c>
    </row>
    <row r="769" spans="2:23" x14ac:dyDescent="0.25">
      <c r="B769">
        <v>266441157</v>
      </c>
      <c r="C769" t="s">
        <v>22185</v>
      </c>
      <c r="E769">
        <v>194</v>
      </c>
      <c r="F769">
        <v>163</v>
      </c>
      <c r="G769">
        <v>53</v>
      </c>
      <c r="W769" t="s">
        <v>8375</v>
      </c>
    </row>
    <row r="770" spans="2:23" x14ac:dyDescent="0.25">
      <c r="B770">
        <v>266441161</v>
      </c>
      <c r="C770" t="s">
        <v>22186</v>
      </c>
      <c r="E770">
        <v>194</v>
      </c>
      <c r="F770">
        <v>163</v>
      </c>
      <c r="G770">
        <v>53</v>
      </c>
      <c r="V770" t="s">
        <v>8377</v>
      </c>
    </row>
    <row r="771" spans="2:23" x14ac:dyDescent="0.25">
      <c r="B771">
        <v>266441165</v>
      </c>
      <c r="C771" t="s">
        <v>22187</v>
      </c>
      <c r="E771">
        <v>242</v>
      </c>
      <c r="F771">
        <v>229</v>
      </c>
      <c r="G771">
        <v>187</v>
      </c>
      <c r="W771" t="s">
        <v>8379</v>
      </c>
    </row>
    <row r="772" spans="2:23" x14ac:dyDescent="0.25">
      <c r="B772">
        <v>266441169</v>
      </c>
      <c r="C772" t="s">
        <v>22188</v>
      </c>
      <c r="E772">
        <v>194</v>
      </c>
      <c r="F772">
        <v>163</v>
      </c>
      <c r="G772">
        <v>53</v>
      </c>
      <c r="W772" t="s">
        <v>8381</v>
      </c>
    </row>
    <row r="773" spans="2:23" x14ac:dyDescent="0.25">
      <c r="B773">
        <v>266441173</v>
      </c>
      <c r="C773" t="s">
        <v>22189</v>
      </c>
      <c r="E773">
        <v>212</v>
      </c>
      <c r="F773">
        <v>178</v>
      </c>
      <c r="G773">
        <v>53</v>
      </c>
      <c r="W773" t="s">
        <v>8383</v>
      </c>
    </row>
    <row r="774" spans="2:23" x14ac:dyDescent="0.25">
      <c r="B774">
        <v>266441177</v>
      </c>
      <c r="C774" t="s">
        <v>22190</v>
      </c>
      <c r="E774">
        <v>194</v>
      </c>
      <c r="F774">
        <v>163</v>
      </c>
      <c r="G774">
        <v>53</v>
      </c>
      <c r="W774" t="s">
        <v>8385</v>
      </c>
    </row>
    <row r="775" spans="2:23" x14ac:dyDescent="0.25">
      <c r="B775">
        <v>266441181</v>
      </c>
      <c r="C775" t="s">
        <v>22191</v>
      </c>
      <c r="E775">
        <v>212</v>
      </c>
      <c r="F775">
        <v>178</v>
      </c>
      <c r="G775">
        <v>53</v>
      </c>
      <c r="W775" t="s">
        <v>8387</v>
      </c>
    </row>
    <row r="776" spans="2:23" x14ac:dyDescent="0.25">
      <c r="B776">
        <v>266441185</v>
      </c>
      <c r="C776" t="s">
        <v>22192</v>
      </c>
      <c r="E776">
        <v>194</v>
      </c>
      <c r="F776">
        <v>163</v>
      </c>
      <c r="G776">
        <v>53</v>
      </c>
      <c r="W776" t="s">
        <v>8389</v>
      </c>
    </row>
    <row r="777" spans="2:23" x14ac:dyDescent="0.25">
      <c r="B777">
        <v>10187</v>
      </c>
      <c r="C777" t="s">
        <v>22193</v>
      </c>
      <c r="E777">
        <v>194</v>
      </c>
      <c r="F777">
        <v>163</v>
      </c>
      <c r="G777">
        <v>53</v>
      </c>
      <c r="U777" t="s">
        <v>5133</v>
      </c>
    </row>
    <row r="778" spans="2:23" x14ac:dyDescent="0.25">
      <c r="B778">
        <v>10188</v>
      </c>
      <c r="C778" t="s">
        <v>22194</v>
      </c>
      <c r="E778">
        <v>194</v>
      </c>
      <c r="F778">
        <v>163</v>
      </c>
      <c r="G778">
        <v>53</v>
      </c>
      <c r="V778" t="s">
        <v>5135</v>
      </c>
    </row>
    <row r="779" spans="2:23" x14ac:dyDescent="0.25">
      <c r="B779">
        <v>10883</v>
      </c>
      <c r="C779" t="s">
        <v>22195</v>
      </c>
      <c r="E779">
        <v>242</v>
      </c>
      <c r="F779">
        <v>229</v>
      </c>
      <c r="G779">
        <v>187</v>
      </c>
      <c r="W779" t="s">
        <v>5689</v>
      </c>
    </row>
    <row r="780" spans="2:23" x14ac:dyDescent="0.25">
      <c r="B780">
        <v>10884</v>
      </c>
      <c r="C780" t="s">
        <v>22196</v>
      </c>
      <c r="E780">
        <v>194</v>
      </c>
      <c r="F780">
        <v>163</v>
      </c>
      <c r="G780">
        <v>53</v>
      </c>
      <c r="W780" t="s">
        <v>5691</v>
      </c>
    </row>
    <row r="781" spans="2:23" x14ac:dyDescent="0.25">
      <c r="B781">
        <v>10885</v>
      </c>
      <c r="C781" t="s">
        <v>22197</v>
      </c>
      <c r="E781">
        <v>212</v>
      </c>
      <c r="F781">
        <v>178</v>
      </c>
      <c r="G781">
        <v>53</v>
      </c>
      <c r="W781" t="s">
        <v>5693</v>
      </c>
    </row>
    <row r="782" spans="2:23" x14ac:dyDescent="0.25">
      <c r="B782">
        <v>10886</v>
      </c>
      <c r="C782" t="s">
        <v>22198</v>
      </c>
      <c r="E782">
        <v>194</v>
      </c>
      <c r="F782">
        <v>163</v>
      </c>
      <c r="G782">
        <v>53</v>
      </c>
      <c r="W782" t="s">
        <v>5695</v>
      </c>
    </row>
    <row r="783" spans="2:23" x14ac:dyDescent="0.25">
      <c r="B783">
        <v>10887</v>
      </c>
      <c r="C783" t="s">
        <v>22199</v>
      </c>
      <c r="E783">
        <v>212</v>
      </c>
      <c r="F783">
        <v>178</v>
      </c>
      <c r="G783">
        <v>53</v>
      </c>
      <c r="W783" t="s">
        <v>5697</v>
      </c>
    </row>
    <row r="784" spans="2:23" x14ac:dyDescent="0.25">
      <c r="B784">
        <v>10888</v>
      </c>
      <c r="C784" t="s">
        <v>22200</v>
      </c>
      <c r="E784">
        <v>194</v>
      </c>
      <c r="F784">
        <v>163</v>
      </c>
      <c r="G784">
        <v>53</v>
      </c>
      <c r="W784" t="s">
        <v>5699</v>
      </c>
    </row>
    <row r="785" spans="2:23" x14ac:dyDescent="0.25">
      <c r="B785">
        <v>10189</v>
      </c>
      <c r="C785" t="s">
        <v>22201</v>
      </c>
      <c r="E785">
        <v>194</v>
      </c>
      <c r="F785">
        <v>163</v>
      </c>
      <c r="G785">
        <v>53</v>
      </c>
      <c r="V785" t="s">
        <v>5137</v>
      </c>
    </row>
    <row r="786" spans="2:23" x14ac:dyDescent="0.25">
      <c r="B786">
        <v>10889</v>
      </c>
      <c r="C786" t="s">
        <v>22202</v>
      </c>
      <c r="E786">
        <v>242</v>
      </c>
      <c r="F786">
        <v>229</v>
      </c>
      <c r="G786">
        <v>187</v>
      </c>
      <c r="W786" t="s">
        <v>5701</v>
      </c>
    </row>
    <row r="787" spans="2:23" x14ac:dyDescent="0.25">
      <c r="B787">
        <v>10890</v>
      </c>
      <c r="C787" t="s">
        <v>22203</v>
      </c>
      <c r="E787">
        <v>194</v>
      </c>
      <c r="F787">
        <v>163</v>
      </c>
      <c r="G787">
        <v>53</v>
      </c>
      <c r="W787" t="s">
        <v>5703</v>
      </c>
    </row>
    <row r="788" spans="2:23" x14ac:dyDescent="0.25">
      <c r="B788">
        <v>10891</v>
      </c>
      <c r="C788" t="s">
        <v>22204</v>
      </c>
      <c r="E788">
        <v>212</v>
      </c>
      <c r="F788">
        <v>178</v>
      </c>
      <c r="G788">
        <v>53</v>
      </c>
      <c r="W788" t="s">
        <v>5705</v>
      </c>
    </row>
    <row r="789" spans="2:23" x14ac:dyDescent="0.25">
      <c r="B789">
        <v>10892</v>
      </c>
      <c r="C789" t="s">
        <v>22205</v>
      </c>
      <c r="E789">
        <v>194</v>
      </c>
      <c r="F789">
        <v>163</v>
      </c>
      <c r="G789">
        <v>53</v>
      </c>
      <c r="W789" t="s">
        <v>5707</v>
      </c>
    </row>
    <row r="790" spans="2:23" x14ac:dyDescent="0.25">
      <c r="B790">
        <v>10893</v>
      </c>
      <c r="C790" t="s">
        <v>22206</v>
      </c>
      <c r="E790">
        <v>212</v>
      </c>
      <c r="F790">
        <v>178</v>
      </c>
      <c r="G790">
        <v>53</v>
      </c>
      <c r="W790" t="s">
        <v>5709</v>
      </c>
    </row>
    <row r="791" spans="2:23" x14ac:dyDescent="0.25">
      <c r="B791">
        <v>10894</v>
      </c>
      <c r="C791" t="s">
        <v>22207</v>
      </c>
      <c r="E791">
        <v>194</v>
      </c>
      <c r="F791">
        <v>163</v>
      </c>
      <c r="G791">
        <v>53</v>
      </c>
      <c r="W791" t="s">
        <v>5711</v>
      </c>
    </row>
    <row r="792" spans="2:23" x14ac:dyDescent="0.25">
      <c r="B792">
        <v>266441189</v>
      </c>
      <c r="C792" t="s">
        <v>22208</v>
      </c>
      <c r="E792">
        <v>194</v>
      </c>
      <c r="F792">
        <v>163</v>
      </c>
      <c r="G792">
        <v>53</v>
      </c>
      <c r="V792" t="s">
        <v>8391</v>
      </c>
    </row>
    <row r="793" spans="2:23" x14ac:dyDescent="0.25">
      <c r="B793">
        <v>266441193</v>
      </c>
      <c r="C793" t="s">
        <v>22209</v>
      </c>
      <c r="E793">
        <v>242</v>
      </c>
      <c r="F793">
        <v>229</v>
      </c>
      <c r="G793">
        <v>187</v>
      </c>
      <c r="W793" t="s">
        <v>8393</v>
      </c>
    </row>
    <row r="794" spans="2:23" x14ac:dyDescent="0.25">
      <c r="B794">
        <v>266441197</v>
      </c>
      <c r="C794" t="s">
        <v>22210</v>
      </c>
      <c r="E794">
        <v>194</v>
      </c>
      <c r="F794">
        <v>163</v>
      </c>
      <c r="G794">
        <v>53</v>
      </c>
      <c r="W794" t="s">
        <v>8395</v>
      </c>
    </row>
    <row r="795" spans="2:23" x14ac:dyDescent="0.25">
      <c r="B795">
        <v>266441201</v>
      </c>
      <c r="C795" t="s">
        <v>22211</v>
      </c>
      <c r="E795">
        <v>212</v>
      </c>
      <c r="F795">
        <v>178</v>
      </c>
      <c r="G795">
        <v>53</v>
      </c>
      <c r="W795" t="s">
        <v>8397</v>
      </c>
    </row>
    <row r="796" spans="2:23" x14ac:dyDescent="0.25">
      <c r="B796">
        <v>266441205</v>
      </c>
      <c r="C796" t="s">
        <v>22212</v>
      </c>
      <c r="E796">
        <v>194</v>
      </c>
      <c r="F796">
        <v>163</v>
      </c>
      <c r="G796">
        <v>53</v>
      </c>
      <c r="W796" t="s">
        <v>8399</v>
      </c>
    </row>
    <row r="797" spans="2:23" x14ac:dyDescent="0.25">
      <c r="B797">
        <v>266441209</v>
      </c>
      <c r="C797" t="s">
        <v>22213</v>
      </c>
      <c r="E797">
        <v>212</v>
      </c>
      <c r="F797">
        <v>178</v>
      </c>
      <c r="G797">
        <v>53</v>
      </c>
      <c r="W797" t="s">
        <v>8401</v>
      </c>
    </row>
    <row r="798" spans="2:23" x14ac:dyDescent="0.25">
      <c r="B798">
        <v>266441213</v>
      </c>
      <c r="C798" t="s">
        <v>22214</v>
      </c>
      <c r="E798">
        <v>194</v>
      </c>
      <c r="F798">
        <v>163</v>
      </c>
      <c r="G798">
        <v>53</v>
      </c>
      <c r="W798" t="s">
        <v>8403</v>
      </c>
    </row>
    <row r="799" spans="2:23" x14ac:dyDescent="0.25">
      <c r="B799">
        <v>10194</v>
      </c>
      <c r="C799" t="s">
        <v>22215</v>
      </c>
      <c r="E799">
        <v>226</v>
      </c>
      <c r="F799">
        <v>212</v>
      </c>
      <c r="G799">
        <v>167</v>
      </c>
      <c r="S799" t="s">
        <v>3539</v>
      </c>
    </row>
    <row r="800" spans="2:23" x14ac:dyDescent="0.25">
      <c r="B800">
        <v>10195</v>
      </c>
      <c r="C800" t="s">
        <v>22216</v>
      </c>
      <c r="E800">
        <v>184</v>
      </c>
      <c r="F800">
        <v>162</v>
      </c>
      <c r="G800">
        <v>109</v>
      </c>
      <c r="T800" t="s">
        <v>5147</v>
      </c>
    </row>
    <row r="801" spans="2:22" x14ac:dyDescent="0.25">
      <c r="B801">
        <v>10196</v>
      </c>
      <c r="C801" t="s">
        <v>22217</v>
      </c>
      <c r="E801">
        <v>184</v>
      </c>
      <c r="F801">
        <v>162</v>
      </c>
      <c r="G801">
        <v>109</v>
      </c>
      <c r="U801" t="s">
        <v>5149</v>
      </c>
    </row>
    <row r="802" spans="2:22" x14ac:dyDescent="0.25">
      <c r="B802">
        <v>10738</v>
      </c>
      <c r="C802" t="s">
        <v>22218</v>
      </c>
      <c r="E802">
        <v>234</v>
      </c>
      <c r="F802">
        <v>242</v>
      </c>
      <c r="G802">
        <v>181</v>
      </c>
      <c r="V802" t="s">
        <v>5411</v>
      </c>
    </row>
    <row r="803" spans="2:22" x14ac:dyDescent="0.25">
      <c r="B803">
        <v>10739</v>
      </c>
      <c r="C803" t="s">
        <v>22219</v>
      </c>
      <c r="E803">
        <v>184</v>
      </c>
      <c r="F803">
        <v>162</v>
      </c>
      <c r="G803">
        <v>109</v>
      </c>
      <c r="V803" t="s">
        <v>5413</v>
      </c>
    </row>
    <row r="804" spans="2:22" x14ac:dyDescent="0.25">
      <c r="B804">
        <v>10740</v>
      </c>
      <c r="C804" t="s">
        <v>22220</v>
      </c>
      <c r="E804">
        <v>195</v>
      </c>
      <c r="F804">
        <v>174</v>
      </c>
      <c r="G804">
        <v>125</v>
      </c>
      <c r="V804" t="s">
        <v>5415</v>
      </c>
    </row>
    <row r="805" spans="2:22" x14ac:dyDescent="0.25">
      <c r="B805">
        <v>10741</v>
      </c>
      <c r="C805" t="s">
        <v>22221</v>
      </c>
      <c r="E805">
        <v>184</v>
      </c>
      <c r="F805">
        <v>162</v>
      </c>
      <c r="G805">
        <v>109</v>
      </c>
      <c r="V805" t="s">
        <v>5417</v>
      </c>
    </row>
    <row r="806" spans="2:22" x14ac:dyDescent="0.25">
      <c r="B806">
        <v>10742</v>
      </c>
      <c r="C806" t="s">
        <v>22222</v>
      </c>
      <c r="E806">
        <v>195</v>
      </c>
      <c r="F806">
        <v>174</v>
      </c>
      <c r="G806">
        <v>125</v>
      </c>
      <c r="V806" t="s">
        <v>5419</v>
      </c>
    </row>
    <row r="807" spans="2:22" x14ac:dyDescent="0.25">
      <c r="B807">
        <v>10743</v>
      </c>
      <c r="C807" t="s">
        <v>22223</v>
      </c>
      <c r="E807">
        <v>184</v>
      </c>
      <c r="F807">
        <v>162</v>
      </c>
      <c r="G807">
        <v>109</v>
      </c>
      <c r="V807" t="s">
        <v>5421</v>
      </c>
    </row>
    <row r="808" spans="2:22" x14ac:dyDescent="0.25">
      <c r="B808">
        <v>10197</v>
      </c>
      <c r="C808" t="s">
        <v>22224</v>
      </c>
      <c r="E808">
        <v>184</v>
      </c>
      <c r="F808">
        <v>162</v>
      </c>
      <c r="G808">
        <v>109</v>
      </c>
      <c r="U808" t="s">
        <v>5151</v>
      </c>
    </row>
    <row r="809" spans="2:22" x14ac:dyDescent="0.25">
      <c r="B809">
        <v>10744</v>
      </c>
      <c r="C809" t="s">
        <v>22225</v>
      </c>
      <c r="E809">
        <v>234</v>
      </c>
      <c r="F809">
        <v>242</v>
      </c>
      <c r="G809">
        <v>181</v>
      </c>
      <c r="V809" t="s">
        <v>5423</v>
      </c>
    </row>
    <row r="810" spans="2:22" x14ac:dyDescent="0.25">
      <c r="B810">
        <v>10745</v>
      </c>
      <c r="C810" t="s">
        <v>22226</v>
      </c>
      <c r="E810">
        <v>184</v>
      </c>
      <c r="F810">
        <v>162</v>
      </c>
      <c r="G810">
        <v>109</v>
      </c>
      <c r="V810" t="s">
        <v>5425</v>
      </c>
    </row>
    <row r="811" spans="2:22" x14ac:dyDescent="0.25">
      <c r="B811">
        <v>10746</v>
      </c>
      <c r="C811" t="s">
        <v>22227</v>
      </c>
      <c r="E811">
        <v>195</v>
      </c>
      <c r="F811">
        <v>174</v>
      </c>
      <c r="G811">
        <v>125</v>
      </c>
      <c r="V811" t="s">
        <v>5427</v>
      </c>
    </row>
    <row r="812" spans="2:22" x14ac:dyDescent="0.25">
      <c r="B812">
        <v>10747</v>
      </c>
      <c r="C812" t="s">
        <v>22228</v>
      </c>
      <c r="E812">
        <v>184</v>
      </c>
      <c r="F812">
        <v>162</v>
      </c>
      <c r="G812">
        <v>109</v>
      </c>
      <c r="V812" t="s">
        <v>5429</v>
      </c>
    </row>
    <row r="813" spans="2:22" x14ac:dyDescent="0.25">
      <c r="B813">
        <v>10748</v>
      </c>
      <c r="C813" t="s">
        <v>22229</v>
      </c>
      <c r="E813">
        <v>195</v>
      </c>
      <c r="F813">
        <v>174</v>
      </c>
      <c r="G813">
        <v>125</v>
      </c>
      <c r="V813" t="s">
        <v>5431</v>
      </c>
    </row>
    <row r="814" spans="2:22" x14ac:dyDescent="0.25">
      <c r="B814">
        <v>10749</v>
      </c>
      <c r="C814" t="s">
        <v>22230</v>
      </c>
      <c r="E814">
        <v>184</v>
      </c>
      <c r="F814">
        <v>162</v>
      </c>
      <c r="G814">
        <v>109</v>
      </c>
      <c r="V814" t="s">
        <v>5433</v>
      </c>
    </row>
    <row r="815" spans="2:22" x14ac:dyDescent="0.25">
      <c r="B815">
        <v>10198</v>
      </c>
      <c r="C815" t="s">
        <v>22231</v>
      </c>
      <c r="E815">
        <v>202</v>
      </c>
      <c r="F815">
        <v>183</v>
      </c>
      <c r="G815">
        <v>129</v>
      </c>
      <c r="T815" t="s">
        <v>5153</v>
      </c>
    </row>
    <row r="816" spans="2:22" x14ac:dyDescent="0.25">
      <c r="B816">
        <v>10199</v>
      </c>
      <c r="C816" t="s">
        <v>22232</v>
      </c>
      <c r="E816">
        <v>202</v>
      </c>
      <c r="F816">
        <v>183</v>
      </c>
      <c r="G816">
        <v>129</v>
      </c>
      <c r="U816" t="s">
        <v>5155</v>
      </c>
    </row>
    <row r="817" spans="2:23" x14ac:dyDescent="0.25">
      <c r="B817">
        <v>10200</v>
      </c>
      <c r="C817" t="s">
        <v>22233</v>
      </c>
      <c r="E817">
        <v>202</v>
      </c>
      <c r="F817">
        <v>183</v>
      </c>
      <c r="G817">
        <v>129</v>
      </c>
      <c r="V817" t="s">
        <v>5157</v>
      </c>
    </row>
    <row r="818" spans="2:23" x14ac:dyDescent="0.25">
      <c r="B818">
        <v>10750</v>
      </c>
      <c r="C818" t="s">
        <v>22234</v>
      </c>
      <c r="E818">
        <v>234</v>
      </c>
      <c r="F818">
        <v>242</v>
      </c>
      <c r="G818">
        <v>181</v>
      </c>
      <c r="W818" t="s">
        <v>5435</v>
      </c>
    </row>
    <row r="819" spans="2:23" x14ac:dyDescent="0.25">
      <c r="B819">
        <v>10751</v>
      </c>
      <c r="C819" t="s">
        <v>22235</v>
      </c>
      <c r="E819">
        <v>202</v>
      </c>
      <c r="F819">
        <v>183</v>
      </c>
      <c r="G819">
        <v>129</v>
      </c>
      <c r="W819" t="s">
        <v>5437</v>
      </c>
    </row>
    <row r="820" spans="2:23" x14ac:dyDescent="0.25">
      <c r="B820">
        <v>10752</v>
      </c>
      <c r="C820" t="s">
        <v>22236</v>
      </c>
      <c r="E820">
        <v>209</v>
      </c>
      <c r="F820">
        <v>191</v>
      </c>
      <c r="G820">
        <v>140</v>
      </c>
      <c r="W820" t="s">
        <v>5439</v>
      </c>
    </row>
    <row r="821" spans="2:23" x14ac:dyDescent="0.25">
      <c r="B821">
        <v>10753</v>
      </c>
      <c r="C821" t="s">
        <v>22237</v>
      </c>
      <c r="E821">
        <v>202</v>
      </c>
      <c r="F821">
        <v>183</v>
      </c>
      <c r="G821">
        <v>129</v>
      </c>
      <c r="W821" t="s">
        <v>5441</v>
      </c>
    </row>
    <row r="822" spans="2:23" x14ac:dyDescent="0.25">
      <c r="B822">
        <v>10754</v>
      </c>
      <c r="C822" t="s">
        <v>22238</v>
      </c>
      <c r="E822">
        <v>209</v>
      </c>
      <c r="F822">
        <v>191</v>
      </c>
      <c r="G822">
        <v>140</v>
      </c>
      <c r="W822" t="s">
        <v>5443</v>
      </c>
    </row>
    <row r="823" spans="2:23" x14ac:dyDescent="0.25">
      <c r="B823">
        <v>10755</v>
      </c>
      <c r="C823" t="s">
        <v>22239</v>
      </c>
      <c r="E823">
        <v>202</v>
      </c>
      <c r="F823">
        <v>183</v>
      </c>
      <c r="G823">
        <v>129</v>
      </c>
      <c r="W823" t="s">
        <v>5445</v>
      </c>
    </row>
    <row r="824" spans="2:23" x14ac:dyDescent="0.25">
      <c r="B824">
        <v>10201</v>
      </c>
      <c r="C824" t="s">
        <v>22240</v>
      </c>
      <c r="E824">
        <v>202</v>
      </c>
      <c r="F824">
        <v>183</v>
      </c>
      <c r="G824">
        <v>129</v>
      </c>
      <c r="V824" t="s">
        <v>5159</v>
      </c>
    </row>
    <row r="825" spans="2:23" x14ac:dyDescent="0.25">
      <c r="B825">
        <v>10756</v>
      </c>
      <c r="C825" t="s">
        <v>22241</v>
      </c>
      <c r="E825">
        <v>234</v>
      </c>
      <c r="F825">
        <v>242</v>
      </c>
      <c r="G825">
        <v>181</v>
      </c>
      <c r="W825" t="s">
        <v>5447</v>
      </c>
    </row>
    <row r="826" spans="2:23" x14ac:dyDescent="0.25">
      <c r="B826">
        <v>10757</v>
      </c>
      <c r="C826" t="s">
        <v>22242</v>
      </c>
      <c r="E826">
        <v>202</v>
      </c>
      <c r="F826">
        <v>183</v>
      </c>
      <c r="G826">
        <v>129</v>
      </c>
      <c r="W826" t="s">
        <v>5449</v>
      </c>
    </row>
    <row r="827" spans="2:23" x14ac:dyDescent="0.25">
      <c r="B827">
        <v>10758</v>
      </c>
      <c r="C827" t="s">
        <v>22243</v>
      </c>
      <c r="E827">
        <v>209</v>
      </c>
      <c r="F827">
        <v>191</v>
      </c>
      <c r="G827">
        <v>140</v>
      </c>
      <c r="W827" t="s">
        <v>5451</v>
      </c>
    </row>
    <row r="828" spans="2:23" x14ac:dyDescent="0.25">
      <c r="B828">
        <v>10759</v>
      </c>
      <c r="C828" t="s">
        <v>22244</v>
      </c>
      <c r="E828">
        <v>202</v>
      </c>
      <c r="F828">
        <v>183</v>
      </c>
      <c r="G828">
        <v>129</v>
      </c>
      <c r="W828" t="s">
        <v>5453</v>
      </c>
    </row>
    <row r="829" spans="2:23" x14ac:dyDescent="0.25">
      <c r="B829">
        <v>10760</v>
      </c>
      <c r="C829" t="s">
        <v>22245</v>
      </c>
      <c r="E829">
        <v>209</v>
      </c>
      <c r="F829">
        <v>191</v>
      </c>
      <c r="G829">
        <v>140</v>
      </c>
      <c r="W829" t="s">
        <v>5455</v>
      </c>
    </row>
    <row r="830" spans="2:23" x14ac:dyDescent="0.25">
      <c r="B830">
        <v>10761</v>
      </c>
      <c r="C830" t="s">
        <v>22246</v>
      </c>
      <c r="E830">
        <v>202</v>
      </c>
      <c r="F830">
        <v>183</v>
      </c>
      <c r="G830">
        <v>129</v>
      </c>
      <c r="W830" t="s">
        <v>5457</v>
      </c>
    </row>
    <row r="831" spans="2:23" x14ac:dyDescent="0.25">
      <c r="B831">
        <v>10202</v>
      </c>
      <c r="C831" t="s">
        <v>16072</v>
      </c>
      <c r="E831">
        <v>202</v>
      </c>
      <c r="F831">
        <v>183</v>
      </c>
      <c r="G831">
        <v>129</v>
      </c>
      <c r="U831" t="s">
        <v>5161</v>
      </c>
    </row>
    <row r="832" spans="2:23" x14ac:dyDescent="0.25">
      <c r="B832">
        <v>10203</v>
      </c>
      <c r="C832" t="s">
        <v>22247</v>
      </c>
      <c r="E832">
        <v>202</v>
      </c>
      <c r="F832">
        <v>183</v>
      </c>
      <c r="G832">
        <v>129</v>
      </c>
      <c r="V832" t="s">
        <v>5163</v>
      </c>
    </row>
    <row r="833" spans="2:23" x14ac:dyDescent="0.25">
      <c r="B833">
        <v>10762</v>
      </c>
      <c r="C833" t="s">
        <v>22248</v>
      </c>
      <c r="E833">
        <v>234</v>
      </c>
      <c r="F833">
        <v>242</v>
      </c>
      <c r="G833">
        <v>181</v>
      </c>
      <c r="W833" t="s">
        <v>5459</v>
      </c>
    </row>
    <row r="834" spans="2:23" x14ac:dyDescent="0.25">
      <c r="B834">
        <v>10763</v>
      </c>
      <c r="C834" t="s">
        <v>22249</v>
      </c>
      <c r="E834">
        <v>202</v>
      </c>
      <c r="F834">
        <v>183</v>
      </c>
      <c r="G834">
        <v>129</v>
      </c>
      <c r="W834" t="s">
        <v>5461</v>
      </c>
    </row>
    <row r="835" spans="2:23" x14ac:dyDescent="0.25">
      <c r="B835">
        <v>10764</v>
      </c>
      <c r="C835" t="s">
        <v>22250</v>
      </c>
      <c r="E835">
        <v>209</v>
      </c>
      <c r="F835">
        <v>191</v>
      </c>
      <c r="G835">
        <v>140</v>
      </c>
      <c r="W835" t="s">
        <v>5463</v>
      </c>
    </row>
    <row r="836" spans="2:23" x14ac:dyDescent="0.25">
      <c r="B836">
        <v>10765</v>
      </c>
      <c r="C836" t="s">
        <v>22251</v>
      </c>
      <c r="E836">
        <v>202</v>
      </c>
      <c r="F836">
        <v>183</v>
      </c>
      <c r="G836">
        <v>129</v>
      </c>
      <c r="W836" t="s">
        <v>5465</v>
      </c>
    </row>
    <row r="837" spans="2:23" x14ac:dyDescent="0.25">
      <c r="B837">
        <v>10766</v>
      </c>
      <c r="C837" t="s">
        <v>22252</v>
      </c>
      <c r="E837">
        <v>209</v>
      </c>
      <c r="F837">
        <v>191</v>
      </c>
      <c r="G837">
        <v>140</v>
      </c>
      <c r="W837" t="s">
        <v>5467</v>
      </c>
    </row>
    <row r="838" spans="2:23" x14ac:dyDescent="0.25">
      <c r="B838">
        <v>10767</v>
      </c>
      <c r="C838" t="s">
        <v>22253</v>
      </c>
      <c r="E838">
        <v>202</v>
      </c>
      <c r="F838">
        <v>183</v>
      </c>
      <c r="G838">
        <v>129</v>
      </c>
      <c r="W838" t="s">
        <v>5469</v>
      </c>
    </row>
    <row r="839" spans="2:23" x14ac:dyDescent="0.25">
      <c r="B839">
        <v>10204</v>
      </c>
      <c r="C839" t="s">
        <v>22254</v>
      </c>
      <c r="E839">
        <v>202</v>
      </c>
      <c r="F839">
        <v>183</v>
      </c>
      <c r="G839">
        <v>129</v>
      </c>
      <c r="V839" t="s">
        <v>5165</v>
      </c>
    </row>
    <row r="840" spans="2:23" x14ac:dyDescent="0.25">
      <c r="B840">
        <v>10768</v>
      </c>
      <c r="C840" t="s">
        <v>22255</v>
      </c>
      <c r="E840">
        <v>234</v>
      </c>
      <c r="F840">
        <v>242</v>
      </c>
      <c r="G840">
        <v>181</v>
      </c>
      <c r="W840" t="s">
        <v>5471</v>
      </c>
    </row>
    <row r="841" spans="2:23" x14ac:dyDescent="0.25">
      <c r="B841">
        <v>10769</v>
      </c>
      <c r="C841" t="s">
        <v>22256</v>
      </c>
      <c r="E841">
        <v>202</v>
      </c>
      <c r="F841">
        <v>183</v>
      </c>
      <c r="G841">
        <v>129</v>
      </c>
      <c r="W841" t="s">
        <v>5473</v>
      </c>
    </row>
    <row r="842" spans="2:23" x14ac:dyDescent="0.25">
      <c r="B842">
        <v>10770</v>
      </c>
      <c r="C842" t="s">
        <v>22257</v>
      </c>
      <c r="E842">
        <v>209</v>
      </c>
      <c r="F842">
        <v>191</v>
      </c>
      <c r="G842">
        <v>140</v>
      </c>
      <c r="W842" t="s">
        <v>5475</v>
      </c>
    </row>
    <row r="843" spans="2:23" x14ac:dyDescent="0.25">
      <c r="B843">
        <v>10771</v>
      </c>
      <c r="C843" t="s">
        <v>22258</v>
      </c>
      <c r="E843">
        <v>202</v>
      </c>
      <c r="F843">
        <v>183</v>
      </c>
      <c r="G843">
        <v>129</v>
      </c>
      <c r="W843" t="s">
        <v>5477</v>
      </c>
    </row>
    <row r="844" spans="2:23" x14ac:dyDescent="0.25">
      <c r="B844">
        <v>10772</v>
      </c>
      <c r="C844" t="s">
        <v>22259</v>
      </c>
      <c r="E844">
        <v>209</v>
      </c>
      <c r="F844">
        <v>191</v>
      </c>
      <c r="G844">
        <v>140</v>
      </c>
      <c r="W844" t="s">
        <v>5479</v>
      </c>
    </row>
    <row r="845" spans="2:23" x14ac:dyDescent="0.25">
      <c r="B845">
        <v>10773</v>
      </c>
      <c r="C845" t="s">
        <v>22260</v>
      </c>
      <c r="E845">
        <v>202</v>
      </c>
      <c r="F845">
        <v>183</v>
      </c>
      <c r="G845">
        <v>129</v>
      </c>
      <c r="W845" t="s">
        <v>5481</v>
      </c>
    </row>
    <row r="846" spans="2:23" x14ac:dyDescent="0.25">
      <c r="B846">
        <v>10205</v>
      </c>
      <c r="C846" t="s">
        <v>22261</v>
      </c>
      <c r="E846">
        <v>171</v>
      </c>
      <c r="F846">
        <v>145</v>
      </c>
      <c r="G846">
        <v>88</v>
      </c>
      <c r="T846" t="s">
        <v>5167</v>
      </c>
    </row>
    <row r="847" spans="2:23" x14ac:dyDescent="0.25">
      <c r="B847">
        <v>10206</v>
      </c>
      <c r="C847" t="s">
        <v>22262</v>
      </c>
      <c r="E847">
        <v>171</v>
      </c>
      <c r="F847">
        <v>145</v>
      </c>
      <c r="G847">
        <v>88</v>
      </c>
      <c r="U847" t="s">
        <v>5169</v>
      </c>
    </row>
    <row r="848" spans="2:23" x14ac:dyDescent="0.25">
      <c r="B848">
        <v>10774</v>
      </c>
      <c r="C848" t="s">
        <v>22263</v>
      </c>
      <c r="E848">
        <v>234</v>
      </c>
      <c r="F848">
        <v>242</v>
      </c>
      <c r="G848">
        <v>181</v>
      </c>
      <c r="V848" t="s">
        <v>5483</v>
      </c>
    </row>
    <row r="849" spans="2:22" x14ac:dyDescent="0.25">
      <c r="B849">
        <v>10775</v>
      </c>
      <c r="C849" t="s">
        <v>22264</v>
      </c>
      <c r="E849">
        <v>171</v>
      </c>
      <c r="F849">
        <v>145</v>
      </c>
      <c r="G849">
        <v>88</v>
      </c>
      <c r="V849" t="s">
        <v>5485</v>
      </c>
    </row>
    <row r="850" spans="2:22" x14ac:dyDescent="0.25">
      <c r="B850">
        <v>10776</v>
      </c>
      <c r="C850" t="s">
        <v>22265</v>
      </c>
      <c r="E850">
        <v>178</v>
      </c>
      <c r="F850">
        <v>154</v>
      </c>
      <c r="G850">
        <v>96</v>
      </c>
      <c r="V850" t="s">
        <v>5487</v>
      </c>
    </row>
    <row r="851" spans="2:22" x14ac:dyDescent="0.25">
      <c r="B851">
        <v>10777</v>
      </c>
      <c r="C851" t="s">
        <v>22266</v>
      </c>
      <c r="E851">
        <v>171</v>
      </c>
      <c r="F851">
        <v>145</v>
      </c>
      <c r="G851">
        <v>88</v>
      </c>
      <c r="V851" t="s">
        <v>5489</v>
      </c>
    </row>
    <row r="852" spans="2:22" x14ac:dyDescent="0.25">
      <c r="B852">
        <v>10778</v>
      </c>
      <c r="C852" t="s">
        <v>22267</v>
      </c>
      <c r="E852">
        <v>178</v>
      </c>
      <c r="F852">
        <v>154</v>
      </c>
      <c r="G852">
        <v>96</v>
      </c>
      <c r="V852" t="s">
        <v>5491</v>
      </c>
    </row>
    <row r="853" spans="2:22" x14ac:dyDescent="0.25">
      <c r="B853">
        <v>10779</v>
      </c>
      <c r="C853" t="s">
        <v>22268</v>
      </c>
      <c r="E853">
        <v>171</v>
      </c>
      <c r="F853">
        <v>145</v>
      </c>
      <c r="G853">
        <v>88</v>
      </c>
      <c r="V853" t="s">
        <v>5493</v>
      </c>
    </row>
    <row r="854" spans="2:22" x14ac:dyDescent="0.25">
      <c r="B854">
        <v>10207</v>
      </c>
      <c r="C854" t="s">
        <v>22269</v>
      </c>
      <c r="E854">
        <v>171</v>
      </c>
      <c r="F854">
        <v>145</v>
      </c>
      <c r="G854">
        <v>88</v>
      </c>
      <c r="U854" t="s">
        <v>5171</v>
      </c>
    </row>
    <row r="855" spans="2:22" x14ac:dyDescent="0.25">
      <c r="B855">
        <v>10780</v>
      </c>
      <c r="C855" t="s">
        <v>22270</v>
      </c>
      <c r="E855">
        <v>234</v>
      </c>
      <c r="F855">
        <v>242</v>
      </c>
      <c r="G855">
        <v>181</v>
      </c>
      <c r="V855" t="s">
        <v>5495</v>
      </c>
    </row>
    <row r="856" spans="2:22" x14ac:dyDescent="0.25">
      <c r="B856">
        <v>10781</v>
      </c>
      <c r="C856" t="s">
        <v>22271</v>
      </c>
      <c r="E856">
        <v>171</v>
      </c>
      <c r="F856">
        <v>145</v>
      </c>
      <c r="G856">
        <v>88</v>
      </c>
      <c r="V856" t="s">
        <v>5497</v>
      </c>
    </row>
    <row r="857" spans="2:22" x14ac:dyDescent="0.25">
      <c r="B857">
        <v>10782</v>
      </c>
      <c r="C857" t="s">
        <v>22272</v>
      </c>
      <c r="E857">
        <v>178</v>
      </c>
      <c r="F857">
        <v>154</v>
      </c>
      <c r="G857">
        <v>96</v>
      </c>
      <c r="V857" t="s">
        <v>5499</v>
      </c>
    </row>
    <row r="858" spans="2:22" x14ac:dyDescent="0.25">
      <c r="B858">
        <v>10783</v>
      </c>
      <c r="C858" t="s">
        <v>22273</v>
      </c>
      <c r="E858">
        <v>171</v>
      </c>
      <c r="F858">
        <v>145</v>
      </c>
      <c r="G858">
        <v>88</v>
      </c>
      <c r="V858" t="s">
        <v>5501</v>
      </c>
    </row>
    <row r="859" spans="2:22" x14ac:dyDescent="0.25">
      <c r="B859">
        <v>10784</v>
      </c>
      <c r="C859" t="s">
        <v>22274</v>
      </c>
      <c r="E859">
        <v>178</v>
      </c>
      <c r="F859">
        <v>154</v>
      </c>
      <c r="G859">
        <v>96</v>
      </c>
      <c r="V859" t="s">
        <v>5503</v>
      </c>
    </row>
    <row r="860" spans="2:22" x14ac:dyDescent="0.25">
      <c r="B860">
        <v>10785</v>
      </c>
      <c r="C860" t="s">
        <v>22275</v>
      </c>
      <c r="E860">
        <v>171</v>
      </c>
      <c r="F860">
        <v>145</v>
      </c>
      <c r="G860">
        <v>88</v>
      </c>
      <c r="V860" t="s">
        <v>5505</v>
      </c>
    </row>
    <row r="861" spans="2:22" x14ac:dyDescent="0.25">
      <c r="B861">
        <v>10162</v>
      </c>
      <c r="C861" t="s">
        <v>22276</v>
      </c>
      <c r="E861">
        <v>252</v>
      </c>
      <c r="F861">
        <v>230</v>
      </c>
      <c r="G861">
        <v>145</v>
      </c>
      <c r="S861" t="s">
        <v>4134</v>
      </c>
    </row>
    <row r="862" spans="2:22" x14ac:dyDescent="0.25">
      <c r="B862">
        <v>10163</v>
      </c>
      <c r="C862" t="s">
        <v>22277</v>
      </c>
      <c r="E862">
        <v>237</v>
      </c>
      <c r="F862">
        <v>207</v>
      </c>
      <c r="G862">
        <v>55</v>
      </c>
      <c r="T862" t="s">
        <v>5091</v>
      </c>
    </row>
    <row r="863" spans="2:22" x14ac:dyDescent="0.25">
      <c r="B863">
        <v>10164</v>
      </c>
      <c r="C863" t="s">
        <v>22278</v>
      </c>
      <c r="E863">
        <v>237</v>
      </c>
      <c r="F863">
        <v>207</v>
      </c>
      <c r="G863">
        <v>55</v>
      </c>
      <c r="U863" t="s">
        <v>5093</v>
      </c>
    </row>
    <row r="864" spans="2:22" x14ac:dyDescent="0.25">
      <c r="B864">
        <v>10786</v>
      </c>
      <c r="C864" t="s">
        <v>22279</v>
      </c>
      <c r="E864">
        <v>251</v>
      </c>
      <c r="F864">
        <v>232</v>
      </c>
      <c r="G864">
        <v>157</v>
      </c>
      <c r="V864" t="s">
        <v>5507</v>
      </c>
    </row>
    <row r="865" spans="2:22" x14ac:dyDescent="0.25">
      <c r="B865">
        <v>10787</v>
      </c>
      <c r="C865" t="s">
        <v>22280</v>
      </c>
      <c r="E865">
        <v>237</v>
      </c>
      <c r="F865">
        <v>207</v>
      </c>
      <c r="G865">
        <v>55</v>
      </c>
      <c r="V865" t="s">
        <v>5509</v>
      </c>
    </row>
    <row r="866" spans="2:22" x14ac:dyDescent="0.25">
      <c r="B866">
        <v>10788</v>
      </c>
      <c r="C866" t="s">
        <v>22281</v>
      </c>
      <c r="E866">
        <v>253</v>
      </c>
      <c r="F866">
        <v>217</v>
      </c>
      <c r="G866">
        <v>46</v>
      </c>
      <c r="V866" t="s">
        <v>5511</v>
      </c>
    </row>
    <row r="867" spans="2:22" x14ac:dyDescent="0.25">
      <c r="B867">
        <v>10789</v>
      </c>
      <c r="C867" t="s">
        <v>22282</v>
      </c>
      <c r="E867">
        <v>253</v>
      </c>
      <c r="F867">
        <v>217</v>
      </c>
      <c r="G867">
        <v>46</v>
      </c>
      <c r="V867" t="s">
        <v>5513</v>
      </c>
    </row>
    <row r="868" spans="2:22" x14ac:dyDescent="0.25">
      <c r="B868">
        <v>10790</v>
      </c>
      <c r="C868" t="s">
        <v>22283</v>
      </c>
      <c r="E868">
        <v>237</v>
      </c>
      <c r="F868">
        <v>207</v>
      </c>
      <c r="G868">
        <v>55</v>
      </c>
      <c r="V868" t="s">
        <v>5515</v>
      </c>
    </row>
    <row r="869" spans="2:22" x14ac:dyDescent="0.25">
      <c r="B869">
        <v>10165</v>
      </c>
      <c r="C869" t="s">
        <v>22284</v>
      </c>
      <c r="E869">
        <v>237</v>
      </c>
      <c r="F869">
        <v>207</v>
      </c>
      <c r="G869">
        <v>55</v>
      </c>
      <c r="U869" t="s">
        <v>5095</v>
      </c>
    </row>
    <row r="870" spans="2:22" x14ac:dyDescent="0.25">
      <c r="B870">
        <v>10791</v>
      </c>
      <c r="C870" t="s">
        <v>22285</v>
      </c>
      <c r="E870">
        <v>251</v>
      </c>
      <c r="F870">
        <v>232</v>
      </c>
      <c r="G870">
        <v>157</v>
      </c>
      <c r="V870" t="s">
        <v>5517</v>
      </c>
    </row>
    <row r="871" spans="2:22" x14ac:dyDescent="0.25">
      <c r="B871">
        <v>10792</v>
      </c>
      <c r="C871" t="s">
        <v>22286</v>
      </c>
      <c r="E871">
        <v>237</v>
      </c>
      <c r="F871">
        <v>207</v>
      </c>
      <c r="G871">
        <v>55</v>
      </c>
      <c r="V871" t="s">
        <v>5519</v>
      </c>
    </row>
    <row r="872" spans="2:22" x14ac:dyDescent="0.25">
      <c r="B872">
        <v>10793</v>
      </c>
      <c r="C872" t="s">
        <v>22287</v>
      </c>
      <c r="E872">
        <v>253</v>
      </c>
      <c r="F872">
        <v>217</v>
      </c>
      <c r="G872">
        <v>46</v>
      </c>
      <c r="V872" t="s">
        <v>5521</v>
      </c>
    </row>
    <row r="873" spans="2:22" x14ac:dyDescent="0.25">
      <c r="B873">
        <v>10794</v>
      </c>
      <c r="C873" t="s">
        <v>22288</v>
      </c>
      <c r="E873">
        <v>253</v>
      </c>
      <c r="F873">
        <v>217</v>
      </c>
      <c r="G873">
        <v>46</v>
      </c>
      <c r="V873" t="s">
        <v>5523</v>
      </c>
    </row>
    <row r="874" spans="2:22" x14ac:dyDescent="0.25">
      <c r="B874">
        <v>10795</v>
      </c>
      <c r="C874" t="s">
        <v>22289</v>
      </c>
      <c r="E874">
        <v>237</v>
      </c>
      <c r="F874">
        <v>207</v>
      </c>
      <c r="G874">
        <v>55</v>
      </c>
      <c r="V874" t="s">
        <v>5525</v>
      </c>
    </row>
    <row r="875" spans="2:22" x14ac:dyDescent="0.25">
      <c r="B875">
        <v>10166</v>
      </c>
      <c r="C875" t="s">
        <v>22290</v>
      </c>
      <c r="E875">
        <v>237</v>
      </c>
      <c r="F875">
        <v>207</v>
      </c>
      <c r="G875">
        <v>55</v>
      </c>
      <c r="U875" t="s">
        <v>5097</v>
      </c>
    </row>
    <row r="876" spans="2:22" x14ac:dyDescent="0.25">
      <c r="B876">
        <v>10796</v>
      </c>
      <c r="C876" t="s">
        <v>22291</v>
      </c>
      <c r="E876">
        <v>251</v>
      </c>
      <c r="F876">
        <v>232</v>
      </c>
      <c r="G876">
        <v>157</v>
      </c>
      <c r="V876" t="s">
        <v>5527</v>
      </c>
    </row>
    <row r="877" spans="2:22" x14ac:dyDescent="0.25">
      <c r="B877">
        <v>10797</v>
      </c>
      <c r="C877" t="s">
        <v>22292</v>
      </c>
      <c r="E877">
        <v>237</v>
      </c>
      <c r="F877">
        <v>207</v>
      </c>
      <c r="G877">
        <v>55</v>
      </c>
      <c r="V877" t="s">
        <v>5529</v>
      </c>
    </row>
    <row r="878" spans="2:22" x14ac:dyDescent="0.25">
      <c r="B878">
        <v>10798</v>
      </c>
      <c r="C878" t="s">
        <v>22293</v>
      </c>
      <c r="E878">
        <v>253</v>
      </c>
      <c r="F878">
        <v>217</v>
      </c>
      <c r="G878">
        <v>46</v>
      </c>
      <c r="V878" t="s">
        <v>5531</v>
      </c>
    </row>
    <row r="879" spans="2:22" x14ac:dyDescent="0.25">
      <c r="B879">
        <v>10799</v>
      </c>
      <c r="C879" t="s">
        <v>22294</v>
      </c>
      <c r="E879">
        <v>253</v>
      </c>
      <c r="F879">
        <v>217</v>
      </c>
      <c r="G879">
        <v>46</v>
      </c>
      <c r="V879" t="s">
        <v>5533</v>
      </c>
    </row>
    <row r="880" spans="2:22" x14ac:dyDescent="0.25">
      <c r="B880">
        <v>10800</v>
      </c>
      <c r="C880" t="s">
        <v>22295</v>
      </c>
      <c r="E880">
        <v>237</v>
      </c>
      <c r="F880">
        <v>207</v>
      </c>
      <c r="G880">
        <v>55</v>
      </c>
      <c r="V880" t="s">
        <v>5535</v>
      </c>
    </row>
    <row r="881" spans="2:22" x14ac:dyDescent="0.25">
      <c r="B881">
        <v>10167</v>
      </c>
      <c r="C881" t="s">
        <v>22296</v>
      </c>
      <c r="E881">
        <v>237</v>
      </c>
      <c r="F881">
        <v>207</v>
      </c>
      <c r="G881">
        <v>55</v>
      </c>
      <c r="U881" t="s">
        <v>5099</v>
      </c>
    </row>
    <row r="882" spans="2:22" x14ac:dyDescent="0.25">
      <c r="B882">
        <v>10801</v>
      </c>
      <c r="C882" t="s">
        <v>22297</v>
      </c>
      <c r="E882">
        <v>251</v>
      </c>
      <c r="F882">
        <v>232</v>
      </c>
      <c r="G882">
        <v>157</v>
      </c>
      <c r="V882" t="s">
        <v>5537</v>
      </c>
    </row>
    <row r="883" spans="2:22" x14ac:dyDescent="0.25">
      <c r="B883">
        <v>10802</v>
      </c>
      <c r="C883" t="s">
        <v>22298</v>
      </c>
      <c r="E883">
        <v>237</v>
      </c>
      <c r="F883">
        <v>207</v>
      </c>
      <c r="G883">
        <v>55</v>
      </c>
      <c r="V883" t="s">
        <v>5539</v>
      </c>
    </row>
    <row r="884" spans="2:22" x14ac:dyDescent="0.25">
      <c r="B884">
        <v>10803</v>
      </c>
      <c r="C884" t="s">
        <v>22299</v>
      </c>
      <c r="E884">
        <v>253</v>
      </c>
      <c r="F884">
        <v>217</v>
      </c>
      <c r="G884">
        <v>46</v>
      </c>
      <c r="V884" t="s">
        <v>5541</v>
      </c>
    </row>
    <row r="885" spans="2:22" x14ac:dyDescent="0.25">
      <c r="B885">
        <v>10804</v>
      </c>
      <c r="C885" t="s">
        <v>22300</v>
      </c>
      <c r="E885">
        <v>253</v>
      </c>
      <c r="F885">
        <v>217</v>
      </c>
      <c r="G885">
        <v>46</v>
      </c>
      <c r="V885" t="s">
        <v>5543</v>
      </c>
    </row>
    <row r="886" spans="2:22" x14ac:dyDescent="0.25">
      <c r="B886">
        <v>10805</v>
      </c>
      <c r="C886" t="s">
        <v>22301</v>
      </c>
      <c r="E886">
        <v>237</v>
      </c>
      <c r="F886">
        <v>207</v>
      </c>
      <c r="G886">
        <v>55</v>
      </c>
      <c r="V886" t="s">
        <v>5545</v>
      </c>
    </row>
    <row r="887" spans="2:22" x14ac:dyDescent="0.25">
      <c r="B887">
        <v>10168</v>
      </c>
      <c r="C887" t="s">
        <v>22302</v>
      </c>
      <c r="E887">
        <v>253</v>
      </c>
      <c r="F887">
        <v>217</v>
      </c>
      <c r="G887">
        <v>46</v>
      </c>
      <c r="T887" t="s">
        <v>4083</v>
      </c>
    </row>
    <row r="888" spans="2:22" x14ac:dyDescent="0.25">
      <c r="B888">
        <v>10169</v>
      </c>
      <c r="C888" t="s">
        <v>22303</v>
      </c>
      <c r="E888">
        <v>253</v>
      </c>
      <c r="F888">
        <v>217</v>
      </c>
      <c r="G888">
        <v>46</v>
      </c>
      <c r="U888" t="s">
        <v>5101</v>
      </c>
    </row>
    <row r="889" spans="2:22" x14ac:dyDescent="0.25">
      <c r="B889">
        <v>10806</v>
      </c>
      <c r="C889" t="s">
        <v>22304</v>
      </c>
      <c r="E889">
        <v>251</v>
      </c>
      <c r="F889">
        <v>232</v>
      </c>
      <c r="G889">
        <v>157</v>
      </c>
      <c r="V889" t="s">
        <v>5547</v>
      </c>
    </row>
    <row r="890" spans="2:22" x14ac:dyDescent="0.25">
      <c r="B890">
        <v>10807</v>
      </c>
      <c r="C890" t="s">
        <v>22305</v>
      </c>
      <c r="E890">
        <v>253</v>
      </c>
      <c r="F890">
        <v>217</v>
      </c>
      <c r="G890">
        <v>46</v>
      </c>
      <c r="V890" t="s">
        <v>5549</v>
      </c>
    </row>
    <row r="891" spans="2:22" x14ac:dyDescent="0.25">
      <c r="B891">
        <v>10808</v>
      </c>
      <c r="C891" t="s">
        <v>22306</v>
      </c>
      <c r="E891">
        <v>255</v>
      </c>
      <c r="F891">
        <v>225</v>
      </c>
      <c r="G891">
        <v>104</v>
      </c>
      <c r="V891" t="s">
        <v>5551</v>
      </c>
    </row>
    <row r="892" spans="2:22" x14ac:dyDescent="0.25">
      <c r="B892">
        <v>10809</v>
      </c>
      <c r="C892" t="s">
        <v>22307</v>
      </c>
      <c r="E892">
        <v>255</v>
      </c>
      <c r="F892">
        <v>225</v>
      </c>
      <c r="G892">
        <v>104</v>
      </c>
      <c r="V892" t="s">
        <v>5553</v>
      </c>
    </row>
    <row r="893" spans="2:22" x14ac:dyDescent="0.25">
      <c r="B893">
        <v>10810</v>
      </c>
      <c r="C893" t="s">
        <v>22308</v>
      </c>
      <c r="E893">
        <v>253</v>
      </c>
      <c r="F893">
        <v>217</v>
      </c>
      <c r="G893">
        <v>46</v>
      </c>
      <c r="V893" t="s">
        <v>5555</v>
      </c>
    </row>
    <row r="894" spans="2:22" x14ac:dyDescent="0.25">
      <c r="B894">
        <v>10170</v>
      </c>
      <c r="C894" t="s">
        <v>22309</v>
      </c>
      <c r="E894">
        <v>253</v>
      </c>
      <c r="F894">
        <v>217</v>
      </c>
      <c r="G894">
        <v>46</v>
      </c>
      <c r="U894" t="s">
        <v>5103</v>
      </c>
    </row>
    <row r="895" spans="2:22" x14ac:dyDescent="0.25">
      <c r="B895">
        <v>10811</v>
      </c>
      <c r="C895" t="s">
        <v>22310</v>
      </c>
      <c r="E895">
        <v>251</v>
      </c>
      <c r="F895">
        <v>232</v>
      </c>
      <c r="G895">
        <v>157</v>
      </c>
      <c r="V895" t="s">
        <v>5557</v>
      </c>
    </row>
    <row r="896" spans="2:22" x14ac:dyDescent="0.25">
      <c r="B896">
        <v>10812</v>
      </c>
      <c r="C896" t="s">
        <v>22311</v>
      </c>
      <c r="E896">
        <v>253</v>
      </c>
      <c r="F896">
        <v>217</v>
      </c>
      <c r="G896">
        <v>46</v>
      </c>
      <c r="V896" t="s">
        <v>5559</v>
      </c>
    </row>
    <row r="897" spans="2:22" x14ac:dyDescent="0.25">
      <c r="B897">
        <v>10813</v>
      </c>
      <c r="C897" t="s">
        <v>22312</v>
      </c>
      <c r="E897">
        <v>255</v>
      </c>
      <c r="F897">
        <v>225</v>
      </c>
      <c r="G897">
        <v>104</v>
      </c>
      <c r="V897" t="s">
        <v>5561</v>
      </c>
    </row>
    <row r="898" spans="2:22" x14ac:dyDescent="0.25">
      <c r="B898">
        <v>10814</v>
      </c>
      <c r="C898" t="s">
        <v>22313</v>
      </c>
      <c r="E898">
        <v>255</v>
      </c>
      <c r="F898">
        <v>225</v>
      </c>
      <c r="G898">
        <v>104</v>
      </c>
      <c r="V898" t="s">
        <v>5563</v>
      </c>
    </row>
    <row r="899" spans="2:22" x14ac:dyDescent="0.25">
      <c r="B899">
        <v>10815</v>
      </c>
      <c r="C899" t="s">
        <v>22314</v>
      </c>
      <c r="E899">
        <v>253</v>
      </c>
      <c r="F899">
        <v>217</v>
      </c>
      <c r="G899">
        <v>46</v>
      </c>
      <c r="V899" t="s">
        <v>5565</v>
      </c>
    </row>
    <row r="900" spans="2:22" x14ac:dyDescent="0.25">
      <c r="B900">
        <v>10171</v>
      </c>
      <c r="C900" t="s">
        <v>22315</v>
      </c>
      <c r="E900">
        <v>253</v>
      </c>
      <c r="F900">
        <v>217</v>
      </c>
      <c r="G900">
        <v>46</v>
      </c>
      <c r="U900" t="s">
        <v>5105</v>
      </c>
    </row>
    <row r="901" spans="2:22" x14ac:dyDescent="0.25">
      <c r="B901">
        <v>10816</v>
      </c>
      <c r="C901" t="s">
        <v>22316</v>
      </c>
      <c r="E901">
        <v>251</v>
      </c>
      <c r="F901">
        <v>232</v>
      </c>
      <c r="G901">
        <v>157</v>
      </c>
      <c r="V901" t="s">
        <v>5567</v>
      </c>
    </row>
    <row r="902" spans="2:22" x14ac:dyDescent="0.25">
      <c r="B902">
        <v>10817</v>
      </c>
      <c r="C902" t="s">
        <v>22317</v>
      </c>
      <c r="E902">
        <v>253</v>
      </c>
      <c r="F902">
        <v>217</v>
      </c>
      <c r="G902">
        <v>46</v>
      </c>
      <c r="V902" t="s">
        <v>5569</v>
      </c>
    </row>
    <row r="903" spans="2:22" x14ac:dyDescent="0.25">
      <c r="B903">
        <v>10818</v>
      </c>
      <c r="C903" t="s">
        <v>22318</v>
      </c>
      <c r="E903">
        <v>255</v>
      </c>
      <c r="F903">
        <v>225</v>
      </c>
      <c r="G903">
        <v>104</v>
      </c>
      <c r="V903" t="s">
        <v>5571</v>
      </c>
    </row>
    <row r="904" spans="2:22" x14ac:dyDescent="0.25">
      <c r="B904">
        <v>10819</v>
      </c>
      <c r="C904" t="s">
        <v>22319</v>
      </c>
      <c r="E904">
        <v>255</v>
      </c>
      <c r="F904">
        <v>225</v>
      </c>
      <c r="G904">
        <v>104</v>
      </c>
      <c r="V904" t="s">
        <v>5573</v>
      </c>
    </row>
    <row r="905" spans="2:22" x14ac:dyDescent="0.25">
      <c r="B905">
        <v>10820</v>
      </c>
      <c r="C905" t="s">
        <v>22320</v>
      </c>
      <c r="E905">
        <v>253</v>
      </c>
      <c r="F905">
        <v>217</v>
      </c>
      <c r="G905">
        <v>46</v>
      </c>
      <c r="V905" t="s">
        <v>5575</v>
      </c>
    </row>
    <row r="906" spans="2:22" x14ac:dyDescent="0.25">
      <c r="B906">
        <v>266441217</v>
      </c>
      <c r="C906" t="s">
        <v>22321</v>
      </c>
      <c r="E906">
        <v>253</v>
      </c>
      <c r="F906">
        <v>217</v>
      </c>
      <c r="G906">
        <v>46</v>
      </c>
      <c r="T906" t="s">
        <v>8405</v>
      </c>
    </row>
    <row r="907" spans="2:22" x14ac:dyDescent="0.25">
      <c r="B907">
        <v>266441221</v>
      </c>
      <c r="C907" t="s">
        <v>22322</v>
      </c>
      <c r="E907">
        <v>251</v>
      </c>
      <c r="F907">
        <v>232</v>
      </c>
      <c r="G907">
        <v>157</v>
      </c>
      <c r="U907" t="s">
        <v>8407</v>
      </c>
    </row>
    <row r="908" spans="2:22" x14ac:dyDescent="0.25">
      <c r="B908">
        <v>266441225</v>
      </c>
      <c r="C908" t="s">
        <v>22323</v>
      </c>
      <c r="E908">
        <v>253</v>
      </c>
      <c r="F908">
        <v>217</v>
      </c>
      <c r="G908">
        <v>46</v>
      </c>
      <c r="U908" t="s">
        <v>8409</v>
      </c>
    </row>
    <row r="909" spans="2:22" x14ac:dyDescent="0.25">
      <c r="B909">
        <v>266441229</v>
      </c>
      <c r="C909" t="s">
        <v>22324</v>
      </c>
      <c r="E909">
        <v>255</v>
      </c>
      <c r="F909">
        <v>225</v>
      </c>
      <c r="G909">
        <v>104</v>
      </c>
      <c r="U909" t="s">
        <v>8411</v>
      </c>
    </row>
    <row r="910" spans="2:22" x14ac:dyDescent="0.25">
      <c r="B910">
        <v>266441233</v>
      </c>
      <c r="C910" t="s">
        <v>22325</v>
      </c>
      <c r="E910">
        <v>255</v>
      </c>
      <c r="F910">
        <v>225</v>
      </c>
      <c r="G910">
        <v>104</v>
      </c>
      <c r="U910" t="s">
        <v>8413</v>
      </c>
    </row>
    <row r="911" spans="2:22" x14ac:dyDescent="0.25">
      <c r="B911">
        <v>266441237</v>
      </c>
      <c r="C911" t="s">
        <v>22326</v>
      </c>
      <c r="E911">
        <v>253</v>
      </c>
      <c r="F911">
        <v>217</v>
      </c>
      <c r="G911">
        <v>46</v>
      </c>
      <c r="U911" t="s">
        <v>8415</v>
      </c>
    </row>
    <row r="912" spans="2:22" x14ac:dyDescent="0.25">
      <c r="B912">
        <v>266441241</v>
      </c>
      <c r="C912" t="s">
        <v>22327</v>
      </c>
      <c r="E912">
        <v>253</v>
      </c>
      <c r="F912">
        <v>217</v>
      </c>
      <c r="G912">
        <v>46</v>
      </c>
      <c r="U912" t="s">
        <v>8417</v>
      </c>
    </row>
    <row r="913" spans="2:21" x14ac:dyDescent="0.25">
      <c r="B913">
        <v>10291</v>
      </c>
      <c r="C913" t="s">
        <v>22328</v>
      </c>
      <c r="E913">
        <v>238</v>
      </c>
      <c r="F913">
        <v>175</v>
      </c>
      <c r="G913">
        <v>128</v>
      </c>
      <c r="R913" t="s">
        <v>5307</v>
      </c>
    </row>
    <row r="914" spans="2:21" x14ac:dyDescent="0.25">
      <c r="B914">
        <v>10208</v>
      </c>
      <c r="C914" t="s">
        <v>15811</v>
      </c>
      <c r="E914">
        <v>240</v>
      </c>
      <c r="F914">
        <v>218</v>
      </c>
      <c r="G914">
        <v>190</v>
      </c>
      <c r="R914" t="s">
        <v>3727</v>
      </c>
    </row>
    <row r="915" spans="2:21" x14ac:dyDescent="0.25">
      <c r="B915">
        <v>10209</v>
      </c>
      <c r="C915" t="s">
        <v>22329</v>
      </c>
      <c r="E915">
        <v>236</v>
      </c>
      <c r="F915">
        <v>129</v>
      </c>
      <c r="G915">
        <v>59</v>
      </c>
      <c r="S915" t="s">
        <v>4157</v>
      </c>
    </row>
    <row r="916" spans="2:21" x14ac:dyDescent="0.25">
      <c r="B916">
        <v>10210</v>
      </c>
      <c r="C916" t="s">
        <v>22330</v>
      </c>
      <c r="E916">
        <v>236</v>
      </c>
      <c r="F916">
        <v>129</v>
      </c>
      <c r="G916">
        <v>59</v>
      </c>
      <c r="T916" t="s">
        <v>5173</v>
      </c>
    </row>
    <row r="917" spans="2:21" x14ac:dyDescent="0.25">
      <c r="B917">
        <v>10913</v>
      </c>
      <c r="C917" t="s">
        <v>22331</v>
      </c>
      <c r="E917">
        <v>239</v>
      </c>
      <c r="F917">
        <v>206</v>
      </c>
      <c r="G917">
        <v>182</v>
      </c>
      <c r="U917" t="s">
        <v>5749</v>
      </c>
    </row>
    <row r="918" spans="2:21" x14ac:dyDescent="0.25">
      <c r="B918">
        <v>10914</v>
      </c>
      <c r="C918" t="s">
        <v>22332</v>
      </c>
      <c r="E918">
        <v>236</v>
      </c>
      <c r="F918">
        <v>129</v>
      </c>
      <c r="G918">
        <v>59</v>
      </c>
      <c r="U918" t="s">
        <v>5751</v>
      </c>
    </row>
    <row r="919" spans="2:21" x14ac:dyDescent="0.25">
      <c r="B919">
        <v>10915</v>
      </c>
      <c r="C919" t="s">
        <v>22333</v>
      </c>
      <c r="E919">
        <v>237</v>
      </c>
      <c r="F919">
        <v>143</v>
      </c>
      <c r="G919">
        <v>86</v>
      </c>
      <c r="U919" t="s">
        <v>5753</v>
      </c>
    </row>
    <row r="920" spans="2:21" x14ac:dyDescent="0.25">
      <c r="B920">
        <v>10916</v>
      </c>
      <c r="C920" t="s">
        <v>22334</v>
      </c>
      <c r="E920">
        <v>236</v>
      </c>
      <c r="F920">
        <v>129</v>
      </c>
      <c r="G920">
        <v>59</v>
      </c>
      <c r="U920" t="s">
        <v>5755</v>
      </c>
    </row>
    <row r="921" spans="2:21" x14ac:dyDescent="0.25">
      <c r="B921">
        <v>10917</v>
      </c>
      <c r="C921" t="s">
        <v>22335</v>
      </c>
      <c r="E921">
        <v>237</v>
      </c>
      <c r="F921">
        <v>143</v>
      </c>
      <c r="G921">
        <v>86</v>
      </c>
      <c r="U921" t="s">
        <v>5757</v>
      </c>
    </row>
    <row r="922" spans="2:21" x14ac:dyDescent="0.25">
      <c r="B922">
        <v>10918</v>
      </c>
      <c r="C922" t="s">
        <v>22336</v>
      </c>
      <c r="E922">
        <v>236</v>
      </c>
      <c r="F922">
        <v>129</v>
      </c>
      <c r="G922">
        <v>59</v>
      </c>
      <c r="U922" t="s">
        <v>5759</v>
      </c>
    </row>
    <row r="923" spans="2:21" x14ac:dyDescent="0.25">
      <c r="B923">
        <v>10211</v>
      </c>
      <c r="C923" t="s">
        <v>22337</v>
      </c>
      <c r="E923">
        <v>236</v>
      </c>
      <c r="F923">
        <v>129</v>
      </c>
      <c r="G923">
        <v>59</v>
      </c>
      <c r="T923" t="s">
        <v>5175</v>
      </c>
    </row>
    <row r="924" spans="2:21" x14ac:dyDescent="0.25">
      <c r="B924">
        <v>10919</v>
      </c>
      <c r="C924" t="s">
        <v>22338</v>
      </c>
      <c r="E924">
        <v>239</v>
      </c>
      <c r="F924">
        <v>206</v>
      </c>
      <c r="G924">
        <v>182</v>
      </c>
      <c r="U924" t="s">
        <v>5761</v>
      </c>
    </row>
    <row r="925" spans="2:21" x14ac:dyDescent="0.25">
      <c r="B925">
        <v>10920</v>
      </c>
      <c r="C925" t="s">
        <v>22339</v>
      </c>
      <c r="E925">
        <v>236</v>
      </c>
      <c r="F925">
        <v>129</v>
      </c>
      <c r="G925">
        <v>59</v>
      </c>
      <c r="U925" t="s">
        <v>5763</v>
      </c>
    </row>
    <row r="926" spans="2:21" x14ac:dyDescent="0.25">
      <c r="B926">
        <v>10921</v>
      </c>
      <c r="C926" t="s">
        <v>22340</v>
      </c>
      <c r="E926">
        <v>237</v>
      </c>
      <c r="F926">
        <v>143</v>
      </c>
      <c r="G926">
        <v>86</v>
      </c>
      <c r="U926" t="s">
        <v>5765</v>
      </c>
    </row>
    <row r="927" spans="2:21" x14ac:dyDescent="0.25">
      <c r="B927">
        <v>10922</v>
      </c>
      <c r="C927" t="s">
        <v>22341</v>
      </c>
      <c r="E927">
        <v>236</v>
      </c>
      <c r="F927">
        <v>129</v>
      </c>
      <c r="G927">
        <v>59</v>
      </c>
      <c r="U927" t="s">
        <v>5767</v>
      </c>
    </row>
    <row r="928" spans="2:21" x14ac:dyDescent="0.25">
      <c r="B928">
        <v>10923</v>
      </c>
      <c r="C928" t="s">
        <v>22342</v>
      </c>
      <c r="E928">
        <v>237</v>
      </c>
      <c r="F928">
        <v>143</v>
      </c>
      <c r="G928">
        <v>86</v>
      </c>
      <c r="U928" t="s">
        <v>5769</v>
      </c>
    </row>
    <row r="929" spans="2:21" x14ac:dyDescent="0.25">
      <c r="B929">
        <v>10924</v>
      </c>
      <c r="C929" t="s">
        <v>22343</v>
      </c>
      <c r="E929">
        <v>236</v>
      </c>
      <c r="F929">
        <v>129</v>
      </c>
      <c r="G929">
        <v>59</v>
      </c>
      <c r="U929" t="s">
        <v>5771</v>
      </c>
    </row>
    <row r="930" spans="2:21" x14ac:dyDescent="0.25">
      <c r="B930">
        <v>10212</v>
      </c>
      <c r="C930" t="s">
        <v>22344</v>
      </c>
      <c r="E930">
        <v>236</v>
      </c>
      <c r="F930">
        <v>129</v>
      </c>
      <c r="G930">
        <v>59</v>
      </c>
      <c r="T930" t="s">
        <v>5177</v>
      </c>
    </row>
    <row r="931" spans="2:21" x14ac:dyDescent="0.25">
      <c r="B931">
        <v>10925</v>
      </c>
      <c r="C931" t="s">
        <v>22345</v>
      </c>
      <c r="E931">
        <v>239</v>
      </c>
      <c r="F931">
        <v>206</v>
      </c>
      <c r="G931">
        <v>182</v>
      </c>
      <c r="U931" t="s">
        <v>5773</v>
      </c>
    </row>
    <row r="932" spans="2:21" x14ac:dyDescent="0.25">
      <c r="B932">
        <v>10926</v>
      </c>
      <c r="C932" t="s">
        <v>22346</v>
      </c>
      <c r="E932">
        <v>236</v>
      </c>
      <c r="F932">
        <v>129</v>
      </c>
      <c r="G932">
        <v>59</v>
      </c>
      <c r="U932" t="s">
        <v>5775</v>
      </c>
    </row>
    <row r="933" spans="2:21" x14ac:dyDescent="0.25">
      <c r="B933">
        <v>10927</v>
      </c>
      <c r="C933" t="s">
        <v>22347</v>
      </c>
      <c r="E933">
        <v>237</v>
      </c>
      <c r="F933">
        <v>143</v>
      </c>
      <c r="G933">
        <v>86</v>
      </c>
      <c r="U933" t="s">
        <v>5777</v>
      </c>
    </row>
    <row r="934" spans="2:21" x14ac:dyDescent="0.25">
      <c r="B934">
        <v>10928</v>
      </c>
      <c r="C934" t="s">
        <v>22348</v>
      </c>
      <c r="E934">
        <v>236</v>
      </c>
      <c r="F934">
        <v>129</v>
      </c>
      <c r="G934">
        <v>59</v>
      </c>
      <c r="U934" t="s">
        <v>5779</v>
      </c>
    </row>
    <row r="935" spans="2:21" x14ac:dyDescent="0.25">
      <c r="B935">
        <v>10929</v>
      </c>
      <c r="C935" t="s">
        <v>22349</v>
      </c>
      <c r="E935">
        <v>237</v>
      </c>
      <c r="F935">
        <v>143</v>
      </c>
      <c r="G935">
        <v>86</v>
      </c>
      <c r="U935" t="s">
        <v>5781</v>
      </c>
    </row>
    <row r="936" spans="2:21" x14ac:dyDescent="0.25">
      <c r="B936">
        <v>10930</v>
      </c>
      <c r="C936" t="s">
        <v>22350</v>
      </c>
      <c r="E936">
        <v>236</v>
      </c>
      <c r="F936">
        <v>129</v>
      </c>
      <c r="G936">
        <v>59</v>
      </c>
      <c r="U936" t="s">
        <v>5783</v>
      </c>
    </row>
    <row r="937" spans="2:21" x14ac:dyDescent="0.25">
      <c r="B937">
        <v>10213</v>
      </c>
      <c r="C937" t="s">
        <v>22351</v>
      </c>
      <c r="E937">
        <v>236</v>
      </c>
      <c r="F937">
        <v>129</v>
      </c>
      <c r="G937">
        <v>59</v>
      </c>
      <c r="T937" t="s">
        <v>5179</v>
      </c>
    </row>
    <row r="938" spans="2:21" x14ac:dyDescent="0.25">
      <c r="B938">
        <v>10931</v>
      </c>
      <c r="C938" t="s">
        <v>22352</v>
      </c>
      <c r="E938">
        <v>239</v>
      </c>
      <c r="F938">
        <v>206</v>
      </c>
      <c r="G938">
        <v>182</v>
      </c>
      <c r="U938" t="s">
        <v>5785</v>
      </c>
    </row>
    <row r="939" spans="2:21" x14ac:dyDescent="0.25">
      <c r="B939">
        <v>10932</v>
      </c>
      <c r="C939" t="s">
        <v>22353</v>
      </c>
      <c r="E939">
        <v>236</v>
      </c>
      <c r="F939">
        <v>129</v>
      </c>
      <c r="G939">
        <v>59</v>
      </c>
      <c r="U939" t="s">
        <v>5787</v>
      </c>
    </row>
    <row r="940" spans="2:21" x14ac:dyDescent="0.25">
      <c r="B940">
        <v>10933</v>
      </c>
      <c r="C940" t="s">
        <v>22354</v>
      </c>
      <c r="E940">
        <v>237</v>
      </c>
      <c r="F940">
        <v>143</v>
      </c>
      <c r="G940">
        <v>86</v>
      </c>
      <c r="U940" t="s">
        <v>5789</v>
      </c>
    </row>
    <row r="941" spans="2:21" x14ac:dyDescent="0.25">
      <c r="B941">
        <v>10934</v>
      </c>
      <c r="C941" t="s">
        <v>22355</v>
      </c>
      <c r="E941">
        <v>236</v>
      </c>
      <c r="F941">
        <v>129</v>
      </c>
      <c r="G941">
        <v>59</v>
      </c>
      <c r="U941" t="s">
        <v>5791</v>
      </c>
    </row>
    <row r="942" spans="2:21" x14ac:dyDescent="0.25">
      <c r="B942">
        <v>10935</v>
      </c>
      <c r="C942" t="s">
        <v>22356</v>
      </c>
      <c r="E942">
        <v>237</v>
      </c>
      <c r="F942">
        <v>143</v>
      </c>
      <c r="G942">
        <v>86</v>
      </c>
      <c r="U942" t="s">
        <v>5793</v>
      </c>
    </row>
    <row r="943" spans="2:21" x14ac:dyDescent="0.25">
      <c r="B943">
        <v>10936</v>
      </c>
      <c r="C943" t="s">
        <v>22357</v>
      </c>
      <c r="E943">
        <v>236</v>
      </c>
      <c r="F943">
        <v>129</v>
      </c>
      <c r="G943">
        <v>59</v>
      </c>
      <c r="U943" t="s">
        <v>5795</v>
      </c>
    </row>
    <row r="944" spans="2:21" x14ac:dyDescent="0.25">
      <c r="B944">
        <v>13010</v>
      </c>
      <c r="C944" t="s">
        <v>22358</v>
      </c>
      <c r="E944">
        <v>237</v>
      </c>
      <c r="F944">
        <v>195</v>
      </c>
      <c r="G944">
        <v>141</v>
      </c>
      <c r="S944" t="s">
        <v>7922</v>
      </c>
    </row>
    <row r="945" spans="2:23" x14ac:dyDescent="0.25">
      <c r="B945">
        <v>10214</v>
      </c>
      <c r="C945" t="s">
        <v>22359</v>
      </c>
      <c r="E945">
        <v>240</v>
      </c>
      <c r="F945">
        <v>208</v>
      </c>
      <c r="G945">
        <v>166</v>
      </c>
      <c r="S945" t="s">
        <v>3976</v>
      </c>
    </row>
    <row r="946" spans="2:23" x14ac:dyDescent="0.25">
      <c r="B946">
        <v>10215</v>
      </c>
      <c r="C946" t="s">
        <v>22360</v>
      </c>
      <c r="E946">
        <v>228</v>
      </c>
      <c r="F946">
        <v>156</v>
      </c>
      <c r="G946">
        <v>51</v>
      </c>
      <c r="T946" t="s">
        <v>14833</v>
      </c>
    </row>
    <row r="947" spans="2:23" x14ac:dyDescent="0.25">
      <c r="B947">
        <v>10216</v>
      </c>
      <c r="C947" t="s">
        <v>22361</v>
      </c>
      <c r="E947">
        <v>228</v>
      </c>
      <c r="F947">
        <v>156</v>
      </c>
      <c r="G947">
        <v>51</v>
      </c>
      <c r="U947" t="s">
        <v>5181</v>
      </c>
    </row>
    <row r="948" spans="2:23" x14ac:dyDescent="0.25">
      <c r="B948">
        <v>10217</v>
      </c>
      <c r="C948" t="s">
        <v>22362</v>
      </c>
      <c r="E948">
        <v>228</v>
      </c>
      <c r="F948">
        <v>156</v>
      </c>
      <c r="G948">
        <v>51</v>
      </c>
      <c r="V948" t="s">
        <v>5183</v>
      </c>
    </row>
    <row r="949" spans="2:23" x14ac:dyDescent="0.25">
      <c r="B949">
        <v>10979</v>
      </c>
      <c r="C949" t="s">
        <v>22363</v>
      </c>
      <c r="E949">
        <v>240</v>
      </c>
      <c r="F949">
        <v>218</v>
      </c>
      <c r="G949">
        <v>190</v>
      </c>
      <c r="W949" t="s">
        <v>5857</v>
      </c>
    </row>
    <row r="950" spans="2:23" x14ac:dyDescent="0.25">
      <c r="B950">
        <v>10980</v>
      </c>
      <c r="C950" t="s">
        <v>22364</v>
      </c>
      <c r="E950">
        <v>228</v>
      </c>
      <c r="F950">
        <v>156</v>
      </c>
      <c r="G950">
        <v>51</v>
      </c>
      <c r="W950" t="s">
        <v>5859</v>
      </c>
    </row>
    <row r="951" spans="2:23" x14ac:dyDescent="0.25">
      <c r="B951">
        <v>10981</v>
      </c>
      <c r="C951" t="s">
        <v>22365</v>
      </c>
      <c r="E951">
        <v>231</v>
      </c>
      <c r="F951">
        <v>166</v>
      </c>
      <c r="G951">
        <v>79</v>
      </c>
      <c r="W951" t="s">
        <v>5861</v>
      </c>
    </row>
    <row r="952" spans="2:23" x14ac:dyDescent="0.25">
      <c r="B952">
        <v>10982</v>
      </c>
      <c r="C952" t="s">
        <v>22366</v>
      </c>
      <c r="E952">
        <v>228</v>
      </c>
      <c r="F952">
        <v>156</v>
      </c>
      <c r="G952">
        <v>51</v>
      </c>
      <c r="W952" t="s">
        <v>5863</v>
      </c>
    </row>
    <row r="953" spans="2:23" x14ac:dyDescent="0.25">
      <c r="B953">
        <v>10983</v>
      </c>
      <c r="C953" t="s">
        <v>22367</v>
      </c>
      <c r="E953">
        <v>231</v>
      </c>
      <c r="F953">
        <v>166</v>
      </c>
      <c r="G953">
        <v>79</v>
      </c>
      <c r="W953" t="s">
        <v>5865</v>
      </c>
    </row>
    <row r="954" spans="2:23" x14ac:dyDescent="0.25">
      <c r="B954">
        <v>10984</v>
      </c>
      <c r="C954" t="s">
        <v>22368</v>
      </c>
      <c r="E954">
        <v>228</v>
      </c>
      <c r="F954">
        <v>156</v>
      </c>
      <c r="G954">
        <v>51</v>
      </c>
      <c r="W954" t="s">
        <v>5867</v>
      </c>
    </row>
    <row r="955" spans="2:23" x14ac:dyDescent="0.25">
      <c r="B955">
        <v>10218</v>
      </c>
      <c r="C955" t="s">
        <v>22369</v>
      </c>
      <c r="E955">
        <v>228</v>
      </c>
      <c r="F955">
        <v>156</v>
      </c>
      <c r="G955">
        <v>51</v>
      </c>
      <c r="V955" t="s">
        <v>5185</v>
      </c>
    </row>
    <row r="956" spans="2:23" x14ac:dyDescent="0.25">
      <c r="B956">
        <v>10985</v>
      </c>
      <c r="C956" t="s">
        <v>22370</v>
      </c>
      <c r="E956">
        <v>240</v>
      </c>
      <c r="F956">
        <v>218</v>
      </c>
      <c r="G956">
        <v>190</v>
      </c>
      <c r="W956" t="s">
        <v>5869</v>
      </c>
    </row>
    <row r="957" spans="2:23" x14ac:dyDescent="0.25">
      <c r="B957">
        <v>10986</v>
      </c>
      <c r="C957" t="s">
        <v>22371</v>
      </c>
      <c r="E957">
        <v>228</v>
      </c>
      <c r="F957">
        <v>156</v>
      </c>
      <c r="G957">
        <v>51</v>
      </c>
      <c r="W957" t="s">
        <v>5871</v>
      </c>
    </row>
    <row r="958" spans="2:23" x14ac:dyDescent="0.25">
      <c r="B958">
        <v>10987</v>
      </c>
      <c r="C958" t="s">
        <v>22372</v>
      </c>
      <c r="E958">
        <v>231</v>
      </c>
      <c r="F958">
        <v>166</v>
      </c>
      <c r="G958">
        <v>79</v>
      </c>
      <c r="W958" t="s">
        <v>5873</v>
      </c>
    </row>
    <row r="959" spans="2:23" x14ac:dyDescent="0.25">
      <c r="B959">
        <v>10988</v>
      </c>
      <c r="C959" t="s">
        <v>22373</v>
      </c>
      <c r="E959">
        <v>228</v>
      </c>
      <c r="F959">
        <v>156</v>
      </c>
      <c r="G959">
        <v>51</v>
      </c>
      <c r="W959" t="s">
        <v>5875</v>
      </c>
    </row>
    <row r="960" spans="2:23" x14ac:dyDescent="0.25">
      <c r="B960">
        <v>10989</v>
      </c>
      <c r="C960" t="s">
        <v>22374</v>
      </c>
      <c r="E960">
        <v>231</v>
      </c>
      <c r="F960">
        <v>166</v>
      </c>
      <c r="G960">
        <v>79</v>
      </c>
      <c r="W960" t="s">
        <v>5877</v>
      </c>
    </row>
    <row r="961" spans="2:23" x14ac:dyDescent="0.25">
      <c r="B961">
        <v>10990</v>
      </c>
      <c r="C961" t="s">
        <v>22375</v>
      </c>
      <c r="E961">
        <v>228</v>
      </c>
      <c r="F961">
        <v>156</v>
      </c>
      <c r="G961">
        <v>51</v>
      </c>
      <c r="W961" t="s">
        <v>5879</v>
      </c>
    </row>
    <row r="962" spans="2:23" x14ac:dyDescent="0.25">
      <c r="B962">
        <v>10219</v>
      </c>
      <c r="C962" t="s">
        <v>22376</v>
      </c>
      <c r="E962">
        <v>228</v>
      </c>
      <c r="F962">
        <v>156</v>
      </c>
      <c r="G962">
        <v>51</v>
      </c>
      <c r="V962" t="s">
        <v>5187</v>
      </c>
    </row>
    <row r="963" spans="2:23" x14ac:dyDescent="0.25">
      <c r="B963">
        <v>10991</v>
      </c>
      <c r="C963" t="s">
        <v>22377</v>
      </c>
      <c r="E963">
        <v>240</v>
      </c>
      <c r="F963">
        <v>218</v>
      </c>
      <c r="G963">
        <v>190</v>
      </c>
      <c r="W963" t="s">
        <v>5881</v>
      </c>
    </row>
    <row r="964" spans="2:23" x14ac:dyDescent="0.25">
      <c r="B964">
        <v>10992</v>
      </c>
      <c r="C964" t="s">
        <v>22378</v>
      </c>
      <c r="E964">
        <v>228</v>
      </c>
      <c r="F964">
        <v>156</v>
      </c>
      <c r="G964">
        <v>51</v>
      </c>
      <c r="W964" t="s">
        <v>5883</v>
      </c>
    </row>
    <row r="965" spans="2:23" x14ac:dyDescent="0.25">
      <c r="B965">
        <v>10993</v>
      </c>
      <c r="C965" t="s">
        <v>22379</v>
      </c>
      <c r="E965">
        <v>231</v>
      </c>
      <c r="F965">
        <v>166</v>
      </c>
      <c r="G965">
        <v>79</v>
      </c>
      <c r="W965" t="s">
        <v>5885</v>
      </c>
    </row>
    <row r="966" spans="2:23" x14ac:dyDescent="0.25">
      <c r="B966">
        <v>10994</v>
      </c>
      <c r="C966" t="s">
        <v>22380</v>
      </c>
      <c r="E966">
        <v>228</v>
      </c>
      <c r="F966">
        <v>156</v>
      </c>
      <c r="G966">
        <v>51</v>
      </c>
      <c r="W966" t="s">
        <v>5887</v>
      </c>
    </row>
    <row r="967" spans="2:23" x14ac:dyDescent="0.25">
      <c r="B967">
        <v>10995</v>
      </c>
      <c r="C967" t="s">
        <v>22381</v>
      </c>
      <c r="E967">
        <v>231</v>
      </c>
      <c r="F967">
        <v>166</v>
      </c>
      <c r="G967">
        <v>79</v>
      </c>
      <c r="W967" t="s">
        <v>5889</v>
      </c>
    </row>
    <row r="968" spans="2:23" x14ac:dyDescent="0.25">
      <c r="B968">
        <v>10996</v>
      </c>
      <c r="C968" t="s">
        <v>22382</v>
      </c>
      <c r="E968">
        <v>228</v>
      </c>
      <c r="F968">
        <v>156</v>
      </c>
      <c r="G968">
        <v>51</v>
      </c>
      <c r="W968" t="s">
        <v>5891</v>
      </c>
    </row>
    <row r="969" spans="2:23" x14ac:dyDescent="0.25">
      <c r="B969">
        <v>10220</v>
      </c>
      <c r="C969" t="s">
        <v>17528</v>
      </c>
      <c r="E969">
        <v>228</v>
      </c>
      <c r="F969">
        <v>156</v>
      </c>
      <c r="G969">
        <v>51</v>
      </c>
      <c r="U969" t="s">
        <v>5189</v>
      </c>
    </row>
    <row r="970" spans="2:23" x14ac:dyDescent="0.25">
      <c r="B970">
        <v>10221</v>
      </c>
      <c r="C970" t="s">
        <v>22383</v>
      </c>
      <c r="E970">
        <v>228</v>
      </c>
      <c r="F970">
        <v>156</v>
      </c>
      <c r="G970">
        <v>51</v>
      </c>
      <c r="V970" t="s">
        <v>5191</v>
      </c>
    </row>
    <row r="971" spans="2:23" x14ac:dyDescent="0.25">
      <c r="B971">
        <v>10997</v>
      </c>
      <c r="C971" t="s">
        <v>22384</v>
      </c>
      <c r="E971">
        <v>240</v>
      </c>
      <c r="F971">
        <v>218</v>
      </c>
      <c r="G971">
        <v>190</v>
      </c>
      <c r="W971" t="s">
        <v>5893</v>
      </c>
    </row>
    <row r="972" spans="2:23" x14ac:dyDescent="0.25">
      <c r="B972">
        <v>10998</v>
      </c>
      <c r="C972" t="s">
        <v>22385</v>
      </c>
      <c r="E972">
        <v>228</v>
      </c>
      <c r="F972">
        <v>156</v>
      </c>
      <c r="G972">
        <v>51</v>
      </c>
      <c r="W972" t="s">
        <v>5895</v>
      </c>
    </row>
    <row r="973" spans="2:23" x14ac:dyDescent="0.25">
      <c r="B973">
        <v>10999</v>
      </c>
      <c r="C973" t="s">
        <v>22386</v>
      </c>
      <c r="E973">
        <v>231</v>
      </c>
      <c r="F973">
        <v>166</v>
      </c>
      <c r="G973">
        <v>79</v>
      </c>
      <c r="W973" t="s">
        <v>5897</v>
      </c>
    </row>
    <row r="974" spans="2:23" x14ac:dyDescent="0.25">
      <c r="B974">
        <v>11000</v>
      </c>
      <c r="C974" t="s">
        <v>22387</v>
      </c>
      <c r="E974">
        <v>228</v>
      </c>
      <c r="F974">
        <v>156</v>
      </c>
      <c r="G974">
        <v>51</v>
      </c>
      <c r="W974" t="s">
        <v>5899</v>
      </c>
    </row>
    <row r="975" spans="2:23" x14ac:dyDescent="0.25">
      <c r="B975">
        <v>11001</v>
      </c>
      <c r="C975" t="s">
        <v>22388</v>
      </c>
      <c r="E975">
        <v>231</v>
      </c>
      <c r="F975">
        <v>166</v>
      </c>
      <c r="G975">
        <v>79</v>
      </c>
      <c r="W975" t="s">
        <v>5901</v>
      </c>
    </row>
    <row r="976" spans="2:23" x14ac:dyDescent="0.25">
      <c r="B976">
        <v>11002</v>
      </c>
      <c r="C976" t="s">
        <v>22389</v>
      </c>
      <c r="E976">
        <v>228</v>
      </c>
      <c r="F976">
        <v>156</v>
      </c>
      <c r="G976">
        <v>51</v>
      </c>
      <c r="W976" t="s">
        <v>5903</v>
      </c>
    </row>
    <row r="977" spans="2:23" x14ac:dyDescent="0.25">
      <c r="B977">
        <v>10222</v>
      </c>
      <c r="C977" t="s">
        <v>22390</v>
      </c>
      <c r="E977">
        <v>228</v>
      </c>
      <c r="F977">
        <v>156</v>
      </c>
      <c r="G977">
        <v>51</v>
      </c>
      <c r="V977" t="s">
        <v>5193</v>
      </c>
    </row>
    <row r="978" spans="2:23" x14ac:dyDescent="0.25">
      <c r="B978">
        <v>11003</v>
      </c>
      <c r="C978" t="s">
        <v>22391</v>
      </c>
      <c r="E978">
        <v>240</v>
      </c>
      <c r="F978">
        <v>218</v>
      </c>
      <c r="G978">
        <v>190</v>
      </c>
      <c r="W978" t="s">
        <v>5905</v>
      </c>
    </row>
    <row r="979" spans="2:23" x14ac:dyDescent="0.25">
      <c r="B979">
        <v>11004</v>
      </c>
      <c r="C979" t="s">
        <v>22392</v>
      </c>
      <c r="E979">
        <v>228</v>
      </c>
      <c r="F979">
        <v>156</v>
      </c>
      <c r="G979">
        <v>51</v>
      </c>
      <c r="W979" t="s">
        <v>5907</v>
      </c>
    </row>
    <row r="980" spans="2:23" x14ac:dyDescent="0.25">
      <c r="B980">
        <v>11005</v>
      </c>
      <c r="C980" t="s">
        <v>22393</v>
      </c>
      <c r="E980">
        <v>231</v>
      </c>
      <c r="F980">
        <v>166</v>
      </c>
      <c r="G980">
        <v>79</v>
      </c>
      <c r="W980" t="s">
        <v>5909</v>
      </c>
    </row>
    <row r="981" spans="2:23" x14ac:dyDescent="0.25">
      <c r="B981">
        <v>11006</v>
      </c>
      <c r="C981" t="s">
        <v>22394</v>
      </c>
      <c r="E981">
        <v>228</v>
      </c>
      <c r="F981">
        <v>156</v>
      </c>
      <c r="G981">
        <v>51</v>
      </c>
      <c r="W981" t="s">
        <v>5911</v>
      </c>
    </row>
    <row r="982" spans="2:23" x14ac:dyDescent="0.25">
      <c r="B982">
        <v>11007</v>
      </c>
      <c r="C982" t="s">
        <v>22395</v>
      </c>
      <c r="E982">
        <v>231</v>
      </c>
      <c r="F982">
        <v>166</v>
      </c>
      <c r="G982">
        <v>79</v>
      </c>
      <c r="W982" t="s">
        <v>5913</v>
      </c>
    </row>
    <row r="983" spans="2:23" x14ac:dyDescent="0.25">
      <c r="B983">
        <v>11008</v>
      </c>
      <c r="C983" t="s">
        <v>22396</v>
      </c>
      <c r="E983">
        <v>228</v>
      </c>
      <c r="F983">
        <v>156</v>
      </c>
      <c r="G983">
        <v>51</v>
      </c>
      <c r="W983" t="s">
        <v>5915</v>
      </c>
    </row>
    <row r="984" spans="2:23" x14ac:dyDescent="0.25">
      <c r="B984">
        <v>10223</v>
      </c>
      <c r="C984" t="s">
        <v>22397</v>
      </c>
      <c r="E984">
        <v>228</v>
      </c>
      <c r="F984">
        <v>156</v>
      </c>
      <c r="G984">
        <v>51</v>
      </c>
      <c r="V984" t="s">
        <v>5195</v>
      </c>
    </row>
    <row r="985" spans="2:23" x14ac:dyDescent="0.25">
      <c r="B985">
        <v>11009</v>
      </c>
      <c r="C985" t="s">
        <v>22398</v>
      </c>
      <c r="E985">
        <v>240</v>
      </c>
      <c r="F985">
        <v>218</v>
      </c>
      <c r="G985">
        <v>190</v>
      </c>
      <c r="W985" t="s">
        <v>5917</v>
      </c>
    </row>
    <row r="986" spans="2:23" x14ac:dyDescent="0.25">
      <c r="B986">
        <v>11010</v>
      </c>
      <c r="C986" t="s">
        <v>22399</v>
      </c>
      <c r="E986">
        <v>228</v>
      </c>
      <c r="F986">
        <v>156</v>
      </c>
      <c r="G986">
        <v>51</v>
      </c>
      <c r="W986" t="s">
        <v>5919</v>
      </c>
    </row>
    <row r="987" spans="2:23" x14ac:dyDescent="0.25">
      <c r="B987">
        <v>11011</v>
      </c>
      <c r="C987" t="s">
        <v>22400</v>
      </c>
      <c r="E987">
        <v>231</v>
      </c>
      <c r="F987">
        <v>166</v>
      </c>
      <c r="G987">
        <v>79</v>
      </c>
      <c r="W987" t="s">
        <v>5921</v>
      </c>
    </row>
    <row r="988" spans="2:23" x14ac:dyDescent="0.25">
      <c r="B988">
        <v>11012</v>
      </c>
      <c r="C988" t="s">
        <v>22401</v>
      </c>
      <c r="E988">
        <v>228</v>
      </c>
      <c r="F988">
        <v>156</v>
      </c>
      <c r="G988">
        <v>51</v>
      </c>
      <c r="W988" t="s">
        <v>5923</v>
      </c>
    </row>
    <row r="989" spans="2:23" x14ac:dyDescent="0.25">
      <c r="B989">
        <v>11013</v>
      </c>
      <c r="C989" t="s">
        <v>22402</v>
      </c>
      <c r="E989">
        <v>231</v>
      </c>
      <c r="F989">
        <v>166</v>
      </c>
      <c r="G989">
        <v>79</v>
      </c>
      <c r="W989" t="s">
        <v>5925</v>
      </c>
    </row>
    <row r="990" spans="2:23" x14ac:dyDescent="0.25">
      <c r="B990">
        <v>11014</v>
      </c>
      <c r="C990" t="s">
        <v>22403</v>
      </c>
      <c r="E990">
        <v>228</v>
      </c>
      <c r="F990">
        <v>156</v>
      </c>
      <c r="G990">
        <v>51</v>
      </c>
      <c r="W990" t="s">
        <v>5927</v>
      </c>
    </row>
    <row r="991" spans="2:23" x14ac:dyDescent="0.25">
      <c r="B991">
        <v>10224</v>
      </c>
      <c r="C991" t="s">
        <v>22404</v>
      </c>
      <c r="E991">
        <v>228</v>
      </c>
      <c r="F991">
        <v>156</v>
      </c>
      <c r="G991">
        <v>51</v>
      </c>
      <c r="V991" t="s">
        <v>5197</v>
      </c>
    </row>
    <row r="992" spans="2:23" x14ac:dyDescent="0.25">
      <c r="B992">
        <v>11015</v>
      </c>
      <c r="C992" t="s">
        <v>22405</v>
      </c>
      <c r="E992">
        <v>240</v>
      </c>
      <c r="F992">
        <v>218</v>
      </c>
      <c r="G992">
        <v>190</v>
      </c>
      <c r="W992" t="s">
        <v>5929</v>
      </c>
    </row>
    <row r="993" spans="2:24" x14ac:dyDescent="0.25">
      <c r="B993">
        <v>11016</v>
      </c>
      <c r="C993" t="s">
        <v>22406</v>
      </c>
      <c r="E993">
        <v>228</v>
      </c>
      <c r="F993">
        <v>156</v>
      </c>
      <c r="G993">
        <v>51</v>
      </c>
      <c r="W993" t="s">
        <v>5931</v>
      </c>
    </row>
    <row r="994" spans="2:24" x14ac:dyDescent="0.25">
      <c r="B994">
        <v>11017</v>
      </c>
      <c r="C994" t="s">
        <v>22407</v>
      </c>
      <c r="E994">
        <v>231</v>
      </c>
      <c r="F994">
        <v>166</v>
      </c>
      <c r="G994">
        <v>79</v>
      </c>
      <c r="W994" t="s">
        <v>5933</v>
      </c>
    </row>
    <row r="995" spans="2:24" x14ac:dyDescent="0.25">
      <c r="B995">
        <v>11018</v>
      </c>
      <c r="C995" t="s">
        <v>22408</v>
      </c>
      <c r="E995">
        <v>228</v>
      </c>
      <c r="F995">
        <v>156</v>
      </c>
      <c r="G995">
        <v>51</v>
      </c>
      <c r="W995" t="s">
        <v>5935</v>
      </c>
    </row>
    <row r="996" spans="2:24" x14ac:dyDescent="0.25">
      <c r="B996">
        <v>11019</v>
      </c>
      <c r="C996" t="s">
        <v>22409</v>
      </c>
      <c r="E996">
        <v>231</v>
      </c>
      <c r="F996">
        <v>166</v>
      </c>
      <c r="G996">
        <v>79</v>
      </c>
      <c r="W996" t="s">
        <v>5937</v>
      </c>
    </row>
    <row r="997" spans="2:24" x14ac:dyDescent="0.25">
      <c r="B997">
        <v>11020</v>
      </c>
      <c r="C997" t="s">
        <v>22410</v>
      </c>
      <c r="E997">
        <v>228</v>
      </c>
      <c r="F997">
        <v>156</v>
      </c>
      <c r="G997">
        <v>51</v>
      </c>
      <c r="W997" t="s">
        <v>5939</v>
      </c>
    </row>
    <row r="998" spans="2:24" x14ac:dyDescent="0.25">
      <c r="B998">
        <v>267498979</v>
      </c>
      <c r="C998" t="s">
        <v>22411</v>
      </c>
      <c r="E998">
        <v>228</v>
      </c>
      <c r="F998">
        <v>156</v>
      </c>
      <c r="G998">
        <v>51</v>
      </c>
      <c r="V998" t="s">
        <v>8541</v>
      </c>
    </row>
    <row r="999" spans="2:24" x14ac:dyDescent="0.25">
      <c r="B999">
        <v>267498983</v>
      </c>
      <c r="C999" t="s">
        <v>22412</v>
      </c>
      <c r="E999">
        <v>228</v>
      </c>
      <c r="F999">
        <v>156</v>
      </c>
      <c r="G999">
        <v>51</v>
      </c>
      <c r="W999" t="s">
        <v>8543</v>
      </c>
    </row>
    <row r="1000" spans="2:24" x14ac:dyDescent="0.25">
      <c r="B1000">
        <v>267498987</v>
      </c>
      <c r="C1000" t="s">
        <v>22413</v>
      </c>
      <c r="E1000">
        <v>240</v>
      </c>
      <c r="F1000">
        <v>218</v>
      </c>
      <c r="G1000">
        <v>190</v>
      </c>
      <c r="X1000" t="s">
        <v>8545</v>
      </c>
    </row>
    <row r="1001" spans="2:24" x14ac:dyDescent="0.25">
      <c r="B1001">
        <v>267498991</v>
      </c>
      <c r="C1001" t="s">
        <v>22414</v>
      </c>
      <c r="E1001">
        <v>228</v>
      </c>
      <c r="F1001">
        <v>156</v>
      </c>
      <c r="G1001">
        <v>51</v>
      </c>
      <c r="X1001" t="s">
        <v>8547</v>
      </c>
    </row>
    <row r="1002" spans="2:24" x14ac:dyDescent="0.25">
      <c r="B1002">
        <v>267498995</v>
      </c>
      <c r="C1002" t="s">
        <v>22415</v>
      </c>
      <c r="E1002">
        <v>231</v>
      </c>
      <c r="F1002">
        <v>166</v>
      </c>
      <c r="G1002">
        <v>79</v>
      </c>
      <c r="X1002" t="s">
        <v>8549</v>
      </c>
    </row>
    <row r="1003" spans="2:24" x14ac:dyDescent="0.25">
      <c r="B1003">
        <v>267498999</v>
      </c>
      <c r="C1003" t="s">
        <v>22416</v>
      </c>
      <c r="E1003">
        <v>228</v>
      </c>
      <c r="F1003">
        <v>156</v>
      </c>
      <c r="G1003">
        <v>51</v>
      </c>
      <c r="X1003" t="s">
        <v>8551</v>
      </c>
    </row>
    <row r="1004" spans="2:24" x14ac:dyDescent="0.25">
      <c r="B1004">
        <v>267499003</v>
      </c>
      <c r="C1004" t="s">
        <v>22417</v>
      </c>
      <c r="E1004">
        <v>231</v>
      </c>
      <c r="F1004">
        <v>166</v>
      </c>
      <c r="G1004">
        <v>79</v>
      </c>
      <c r="X1004" t="s">
        <v>8553</v>
      </c>
    </row>
    <row r="1005" spans="2:24" x14ac:dyDescent="0.25">
      <c r="B1005">
        <v>267499007</v>
      </c>
      <c r="C1005" t="s">
        <v>22418</v>
      </c>
      <c r="E1005">
        <v>228</v>
      </c>
      <c r="F1005">
        <v>156</v>
      </c>
      <c r="G1005">
        <v>51</v>
      </c>
      <c r="X1005" t="s">
        <v>8555</v>
      </c>
    </row>
    <row r="1006" spans="2:24" x14ac:dyDescent="0.25">
      <c r="B1006">
        <v>267499011</v>
      </c>
      <c r="C1006" t="s">
        <v>22419</v>
      </c>
      <c r="E1006">
        <v>228</v>
      </c>
      <c r="F1006">
        <v>156</v>
      </c>
      <c r="G1006">
        <v>51</v>
      </c>
      <c r="W1006" t="s">
        <v>8557</v>
      </c>
    </row>
    <row r="1007" spans="2:24" x14ac:dyDescent="0.25">
      <c r="B1007">
        <v>267499015</v>
      </c>
      <c r="C1007" t="s">
        <v>22420</v>
      </c>
      <c r="E1007">
        <v>240</v>
      </c>
      <c r="F1007">
        <v>218</v>
      </c>
      <c r="G1007">
        <v>190</v>
      </c>
      <c r="X1007" t="s">
        <v>8559</v>
      </c>
    </row>
    <row r="1008" spans="2:24" x14ac:dyDescent="0.25">
      <c r="B1008">
        <v>267499019</v>
      </c>
      <c r="C1008" t="s">
        <v>22421</v>
      </c>
      <c r="E1008">
        <v>228</v>
      </c>
      <c r="F1008">
        <v>156</v>
      </c>
      <c r="G1008">
        <v>51</v>
      </c>
      <c r="X1008" t="s">
        <v>8561</v>
      </c>
    </row>
    <row r="1009" spans="2:24" x14ac:dyDescent="0.25">
      <c r="B1009">
        <v>267499023</v>
      </c>
      <c r="C1009" t="s">
        <v>22422</v>
      </c>
      <c r="E1009">
        <v>231</v>
      </c>
      <c r="F1009">
        <v>166</v>
      </c>
      <c r="G1009">
        <v>79</v>
      </c>
      <c r="X1009" t="s">
        <v>8563</v>
      </c>
    </row>
    <row r="1010" spans="2:24" x14ac:dyDescent="0.25">
      <c r="B1010">
        <v>267499027</v>
      </c>
      <c r="C1010" t="s">
        <v>22423</v>
      </c>
      <c r="E1010">
        <v>228</v>
      </c>
      <c r="F1010">
        <v>156</v>
      </c>
      <c r="G1010">
        <v>51</v>
      </c>
      <c r="X1010" t="s">
        <v>8565</v>
      </c>
    </row>
    <row r="1011" spans="2:24" x14ac:dyDescent="0.25">
      <c r="B1011">
        <v>267499031</v>
      </c>
      <c r="C1011" t="s">
        <v>22424</v>
      </c>
      <c r="E1011">
        <v>231</v>
      </c>
      <c r="F1011">
        <v>166</v>
      </c>
      <c r="G1011">
        <v>79</v>
      </c>
      <c r="X1011" t="s">
        <v>8567</v>
      </c>
    </row>
    <row r="1012" spans="2:24" x14ac:dyDescent="0.25">
      <c r="B1012">
        <v>267499035</v>
      </c>
      <c r="C1012" t="s">
        <v>22425</v>
      </c>
      <c r="E1012">
        <v>228</v>
      </c>
      <c r="F1012">
        <v>156</v>
      </c>
      <c r="G1012">
        <v>51</v>
      </c>
      <c r="X1012" t="s">
        <v>8569</v>
      </c>
    </row>
    <row r="1013" spans="2:24" x14ac:dyDescent="0.25">
      <c r="B1013">
        <v>10225</v>
      </c>
      <c r="C1013" t="s">
        <v>17473</v>
      </c>
      <c r="E1013">
        <v>211</v>
      </c>
      <c r="F1013">
        <v>142</v>
      </c>
      <c r="G1013">
        <v>50</v>
      </c>
      <c r="T1013" t="s">
        <v>5199</v>
      </c>
    </row>
    <row r="1014" spans="2:24" x14ac:dyDescent="0.25">
      <c r="B1014">
        <v>10226</v>
      </c>
      <c r="C1014" t="s">
        <v>22426</v>
      </c>
      <c r="E1014">
        <v>211</v>
      </c>
      <c r="F1014">
        <v>142</v>
      </c>
      <c r="G1014">
        <v>50</v>
      </c>
      <c r="U1014" t="s">
        <v>5201</v>
      </c>
    </row>
    <row r="1015" spans="2:24" x14ac:dyDescent="0.25">
      <c r="B1015">
        <v>10227</v>
      </c>
      <c r="C1015" t="s">
        <v>22427</v>
      </c>
      <c r="E1015">
        <v>211</v>
      </c>
      <c r="F1015">
        <v>142</v>
      </c>
      <c r="G1015">
        <v>50</v>
      </c>
      <c r="V1015" t="s">
        <v>5203</v>
      </c>
    </row>
    <row r="1016" spans="2:24" x14ac:dyDescent="0.25">
      <c r="B1016">
        <v>10937</v>
      </c>
      <c r="C1016" t="s">
        <v>22428</v>
      </c>
      <c r="E1016">
        <v>240</v>
      </c>
      <c r="F1016">
        <v>218</v>
      </c>
      <c r="G1016">
        <v>190</v>
      </c>
      <c r="W1016" t="s">
        <v>5797</v>
      </c>
    </row>
    <row r="1017" spans="2:24" x14ac:dyDescent="0.25">
      <c r="B1017">
        <v>10938</v>
      </c>
      <c r="C1017" t="s">
        <v>22429</v>
      </c>
      <c r="E1017">
        <v>211</v>
      </c>
      <c r="F1017">
        <v>142</v>
      </c>
      <c r="G1017">
        <v>50</v>
      </c>
      <c r="W1017" t="s">
        <v>5799</v>
      </c>
    </row>
    <row r="1018" spans="2:24" x14ac:dyDescent="0.25">
      <c r="B1018">
        <v>10939</v>
      </c>
      <c r="C1018" t="s">
        <v>22430</v>
      </c>
      <c r="E1018">
        <v>228</v>
      </c>
      <c r="F1018">
        <v>156</v>
      </c>
      <c r="G1018">
        <v>51</v>
      </c>
      <c r="W1018" t="s">
        <v>5801</v>
      </c>
    </row>
    <row r="1019" spans="2:24" x14ac:dyDescent="0.25">
      <c r="B1019">
        <v>10940</v>
      </c>
      <c r="C1019" t="s">
        <v>22431</v>
      </c>
      <c r="E1019">
        <v>211</v>
      </c>
      <c r="F1019">
        <v>142</v>
      </c>
      <c r="G1019">
        <v>50</v>
      </c>
      <c r="W1019" t="s">
        <v>5803</v>
      </c>
    </row>
    <row r="1020" spans="2:24" x14ac:dyDescent="0.25">
      <c r="B1020">
        <v>10941</v>
      </c>
      <c r="C1020" t="s">
        <v>22432</v>
      </c>
      <c r="E1020">
        <v>228</v>
      </c>
      <c r="F1020">
        <v>156</v>
      </c>
      <c r="G1020">
        <v>51</v>
      </c>
      <c r="W1020" t="s">
        <v>5805</v>
      </c>
    </row>
    <row r="1021" spans="2:24" x14ac:dyDescent="0.25">
      <c r="B1021">
        <v>10942</v>
      </c>
      <c r="C1021" t="s">
        <v>22433</v>
      </c>
      <c r="E1021">
        <v>211</v>
      </c>
      <c r="F1021">
        <v>142</v>
      </c>
      <c r="G1021">
        <v>50</v>
      </c>
      <c r="W1021" t="s">
        <v>5807</v>
      </c>
    </row>
    <row r="1022" spans="2:24" x14ac:dyDescent="0.25">
      <c r="B1022">
        <v>10228</v>
      </c>
      <c r="C1022" t="s">
        <v>22434</v>
      </c>
      <c r="E1022">
        <v>211</v>
      </c>
      <c r="F1022">
        <v>142</v>
      </c>
      <c r="G1022">
        <v>50</v>
      </c>
      <c r="V1022" t="s">
        <v>5205</v>
      </c>
    </row>
    <row r="1023" spans="2:24" x14ac:dyDescent="0.25">
      <c r="B1023">
        <v>10943</v>
      </c>
      <c r="C1023" t="s">
        <v>22435</v>
      </c>
      <c r="E1023">
        <v>240</v>
      </c>
      <c r="F1023">
        <v>218</v>
      </c>
      <c r="G1023">
        <v>190</v>
      </c>
      <c r="W1023" t="s">
        <v>5809</v>
      </c>
    </row>
    <row r="1024" spans="2:24" x14ac:dyDescent="0.25">
      <c r="B1024">
        <v>10944</v>
      </c>
      <c r="C1024" t="s">
        <v>22436</v>
      </c>
      <c r="E1024">
        <v>211</v>
      </c>
      <c r="F1024">
        <v>142</v>
      </c>
      <c r="G1024">
        <v>50</v>
      </c>
      <c r="W1024" t="s">
        <v>5811</v>
      </c>
    </row>
    <row r="1025" spans="2:23" x14ac:dyDescent="0.25">
      <c r="B1025">
        <v>10945</v>
      </c>
      <c r="C1025" t="s">
        <v>22437</v>
      </c>
      <c r="E1025">
        <v>228</v>
      </c>
      <c r="F1025">
        <v>156</v>
      </c>
      <c r="G1025">
        <v>51</v>
      </c>
      <c r="W1025" t="s">
        <v>5813</v>
      </c>
    </row>
    <row r="1026" spans="2:23" x14ac:dyDescent="0.25">
      <c r="B1026">
        <v>10946</v>
      </c>
      <c r="C1026" t="s">
        <v>22438</v>
      </c>
      <c r="E1026">
        <v>211</v>
      </c>
      <c r="F1026">
        <v>142</v>
      </c>
      <c r="G1026">
        <v>50</v>
      </c>
      <c r="W1026" t="s">
        <v>5815</v>
      </c>
    </row>
    <row r="1027" spans="2:23" x14ac:dyDescent="0.25">
      <c r="B1027">
        <v>10947</v>
      </c>
      <c r="C1027" t="s">
        <v>22439</v>
      </c>
      <c r="E1027">
        <v>228</v>
      </c>
      <c r="F1027">
        <v>156</v>
      </c>
      <c r="G1027">
        <v>51</v>
      </c>
      <c r="W1027" t="s">
        <v>5817</v>
      </c>
    </row>
    <row r="1028" spans="2:23" x14ac:dyDescent="0.25">
      <c r="B1028">
        <v>10948</v>
      </c>
      <c r="C1028" t="s">
        <v>22440</v>
      </c>
      <c r="E1028">
        <v>211</v>
      </c>
      <c r="F1028">
        <v>142</v>
      </c>
      <c r="G1028">
        <v>50</v>
      </c>
      <c r="W1028" t="s">
        <v>5819</v>
      </c>
    </row>
    <row r="1029" spans="2:23" x14ac:dyDescent="0.25">
      <c r="B1029">
        <v>10231</v>
      </c>
      <c r="C1029" t="s">
        <v>22441</v>
      </c>
      <c r="E1029">
        <v>211</v>
      </c>
      <c r="F1029">
        <v>142</v>
      </c>
      <c r="G1029">
        <v>50</v>
      </c>
      <c r="V1029" t="s">
        <v>5207</v>
      </c>
    </row>
    <row r="1030" spans="2:23" x14ac:dyDescent="0.25">
      <c r="B1030">
        <v>10961</v>
      </c>
      <c r="C1030" t="s">
        <v>22442</v>
      </c>
      <c r="E1030">
        <v>240</v>
      </c>
      <c r="F1030">
        <v>218</v>
      </c>
      <c r="G1030">
        <v>190</v>
      </c>
      <c r="W1030" t="s">
        <v>5821</v>
      </c>
    </row>
    <row r="1031" spans="2:23" x14ac:dyDescent="0.25">
      <c r="B1031">
        <v>10962</v>
      </c>
      <c r="C1031" t="s">
        <v>22443</v>
      </c>
      <c r="E1031">
        <v>211</v>
      </c>
      <c r="F1031">
        <v>142</v>
      </c>
      <c r="G1031">
        <v>50</v>
      </c>
      <c r="W1031" t="s">
        <v>5823</v>
      </c>
    </row>
    <row r="1032" spans="2:23" x14ac:dyDescent="0.25">
      <c r="B1032">
        <v>10963</v>
      </c>
      <c r="C1032" t="s">
        <v>22444</v>
      </c>
      <c r="E1032">
        <v>228</v>
      </c>
      <c r="F1032">
        <v>156</v>
      </c>
      <c r="G1032">
        <v>51</v>
      </c>
      <c r="W1032" t="s">
        <v>5825</v>
      </c>
    </row>
    <row r="1033" spans="2:23" x14ac:dyDescent="0.25">
      <c r="B1033">
        <v>10964</v>
      </c>
      <c r="C1033" t="s">
        <v>22445</v>
      </c>
      <c r="E1033">
        <v>211</v>
      </c>
      <c r="F1033">
        <v>142</v>
      </c>
      <c r="G1033">
        <v>50</v>
      </c>
      <c r="W1033" t="s">
        <v>5827</v>
      </c>
    </row>
    <row r="1034" spans="2:23" x14ac:dyDescent="0.25">
      <c r="B1034">
        <v>10965</v>
      </c>
      <c r="C1034" t="s">
        <v>22446</v>
      </c>
      <c r="E1034">
        <v>228</v>
      </c>
      <c r="F1034">
        <v>156</v>
      </c>
      <c r="G1034">
        <v>51</v>
      </c>
      <c r="W1034" t="s">
        <v>5829</v>
      </c>
    </row>
    <row r="1035" spans="2:23" x14ac:dyDescent="0.25">
      <c r="B1035">
        <v>10966</v>
      </c>
      <c r="C1035" t="s">
        <v>22447</v>
      </c>
      <c r="E1035">
        <v>211</v>
      </c>
      <c r="F1035">
        <v>142</v>
      </c>
      <c r="G1035">
        <v>50</v>
      </c>
      <c r="W1035" t="s">
        <v>5831</v>
      </c>
    </row>
    <row r="1036" spans="2:23" x14ac:dyDescent="0.25">
      <c r="B1036">
        <v>146034630</v>
      </c>
      <c r="C1036" t="s">
        <v>22448</v>
      </c>
      <c r="E1036">
        <v>211</v>
      </c>
      <c r="F1036">
        <v>142</v>
      </c>
      <c r="G1036">
        <v>50</v>
      </c>
      <c r="U1036" t="s">
        <v>8171</v>
      </c>
    </row>
    <row r="1037" spans="2:23" x14ac:dyDescent="0.25">
      <c r="B1037">
        <v>146034634</v>
      </c>
      <c r="C1037" t="s">
        <v>22449</v>
      </c>
      <c r="E1037">
        <v>211</v>
      </c>
      <c r="F1037">
        <v>142</v>
      </c>
      <c r="G1037">
        <v>50</v>
      </c>
      <c r="V1037" t="s">
        <v>8173</v>
      </c>
    </row>
    <row r="1038" spans="2:23" x14ac:dyDescent="0.25">
      <c r="B1038">
        <v>146034638</v>
      </c>
      <c r="C1038" t="s">
        <v>22450</v>
      </c>
      <c r="E1038">
        <v>240</v>
      </c>
      <c r="F1038">
        <v>218</v>
      </c>
      <c r="G1038">
        <v>190</v>
      </c>
      <c r="W1038" t="s">
        <v>8175</v>
      </c>
    </row>
    <row r="1039" spans="2:23" x14ac:dyDescent="0.25">
      <c r="B1039">
        <v>146034642</v>
      </c>
      <c r="C1039" t="s">
        <v>22451</v>
      </c>
      <c r="E1039">
        <v>211</v>
      </c>
      <c r="F1039">
        <v>142</v>
      </c>
      <c r="G1039">
        <v>50</v>
      </c>
      <c r="W1039" t="s">
        <v>8177</v>
      </c>
    </row>
    <row r="1040" spans="2:23" x14ac:dyDescent="0.25">
      <c r="B1040">
        <v>146034646</v>
      </c>
      <c r="C1040" t="s">
        <v>22452</v>
      </c>
      <c r="E1040">
        <v>228</v>
      </c>
      <c r="F1040">
        <v>156</v>
      </c>
      <c r="G1040">
        <v>51</v>
      </c>
      <c r="W1040" t="s">
        <v>8179</v>
      </c>
    </row>
    <row r="1041" spans="2:23" x14ac:dyDescent="0.25">
      <c r="B1041">
        <v>146034650</v>
      </c>
      <c r="C1041" t="s">
        <v>22453</v>
      </c>
      <c r="E1041">
        <v>211</v>
      </c>
      <c r="F1041">
        <v>142</v>
      </c>
      <c r="G1041">
        <v>50</v>
      </c>
      <c r="W1041" t="s">
        <v>8181</v>
      </c>
    </row>
    <row r="1042" spans="2:23" x14ac:dyDescent="0.25">
      <c r="B1042">
        <v>146034654</v>
      </c>
      <c r="C1042" t="s">
        <v>22454</v>
      </c>
      <c r="E1042">
        <v>228</v>
      </c>
      <c r="F1042">
        <v>156</v>
      </c>
      <c r="G1042">
        <v>51</v>
      </c>
      <c r="W1042" t="s">
        <v>8183</v>
      </c>
    </row>
    <row r="1043" spans="2:23" x14ac:dyDescent="0.25">
      <c r="B1043">
        <v>146034658</v>
      </c>
      <c r="C1043" t="s">
        <v>22455</v>
      </c>
      <c r="E1043">
        <v>211</v>
      </c>
      <c r="F1043">
        <v>142</v>
      </c>
      <c r="G1043">
        <v>50</v>
      </c>
      <c r="W1043" t="s">
        <v>8185</v>
      </c>
    </row>
    <row r="1044" spans="2:23" x14ac:dyDescent="0.25">
      <c r="B1044">
        <v>146034662</v>
      </c>
      <c r="C1044" t="s">
        <v>22456</v>
      </c>
      <c r="E1044">
        <v>211</v>
      </c>
      <c r="F1044">
        <v>142</v>
      </c>
      <c r="G1044">
        <v>50</v>
      </c>
      <c r="V1044" t="s">
        <v>8187</v>
      </c>
    </row>
    <row r="1045" spans="2:23" x14ac:dyDescent="0.25">
      <c r="B1045">
        <v>146034666</v>
      </c>
      <c r="C1045" t="s">
        <v>22457</v>
      </c>
      <c r="E1045">
        <v>240</v>
      </c>
      <c r="F1045">
        <v>218</v>
      </c>
      <c r="G1045">
        <v>190</v>
      </c>
      <c r="W1045" t="s">
        <v>8189</v>
      </c>
    </row>
    <row r="1046" spans="2:23" x14ac:dyDescent="0.25">
      <c r="B1046">
        <v>146034670</v>
      </c>
      <c r="C1046" t="s">
        <v>22458</v>
      </c>
      <c r="E1046">
        <v>211</v>
      </c>
      <c r="F1046">
        <v>142</v>
      </c>
      <c r="G1046">
        <v>50</v>
      </c>
      <c r="W1046" t="s">
        <v>8191</v>
      </c>
    </row>
    <row r="1047" spans="2:23" x14ac:dyDescent="0.25">
      <c r="B1047">
        <v>146034674</v>
      </c>
      <c r="C1047" t="s">
        <v>22459</v>
      </c>
      <c r="E1047">
        <v>228</v>
      </c>
      <c r="F1047">
        <v>156</v>
      </c>
      <c r="G1047">
        <v>51</v>
      </c>
      <c r="W1047" t="s">
        <v>8193</v>
      </c>
    </row>
    <row r="1048" spans="2:23" x14ac:dyDescent="0.25">
      <c r="B1048">
        <v>146034678</v>
      </c>
      <c r="C1048" t="s">
        <v>22460</v>
      </c>
      <c r="E1048">
        <v>211</v>
      </c>
      <c r="F1048">
        <v>142</v>
      </c>
      <c r="G1048">
        <v>50</v>
      </c>
      <c r="W1048" t="s">
        <v>8195</v>
      </c>
    </row>
    <row r="1049" spans="2:23" x14ac:dyDescent="0.25">
      <c r="B1049">
        <v>146034682</v>
      </c>
      <c r="C1049" t="s">
        <v>22461</v>
      </c>
      <c r="E1049">
        <v>228</v>
      </c>
      <c r="F1049">
        <v>156</v>
      </c>
      <c r="G1049">
        <v>51</v>
      </c>
      <c r="W1049" t="s">
        <v>8197</v>
      </c>
    </row>
    <row r="1050" spans="2:23" x14ac:dyDescent="0.25">
      <c r="B1050">
        <v>146034686</v>
      </c>
      <c r="C1050" t="s">
        <v>22462</v>
      </c>
      <c r="E1050">
        <v>211</v>
      </c>
      <c r="F1050">
        <v>142</v>
      </c>
      <c r="G1050">
        <v>50</v>
      </c>
      <c r="W1050" t="s">
        <v>8199</v>
      </c>
    </row>
    <row r="1051" spans="2:23" x14ac:dyDescent="0.25">
      <c r="B1051">
        <v>10232</v>
      </c>
      <c r="C1051" t="s">
        <v>22463</v>
      </c>
      <c r="E1051">
        <v>211</v>
      </c>
      <c r="F1051">
        <v>142</v>
      </c>
      <c r="G1051">
        <v>50</v>
      </c>
      <c r="U1051" t="s">
        <v>5209</v>
      </c>
    </row>
    <row r="1052" spans="2:23" x14ac:dyDescent="0.25">
      <c r="B1052">
        <v>10233</v>
      </c>
      <c r="C1052" t="s">
        <v>22464</v>
      </c>
      <c r="E1052">
        <v>211</v>
      </c>
      <c r="F1052">
        <v>142</v>
      </c>
      <c r="G1052">
        <v>50</v>
      </c>
      <c r="V1052" t="s">
        <v>5211</v>
      </c>
    </row>
    <row r="1053" spans="2:23" x14ac:dyDescent="0.25">
      <c r="B1053">
        <v>10967</v>
      </c>
      <c r="C1053" t="s">
        <v>22465</v>
      </c>
      <c r="E1053">
        <v>240</v>
      </c>
      <c r="F1053">
        <v>218</v>
      </c>
      <c r="G1053">
        <v>190</v>
      </c>
      <c r="W1053" t="s">
        <v>5833</v>
      </c>
    </row>
    <row r="1054" spans="2:23" x14ac:dyDescent="0.25">
      <c r="B1054">
        <v>10968</v>
      </c>
      <c r="C1054" t="s">
        <v>22466</v>
      </c>
      <c r="E1054">
        <v>211</v>
      </c>
      <c r="F1054">
        <v>142</v>
      </c>
      <c r="G1054">
        <v>50</v>
      </c>
      <c r="W1054" t="s">
        <v>5835</v>
      </c>
    </row>
    <row r="1055" spans="2:23" x14ac:dyDescent="0.25">
      <c r="B1055">
        <v>10969</v>
      </c>
      <c r="C1055" t="s">
        <v>22467</v>
      </c>
      <c r="E1055">
        <v>228</v>
      </c>
      <c r="F1055">
        <v>156</v>
      </c>
      <c r="G1055">
        <v>51</v>
      </c>
      <c r="W1055" t="s">
        <v>5837</v>
      </c>
    </row>
    <row r="1056" spans="2:23" x14ac:dyDescent="0.25">
      <c r="B1056">
        <v>10970</v>
      </c>
      <c r="C1056" t="s">
        <v>22468</v>
      </c>
      <c r="E1056">
        <v>211</v>
      </c>
      <c r="F1056">
        <v>142</v>
      </c>
      <c r="G1056">
        <v>50</v>
      </c>
      <c r="W1056" t="s">
        <v>5839</v>
      </c>
    </row>
    <row r="1057" spans="2:23" x14ac:dyDescent="0.25">
      <c r="B1057">
        <v>10971</v>
      </c>
      <c r="C1057" t="s">
        <v>22469</v>
      </c>
      <c r="E1057">
        <v>228</v>
      </c>
      <c r="F1057">
        <v>156</v>
      </c>
      <c r="G1057">
        <v>51</v>
      </c>
      <c r="W1057" t="s">
        <v>5841</v>
      </c>
    </row>
    <row r="1058" spans="2:23" x14ac:dyDescent="0.25">
      <c r="B1058">
        <v>10972</v>
      </c>
      <c r="C1058" t="s">
        <v>22470</v>
      </c>
      <c r="E1058">
        <v>211</v>
      </c>
      <c r="F1058">
        <v>142</v>
      </c>
      <c r="G1058">
        <v>50</v>
      </c>
      <c r="W1058" t="s">
        <v>5843</v>
      </c>
    </row>
    <row r="1059" spans="2:23" x14ac:dyDescent="0.25">
      <c r="B1059">
        <v>10234</v>
      </c>
      <c r="C1059" t="s">
        <v>22471</v>
      </c>
      <c r="E1059">
        <v>211</v>
      </c>
      <c r="F1059">
        <v>142</v>
      </c>
      <c r="G1059">
        <v>50</v>
      </c>
      <c r="V1059" t="s">
        <v>5213</v>
      </c>
    </row>
    <row r="1060" spans="2:23" x14ac:dyDescent="0.25">
      <c r="B1060">
        <v>10973</v>
      </c>
      <c r="C1060" t="s">
        <v>22472</v>
      </c>
      <c r="E1060">
        <v>240</v>
      </c>
      <c r="F1060">
        <v>218</v>
      </c>
      <c r="G1060">
        <v>190</v>
      </c>
      <c r="W1060" t="s">
        <v>5845</v>
      </c>
    </row>
    <row r="1061" spans="2:23" x14ac:dyDescent="0.25">
      <c r="B1061">
        <v>10974</v>
      </c>
      <c r="C1061" t="s">
        <v>22473</v>
      </c>
      <c r="E1061">
        <v>211</v>
      </c>
      <c r="F1061">
        <v>142</v>
      </c>
      <c r="G1061">
        <v>50</v>
      </c>
      <c r="W1061" t="s">
        <v>5847</v>
      </c>
    </row>
    <row r="1062" spans="2:23" x14ac:dyDescent="0.25">
      <c r="B1062">
        <v>10975</v>
      </c>
      <c r="C1062" t="s">
        <v>22474</v>
      </c>
      <c r="E1062">
        <v>228</v>
      </c>
      <c r="F1062">
        <v>156</v>
      </c>
      <c r="G1062">
        <v>51</v>
      </c>
      <c r="W1062" t="s">
        <v>5849</v>
      </c>
    </row>
    <row r="1063" spans="2:23" x14ac:dyDescent="0.25">
      <c r="B1063">
        <v>10976</v>
      </c>
      <c r="C1063" t="s">
        <v>22475</v>
      </c>
      <c r="E1063">
        <v>211</v>
      </c>
      <c r="F1063">
        <v>142</v>
      </c>
      <c r="G1063">
        <v>50</v>
      </c>
      <c r="W1063" t="s">
        <v>5851</v>
      </c>
    </row>
    <row r="1064" spans="2:23" x14ac:dyDescent="0.25">
      <c r="B1064">
        <v>10977</v>
      </c>
      <c r="C1064" t="s">
        <v>22476</v>
      </c>
      <c r="E1064">
        <v>228</v>
      </c>
      <c r="F1064">
        <v>156</v>
      </c>
      <c r="G1064">
        <v>51</v>
      </c>
      <c r="W1064" t="s">
        <v>5853</v>
      </c>
    </row>
    <row r="1065" spans="2:23" x14ac:dyDescent="0.25">
      <c r="B1065">
        <v>10978</v>
      </c>
      <c r="C1065" t="s">
        <v>22477</v>
      </c>
      <c r="E1065">
        <v>211</v>
      </c>
      <c r="F1065">
        <v>142</v>
      </c>
      <c r="G1065">
        <v>50</v>
      </c>
      <c r="W1065" t="s">
        <v>5855</v>
      </c>
    </row>
    <row r="1066" spans="2:23" x14ac:dyDescent="0.25">
      <c r="B1066">
        <v>13323</v>
      </c>
      <c r="C1066" t="s">
        <v>16572</v>
      </c>
      <c r="E1066">
        <v>211</v>
      </c>
      <c r="F1066">
        <v>142</v>
      </c>
      <c r="G1066">
        <v>50</v>
      </c>
      <c r="U1066" t="s">
        <v>8088</v>
      </c>
    </row>
    <row r="1067" spans="2:23" x14ac:dyDescent="0.25">
      <c r="B1067">
        <v>10235</v>
      </c>
      <c r="C1067" t="s">
        <v>15839</v>
      </c>
      <c r="E1067">
        <v>235</v>
      </c>
      <c r="F1067">
        <v>191</v>
      </c>
      <c r="G1067">
        <v>208</v>
      </c>
      <c r="R1067" t="s">
        <v>5215</v>
      </c>
    </row>
    <row r="1068" spans="2:23" x14ac:dyDescent="0.25">
      <c r="B1068">
        <v>13322</v>
      </c>
      <c r="C1068" t="s">
        <v>22478</v>
      </c>
      <c r="E1068">
        <v>214</v>
      </c>
      <c r="F1068">
        <v>112</v>
      </c>
      <c r="G1068">
        <v>160</v>
      </c>
      <c r="S1068" t="s">
        <v>8086</v>
      </c>
    </row>
    <row r="1069" spans="2:23" x14ac:dyDescent="0.25">
      <c r="B1069">
        <v>10236</v>
      </c>
      <c r="C1069" t="s">
        <v>22479</v>
      </c>
      <c r="E1069">
        <v>214</v>
      </c>
      <c r="F1069">
        <v>112</v>
      </c>
      <c r="G1069">
        <v>160</v>
      </c>
      <c r="T1069" t="s">
        <v>4127</v>
      </c>
    </row>
    <row r="1070" spans="2:23" x14ac:dyDescent="0.25">
      <c r="B1070">
        <v>10237</v>
      </c>
      <c r="C1070" t="s">
        <v>22480</v>
      </c>
      <c r="E1070">
        <v>214</v>
      </c>
      <c r="F1070">
        <v>112</v>
      </c>
      <c r="G1070">
        <v>160</v>
      </c>
      <c r="U1070" t="s">
        <v>5217</v>
      </c>
    </row>
    <row r="1071" spans="2:23" x14ac:dyDescent="0.25">
      <c r="B1071">
        <v>11021</v>
      </c>
      <c r="C1071" t="s">
        <v>22481</v>
      </c>
      <c r="E1071">
        <v>240</v>
      </c>
      <c r="F1071">
        <v>213</v>
      </c>
      <c r="G1071">
        <v>225</v>
      </c>
      <c r="V1071" t="s">
        <v>5941</v>
      </c>
    </row>
    <row r="1072" spans="2:23" x14ac:dyDescent="0.25">
      <c r="B1072">
        <v>11022</v>
      </c>
      <c r="C1072" t="s">
        <v>22482</v>
      </c>
      <c r="E1072">
        <v>214</v>
      </c>
      <c r="F1072">
        <v>112</v>
      </c>
      <c r="G1072">
        <v>160</v>
      </c>
      <c r="V1072" t="s">
        <v>5943</v>
      </c>
    </row>
    <row r="1073" spans="2:22" x14ac:dyDescent="0.25">
      <c r="B1073">
        <v>11023</v>
      </c>
      <c r="C1073" t="s">
        <v>22483</v>
      </c>
      <c r="E1073">
        <v>218</v>
      </c>
      <c r="F1073">
        <v>128</v>
      </c>
      <c r="G1073">
        <v>168</v>
      </c>
      <c r="V1073" t="s">
        <v>5945</v>
      </c>
    </row>
    <row r="1074" spans="2:22" x14ac:dyDescent="0.25">
      <c r="B1074">
        <v>11024</v>
      </c>
      <c r="C1074" t="s">
        <v>22484</v>
      </c>
      <c r="E1074">
        <v>214</v>
      </c>
      <c r="F1074">
        <v>112</v>
      </c>
      <c r="G1074">
        <v>160</v>
      </c>
      <c r="V1074" t="s">
        <v>5947</v>
      </c>
    </row>
    <row r="1075" spans="2:22" x14ac:dyDescent="0.25">
      <c r="B1075">
        <v>11025</v>
      </c>
      <c r="C1075" t="s">
        <v>22485</v>
      </c>
      <c r="E1075">
        <v>218</v>
      </c>
      <c r="F1075">
        <v>128</v>
      </c>
      <c r="G1075">
        <v>168</v>
      </c>
      <c r="V1075" t="s">
        <v>5949</v>
      </c>
    </row>
    <row r="1076" spans="2:22" x14ac:dyDescent="0.25">
      <c r="B1076">
        <v>11026</v>
      </c>
      <c r="C1076" t="s">
        <v>22486</v>
      </c>
      <c r="E1076">
        <v>214</v>
      </c>
      <c r="F1076">
        <v>112</v>
      </c>
      <c r="G1076">
        <v>160</v>
      </c>
      <c r="V1076" t="s">
        <v>5951</v>
      </c>
    </row>
    <row r="1077" spans="2:22" x14ac:dyDescent="0.25">
      <c r="B1077">
        <v>10238</v>
      </c>
      <c r="C1077" t="s">
        <v>22487</v>
      </c>
      <c r="E1077">
        <v>214</v>
      </c>
      <c r="F1077">
        <v>112</v>
      </c>
      <c r="G1077">
        <v>160</v>
      </c>
      <c r="U1077" t="s">
        <v>5219</v>
      </c>
    </row>
    <row r="1078" spans="2:22" x14ac:dyDescent="0.25">
      <c r="B1078">
        <v>11027</v>
      </c>
      <c r="C1078" t="s">
        <v>22488</v>
      </c>
      <c r="E1078">
        <v>240</v>
      </c>
      <c r="F1078">
        <v>213</v>
      </c>
      <c r="G1078">
        <v>225</v>
      </c>
      <c r="V1078" t="s">
        <v>5953</v>
      </c>
    </row>
    <row r="1079" spans="2:22" x14ac:dyDescent="0.25">
      <c r="B1079">
        <v>11028</v>
      </c>
      <c r="C1079" t="s">
        <v>22489</v>
      </c>
      <c r="E1079">
        <v>214</v>
      </c>
      <c r="F1079">
        <v>112</v>
      </c>
      <c r="G1079">
        <v>160</v>
      </c>
      <c r="V1079" t="s">
        <v>5955</v>
      </c>
    </row>
    <row r="1080" spans="2:22" x14ac:dyDescent="0.25">
      <c r="B1080">
        <v>11029</v>
      </c>
      <c r="C1080" t="s">
        <v>22490</v>
      </c>
      <c r="E1080">
        <v>218</v>
      </c>
      <c r="F1080">
        <v>128</v>
      </c>
      <c r="G1080">
        <v>168</v>
      </c>
      <c r="V1080" t="s">
        <v>5957</v>
      </c>
    </row>
    <row r="1081" spans="2:22" x14ac:dyDescent="0.25">
      <c r="B1081">
        <v>11030</v>
      </c>
      <c r="C1081" t="s">
        <v>22491</v>
      </c>
      <c r="E1081">
        <v>214</v>
      </c>
      <c r="F1081">
        <v>112</v>
      </c>
      <c r="G1081">
        <v>160</v>
      </c>
      <c r="V1081" t="s">
        <v>5959</v>
      </c>
    </row>
    <row r="1082" spans="2:22" x14ac:dyDescent="0.25">
      <c r="B1082">
        <v>11031</v>
      </c>
      <c r="C1082" t="s">
        <v>22492</v>
      </c>
      <c r="E1082">
        <v>218</v>
      </c>
      <c r="F1082">
        <v>128</v>
      </c>
      <c r="G1082">
        <v>168</v>
      </c>
      <c r="V1082" t="s">
        <v>5961</v>
      </c>
    </row>
    <row r="1083" spans="2:22" x14ac:dyDescent="0.25">
      <c r="B1083">
        <v>11032</v>
      </c>
      <c r="C1083" t="s">
        <v>22493</v>
      </c>
      <c r="E1083">
        <v>214</v>
      </c>
      <c r="F1083">
        <v>112</v>
      </c>
      <c r="G1083">
        <v>160</v>
      </c>
      <c r="V1083" t="s">
        <v>5963</v>
      </c>
    </row>
    <row r="1084" spans="2:22" x14ac:dyDescent="0.25">
      <c r="B1084">
        <v>10239</v>
      </c>
      <c r="C1084" t="s">
        <v>22494</v>
      </c>
      <c r="E1084">
        <v>214</v>
      </c>
      <c r="F1084">
        <v>112</v>
      </c>
      <c r="G1084">
        <v>160</v>
      </c>
      <c r="T1084" t="s">
        <v>4942</v>
      </c>
    </row>
    <row r="1085" spans="2:22" x14ac:dyDescent="0.25">
      <c r="B1085">
        <v>11051</v>
      </c>
      <c r="C1085" t="s">
        <v>22495</v>
      </c>
      <c r="E1085">
        <v>240</v>
      </c>
      <c r="F1085">
        <v>213</v>
      </c>
      <c r="G1085">
        <v>225</v>
      </c>
      <c r="U1085" t="s">
        <v>6001</v>
      </c>
    </row>
    <row r="1086" spans="2:22" x14ac:dyDescent="0.25">
      <c r="B1086">
        <v>11052</v>
      </c>
      <c r="C1086" t="s">
        <v>22496</v>
      </c>
      <c r="E1086">
        <v>214</v>
      </c>
      <c r="F1086">
        <v>112</v>
      </c>
      <c r="G1086">
        <v>160</v>
      </c>
      <c r="U1086" t="s">
        <v>6003</v>
      </c>
    </row>
    <row r="1087" spans="2:22" x14ac:dyDescent="0.25">
      <c r="B1087">
        <v>11053</v>
      </c>
      <c r="C1087" t="s">
        <v>22497</v>
      </c>
      <c r="E1087">
        <v>218</v>
      </c>
      <c r="F1087">
        <v>128</v>
      </c>
      <c r="G1087">
        <v>168</v>
      </c>
      <c r="U1087" t="s">
        <v>6005</v>
      </c>
    </row>
    <row r="1088" spans="2:22" x14ac:dyDescent="0.25">
      <c r="B1088">
        <v>11054</v>
      </c>
      <c r="C1088" t="s">
        <v>22498</v>
      </c>
      <c r="E1088">
        <v>214</v>
      </c>
      <c r="F1088">
        <v>112</v>
      </c>
      <c r="G1088">
        <v>160</v>
      </c>
      <c r="U1088" t="s">
        <v>6007</v>
      </c>
    </row>
    <row r="1089" spans="2:22" x14ac:dyDescent="0.25">
      <c r="B1089">
        <v>11055</v>
      </c>
      <c r="C1089" t="s">
        <v>22499</v>
      </c>
      <c r="E1089">
        <v>218</v>
      </c>
      <c r="F1089">
        <v>128</v>
      </c>
      <c r="G1089">
        <v>168</v>
      </c>
      <c r="U1089" t="s">
        <v>6009</v>
      </c>
    </row>
    <row r="1090" spans="2:22" x14ac:dyDescent="0.25">
      <c r="B1090">
        <v>11056</v>
      </c>
      <c r="C1090" t="s">
        <v>22500</v>
      </c>
      <c r="E1090">
        <v>214</v>
      </c>
      <c r="F1090">
        <v>112</v>
      </c>
      <c r="G1090">
        <v>160</v>
      </c>
      <c r="U1090" t="s">
        <v>6011</v>
      </c>
    </row>
    <row r="1091" spans="2:22" x14ac:dyDescent="0.25">
      <c r="B1091">
        <v>10240</v>
      </c>
      <c r="C1091" t="s">
        <v>22501</v>
      </c>
      <c r="E1091">
        <v>214</v>
      </c>
      <c r="F1091">
        <v>112</v>
      </c>
      <c r="G1091">
        <v>160</v>
      </c>
      <c r="T1091" t="s">
        <v>5221</v>
      </c>
    </row>
    <row r="1092" spans="2:22" x14ac:dyDescent="0.25">
      <c r="B1092">
        <v>10241</v>
      </c>
      <c r="C1092" t="s">
        <v>22502</v>
      </c>
      <c r="E1092">
        <v>214</v>
      </c>
      <c r="F1092">
        <v>112</v>
      </c>
      <c r="G1092">
        <v>160</v>
      </c>
      <c r="U1092" t="s">
        <v>5223</v>
      </c>
    </row>
    <row r="1093" spans="2:22" x14ac:dyDescent="0.25">
      <c r="B1093">
        <v>11063</v>
      </c>
      <c r="C1093" t="s">
        <v>22503</v>
      </c>
      <c r="E1093">
        <v>240</v>
      </c>
      <c r="F1093">
        <v>213</v>
      </c>
      <c r="G1093">
        <v>225</v>
      </c>
      <c r="V1093" t="s">
        <v>6025</v>
      </c>
    </row>
    <row r="1094" spans="2:22" x14ac:dyDescent="0.25">
      <c r="B1094">
        <v>11064</v>
      </c>
      <c r="C1094" t="s">
        <v>22504</v>
      </c>
      <c r="E1094">
        <v>214</v>
      </c>
      <c r="F1094">
        <v>112</v>
      </c>
      <c r="G1094">
        <v>160</v>
      </c>
      <c r="V1094" t="s">
        <v>6027</v>
      </c>
    </row>
    <row r="1095" spans="2:22" x14ac:dyDescent="0.25">
      <c r="B1095">
        <v>11065</v>
      </c>
      <c r="C1095" t="s">
        <v>22505</v>
      </c>
      <c r="E1095">
        <v>218</v>
      </c>
      <c r="F1095">
        <v>128</v>
      </c>
      <c r="G1095">
        <v>168</v>
      </c>
      <c r="V1095" t="s">
        <v>6029</v>
      </c>
    </row>
    <row r="1096" spans="2:22" x14ac:dyDescent="0.25">
      <c r="B1096">
        <v>11066</v>
      </c>
      <c r="C1096" t="s">
        <v>22506</v>
      </c>
      <c r="E1096">
        <v>214</v>
      </c>
      <c r="F1096">
        <v>112</v>
      </c>
      <c r="G1096">
        <v>160</v>
      </c>
      <c r="V1096" t="s">
        <v>6031</v>
      </c>
    </row>
    <row r="1097" spans="2:22" x14ac:dyDescent="0.25">
      <c r="B1097">
        <v>11067</v>
      </c>
      <c r="C1097" t="s">
        <v>22507</v>
      </c>
      <c r="E1097">
        <v>218</v>
      </c>
      <c r="F1097">
        <v>128</v>
      </c>
      <c r="G1097">
        <v>168</v>
      </c>
      <c r="V1097" t="s">
        <v>6033</v>
      </c>
    </row>
    <row r="1098" spans="2:22" x14ac:dyDescent="0.25">
      <c r="B1098">
        <v>11068</v>
      </c>
      <c r="C1098" t="s">
        <v>22508</v>
      </c>
      <c r="E1098">
        <v>214</v>
      </c>
      <c r="F1098">
        <v>112</v>
      </c>
      <c r="G1098">
        <v>160</v>
      </c>
      <c r="V1098" t="s">
        <v>6035</v>
      </c>
    </row>
    <row r="1099" spans="2:22" x14ac:dyDescent="0.25">
      <c r="B1099">
        <v>10242</v>
      </c>
      <c r="C1099" t="s">
        <v>22509</v>
      </c>
      <c r="E1099">
        <v>214</v>
      </c>
      <c r="F1099">
        <v>112</v>
      </c>
      <c r="G1099">
        <v>160</v>
      </c>
      <c r="U1099" t="s">
        <v>5225</v>
      </c>
    </row>
    <row r="1100" spans="2:22" x14ac:dyDescent="0.25">
      <c r="B1100">
        <v>11069</v>
      </c>
      <c r="C1100" t="s">
        <v>22510</v>
      </c>
      <c r="E1100">
        <v>240</v>
      </c>
      <c r="F1100">
        <v>213</v>
      </c>
      <c r="G1100">
        <v>225</v>
      </c>
      <c r="V1100" t="s">
        <v>6037</v>
      </c>
    </row>
    <row r="1101" spans="2:22" x14ac:dyDescent="0.25">
      <c r="B1101">
        <v>11070</v>
      </c>
      <c r="C1101" t="s">
        <v>22511</v>
      </c>
      <c r="E1101">
        <v>214</v>
      </c>
      <c r="F1101">
        <v>112</v>
      </c>
      <c r="G1101">
        <v>160</v>
      </c>
      <c r="V1101" t="s">
        <v>6039</v>
      </c>
    </row>
    <row r="1102" spans="2:22" x14ac:dyDescent="0.25">
      <c r="B1102">
        <v>11071</v>
      </c>
      <c r="C1102" t="s">
        <v>22512</v>
      </c>
      <c r="E1102">
        <v>218</v>
      </c>
      <c r="F1102">
        <v>128</v>
      </c>
      <c r="G1102">
        <v>168</v>
      </c>
      <c r="V1102" t="s">
        <v>6041</v>
      </c>
    </row>
    <row r="1103" spans="2:22" x14ac:dyDescent="0.25">
      <c r="B1103">
        <v>11072</v>
      </c>
      <c r="C1103" t="s">
        <v>22513</v>
      </c>
      <c r="E1103">
        <v>214</v>
      </c>
      <c r="F1103">
        <v>112</v>
      </c>
      <c r="G1103">
        <v>160</v>
      </c>
      <c r="V1103" t="s">
        <v>6043</v>
      </c>
    </row>
    <row r="1104" spans="2:22" x14ac:dyDescent="0.25">
      <c r="B1104">
        <v>11073</v>
      </c>
      <c r="C1104" t="s">
        <v>22514</v>
      </c>
      <c r="E1104">
        <v>218</v>
      </c>
      <c r="F1104">
        <v>128</v>
      </c>
      <c r="G1104">
        <v>168</v>
      </c>
      <c r="V1104" t="s">
        <v>6045</v>
      </c>
    </row>
    <row r="1105" spans="2:22" x14ac:dyDescent="0.25">
      <c r="B1105">
        <v>11074</v>
      </c>
      <c r="C1105" t="s">
        <v>22515</v>
      </c>
      <c r="E1105">
        <v>214</v>
      </c>
      <c r="F1105">
        <v>112</v>
      </c>
      <c r="G1105">
        <v>160</v>
      </c>
      <c r="V1105" t="s">
        <v>6047</v>
      </c>
    </row>
    <row r="1106" spans="2:22" x14ac:dyDescent="0.25">
      <c r="B1106">
        <v>10243</v>
      </c>
      <c r="C1106" t="s">
        <v>22516</v>
      </c>
      <c r="E1106">
        <v>214</v>
      </c>
      <c r="F1106">
        <v>112</v>
      </c>
      <c r="G1106">
        <v>160</v>
      </c>
      <c r="U1106" t="s">
        <v>5227</v>
      </c>
    </row>
    <row r="1107" spans="2:22" x14ac:dyDescent="0.25">
      <c r="B1107">
        <v>11057</v>
      </c>
      <c r="C1107" t="s">
        <v>22517</v>
      </c>
      <c r="E1107">
        <v>240</v>
      </c>
      <c r="F1107">
        <v>213</v>
      </c>
      <c r="G1107">
        <v>225</v>
      </c>
      <c r="V1107" t="s">
        <v>6013</v>
      </c>
    </row>
    <row r="1108" spans="2:22" x14ac:dyDescent="0.25">
      <c r="B1108">
        <v>11058</v>
      </c>
      <c r="C1108" t="s">
        <v>22518</v>
      </c>
      <c r="E1108">
        <v>214</v>
      </c>
      <c r="F1108">
        <v>112</v>
      </c>
      <c r="G1108">
        <v>160</v>
      </c>
      <c r="V1108" t="s">
        <v>6015</v>
      </c>
    </row>
    <row r="1109" spans="2:22" x14ac:dyDescent="0.25">
      <c r="B1109">
        <v>11059</v>
      </c>
      <c r="C1109" t="s">
        <v>22519</v>
      </c>
      <c r="E1109">
        <v>218</v>
      </c>
      <c r="F1109">
        <v>128</v>
      </c>
      <c r="G1109">
        <v>168</v>
      </c>
      <c r="V1109" t="s">
        <v>6017</v>
      </c>
    </row>
    <row r="1110" spans="2:22" x14ac:dyDescent="0.25">
      <c r="B1110">
        <v>11060</v>
      </c>
      <c r="C1110" t="s">
        <v>22520</v>
      </c>
      <c r="E1110">
        <v>214</v>
      </c>
      <c r="F1110">
        <v>112</v>
      </c>
      <c r="G1110">
        <v>160</v>
      </c>
      <c r="V1110" t="s">
        <v>6019</v>
      </c>
    </row>
    <row r="1111" spans="2:22" x14ac:dyDescent="0.25">
      <c r="B1111">
        <v>11061</v>
      </c>
      <c r="C1111" t="s">
        <v>22521</v>
      </c>
      <c r="E1111">
        <v>218</v>
      </c>
      <c r="F1111">
        <v>128</v>
      </c>
      <c r="G1111">
        <v>168</v>
      </c>
      <c r="V1111" t="s">
        <v>6021</v>
      </c>
    </row>
    <row r="1112" spans="2:22" x14ac:dyDescent="0.25">
      <c r="B1112">
        <v>11062</v>
      </c>
      <c r="C1112" t="s">
        <v>22522</v>
      </c>
      <c r="E1112">
        <v>214</v>
      </c>
      <c r="F1112">
        <v>112</v>
      </c>
      <c r="G1112">
        <v>160</v>
      </c>
      <c r="V1112" t="s">
        <v>6023</v>
      </c>
    </row>
    <row r="1113" spans="2:22" x14ac:dyDescent="0.25">
      <c r="B1113">
        <v>10244</v>
      </c>
      <c r="C1113" t="s">
        <v>22523</v>
      </c>
      <c r="E1113">
        <v>218</v>
      </c>
      <c r="F1113">
        <v>128</v>
      </c>
      <c r="G1113">
        <v>168</v>
      </c>
      <c r="T1113" t="s">
        <v>5229</v>
      </c>
    </row>
    <row r="1114" spans="2:22" x14ac:dyDescent="0.25">
      <c r="B1114">
        <v>10245</v>
      </c>
      <c r="C1114" t="s">
        <v>22524</v>
      </c>
      <c r="E1114">
        <v>218</v>
      </c>
      <c r="F1114">
        <v>128</v>
      </c>
      <c r="G1114">
        <v>168</v>
      </c>
      <c r="U1114" t="s">
        <v>5231</v>
      </c>
    </row>
    <row r="1115" spans="2:22" x14ac:dyDescent="0.25">
      <c r="B1115">
        <v>11075</v>
      </c>
      <c r="C1115" t="s">
        <v>22525</v>
      </c>
      <c r="E1115">
        <v>240</v>
      </c>
      <c r="F1115">
        <v>213</v>
      </c>
      <c r="G1115">
        <v>225</v>
      </c>
      <c r="V1115" t="s">
        <v>6049</v>
      </c>
    </row>
    <row r="1116" spans="2:22" x14ac:dyDescent="0.25">
      <c r="B1116">
        <v>11076</v>
      </c>
      <c r="C1116" t="s">
        <v>22526</v>
      </c>
      <c r="E1116">
        <v>235</v>
      </c>
      <c r="F1116">
        <v>191</v>
      </c>
      <c r="G1116">
        <v>208</v>
      </c>
      <c r="V1116" t="s">
        <v>6051</v>
      </c>
    </row>
    <row r="1117" spans="2:22" x14ac:dyDescent="0.25">
      <c r="B1117">
        <v>11077</v>
      </c>
      <c r="C1117" t="s">
        <v>22527</v>
      </c>
      <c r="E1117">
        <v>225</v>
      </c>
      <c r="F1117">
        <v>150</v>
      </c>
      <c r="G1117">
        <v>183</v>
      </c>
      <c r="V1117" t="s">
        <v>6053</v>
      </c>
    </row>
    <row r="1118" spans="2:22" x14ac:dyDescent="0.25">
      <c r="B1118">
        <v>11078</v>
      </c>
      <c r="C1118" t="s">
        <v>22528</v>
      </c>
      <c r="E1118">
        <v>218</v>
      </c>
      <c r="F1118">
        <v>128</v>
      </c>
      <c r="G1118">
        <v>168</v>
      </c>
      <c r="V1118" t="s">
        <v>6055</v>
      </c>
    </row>
    <row r="1119" spans="2:22" x14ac:dyDescent="0.25">
      <c r="B1119">
        <v>11079</v>
      </c>
      <c r="C1119" t="s">
        <v>22529</v>
      </c>
      <c r="E1119">
        <v>225</v>
      </c>
      <c r="F1119">
        <v>150</v>
      </c>
      <c r="G1119">
        <v>183</v>
      </c>
      <c r="V1119" t="s">
        <v>6057</v>
      </c>
    </row>
    <row r="1120" spans="2:22" x14ac:dyDescent="0.25">
      <c r="B1120">
        <v>11080</v>
      </c>
      <c r="C1120" t="s">
        <v>22530</v>
      </c>
      <c r="E1120">
        <v>218</v>
      </c>
      <c r="F1120">
        <v>128</v>
      </c>
      <c r="G1120">
        <v>168</v>
      </c>
      <c r="V1120" t="s">
        <v>6059</v>
      </c>
    </row>
    <row r="1121" spans="2:22" x14ac:dyDescent="0.25">
      <c r="B1121">
        <v>10246</v>
      </c>
      <c r="C1121" t="s">
        <v>22531</v>
      </c>
      <c r="E1121">
        <v>218</v>
      </c>
      <c r="F1121">
        <v>128</v>
      </c>
      <c r="G1121">
        <v>168</v>
      </c>
      <c r="U1121" t="s">
        <v>5233</v>
      </c>
    </row>
    <row r="1122" spans="2:22" x14ac:dyDescent="0.25">
      <c r="B1122">
        <v>11081</v>
      </c>
      <c r="C1122" t="s">
        <v>22532</v>
      </c>
      <c r="E1122">
        <v>240</v>
      </c>
      <c r="F1122">
        <v>213</v>
      </c>
      <c r="G1122">
        <v>225</v>
      </c>
      <c r="V1122" t="s">
        <v>6061</v>
      </c>
    </row>
    <row r="1123" spans="2:22" x14ac:dyDescent="0.25">
      <c r="B1123">
        <v>11082</v>
      </c>
      <c r="C1123" t="s">
        <v>22533</v>
      </c>
      <c r="E1123">
        <v>235</v>
      </c>
      <c r="F1123">
        <v>191</v>
      </c>
      <c r="G1123">
        <v>208</v>
      </c>
      <c r="V1123" t="s">
        <v>6063</v>
      </c>
    </row>
    <row r="1124" spans="2:22" x14ac:dyDescent="0.25">
      <c r="B1124">
        <v>11083</v>
      </c>
      <c r="C1124" t="s">
        <v>22534</v>
      </c>
      <c r="E1124">
        <v>225</v>
      </c>
      <c r="F1124">
        <v>150</v>
      </c>
      <c r="G1124">
        <v>183</v>
      </c>
      <c r="V1124" t="s">
        <v>6065</v>
      </c>
    </row>
    <row r="1125" spans="2:22" x14ac:dyDescent="0.25">
      <c r="B1125">
        <v>11084</v>
      </c>
      <c r="C1125" t="s">
        <v>22535</v>
      </c>
      <c r="E1125">
        <v>218</v>
      </c>
      <c r="F1125">
        <v>128</v>
      </c>
      <c r="G1125">
        <v>168</v>
      </c>
      <c r="V1125" t="s">
        <v>6067</v>
      </c>
    </row>
    <row r="1126" spans="2:22" x14ac:dyDescent="0.25">
      <c r="B1126">
        <v>11085</v>
      </c>
      <c r="C1126" t="s">
        <v>22536</v>
      </c>
      <c r="E1126">
        <v>225</v>
      </c>
      <c r="F1126">
        <v>150</v>
      </c>
      <c r="G1126">
        <v>183</v>
      </c>
      <c r="V1126" t="s">
        <v>6069</v>
      </c>
    </row>
    <row r="1127" spans="2:22" x14ac:dyDescent="0.25">
      <c r="B1127">
        <v>11086</v>
      </c>
      <c r="C1127" t="s">
        <v>22537</v>
      </c>
      <c r="E1127">
        <v>218</v>
      </c>
      <c r="F1127">
        <v>128</v>
      </c>
      <c r="G1127">
        <v>168</v>
      </c>
      <c r="V1127" t="s">
        <v>6071</v>
      </c>
    </row>
    <row r="1128" spans="2:22" x14ac:dyDescent="0.25">
      <c r="B1128">
        <v>10247</v>
      </c>
      <c r="C1128" t="s">
        <v>22538</v>
      </c>
      <c r="E1128">
        <v>218</v>
      </c>
      <c r="F1128">
        <v>128</v>
      </c>
      <c r="G1128">
        <v>168</v>
      </c>
      <c r="U1128" t="s">
        <v>5235</v>
      </c>
    </row>
    <row r="1129" spans="2:22" x14ac:dyDescent="0.25">
      <c r="B1129">
        <v>11087</v>
      </c>
      <c r="C1129" t="s">
        <v>22539</v>
      </c>
      <c r="E1129">
        <v>240</v>
      </c>
      <c r="F1129">
        <v>213</v>
      </c>
      <c r="G1129">
        <v>225</v>
      </c>
      <c r="V1129" t="s">
        <v>6073</v>
      </c>
    </row>
    <row r="1130" spans="2:22" x14ac:dyDescent="0.25">
      <c r="B1130">
        <v>11088</v>
      </c>
      <c r="C1130" t="s">
        <v>22540</v>
      </c>
      <c r="E1130">
        <v>235</v>
      </c>
      <c r="F1130">
        <v>191</v>
      </c>
      <c r="G1130">
        <v>208</v>
      </c>
      <c r="V1130" t="s">
        <v>6075</v>
      </c>
    </row>
    <row r="1131" spans="2:22" x14ac:dyDescent="0.25">
      <c r="B1131">
        <v>11089</v>
      </c>
      <c r="C1131" t="s">
        <v>22541</v>
      </c>
      <c r="E1131">
        <v>225</v>
      </c>
      <c r="F1131">
        <v>150</v>
      </c>
      <c r="G1131">
        <v>183</v>
      </c>
      <c r="V1131" t="s">
        <v>6077</v>
      </c>
    </row>
    <row r="1132" spans="2:22" x14ac:dyDescent="0.25">
      <c r="B1132">
        <v>11090</v>
      </c>
      <c r="C1132" t="s">
        <v>22542</v>
      </c>
      <c r="E1132">
        <v>218</v>
      </c>
      <c r="F1132">
        <v>128</v>
      </c>
      <c r="G1132">
        <v>168</v>
      </c>
      <c r="V1132" t="s">
        <v>6079</v>
      </c>
    </row>
    <row r="1133" spans="2:22" x14ac:dyDescent="0.25">
      <c r="B1133">
        <v>11091</v>
      </c>
      <c r="C1133" t="s">
        <v>22543</v>
      </c>
      <c r="E1133">
        <v>225</v>
      </c>
      <c r="F1133">
        <v>150</v>
      </c>
      <c r="G1133">
        <v>183</v>
      </c>
      <c r="V1133" t="s">
        <v>6081</v>
      </c>
    </row>
    <row r="1134" spans="2:22" x14ac:dyDescent="0.25">
      <c r="B1134">
        <v>11092</v>
      </c>
      <c r="C1134" t="s">
        <v>22544</v>
      </c>
      <c r="E1134">
        <v>218</v>
      </c>
      <c r="F1134">
        <v>128</v>
      </c>
      <c r="G1134">
        <v>168</v>
      </c>
      <c r="V1134" t="s">
        <v>6083</v>
      </c>
    </row>
    <row r="1135" spans="2:22" x14ac:dyDescent="0.25">
      <c r="B1135">
        <v>10267</v>
      </c>
      <c r="C1135" t="s">
        <v>22545</v>
      </c>
      <c r="E1135">
        <v>225</v>
      </c>
      <c r="F1135">
        <v>150</v>
      </c>
      <c r="G1135">
        <v>183</v>
      </c>
      <c r="T1135" t="s">
        <v>5275</v>
      </c>
    </row>
    <row r="1136" spans="2:22" x14ac:dyDescent="0.25">
      <c r="B1136">
        <v>11158</v>
      </c>
      <c r="C1136" t="s">
        <v>22546</v>
      </c>
      <c r="E1136">
        <v>240</v>
      </c>
      <c r="F1136">
        <v>213</v>
      </c>
      <c r="G1136">
        <v>225</v>
      </c>
      <c r="U1136" t="s">
        <v>6215</v>
      </c>
    </row>
    <row r="1137" spans="2:22" x14ac:dyDescent="0.25">
      <c r="B1137">
        <v>11159</v>
      </c>
      <c r="C1137" t="s">
        <v>22547</v>
      </c>
      <c r="E1137">
        <v>225</v>
      </c>
      <c r="F1137">
        <v>150</v>
      </c>
      <c r="G1137">
        <v>183</v>
      </c>
      <c r="U1137" t="s">
        <v>6217</v>
      </c>
    </row>
    <row r="1138" spans="2:22" x14ac:dyDescent="0.25">
      <c r="B1138">
        <v>11160</v>
      </c>
      <c r="C1138" t="s">
        <v>22548</v>
      </c>
      <c r="E1138">
        <v>227</v>
      </c>
      <c r="F1138">
        <v>168</v>
      </c>
      <c r="G1138">
        <v>194</v>
      </c>
      <c r="U1138" t="s">
        <v>6219</v>
      </c>
    </row>
    <row r="1139" spans="2:22" x14ac:dyDescent="0.25">
      <c r="B1139">
        <v>11161</v>
      </c>
      <c r="C1139" t="s">
        <v>22549</v>
      </c>
      <c r="E1139">
        <v>225</v>
      </c>
      <c r="F1139">
        <v>150</v>
      </c>
      <c r="G1139">
        <v>183</v>
      </c>
      <c r="U1139" t="s">
        <v>6221</v>
      </c>
    </row>
    <row r="1140" spans="2:22" x14ac:dyDescent="0.25">
      <c r="B1140">
        <v>11162</v>
      </c>
      <c r="C1140" t="s">
        <v>22550</v>
      </c>
      <c r="E1140">
        <v>227</v>
      </c>
      <c r="F1140">
        <v>168</v>
      </c>
      <c r="G1140">
        <v>194</v>
      </c>
      <c r="U1140" t="s">
        <v>6223</v>
      </c>
    </row>
    <row r="1141" spans="2:22" x14ac:dyDescent="0.25">
      <c r="B1141">
        <v>11163</v>
      </c>
      <c r="C1141" t="s">
        <v>22551</v>
      </c>
      <c r="E1141">
        <v>225</v>
      </c>
      <c r="F1141">
        <v>150</v>
      </c>
      <c r="G1141">
        <v>183</v>
      </c>
      <c r="U1141" t="s">
        <v>6225</v>
      </c>
    </row>
    <row r="1142" spans="2:22" x14ac:dyDescent="0.25">
      <c r="B1142">
        <v>13324</v>
      </c>
      <c r="C1142" t="s">
        <v>22552</v>
      </c>
      <c r="E1142">
        <v>214</v>
      </c>
      <c r="F1142">
        <v>112</v>
      </c>
      <c r="G1142">
        <v>160</v>
      </c>
      <c r="S1142" t="s">
        <v>8090</v>
      </c>
    </row>
    <row r="1143" spans="2:22" x14ac:dyDescent="0.25">
      <c r="B1143">
        <v>10248</v>
      </c>
      <c r="C1143" t="s">
        <v>22553</v>
      </c>
      <c r="E1143">
        <v>213</v>
      </c>
      <c r="F1143">
        <v>92</v>
      </c>
      <c r="G1143">
        <v>146</v>
      </c>
      <c r="T1143" t="s">
        <v>5237</v>
      </c>
    </row>
    <row r="1144" spans="2:22" x14ac:dyDescent="0.25">
      <c r="B1144">
        <v>10249</v>
      </c>
      <c r="C1144" t="s">
        <v>22554</v>
      </c>
      <c r="E1144">
        <v>213</v>
      </c>
      <c r="F1144">
        <v>92</v>
      </c>
      <c r="G1144">
        <v>146</v>
      </c>
      <c r="U1144" t="s">
        <v>5239</v>
      </c>
    </row>
    <row r="1145" spans="2:22" x14ac:dyDescent="0.25">
      <c r="B1145">
        <v>11093</v>
      </c>
      <c r="C1145" t="s">
        <v>22555</v>
      </c>
      <c r="E1145">
        <v>240</v>
      </c>
      <c r="F1145">
        <v>213</v>
      </c>
      <c r="G1145">
        <v>225</v>
      </c>
      <c r="V1145" t="s">
        <v>6085</v>
      </c>
    </row>
    <row r="1146" spans="2:22" x14ac:dyDescent="0.25">
      <c r="B1146">
        <v>11094</v>
      </c>
      <c r="C1146" t="s">
        <v>22556</v>
      </c>
      <c r="E1146">
        <v>213</v>
      </c>
      <c r="F1146">
        <v>92</v>
      </c>
      <c r="G1146">
        <v>146</v>
      </c>
      <c r="V1146" t="s">
        <v>6087</v>
      </c>
    </row>
    <row r="1147" spans="2:22" x14ac:dyDescent="0.25">
      <c r="B1147">
        <v>11095</v>
      </c>
      <c r="C1147" t="s">
        <v>22557</v>
      </c>
      <c r="E1147">
        <v>214</v>
      </c>
      <c r="F1147">
        <v>112</v>
      </c>
      <c r="G1147">
        <v>160</v>
      </c>
      <c r="V1147" t="s">
        <v>6089</v>
      </c>
    </row>
    <row r="1148" spans="2:22" x14ac:dyDescent="0.25">
      <c r="B1148">
        <v>11096</v>
      </c>
      <c r="C1148" t="s">
        <v>22558</v>
      </c>
      <c r="E1148">
        <v>213</v>
      </c>
      <c r="F1148">
        <v>92</v>
      </c>
      <c r="G1148">
        <v>146</v>
      </c>
      <c r="V1148" t="s">
        <v>6091</v>
      </c>
    </row>
    <row r="1149" spans="2:22" x14ac:dyDescent="0.25">
      <c r="B1149">
        <v>11097</v>
      </c>
      <c r="C1149" t="s">
        <v>22559</v>
      </c>
      <c r="E1149">
        <v>214</v>
      </c>
      <c r="F1149">
        <v>112</v>
      </c>
      <c r="G1149">
        <v>160</v>
      </c>
      <c r="V1149" t="s">
        <v>6093</v>
      </c>
    </row>
    <row r="1150" spans="2:22" x14ac:dyDescent="0.25">
      <c r="B1150">
        <v>11098</v>
      </c>
      <c r="C1150" t="s">
        <v>22560</v>
      </c>
      <c r="E1150">
        <v>213</v>
      </c>
      <c r="F1150">
        <v>92</v>
      </c>
      <c r="G1150">
        <v>146</v>
      </c>
      <c r="V1150" t="s">
        <v>6095</v>
      </c>
    </row>
    <row r="1151" spans="2:22" x14ac:dyDescent="0.25">
      <c r="B1151">
        <v>10250</v>
      </c>
      <c r="C1151" t="s">
        <v>22561</v>
      </c>
      <c r="E1151">
        <v>213</v>
      </c>
      <c r="F1151">
        <v>92</v>
      </c>
      <c r="G1151">
        <v>146</v>
      </c>
      <c r="U1151" t="s">
        <v>5241</v>
      </c>
    </row>
    <row r="1152" spans="2:22" x14ac:dyDescent="0.25">
      <c r="B1152">
        <v>11099</v>
      </c>
      <c r="C1152" t="s">
        <v>22562</v>
      </c>
      <c r="E1152">
        <v>240</v>
      </c>
      <c r="F1152">
        <v>213</v>
      </c>
      <c r="G1152">
        <v>225</v>
      </c>
      <c r="V1152" t="s">
        <v>6097</v>
      </c>
    </row>
    <row r="1153" spans="2:22" x14ac:dyDescent="0.25">
      <c r="B1153">
        <v>11100</v>
      </c>
      <c r="C1153" t="s">
        <v>22563</v>
      </c>
      <c r="E1153">
        <v>213</v>
      </c>
      <c r="F1153">
        <v>92</v>
      </c>
      <c r="G1153">
        <v>146</v>
      </c>
      <c r="V1153" t="s">
        <v>6099</v>
      </c>
    </row>
    <row r="1154" spans="2:22" x14ac:dyDescent="0.25">
      <c r="B1154">
        <v>11101</v>
      </c>
      <c r="C1154" t="s">
        <v>22564</v>
      </c>
      <c r="E1154">
        <v>214</v>
      </c>
      <c r="F1154">
        <v>112</v>
      </c>
      <c r="G1154">
        <v>160</v>
      </c>
      <c r="V1154" t="s">
        <v>6101</v>
      </c>
    </row>
    <row r="1155" spans="2:22" x14ac:dyDescent="0.25">
      <c r="B1155">
        <v>11102</v>
      </c>
      <c r="C1155" t="s">
        <v>22565</v>
      </c>
      <c r="E1155">
        <v>213</v>
      </c>
      <c r="F1155">
        <v>92</v>
      </c>
      <c r="G1155">
        <v>146</v>
      </c>
      <c r="V1155" t="s">
        <v>6103</v>
      </c>
    </row>
    <row r="1156" spans="2:22" x14ac:dyDescent="0.25">
      <c r="B1156">
        <v>11103</v>
      </c>
      <c r="C1156" t="s">
        <v>22566</v>
      </c>
      <c r="E1156">
        <v>214</v>
      </c>
      <c r="F1156">
        <v>112</v>
      </c>
      <c r="G1156">
        <v>160</v>
      </c>
      <c r="V1156" t="s">
        <v>6105</v>
      </c>
    </row>
    <row r="1157" spans="2:22" x14ac:dyDescent="0.25">
      <c r="B1157">
        <v>11104</v>
      </c>
      <c r="C1157" t="s">
        <v>22567</v>
      </c>
      <c r="E1157">
        <v>213</v>
      </c>
      <c r="F1157">
        <v>92</v>
      </c>
      <c r="G1157">
        <v>146</v>
      </c>
      <c r="V1157" t="s">
        <v>6107</v>
      </c>
    </row>
    <row r="1158" spans="2:22" x14ac:dyDescent="0.25">
      <c r="B1158">
        <v>10251</v>
      </c>
      <c r="C1158" t="s">
        <v>22568</v>
      </c>
      <c r="E1158">
        <v>213</v>
      </c>
      <c r="F1158">
        <v>92</v>
      </c>
      <c r="G1158">
        <v>146</v>
      </c>
      <c r="U1158" t="s">
        <v>5243</v>
      </c>
    </row>
    <row r="1159" spans="2:22" x14ac:dyDescent="0.25">
      <c r="B1159">
        <v>11105</v>
      </c>
      <c r="C1159" t="s">
        <v>22569</v>
      </c>
      <c r="E1159">
        <v>240</v>
      </c>
      <c r="F1159">
        <v>213</v>
      </c>
      <c r="G1159">
        <v>225</v>
      </c>
      <c r="V1159" t="s">
        <v>6109</v>
      </c>
    </row>
    <row r="1160" spans="2:22" x14ac:dyDescent="0.25">
      <c r="B1160">
        <v>11106</v>
      </c>
      <c r="C1160" t="s">
        <v>22570</v>
      </c>
      <c r="E1160">
        <v>213</v>
      </c>
      <c r="F1160">
        <v>92</v>
      </c>
      <c r="G1160">
        <v>146</v>
      </c>
      <c r="V1160" t="s">
        <v>6111</v>
      </c>
    </row>
    <row r="1161" spans="2:22" x14ac:dyDescent="0.25">
      <c r="B1161">
        <v>11107</v>
      </c>
      <c r="C1161" t="s">
        <v>22571</v>
      </c>
      <c r="E1161">
        <v>214</v>
      </c>
      <c r="F1161">
        <v>112</v>
      </c>
      <c r="G1161">
        <v>160</v>
      </c>
      <c r="V1161" t="s">
        <v>6113</v>
      </c>
    </row>
    <row r="1162" spans="2:22" x14ac:dyDescent="0.25">
      <c r="B1162">
        <v>11108</v>
      </c>
      <c r="C1162" t="s">
        <v>22572</v>
      </c>
      <c r="E1162">
        <v>213</v>
      </c>
      <c r="F1162">
        <v>92</v>
      </c>
      <c r="G1162">
        <v>146</v>
      </c>
      <c r="V1162" t="s">
        <v>6115</v>
      </c>
    </row>
    <row r="1163" spans="2:22" x14ac:dyDescent="0.25">
      <c r="B1163">
        <v>11109</v>
      </c>
      <c r="C1163" t="s">
        <v>22573</v>
      </c>
      <c r="E1163">
        <v>214</v>
      </c>
      <c r="F1163">
        <v>112</v>
      </c>
      <c r="G1163">
        <v>160</v>
      </c>
      <c r="V1163" t="s">
        <v>6117</v>
      </c>
    </row>
    <row r="1164" spans="2:22" x14ac:dyDescent="0.25">
      <c r="B1164">
        <v>11110</v>
      </c>
      <c r="C1164" t="s">
        <v>22574</v>
      </c>
      <c r="E1164">
        <v>213</v>
      </c>
      <c r="F1164">
        <v>92</v>
      </c>
      <c r="G1164">
        <v>146</v>
      </c>
      <c r="V1164" t="s">
        <v>6119</v>
      </c>
    </row>
    <row r="1165" spans="2:22" x14ac:dyDescent="0.25">
      <c r="B1165">
        <v>10252</v>
      </c>
      <c r="C1165" t="s">
        <v>22575</v>
      </c>
      <c r="E1165">
        <v>213</v>
      </c>
      <c r="F1165">
        <v>92</v>
      </c>
      <c r="G1165">
        <v>146</v>
      </c>
      <c r="T1165" t="s">
        <v>5245</v>
      </c>
    </row>
    <row r="1166" spans="2:22" x14ac:dyDescent="0.25">
      <c r="B1166">
        <v>10253</v>
      </c>
      <c r="C1166" t="s">
        <v>22576</v>
      </c>
      <c r="E1166">
        <v>213</v>
      </c>
      <c r="F1166">
        <v>92</v>
      </c>
      <c r="G1166">
        <v>146</v>
      </c>
      <c r="U1166" t="s">
        <v>5247</v>
      </c>
    </row>
    <row r="1167" spans="2:22" x14ac:dyDescent="0.25">
      <c r="B1167">
        <v>11033</v>
      </c>
      <c r="C1167" t="s">
        <v>22577</v>
      </c>
      <c r="E1167">
        <v>240</v>
      </c>
      <c r="F1167">
        <v>213</v>
      </c>
      <c r="G1167">
        <v>225</v>
      </c>
      <c r="V1167" t="s">
        <v>5965</v>
      </c>
    </row>
    <row r="1168" spans="2:22" x14ac:dyDescent="0.25">
      <c r="B1168">
        <v>11034</v>
      </c>
      <c r="C1168" t="s">
        <v>22578</v>
      </c>
      <c r="E1168">
        <v>213</v>
      </c>
      <c r="F1168">
        <v>92</v>
      </c>
      <c r="G1168">
        <v>146</v>
      </c>
      <c r="V1168" t="s">
        <v>5967</v>
      </c>
    </row>
    <row r="1169" spans="2:22" x14ac:dyDescent="0.25">
      <c r="B1169">
        <v>11035</v>
      </c>
      <c r="C1169" t="s">
        <v>22579</v>
      </c>
      <c r="E1169">
        <v>214</v>
      </c>
      <c r="F1169">
        <v>112</v>
      </c>
      <c r="G1169">
        <v>160</v>
      </c>
      <c r="V1169" t="s">
        <v>5969</v>
      </c>
    </row>
    <row r="1170" spans="2:22" x14ac:dyDescent="0.25">
      <c r="B1170">
        <v>11036</v>
      </c>
      <c r="C1170" t="s">
        <v>22580</v>
      </c>
      <c r="E1170">
        <v>213</v>
      </c>
      <c r="F1170">
        <v>92</v>
      </c>
      <c r="G1170">
        <v>146</v>
      </c>
      <c r="V1170" t="s">
        <v>5971</v>
      </c>
    </row>
    <row r="1171" spans="2:22" x14ac:dyDescent="0.25">
      <c r="B1171">
        <v>11037</v>
      </c>
      <c r="C1171" t="s">
        <v>22581</v>
      </c>
      <c r="E1171">
        <v>214</v>
      </c>
      <c r="F1171">
        <v>112</v>
      </c>
      <c r="G1171">
        <v>160</v>
      </c>
      <c r="V1171" t="s">
        <v>5973</v>
      </c>
    </row>
    <row r="1172" spans="2:22" x14ac:dyDescent="0.25">
      <c r="B1172">
        <v>11038</v>
      </c>
      <c r="C1172" t="s">
        <v>22582</v>
      </c>
      <c r="E1172">
        <v>213</v>
      </c>
      <c r="F1172">
        <v>92</v>
      </c>
      <c r="G1172">
        <v>146</v>
      </c>
      <c r="V1172" t="s">
        <v>5975</v>
      </c>
    </row>
    <row r="1173" spans="2:22" x14ac:dyDescent="0.25">
      <c r="B1173">
        <v>10254</v>
      </c>
      <c r="C1173" t="s">
        <v>22583</v>
      </c>
      <c r="E1173">
        <v>213</v>
      </c>
      <c r="F1173">
        <v>92</v>
      </c>
      <c r="G1173">
        <v>146</v>
      </c>
      <c r="U1173" t="s">
        <v>5249</v>
      </c>
    </row>
    <row r="1174" spans="2:22" x14ac:dyDescent="0.25">
      <c r="B1174">
        <v>11039</v>
      </c>
      <c r="C1174" t="s">
        <v>22584</v>
      </c>
      <c r="E1174">
        <v>240</v>
      </c>
      <c r="F1174">
        <v>213</v>
      </c>
      <c r="G1174">
        <v>225</v>
      </c>
      <c r="V1174" t="s">
        <v>5977</v>
      </c>
    </row>
    <row r="1175" spans="2:22" x14ac:dyDescent="0.25">
      <c r="B1175">
        <v>11040</v>
      </c>
      <c r="C1175" t="s">
        <v>22585</v>
      </c>
      <c r="E1175">
        <v>213</v>
      </c>
      <c r="F1175">
        <v>92</v>
      </c>
      <c r="G1175">
        <v>146</v>
      </c>
      <c r="V1175" t="s">
        <v>5979</v>
      </c>
    </row>
    <row r="1176" spans="2:22" x14ac:dyDescent="0.25">
      <c r="B1176">
        <v>11041</v>
      </c>
      <c r="C1176" t="s">
        <v>22586</v>
      </c>
      <c r="E1176">
        <v>214</v>
      </c>
      <c r="F1176">
        <v>112</v>
      </c>
      <c r="G1176">
        <v>160</v>
      </c>
      <c r="V1176" t="s">
        <v>5981</v>
      </c>
    </row>
    <row r="1177" spans="2:22" x14ac:dyDescent="0.25">
      <c r="B1177">
        <v>11042</v>
      </c>
      <c r="C1177" t="s">
        <v>22587</v>
      </c>
      <c r="E1177">
        <v>213</v>
      </c>
      <c r="F1177">
        <v>92</v>
      </c>
      <c r="G1177">
        <v>146</v>
      </c>
      <c r="V1177" t="s">
        <v>5983</v>
      </c>
    </row>
    <row r="1178" spans="2:22" x14ac:dyDescent="0.25">
      <c r="B1178">
        <v>11043</v>
      </c>
      <c r="C1178" t="s">
        <v>22588</v>
      </c>
      <c r="E1178">
        <v>214</v>
      </c>
      <c r="F1178">
        <v>112</v>
      </c>
      <c r="G1178">
        <v>160</v>
      </c>
      <c r="V1178" t="s">
        <v>5985</v>
      </c>
    </row>
    <row r="1179" spans="2:22" x14ac:dyDescent="0.25">
      <c r="B1179">
        <v>11044</v>
      </c>
      <c r="C1179" t="s">
        <v>22589</v>
      </c>
      <c r="E1179">
        <v>213</v>
      </c>
      <c r="F1179">
        <v>92</v>
      </c>
      <c r="G1179">
        <v>146</v>
      </c>
      <c r="V1179" t="s">
        <v>5987</v>
      </c>
    </row>
    <row r="1180" spans="2:22" x14ac:dyDescent="0.25">
      <c r="B1180">
        <v>10255</v>
      </c>
      <c r="C1180" t="s">
        <v>22590</v>
      </c>
      <c r="E1180">
        <v>213</v>
      </c>
      <c r="F1180">
        <v>92</v>
      </c>
      <c r="G1180">
        <v>146</v>
      </c>
      <c r="U1180" t="s">
        <v>5251</v>
      </c>
    </row>
    <row r="1181" spans="2:22" x14ac:dyDescent="0.25">
      <c r="B1181">
        <v>11045</v>
      </c>
      <c r="C1181" t="s">
        <v>22591</v>
      </c>
      <c r="E1181">
        <v>240</v>
      </c>
      <c r="F1181">
        <v>213</v>
      </c>
      <c r="G1181">
        <v>225</v>
      </c>
      <c r="V1181" t="s">
        <v>5989</v>
      </c>
    </row>
    <row r="1182" spans="2:22" x14ac:dyDescent="0.25">
      <c r="B1182">
        <v>11046</v>
      </c>
      <c r="C1182" t="s">
        <v>22592</v>
      </c>
      <c r="E1182">
        <v>213</v>
      </c>
      <c r="F1182">
        <v>92</v>
      </c>
      <c r="G1182">
        <v>146</v>
      </c>
      <c r="V1182" t="s">
        <v>5991</v>
      </c>
    </row>
    <row r="1183" spans="2:22" x14ac:dyDescent="0.25">
      <c r="B1183">
        <v>11047</v>
      </c>
      <c r="C1183" t="s">
        <v>22593</v>
      </c>
      <c r="E1183">
        <v>214</v>
      </c>
      <c r="F1183">
        <v>112</v>
      </c>
      <c r="G1183">
        <v>160</v>
      </c>
      <c r="V1183" t="s">
        <v>5993</v>
      </c>
    </row>
    <row r="1184" spans="2:22" x14ac:dyDescent="0.25">
      <c r="B1184">
        <v>11048</v>
      </c>
      <c r="C1184" t="s">
        <v>22594</v>
      </c>
      <c r="E1184">
        <v>213</v>
      </c>
      <c r="F1184">
        <v>92</v>
      </c>
      <c r="G1184">
        <v>146</v>
      </c>
      <c r="V1184" t="s">
        <v>5995</v>
      </c>
    </row>
    <row r="1185" spans="2:23" x14ac:dyDescent="0.25">
      <c r="B1185">
        <v>11049</v>
      </c>
      <c r="C1185" t="s">
        <v>22595</v>
      </c>
      <c r="E1185">
        <v>214</v>
      </c>
      <c r="F1185">
        <v>112</v>
      </c>
      <c r="G1185">
        <v>160</v>
      </c>
      <c r="V1185" t="s">
        <v>5997</v>
      </c>
    </row>
    <row r="1186" spans="2:23" x14ac:dyDescent="0.25">
      <c r="B1186">
        <v>11050</v>
      </c>
      <c r="C1186" t="s">
        <v>22596</v>
      </c>
      <c r="E1186">
        <v>213</v>
      </c>
      <c r="F1186">
        <v>92</v>
      </c>
      <c r="G1186">
        <v>146</v>
      </c>
      <c r="V1186" t="s">
        <v>5999</v>
      </c>
    </row>
    <row r="1187" spans="2:23" x14ac:dyDescent="0.25">
      <c r="B1187">
        <v>10256</v>
      </c>
      <c r="C1187" t="s">
        <v>22597</v>
      </c>
      <c r="E1187">
        <v>213</v>
      </c>
      <c r="F1187">
        <v>92</v>
      </c>
      <c r="G1187">
        <v>146</v>
      </c>
      <c r="T1187" t="s">
        <v>5253</v>
      </c>
    </row>
    <row r="1188" spans="2:23" x14ac:dyDescent="0.25">
      <c r="B1188">
        <v>10257</v>
      </c>
      <c r="C1188" t="s">
        <v>22598</v>
      </c>
      <c r="E1188">
        <v>213</v>
      </c>
      <c r="F1188">
        <v>92</v>
      </c>
      <c r="G1188">
        <v>146</v>
      </c>
      <c r="U1188" t="s">
        <v>5255</v>
      </c>
    </row>
    <row r="1189" spans="2:23" x14ac:dyDescent="0.25">
      <c r="B1189">
        <v>10258</v>
      </c>
      <c r="C1189" t="s">
        <v>22599</v>
      </c>
      <c r="E1189">
        <v>213</v>
      </c>
      <c r="F1189">
        <v>92</v>
      </c>
      <c r="G1189">
        <v>146</v>
      </c>
      <c r="V1189" t="s">
        <v>5257</v>
      </c>
    </row>
    <row r="1190" spans="2:23" x14ac:dyDescent="0.25">
      <c r="B1190">
        <v>11111</v>
      </c>
      <c r="C1190" t="s">
        <v>22600</v>
      </c>
      <c r="E1190">
        <v>240</v>
      </c>
      <c r="F1190">
        <v>213</v>
      </c>
      <c r="G1190">
        <v>225</v>
      </c>
      <c r="W1190" t="s">
        <v>6121</v>
      </c>
    </row>
    <row r="1191" spans="2:23" x14ac:dyDescent="0.25">
      <c r="B1191">
        <v>11112</v>
      </c>
      <c r="C1191" t="s">
        <v>22601</v>
      </c>
      <c r="E1191">
        <v>213</v>
      </c>
      <c r="F1191">
        <v>92</v>
      </c>
      <c r="G1191">
        <v>146</v>
      </c>
      <c r="W1191" t="s">
        <v>6123</v>
      </c>
    </row>
    <row r="1192" spans="2:23" x14ac:dyDescent="0.25">
      <c r="B1192">
        <v>11113</v>
      </c>
      <c r="C1192" t="s">
        <v>22602</v>
      </c>
      <c r="E1192">
        <v>214</v>
      </c>
      <c r="F1192">
        <v>112</v>
      </c>
      <c r="G1192">
        <v>160</v>
      </c>
      <c r="W1192" t="s">
        <v>6125</v>
      </c>
    </row>
    <row r="1193" spans="2:23" x14ac:dyDescent="0.25">
      <c r="B1193">
        <v>11114</v>
      </c>
      <c r="C1193" t="s">
        <v>22603</v>
      </c>
      <c r="E1193">
        <v>213</v>
      </c>
      <c r="F1193">
        <v>92</v>
      </c>
      <c r="G1193">
        <v>146</v>
      </c>
      <c r="W1193" t="s">
        <v>6127</v>
      </c>
    </row>
    <row r="1194" spans="2:23" x14ac:dyDescent="0.25">
      <c r="B1194">
        <v>11115</v>
      </c>
      <c r="C1194" t="s">
        <v>22604</v>
      </c>
      <c r="E1194">
        <v>214</v>
      </c>
      <c r="F1194">
        <v>112</v>
      </c>
      <c r="G1194">
        <v>160</v>
      </c>
      <c r="W1194" t="s">
        <v>6129</v>
      </c>
    </row>
    <row r="1195" spans="2:23" x14ac:dyDescent="0.25">
      <c r="B1195">
        <v>11116</v>
      </c>
      <c r="C1195" t="s">
        <v>22605</v>
      </c>
      <c r="E1195">
        <v>213</v>
      </c>
      <c r="F1195">
        <v>92</v>
      </c>
      <c r="G1195">
        <v>146</v>
      </c>
      <c r="W1195" t="s">
        <v>6131</v>
      </c>
    </row>
    <row r="1196" spans="2:23" x14ac:dyDescent="0.25">
      <c r="B1196">
        <v>10259</v>
      </c>
      <c r="C1196" t="s">
        <v>22606</v>
      </c>
      <c r="E1196">
        <v>213</v>
      </c>
      <c r="F1196">
        <v>92</v>
      </c>
      <c r="G1196">
        <v>146</v>
      </c>
      <c r="V1196" t="s">
        <v>5259</v>
      </c>
    </row>
    <row r="1197" spans="2:23" x14ac:dyDescent="0.25">
      <c r="B1197">
        <v>11117</v>
      </c>
      <c r="C1197" t="s">
        <v>22607</v>
      </c>
      <c r="E1197">
        <v>240</v>
      </c>
      <c r="F1197">
        <v>213</v>
      </c>
      <c r="G1197">
        <v>225</v>
      </c>
      <c r="W1197" t="s">
        <v>6133</v>
      </c>
    </row>
    <row r="1198" spans="2:23" x14ac:dyDescent="0.25">
      <c r="B1198">
        <v>11118</v>
      </c>
      <c r="C1198" t="s">
        <v>22608</v>
      </c>
      <c r="E1198">
        <v>213</v>
      </c>
      <c r="F1198">
        <v>92</v>
      </c>
      <c r="G1198">
        <v>146</v>
      </c>
      <c r="W1198" t="s">
        <v>6135</v>
      </c>
    </row>
    <row r="1199" spans="2:23" x14ac:dyDescent="0.25">
      <c r="B1199">
        <v>11119</v>
      </c>
      <c r="C1199" t="s">
        <v>22609</v>
      </c>
      <c r="E1199">
        <v>214</v>
      </c>
      <c r="F1199">
        <v>112</v>
      </c>
      <c r="G1199">
        <v>160</v>
      </c>
      <c r="W1199" t="s">
        <v>6137</v>
      </c>
    </row>
    <row r="1200" spans="2:23" x14ac:dyDescent="0.25">
      <c r="B1200">
        <v>11120</v>
      </c>
      <c r="C1200" t="s">
        <v>22610</v>
      </c>
      <c r="E1200">
        <v>213</v>
      </c>
      <c r="F1200">
        <v>92</v>
      </c>
      <c r="G1200">
        <v>146</v>
      </c>
      <c r="W1200" t="s">
        <v>6139</v>
      </c>
    </row>
    <row r="1201" spans="2:23" x14ac:dyDescent="0.25">
      <c r="B1201">
        <v>11121</v>
      </c>
      <c r="C1201" t="s">
        <v>22611</v>
      </c>
      <c r="E1201">
        <v>214</v>
      </c>
      <c r="F1201">
        <v>112</v>
      </c>
      <c r="G1201">
        <v>160</v>
      </c>
      <c r="W1201" t="s">
        <v>6141</v>
      </c>
    </row>
    <row r="1202" spans="2:23" x14ac:dyDescent="0.25">
      <c r="B1202">
        <v>11122</v>
      </c>
      <c r="C1202" t="s">
        <v>22612</v>
      </c>
      <c r="E1202">
        <v>213</v>
      </c>
      <c r="F1202">
        <v>92</v>
      </c>
      <c r="G1202">
        <v>146</v>
      </c>
      <c r="W1202" t="s">
        <v>6143</v>
      </c>
    </row>
    <row r="1203" spans="2:23" x14ac:dyDescent="0.25">
      <c r="B1203">
        <v>10260</v>
      </c>
      <c r="C1203" t="s">
        <v>22613</v>
      </c>
      <c r="E1203">
        <v>213</v>
      </c>
      <c r="F1203">
        <v>92</v>
      </c>
      <c r="G1203">
        <v>146</v>
      </c>
      <c r="U1203" t="s">
        <v>5261</v>
      </c>
    </row>
    <row r="1204" spans="2:23" x14ac:dyDescent="0.25">
      <c r="B1204">
        <v>11123</v>
      </c>
      <c r="C1204" t="s">
        <v>22614</v>
      </c>
      <c r="E1204">
        <v>240</v>
      </c>
      <c r="F1204">
        <v>213</v>
      </c>
      <c r="G1204">
        <v>225</v>
      </c>
      <c r="V1204" t="s">
        <v>6145</v>
      </c>
    </row>
    <row r="1205" spans="2:23" x14ac:dyDescent="0.25">
      <c r="B1205">
        <v>11124</v>
      </c>
      <c r="C1205" t="s">
        <v>22615</v>
      </c>
      <c r="E1205">
        <v>213</v>
      </c>
      <c r="F1205">
        <v>92</v>
      </c>
      <c r="G1205">
        <v>146</v>
      </c>
      <c r="V1205" t="s">
        <v>6147</v>
      </c>
    </row>
    <row r="1206" spans="2:23" x14ac:dyDescent="0.25">
      <c r="B1206">
        <v>11125</v>
      </c>
      <c r="C1206" t="s">
        <v>22616</v>
      </c>
      <c r="E1206">
        <v>214</v>
      </c>
      <c r="F1206">
        <v>112</v>
      </c>
      <c r="G1206">
        <v>160</v>
      </c>
      <c r="V1206" t="s">
        <v>6149</v>
      </c>
    </row>
    <row r="1207" spans="2:23" x14ac:dyDescent="0.25">
      <c r="B1207">
        <v>11126</v>
      </c>
      <c r="C1207" t="s">
        <v>22617</v>
      </c>
      <c r="E1207">
        <v>213</v>
      </c>
      <c r="F1207">
        <v>92</v>
      </c>
      <c r="G1207">
        <v>146</v>
      </c>
      <c r="V1207" t="s">
        <v>6151</v>
      </c>
    </row>
    <row r="1208" spans="2:23" x14ac:dyDescent="0.25">
      <c r="B1208">
        <v>11127</v>
      </c>
      <c r="C1208" t="s">
        <v>22618</v>
      </c>
      <c r="E1208">
        <v>214</v>
      </c>
      <c r="F1208">
        <v>112</v>
      </c>
      <c r="G1208">
        <v>160</v>
      </c>
      <c r="V1208" t="s">
        <v>6153</v>
      </c>
    </row>
    <row r="1209" spans="2:23" x14ac:dyDescent="0.25">
      <c r="B1209">
        <v>11128</v>
      </c>
      <c r="C1209" t="s">
        <v>22619</v>
      </c>
      <c r="E1209">
        <v>213</v>
      </c>
      <c r="F1209">
        <v>92</v>
      </c>
      <c r="G1209">
        <v>146</v>
      </c>
      <c r="V1209" t="s">
        <v>6155</v>
      </c>
    </row>
    <row r="1210" spans="2:23" x14ac:dyDescent="0.25">
      <c r="B1210">
        <v>10263</v>
      </c>
      <c r="C1210" t="s">
        <v>22620</v>
      </c>
      <c r="E1210">
        <v>193</v>
      </c>
      <c r="F1210">
        <v>81</v>
      </c>
      <c r="G1210">
        <v>132</v>
      </c>
      <c r="S1210" t="s">
        <v>5267</v>
      </c>
    </row>
    <row r="1211" spans="2:23" x14ac:dyDescent="0.25">
      <c r="B1211">
        <v>10264</v>
      </c>
      <c r="C1211" t="s">
        <v>19875</v>
      </c>
      <c r="E1211">
        <v>193</v>
      </c>
      <c r="F1211">
        <v>81</v>
      </c>
      <c r="G1211">
        <v>132</v>
      </c>
      <c r="T1211" t="s">
        <v>5269</v>
      </c>
    </row>
    <row r="1212" spans="2:23" x14ac:dyDescent="0.25">
      <c r="B1212">
        <v>11141</v>
      </c>
      <c r="C1212" t="s">
        <v>22621</v>
      </c>
      <c r="E1212">
        <v>240</v>
      </c>
      <c r="F1212">
        <v>213</v>
      </c>
      <c r="G1212">
        <v>225</v>
      </c>
      <c r="U1212" t="s">
        <v>6181</v>
      </c>
    </row>
    <row r="1213" spans="2:23" x14ac:dyDescent="0.25">
      <c r="B1213">
        <v>11142</v>
      </c>
      <c r="C1213" t="s">
        <v>22622</v>
      </c>
      <c r="E1213">
        <v>193</v>
      </c>
      <c r="F1213">
        <v>81</v>
      </c>
      <c r="G1213">
        <v>132</v>
      </c>
      <c r="U1213" t="s">
        <v>6183</v>
      </c>
    </row>
    <row r="1214" spans="2:23" x14ac:dyDescent="0.25">
      <c r="B1214">
        <v>11143</v>
      </c>
      <c r="C1214" t="s">
        <v>22623</v>
      </c>
      <c r="E1214">
        <v>200</v>
      </c>
      <c r="F1214">
        <v>83</v>
      </c>
      <c r="G1214">
        <v>139</v>
      </c>
      <c r="U1214" t="s">
        <v>6185</v>
      </c>
    </row>
    <row r="1215" spans="2:23" x14ac:dyDescent="0.25">
      <c r="B1215">
        <v>11144</v>
      </c>
      <c r="C1215" t="s">
        <v>22624</v>
      </c>
      <c r="E1215">
        <v>200</v>
      </c>
      <c r="F1215">
        <v>83</v>
      </c>
      <c r="G1215">
        <v>139</v>
      </c>
      <c r="U1215" t="s">
        <v>6187</v>
      </c>
    </row>
    <row r="1216" spans="2:23" x14ac:dyDescent="0.25">
      <c r="B1216">
        <v>11145</v>
      </c>
      <c r="C1216" t="s">
        <v>22625</v>
      </c>
      <c r="E1216">
        <v>193</v>
      </c>
      <c r="F1216">
        <v>81</v>
      </c>
      <c r="G1216">
        <v>132</v>
      </c>
      <c r="U1216" t="s">
        <v>6189</v>
      </c>
    </row>
    <row r="1217" spans="2:21" x14ac:dyDescent="0.25">
      <c r="B1217">
        <v>10265</v>
      </c>
      <c r="C1217" t="s">
        <v>22626</v>
      </c>
      <c r="E1217">
        <v>193</v>
      </c>
      <c r="F1217">
        <v>81</v>
      </c>
      <c r="G1217">
        <v>132</v>
      </c>
      <c r="T1217" t="s">
        <v>5271</v>
      </c>
    </row>
    <row r="1218" spans="2:21" x14ac:dyDescent="0.25">
      <c r="B1218">
        <v>11146</v>
      </c>
      <c r="C1218" t="s">
        <v>22627</v>
      </c>
      <c r="E1218">
        <v>240</v>
      </c>
      <c r="F1218">
        <v>213</v>
      </c>
      <c r="G1218">
        <v>225</v>
      </c>
      <c r="U1218" t="s">
        <v>6191</v>
      </c>
    </row>
    <row r="1219" spans="2:21" x14ac:dyDescent="0.25">
      <c r="B1219">
        <v>11147</v>
      </c>
      <c r="C1219" t="s">
        <v>22628</v>
      </c>
      <c r="E1219">
        <v>193</v>
      </c>
      <c r="F1219">
        <v>81</v>
      </c>
      <c r="G1219">
        <v>132</v>
      </c>
      <c r="U1219" t="s">
        <v>6193</v>
      </c>
    </row>
    <row r="1220" spans="2:21" x14ac:dyDescent="0.25">
      <c r="B1220">
        <v>11148</v>
      </c>
      <c r="C1220" t="s">
        <v>22629</v>
      </c>
      <c r="E1220">
        <v>200</v>
      </c>
      <c r="F1220">
        <v>83</v>
      </c>
      <c r="G1220">
        <v>139</v>
      </c>
      <c r="U1220" t="s">
        <v>6195</v>
      </c>
    </row>
    <row r="1221" spans="2:21" x14ac:dyDescent="0.25">
      <c r="B1221">
        <v>11149</v>
      </c>
      <c r="C1221" t="s">
        <v>22630</v>
      </c>
      <c r="E1221">
        <v>193</v>
      </c>
      <c r="F1221">
        <v>81</v>
      </c>
      <c r="G1221">
        <v>132</v>
      </c>
      <c r="U1221" t="s">
        <v>6197</v>
      </c>
    </row>
    <row r="1222" spans="2:21" x14ac:dyDescent="0.25">
      <c r="B1222">
        <v>11150</v>
      </c>
      <c r="C1222" t="s">
        <v>22631</v>
      </c>
      <c r="E1222">
        <v>200</v>
      </c>
      <c r="F1222">
        <v>83</v>
      </c>
      <c r="G1222">
        <v>139</v>
      </c>
      <c r="U1222" t="s">
        <v>6199</v>
      </c>
    </row>
    <row r="1223" spans="2:21" x14ac:dyDescent="0.25">
      <c r="B1223">
        <v>11151</v>
      </c>
      <c r="C1223" t="s">
        <v>22632</v>
      </c>
      <c r="E1223">
        <v>193</v>
      </c>
      <c r="F1223">
        <v>81</v>
      </c>
      <c r="G1223">
        <v>132</v>
      </c>
      <c r="U1223" t="s">
        <v>6201</v>
      </c>
    </row>
    <row r="1224" spans="2:21" x14ac:dyDescent="0.25">
      <c r="B1224">
        <v>10261</v>
      </c>
      <c r="C1224" t="s">
        <v>22633</v>
      </c>
      <c r="E1224">
        <v>193</v>
      </c>
      <c r="F1224">
        <v>81</v>
      </c>
      <c r="G1224">
        <v>132</v>
      </c>
      <c r="S1224" t="s">
        <v>5263</v>
      </c>
    </row>
    <row r="1225" spans="2:21" x14ac:dyDescent="0.25">
      <c r="B1225">
        <v>11129</v>
      </c>
      <c r="C1225" t="s">
        <v>22634</v>
      </c>
      <c r="E1225">
        <v>240</v>
      </c>
      <c r="F1225">
        <v>213</v>
      </c>
      <c r="G1225">
        <v>225</v>
      </c>
      <c r="T1225" t="s">
        <v>6157</v>
      </c>
    </row>
    <row r="1226" spans="2:21" x14ac:dyDescent="0.25">
      <c r="B1226">
        <v>11130</v>
      </c>
      <c r="C1226" t="s">
        <v>22635</v>
      </c>
      <c r="E1226">
        <v>193</v>
      </c>
      <c r="F1226">
        <v>81</v>
      </c>
      <c r="G1226">
        <v>132</v>
      </c>
      <c r="T1226" t="s">
        <v>6159</v>
      </c>
    </row>
    <row r="1227" spans="2:21" x14ac:dyDescent="0.25">
      <c r="B1227">
        <v>11131</v>
      </c>
      <c r="C1227" t="s">
        <v>22636</v>
      </c>
      <c r="E1227">
        <v>200</v>
      </c>
      <c r="F1227">
        <v>83</v>
      </c>
      <c r="G1227">
        <v>139</v>
      </c>
      <c r="T1227" t="s">
        <v>6161</v>
      </c>
    </row>
    <row r="1228" spans="2:21" x14ac:dyDescent="0.25">
      <c r="B1228">
        <v>11132</v>
      </c>
      <c r="C1228" t="s">
        <v>22637</v>
      </c>
      <c r="E1228">
        <v>193</v>
      </c>
      <c r="F1228">
        <v>81</v>
      </c>
      <c r="G1228">
        <v>132</v>
      </c>
      <c r="T1228" t="s">
        <v>6163</v>
      </c>
    </row>
    <row r="1229" spans="2:21" x14ac:dyDescent="0.25">
      <c r="B1229">
        <v>11133</v>
      </c>
      <c r="C1229" t="s">
        <v>22638</v>
      </c>
      <c r="E1229">
        <v>200</v>
      </c>
      <c r="F1229">
        <v>83</v>
      </c>
      <c r="G1229">
        <v>139</v>
      </c>
      <c r="T1229" t="s">
        <v>6165</v>
      </c>
    </row>
    <row r="1230" spans="2:21" x14ac:dyDescent="0.25">
      <c r="B1230">
        <v>11134</v>
      </c>
      <c r="C1230" t="s">
        <v>22639</v>
      </c>
      <c r="E1230">
        <v>193</v>
      </c>
      <c r="F1230">
        <v>81</v>
      </c>
      <c r="G1230">
        <v>132</v>
      </c>
      <c r="T1230" t="s">
        <v>6167</v>
      </c>
    </row>
    <row r="1231" spans="2:21" x14ac:dyDescent="0.25">
      <c r="B1231">
        <v>10262</v>
      </c>
      <c r="C1231" t="s">
        <v>22640</v>
      </c>
      <c r="E1231">
        <v>213</v>
      </c>
      <c r="F1231">
        <v>92</v>
      </c>
      <c r="G1231">
        <v>146</v>
      </c>
      <c r="S1231" t="s">
        <v>5265</v>
      </c>
    </row>
    <row r="1232" spans="2:21" x14ac:dyDescent="0.25">
      <c r="B1232">
        <v>11135</v>
      </c>
      <c r="C1232" t="s">
        <v>22641</v>
      </c>
      <c r="E1232">
        <v>240</v>
      </c>
      <c r="F1232">
        <v>213</v>
      </c>
      <c r="G1232">
        <v>225</v>
      </c>
      <c r="T1232" t="s">
        <v>6169</v>
      </c>
    </row>
    <row r="1233" spans="2:20" x14ac:dyDescent="0.25">
      <c r="B1233">
        <v>11136</v>
      </c>
      <c r="C1233" t="s">
        <v>22642</v>
      </c>
      <c r="E1233">
        <v>213</v>
      </c>
      <c r="F1233">
        <v>92</v>
      </c>
      <c r="G1233">
        <v>146</v>
      </c>
      <c r="T1233" t="s">
        <v>6171</v>
      </c>
    </row>
    <row r="1234" spans="2:20" x14ac:dyDescent="0.25">
      <c r="B1234">
        <v>11137</v>
      </c>
      <c r="C1234" t="s">
        <v>22643</v>
      </c>
      <c r="E1234">
        <v>214</v>
      </c>
      <c r="F1234">
        <v>112</v>
      </c>
      <c r="G1234">
        <v>160</v>
      </c>
      <c r="T1234" t="s">
        <v>6173</v>
      </c>
    </row>
    <row r="1235" spans="2:20" x14ac:dyDescent="0.25">
      <c r="B1235">
        <v>11138</v>
      </c>
      <c r="C1235" t="s">
        <v>22644</v>
      </c>
      <c r="E1235">
        <v>213</v>
      </c>
      <c r="F1235">
        <v>92</v>
      </c>
      <c r="G1235">
        <v>146</v>
      </c>
      <c r="T1235" t="s">
        <v>6175</v>
      </c>
    </row>
    <row r="1236" spans="2:20" x14ac:dyDescent="0.25">
      <c r="B1236">
        <v>11139</v>
      </c>
      <c r="C1236" t="s">
        <v>22645</v>
      </c>
      <c r="E1236">
        <v>214</v>
      </c>
      <c r="F1236">
        <v>112</v>
      </c>
      <c r="G1236">
        <v>160</v>
      </c>
      <c r="T1236" t="s">
        <v>6177</v>
      </c>
    </row>
    <row r="1237" spans="2:20" x14ac:dyDescent="0.25">
      <c r="B1237">
        <v>11140</v>
      </c>
      <c r="C1237" t="s">
        <v>22646</v>
      </c>
      <c r="E1237">
        <v>213</v>
      </c>
      <c r="F1237">
        <v>92</v>
      </c>
      <c r="G1237">
        <v>146</v>
      </c>
      <c r="T1237" t="s">
        <v>6179</v>
      </c>
    </row>
    <row r="1238" spans="2:20" x14ac:dyDescent="0.25">
      <c r="B1238">
        <v>10266</v>
      </c>
      <c r="C1238" t="s">
        <v>22647</v>
      </c>
      <c r="E1238">
        <v>200</v>
      </c>
      <c r="F1238">
        <v>83</v>
      </c>
      <c r="G1238">
        <v>139</v>
      </c>
      <c r="S1238" t="s">
        <v>5273</v>
      </c>
    </row>
    <row r="1239" spans="2:20" x14ac:dyDescent="0.25">
      <c r="B1239">
        <v>11152</v>
      </c>
      <c r="C1239" t="s">
        <v>22648</v>
      </c>
      <c r="E1239">
        <v>240</v>
      </c>
      <c r="F1239">
        <v>213</v>
      </c>
      <c r="G1239">
        <v>225</v>
      </c>
      <c r="T1239" t="s">
        <v>6203</v>
      </c>
    </row>
    <row r="1240" spans="2:20" x14ac:dyDescent="0.25">
      <c r="B1240">
        <v>11153</v>
      </c>
      <c r="C1240" t="s">
        <v>22649</v>
      </c>
      <c r="E1240">
        <v>200</v>
      </c>
      <c r="F1240">
        <v>83</v>
      </c>
      <c r="G1240">
        <v>139</v>
      </c>
      <c r="T1240" t="s">
        <v>6205</v>
      </c>
    </row>
    <row r="1241" spans="2:20" x14ac:dyDescent="0.25">
      <c r="B1241">
        <v>11154</v>
      </c>
      <c r="C1241" t="s">
        <v>22650</v>
      </c>
      <c r="E1241">
        <v>213</v>
      </c>
      <c r="F1241">
        <v>92</v>
      </c>
      <c r="G1241">
        <v>146</v>
      </c>
      <c r="T1241" t="s">
        <v>6207</v>
      </c>
    </row>
    <row r="1242" spans="2:20" x14ac:dyDescent="0.25">
      <c r="B1242">
        <v>11155</v>
      </c>
      <c r="C1242" t="s">
        <v>22651</v>
      </c>
      <c r="E1242">
        <v>200</v>
      </c>
      <c r="F1242">
        <v>83</v>
      </c>
      <c r="G1242">
        <v>139</v>
      </c>
      <c r="T1242" t="s">
        <v>6209</v>
      </c>
    </row>
    <row r="1243" spans="2:20" x14ac:dyDescent="0.25">
      <c r="B1243">
        <v>11156</v>
      </c>
      <c r="C1243" t="s">
        <v>22652</v>
      </c>
      <c r="E1243">
        <v>213</v>
      </c>
      <c r="F1243">
        <v>92</v>
      </c>
      <c r="G1243">
        <v>146</v>
      </c>
      <c r="T1243" t="s">
        <v>6211</v>
      </c>
    </row>
    <row r="1244" spans="2:20" x14ac:dyDescent="0.25">
      <c r="B1244">
        <v>11157</v>
      </c>
      <c r="C1244" t="s">
        <v>22653</v>
      </c>
      <c r="E1244">
        <v>200</v>
      </c>
      <c r="F1244">
        <v>83</v>
      </c>
      <c r="G1244">
        <v>139</v>
      </c>
      <c r="T1244" t="s">
        <v>6213</v>
      </c>
    </row>
    <row r="1245" spans="2:20" x14ac:dyDescent="0.25">
      <c r="B1245">
        <v>267499039</v>
      </c>
      <c r="C1245" t="s">
        <v>22654</v>
      </c>
      <c r="E1245">
        <v>213</v>
      </c>
      <c r="F1245">
        <v>92</v>
      </c>
      <c r="G1245">
        <v>146</v>
      </c>
      <c r="S1245" t="s">
        <v>8571</v>
      </c>
    </row>
    <row r="1246" spans="2:20" x14ac:dyDescent="0.25">
      <c r="B1246">
        <v>267499043</v>
      </c>
      <c r="C1246" t="s">
        <v>22655</v>
      </c>
      <c r="E1246">
        <v>240</v>
      </c>
      <c r="F1246">
        <v>213</v>
      </c>
      <c r="G1246">
        <v>225</v>
      </c>
      <c r="T1246" t="s">
        <v>8573</v>
      </c>
    </row>
    <row r="1247" spans="2:20" x14ac:dyDescent="0.25">
      <c r="B1247">
        <v>267499047</v>
      </c>
      <c r="C1247" t="s">
        <v>22656</v>
      </c>
      <c r="E1247">
        <v>213</v>
      </c>
      <c r="F1247">
        <v>92</v>
      </c>
      <c r="G1247">
        <v>146</v>
      </c>
      <c r="T1247" t="s">
        <v>8575</v>
      </c>
    </row>
    <row r="1248" spans="2:20" x14ac:dyDescent="0.25">
      <c r="B1248">
        <v>267499051</v>
      </c>
      <c r="C1248" t="s">
        <v>22657</v>
      </c>
      <c r="E1248">
        <v>214</v>
      </c>
      <c r="F1248">
        <v>112</v>
      </c>
      <c r="G1248">
        <v>160</v>
      </c>
      <c r="T1248" t="s">
        <v>8577</v>
      </c>
    </row>
    <row r="1249" spans="2:20" x14ac:dyDescent="0.25">
      <c r="B1249">
        <v>267499055</v>
      </c>
      <c r="C1249" t="s">
        <v>22658</v>
      </c>
      <c r="E1249">
        <v>213</v>
      </c>
      <c r="F1249">
        <v>92</v>
      </c>
      <c r="G1249">
        <v>146</v>
      </c>
      <c r="T1249" t="s">
        <v>8579</v>
      </c>
    </row>
    <row r="1250" spans="2:20" x14ac:dyDescent="0.25">
      <c r="B1250">
        <v>267499059</v>
      </c>
      <c r="C1250" t="s">
        <v>22659</v>
      </c>
      <c r="E1250">
        <v>214</v>
      </c>
      <c r="F1250">
        <v>112</v>
      </c>
      <c r="G1250">
        <v>160</v>
      </c>
      <c r="T1250" t="s">
        <v>8581</v>
      </c>
    </row>
    <row r="1251" spans="2:20" x14ac:dyDescent="0.25">
      <c r="B1251">
        <v>267499063</v>
      </c>
      <c r="C1251" t="s">
        <v>22660</v>
      </c>
      <c r="E1251">
        <v>213</v>
      </c>
      <c r="F1251">
        <v>92</v>
      </c>
      <c r="G1251">
        <v>146</v>
      </c>
      <c r="T1251" t="s">
        <v>8583</v>
      </c>
    </row>
    <row r="1252" spans="2:20" x14ac:dyDescent="0.25">
      <c r="B1252">
        <v>267499067</v>
      </c>
      <c r="C1252" t="s">
        <v>22661</v>
      </c>
      <c r="E1252">
        <v>200</v>
      </c>
      <c r="F1252">
        <v>83</v>
      </c>
      <c r="G1252">
        <v>139</v>
      </c>
      <c r="S1252" t="s">
        <v>22662</v>
      </c>
    </row>
    <row r="1253" spans="2:20" x14ac:dyDescent="0.25">
      <c r="B1253">
        <v>267499071</v>
      </c>
      <c r="C1253" t="s">
        <v>22663</v>
      </c>
      <c r="E1253">
        <v>240</v>
      </c>
      <c r="F1253">
        <v>213</v>
      </c>
      <c r="G1253">
        <v>225</v>
      </c>
      <c r="T1253" t="s">
        <v>8587</v>
      </c>
    </row>
    <row r="1254" spans="2:20" x14ac:dyDescent="0.25">
      <c r="B1254">
        <v>267499075</v>
      </c>
      <c r="C1254" t="s">
        <v>22664</v>
      </c>
      <c r="E1254">
        <v>200</v>
      </c>
      <c r="F1254">
        <v>83</v>
      </c>
      <c r="G1254">
        <v>139</v>
      </c>
      <c r="T1254" t="s">
        <v>8589</v>
      </c>
    </row>
    <row r="1255" spans="2:20" x14ac:dyDescent="0.25">
      <c r="B1255">
        <v>267499079</v>
      </c>
      <c r="C1255" t="s">
        <v>22665</v>
      </c>
      <c r="E1255">
        <v>213</v>
      </c>
      <c r="F1255">
        <v>92</v>
      </c>
      <c r="G1255">
        <v>146</v>
      </c>
      <c r="T1255" t="s">
        <v>8591</v>
      </c>
    </row>
    <row r="1256" spans="2:20" x14ac:dyDescent="0.25">
      <c r="B1256">
        <v>267499083</v>
      </c>
      <c r="C1256" t="s">
        <v>22666</v>
      </c>
      <c r="E1256">
        <v>200</v>
      </c>
      <c r="F1256">
        <v>83</v>
      </c>
      <c r="G1256">
        <v>139</v>
      </c>
      <c r="T1256" t="s">
        <v>8593</v>
      </c>
    </row>
    <row r="1257" spans="2:20" x14ac:dyDescent="0.25">
      <c r="B1257">
        <v>267499087</v>
      </c>
      <c r="C1257" t="s">
        <v>22667</v>
      </c>
      <c r="E1257">
        <v>213</v>
      </c>
      <c r="F1257">
        <v>92</v>
      </c>
      <c r="G1257">
        <v>146</v>
      </c>
      <c r="T1257" t="s">
        <v>8595</v>
      </c>
    </row>
    <row r="1258" spans="2:20" x14ac:dyDescent="0.25">
      <c r="B1258">
        <v>267499091</v>
      </c>
      <c r="C1258" t="s">
        <v>22668</v>
      </c>
      <c r="E1258">
        <v>200</v>
      </c>
      <c r="F1258">
        <v>83</v>
      </c>
      <c r="G1258">
        <v>139</v>
      </c>
      <c r="T1258" t="s">
        <v>8597</v>
      </c>
    </row>
    <row r="1259" spans="2:20" x14ac:dyDescent="0.25">
      <c r="B1259">
        <v>10268</v>
      </c>
      <c r="C1259" t="s">
        <v>22669</v>
      </c>
      <c r="E1259">
        <v>231</v>
      </c>
      <c r="F1259">
        <v>172</v>
      </c>
      <c r="G1259">
        <v>161</v>
      </c>
      <c r="R1259" t="s">
        <v>3374</v>
      </c>
    </row>
    <row r="1260" spans="2:20" x14ac:dyDescent="0.25">
      <c r="B1260">
        <v>13011</v>
      </c>
      <c r="C1260" t="s">
        <v>22670</v>
      </c>
      <c r="E1260">
        <v>209</v>
      </c>
      <c r="F1260">
        <v>77</v>
      </c>
      <c r="G1260">
        <v>70</v>
      </c>
      <c r="S1260" t="s">
        <v>7924</v>
      </c>
    </row>
    <row r="1261" spans="2:20" x14ac:dyDescent="0.25">
      <c r="B1261">
        <v>13012</v>
      </c>
      <c r="C1261" t="s">
        <v>22671</v>
      </c>
      <c r="E1261">
        <v>237</v>
      </c>
      <c r="F1261">
        <v>201</v>
      </c>
      <c r="G1261">
        <v>192</v>
      </c>
      <c r="T1261" t="s">
        <v>7926</v>
      </c>
    </row>
    <row r="1262" spans="2:20" x14ac:dyDescent="0.25">
      <c r="B1262">
        <v>13013</v>
      </c>
      <c r="C1262" t="s">
        <v>22672</v>
      </c>
      <c r="E1262">
        <v>209</v>
      </c>
      <c r="F1262">
        <v>77</v>
      </c>
      <c r="G1262">
        <v>70</v>
      </c>
      <c r="T1262" t="s">
        <v>7928</v>
      </c>
    </row>
    <row r="1263" spans="2:20" x14ac:dyDescent="0.25">
      <c r="B1263">
        <v>13014</v>
      </c>
      <c r="C1263" t="s">
        <v>22673</v>
      </c>
      <c r="E1263">
        <v>212</v>
      </c>
      <c r="F1263">
        <v>91</v>
      </c>
      <c r="G1263">
        <v>83</v>
      </c>
      <c r="T1263" t="s">
        <v>7930</v>
      </c>
    </row>
    <row r="1264" spans="2:20" x14ac:dyDescent="0.25">
      <c r="B1264">
        <v>13015</v>
      </c>
      <c r="C1264" t="s">
        <v>22674</v>
      </c>
      <c r="E1264">
        <v>209</v>
      </c>
      <c r="F1264">
        <v>77</v>
      </c>
      <c r="G1264">
        <v>70</v>
      </c>
      <c r="T1264" t="s">
        <v>7932</v>
      </c>
    </row>
    <row r="1265" spans="2:22" x14ac:dyDescent="0.25">
      <c r="B1265">
        <v>13016</v>
      </c>
      <c r="C1265" t="s">
        <v>22675</v>
      </c>
      <c r="E1265">
        <v>212</v>
      </c>
      <c r="F1265">
        <v>91</v>
      </c>
      <c r="G1265">
        <v>83</v>
      </c>
      <c r="T1265" t="s">
        <v>7934</v>
      </c>
    </row>
    <row r="1266" spans="2:22" x14ac:dyDescent="0.25">
      <c r="B1266">
        <v>13017</v>
      </c>
      <c r="C1266" t="s">
        <v>22676</v>
      </c>
      <c r="E1266">
        <v>209</v>
      </c>
      <c r="F1266">
        <v>77</v>
      </c>
      <c r="G1266">
        <v>70</v>
      </c>
      <c r="T1266" t="s">
        <v>7936</v>
      </c>
    </row>
    <row r="1267" spans="2:22" x14ac:dyDescent="0.25">
      <c r="B1267">
        <v>10269</v>
      </c>
      <c r="C1267" t="s">
        <v>22677</v>
      </c>
      <c r="E1267">
        <v>193</v>
      </c>
      <c r="F1267">
        <v>51</v>
      </c>
      <c r="G1267">
        <v>49</v>
      </c>
      <c r="S1267" t="s">
        <v>5277</v>
      </c>
    </row>
    <row r="1268" spans="2:22" x14ac:dyDescent="0.25">
      <c r="B1268">
        <v>11164</v>
      </c>
      <c r="C1268" t="s">
        <v>22678</v>
      </c>
      <c r="E1268">
        <v>237</v>
      </c>
      <c r="F1268">
        <v>201</v>
      </c>
      <c r="G1268">
        <v>192</v>
      </c>
      <c r="T1268" t="s">
        <v>6227</v>
      </c>
    </row>
    <row r="1269" spans="2:22" x14ac:dyDescent="0.25">
      <c r="B1269">
        <v>11165</v>
      </c>
      <c r="C1269" t="s">
        <v>22679</v>
      </c>
      <c r="E1269">
        <v>199</v>
      </c>
      <c r="F1269">
        <v>56</v>
      </c>
      <c r="G1269">
        <v>53</v>
      </c>
      <c r="T1269" t="s">
        <v>6229</v>
      </c>
    </row>
    <row r="1270" spans="2:22" x14ac:dyDescent="0.25">
      <c r="B1270">
        <v>11166</v>
      </c>
      <c r="C1270" t="s">
        <v>22680</v>
      </c>
      <c r="E1270">
        <v>206</v>
      </c>
      <c r="F1270">
        <v>61</v>
      </c>
      <c r="G1270">
        <v>57</v>
      </c>
      <c r="T1270" t="s">
        <v>6231</v>
      </c>
    </row>
    <row r="1271" spans="2:22" x14ac:dyDescent="0.25">
      <c r="B1271">
        <v>11167</v>
      </c>
      <c r="C1271" t="s">
        <v>22681</v>
      </c>
      <c r="E1271">
        <v>199</v>
      </c>
      <c r="F1271">
        <v>56</v>
      </c>
      <c r="G1271">
        <v>53</v>
      </c>
      <c r="T1271" t="s">
        <v>6233</v>
      </c>
    </row>
    <row r="1272" spans="2:22" x14ac:dyDescent="0.25">
      <c r="B1272">
        <v>11168</v>
      </c>
      <c r="C1272" t="s">
        <v>22682</v>
      </c>
      <c r="E1272">
        <v>199</v>
      </c>
      <c r="F1272">
        <v>56</v>
      </c>
      <c r="G1272">
        <v>53</v>
      </c>
      <c r="U1272" t="s">
        <v>6235</v>
      </c>
    </row>
    <row r="1273" spans="2:22" x14ac:dyDescent="0.25">
      <c r="B1273">
        <v>11169</v>
      </c>
      <c r="C1273" t="s">
        <v>22683</v>
      </c>
      <c r="E1273">
        <v>206</v>
      </c>
      <c r="F1273">
        <v>61</v>
      </c>
      <c r="G1273">
        <v>57</v>
      </c>
      <c r="U1273" t="s">
        <v>6237</v>
      </c>
    </row>
    <row r="1274" spans="2:22" x14ac:dyDescent="0.25">
      <c r="B1274">
        <v>11170</v>
      </c>
      <c r="C1274" t="s">
        <v>22684</v>
      </c>
      <c r="E1274">
        <v>199</v>
      </c>
      <c r="F1274">
        <v>56</v>
      </c>
      <c r="G1274">
        <v>53</v>
      </c>
      <c r="U1274" t="s">
        <v>6239</v>
      </c>
    </row>
    <row r="1275" spans="2:22" x14ac:dyDescent="0.25">
      <c r="B1275">
        <v>11171</v>
      </c>
      <c r="C1275" t="s">
        <v>22685</v>
      </c>
      <c r="E1275">
        <v>199</v>
      </c>
      <c r="F1275">
        <v>56</v>
      </c>
      <c r="G1275">
        <v>53</v>
      </c>
      <c r="V1275" t="s">
        <v>6241</v>
      </c>
    </row>
    <row r="1276" spans="2:22" x14ac:dyDescent="0.25">
      <c r="B1276">
        <v>11172</v>
      </c>
      <c r="C1276" t="s">
        <v>22686</v>
      </c>
      <c r="E1276">
        <v>186</v>
      </c>
      <c r="F1276">
        <v>46</v>
      </c>
      <c r="G1276">
        <v>46</v>
      </c>
      <c r="V1276" t="s">
        <v>6243</v>
      </c>
    </row>
    <row r="1277" spans="2:22" x14ac:dyDescent="0.25">
      <c r="B1277">
        <v>11173</v>
      </c>
      <c r="C1277" t="s">
        <v>22687</v>
      </c>
      <c r="E1277">
        <v>206</v>
      </c>
      <c r="F1277">
        <v>61</v>
      </c>
      <c r="G1277">
        <v>57</v>
      </c>
      <c r="T1277" t="s">
        <v>6245</v>
      </c>
    </row>
    <row r="1278" spans="2:22" x14ac:dyDescent="0.25">
      <c r="B1278">
        <v>11174</v>
      </c>
      <c r="C1278" t="s">
        <v>22688</v>
      </c>
      <c r="E1278">
        <v>186</v>
      </c>
      <c r="F1278">
        <v>46</v>
      </c>
      <c r="G1278">
        <v>46</v>
      </c>
      <c r="T1278" t="s">
        <v>6247</v>
      </c>
    </row>
    <row r="1279" spans="2:22" x14ac:dyDescent="0.25">
      <c r="B1279">
        <v>10270</v>
      </c>
      <c r="C1279" t="s">
        <v>22689</v>
      </c>
      <c r="E1279">
        <v>209</v>
      </c>
      <c r="F1279">
        <v>77</v>
      </c>
      <c r="G1279">
        <v>70</v>
      </c>
      <c r="S1279" t="s">
        <v>1802</v>
      </c>
    </row>
    <row r="1280" spans="2:22" x14ac:dyDescent="0.25">
      <c r="B1280">
        <v>146034690</v>
      </c>
      <c r="C1280" t="s">
        <v>22690</v>
      </c>
      <c r="E1280">
        <v>209</v>
      </c>
      <c r="F1280">
        <v>77</v>
      </c>
      <c r="G1280">
        <v>70</v>
      </c>
      <c r="T1280" t="s">
        <v>8201</v>
      </c>
    </row>
    <row r="1281" spans="2:22" x14ac:dyDescent="0.25">
      <c r="B1281">
        <v>10271</v>
      </c>
      <c r="C1281" t="s">
        <v>22691</v>
      </c>
      <c r="E1281">
        <v>209</v>
      </c>
      <c r="F1281">
        <v>77</v>
      </c>
      <c r="G1281">
        <v>70</v>
      </c>
      <c r="T1281" t="s">
        <v>26</v>
      </c>
    </row>
    <row r="1282" spans="2:22" x14ac:dyDescent="0.25">
      <c r="B1282">
        <v>11175</v>
      </c>
      <c r="C1282" t="s">
        <v>22692</v>
      </c>
      <c r="E1282">
        <v>237</v>
      </c>
      <c r="F1282">
        <v>201</v>
      </c>
      <c r="G1282">
        <v>192</v>
      </c>
      <c r="U1282" t="s">
        <v>6249</v>
      </c>
    </row>
    <row r="1283" spans="2:22" x14ac:dyDescent="0.25">
      <c r="B1283">
        <v>11176</v>
      </c>
      <c r="C1283" t="s">
        <v>22693</v>
      </c>
      <c r="E1283">
        <v>209</v>
      </c>
      <c r="F1283">
        <v>77</v>
      </c>
      <c r="G1283">
        <v>70</v>
      </c>
      <c r="U1283" t="s">
        <v>6251</v>
      </c>
    </row>
    <row r="1284" spans="2:22" x14ac:dyDescent="0.25">
      <c r="B1284">
        <v>11177</v>
      </c>
      <c r="C1284" t="s">
        <v>22694</v>
      </c>
      <c r="E1284">
        <v>212</v>
      </c>
      <c r="F1284">
        <v>91</v>
      </c>
      <c r="G1284">
        <v>83</v>
      </c>
      <c r="U1284" t="s">
        <v>6253</v>
      </c>
    </row>
    <row r="1285" spans="2:22" x14ac:dyDescent="0.25">
      <c r="B1285">
        <v>11178</v>
      </c>
      <c r="C1285" t="s">
        <v>22695</v>
      </c>
      <c r="E1285">
        <v>209</v>
      </c>
      <c r="F1285">
        <v>77</v>
      </c>
      <c r="G1285">
        <v>70</v>
      </c>
      <c r="U1285" t="s">
        <v>6255</v>
      </c>
    </row>
    <row r="1286" spans="2:22" x14ac:dyDescent="0.25">
      <c r="B1286">
        <v>11179</v>
      </c>
      <c r="C1286" t="s">
        <v>22696</v>
      </c>
      <c r="E1286">
        <v>212</v>
      </c>
      <c r="F1286">
        <v>91</v>
      </c>
      <c r="G1286">
        <v>83</v>
      </c>
      <c r="U1286" t="s">
        <v>6257</v>
      </c>
    </row>
    <row r="1287" spans="2:22" x14ac:dyDescent="0.25">
      <c r="B1287">
        <v>11180</v>
      </c>
      <c r="C1287" t="s">
        <v>22697</v>
      </c>
      <c r="E1287">
        <v>209</v>
      </c>
      <c r="F1287">
        <v>77</v>
      </c>
      <c r="G1287">
        <v>70</v>
      </c>
      <c r="U1287" t="s">
        <v>6259</v>
      </c>
    </row>
    <row r="1288" spans="2:22" x14ac:dyDescent="0.25">
      <c r="B1288">
        <v>10272</v>
      </c>
      <c r="C1288" t="s">
        <v>22698</v>
      </c>
      <c r="E1288">
        <v>209</v>
      </c>
      <c r="F1288">
        <v>77</v>
      </c>
      <c r="G1288">
        <v>70</v>
      </c>
      <c r="T1288" t="s">
        <v>5279</v>
      </c>
    </row>
    <row r="1289" spans="2:22" x14ac:dyDescent="0.25">
      <c r="B1289">
        <v>10273</v>
      </c>
      <c r="C1289" t="s">
        <v>20958</v>
      </c>
      <c r="E1289">
        <v>209</v>
      </c>
      <c r="F1289">
        <v>77</v>
      </c>
      <c r="G1289">
        <v>70</v>
      </c>
      <c r="U1289" t="s">
        <v>5281</v>
      </c>
    </row>
    <row r="1290" spans="2:22" x14ac:dyDescent="0.25">
      <c r="B1290">
        <v>11181</v>
      </c>
      <c r="C1290" t="s">
        <v>22699</v>
      </c>
      <c r="E1290">
        <v>237</v>
      </c>
      <c r="F1290">
        <v>201</v>
      </c>
      <c r="G1290">
        <v>192</v>
      </c>
      <c r="V1290" t="s">
        <v>6261</v>
      </c>
    </row>
    <row r="1291" spans="2:22" x14ac:dyDescent="0.25">
      <c r="B1291">
        <v>11182</v>
      </c>
      <c r="C1291" t="s">
        <v>22700</v>
      </c>
      <c r="E1291">
        <v>209</v>
      </c>
      <c r="F1291">
        <v>77</v>
      </c>
      <c r="G1291">
        <v>70</v>
      </c>
      <c r="V1291" t="s">
        <v>6263</v>
      </c>
    </row>
    <row r="1292" spans="2:22" x14ac:dyDescent="0.25">
      <c r="B1292">
        <v>11183</v>
      </c>
      <c r="C1292" t="s">
        <v>22701</v>
      </c>
      <c r="E1292">
        <v>212</v>
      </c>
      <c r="F1292">
        <v>91</v>
      </c>
      <c r="G1292">
        <v>83</v>
      </c>
      <c r="V1292" t="s">
        <v>6265</v>
      </c>
    </row>
    <row r="1293" spans="2:22" x14ac:dyDescent="0.25">
      <c r="B1293">
        <v>11184</v>
      </c>
      <c r="C1293" t="s">
        <v>22702</v>
      </c>
      <c r="E1293">
        <v>209</v>
      </c>
      <c r="F1293">
        <v>77</v>
      </c>
      <c r="G1293">
        <v>70</v>
      </c>
      <c r="V1293" t="s">
        <v>6267</v>
      </c>
    </row>
    <row r="1294" spans="2:22" x14ac:dyDescent="0.25">
      <c r="B1294">
        <v>11185</v>
      </c>
      <c r="C1294" t="s">
        <v>22703</v>
      </c>
      <c r="E1294">
        <v>212</v>
      </c>
      <c r="F1294">
        <v>91</v>
      </c>
      <c r="G1294">
        <v>83</v>
      </c>
      <c r="V1294" t="s">
        <v>6269</v>
      </c>
    </row>
    <row r="1295" spans="2:22" x14ac:dyDescent="0.25">
      <c r="B1295">
        <v>11186</v>
      </c>
      <c r="C1295" t="s">
        <v>22704</v>
      </c>
      <c r="E1295">
        <v>209</v>
      </c>
      <c r="F1295">
        <v>77</v>
      </c>
      <c r="G1295">
        <v>70</v>
      </c>
      <c r="V1295" t="s">
        <v>6271</v>
      </c>
    </row>
    <row r="1296" spans="2:22" x14ac:dyDescent="0.25">
      <c r="B1296">
        <v>10274</v>
      </c>
      <c r="C1296" t="s">
        <v>19884</v>
      </c>
      <c r="E1296">
        <v>209</v>
      </c>
      <c r="F1296">
        <v>77</v>
      </c>
      <c r="G1296">
        <v>70</v>
      </c>
      <c r="U1296" t="s">
        <v>5283</v>
      </c>
    </row>
    <row r="1297" spans="2:22" x14ac:dyDescent="0.25">
      <c r="B1297">
        <v>11187</v>
      </c>
      <c r="C1297" t="s">
        <v>22705</v>
      </c>
      <c r="E1297">
        <v>237</v>
      </c>
      <c r="F1297">
        <v>201</v>
      </c>
      <c r="G1297">
        <v>192</v>
      </c>
      <c r="V1297" t="s">
        <v>6273</v>
      </c>
    </row>
    <row r="1298" spans="2:22" x14ac:dyDescent="0.25">
      <c r="B1298">
        <v>11188</v>
      </c>
      <c r="C1298" t="s">
        <v>22706</v>
      </c>
      <c r="E1298">
        <v>209</v>
      </c>
      <c r="F1298">
        <v>77</v>
      </c>
      <c r="G1298">
        <v>70</v>
      </c>
      <c r="V1298" t="s">
        <v>6275</v>
      </c>
    </row>
    <row r="1299" spans="2:22" x14ac:dyDescent="0.25">
      <c r="B1299">
        <v>11189</v>
      </c>
      <c r="C1299" t="s">
        <v>22707</v>
      </c>
      <c r="E1299">
        <v>212</v>
      </c>
      <c r="F1299">
        <v>91</v>
      </c>
      <c r="G1299">
        <v>83</v>
      </c>
      <c r="V1299" t="s">
        <v>6277</v>
      </c>
    </row>
    <row r="1300" spans="2:22" x14ac:dyDescent="0.25">
      <c r="B1300">
        <v>11190</v>
      </c>
      <c r="C1300" t="s">
        <v>22708</v>
      </c>
      <c r="E1300">
        <v>209</v>
      </c>
      <c r="F1300">
        <v>77</v>
      </c>
      <c r="G1300">
        <v>70</v>
      </c>
      <c r="V1300" t="s">
        <v>6279</v>
      </c>
    </row>
    <row r="1301" spans="2:22" x14ac:dyDescent="0.25">
      <c r="B1301">
        <v>11191</v>
      </c>
      <c r="C1301" t="s">
        <v>22709</v>
      </c>
      <c r="E1301">
        <v>212</v>
      </c>
      <c r="F1301">
        <v>91</v>
      </c>
      <c r="G1301">
        <v>83</v>
      </c>
      <c r="V1301" t="s">
        <v>6281</v>
      </c>
    </row>
    <row r="1302" spans="2:22" x14ac:dyDescent="0.25">
      <c r="B1302">
        <v>11192</v>
      </c>
      <c r="C1302" t="s">
        <v>22710</v>
      </c>
      <c r="E1302">
        <v>209</v>
      </c>
      <c r="F1302">
        <v>77</v>
      </c>
      <c r="G1302">
        <v>70</v>
      </c>
      <c r="V1302" t="s">
        <v>6283</v>
      </c>
    </row>
    <row r="1303" spans="2:22" x14ac:dyDescent="0.25">
      <c r="B1303">
        <v>10275</v>
      </c>
      <c r="C1303" t="s">
        <v>22711</v>
      </c>
      <c r="E1303">
        <v>209</v>
      </c>
      <c r="F1303">
        <v>77</v>
      </c>
      <c r="G1303">
        <v>70</v>
      </c>
      <c r="U1303" t="s">
        <v>5285</v>
      </c>
    </row>
    <row r="1304" spans="2:22" x14ac:dyDescent="0.25">
      <c r="B1304">
        <v>11193</v>
      </c>
      <c r="C1304" t="s">
        <v>22712</v>
      </c>
      <c r="E1304">
        <v>237</v>
      </c>
      <c r="F1304">
        <v>201</v>
      </c>
      <c r="G1304">
        <v>192</v>
      </c>
      <c r="V1304" t="s">
        <v>6285</v>
      </c>
    </row>
    <row r="1305" spans="2:22" x14ac:dyDescent="0.25">
      <c r="B1305">
        <v>11194</v>
      </c>
      <c r="C1305" t="s">
        <v>22713</v>
      </c>
      <c r="E1305">
        <v>209</v>
      </c>
      <c r="F1305">
        <v>77</v>
      </c>
      <c r="G1305">
        <v>70</v>
      </c>
      <c r="V1305" t="s">
        <v>6287</v>
      </c>
    </row>
    <row r="1306" spans="2:22" x14ac:dyDescent="0.25">
      <c r="B1306">
        <v>11195</v>
      </c>
      <c r="C1306" t="s">
        <v>22714</v>
      </c>
      <c r="E1306">
        <v>212</v>
      </c>
      <c r="F1306">
        <v>91</v>
      </c>
      <c r="G1306">
        <v>83</v>
      </c>
      <c r="V1306" t="s">
        <v>6289</v>
      </c>
    </row>
    <row r="1307" spans="2:22" x14ac:dyDescent="0.25">
      <c r="B1307">
        <v>11196</v>
      </c>
      <c r="C1307" t="s">
        <v>22715</v>
      </c>
      <c r="E1307">
        <v>209</v>
      </c>
      <c r="F1307">
        <v>77</v>
      </c>
      <c r="G1307">
        <v>70</v>
      </c>
      <c r="V1307" t="s">
        <v>6291</v>
      </c>
    </row>
    <row r="1308" spans="2:22" x14ac:dyDescent="0.25">
      <c r="B1308">
        <v>11197</v>
      </c>
      <c r="C1308" t="s">
        <v>22716</v>
      </c>
      <c r="E1308">
        <v>212</v>
      </c>
      <c r="F1308">
        <v>91</v>
      </c>
      <c r="G1308">
        <v>83</v>
      </c>
      <c r="V1308" t="s">
        <v>6293</v>
      </c>
    </row>
    <row r="1309" spans="2:22" x14ac:dyDescent="0.25">
      <c r="B1309">
        <v>11198</v>
      </c>
      <c r="C1309" t="s">
        <v>22717</v>
      </c>
      <c r="E1309">
        <v>209</v>
      </c>
      <c r="F1309">
        <v>77</v>
      </c>
      <c r="G1309">
        <v>70</v>
      </c>
      <c r="V1309" t="s">
        <v>6295</v>
      </c>
    </row>
    <row r="1310" spans="2:22" x14ac:dyDescent="0.25">
      <c r="B1310">
        <v>10276</v>
      </c>
      <c r="C1310" t="s">
        <v>20960</v>
      </c>
      <c r="E1310">
        <v>209</v>
      </c>
      <c r="F1310">
        <v>77</v>
      </c>
      <c r="G1310">
        <v>70</v>
      </c>
      <c r="U1310" t="s">
        <v>5287</v>
      </c>
    </row>
    <row r="1311" spans="2:22" x14ac:dyDescent="0.25">
      <c r="B1311">
        <v>11199</v>
      </c>
      <c r="C1311" t="s">
        <v>22718</v>
      </c>
      <c r="E1311">
        <v>237</v>
      </c>
      <c r="F1311">
        <v>201</v>
      </c>
      <c r="G1311">
        <v>192</v>
      </c>
      <c r="V1311" t="s">
        <v>6297</v>
      </c>
    </row>
    <row r="1312" spans="2:22" x14ac:dyDescent="0.25">
      <c r="B1312">
        <v>11200</v>
      </c>
      <c r="C1312" t="s">
        <v>22719</v>
      </c>
      <c r="E1312">
        <v>209</v>
      </c>
      <c r="F1312">
        <v>77</v>
      </c>
      <c r="G1312">
        <v>70</v>
      </c>
      <c r="V1312" t="s">
        <v>6299</v>
      </c>
    </row>
    <row r="1313" spans="2:22" x14ac:dyDescent="0.25">
      <c r="B1313">
        <v>11201</v>
      </c>
      <c r="C1313" t="s">
        <v>22720</v>
      </c>
      <c r="E1313">
        <v>212</v>
      </c>
      <c r="F1313">
        <v>91</v>
      </c>
      <c r="G1313">
        <v>83</v>
      </c>
      <c r="V1313" t="s">
        <v>6301</v>
      </c>
    </row>
    <row r="1314" spans="2:22" x14ac:dyDescent="0.25">
      <c r="B1314">
        <v>11202</v>
      </c>
      <c r="C1314" t="s">
        <v>22721</v>
      </c>
      <c r="E1314">
        <v>209</v>
      </c>
      <c r="F1314">
        <v>77</v>
      </c>
      <c r="G1314">
        <v>70</v>
      </c>
      <c r="V1314" t="s">
        <v>6303</v>
      </c>
    </row>
    <row r="1315" spans="2:22" x14ac:dyDescent="0.25">
      <c r="B1315">
        <v>11203</v>
      </c>
      <c r="C1315" t="s">
        <v>22722</v>
      </c>
      <c r="E1315">
        <v>212</v>
      </c>
      <c r="F1315">
        <v>91</v>
      </c>
      <c r="G1315">
        <v>83</v>
      </c>
      <c r="V1315" t="s">
        <v>6305</v>
      </c>
    </row>
    <row r="1316" spans="2:22" x14ac:dyDescent="0.25">
      <c r="B1316">
        <v>11204</v>
      </c>
      <c r="C1316" t="s">
        <v>22723</v>
      </c>
      <c r="E1316">
        <v>209</v>
      </c>
      <c r="F1316">
        <v>77</v>
      </c>
      <c r="G1316">
        <v>70</v>
      </c>
      <c r="V1316" t="s">
        <v>6307</v>
      </c>
    </row>
    <row r="1317" spans="2:22" x14ac:dyDescent="0.25">
      <c r="B1317">
        <v>267499095</v>
      </c>
      <c r="C1317" t="s">
        <v>22724</v>
      </c>
      <c r="E1317">
        <v>209</v>
      </c>
      <c r="F1317">
        <v>77</v>
      </c>
      <c r="G1317">
        <v>70</v>
      </c>
      <c r="U1317" t="s">
        <v>22725</v>
      </c>
    </row>
    <row r="1318" spans="2:22" x14ac:dyDescent="0.25">
      <c r="B1318">
        <v>267499099</v>
      </c>
      <c r="C1318" t="s">
        <v>22726</v>
      </c>
      <c r="E1318">
        <v>237</v>
      </c>
      <c r="F1318">
        <v>201</v>
      </c>
      <c r="G1318">
        <v>192</v>
      </c>
      <c r="V1318" t="s">
        <v>8601</v>
      </c>
    </row>
    <row r="1319" spans="2:22" x14ac:dyDescent="0.25">
      <c r="B1319">
        <v>267499103</v>
      </c>
      <c r="C1319" t="s">
        <v>22727</v>
      </c>
      <c r="E1319">
        <v>209</v>
      </c>
      <c r="F1319">
        <v>77</v>
      </c>
      <c r="G1319">
        <v>70</v>
      </c>
      <c r="V1319" t="s">
        <v>8603</v>
      </c>
    </row>
    <row r="1320" spans="2:22" x14ac:dyDescent="0.25">
      <c r="B1320">
        <v>267499107</v>
      </c>
      <c r="C1320" t="s">
        <v>22728</v>
      </c>
      <c r="E1320">
        <v>212</v>
      </c>
      <c r="F1320">
        <v>91</v>
      </c>
      <c r="G1320">
        <v>83</v>
      </c>
      <c r="V1320" t="s">
        <v>8605</v>
      </c>
    </row>
    <row r="1321" spans="2:22" x14ac:dyDescent="0.25">
      <c r="B1321">
        <v>267499111</v>
      </c>
      <c r="C1321" t="s">
        <v>22729</v>
      </c>
      <c r="E1321">
        <v>209</v>
      </c>
      <c r="F1321">
        <v>77</v>
      </c>
      <c r="G1321">
        <v>70</v>
      </c>
      <c r="V1321" t="s">
        <v>8607</v>
      </c>
    </row>
    <row r="1322" spans="2:22" x14ac:dyDescent="0.25">
      <c r="B1322">
        <v>267499115</v>
      </c>
      <c r="C1322" t="s">
        <v>22730</v>
      </c>
      <c r="E1322">
        <v>212</v>
      </c>
      <c r="F1322">
        <v>91</v>
      </c>
      <c r="G1322">
        <v>83</v>
      </c>
      <c r="V1322" t="s">
        <v>8609</v>
      </c>
    </row>
    <row r="1323" spans="2:22" x14ac:dyDescent="0.25">
      <c r="B1323">
        <v>267499119</v>
      </c>
      <c r="C1323" t="s">
        <v>22731</v>
      </c>
      <c r="E1323">
        <v>209</v>
      </c>
      <c r="F1323">
        <v>77</v>
      </c>
      <c r="G1323">
        <v>70</v>
      </c>
      <c r="V1323" t="s">
        <v>8611</v>
      </c>
    </row>
    <row r="1324" spans="2:22" x14ac:dyDescent="0.25">
      <c r="B1324">
        <v>267499123</v>
      </c>
      <c r="C1324" t="s">
        <v>22732</v>
      </c>
      <c r="E1324">
        <v>209</v>
      </c>
      <c r="F1324">
        <v>77</v>
      </c>
      <c r="G1324">
        <v>70</v>
      </c>
      <c r="U1324" t="s">
        <v>22733</v>
      </c>
    </row>
    <row r="1325" spans="2:22" x14ac:dyDescent="0.25">
      <c r="B1325">
        <v>267499127</v>
      </c>
      <c r="C1325" t="s">
        <v>22734</v>
      </c>
      <c r="E1325">
        <v>237</v>
      </c>
      <c r="F1325">
        <v>201</v>
      </c>
      <c r="G1325">
        <v>192</v>
      </c>
      <c r="V1325" t="s">
        <v>8615</v>
      </c>
    </row>
    <row r="1326" spans="2:22" x14ac:dyDescent="0.25">
      <c r="B1326">
        <v>267499131</v>
      </c>
      <c r="C1326" t="s">
        <v>22735</v>
      </c>
      <c r="E1326">
        <v>209</v>
      </c>
      <c r="F1326">
        <v>77</v>
      </c>
      <c r="G1326">
        <v>70</v>
      </c>
      <c r="V1326" t="s">
        <v>8617</v>
      </c>
    </row>
    <row r="1327" spans="2:22" x14ac:dyDescent="0.25">
      <c r="B1327">
        <v>267499135</v>
      </c>
      <c r="C1327" t="s">
        <v>22736</v>
      </c>
      <c r="E1327">
        <v>212</v>
      </c>
      <c r="F1327">
        <v>91</v>
      </c>
      <c r="G1327">
        <v>83</v>
      </c>
      <c r="V1327" t="s">
        <v>8619</v>
      </c>
    </row>
    <row r="1328" spans="2:22" x14ac:dyDescent="0.25">
      <c r="B1328">
        <v>267499139</v>
      </c>
      <c r="C1328" t="s">
        <v>22737</v>
      </c>
      <c r="E1328">
        <v>209</v>
      </c>
      <c r="F1328">
        <v>77</v>
      </c>
      <c r="G1328">
        <v>70</v>
      </c>
      <c r="V1328" t="s">
        <v>8621</v>
      </c>
    </row>
    <row r="1329" spans="2:22" x14ac:dyDescent="0.25">
      <c r="B1329">
        <v>267499143</v>
      </c>
      <c r="C1329" t="s">
        <v>22738</v>
      </c>
      <c r="E1329">
        <v>212</v>
      </c>
      <c r="F1329">
        <v>91</v>
      </c>
      <c r="G1329">
        <v>83</v>
      </c>
      <c r="V1329" t="s">
        <v>8623</v>
      </c>
    </row>
    <row r="1330" spans="2:22" x14ac:dyDescent="0.25">
      <c r="B1330">
        <v>267499147</v>
      </c>
      <c r="C1330" t="s">
        <v>22739</v>
      </c>
      <c r="E1330">
        <v>209</v>
      </c>
      <c r="F1330">
        <v>77</v>
      </c>
      <c r="G1330">
        <v>70</v>
      </c>
      <c r="V1330" t="s">
        <v>8625</v>
      </c>
    </row>
    <row r="1331" spans="2:22" x14ac:dyDescent="0.25">
      <c r="B1331">
        <v>267499151</v>
      </c>
      <c r="C1331" t="s">
        <v>22740</v>
      </c>
      <c r="E1331">
        <v>209</v>
      </c>
      <c r="F1331">
        <v>77</v>
      </c>
      <c r="G1331">
        <v>70</v>
      </c>
      <c r="U1331" t="s">
        <v>8627</v>
      </c>
    </row>
    <row r="1332" spans="2:22" x14ac:dyDescent="0.25">
      <c r="B1332">
        <v>267499155</v>
      </c>
      <c r="C1332" t="s">
        <v>22741</v>
      </c>
      <c r="E1332">
        <v>237</v>
      </c>
      <c r="F1332">
        <v>201</v>
      </c>
      <c r="G1332">
        <v>192</v>
      </c>
      <c r="V1332" t="s">
        <v>8629</v>
      </c>
    </row>
    <row r="1333" spans="2:22" x14ac:dyDescent="0.25">
      <c r="B1333">
        <v>267499159</v>
      </c>
      <c r="C1333" t="s">
        <v>22742</v>
      </c>
      <c r="E1333">
        <v>209</v>
      </c>
      <c r="F1333">
        <v>77</v>
      </c>
      <c r="G1333">
        <v>70</v>
      </c>
      <c r="V1333" t="s">
        <v>8631</v>
      </c>
    </row>
    <row r="1334" spans="2:22" x14ac:dyDescent="0.25">
      <c r="B1334">
        <v>267499163</v>
      </c>
      <c r="C1334" t="s">
        <v>22743</v>
      </c>
      <c r="E1334">
        <v>212</v>
      </c>
      <c r="F1334">
        <v>91</v>
      </c>
      <c r="G1334">
        <v>83</v>
      </c>
      <c r="V1334" t="s">
        <v>8633</v>
      </c>
    </row>
    <row r="1335" spans="2:22" x14ac:dyDescent="0.25">
      <c r="B1335">
        <v>267499167</v>
      </c>
      <c r="C1335" t="s">
        <v>22744</v>
      </c>
      <c r="E1335">
        <v>209</v>
      </c>
      <c r="F1335">
        <v>77</v>
      </c>
      <c r="G1335">
        <v>70</v>
      </c>
      <c r="V1335" t="s">
        <v>8635</v>
      </c>
    </row>
    <row r="1336" spans="2:22" x14ac:dyDescent="0.25">
      <c r="B1336">
        <v>267499171</v>
      </c>
      <c r="C1336" t="s">
        <v>22745</v>
      </c>
      <c r="E1336">
        <v>212</v>
      </c>
      <c r="F1336">
        <v>91</v>
      </c>
      <c r="G1336">
        <v>83</v>
      </c>
      <c r="V1336" t="s">
        <v>8637</v>
      </c>
    </row>
    <row r="1337" spans="2:22" x14ac:dyDescent="0.25">
      <c r="B1337">
        <v>267499175</v>
      </c>
      <c r="C1337" t="s">
        <v>22746</v>
      </c>
      <c r="E1337">
        <v>209</v>
      </c>
      <c r="F1337">
        <v>77</v>
      </c>
      <c r="G1337">
        <v>70</v>
      </c>
      <c r="V1337" t="s">
        <v>8639</v>
      </c>
    </row>
    <row r="1338" spans="2:22" x14ac:dyDescent="0.25">
      <c r="B1338">
        <v>267499179</v>
      </c>
      <c r="C1338" t="s">
        <v>22747</v>
      </c>
      <c r="E1338">
        <v>209</v>
      </c>
      <c r="F1338">
        <v>77</v>
      </c>
      <c r="G1338">
        <v>70</v>
      </c>
      <c r="U1338" t="s">
        <v>22748</v>
      </c>
    </row>
    <row r="1339" spans="2:22" x14ac:dyDescent="0.25">
      <c r="B1339">
        <v>267499183</v>
      </c>
      <c r="C1339" t="s">
        <v>22749</v>
      </c>
      <c r="E1339">
        <v>237</v>
      </c>
      <c r="F1339">
        <v>201</v>
      </c>
      <c r="G1339">
        <v>192</v>
      </c>
      <c r="V1339" t="s">
        <v>8643</v>
      </c>
    </row>
    <row r="1340" spans="2:22" x14ac:dyDescent="0.25">
      <c r="B1340">
        <v>267499187</v>
      </c>
      <c r="C1340" t="s">
        <v>22750</v>
      </c>
      <c r="E1340">
        <v>209</v>
      </c>
      <c r="F1340">
        <v>77</v>
      </c>
      <c r="G1340">
        <v>70</v>
      </c>
      <c r="V1340" t="s">
        <v>8645</v>
      </c>
    </row>
    <row r="1341" spans="2:22" x14ac:dyDescent="0.25">
      <c r="B1341">
        <v>267499191</v>
      </c>
      <c r="C1341" t="s">
        <v>22751</v>
      </c>
      <c r="E1341">
        <v>212</v>
      </c>
      <c r="F1341">
        <v>91</v>
      </c>
      <c r="G1341">
        <v>83</v>
      </c>
      <c r="V1341" t="s">
        <v>8647</v>
      </c>
    </row>
    <row r="1342" spans="2:22" x14ac:dyDescent="0.25">
      <c r="B1342">
        <v>267499195</v>
      </c>
      <c r="C1342" t="s">
        <v>22752</v>
      </c>
      <c r="E1342">
        <v>209</v>
      </c>
      <c r="F1342">
        <v>77</v>
      </c>
      <c r="G1342">
        <v>70</v>
      </c>
      <c r="V1342" t="s">
        <v>8649</v>
      </c>
    </row>
    <row r="1343" spans="2:22" x14ac:dyDescent="0.25">
      <c r="B1343">
        <v>267499199</v>
      </c>
      <c r="C1343" t="s">
        <v>22753</v>
      </c>
      <c r="E1343">
        <v>212</v>
      </c>
      <c r="F1343">
        <v>91</v>
      </c>
      <c r="G1343">
        <v>83</v>
      </c>
      <c r="V1343" t="s">
        <v>8651</v>
      </c>
    </row>
    <row r="1344" spans="2:22" x14ac:dyDescent="0.25">
      <c r="B1344">
        <v>267499203</v>
      </c>
      <c r="C1344" t="s">
        <v>22754</v>
      </c>
      <c r="E1344">
        <v>209</v>
      </c>
      <c r="F1344">
        <v>77</v>
      </c>
      <c r="G1344">
        <v>70</v>
      </c>
      <c r="V1344" t="s">
        <v>8653</v>
      </c>
    </row>
    <row r="1345" spans="2:21" x14ac:dyDescent="0.25">
      <c r="B1345">
        <v>10288</v>
      </c>
      <c r="C1345" t="s">
        <v>22755</v>
      </c>
      <c r="E1345">
        <v>229</v>
      </c>
      <c r="F1345">
        <v>171</v>
      </c>
      <c r="G1345">
        <v>154</v>
      </c>
      <c r="R1345" t="s">
        <v>2438</v>
      </c>
    </row>
    <row r="1346" spans="2:21" x14ac:dyDescent="0.25">
      <c r="B1346">
        <v>10289</v>
      </c>
      <c r="C1346" t="s">
        <v>22756</v>
      </c>
      <c r="E1346">
        <v>209</v>
      </c>
      <c r="F1346">
        <v>97</v>
      </c>
      <c r="G1346">
        <v>70</v>
      </c>
      <c r="S1346" t="s">
        <v>216</v>
      </c>
    </row>
    <row r="1347" spans="2:21" x14ac:dyDescent="0.25">
      <c r="B1347">
        <v>15513</v>
      </c>
      <c r="C1347" t="s">
        <v>22757</v>
      </c>
      <c r="E1347">
        <v>209</v>
      </c>
      <c r="F1347">
        <v>97</v>
      </c>
      <c r="G1347">
        <v>70</v>
      </c>
      <c r="T1347" t="s">
        <v>8291</v>
      </c>
    </row>
    <row r="1348" spans="2:21" x14ac:dyDescent="0.25">
      <c r="B1348">
        <v>11253</v>
      </c>
      <c r="C1348" t="s">
        <v>22758</v>
      </c>
      <c r="E1348">
        <v>234</v>
      </c>
      <c r="F1348">
        <v>191</v>
      </c>
      <c r="G1348">
        <v>176</v>
      </c>
      <c r="U1348" t="s">
        <v>6391</v>
      </c>
    </row>
    <row r="1349" spans="2:21" x14ac:dyDescent="0.25">
      <c r="B1349">
        <v>11254</v>
      </c>
      <c r="C1349" t="s">
        <v>22759</v>
      </c>
      <c r="E1349">
        <v>209</v>
      </c>
      <c r="F1349">
        <v>97</v>
      </c>
      <c r="G1349">
        <v>70</v>
      </c>
      <c r="U1349" t="s">
        <v>6393</v>
      </c>
    </row>
    <row r="1350" spans="2:21" x14ac:dyDescent="0.25">
      <c r="B1350">
        <v>11255</v>
      </c>
      <c r="C1350" t="s">
        <v>22760</v>
      </c>
      <c r="E1350">
        <v>212</v>
      </c>
      <c r="F1350">
        <v>112</v>
      </c>
      <c r="G1350">
        <v>86</v>
      </c>
      <c r="U1350" t="s">
        <v>6395</v>
      </c>
    </row>
    <row r="1351" spans="2:21" x14ac:dyDescent="0.25">
      <c r="B1351">
        <v>11256</v>
      </c>
      <c r="C1351" t="s">
        <v>22761</v>
      </c>
      <c r="E1351">
        <v>209</v>
      </c>
      <c r="F1351">
        <v>97</v>
      </c>
      <c r="G1351">
        <v>70</v>
      </c>
      <c r="U1351" t="s">
        <v>6397</v>
      </c>
    </row>
    <row r="1352" spans="2:21" x14ac:dyDescent="0.25">
      <c r="B1352">
        <v>11257</v>
      </c>
      <c r="C1352" t="s">
        <v>22762</v>
      </c>
      <c r="E1352">
        <v>212</v>
      </c>
      <c r="F1352">
        <v>112</v>
      </c>
      <c r="G1352">
        <v>86</v>
      </c>
      <c r="U1352" t="s">
        <v>6399</v>
      </c>
    </row>
    <row r="1353" spans="2:21" x14ac:dyDescent="0.25">
      <c r="B1353">
        <v>11258</v>
      </c>
      <c r="C1353" t="s">
        <v>22763</v>
      </c>
      <c r="E1353">
        <v>209</v>
      </c>
      <c r="F1353">
        <v>97</v>
      </c>
      <c r="G1353">
        <v>70</v>
      </c>
      <c r="U1353" t="s">
        <v>6401</v>
      </c>
    </row>
    <row r="1354" spans="2:21" x14ac:dyDescent="0.25">
      <c r="B1354">
        <v>15514</v>
      </c>
      <c r="C1354" t="s">
        <v>22764</v>
      </c>
      <c r="E1354">
        <v>209</v>
      </c>
      <c r="F1354">
        <v>97</v>
      </c>
      <c r="G1354">
        <v>70</v>
      </c>
      <c r="T1354" t="s">
        <v>8293</v>
      </c>
    </row>
    <row r="1355" spans="2:21" x14ac:dyDescent="0.25">
      <c r="B1355">
        <v>15515</v>
      </c>
      <c r="C1355" t="s">
        <v>22765</v>
      </c>
      <c r="E1355">
        <v>234</v>
      </c>
      <c r="F1355">
        <v>191</v>
      </c>
      <c r="G1355">
        <v>176</v>
      </c>
      <c r="U1355" t="s">
        <v>8295</v>
      </c>
    </row>
    <row r="1356" spans="2:21" x14ac:dyDescent="0.25">
      <c r="B1356">
        <v>15516</v>
      </c>
      <c r="C1356" t="s">
        <v>22766</v>
      </c>
      <c r="E1356">
        <v>209</v>
      </c>
      <c r="F1356">
        <v>97</v>
      </c>
      <c r="G1356">
        <v>70</v>
      </c>
      <c r="U1356" t="s">
        <v>8297</v>
      </c>
    </row>
    <row r="1357" spans="2:21" x14ac:dyDescent="0.25">
      <c r="B1357">
        <v>15517</v>
      </c>
      <c r="C1357" t="s">
        <v>22767</v>
      </c>
      <c r="E1357">
        <v>212</v>
      </c>
      <c r="F1357">
        <v>112</v>
      </c>
      <c r="G1357">
        <v>86</v>
      </c>
      <c r="U1357" t="s">
        <v>8299</v>
      </c>
    </row>
    <row r="1358" spans="2:21" x14ac:dyDescent="0.25">
      <c r="B1358">
        <v>15518</v>
      </c>
      <c r="C1358" t="s">
        <v>22768</v>
      </c>
      <c r="E1358">
        <v>209</v>
      </c>
      <c r="F1358">
        <v>97</v>
      </c>
      <c r="G1358">
        <v>70</v>
      </c>
      <c r="U1358" t="s">
        <v>8301</v>
      </c>
    </row>
    <row r="1359" spans="2:21" x14ac:dyDescent="0.25">
      <c r="B1359">
        <v>15519</v>
      </c>
      <c r="C1359" t="s">
        <v>22769</v>
      </c>
      <c r="E1359">
        <v>212</v>
      </c>
      <c r="F1359">
        <v>112</v>
      </c>
      <c r="G1359">
        <v>86</v>
      </c>
      <c r="U1359" t="s">
        <v>8303</v>
      </c>
    </row>
    <row r="1360" spans="2:21" x14ac:dyDescent="0.25">
      <c r="B1360">
        <v>15520</v>
      </c>
      <c r="C1360" t="s">
        <v>22770</v>
      </c>
      <c r="E1360">
        <v>209</v>
      </c>
      <c r="F1360">
        <v>97</v>
      </c>
      <c r="G1360">
        <v>70</v>
      </c>
      <c r="U1360" t="s">
        <v>8305</v>
      </c>
    </row>
    <row r="1361" spans="2:21" x14ac:dyDescent="0.25">
      <c r="B1361">
        <v>10290</v>
      </c>
      <c r="C1361" t="s">
        <v>22771</v>
      </c>
      <c r="E1361">
        <v>196</v>
      </c>
      <c r="F1361">
        <v>85</v>
      </c>
      <c r="G1361">
        <v>57</v>
      </c>
      <c r="S1361" t="s">
        <v>2103</v>
      </c>
    </row>
    <row r="1362" spans="2:21" x14ac:dyDescent="0.25">
      <c r="B1362">
        <v>15521</v>
      </c>
      <c r="C1362" t="s">
        <v>22772</v>
      </c>
      <c r="E1362">
        <v>196</v>
      </c>
      <c r="F1362">
        <v>85</v>
      </c>
      <c r="G1362">
        <v>57</v>
      </c>
      <c r="T1362" t="s">
        <v>8307</v>
      </c>
    </row>
    <row r="1363" spans="2:21" x14ac:dyDescent="0.25">
      <c r="B1363">
        <v>11259</v>
      </c>
      <c r="C1363" t="s">
        <v>22773</v>
      </c>
      <c r="E1363">
        <v>234</v>
      </c>
      <c r="F1363">
        <v>191</v>
      </c>
      <c r="G1363">
        <v>176</v>
      </c>
      <c r="U1363" t="s">
        <v>6403</v>
      </c>
    </row>
    <row r="1364" spans="2:21" x14ac:dyDescent="0.25">
      <c r="B1364">
        <v>11260</v>
      </c>
      <c r="C1364" t="s">
        <v>22774</v>
      </c>
      <c r="E1364">
        <v>196</v>
      </c>
      <c r="F1364">
        <v>85</v>
      </c>
      <c r="G1364">
        <v>57</v>
      </c>
      <c r="U1364" t="s">
        <v>6405</v>
      </c>
    </row>
    <row r="1365" spans="2:21" x14ac:dyDescent="0.25">
      <c r="B1365">
        <v>11261</v>
      </c>
      <c r="C1365" t="s">
        <v>22775</v>
      </c>
      <c r="E1365">
        <v>202</v>
      </c>
      <c r="F1365">
        <v>91</v>
      </c>
      <c r="G1365">
        <v>63</v>
      </c>
      <c r="U1365" t="s">
        <v>6407</v>
      </c>
    </row>
    <row r="1366" spans="2:21" x14ac:dyDescent="0.25">
      <c r="B1366">
        <v>11262</v>
      </c>
      <c r="C1366" t="s">
        <v>22776</v>
      </c>
      <c r="E1366">
        <v>196</v>
      </c>
      <c r="F1366">
        <v>85</v>
      </c>
      <c r="G1366">
        <v>57</v>
      </c>
      <c r="U1366" t="s">
        <v>6409</v>
      </c>
    </row>
    <row r="1367" spans="2:21" x14ac:dyDescent="0.25">
      <c r="B1367">
        <v>11263</v>
      </c>
      <c r="C1367" t="s">
        <v>22777</v>
      </c>
      <c r="E1367">
        <v>202</v>
      </c>
      <c r="F1367">
        <v>91</v>
      </c>
      <c r="G1367">
        <v>63</v>
      </c>
      <c r="U1367" t="s">
        <v>6411</v>
      </c>
    </row>
    <row r="1368" spans="2:21" x14ac:dyDescent="0.25">
      <c r="B1368">
        <v>11264</v>
      </c>
      <c r="C1368" t="s">
        <v>22778</v>
      </c>
      <c r="E1368">
        <v>196</v>
      </c>
      <c r="F1368">
        <v>85</v>
      </c>
      <c r="G1368">
        <v>57</v>
      </c>
      <c r="U1368" t="s">
        <v>6413</v>
      </c>
    </row>
    <row r="1369" spans="2:21" x14ac:dyDescent="0.25">
      <c r="B1369">
        <v>15522</v>
      </c>
      <c r="C1369" t="s">
        <v>22779</v>
      </c>
      <c r="E1369">
        <v>196</v>
      </c>
      <c r="F1369">
        <v>85</v>
      </c>
      <c r="G1369">
        <v>57</v>
      </c>
      <c r="T1369" t="s">
        <v>8309</v>
      </c>
    </row>
    <row r="1370" spans="2:21" x14ac:dyDescent="0.25">
      <c r="B1370">
        <v>15523</v>
      </c>
      <c r="C1370" t="s">
        <v>22780</v>
      </c>
      <c r="E1370">
        <v>234</v>
      </c>
      <c r="F1370">
        <v>191</v>
      </c>
      <c r="G1370">
        <v>176</v>
      </c>
      <c r="U1370" t="s">
        <v>8311</v>
      </c>
    </row>
    <row r="1371" spans="2:21" x14ac:dyDescent="0.25">
      <c r="B1371">
        <v>15524</v>
      </c>
      <c r="C1371" t="s">
        <v>22781</v>
      </c>
      <c r="E1371">
        <v>196</v>
      </c>
      <c r="F1371">
        <v>85</v>
      </c>
      <c r="G1371">
        <v>57</v>
      </c>
      <c r="U1371" t="s">
        <v>8313</v>
      </c>
    </row>
    <row r="1372" spans="2:21" x14ac:dyDescent="0.25">
      <c r="B1372">
        <v>15525</v>
      </c>
      <c r="C1372" t="s">
        <v>22782</v>
      </c>
      <c r="E1372">
        <v>202</v>
      </c>
      <c r="F1372">
        <v>91</v>
      </c>
      <c r="G1372">
        <v>63</v>
      </c>
      <c r="U1372" t="s">
        <v>8315</v>
      </c>
    </row>
    <row r="1373" spans="2:21" x14ac:dyDescent="0.25">
      <c r="B1373">
        <v>15526</v>
      </c>
      <c r="C1373" t="s">
        <v>22783</v>
      </c>
      <c r="E1373">
        <v>196</v>
      </c>
      <c r="F1373">
        <v>85</v>
      </c>
      <c r="G1373">
        <v>57</v>
      </c>
      <c r="U1373" t="s">
        <v>8317</v>
      </c>
    </row>
    <row r="1374" spans="2:21" x14ac:dyDescent="0.25">
      <c r="B1374">
        <v>15527</v>
      </c>
      <c r="C1374" t="s">
        <v>22784</v>
      </c>
      <c r="E1374">
        <v>202</v>
      </c>
      <c r="F1374">
        <v>91</v>
      </c>
      <c r="G1374">
        <v>63</v>
      </c>
      <c r="U1374" t="s">
        <v>8319</v>
      </c>
    </row>
    <row r="1375" spans="2:21" x14ac:dyDescent="0.25">
      <c r="B1375">
        <v>15528</v>
      </c>
      <c r="C1375" t="s">
        <v>22785</v>
      </c>
      <c r="E1375">
        <v>196</v>
      </c>
      <c r="F1375">
        <v>85</v>
      </c>
      <c r="G1375">
        <v>57</v>
      </c>
      <c r="U1375" t="s">
        <v>8321</v>
      </c>
    </row>
    <row r="1376" spans="2:21" x14ac:dyDescent="0.25">
      <c r="B1376">
        <v>10277</v>
      </c>
      <c r="C1376" t="s">
        <v>15867</v>
      </c>
      <c r="E1376">
        <v>239</v>
      </c>
      <c r="F1376">
        <v>185</v>
      </c>
      <c r="G1376">
        <v>190</v>
      </c>
      <c r="R1376" t="s">
        <v>1240</v>
      </c>
    </row>
    <row r="1377" spans="2:21" x14ac:dyDescent="0.25">
      <c r="B1377">
        <v>10278</v>
      </c>
      <c r="C1377" t="s">
        <v>22786</v>
      </c>
      <c r="E1377">
        <v>226</v>
      </c>
      <c r="F1377">
        <v>104</v>
      </c>
      <c r="G1377">
        <v>128</v>
      </c>
      <c r="S1377" t="s">
        <v>5289</v>
      </c>
    </row>
    <row r="1378" spans="2:21" x14ac:dyDescent="0.25">
      <c r="B1378">
        <v>10279</v>
      </c>
      <c r="C1378" t="s">
        <v>22787</v>
      </c>
      <c r="E1378">
        <v>226</v>
      </c>
      <c r="F1378">
        <v>104</v>
      </c>
      <c r="G1378">
        <v>128</v>
      </c>
      <c r="T1378" t="s">
        <v>5291</v>
      </c>
    </row>
    <row r="1379" spans="2:21" x14ac:dyDescent="0.25">
      <c r="B1379">
        <v>11212</v>
      </c>
      <c r="C1379" t="s">
        <v>22788</v>
      </c>
      <c r="E1379">
        <v>239</v>
      </c>
      <c r="F1379">
        <v>209</v>
      </c>
      <c r="G1379">
        <v>212</v>
      </c>
      <c r="U1379" t="s">
        <v>6309</v>
      </c>
    </row>
    <row r="1380" spans="2:21" x14ac:dyDescent="0.25">
      <c r="B1380">
        <v>11213</v>
      </c>
      <c r="C1380" t="s">
        <v>22789</v>
      </c>
      <c r="E1380">
        <v>226</v>
      </c>
      <c r="F1380">
        <v>104</v>
      </c>
      <c r="G1380">
        <v>128</v>
      </c>
      <c r="U1380" t="s">
        <v>6311</v>
      </c>
    </row>
    <row r="1381" spans="2:21" x14ac:dyDescent="0.25">
      <c r="B1381">
        <v>11214</v>
      </c>
      <c r="C1381" t="s">
        <v>22790</v>
      </c>
      <c r="E1381">
        <v>228</v>
      </c>
      <c r="F1381">
        <v>126</v>
      </c>
      <c r="G1381">
        <v>140</v>
      </c>
      <c r="U1381" t="s">
        <v>6313</v>
      </c>
    </row>
    <row r="1382" spans="2:21" x14ac:dyDescent="0.25">
      <c r="B1382">
        <v>11215</v>
      </c>
      <c r="C1382" t="s">
        <v>22791</v>
      </c>
      <c r="E1382">
        <v>226</v>
      </c>
      <c r="F1382">
        <v>104</v>
      </c>
      <c r="G1382">
        <v>128</v>
      </c>
      <c r="U1382" t="s">
        <v>6315</v>
      </c>
    </row>
    <row r="1383" spans="2:21" x14ac:dyDescent="0.25">
      <c r="B1383">
        <v>11216</v>
      </c>
      <c r="C1383" t="s">
        <v>22792</v>
      </c>
      <c r="E1383">
        <v>228</v>
      </c>
      <c r="F1383">
        <v>126</v>
      </c>
      <c r="G1383">
        <v>140</v>
      </c>
      <c r="U1383" t="s">
        <v>6317</v>
      </c>
    </row>
    <row r="1384" spans="2:21" x14ac:dyDescent="0.25">
      <c r="B1384">
        <v>11217</v>
      </c>
      <c r="C1384" t="s">
        <v>22793</v>
      </c>
      <c r="E1384">
        <v>226</v>
      </c>
      <c r="F1384">
        <v>104</v>
      </c>
      <c r="G1384">
        <v>128</v>
      </c>
      <c r="U1384" t="s">
        <v>6319</v>
      </c>
    </row>
    <row r="1385" spans="2:21" x14ac:dyDescent="0.25">
      <c r="B1385">
        <v>10280</v>
      </c>
      <c r="C1385" t="s">
        <v>22794</v>
      </c>
      <c r="E1385">
        <v>226</v>
      </c>
      <c r="F1385">
        <v>104</v>
      </c>
      <c r="G1385">
        <v>128</v>
      </c>
      <c r="T1385" t="s">
        <v>5293</v>
      </c>
    </row>
    <row r="1386" spans="2:21" x14ac:dyDescent="0.25">
      <c r="B1386">
        <v>11218</v>
      </c>
      <c r="C1386" t="s">
        <v>22795</v>
      </c>
      <c r="E1386">
        <v>239</v>
      </c>
      <c r="F1386">
        <v>209</v>
      </c>
      <c r="G1386">
        <v>212</v>
      </c>
      <c r="U1386" t="s">
        <v>6321</v>
      </c>
    </row>
    <row r="1387" spans="2:21" x14ac:dyDescent="0.25">
      <c r="B1387">
        <v>11219</v>
      </c>
      <c r="C1387" t="s">
        <v>22796</v>
      </c>
      <c r="E1387">
        <v>226</v>
      </c>
      <c r="F1387">
        <v>104</v>
      </c>
      <c r="G1387">
        <v>128</v>
      </c>
      <c r="U1387" t="s">
        <v>6323</v>
      </c>
    </row>
    <row r="1388" spans="2:21" x14ac:dyDescent="0.25">
      <c r="B1388">
        <v>11220</v>
      </c>
      <c r="C1388" t="s">
        <v>22797</v>
      </c>
      <c r="E1388">
        <v>228</v>
      </c>
      <c r="F1388">
        <v>126</v>
      </c>
      <c r="G1388">
        <v>140</v>
      </c>
      <c r="U1388" t="s">
        <v>6325</v>
      </c>
    </row>
    <row r="1389" spans="2:21" x14ac:dyDescent="0.25">
      <c r="B1389">
        <v>11221</v>
      </c>
      <c r="C1389" t="s">
        <v>22798</v>
      </c>
      <c r="E1389">
        <v>226</v>
      </c>
      <c r="F1389">
        <v>104</v>
      </c>
      <c r="G1389">
        <v>128</v>
      </c>
      <c r="U1389" t="s">
        <v>6327</v>
      </c>
    </row>
    <row r="1390" spans="2:21" x14ac:dyDescent="0.25">
      <c r="B1390">
        <v>11222</v>
      </c>
      <c r="C1390" t="s">
        <v>22799</v>
      </c>
      <c r="E1390">
        <v>228</v>
      </c>
      <c r="F1390">
        <v>126</v>
      </c>
      <c r="G1390">
        <v>140</v>
      </c>
      <c r="U1390" t="s">
        <v>6329</v>
      </c>
    </row>
    <row r="1391" spans="2:21" x14ac:dyDescent="0.25">
      <c r="B1391">
        <v>11223</v>
      </c>
      <c r="C1391" t="s">
        <v>22800</v>
      </c>
      <c r="E1391">
        <v>226</v>
      </c>
      <c r="F1391">
        <v>104</v>
      </c>
      <c r="G1391">
        <v>128</v>
      </c>
      <c r="U1391" t="s">
        <v>6331</v>
      </c>
    </row>
    <row r="1392" spans="2:21" x14ac:dyDescent="0.25">
      <c r="B1392">
        <v>10281</v>
      </c>
      <c r="C1392" t="s">
        <v>22801</v>
      </c>
      <c r="E1392">
        <v>226</v>
      </c>
      <c r="F1392">
        <v>104</v>
      </c>
      <c r="G1392">
        <v>128</v>
      </c>
      <c r="T1392" t="s">
        <v>5295</v>
      </c>
    </row>
    <row r="1393" spans="2:21" x14ac:dyDescent="0.25">
      <c r="B1393">
        <v>11224</v>
      </c>
      <c r="C1393" t="s">
        <v>22802</v>
      </c>
      <c r="E1393">
        <v>239</v>
      </c>
      <c r="F1393">
        <v>209</v>
      </c>
      <c r="G1393">
        <v>212</v>
      </c>
      <c r="U1393" t="s">
        <v>6333</v>
      </c>
    </row>
    <row r="1394" spans="2:21" x14ac:dyDescent="0.25">
      <c r="B1394">
        <v>11225</v>
      </c>
      <c r="C1394" t="s">
        <v>22803</v>
      </c>
      <c r="E1394">
        <v>226</v>
      </c>
      <c r="F1394">
        <v>104</v>
      </c>
      <c r="G1394">
        <v>128</v>
      </c>
      <c r="U1394" t="s">
        <v>6335</v>
      </c>
    </row>
    <row r="1395" spans="2:21" x14ac:dyDescent="0.25">
      <c r="B1395">
        <v>11226</v>
      </c>
      <c r="C1395" t="s">
        <v>22804</v>
      </c>
      <c r="E1395">
        <v>228</v>
      </c>
      <c r="F1395">
        <v>126</v>
      </c>
      <c r="G1395">
        <v>140</v>
      </c>
      <c r="U1395" t="s">
        <v>6337</v>
      </c>
    </row>
    <row r="1396" spans="2:21" x14ac:dyDescent="0.25">
      <c r="B1396">
        <v>11227</v>
      </c>
      <c r="C1396" t="s">
        <v>22805</v>
      </c>
      <c r="E1396">
        <v>228</v>
      </c>
      <c r="F1396">
        <v>126</v>
      </c>
      <c r="G1396">
        <v>140</v>
      </c>
      <c r="U1396" t="s">
        <v>6339</v>
      </c>
    </row>
    <row r="1397" spans="2:21" x14ac:dyDescent="0.25">
      <c r="B1397">
        <v>11228</v>
      </c>
      <c r="C1397" t="s">
        <v>22806</v>
      </c>
      <c r="E1397">
        <v>226</v>
      </c>
      <c r="F1397">
        <v>104</v>
      </c>
      <c r="G1397">
        <v>128</v>
      </c>
      <c r="U1397" t="s">
        <v>6341</v>
      </c>
    </row>
    <row r="1398" spans="2:21" x14ac:dyDescent="0.25">
      <c r="B1398">
        <v>10282</v>
      </c>
      <c r="C1398" t="s">
        <v>22807</v>
      </c>
      <c r="E1398">
        <v>228</v>
      </c>
      <c r="F1398">
        <v>126</v>
      </c>
      <c r="G1398">
        <v>140</v>
      </c>
      <c r="S1398" t="s">
        <v>5297</v>
      </c>
    </row>
    <row r="1399" spans="2:21" x14ac:dyDescent="0.25">
      <c r="B1399">
        <v>10283</v>
      </c>
      <c r="C1399" t="s">
        <v>22808</v>
      </c>
      <c r="E1399">
        <v>228</v>
      </c>
      <c r="F1399">
        <v>126</v>
      </c>
      <c r="G1399">
        <v>140</v>
      </c>
      <c r="T1399" t="s">
        <v>5299</v>
      </c>
    </row>
    <row r="1400" spans="2:21" x14ac:dyDescent="0.25">
      <c r="B1400">
        <v>11229</v>
      </c>
      <c r="C1400" t="s">
        <v>22809</v>
      </c>
      <c r="E1400">
        <v>239</v>
      </c>
      <c r="F1400">
        <v>209</v>
      </c>
      <c r="G1400">
        <v>212</v>
      </c>
      <c r="U1400" t="s">
        <v>6343</v>
      </c>
    </row>
    <row r="1401" spans="2:21" x14ac:dyDescent="0.25">
      <c r="B1401">
        <v>11230</v>
      </c>
      <c r="C1401" t="s">
        <v>22810</v>
      </c>
      <c r="E1401">
        <v>228</v>
      </c>
      <c r="F1401">
        <v>126</v>
      </c>
      <c r="G1401">
        <v>140</v>
      </c>
      <c r="U1401" t="s">
        <v>6345</v>
      </c>
    </row>
    <row r="1402" spans="2:21" x14ac:dyDescent="0.25">
      <c r="B1402">
        <v>11231</v>
      </c>
      <c r="C1402" t="s">
        <v>22811</v>
      </c>
      <c r="E1402">
        <v>232</v>
      </c>
      <c r="F1402">
        <v>145</v>
      </c>
      <c r="G1402">
        <v>158</v>
      </c>
      <c r="U1402" t="s">
        <v>6347</v>
      </c>
    </row>
    <row r="1403" spans="2:21" x14ac:dyDescent="0.25">
      <c r="B1403">
        <v>11232</v>
      </c>
      <c r="C1403" t="s">
        <v>22812</v>
      </c>
      <c r="E1403">
        <v>232</v>
      </c>
      <c r="F1403">
        <v>145</v>
      </c>
      <c r="G1403">
        <v>158</v>
      </c>
      <c r="U1403" t="s">
        <v>6349</v>
      </c>
    </row>
    <row r="1404" spans="2:21" x14ac:dyDescent="0.25">
      <c r="B1404">
        <v>11233</v>
      </c>
      <c r="C1404" t="s">
        <v>22813</v>
      </c>
      <c r="E1404">
        <v>232</v>
      </c>
      <c r="F1404">
        <v>145</v>
      </c>
      <c r="G1404">
        <v>158</v>
      </c>
      <c r="U1404" t="s">
        <v>6351</v>
      </c>
    </row>
    <row r="1405" spans="2:21" x14ac:dyDescent="0.25">
      <c r="B1405">
        <v>11234</v>
      </c>
      <c r="C1405" t="s">
        <v>22814</v>
      </c>
      <c r="E1405">
        <v>228</v>
      </c>
      <c r="F1405">
        <v>126</v>
      </c>
      <c r="G1405">
        <v>140</v>
      </c>
      <c r="U1405" t="s">
        <v>6353</v>
      </c>
    </row>
    <row r="1406" spans="2:21" x14ac:dyDescent="0.25">
      <c r="B1406">
        <v>10284</v>
      </c>
      <c r="C1406" t="s">
        <v>22815</v>
      </c>
      <c r="E1406">
        <v>228</v>
      </c>
      <c r="F1406">
        <v>126</v>
      </c>
      <c r="G1406">
        <v>140</v>
      </c>
      <c r="T1406" t="s">
        <v>5301</v>
      </c>
    </row>
    <row r="1407" spans="2:21" x14ac:dyDescent="0.25">
      <c r="B1407">
        <v>11235</v>
      </c>
      <c r="C1407" t="s">
        <v>22816</v>
      </c>
      <c r="E1407">
        <v>239</v>
      </c>
      <c r="F1407">
        <v>209</v>
      </c>
      <c r="G1407">
        <v>212</v>
      </c>
      <c r="U1407" t="s">
        <v>6355</v>
      </c>
    </row>
    <row r="1408" spans="2:21" x14ac:dyDescent="0.25">
      <c r="B1408">
        <v>11236</v>
      </c>
      <c r="C1408" t="s">
        <v>22817</v>
      </c>
      <c r="E1408">
        <v>228</v>
      </c>
      <c r="F1408">
        <v>126</v>
      </c>
      <c r="G1408">
        <v>140</v>
      </c>
      <c r="U1408" t="s">
        <v>6357</v>
      </c>
    </row>
    <row r="1409" spans="2:21" x14ac:dyDescent="0.25">
      <c r="B1409">
        <v>11237</v>
      </c>
      <c r="C1409" t="s">
        <v>22818</v>
      </c>
      <c r="E1409">
        <v>232</v>
      </c>
      <c r="F1409">
        <v>145</v>
      </c>
      <c r="G1409">
        <v>158</v>
      </c>
      <c r="U1409" t="s">
        <v>6359</v>
      </c>
    </row>
    <row r="1410" spans="2:21" x14ac:dyDescent="0.25">
      <c r="B1410">
        <v>11238</v>
      </c>
      <c r="C1410" t="s">
        <v>22819</v>
      </c>
      <c r="E1410">
        <v>228</v>
      </c>
      <c r="F1410">
        <v>126</v>
      </c>
      <c r="G1410">
        <v>140</v>
      </c>
      <c r="U1410" t="s">
        <v>6361</v>
      </c>
    </row>
    <row r="1411" spans="2:21" x14ac:dyDescent="0.25">
      <c r="B1411">
        <v>11239</v>
      </c>
      <c r="C1411" t="s">
        <v>22820</v>
      </c>
      <c r="E1411">
        <v>232</v>
      </c>
      <c r="F1411">
        <v>145</v>
      </c>
      <c r="G1411">
        <v>158</v>
      </c>
      <c r="U1411" t="s">
        <v>6363</v>
      </c>
    </row>
    <row r="1412" spans="2:21" x14ac:dyDescent="0.25">
      <c r="B1412">
        <v>11240</v>
      </c>
      <c r="C1412" t="s">
        <v>22821</v>
      </c>
      <c r="E1412">
        <v>228</v>
      </c>
      <c r="F1412">
        <v>126</v>
      </c>
      <c r="G1412">
        <v>140</v>
      </c>
      <c r="U1412" t="s">
        <v>6365</v>
      </c>
    </row>
    <row r="1413" spans="2:21" x14ac:dyDescent="0.25">
      <c r="B1413">
        <v>10285</v>
      </c>
      <c r="C1413" t="s">
        <v>22822</v>
      </c>
      <c r="E1413">
        <v>223</v>
      </c>
      <c r="F1413">
        <v>79</v>
      </c>
      <c r="G1413">
        <v>114</v>
      </c>
      <c r="S1413" t="s">
        <v>3914</v>
      </c>
    </row>
    <row r="1414" spans="2:21" x14ac:dyDescent="0.25">
      <c r="B1414">
        <v>10286</v>
      </c>
      <c r="C1414" t="s">
        <v>22823</v>
      </c>
      <c r="E1414">
        <v>223</v>
      </c>
      <c r="F1414">
        <v>79</v>
      </c>
      <c r="G1414">
        <v>114</v>
      </c>
      <c r="T1414" t="s">
        <v>5303</v>
      </c>
    </row>
    <row r="1415" spans="2:21" x14ac:dyDescent="0.25">
      <c r="B1415">
        <v>11241</v>
      </c>
      <c r="C1415" t="s">
        <v>22824</v>
      </c>
      <c r="E1415">
        <v>239</v>
      </c>
      <c r="F1415">
        <v>209</v>
      </c>
      <c r="G1415">
        <v>212</v>
      </c>
      <c r="U1415" t="s">
        <v>6367</v>
      </c>
    </row>
    <row r="1416" spans="2:21" x14ac:dyDescent="0.25">
      <c r="B1416">
        <v>11242</v>
      </c>
      <c r="C1416" t="s">
        <v>22825</v>
      </c>
      <c r="E1416">
        <v>223</v>
      </c>
      <c r="F1416">
        <v>79</v>
      </c>
      <c r="G1416">
        <v>114</v>
      </c>
      <c r="U1416" t="s">
        <v>6369</v>
      </c>
    </row>
    <row r="1417" spans="2:21" x14ac:dyDescent="0.25">
      <c r="B1417">
        <v>11243</v>
      </c>
      <c r="C1417" t="s">
        <v>22826</v>
      </c>
      <c r="E1417">
        <v>226</v>
      </c>
      <c r="F1417">
        <v>104</v>
      </c>
      <c r="G1417">
        <v>128</v>
      </c>
      <c r="U1417" t="s">
        <v>6371</v>
      </c>
    </row>
    <row r="1418" spans="2:21" x14ac:dyDescent="0.25">
      <c r="B1418">
        <v>11244</v>
      </c>
      <c r="C1418" t="s">
        <v>22827</v>
      </c>
      <c r="E1418">
        <v>223</v>
      </c>
      <c r="F1418">
        <v>79</v>
      </c>
      <c r="G1418">
        <v>114</v>
      </c>
      <c r="U1418" t="s">
        <v>6373</v>
      </c>
    </row>
    <row r="1419" spans="2:21" x14ac:dyDescent="0.25">
      <c r="B1419">
        <v>11245</v>
      </c>
      <c r="C1419" t="s">
        <v>22828</v>
      </c>
      <c r="E1419">
        <v>226</v>
      </c>
      <c r="F1419">
        <v>104</v>
      </c>
      <c r="G1419">
        <v>128</v>
      </c>
      <c r="U1419" t="s">
        <v>6375</v>
      </c>
    </row>
    <row r="1420" spans="2:21" x14ac:dyDescent="0.25">
      <c r="B1420">
        <v>11246</v>
      </c>
      <c r="C1420" t="s">
        <v>22829</v>
      </c>
      <c r="E1420">
        <v>223</v>
      </c>
      <c r="F1420">
        <v>79</v>
      </c>
      <c r="G1420">
        <v>114</v>
      </c>
      <c r="U1420" t="s">
        <v>6377</v>
      </c>
    </row>
    <row r="1421" spans="2:21" x14ac:dyDescent="0.25">
      <c r="B1421">
        <v>10287</v>
      </c>
      <c r="C1421" t="s">
        <v>22830</v>
      </c>
      <c r="E1421">
        <v>223</v>
      </c>
      <c r="F1421">
        <v>79</v>
      </c>
      <c r="G1421">
        <v>114</v>
      </c>
      <c r="T1421" t="s">
        <v>5305</v>
      </c>
    </row>
    <row r="1422" spans="2:21" x14ac:dyDescent="0.25">
      <c r="B1422">
        <v>11247</v>
      </c>
      <c r="C1422" t="s">
        <v>22831</v>
      </c>
      <c r="E1422">
        <v>239</v>
      </c>
      <c r="F1422">
        <v>209</v>
      </c>
      <c r="G1422">
        <v>212</v>
      </c>
      <c r="U1422" t="s">
        <v>6379</v>
      </c>
    </row>
    <row r="1423" spans="2:21" x14ac:dyDescent="0.25">
      <c r="B1423">
        <v>11248</v>
      </c>
      <c r="C1423" t="s">
        <v>22832</v>
      </c>
      <c r="E1423">
        <v>223</v>
      </c>
      <c r="F1423">
        <v>79</v>
      </c>
      <c r="G1423">
        <v>114</v>
      </c>
      <c r="U1423" t="s">
        <v>6381</v>
      </c>
    </row>
    <row r="1424" spans="2:21" x14ac:dyDescent="0.25">
      <c r="B1424">
        <v>11249</v>
      </c>
      <c r="C1424" t="s">
        <v>22833</v>
      </c>
      <c r="E1424">
        <v>226</v>
      </c>
      <c r="F1424">
        <v>104</v>
      </c>
      <c r="G1424">
        <v>128</v>
      </c>
      <c r="U1424" t="s">
        <v>6383</v>
      </c>
    </row>
    <row r="1425" spans="2:22" x14ac:dyDescent="0.25">
      <c r="B1425">
        <v>11250</v>
      </c>
      <c r="C1425" t="s">
        <v>22834</v>
      </c>
      <c r="E1425">
        <v>223</v>
      </c>
      <c r="F1425">
        <v>79</v>
      </c>
      <c r="G1425">
        <v>114</v>
      </c>
      <c r="U1425" t="s">
        <v>6385</v>
      </c>
    </row>
    <row r="1426" spans="2:22" x14ac:dyDescent="0.25">
      <c r="B1426">
        <v>11251</v>
      </c>
      <c r="C1426" t="s">
        <v>22835</v>
      </c>
      <c r="E1426">
        <v>226</v>
      </c>
      <c r="F1426">
        <v>104</v>
      </c>
      <c r="G1426">
        <v>128</v>
      </c>
      <c r="U1426" t="s">
        <v>6387</v>
      </c>
    </row>
    <row r="1427" spans="2:22" x14ac:dyDescent="0.25">
      <c r="B1427">
        <v>11252</v>
      </c>
      <c r="C1427" t="s">
        <v>22836</v>
      </c>
      <c r="E1427">
        <v>223</v>
      </c>
      <c r="F1427">
        <v>79</v>
      </c>
      <c r="G1427">
        <v>114</v>
      </c>
      <c r="U1427" t="s">
        <v>6389</v>
      </c>
    </row>
    <row r="1428" spans="2:22" x14ac:dyDescent="0.25">
      <c r="B1428">
        <v>10313</v>
      </c>
      <c r="C1428" t="s">
        <v>22837</v>
      </c>
      <c r="E1428">
        <v>220</v>
      </c>
      <c r="F1428">
        <v>208</v>
      </c>
      <c r="G1428">
        <v>198</v>
      </c>
      <c r="Q1428" t="s">
        <v>3786</v>
      </c>
    </row>
    <row r="1429" spans="2:22" x14ac:dyDescent="0.25">
      <c r="B1429">
        <v>10314</v>
      </c>
      <c r="C1429" t="s">
        <v>22838</v>
      </c>
      <c r="E1429">
        <v>210</v>
      </c>
      <c r="F1429">
        <v>191</v>
      </c>
      <c r="G1429">
        <v>178</v>
      </c>
      <c r="R1429" t="s">
        <v>5313</v>
      </c>
    </row>
    <row r="1430" spans="2:22" x14ac:dyDescent="0.25">
      <c r="B1430">
        <v>10320</v>
      </c>
      <c r="C1430" t="s">
        <v>22839</v>
      </c>
      <c r="E1430">
        <v>196</v>
      </c>
      <c r="F1430">
        <v>173</v>
      </c>
      <c r="G1430">
        <v>154</v>
      </c>
      <c r="S1430" t="s">
        <v>5315</v>
      </c>
    </row>
    <row r="1431" spans="2:22" x14ac:dyDescent="0.25">
      <c r="B1431">
        <v>10321</v>
      </c>
      <c r="C1431" t="s">
        <v>22840</v>
      </c>
      <c r="E1431">
        <v>210</v>
      </c>
      <c r="F1431">
        <v>191</v>
      </c>
      <c r="G1431">
        <v>178</v>
      </c>
      <c r="T1431" t="s">
        <v>5317</v>
      </c>
    </row>
    <row r="1432" spans="2:22" x14ac:dyDescent="0.25">
      <c r="B1432">
        <v>11455</v>
      </c>
      <c r="C1432" t="s">
        <v>22841</v>
      </c>
      <c r="E1432">
        <v>220</v>
      </c>
      <c r="F1432">
        <v>208</v>
      </c>
      <c r="G1432">
        <v>198</v>
      </c>
      <c r="U1432" t="s">
        <v>6713</v>
      </c>
    </row>
    <row r="1433" spans="2:22" x14ac:dyDescent="0.25">
      <c r="B1433">
        <v>11456</v>
      </c>
      <c r="C1433" t="s">
        <v>22842</v>
      </c>
      <c r="E1433">
        <v>174</v>
      </c>
      <c r="F1433">
        <v>142</v>
      </c>
      <c r="G1433">
        <v>119</v>
      </c>
      <c r="U1433" t="s">
        <v>6715</v>
      </c>
    </row>
    <row r="1434" spans="2:22" x14ac:dyDescent="0.25">
      <c r="B1434">
        <v>11457</v>
      </c>
      <c r="C1434" t="s">
        <v>22843</v>
      </c>
      <c r="E1434">
        <v>193</v>
      </c>
      <c r="F1434">
        <v>166</v>
      </c>
      <c r="G1434">
        <v>143</v>
      </c>
      <c r="U1434" t="s">
        <v>6717</v>
      </c>
    </row>
    <row r="1435" spans="2:22" x14ac:dyDescent="0.25">
      <c r="B1435">
        <v>11458</v>
      </c>
      <c r="C1435" t="s">
        <v>22844</v>
      </c>
      <c r="E1435">
        <v>193</v>
      </c>
      <c r="F1435">
        <v>166</v>
      </c>
      <c r="G1435">
        <v>143</v>
      </c>
      <c r="V1435" t="s">
        <v>6719</v>
      </c>
    </row>
    <row r="1436" spans="2:22" x14ac:dyDescent="0.25">
      <c r="B1436">
        <v>11459</v>
      </c>
      <c r="C1436" t="s">
        <v>22845</v>
      </c>
      <c r="E1436">
        <v>181</v>
      </c>
      <c r="F1436">
        <v>150</v>
      </c>
      <c r="G1436">
        <v>127</v>
      </c>
      <c r="V1436" t="s">
        <v>6721</v>
      </c>
    </row>
    <row r="1437" spans="2:22" x14ac:dyDescent="0.25">
      <c r="B1437">
        <v>11460</v>
      </c>
      <c r="C1437" t="s">
        <v>22846</v>
      </c>
      <c r="E1437">
        <v>174</v>
      </c>
      <c r="F1437">
        <v>142</v>
      </c>
      <c r="G1437">
        <v>119</v>
      </c>
      <c r="U1437" t="s">
        <v>6723</v>
      </c>
    </row>
    <row r="1438" spans="2:22" x14ac:dyDescent="0.25">
      <c r="B1438">
        <v>11461</v>
      </c>
      <c r="C1438" t="s">
        <v>22847</v>
      </c>
      <c r="E1438">
        <v>196</v>
      </c>
      <c r="F1438">
        <v>173</v>
      </c>
      <c r="G1438">
        <v>154</v>
      </c>
      <c r="U1438" t="s">
        <v>6725</v>
      </c>
    </row>
    <row r="1439" spans="2:22" x14ac:dyDescent="0.25">
      <c r="B1439">
        <v>11462</v>
      </c>
      <c r="C1439" t="s">
        <v>22848</v>
      </c>
      <c r="E1439">
        <v>193</v>
      </c>
      <c r="F1439">
        <v>166</v>
      </c>
      <c r="G1439">
        <v>143</v>
      </c>
      <c r="U1439" t="s">
        <v>6727</v>
      </c>
    </row>
    <row r="1440" spans="2:22" x14ac:dyDescent="0.25">
      <c r="B1440">
        <v>10322</v>
      </c>
      <c r="C1440" t="s">
        <v>22849</v>
      </c>
      <c r="E1440">
        <v>210</v>
      </c>
      <c r="F1440">
        <v>191</v>
      </c>
      <c r="G1440">
        <v>178</v>
      </c>
      <c r="T1440" t="s">
        <v>5319</v>
      </c>
    </row>
    <row r="1441" spans="2:24" x14ac:dyDescent="0.25">
      <c r="B1441">
        <v>11463</v>
      </c>
      <c r="C1441" t="s">
        <v>22850</v>
      </c>
      <c r="E1441">
        <v>220</v>
      </c>
      <c r="F1441">
        <v>208</v>
      </c>
      <c r="G1441">
        <v>198</v>
      </c>
      <c r="U1441" t="s">
        <v>6729</v>
      </c>
    </row>
    <row r="1442" spans="2:24" x14ac:dyDescent="0.25">
      <c r="B1442">
        <v>11464</v>
      </c>
      <c r="C1442" t="s">
        <v>22851</v>
      </c>
      <c r="E1442">
        <v>174</v>
      </c>
      <c r="F1442">
        <v>142</v>
      </c>
      <c r="G1442">
        <v>119</v>
      </c>
      <c r="U1442" t="s">
        <v>6731</v>
      </c>
    </row>
    <row r="1443" spans="2:24" x14ac:dyDescent="0.25">
      <c r="B1443">
        <v>11465</v>
      </c>
      <c r="C1443" t="s">
        <v>22852</v>
      </c>
      <c r="E1443">
        <v>193</v>
      </c>
      <c r="F1443">
        <v>166</v>
      </c>
      <c r="G1443">
        <v>143</v>
      </c>
      <c r="U1443" t="s">
        <v>6733</v>
      </c>
    </row>
    <row r="1444" spans="2:24" x14ac:dyDescent="0.25">
      <c r="B1444">
        <v>11466</v>
      </c>
      <c r="C1444" t="s">
        <v>22853</v>
      </c>
      <c r="E1444">
        <v>193</v>
      </c>
      <c r="F1444">
        <v>166</v>
      </c>
      <c r="G1444">
        <v>143</v>
      </c>
      <c r="V1444" t="s">
        <v>6735</v>
      </c>
    </row>
    <row r="1445" spans="2:24" x14ac:dyDescent="0.25">
      <c r="B1445">
        <v>11467</v>
      </c>
      <c r="C1445" t="s">
        <v>22854</v>
      </c>
      <c r="E1445">
        <v>181</v>
      </c>
      <c r="F1445">
        <v>150</v>
      </c>
      <c r="G1445">
        <v>127</v>
      </c>
      <c r="V1445" t="s">
        <v>6737</v>
      </c>
    </row>
    <row r="1446" spans="2:24" x14ac:dyDescent="0.25">
      <c r="B1446">
        <v>11468</v>
      </c>
      <c r="C1446" t="s">
        <v>22855</v>
      </c>
      <c r="E1446">
        <v>174</v>
      </c>
      <c r="F1446">
        <v>142</v>
      </c>
      <c r="G1446">
        <v>119</v>
      </c>
      <c r="U1446" t="s">
        <v>6739</v>
      </c>
    </row>
    <row r="1447" spans="2:24" x14ac:dyDescent="0.25">
      <c r="B1447">
        <v>11469</v>
      </c>
      <c r="C1447" t="s">
        <v>22856</v>
      </c>
      <c r="E1447">
        <v>196</v>
      </c>
      <c r="F1447">
        <v>173</v>
      </c>
      <c r="G1447">
        <v>154</v>
      </c>
      <c r="U1447" t="s">
        <v>6741</v>
      </c>
    </row>
    <row r="1448" spans="2:24" x14ac:dyDescent="0.25">
      <c r="B1448">
        <v>11470</v>
      </c>
      <c r="C1448" t="s">
        <v>22857</v>
      </c>
      <c r="E1448">
        <v>193</v>
      </c>
      <c r="F1448">
        <v>166</v>
      </c>
      <c r="G1448">
        <v>143</v>
      </c>
      <c r="U1448" t="s">
        <v>6743</v>
      </c>
    </row>
    <row r="1449" spans="2:24" x14ac:dyDescent="0.25">
      <c r="B1449">
        <v>10317</v>
      </c>
      <c r="C1449" t="s">
        <v>22858</v>
      </c>
      <c r="E1449">
        <v>210</v>
      </c>
      <c r="F1449">
        <v>191</v>
      </c>
      <c r="G1449">
        <v>178</v>
      </c>
      <c r="S1449" t="s">
        <v>1765</v>
      </c>
    </row>
    <row r="1450" spans="2:24" x14ac:dyDescent="0.25">
      <c r="B1450">
        <v>10318</v>
      </c>
      <c r="C1450" t="s">
        <v>22859</v>
      </c>
      <c r="E1450">
        <v>203</v>
      </c>
      <c r="F1450">
        <v>183</v>
      </c>
      <c r="G1450">
        <v>168</v>
      </c>
      <c r="T1450" t="s">
        <v>2578</v>
      </c>
    </row>
    <row r="1451" spans="2:24" x14ac:dyDescent="0.25">
      <c r="B1451">
        <v>11371</v>
      </c>
      <c r="C1451" t="s">
        <v>22860</v>
      </c>
      <c r="E1451">
        <v>203</v>
      </c>
      <c r="F1451">
        <v>183</v>
      </c>
      <c r="G1451">
        <v>168</v>
      </c>
      <c r="U1451" t="s">
        <v>6545</v>
      </c>
    </row>
    <row r="1452" spans="2:24" x14ac:dyDescent="0.25">
      <c r="B1452">
        <v>11373</v>
      </c>
      <c r="C1452" t="s">
        <v>22861</v>
      </c>
      <c r="E1452">
        <v>220</v>
      </c>
      <c r="F1452">
        <v>208</v>
      </c>
      <c r="G1452">
        <v>198</v>
      </c>
      <c r="V1452" t="s">
        <v>6549</v>
      </c>
    </row>
    <row r="1453" spans="2:24" x14ac:dyDescent="0.25">
      <c r="B1453">
        <v>11372</v>
      </c>
      <c r="C1453" t="s">
        <v>22862</v>
      </c>
      <c r="E1453">
        <v>203</v>
      </c>
      <c r="F1453">
        <v>183</v>
      </c>
      <c r="G1453">
        <v>168</v>
      </c>
      <c r="V1453" t="s">
        <v>6547</v>
      </c>
    </row>
    <row r="1454" spans="2:24" x14ac:dyDescent="0.25">
      <c r="B1454">
        <v>11374</v>
      </c>
      <c r="C1454" t="s">
        <v>22863</v>
      </c>
      <c r="E1454">
        <v>181</v>
      </c>
      <c r="F1454">
        <v>150</v>
      </c>
      <c r="G1454">
        <v>127</v>
      </c>
      <c r="W1454" t="s">
        <v>6551</v>
      </c>
    </row>
    <row r="1455" spans="2:24" x14ac:dyDescent="0.25">
      <c r="B1455">
        <v>11375</v>
      </c>
      <c r="C1455" t="s">
        <v>22864</v>
      </c>
      <c r="E1455">
        <v>203</v>
      </c>
      <c r="F1455">
        <v>183</v>
      </c>
      <c r="G1455">
        <v>168</v>
      </c>
      <c r="W1455" t="s">
        <v>6553</v>
      </c>
    </row>
    <row r="1456" spans="2:24" x14ac:dyDescent="0.25">
      <c r="B1456">
        <v>11376</v>
      </c>
      <c r="C1456" t="s">
        <v>22865</v>
      </c>
      <c r="E1456">
        <v>203</v>
      </c>
      <c r="F1456">
        <v>183</v>
      </c>
      <c r="G1456">
        <v>168</v>
      </c>
      <c r="X1456" t="s">
        <v>6555</v>
      </c>
    </row>
    <row r="1457" spans="2:24" x14ac:dyDescent="0.25">
      <c r="B1457">
        <v>11377</v>
      </c>
      <c r="C1457" t="s">
        <v>22866</v>
      </c>
      <c r="E1457">
        <v>196</v>
      </c>
      <c r="F1457">
        <v>173</v>
      </c>
      <c r="G1457">
        <v>154</v>
      </c>
      <c r="X1457" t="s">
        <v>6557</v>
      </c>
    </row>
    <row r="1458" spans="2:24" x14ac:dyDescent="0.25">
      <c r="B1458">
        <v>13020</v>
      </c>
      <c r="C1458" t="s">
        <v>22867</v>
      </c>
      <c r="E1458">
        <v>203</v>
      </c>
      <c r="F1458">
        <v>183</v>
      </c>
      <c r="G1458">
        <v>168</v>
      </c>
      <c r="V1458" t="s">
        <v>7942</v>
      </c>
    </row>
    <row r="1459" spans="2:24" x14ac:dyDescent="0.25">
      <c r="B1459">
        <v>11378</v>
      </c>
      <c r="C1459" t="s">
        <v>22868</v>
      </c>
      <c r="E1459">
        <v>193</v>
      </c>
      <c r="F1459">
        <v>166</v>
      </c>
      <c r="G1459">
        <v>143</v>
      </c>
      <c r="V1459" t="s">
        <v>6559</v>
      </c>
    </row>
    <row r="1460" spans="2:24" x14ac:dyDescent="0.25">
      <c r="B1460">
        <v>11379</v>
      </c>
      <c r="C1460" t="s">
        <v>22869</v>
      </c>
      <c r="E1460">
        <v>181</v>
      </c>
      <c r="F1460">
        <v>150</v>
      </c>
      <c r="G1460">
        <v>127</v>
      </c>
      <c r="W1460" t="s">
        <v>6561</v>
      </c>
    </row>
    <row r="1461" spans="2:24" x14ac:dyDescent="0.25">
      <c r="B1461">
        <v>11380</v>
      </c>
      <c r="C1461" t="s">
        <v>22870</v>
      </c>
      <c r="E1461">
        <v>196</v>
      </c>
      <c r="F1461">
        <v>173</v>
      </c>
      <c r="G1461">
        <v>154</v>
      </c>
      <c r="W1461" t="s">
        <v>6563</v>
      </c>
    </row>
    <row r="1462" spans="2:24" x14ac:dyDescent="0.25">
      <c r="B1462">
        <v>11381</v>
      </c>
      <c r="C1462" t="s">
        <v>22871</v>
      </c>
      <c r="E1462">
        <v>193</v>
      </c>
      <c r="F1462">
        <v>166</v>
      </c>
      <c r="G1462">
        <v>143</v>
      </c>
      <c r="U1462" t="s">
        <v>6565</v>
      </c>
    </row>
    <row r="1463" spans="2:24" x14ac:dyDescent="0.25">
      <c r="B1463">
        <v>11383</v>
      </c>
      <c r="C1463" t="s">
        <v>22872</v>
      </c>
      <c r="E1463">
        <v>220</v>
      </c>
      <c r="F1463">
        <v>208</v>
      </c>
      <c r="G1463">
        <v>198</v>
      </c>
      <c r="V1463" t="s">
        <v>6569</v>
      </c>
    </row>
    <row r="1464" spans="2:24" x14ac:dyDescent="0.25">
      <c r="B1464">
        <v>11382</v>
      </c>
      <c r="C1464" t="s">
        <v>15902</v>
      </c>
      <c r="E1464">
        <v>203</v>
      </c>
      <c r="F1464">
        <v>183</v>
      </c>
      <c r="G1464">
        <v>168</v>
      </c>
      <c r="V1464" t="s">
        <v>6567</v>
      </c>
    </row>
    <row r="1465" spans="2:24" x14ac:dyDescent="0.25">
      <c r="B1465">
        <v>11384</v>
      </c>
      <c r="C1465" t="s">
        <v>22873</v>
      </c>
      <c r="E1465">
        <v>181</v>
      </c>
      <c r="F1465">
        <v>150</v>
      </c>
      <c r="G1465">
        <v>127</v>
      </c>
      <c r="W1465" t="s">
        <v>6571</v>
      </c>
    </row>
    <row r="1466" spans="2:24" x14ac:dyDescent="0.25">
      <c r="B1466">
        <v>11385</v>
      </c>
      <c r="C1466" t="s">
        <v>22874</v>
      </c>
      <c r="E1466">
        <v>203</v>
      </c>
      <c r="F1466">
        <v>183</v>
      </c>
      <c r="G1466">
        <v>168</v>
      </c>
      <c r="W1466" t="s">
        <v>6573</v>
      </c>
    </row>
    <row r="1467" spans="2:24" x14ac:dyDescent="0.25">
      <c r="B1467">
        <v>11386</v>
      </c>
      <c r="C1467" t="s">
        <v>22875</v>
      </c>
      <c r="E1467">
        <v>203</v>
      </c>
      <c r="F1467">
        <v>183</v>
      </c>
      <c r="G1467">
        <v>168</v>
      </c>
      <c r="X1467" t="s">
        <v>6575</v>
      </c>
    </row>
    <row r="1468" spans="2:24" x14ac:dyDescent="0.25">
      <c r="B1468">
        <v>11387</v>
      </c>
      <c r="C1468" t="s">
        <v>22876</v>
      </c>
      <c r="E1468">
        <v>196</v>
      </c>
      <c r="F1468">
        <v>173</v>
      </c>
      <c r="G1468">
        <v>154</v>
      </c>
      <c r="X1468" t="s">
        <v>6577</v>
      </c>
    </row>
    <row r="1469" spans="2:24" x14ac:dyDescent="0.25">
      <c r="B1469">
        <v>13021</v>
      </c>
      <c r="C1469" t="s">
        <v>22877</v>
      </c>
      <c r="E1469">
        <v>210</v>
      </c>
      <c r="F1469">
        <v>191</v>
      </c>
      <c r="G1469">
        <v>178</v>
      </c>
      <c r="V1469" t="s">
        <v>7944</v>
      </c>
    </row>
    <row r="1470" spans="2:24" x14ac:dyDescent="0.25">
      <c r="B1470">
        <v>11388</v>
      </c>
      <c r="C1470" t="s">
        <v>22878</v>
      </c>
      <c r="E1470">
        <v>193</v>
      </c>
      <c r="F1470">
        <v>166</v>
      </c>
      <c r="G1470">
        <v>143</v>
      </c>
      <c r="V1470" t="s">
        <v>6579</v>
      </c>
    </row>
    <row r="1471" spans="2:24" x14ac:dyDescent="0.25">
      <c r="B1471">
        <v>11389</v>
      </c>
      <c r="C1471" t="s">
        <v>22879</v>
      </c>
      <c r="E1471">
        <v>181</v>
      </c>
      <c r="F1471">
        <v>150</v>
      </c>
      <c r="G1471">
        <v>127</v>
      </c>
      <c r="W1471" t="s">
        <v>6581</v>
      </c>
    </row>
    <row r="1472" spans="2:24" x14ac:dyDescent="0.25">
      <c r="B1472">
        <v>11390</v>
      </c>
      <c r="C1472" t="s">
        <v>22880</v>
      </c>
      <c r="E1472">
        <v>196</v>
      </c>
      <c r="F1472">
        <v>173</v>
      </c>
      <c r="G1472">
        <v>154</v>
      </c>
      <c r="W1472" t="s">
        <v>6583</v>
      </c>
    </row>
    <row r="1473" spans="2:24" x14ac:dyDescent="0.25">
      <c r="B1473">
        <v>11391</v>
      </c>
      <c r="C1473" t="s">
        <v>22881</v>
      </c>
      <c r="E1473">
        <v>203</v>
      </c>
      <c r="F1473">
        <v>183</v>
      </c>
      <c r="G1473">
        <v>168</v>
      </c>
      <c r="U1473" t="s">
        <v>6585</v>
      </c>
    </row>
    <row r="1474" spans="2:24" x14ac:dyDescent="0.25">
      <c r="B1474">
        <v>11393</v>
      </c>
      <c r="C1474" t="s">
        <v>22882</v>
      </c>
      <c r="E1474">
        <v>220</v>
      </c>
      <c r="F1474">
        <v>208</v>
      </c>
      <c r="G1474">
        <v>198</v>
      </c>
      <c r="V1474" t="s">
        <v>6589</v>
      </c>
    </row>
    <row r="1475" spans="2:24" x14ac:dyDescent="0.25">
      <c r="B1475">
        <v>11392</v>
      </c>
      <c r="C1475" t="s">
        <v>22883</v>
      </c>
      <c r="E1475">
        <v>203</v>
      </c>
      <c r="F1475">
        <v>183</v>
      </c>
      <c r="G1475">
        <v>168</v>
      </c>
      <c r="V1475" t="s">
        <v>6587</v>
      </c>
    </row>
    <row r="1476" spans="2:24" x14ac:dyDescent="0.25">
      <c r="B1476">
        <v>11394</v>
      </c>
      <c r="C1476" t="s">
        <v>22884</v>
      </c>
      <c r="E1476">
        <v>181</v>
      </c>
      <c r="F1476">
        <v>150</v>
      </c>
      <c r="G1476">
        <v>127</v>
      </c>
      <c r="W1476" t="s">
        <v>6591</v>
      </c>
    </row>
    <row r="1477" spans="2:24" x14ac:dyDescent="0.25">
      <c r="B1477">
        <v>11395</v>
      </c>
      <c r="C1477" t="s">
        <v>22885</v>
      </c>
      <c r="E1477">
        <v>203</v>
      </c>
      <c r="F1477">
        <v>183</v>
      </c>
      <c r="G1477">
        <v>168</v>
      </c>
      <c r="W1477" t="s">
        <v>6593</v>
      </c>
    </row>
    <row r="1478" spans="2:24" x14ac:dyDescent="0.25">
      <c r="B1478">
        <v>11396</v>
      </c>
      <c r="C1478" t="s">
        <v>22886</v>
      </c>
      <c r="E1478">
        <v>203</v>
      </c>
      <c r="F1478">
        <v>183</v>
      </c>
      <c r="G1478">
        <v>168</v>
      </c>
      <c r="X1478" t="s">
        <v>6595</v>
      </c>
    </row>
    <row r="1479" spans="2:24" x14ac:dyDescent="0.25">
      <c r="B1479">
        <v>11397</v>
      </c>
      <c r="C1479" t="s">
        <v>22887</v>
      </c>
      <c r="E1479">
        <v>196</v>
      </c>
      <c r="F1479">
        <v>173</v>
      </c>
      <c r="G1479">
        <v>154</v>
      </c>
      <c r="X1479" t="s">
        <v>6597</v>
      </c>
    </row>
    <row r="1480" spans="2:24" x14ac:dyDescent="0.25">
      <c r="B1480">
        <v>13022</v>
      </c>
      <c r="C1480" t="s">
        <v>22888</v>
      </c>
      <c r="E1480">
        <v>220</v>
      </c>
      <c r="F1480">
        <v>208</v>
      </c>
      <c r="G1480">
        <v>198</v>
      </c>
      <c r="V1480" t="s">
        <v>7946</v>
      </c>
    </row>
    <row r="1481" spans="2:24" x14ac:dyDescent="0.25">
      <c r="B1481">
        <v>11398</v>
      </c>
      <c r="C1481" t="s">
        <v>22889</v>
      </c>
      <c r="E1481">
        <v>193</v>
      </c>
      <c r="F1481">
        <v>166</v>
      </c>
      <c r="G1481">
        <v>143</v>
      </c>
      <c r="V1481" t="s">
        <v>6599</v>
      </c>
    </row>
    <row r="1482" spans="2:24" x14ac:dyDescent="0.25">
      <c r="B1482">
        <v>11399</v>
      </c>
      <c r="C1482" t="s">
        <v>22890</v>
      </c>
      <c r="E1482">
        <v>181</v>
      </c>
      <c r="F1482">
        <v>150</v>
      </c>
      <c r="G1482">
        <v>127</v>
      </c>
      <c r="W1482" t="s">
        <v>6601</v>
      </c>
    </row>
    <row r="1483" spans="2:24" x14ac:dyDescent="0.25">
      <c r="B1483">
        <v>11400</v>
      </c>
      <c r="C1483" t="s">
        <v>22891</v>
      </c>
      <c r="E1483">
        <v>196</v>
      </c>
      <c r="F1483">
        <v>173</v>
      </c>
      <c r="G1483">
        <v>154</v>
      </c>
      <c r="W1483" t="s">
        <v>6603</v>
      </c>
    </row>
    <row r="1484" spans="2:24" x14ac:dyDescent="0.25">
      <c r="B1484">
        <v>11401</v>
      </c>
      <c r="C1484" t="s">
        <v>22892</v>
      </c>
      <c r="E1484">
        <v>193</v>
      </c>
      <c r="F1484">
        <v>166</v>
      </c>
      <c r="G1484">
        <v>143</v>
      </c>
      <c r="U1484" t="s">
        <v>6605</v>
      </c>
    </row>
    <row r="1485" spans="2:24" x14ac:dyDescent="0.25">
      <c r="B1485">
        <v>11403</v>
      </c>
      <c r="C1485" t="s">
        <v>22893</v>
      </c>
      <c r="E1485">
        <v>220</v>
      </c>
      <c r="F1485">
        <v>208</v>
      </c>
      <c r="G1485">
        <v>198</v>
      </c>
      <c r="V1485" t="s">
        <v>6609</v>
      </c>
    </row>
    <row r="1486" spans="2:24" x14ac:dyDescent="0.25">
      <c r="B1486">
        <v>11402</v>
      </c>
      <c r="C1486" t="s">
        <v>22894</v>
      </c>
      <c r="E1486">
        <v>203</v>
      </c>
      <c r="F1486">
        <v>183</v>
      </c>
      <c r="G1486">
        <v>168</v>
      </c>
      <c r="V1486" t="s">
        <v>6607</v>
      </c>
    </row>
    <row r="1487" spans="2:24" x14ac:dyDescent="0.25">
      <c r="B1487">
        <v>11404</v>
      </c>
      <c r="C1487" t="s">
        <v>22895</v>
      </c>
      <c r="E1487">
        <v>181</v>
      </c>
      <c r="F1487">
        <v>150</v>
      </c>
      <c r="G1487">
        <v>127</v>
      </c>
      <c r="W1487" t="s">
        <v>6611</v>
      </c>
    </row>
    <row r="1488" spans="2:24" x14ac:dyDescent="0.25">
      <c r="B1488">
        <v>11405</v>
      </c>
      <c r="C1488" t="s">
        <v>22896</v>
      </c>
      <c r="E1488">
        <v>203</v>
      </c>
      <c r="F1488">
        <v>183</v>
      </c>
      <c r="G1488">
        <v>168</v>
      </c>
      <c r="W1488" t="s">
        <v>6613</v>
      </c>
    </row>
    <row r="1489" spans="2:24" x14ac:dyDescent="0.25">
      <c r="B1489">
        <v>11406</v>
      </c>
      <c r="C1489" t="s">
        <v>22897</v>
      </c>
      <c r="E1489">
        <v>203</v>
      </c>
      <c r="F1489">
        <v>183</v>
      </c>
      <c r="G1489">
        <v>168</v>
      </c>
      <c r="X1489" t="s">
        <v>6615</v>
      </c>
    </row>
    <row r="1490" spans="2:24" x14ac:dyDescent="0.25">
      <c r="B1490">
        <v>11407</v>
      </c>
      <c r="C1490" t="s">
        <v>22898</v>
      </c>
      <c r="E1490">
        <v>196</v>
      </c>
      <c r="F1490">
        <v>173</v>
      </c>
      <c r="G1490">
        <v>154</v>
      </c>
      <c r="X1490" t="s">
        <v>6617</v>
      </c>
    </row>
    <row r="1491" spans="2:24" x14ac:dyDescent="0.25">
      <c r="B1491">
        <v>11408</v>
      </c>
      <c r="C1491" t="s">
        <v>22899</v>
      </c>
      <c r="E1491">
        <v>220</v>
      </c>
      <c r="F1491">
        <v>208</v>
      </c>
      <c r="G1491">
        <v>198</v>
      </c>
      <c r="V1491" t="s">
        <v>6619</v>
      </c>
    </row>
    <row r="1492" spans="2:24" x14ac:dyDescent="0.25">
      <c r="B1492">
        <v>11409</v>
      </c>
      <c r="C1492" t="s">
        <v>22900</v>
      </c>
      <c r="E1492">
        <v>193</v>
      </c>
      <c r="F1492">
        <v>166</v>
      </c>
      <c r="G1492">
        <v>143</v>
      </c>
      <c r="V1492" t="s">
        <v>6621</v>
      </c>
    </row>
    <row r="1493" spans="2:24" x14ac:dyDescent="0.25">
      <c r="B1493">
        <v>11410</v>
      </c>
      <c r="C1493" t="s">
        <v>22901</v>
      </c>
      <c r="E1493">
        <v>181</v>
      </c>
      <c r="F1493">
        <v>150</v>
      </c>
      <c r="G1493">
        <v>127</v>
      </c>
      <c r="W1493" t="s">
        <v>6623</v>
      </c>
    </row>
    <row r="1494" spans="2:24" x14ac:dyDescent="0.25">
      <c r="B1494">
        <v>11411</v>
      </c>
      <c r="C1494" t="s">
        <v>22902</v>
      </c>
      <c r="E1494">
        <v>196</v>
      </c>
      <c r="F1494">
        <v>173</v>
      </c>
      <c r="G1494">
        <v>154</v>
      </c>
      <c r="W1494" t="s">
        <v>6625</v>
      </c>
    </row>
    <row r="1495" spans="2:24" x14ac:dyDescent="0.25">
      <c r="B1495">
        <v>10319</v>
      </c>
      <c r="C1495" t="s">
        <v>22903</v>
      </c>
      <c r="E1495">
        <v>203</v>
      </c>
      <c r="F1495">
        <v>183</v>
      </c>
      <c r="G1495">
        <v>168</v>
      </c>
      <c r="T1495" t="s">
        <v>2892</v>
      </c>
    </row>
    <row r="1496" spans="2:24" x14ac:dyDescent="0.25">
      <c r="B1496">
        <v>11412</v>
      </c>
      <c r="C1496" t="s">
        <v>22904</v>
      </c>
      <c r="E1496">
        <v>203</v>
      </c>
      <c r="F1496">
        <v>183</v>
      </c>
      <c r="G1496">
        <v>168</v>
      </c>
      <c r="U1496" t="s">
        <v>6627</v>
      </c>
    </row>
    <row r="1497" spans="2:24" x14ac:dyDescent="0.25">
      <c r="B1497">
        <v>11414</v>
      </c>
      <c r="C1497" t="s">
        <v>22905</v>
      </c>
      <c r="E1497">
        <v>220</v>
      </c>
      <c r="F1497">
        <v>208</v>
      </c>
      <c r="G1497">
        <v>198</v>
      </c>
      <c r="V1497" t="s">
        <v>6631</v>
      </c>
    </row>
    <row r="1498" spans="2:24" x14ac:dyDescent="0.25">
      <c r="B1498">
        <v>11413</v>
      </c>
      <c r="C1498" t="s">
        <v>22906</v>
      </c>
      <c r="E1498">
        <v>203</v>
      </c>
      <c r="F1498">
        <v>183</v>
      </c>
      <c r="G1498">
        <v>168</v>
      </c>
      <c r="V1498" t="s">
        <v>6629</v>
      </c>
    </row>
    <row r="1499" spans="2:24" x14ac:dyDescent="0.25">
      <c r="B1499">
        <v>11415</v>
      </c>
      <c r="C1499" t="s">
        <v>22907</v>
      </c>
      <c r="E1499">
        <v>181</v>
      </c>
      <c r="F1499">
        <v>150</v>
      </c>
      <c r="G1499">
        <v>127</v>
      </c>
      <c r="W1499" t="s">
        <v>6633</v>
      </c>
    </row>
    <row r="1500" spans="2:24" x14ac:dyDescent="0.25">
      <c r="B1500">
        <v>11416</v>
      </c>
      <c r="C1500" t="s">
        <v>22908</v>
      </c>
      <c r="E1500">
        <v>203</v>
      </c>
      <c r="F1500">
        <v>183</v>
      </c>
      <c r="G1500">
        <v>168</v>
      </c>
      <c r="W1500" t="s">
        <v>6635</v>
      </c>
    </row>
    <row r="1501" spans="2:24" x14ac:dyDescent="0.25">
      <c r="B1501">
        <v>11417</v>
      </c>
      <c r="C1501" t="s">
        <v>22909</v>
      </c>
      <c r="E1501">
        <v>203</v>
      </c>
      <c r="F1501">
        <v>183</v>
      </c>
      <c r="G1501">
        <v>168</v>
      </c>
      <c r="X1501" t="s">
        <v>6637</v>
      </c>
    </row>
    <row r="1502" spans="2:24" x14ac:dyDescent="0.25">
      <c r="B1502">
        <v>11418</v>
      </c>
      <c r="C1502" t="s">
        <v>22910</v>
      </c>
      <c r="E1502">
        <v>196</v>
      </c>
      <c r="F1502">
        <v>173</v>
      </c>
      <c r="G1502">
        <v>154</v>
      </c>
      <c r="X1502" t="s">
        <v>6639</v>
      </c>
    </row>
    <row r="1503" spans="2:24" x14ac:dyDescent="0.25">
      <c r="B1503">
        <v>11419</v>
      </c>
      <c r="C1503" t="s">
        <v>22911</v>
      </c>
      <c r="E1503">
        <v>220</v>
      </c>
      <c r="F1503">
        <v>208</v>
      </c>
      <c r="G1503">
        <v>198</v>
      </c>
      <c r="V1503" t="s">
        <v>6641</v>
      </c>
    </row>
    <row r="1504" spans="2:24" x14ac:dyDescent="0.25">
      <c r="B1504">
        <v>11420</v>
      </c>
      <c r="C1504" t="s">
        <v>22912</v>
      </c>
      <c r="E1504">
        <v>193</v>
      </c>
      <c r="F1504">
        <v>166</v>
      </c>
      <c r="G1504">
        <v>143</v>
      </c>
      <c r="V1504" t="s">
        <v>6643</v>
      </c>
    </row>
    <row r="1505" spans="2:24" x14ac:dyDescent="0.25">
      <c r="B1505">
        <v>11421</v>
      </c>
      <c r="C1505" t="s">
        <v>22913</v>
      </c>
      <c r="E1505">
        <v>181</v>
      </c>
      <c r="F1505">
        <v>150</v>
      </c>
      <c r="G1505">
        <v>127</v>
      </c>
      <c r="W1505" t="s">
        <v>6645</v>
      </c>
    </row>
    <row r="1506" spans="2:24" x14ac:dyDescent="0.25">
      <c r="B1506">
        <v>11422</v>
      </c>
      <c r="C1506" t="s">
        <v>22914</v>
      </c>
      <c r="E1506">
        <v>196</v>
      </c>
      <c r="F1506">
        <v>173</v>
      </c>
      <c r="G1506">
        <v>154</v>
      </c>
      <c r="W1506" t="s">
        <v>6647</v>
      </c>
    </row>
    <row r="1507" spans="2:24" x14ac:dyDescent="0.25">
      <c r="B1507">
        <v>11423</v>
      </c>
      <c r="C1507" t="s">
        <v>22915</v>
      </c>
      <c r="E1507">
        <v>193</v>
      </c>
      <c r="F1507">
        <v>166</v>
      </c>
      <c r="G1507">
        <v>143</v>
      </c>
      <c r="U1507" t="s">
        <v>6649</v>
      </c>
    </row>
    <row r="1508" spans="2:24" x14ac:dyDescent="0.25">
      <c r="B1508">
        <v>11425</v>
      </c>
      <c r="C1508" t="s">
        <v>22916</v>
      </c>
      <c r="E1508">
        <v>220</v>
      </c>
      <c r="F1508">
        <v>208</v>
      </c>
      <c r="G1508">
        <v>198</v>
      </c>
      <c r="V1508" t="s">
        <v>6653</v>
      </c>
    </row>
    <row r="1509" spans="2:24" x14ac:dyDescent="0.25">
      <c r="B1509">
        <v>11424</v>
      </c>
      <c r="C1509" t="s">
        <v>22917</v>
      </c>
      <c r="E1509">
        <v>203</v>
      </c>
      <c r="F1509">
        <v>183</v>
      </c>
      <c r="G1509">
        <v>168</v>
      </c>
      <c r="V1509" t="s">
        <v>6651</v>
      </c>
    </row>
    <row r="1510" spans="2:24" x14ac:dyDescent="0.25">
      <c r="B1510">
        <v>11426</v>
      </c>
      <c r="C1510" t="s">
        <v>22918</v>
      </c>
      <c r="E1510">
        <v>181</v>
      </c>
      <c r="F1510">
        <v>150</v>
      </c>
      <c r="G1510">
        <v>127</v>
      </c>
      <c r="W1510" t="s">
        <v>6655</v>
      </c>
    </row>
    <row r="1511" spans="2:24" x14ac:dyDescent="0.25">
      <c r="B1511">
        <v>11427</v>
      </c>
      <c r="C1511" t="s">
        <v>22919</v>
      </c>
      <c r="E1511">
        <v>203</v>
      </c>
      <c r="F1511">
        <v>183</v>
      </c>
      <c r="G1511">
        <v>168</v>
      </c>
      <c r="W1511" t="s">
        <v>6657</v>
      </c>
    </row>
    <row r="1512" spans="2:24" x14ac:dyDescent="0.25">
      <c r="B1512">
        <v>11428</v>
      </c>
      <c r="C1512" t="s">
        <v>22920</v>
      </c>
      <c r="E1512">
        <v>203</v>
      </c>
      <c r="F1512">
        <v>183</v>
      </c>
      <c r="G1512">
        <v>168</v>
      </c>
      <c r="X1512" t="s">
        <v>6659</v>
      </c>
    </row>
    <row r="1513" spans="2:24" x14ac:dyDescent="0.25">
      <c r="B1513">
        <v>11429</v>
      </c>
      <c r="C1513" t="s">
        <v>22921</v>
      </c>
      <c r="E1513">
        <v>196</v>
      </c>
      <c r="F1513">
        <v>173</v>
      </c>
      <c r="G1513">
        <v>154</v>
      </c>
      <c r="X1513" t="s">
        <v>6661</v>
      </c>
    </row>
    <row r="1514" spans="2:24" x14ac:dyDescent="0.25">
      <c r="B1514">
        <v>11430</v>
      </c>
      <c r="C1514" t="s">
        <v>22922</v>
      </c>
      <c r="E1514">
        <v>220</v>
      </c>
      <c r="F1514">
        <v>208</v>
      </c>
      <c r="G1514">
        <v>198</v>
      </c>
      <c r="V1514" t="s">
        <v>6663</v>
      </c>
    </row>
    <row r="1515" spans="2:24" x14ac:dyDescent="0.25">
      <c r="B1515">
        <v>11431</v>
      </c>
      <c r="C1515" t="s">
        <v>22923</v>
      </c>
      <c r="E1515">
        <v>193</v>
      </c>
      <c r="F1515">
        <v>166</v>
      </c>
      <c r="G1515">
        <v>143</v>
      </c>
      <c r="V1515" t="s">
        <v>6665</v>
      </c>
    </row>
    <row r="1516" spans="2:24" x14ac:dyDescent="0.25">
      <c r="B1516">
        <v>11432</v>
      </c>
      <c r="C1516" t="s">
        <v>22924</v>
      </c>
      <c r="E1516">
        <v>181</v>
      </c>
      <c r="F1516">
        <v>150</v>
      </c>
      <c r="G1516">
        <v>127</v>
      </c>
      <c r="W1516" t="s">
        <v>6667</v>
      </c>
    </row>
    <row r="1517" spans="2:24" x14ac:dyDescent="0.25">
      <c r="B1517">
        <v>11433</v>
      </c>
      <c r="C1517" t="s">
        <v>22925</v>
      </c>
      <c r="E1517">
        <v>196</v>
      </c>
      <c r="F1517">
        <v>173</v>
      </c>
      <c r="G1517">
        <v>154</v>
      </c>
      <c r="W1517" t="s">
        <v>6669</v>
      </c>
    </row>
    <row r="1518" spans="2:24" x14ac:dyDescent="0.25">
      <c r="B1518">
        <v>11434</v>
      </c>
      <c r="C1518" t="s">
        <v>22926</v>
      </c>
      <c r="E1518">
        <v>203</v>
      </c>
      <c r="F1518">
        <v>183</v>
      </c>
      <c r="G1518">
        <v>168</v>
      </c>
      <c r="U1518" t="s">
        <v>6671</v>
      </c>
    </row>
    <row r="1519" spans="2:24" x14ac:dyDescent="0.25">
      <c r="B1519">
        <v>11436</v>
      </c>
      <c r="C1519" t="s">
        <v>22927</v>
      </c>
      <c r="E1519">
        <v>220</v>
      </c>
      <c r="F1519">
        <v>208</v>
      </c>
      <c r="G1519">
        <v>198</v>
      </c>
      <c r="V1519" t="s">
        <v>6675</v>
      </c>
    </row>
    <row r="1520" spans="2:24" x14ac:dyDescent="0.25">
      <c r="B1520">
        <v>11435</v>
      </c>
      <c r="C1520" t="s">
        <v>22928</v>
      </c>
      <c r="E1520">
        <v>203</v>
      </c>
      <c r="F1520">
        <v>183</v>
      </c>
      <c r="G1520">
        <v>168</v>
      </c>
      <c r="V1520" t="s">
        <v>6673</v>
      </c>
    </row>
    <row r="1521" spans="2:24" x14ac:dyDescent="0.25">
      <c r="B1521">
        <v>11437</v>
      </c>
      <c r="C1521" t="s">
        <v>22929</v>
      </c>
      <c r="E1521">
        <v>181</v>
      </c>
      <c r="F1521">
        <v>150</v>
      </c>
      <c r="G1521">
        <v>127</v>
      </c>
      <c r="W1521" t="s">
        <v>6677</v>
      </c>
    </row>
    <row r="1522" spans="2:24" x14ac:dyDescent="0.25">
      <c r="B1522">
        <v>11438</v>
      </c>
      <c r="C1522" t="s">
        <v>22930</v>
      </c>
      <c r="E1522">
        <v>203</v>
      </c>
      <c r="F1522">
        <v>183</v>
      </c>
      <c r="G1522">
        <v>168</v>
      </c>
      <c r="W1522" t="s">
        <v>6679</v>
      </c>
    </row>
    <row r="1523" spans="2:24" x14ac:dyDescent="0.25">
      <c r="B1523">
        <v>11439</v>
      </c>
      <c r="C1523" t="s">
        <v>22931</v>
      </c>
      <c r="E1523">
        <v>203</v>
      </c>
      <c r="F1523">
        <v>183</v>
      </c>
      <c r="G1523">
        <v>168</v>
      </c>
      <c r="X1523" t="s">
        <v>6681</v>
      </c>
    </row>
    <row r="1524" spans="2:24" x14ac:dyDescent="0.25">
      <c r="B1524">
        <v>11440</v>
      </c>
      <c r="C1524" t="s">
        <v>22932</v>
      </c>
      <c r="E1524">
        <v>196</v>
      </c>
      <c r="F1524">
        <v>173</v>
      </c>
      <c r="G1524">
        <v>154</v>
      </c>
      <c r="X1524" t="s">
        <v>6683</v>
      </c>
    </row>
    <row r="1525" spans="2:24" x14ac:dyDescent="0.25">
      <c r="B1525">
        <v>11441</v>
      </c>
      <c r="C1525" t="s">
        <v>22933</v>
      </c>
      <c r="E1525">
        <v>220</v>
      </c>
      <c r="F1525">
        <v>208</v>
      </c>
      <c r="G1525">
        <v>198</v>
      </c>
      <c r="V1525" t="s">
        <v>6685</v>
      </c>
    </row>
    <row r="1526" spans="2:24" x14ac:dyDescent="0.25">
      <c r="B1526">
        <v>11442</v>
      </c>
      <c r="C1526" t="s">
        <v>22934</v>
      </c>
      <c r="E1526">
        <v>193</v>
      </c>
      <c r="F1526">
        <v>166</v>
      </c>
      <c r="G1526">
        <v>143</v>
      </c>
      <c r="V1526" t="s">
        <v>6687</v>
      </c>
    </row>
    <row r="1527" spans="2:24" x14ac:dyDescent="0.25">
      <c r="B1527">
        <v>11443</v>
      </c>
      <c r="C1527" t="s">
        <v>22935</v>
      </c>
      <c r="E1527">
        <v>181</v>
      </c>
      <c r="F1527">
        <v>150</v>
      </c>
      <c r="G1527">
        <v>127</v>
      </c>
      <c r="W1527" t="s">
        <v>6689</v>
      </c>
    </row>
    <row r="1528" spans="2:24" x14ac:dyDescent="0.25">
      <c r="B1528">
        <v>11444</v>
      </c>
      <c r="C1528" t="s">
        <v>22936</v>
      </c>
      <c r="E1528">
        <v>196</v>
      </c>
      <c r="F1528">
        <v>173</v>
      </c>
      <c r="G1528">
        <v>154</v>
      </c>
      <c r="W1528" t="s">
        <v>6691</v>
      </c>
    </row>
    <row r="1529" spans="2:24" x14ac:dyDescent="0.25">
      <c r="B1529">
        <v>11445</v>
      </c>
      <c r="C1529" t="s">
        <v>22937</v>
      </c>
      <c r="E1529">
        <v>193</v>
      </c>
      <c r="F1529">
        <v>166</v>
      </c>
      <c r="G1529">
        <v>143</v>
      </c>
      <c r="U1529" t="s">
        <v>6693</v>
      </c>
    </row>
    <row r="1530" spans="2:24" x14ac:dyDescent="0.25">
      <c r="B1530">
        <v>11447</v>
      </c>
      <c r="C1530" t="s">
        <v>22938</v>
      </c>
      <c r="E1530">
        <v>220</v>
      </c>
      <c r="F1530">
        <v>208</v>
      </c>
      <c r="G1530">
        <v>198</v>
      </c>
      <c r="V1530" t="s">
        <v>6697</v>
      </c>
    </row>
    <row r="1531" spans="2:24" x14ac:dyDescent="0.25">
      <c r="B1531">
        <v>11446</v>
      </c>
      <c r="C1531" t="s">
        <v>22939</v>
      </c>
      <c r="E1531">
        <v>203</v>
      </c>
      <c r="F1531">
        <v>183</v>
      </c>
      <c r="G1531">
        <v>168</v>
      </c>
      <c r="V1531" t="s">
        <v>6695</v>
      </c>
    </row>
    <row r="1532" spans="2:24" x14ac:dyDescent="0.25">
      <c r="B1532">
        <v>11448</v>
      </c>
      <c r="C1532" t="s">
        <v>22940</v>
      </c>
      <c r="E1532">
        <v>181</v>
      </c>
      <c r="F1532">
        <v>150</v>
      </c>
      <c r="G1532">
        <v>127</v>
      </c>
      <c r="W1532" t="s">
        <v>6699</v>
      </c>
    </row>
    <row r="1533" spans="2:24" x14ac:dyDescent="0.25">
      <c r="B1533">
        <v>11449</v>
      </c>
      <c r="C1533" t="s">
        <v>22941</v>
      </c>
      <c r="E1533">
        <v>203</v>
      </c>
      <c r="F1533">
        <v>183</v>
      </c>
      <c r="G1533">
        <v>168</v>
      </c>
      <c r="W1533" t="s">
        <v>6701</v>
      </c>
    </row>
    <row r="1534" spans="2:24" x14ac:dyDescent="0.25">
      <c r="B1534">
        <v>11450</v>
      </c>
      <c r="C1534" t="s">
        <v>22942</v>
      </c>
      <c r="E1534">
        <v>203</v>
      </c>
      <c r="F1534">
        <v>183</v>
      </c>
      <c r="G1534">
        <v>168</v>
      </c>
      <c r="X1534" t="s">
        <v>6703</v>
      </c>
    </row>
    <row r="1535" spans="2:24" x14ac:dyDescent="0.25">
      <c r="B1535">
        <v>11451</v>
      </c>
      <c r="C1535" t="s">
        <v>22943</v>
      </c>
      <c r="E1535">
        <v>196</v>
      </c>
      <c r="F1535">
        <v>173</v>
      </c>
      <c r="G1535">
        <v>154</v>
      </c>
      <c r="X1535" t="s">
        <v>6705</v>
      </c>
    </row>
    <row r="1536" spans="2:24" x14ac:dyDescent="0.25">
      <c r="B1536">
        <v>13023</v>
      </c>
      <c r="C1536" t="s">
        <v>22944</v>
      </c>
      <c r="E1536">
        <v>220</v>
      </c>
      <c r="F1536">
        <v>208</v>
      </c>
      <c r="G1536">
        <v>198</v>
      </c>
      <c r="V1536" t="s">
        <v>7948</v>
      </c>
    </row>
    <row r="1537" spans="2:23" x14ac:dyDescent="0.25">
      <c r="B1537">
        <v>11452</v>
      </c>
      <c r="C1537" t="s">
        <v>22945</v>
      </c>
      <c r="E1537">
        <v>193</v>
      </c>
      <c r="F1537">
        <v>166</v>
      </c>
      <c r="G1537">
        <v>143</v>
      </c>
      <c r="V1537" t="s">
        <v>6707</v>
      </c>
    </row>
    <row r="1538" spans="2:23" x14ac:dyDescent="0.25">
      <c r="B1538">
        <v>11453</v>
      </c>
      <c r="C1538" t="s">
        <v>22946</v>
      </c>
      <c r="E1538">
        <v>181</v>
      </c>
      <c r="F1538">
        <v>150</v>
      </c>
      <c r="G1538">
        <v>127</v>
      </c>
      <c r="W1538" t="s">
        <v>6709</v>
      </c>
    </row>
    <row r="1539" spans="2:23" x14ac:dyDescent="0.25">
      <c r="B1539">
        <v>11454</v>
      </c>
      <c r="C1539" t="s">
        <v>22947</v>
      </c>
      <c r="E1539">
        <v>196</v>
      </c>
      <c r="F1539">
        <v>173</v>
      </c>
      <c r="G1539">
        <v>154</v>
      </c>
      <c r="W1539" t="s">
        <v>6711</v>
      </c>
    </row>
    <row r="1540" spans="2:23" x14ac:dyDescent="0.25">
      <c r="B1540">
        <v>10316</v>
      </c>
      <c r="C1540" t="s">
        <v>15984</v>
      </c>
      <c r="E1540">
        <v>196</v>
      </c>
      <c r="F1540">
        <v>173</v>
      </c>
      <c r="G1540">
        <v>154</v>
      </c>
      <c r="S1540" t="s">
        <v>3612</v>
      </c>
    </row>
    <row r="1541" spans="2:23" x14ac:dyDescent="0.25">
      <c r="B1541">
        <v>11359</v>
      </c>
      <c r="C1541" t="s">
        <v>22948</v>
      </c>
      <c r="E1541">
        <v>196</v>
      </c>
      <c r="F1541">
        <v>173</v>
      </c>
      <c r="G1541">
        <v>154</v>
      </c>
      <c r="T1541" t="s">
        <v>6529</v>
      </c>
    </row>
    <row r="1542" spans="2:23" x14ac:dyDescent="0.25">
      <c r="B1542">
        <v>11360</v>
      </c>
      <c r="C1542" t="s">
        <v>22949</v>
      </c>
      <c r="E1542">
        <v>220</v>
      </c>
      <c r="F1542">
        <v>208</v>
      </c>
      <c r="G1542">
        <v>198</v>
      </c>
      <c r="U1542" t="s">
        <v>6531</v>
      </c>
    </row>
    <row r="1543" spans="2:23" x14ac:dyDescent="0.25">
      <c r="B1543">
        <v>11361</v>
      </c>
      <c r="C1543" t="s">
        <v>22950</v>
      </c>
      <c r="E1543">
        <v>174</v>
      </c>
      <c r="F1543">
        <v>142</v>
      </c>
      <c r="G1543">
        <v>119</v>
      </c>
      <c r="U1543" t="s">
        <v>6533</v>
      </c>
    </row>
    <row r="1544" spans="2:23" x14ac:dyDescent="0.25">
      <c r="B1544">
        <v>11362</v>
      </c>
      <c r="C1544" t="s">
        <v>22951</v>
      </c>
      <c r="E1544">
        <v>220</v>
      </c>
      <c r="F1544">
        <v>208</v>
      </c>
      <c r="G1544">
        <v>198</v>
      </c>
      <c r="U1544" t="s">
        <v>6535</v>
      </c>
    </row>
    <row r="1545" spans="2:23" x14ac:dyDescent="0.25">
      <c r="B1545">
        <v>13018</v>
      </c>
      <c r="C1545" t="s">
        <v>22952</v>
      </c>
      <c r="E1545">
        <v>196</v>
      </c>
      <c r="F1545">
        <v>173</v>
      </c>
      <c r="G1545">
        <v>154</v>
      </c>
      <c r="U1545" t="s">
        <v>7938</v>
      </c>
    </row>
    <row r="1546" spans="2:23" x14ac:dyDescent="0.25">
      <c r="B1546">
        <v>11365</v>
      </c>
      <c r="C1546" t="s">
        <v>22953</v>
      </c>
      <c r="E1546">
        <v>196</v>
      </c>
      <c r="F1546">
        <v>173</v>
      </c>
      <c r="G1546">
        <v>154</v>
      </c>
      <c r="T1546" t="s">
        <v>6537</v>
      </c>
    </row>
    <row r="1547" spans="2:23" x14ac:dyDescent="0.25">
      <c r="B1547">
        <v>11366</v>
      </c>
      <c r="C1547" t="s">
        <v>22954</v>
      </c>
      <c r="E1547">
        <v>220</v>
      </c>
      <c r="F1547">
        <v>208</v>
      </c>
      <c r="G1547">
        <v>198</v>
      </c>
      <c r="U1547" t="s">
        <v>6539</v>
      </c>
    </row>
    <row r="1548" spans="2:23" x14ac:dyDescent="0.25">
      <c r="B1548">
        <v>11367</v>
      </c>
      <c r="C1548" t="s">
        <v>22955</v>
      </c>
      <c r="E1548">
        <v>174</v>
      </c>
      <c r="F1548">
        <v>142</v>
      </c>
      <c r="G1548">
        <v>119</v>
      </c>
      <c r="U1548" t="s">
        <v>6541</v>
      </c>
    </row>
    <row r="1549" spans="2:23" x14ac:dyDescent="0.25">
      <c r="B1549">
        <v>11368</v>
      </c>
      <c r="C1549" t="s">
        <v>22956</v>
      </c>
      <c r="E1549">
        <v>220</v>
      </c>
      <c r="F1549">
        <v>208</v>
      </c>
      <c r="G1549">
        <v>198</v>
      </c>
      <c r="U1549" t="s">
        <v>6543</v>
      </c>
    </row>
    <row r="1550" spans="2:23" x14ac:dyDescent="0.25">
      <c r="B1550">
        <v>13019</v>
      </c>
      <c r="C1550" t="s">
        <v>22957</v>
      </c>
      <c r="E1550">
        <v>196</v>
      </c>
      <c r="F1550">
        <v>173</v>
      </c>
      <c r="G1550">
        <v>154</v>
      </c>
      <c r="U1550" t="s">
        <v>7940</v>
      </c>
    </row>
    <row r="1551" spans="2:23" x14ac:dyDescent="0.25">
      <c r="B1551">
        <v>10315</v>
      </c>
      <c r="C1551" t="s">
        <v>15970</v>
      </c>
      <c r="E1551">
        <v>193</v>
      </c>
      <c r="F1551">
        <v>166</v>
      </c>
      <c r="G1551">
        <v>143</v>
      </c>
      <c r="S1551" t="s">
        <v>4114</v>
      </c>
    </row>
    <row r="1552" spans="2:23" x14ac:dyDescent="0.25">
      <c r="B1552">
        <v>11341</v>
      </c>
      <c r="C1552" t="s">
        <v>22958</v>
      </c>
      <c r="E1552">
        <v>193</v>
      </c>
      <c r="F1552">
        <v>166</v>
      </c>
      <c r="G1552">
        <v>143</v>
      </c>
      <c r="T1552" t="s">
        <v>6493</v>
      </c>
    </row>
    <row r="1553" spans="2:22" x14ac:dyDescent="0.25">
      <c r="B1553">
        <v>11343</v>
      </c>
      <c r="C1553" t="s">
        <v>22959</v>
      </c>
      <c r="E1553">
        <v>220</v>
      </c>
      <c r="F1553">
        <v>208</v>
      </c>
      <c r="G1553">
        <v>198</v>
      </c>
      <c r="U1553" t="s">
        <v>6497</v>
      </c>
    </row>
    <row r="1554" spans="2:22" x14ac:dyDescent="0.25">
      <c r="B1554">
        <v>11342</v>
      </c>
      <c r="C1554" t="s">
        <v>22960</v>
      </c>
      <c r="E1554">
        <v>196</v>
      </c>
      <c r="F1554">
        <v>173</v>
      </c>
      <c r="G1554">
        <v>154</v>
      </c>
      <c r="U1554" t="s">
        <v>6495</v>
      </c>
    </row>
    <row r="1555" spans="2:22" x14ac:dyDescent="0.25">
      <c r="B1555">
        <v>11344</v>
      </c>
      <c r="C1555" t="s">
        <v>22961</v>
      </c>
      <c r="E1555">
        <v>162</v>
      </c>
      <c r="F1555">
        <v>128</v>
      </c>
      <c r="G1555">
        <v>105</v>
      </c>
      <c r="V1555" t="s">
        <v>6499</v>
      </c>
    </row>
    <row r="1556" spans="2:22" x14ac:dyDescent="0.25">
      <c r="B1556">
        <v>11345</v>
      </c>
      <c r="C1556" t="s">
        <v>22962</v>
      </c>
      <c r="E1556">
        <v>162</v>
      </c>
      <c r="F1556">
        <v>128</v>
      </c>
      <c r="G1556">
        <v>105</v>
      </c>
      <c r="V1556" t="s">
        <v>6501</v>
      </c>
    </row>
    <row r="1557" spans="2:22" x14ac:dyDescent="0.25">
      <c r="B1557">
        <v>11346</v>
      </c>
      <c r="C1557" t="s">
        <v>22963</v>
      </c>
      <c r="E1557">
        <v>203</v>
      </c>
      <c r="F1557">
        <v>183</v>
      </c>
      <c r="G1557">
        <v>168</v>
      </c>
      <c r="U1557" t="s">
        <v>6503</v>
      </c>
    </row>
    <row r="1558" spans="2:22" x14ac:dyDescent="0.25">
      <c r="B1558">
        <v>11347</v>
      </c>
      <c r="C1558" t="s">
        <v>22964</v>
      </c>
      <c r="E1558">
        <v>181</v>
      </c>
      <c r="F1558">
        <v>150</v>
      </c>
      <c r="G1558">
        <v>127</v>
      </c>
      <c r="U1558" t="s">
        <v>6505</v>
      </c>
    </row>
    <row r="1559" spans="2:22" x14ac:dyDescent="0.25">
      <c r="B1559">
        <v>11348</v>
      </c>
      <c r="C1559" t="s">
        <v>22965</v>
      </c>
      <c r="E1559">
        <v>193</v>
      </c>
      <c r="F1559">
        <v>166</v>
      </c>
      <c r="G1559">
        <v>143</v>
      </c>
      <c r="V1559" t="s">
        <v>6507</v>
      </c>
    </row>
    <row r="1560" spans="2:22" x14ac:dyDescent="0.25">
      <c r="B1560">
        <v>11349</v>
      </c>
      <c r="C1560" t="s">
        <v>22966</v>
      </c>
      <c r="E1560">
        <v>181</v>
      </c>
      <c r="F1560">
        <v>150</v>
      </c>
      <c r="G1560">
        <v>127</v>
      </c>
      <c r="V1560" t="s">
        <v>6509</v>
      </c>
    </row>
    <row r="1561" spans="2:22" x14ac:dyDescent="0.25">
      <c r="B1561">
        <v>11350</v>
      </c>
      <c r="C1561" t="s">
        <v>22967</v>
      </c>
      <c r="E1561">
        <v>193</v>
      </c>
      <c r="F1561">
        <v>166</v>
      </c>
      <c r="G1561">
        <v>143</v>
      </c>
      <c r="T1561" t="s">
        <v>6511</v>
      </c>
    </row>
    <row r="1562" spans="2:22" x14ac:dyDescent="0.25">
      <c r="B1562">
        <v>11352</v>
      </c>
      <c r="C1562" t="s">
        <v>22968</v>
      </c>
      <c r="E1562">
        <v>220</v>
      </c>
      <c r="F1562">
        <v>208</v>
      </c>
      <c r="G1562">
        <v>198</v>
      </c>
      <c r="U1562" t="s">
        <v>6515</v>
      </c>
    </row>
    <row r="1563" spans="2:22" x14ac:dyDescent="0.25">
      <c r="B1563">
        <v>11351</v>
      </c>
      <c r="C1563" t="s">
        <v>22969</v>
      </c>
      <c r="E1563">
        <v>196</v>
      </c>
      <c r="F1563">
        <v>173</v>
      </c>
      <c r="G1563">
        <v>154</v>
      </c>
      <c r="U1563" t="s">
        <v>6513</v>
      </c>
    </row>
    <row r="1564" spans="2:22" x14ac:dyDescent="0.25">
      <c r="B1564">
        <v>11353</v>
      </c>
      <c r="C1564" t="s">
        <v>22970</v>
      </c>
      <c r="E1564">
        <v>159</v>
      </c>
      <c r="F1564">
        <v>123</v>
      </c>
      <c r="G1564">
        <v>96</v>
      </c>
      <c r="V1564" t="s">
        <v>6517</v>
      </c>
    </row>
    <row r="1565" spans="2:22" x14ac:dyDescent="0.25">
      <c r="B1565">
        <v>11354</v>
      </c>
      <c r="C1565" t="s">
        <v>22971</v>
      </c>
      <c r="E1565">
        <v>159</v>
      </c>
      <c r="F1565">
        <v>123</v>
      </c>
      <c r="G1565">
        <v>96</v>
      </c>
      <c r="V1565" t="s">
        <v>6519</v>
      </c>
    </row>
    <row r="1566" spans="2:22" x14ac:dyDescent="0.25">
      <c r="B1566">
        <v>11355</v>
      </c>
      <c r="C1566" t="s">
        <v>22972</v>
      </c>
      <c r="E1566">
        <v>203</v>
      </c>
      <c r="F1566">
        <v>183</v>
      </c>
      <c r="G1566">
        <v>168</v>
      </c>
      <c r="U1566" t="s">
        <v>6521</v>
      </c>
    </row>
    <row r="1567" spans="2:22" x14ac:dyDescent="0.25">
      <c r="B1567">
        <v>11356</v>
      </c>
      <c r="C1567" t="s">
        <v>22973</v>
      </c>
      <c r="E1567">
        <v>181</v>
      </c>
      <c r="F1567">
        <v>150</v>
      </c>
      <c r="G1567">
        <v>127</v>
      </c>
      <c r="U1567" t="s">
        <v>6523</v>
      </c>
    </row>
    <row r="1568" spans="2:22" x14ac:dyDescent="0.25">
      <c r="B1568">
        <v>11357</v>
      </c>
      <c r="C1568" t="s">
        <v>22974</v>
      </c>
      <c r="E1568">
        <v>193</v>
      </c>
      <c r="F1568">
        <v>166</v>
      </c>
      <c r="G1568">
        <v>143</v>
      </c>
      <c r="V1568" t="s">
        <v>6525</v>
      </c>
    </row>
    <row r="1569" spans="2:22" x14ac:dyDescent="0.25">
      <c r="B1569">
        <v>11358</v>
      </c>
      <c r="C1569" t="s">
        <v>22975</v>
      </c>
      <c r="E1569">
        <v>181</v>
      </c>
      <c r="F1569">
        <v>150</v>
      </c>
      <c r="G1569">
        <v>127</v>
      </c>
      <c r="V1569" t="s">
        <v>6527</v>
      </c>
    </row>
    <row r="1570" spans="2:22" x14ac:dyDescent="0.25">
      <c r="B1570">
        <v>10324</v>
      </c>
      <c r="C1570" t="s">
        <v>22976</v>
      </c>
      <c r="E1570">
        <v>196</v>
      </c>
      <c r="F1570">
        <v>173</v>
      </c>
      <c r="G1570">
        <v>154</v>
      </c>
      <c r="S1570" t="s">
        <v>4735</v>
      </c>
    </row>
    <row r="1571" spans="2:22" x14ac:dyDescent="0.25">
      <c r="B1571">
        <v>10325</v>
      </c>
      <c r="C1571" t="s">
        <v>22977</v>
      </c>
      <c r="E1571">
        <v>203</v>
      </c>
      <c r="F1571">
        <v>183</v>
      </c>
      <c r="G1571">
        <v>168</v>
      </c>
      <c r="T1571" t="s">
        <v>5321</v>
      </c>
    </row>
    <row r="1572" spans="2:22" x14ac:dyDescent="0.25">
      <c r="B1572">
        <v>11476</v>
      </c>
      <c r="C1572" t="s">
        <v>22978</v>
      </c>
      <c r="E1572">
        <v>220</v>
      </c>
      <c r="F1572">
        <v>208</v>
      </c>
      <c r="G1572">
        <v>198</v>
      </c>
      <c r="U1572" t="s">
        <v>6745</v>
      </c>
    </row>
    <row r="1573" spans="2:22" x14ac:dyDescent="0.25">
      <c r="B1573">
        <v>11477</v>
      </c>
      <c r="C1573" t="s">
        <v>22979</v>
      </c>
      <c r="E1573">
        <v>174</v>
      </c>
      <c r="F1573">
        <v>142</v>
      </c>
      <c r="G1573">
        <v>119</v>
      </c>
      <c r="U1573" t="s">
        <v>6747</v>
      </c>
    </row>
    <row r="1574" spans="2:22" x14ac:dyDescent="0.25">
      <c r="B1574">
        <v>11478</v>
      </c>
      <c r="C1574" t="s">
        <v>22980</v>
      </c>
      <c r="E1574">
        <v>181</v>
      </c>
      <c r="F1574">
        <v>150</v>
      </c>
      <c r="G1574">
        <v>127</v>
      </c>
      <c r="U1574" t="s">
        <v>6749</v>
      </c>
    </row>
    <row r="1575" spans="2:22" x14ac:dyDescent="0.25">
      <c r="B1575">
        <v>13024</v>
      </c>
      <c r="C1575" t="s">
        <v>22981</v>
      </c>
      <c r="E1575">
        <v>174</v>
      </c>
      <c r="F1575">
        <v>142</v>
      </c>
      <c r="G1575">
        <v>119</v>
      </c>
      <c r="U1575" t="s">
        <v>7950</v>
      </c>
    </row>
    <row r="1576" spans="2:22" x14ac:dyDescent="0.25">
      <c r="B1576">
        <v>10326</v>
      </c>
      <c r="C1576" t="s">
        <v>22982</v>
      </c>
      <c r="E1576">
        <v>203</v>
      </c>
      <c r="F1576">
        <v>183</v>
      </c>
      <c r="G1576">
        <v>168</v>
      </c>
      <c r="T1576" t="s">
        <v>5323</v>
      </c>
    </row>
    <row r="1577" spans="2:22" x14ac:dyDescent="0.25">
      <c r="B1577">
        <v>11481</v>
      </c>
      <c r="C1577" t="s">
        <v>22983</v>
      </c>
      <c r="E1577">
        <v>220</v>
      </c>
      <c r="F1577">
        <v>208</v>
      </c>
      <c r="G1577">
        <v>198</v>
      </c>
      <c r="U1577" t="s">
        <v>6751</v>
      </c>
    </row>
    <row r="1578" spans="2:22" x14ac:dyDescent="0.25">
      <c r="B1578">
        <v>11482</v>
      </c>
      <c r="C1578" t="s">
        <v>22984</v>
      </c>
      <c r="E1578">
        <v>174</v>
      </c>
      <c r="F1578">
        <v>142</v>
      </c>
      <c r="G1578">
        <v>119</v>
      </c>
      <c r="U1578" t="s">
        <v>6753</v>
      </c>
    </row>
    <row r="1579" spans="2:22" x14ac:dyDescent="0.25">
      <c r="B1579">
        <v>11483</v>
      </c>
      <c r="C1579" t="s">
        <v>22985</v>
      </c>
      <c r="E1579">
        <v>181</v>
      </c>
      <c r="F1579">
        <v>150</v>
      </c>
      <c r="G1579">
        <v>127</v>
      </c>
      <c r="U1579" t="s">
        <v>6755</v>
      </c>
    </row>
    <row r="1580" spans="2:22" x14ac:dyDescent="0.25">
      <c r="B1580">
        <v>11484</v>
      </c>
      <c r="C1580" t="s">
        <v>22986</v>
      </c>
      <c r="E1580">
        <v>174</v>
      </c>
      <c r="F1580">
        <v>142</v>
      </c>
      <c r="G1580">
        <v>119</v>
      </c>
      <c r="U1580" t="s">
        <v>6757</v>
      </c>
    </row>
    <row r="1581" spans="2:22" x14ac:dyDescent="0.25">
      <c r="B1581">
        <v>11485</v>
      </c>
      <c r="C1581" t="s">
        <v>22987</v>
      </c>
      <c r="E1581">
        <v>181</v>
      </c>
      <c r="F1581">
        <v>150</v>
      </c>
      <c r="G1581">
        <v>127</v>
      </c>
      <c r="U1581" t="s">
        <v>6759</v>
      </c>
    </row>
    <row r="1582" spans="2:22" x14ac:dyDescent="0.25">
      <c r="B1582">
        <v>10327</v>
      </c>
      <c r="C1582" t="s">
        <v>22988</v>
      </c>
      <c r="E1582">
        <v>203</v>
      </c>
      <c r="F1582">
        <v>183</v>
      </c>
      <c r="G1582">
        <v>168</v>
      </c>
      <c r="R1582" t="s">
        <v>5325</v>
      </c>
    </row>
    <row r="1583" spans="2:22" x14ac:dyDescent="0.25">
      <c r="B1583">
        <v>10328</v>
      </c>
      <c r="C1583" t="s">
        <v>22989</v>
      </c>
      <c r="E1583">
        <v>196</v>
      </c>
      <c r="F1583">
        <v>173</v>
      </c>
      <c r="G1583">
        <v>154</v>
      </c>
      <c r="S1583" t="s">
        <v>218</v>
      </c>
    </row>
    <row r="1584" spans="2:22" x14ac:dyDescent="0.25">
      <c r="B1584">
        <v>11486</v>
      </c>
      <c r="C1584" t="s">
        <v>22990</v>
      </c>
      <c r="E1584">
        <v>220</v>
      </c>
      <c r="F1584">
        <v>208</v>
      </c>
      <c r="G1584">
        <v>198</v>
      </c>
      <c r="T1584" t="s">
        <v>6761</v>
      </c>
    </row>
    <row r="1585" spans="2:20" x14ac:dyDescent="0.25">
      <c r="B1585">
        <v>11487</v>
      </c>
      <c r="C1585" t="s">
        <v>22991</v>
      </c>
      <c r="E1585">
        <v>193</v>
      </c>
      <c r="F1585">
        <v>166</v>
      </c>
      <c r="G1585">
        <v>143</v>
      </c>
      <c r="T1585" t="s">
        <v>6763</v>
      </c>
    </row>
    <row r="1586" spans="2:20" x14ac:dyDescent="0.25">
      <c r="B1586">
        <v>11488</v>
      </c>
      <c r="C1586" t="s">
        <v>22992</v>
      </c>
      <c r="E1586">
        <v>196</v>
      </c>
      <c r="F1586">
        <v>173</v>
      </c>
      <c r="G1586">
        <v>154</v>
      </c>
      <c r="T1586" t="s">
        <v>6765</v>
      </c>
    </row>
    <row r="1587" spans="2:20" x14ac:dyDescent="0.25">
      <c r="B1587">
        <v>11489</v>
      </c>
      <c r="C1587" t="s">
        <v>22993</v>
      </c>
      <c r="E1587">
        <v>193</v>
      </c>
      <c r="F1587">
        <v>166</v>
      </c>
      <c r="G1587">
        <v>143</v>
      </c>
      <c r="T1587" t="s">
        <v>6767</v>
      </c>
    </row>
    <row r="1588" spans="2:20" x14ac:dyDescent="0.25">
      <c r="B1588">
        <v>11490</v>
      </c>
      <c r="C1588" t="s">
        <v>22994</v>
      </c>
      <c r="E1588">
        <v>196</v>
      </c>
      <c r="F1588">
        <v>173</v>
      </c>
      <c r="G1588">
        <v>154</v>
      </c>
      <c r="T1588" t="s">
        <v>6769</v>
      </c>
    </row>
    <row r="1589" spans="2:20" x14ac:dyDescent="0.25">
      <c r="B1589">
        <v>10329</v>
      </c>
      <c r="C1589" t="s">
        <v>22995</v>
      </c>
      <c r="E1589">
        <v>193</v>
      </c>
      <c r="F1589">
        <v>166</v>
      </c>
      <c r="G1589">
        <v>143</v>
      </c>
      <c r="S1589" t="s">
        <v>5327</v>
      </c>
    </row>
    <row r="1590" spans="2:20" x14ac:dyDescent="0.25">
      <c r="B1590">
        <v>11491</v>
      </c>
      <c r="C1590" t="s">
        <v>22996</v>
      </c>
      <c r="E1590">
        <v>220</v>
      </c>
      <c r="F1590">
        <v>208</v>
      </c>
      <c r="G1590">
        <v>198</v>
      </c>
      <c r="T1590" t="s">
        <v>6771</v>
      </c>
    </row>
    <row r="1591" spans="2:20" x14ac:dyDescent="0.25">
      <c r="B1591">
        <v>11492</v>
      </c>
      <c r="C1591" t="s">
        <v>22997</v>
      </c>
      <c r="E1591">
        <v>181</v>
      </c>
      <c r="F1591">
        <v>150</v>
      </c>
      <c r="G1591">
        <v>127</v>
      </c>
      <c r="T1591" t="s">
        <v>6773</v>
      </c>
    </row>
    <row r="1592" spans="2:20" x14ac:dyDescent="0.25">
      <c r="B1592">
        <v>11493</v>
      </c>
      <c r="C1592" t="s">
        <v>22998</v>
      </c>
      <c r="E1592">
        <v>193</v>
      </c>
      <c r="F1592">
        <v>166</v>
      </c>
      <c r="G1592">
        <v>143</v>
      </c>
      <c r="T1592" t="s">
        <v>6775</v>
      </c>
    </row>
    <row r="1593" spans="2:20" x14ac:dyDescent="0.25">
      <c r="B1593">
        <v>11494</v>
      </c>
      <c r="C1593" t="s">
        <v>22999</v>
      </c>
      <c r="E1593">
        <v>181</v>
      </c>
      <c r="F1593">
        <v>150</v>
      </c>
      <c r="G1593">
        <v>127</v>
      </c>
      <c r="T1593" t="s">
        <v>6777</v>
      </c>
    </row>
    <row r="1594" spans="2:20" x14ac:dyDescent="0.25">
      <c r="B1594">
        <v>11495</v>
      </c>
      <c r="C1594" t="s">
        <v>23000</v>
      </c>
      <c r="E1594">
        <v>193</v>
      </c>
      <c r="F1594">
        <v>166</v>
      </c>
      <c r="G1594">
        <v>143</v>
      </c>
      <c r="T1594" t="s">
        <v>6779</v>
      </c>
    </row>
    <row r="1595" spans="2:20" x14ac:dyDescent="0.25">
      <c r="B1595">
        <v>10330</v>
      </c>
      <c r="C1595" t="s">
        <v>23001</v>
      </c>
      <c r="E1595">
        <v>181</v>
      </c>
      <c r="F1595">
        <v>150</v>
      </c>
      <c r="G1595">
        <v>127</v>
      </c>
      <c r="S1595" t="s">
        <v>5329</v>
      </c>
    </row>
    <row r="1596" spans="2:20" x14ac:dyDescent="0.25">
      <c r="B1596">
        <v>11496</v>
      </c>
      <c r="C1596" t="s">
        <v>23002</v>
      </c>
      <c r="E1596">
        <v>220</v>
      </c>
      <c r="F1596">
        <v>208</v>
      </c>
      <c r="G1596">
        <v>198</v>
      </c>
      <c r="T1596" t="s">
        <v>6781</v>
      </c>
    </row>
    <row r="1597" spans="2:20" x14ac:dyDescent="0.25">
      <c r="B1597">
        <v>11497</v>
      </c>
      <c r="C1597" t="s">
        <v>23003</v>
      </c>
      <c r="E1597">
        <v>174</v>
      </c>
      <c r="F1597">
        <v>142</v>
      </c>
      <c r="G1597">
        <v>119</v>
      </c>
      <c r="T1597" t="s">
        <v>6783</v>
      </c>
    </row>
    <row r="1598" spans="2:20" x14ac:dyDescent="0.25">
      <c r="B1598">
        <v>11498</v>
      </c>
      <c r="C1598" t="s">
        <v>23004</v>
      </c>
      <c r="E1598">
        <v>181</v>
      </c>
      <c r="F1598">
        <v>150</v>
      </c>
      <c r="G1598">
        <v>127</v>
      </c>
      <c r="T1598" t="s">
        <v>6785</v>
      </c>
    </row>
    <row r="1599" spans="2:20" x14ac:dyDescent="0.25">
      <c r="B1599">
        <v>11499</v>
      </c>
      <c r="C1599" t="s">
        <v>23005</v>
      </c>
      <c r="E1599">
        <v>174</v>
      </c>
      <c r="F1599">
        <v>142</v>
      </c>
      <c r="G1599">
        <v>119</v>
      </c>
      <c r="T1599" t="s">
        <v>6787</v>
      </c>
    </row>
    <row r="1600" spans="2:20" x14ac:dyDescent="0.25">
      <c r="B1600">
        <v>11500</v>
      </c>
      <c r="C1600" t="s">
        <v>23006</v>
      </c>
      <c r="E1600">
        <v>181</v>
      </c>
      <c r="F1600">
        <v>150</v>
      </c>
      <c r="G1600">
        <v>127</v>
      </c>
      <c r="T1600" t="s">
        <v>6789</v>
      </c>
    </row>
    <row r="1601" spans="2:22" x14ac:dyDescent="0.25">
      <c r="B1601">
        <v>10292</v>
      </c>
      <c r="C1601" t="s">
        <v>23007</v>
      </c>
      <c r="E1601">
        <v>209</v>
      </c>
      <c r="F1601">
        <v>206</v>
      </c>
      <c r="G1601">
        <v>226</v>
      </c>
      <c r="Q1601" t="s">
        <v>221</v>
      </c>
    </row>
    <row r="1602" spans="2:22" x14ac:dyDescent="0.25">
      <c r="B1602">
        <v>10293</v>
      </c>
      <c r="C1602" t="s">
        <v>23008</v>
      </c>
      <c r="E1602">
        <v>209</v>
      </c>
      <c r="F1602">
        <v>206</v>
      </c>
      <c r="G1602">
        <v>226</v>
      </c>
      <c r="R1602" t="s">
        <v>492</v>
      </c>
    </row>
    <row r="1603" spans="2:22" x14ac:dyDescent="0.25">
      <c r="B1603">
        <v>10294</v>
      </c>
      <c r="C1603" t="s">
        <v>19543</v>
      </c>
      <c r="E1603">
        <v>191</v>
      </c>
      <c r="F1603">
        <v>181</v>
      </c>
      <c r="G1603">
        <v>213</v>
      </c>
      <c r="S1603" t="s">
        <v>2289</v>
      </c>
    </row>
    <row r="1604" spans="2:22" x14ac:dyDescent="0.25">
      <c r="B1604">
        <v>10295</v>
      </c>
      <c r="C1604" t="s">
        <v>15915</v>
      </c>
      <c r="E1604">
        <v>138</v>
      </c>
      <c r="F1604">
        <v>122</v>
      </c>
      <c r="G1604">
        <v>177</v>
      </c>
      <c r="T1604" t="s">
        <v>1459</v>
      </c>
    </row>
    <row r="1605" spans="2:22" x14ac:dyDescent="0.25">
      <c r="B1605">
        <v>266441247</v>
      </c>
      <c r="C1605" t="s">
        <v>23009</v>
      </c>
      <c r="E1605">
        <v>138</v>
      </c>
      <c r="F1605">
        <v>122</v>
      </c>
      <c r="G1605">
        <v>177</v>
      </c>
      <c r="U1605" t="s">
        <v>8419</v>
      </c>
    </row>
    <row r="1606" spans="2:22" x14ac:dyDescent="0.25">
      <c r="B1606">
        <v>266441251</v>
      </c>
      <c r="C1606" t="s">
        <v>23010</v>
      </c>
      <c r="E1606">
        <v>230</v>
      </c>
      <c r="F1606">
        <v>230</v>
      </c>
      <c r="G1606">
        <v>236</v>
      </c>
      <c r="V1606" t="s">
        <v>8421</v>
      </c>
    </row>
    <row r="1607" spans="2:22" x14ac:dyDescent="0.25">
      <c r="B1607">
        <v>266441255</v>
      </c>
      <c r="C1607" t="s">
        <v>23011</v>
      </c>
      <c r="E1607">
        <v>84</v>
      </c>
      <c r="F1607">
        <v>62</v>
      </c>
      <c r="G1607">
        <v>116</v>
      </c>
      <c r="V1607" t="s">
        <v>8423</v>
      </c>
    </row>
    <row r="1608" spans="2:22" x14ac:dyDescent="0.25">
      <c r="B1608">
        <v>266441259</v>
      </c>
      <c r="C1608" t="s">
        <v>23012</v>
      </c>
      <c r="E1608">
        <v>114</v>
      </c>
      <c r="F1608">
        <v>83</v>
      </c>
      <c r="G1608">
        <v>152</v>
      </c>
      <c r="V1608" t="s">
        <v>8425</v>
      </c>
    </row>
    <row r="1609" spans="2:22" x14ac:dyDescent="0.25">
      <c r="B1609">
        <v>266441263</v>
      </c>
      <c r="C1609" t="s">
        <v>23013</v>
      </c>
      <c r="E1609">
        <v>170</v>
      </c>
      <c r="F1609">
        <v>157</v>
      </c>
      <c r="G1609">
        <v>198</v>
      </c>
      <c r="V1609" t="s">
        <v>8427</v>
      </c>
    </row>
    <row r="1610" spans="2:22" x14ac:dyDescent="0.25">
      <c r="B1610">
        <v>11265</v>
      </c>
      <c r="C1610" t="s">
        <v>23014</v>
      </c>
      <c r="E1610">
        <v>138</v>
      </c>
      <c r="F1610">
        <v>122</v>
      </c>
      <c r="G1610">
        <v>177</v>
      </c>
      <c r="U1610" t="s">
        <v>6415</v>
      </c>
    </row>
    <row r="1611" spans="2:22" x14ac:dyDescent="0.25">
      <c r="B1611">
        <v>11266</v>
      </c>
      <c r="C1611" t="s">
        <v>23015</v>
      </c>
      <c r="E1611">
        <v>230</v>
      </c>
      <c r="F1611">
        <v>230</v>
      </c>
      <c r="G1611">
        <v>236</v>
      </c>
      <c r="V1611" t="s">
        <v>6417</v>
      </c>
    </row>
    <row r="1612" spans="2:22" x14ac:dyDescent="0.25">
      <c r="B1612">
        <v>11267</v>
      </c>
      <c r="C1612" t="s">
        <v>23016</v>
      </c>
      <c r="E1612">
        <v>84</v>
      </c>
      <c r="F1612">
        <v>62</v>
      </c>
      <c r="G1612">
        <v>116</v>
      </c>
      <c r="V1612" t="s">
        <v>6419</v>
      </c>
    </row>
    <row r="1613" spans="2:22" x14ac:dyDescent="0.25">
      <c r="B1613">
        <v>11268</v>
      </c>
      <c r="C1613" t="s">
        <v>23017</v>
      </c>
      <c r="E1613">
        <v>114</v>
      </c>
      <c r="F1613">
        <v>83</v>
      </c>
      <c r="G1613">
        <v>152</v>
      </c>
      <c r="V1613" t="s">
        <v>6421</v>
      </c>
    </row>
    <row r="1614" spans="2:22" x14ac:dyDescent="0.25">
      <c r="B1614">
        <v>11269</v>
      </c>
      <c r="C1614" t="s">
        <v>23018</v>
      </c>
      <c r="E1614">
        <v>170</v>
      </c>
      <c r="F1614">
        <v>157</v>
      </c>
      <c r="G1614">
        <v>198</v>
      </c>
      <c r="V1614" t="s">
        <v>6423</v>
      </c>
    </row>
    <row r="1615" spans="2:22" x14ac:dyDescent="0.25">
      <c r="B1615">
        <v>11270</v>
      </c>
      <c r="C1615" t="s">
        <v>23019</v>
      </c>
      <c r="E1615">
        <v>138</v>
      </c>
      <c r="F1615">
        <v>122</v>
      </c>
      <c r="G1615">
        <v>177</v>
      </c>
      <c r="U1615" t="s">
        <v>6425</v>
      </c>
    </row>
    <row r="1616" spans="2:22" x14ac:dyDescent="0.25">
      <c r="B1616">
        <v>11271</v>
      </c>
      <c r="C1616" t="s">
        <v>23020</v>
      </c>
      <c r="E1616">
        <v>230</v>
      </c>
      <c r="F1616">
        <v>230</v>
      </c>
      <c r="G1616">
        <v>236</v>
      </c>
      <c r="V1616" t="s">
        <v>6427</v>
      </c>
    </row>
    <row r="1617" spans="2:24" x14ac:dyDescent="0.25">
      <c r="B1617">
        <v>11272</v>
      </c>
      <c r="C1617" t="s">
        <v>23021</v>
      </c>
      <c r="E1617">
        <v>84</v>
      </c>
      <c r="F1617">
        <v>62</v>
      </c>
      <c r="G1617">
        <v>116</v>
      </c>
      <c r="V1617" t="s">
        <v>6429</v>
      </c>
    </row>
    <row r="1618" spans="2:24" x14ac:dyDescent="0.25">
      <c r="B1618">
        <v>11273</v>
      </c>
      <c r="C1618" t="s">
        <v>23022</v>
      </c>
      <c r="E1618">
        <v>114</v>
      </c>
      <c r="F1618">
        <v>83</v>
      </c>
      <c r="G1618">
        <v>152</v>
      </c>
      <c r="V1618" t="s">
        <v>6431</v>
      </c>
    </row>
    <row r="1619" spans="2:24" x14ac:dyDescent="0.25">
      <c r="B1619">
        <v>11274</v>
      </c>
      <c r="C1619" t="s">
        <v>23023</v>
      </c>
      <c r="E1619">
        <v>170</v>
      </c>
      <c r="F1619">
        <v>157</v>
      </c>
      <c r="G1619">
        <v>198</v>
      </c>
      <c r="V1619" t="s">
        <v>6433</v>
      </c>
    </row>
    <row r="1620" spans="2:24" x14ac:dyDescent="0.25">
      <c r="B1620">
        <v>10296</v>
      </c>
      <c r="C1620" t="s">
        <v>23024</v>
      </c>
      <c r="E1620">
        <v>170</v>
      </c>
      <c r="F1620">
        <v>157</v>
      </c>
      <c r="G1620">
        <v>198</v>
      </c>
      <c r="T1620" t="s">
        <v>8</v>
      </c>
    </row>
    <row r="1621" spans="2:24" x14ac:dyDescent="0.25">
      <c r="B1621">
        <v>10297</v>
      </c>
      <c r="C1621" t="s">
        <v>15930</v>
      </c>
      <c r="E1621">
        <v>170</v>
      </c>
      <c r="F1621">
        <v>157</v>
      </c>
      <c r="G1621">
        <v>198</v>
      </c>
      <c r="U1621" t="s">
        <v>40</v>
      </c>
    </row>
    <row r="1622" spans="2:24" x14ac:dyDescent="0.25">
      <c r="B1622">
        <v>266441267</v>
      </c>
      <c r="C1622" t="s">
        <v>23025</v>
      </c>
      <c r="E1622">
        <v>170</v>
      </c>
      <c r="F1622">
        <v>157</v>
      </c>
      <c r="G1622">
        <v>198</v>
      </c>
      <c r="V1622" t="s">
        <v>15004</v>
      </c>
    </row>
    <row r="1623" spans="2:24" x14ac:dyDescent="0.25">
      <c r="B1623">
        <v>266441271</v>
      </c>
      <c r="C1623" t="s">
        <v>23026</v>
      </c>
      <c r="E1623">
        <v>209</v>
      </c>
      <c r="F1623">
        <v>206</v>
      </c>
      <c r="G1623">
        <v>226</v>
      </c>
      <c r="W1623" t="s">
        <v>1725</v>
      </c>
    </row>
    <row r="1624" spans="2:24" x14ac:dyDescent="0.25">
      <c r="B1624">
        <v>266441275</v>
      </c>
      <c r="C1624" t="s">
        <v>23027</v>
      </c>
      <c r="E1624">
        <v>209</v>
      </c>
      <c r="F1624">
        <v>206</v>
      </c>
      <c r="G1624">
        <v>226</v>
      </c>
      <c r="X1624" t="s">
        <v>8429</v>
      </c>
    </row>
    <row r="1625" spans="2:24" x14ac:dyDescent="0.25">
      <c r="B1625">
        <v>266441279</v>
      </c>
      <c r="C1625" t="s">
        <v>23028</v>
      </c>
      <c r="E1625">
        <v>209</v>
      </c>
      <c r="F1625">
        <v>206</v>
      </c>
      <c r="G1625">
        <v>226</v>
      </c>
      <c r="X1625" t="s">
        <v>8431</v>
      </c>
    </row>
    <row r="1626" spans="2:24" x14ac:dyDescent="0.25">
      <c r="B1626">
        <v>266441283</v>
      </c>
      <c r="C1626" t="s">
        <v>23029</v>
      </c>
      <c r="E1626">
        <v>230</v>
      </c>
      <c r="F1626">
        <v>230</v>
      </c>
      <c r="G1626">
        <v>236</v>
      </c>
      <c r="W1626" t="s">
        <v>1727</v>
      </c>
    </row>
    <row r="1627" spans="2:24" x14ac:dyDescent="0.25">
      <c r="B1627">
        <v>266441287</v>
      </c>
      <c r="C1627" t="s">
        <v>23030</v>
      </c>
      <c r="E1627">
        <v>105</v>
      </c>
      <c r="F1627">
        <v>79</v>
      </c>
      <c r="G1627">
        <v>140</v>
      </c>
      <c r="W1627" t="s">
        <v>1729</v>
      </c>
    </row>
    <row r="1628" spans="2:24" x14ac:dyDescent="0.25">
      <c r="B1628">
        <v>266441291</v>
      </c>
      <c r="C1628" t="s">
        <v>23031</v>
      </c>
      <c r="E1628">
        <v>138</v>
      </c>
      <c r="F1628">
        <v>122</v>
      </c>
      <c r="G1628">
        <v>177</v>
      </c>
      <c r="W1628" t="s">
        <v>1731</v>
      </c>
    </row>
    <row r="1629" spans="2:24" x14ac:dyDescent="0.25">
      <c r="B1629">
        <v>11275</v>
      </c>
      <c r="C1629" t="s">
        <v>23032</v>
      </c>
      <c r="E1629">
        <v>170</v>
      </c>
      <c r="F1629">
        <v>157</v>
      </c>
      <c r="G1629">
        <v>198</v>
      </c>
      <c r="V1629" t="s">
        <v>4880</v>
      </c>
    </row>
    <row r="1630" spans="2:24" x14ac:dyDescent="0.25">
      <c r="B1630">
        <v>11276</v>
      </c>
      <c r="C1630" t="s">
        <v>23033</v>
      </c>
      <c r="E1630">
        <v>209</v>
      </c>
      <c r="F1630">
        <v>206</v>
      </c>
      <c r="G1630">
        <v>226</v>
      </c>
      <c r="W1630" t="s">
        <v>1671</v>
      </c>
    </row>
    <row r="1631" spans="2:24" x14ac:dyDescent="0.25">
      <c r="B1631">
        <v>266441295</v>
      </c>
      <c r="C1631" t="s">
        <v>23034</v>
      </c>
      <c r="E1631">
        <v>209</v>
      </c>
      <c r="F1631">
        <v>206</v>
      </c>
      <c r="G1631">
        <v>226</v>
      </c>
      <c r="X1631" t="s">
        <v>8433</v>
      </c>
    </row>
    <row r="1632" spans="2:24" x14ac:dyDescent="0.25">
      <c r="B1632">
        <v>266441299</v>
      </c>
      <c r="C1632" t="s">
        <v>23035</v>
      </c>
      <c r="E1632">
        <v>209</v>
      </c>
      <c r="F1632">
        <v>206</v>
      </c>
      <c r="G1632">
        <v>226</v>
      </c>
      <c r="X1632" t="s">
        <v>8435</v>
      </c>
    </row>
    <row r="1633" spans="2:24" x14ac:dyDescent="0.25">
      <c r="B1633">
        <v>11277</v>
      </c>
      <c r="C1633" t="s">
        <v>23036</v>
      </c>
      <c r="E1633">
        <v>230</v>
      </c>
      <c r="F1633">
        <v>230</v>
      </c>
      <c r="G1633">
        <v>236</v>
      </c>
      <c r="W1633" t="s">
        <v>1673</v>
      </c>
    </row>
    <row r="1634" spans="2:24" x14ac:dyDescent="0.25">
      <c r="B1634">
        <v>11278</v>
      </c>
      <c r="C1634" t="s">
        <v>23037</v>
      </c>
      <c r="E1634">
        <v>105</v>
      </c>
      <c r="F1634">
        <v>79</v>
      </c>
      <c r="G1634">
        <v>140</v>
      </c>
      <c r="W1634" t="s">
        <v>1675</v>
      </c>
    </row>
    <row r="1635" spans="2:24" x14ac:dyDescent="0.25">
      <c r="B1635">
        <v>11279</v>
      </c>
      <c r="C1635" t="s">
        <v>23038</v>
      </c>
      <c r="E1635">
        <v>138</v>
      </c>
      <c r="F1635">
        <v>122</v>
      </c>
      <c r="G1635">
        <v>177</v>
      </c>
      <c r="W1635" t="s">
        <v>1677</v>
      </c>
    </row>
    <row r="1636" spans="2:24" x14ac:dyDescent="0.25">
      <c r="B1636">
        <v>11280</v>
      </c>
      <c r="C1636" t="s">
        <v>23039</v>
      </c>
      <c r="E1636">
        <v>170</v>
      </c>
      <c r="F1636">
        <v>157</v>
      </c>
      <c r="G1636">
        <v>198</v>
      </c>
      <c r="V1636" t="s">
        <v>861</v>
      </c>
    </row>
    <row r="1637" spans="2:24" x14ac:dyDescent="0.25">
      <c r="B1637">
        <v>11281</v>
      </c>
      <c r="C1637" t="s">
        <v>23040</v>
      </c>
      <c r="E1637">
        <v>209</v>
      </c>
      <c r="F1637">
        <v>206</v>
      </c>
      <c r="G1637">
        <v>226</v>
      </c>
      <c r="W1637" t="s">
        <v>1679</v>
      </c>
    </row>
    <row r="1638" spans="2:24" x14ac:dyDescent="0.25">
      <c r="B1638">
        <v>266441303</v>
      </c>
      <c r="C1638" t="s">
        <v>23041</v>
      </c>
      <c r="E1638">
        <v>209</v>
      </c>
      <c r="F1638">
        <v>206</v>
      </c>
      <c r="G1638">
        <v>226</v>
      </c>
      <c r="X1638" t="s">
        <v>8437</v>
      </c>
    </row>
    <row r="1639" spans="2:24" x14ac:dyDescent="0.25">
      <c r="B1639">
        <v>266441307</v>
      </c>
      <c r="C1639" t="s">
        <v>23042</v>
      </c>
      <c r="E1639">
        <v>209</v>
      </c>
      <c r="F1639">
        <v>206</v>
      </c>
      <c r="G1639">
        <v>226</v>
      </c>
      <c r="X1639" t="s">
        <v>8439</v>
      </c>
    </row>
    <row r="1640" spans="2:24" x14ac:dyDescent="0.25">
      <c r="B1640">
        <v>11282</v>
      </c>
      <c r="C1640" t="s">
        <v>23043</v>
      </c>
      <c r="E1640">
        <v>230</v>
      </c>
      <c r="F1640">
        <v>230</v>
      </c>
      <c r="G1640">
        <v>236</v>
      </c>
      <c r="W1640" t="s">
        <v>1681</v>
      </c>
    </row>
    <row r="1641" spans="2:24" x14ac:dyDescent="0.25">
      <c r="B1641">
        <v>11283</v>
      </c>
      <c r="C1641" t="s">
        <v>23044</v>
      </c>
      <c r="E1641">
        <v>105</v>
      </c>
      <c r="F1641">
        <v>79</v>
      </c>
      <c r="G1641">
        <v>140</v>
      </c>
      <c r="W1641" t="s">
        <v>1683</v>
      </c>
    </row>
    <row r="1642" spans="2:24" x14ac:dyDescent="0.25">
      <c r="B1642">
        <v>11284</v>
      </c>
      <c r="C1642" t="s">
        <v>23045</v>
      </c>
      <c r="E1642">
        <v>138</v>
      </c>
      <c r="F1642">
        <v>122</v>
      </c>
      <c r="G1642">
        <v>177</v>
      </c>
      <c r="W1642" t="s">
        <v>1685</v>
      </c>
    </row>
    <row r="1643" spans="2:24" x14ac:dyDescent="0.25">
      <c r="B1643">
        <v>10298</v>
      </c>
      <c r="C1643" t="s">
        <v>15935</v>
      </c>
      <c r="E1643">
        <v>153</v>
      </c>
      <c r="F1643">
        <v>136</v>
      </c>
      <c r="G1643">
        <v>187</v>
      </c>
      <c r="U1643" t="s">
        <v>72</v>
      </c>
    </row>
    <row r="1644" spans="2:24" x14ac:dyDescent="0.25">
      <c r="B1644">
        <v>266441311</v>
      </c>
      <c r="C1644" t="s">
        <v>23046</v>
      </c>
      <c r="E1644">
        <v>153</v>
      </c>
      <c r="F1644">
        <v>136</v>
      </c>
      <c r="G1644">
        <v>187</v>
      </c>
      <c r="V1644" t="s">
        <v>15007</v>
      </c>
    </row>
    <row r="1645" spans="2:24" x14ac:dyDescent="0.25">
      <c r="B1645">
        <v>266441315</v>
      </c>
      <c r="C1645" t="s">
        <v>23047</v>
      </c>
      <c r="E1645">
        <v>209</v>
      </c>
      <c r="F1645">
        <v>206</v>
      </c>
      <c r="G1645">
        <v>226</v>
      </c>
      <c r="W1645" t="s">
        <v>1733</v>
      </c>
    </row>
    <row r="1646" spans="2:24" x14ac:dyDescent="0.25">
      <c r="B1646">
        <v>266441319</v>
      </c>
      <c r="C1646" t="s">
        <v>23048</v>
      </c>
      <c r="E1646">
        <v>209</v>
      </c>
      <c r="F1646">
        <v>206</v>
      </c>
      <c r="G1646">
        <v>226</v>
      </c>
      <c r="X1646" t="s">
        <v>8441</v>
      </c>
    </row>
    <row r="1647" spans="2:24" x14ac:dyDescent="0.25">
      <c r="B1647">
        <v>266441323</v>
      </c>
      <c r="C1647" t="s">
        <v>23049</v>
      </c>
      <c r="E1647">
        <v>209</v>
      </c>
      <c r="F1647">
        <v>206</v>
      </c>
      <c r="G1647">
        <v>226</v>
      </c>
      <c r="X1647" t="s">
        <v>8443</v>
      </c>
    </row>
    <row r="1648" spans="2:24" x14ac:dyDescent="0.25">
      <c r="B1648">
        <v>266441327</v>
      </c>
      <c r="C1648" t="s">
        <v>23050</v>
      </c>
      <c r="E1648">
        <v>230</v>
      </c>
      <c r="F1648">
        <v>230</v>
      </c>
      <c r="G1648">
        <v>236</v>
      </c>
      <c r="W1648" t="s">
        <v>1735</v>
      </c>
    </row>
    <row r="1649" spans="2:24" x14ac:dyDescent="0.25">
      <c r="B1649">
        <v>266441331</v>
      </c>
      <c r="C1649" t="s">
        <v>23051</v>
      </c>
      <c r="E1649">
        <v>93</v>
      </c>
      <c r="F1649">
        <v>69</v>
      </c>
      <c r="G1649">
        <v>127</v>
      </c>
      <c r="W1649" t="s">
        <v>1737</v>
      </c>
    </row>
    <row r="1650" spans="2:24" x14ac:dyDescent="0.25">
      <c r="B1650">
        <v>266441335</v>
      </c>
      <c r="C1650" t="s">
        <v>23052</v>
      </c>
      <c r="E1650">
        <v>138</v>
      </c>
      <c r="F1650">
        <v>122</v>
      </c>
      <c r="G1650">
        <v>177</v>
      </c>
      <c r="W1650" t="s">
        <v>1739</v>
      </c>
    </row>
    <row r="1651" spans="2:24" x14ac:dyDescent="0.25">
      <c r="B1651">
        <v>11285</v>
      </c>
      <c r="C1651" t="s">
        <v>23053</v>
      </c>
      <c r="E1651">
        <v>153</v>
      </c>
      <c r="F1651">
        <v>136</v>
      </c>
      <c r="G1651">
        <v>187</v>
      </c>
      <c r="V1651" t="s">
        <v>4883</v>
      </c>
    </row>
    <row r="1652" spans="2:24" x14ac:dyDescent="0.25">
      <c r="B1652">
        <v>11286</v>
      </c>
      <c r="C1652" t="s">
        <v>23054</v>
      </c>
      <c r="E1652">
        <v>209</v>
      </c>
      <c r="F1652">
        <v>206</v>
      </c>
      <c r="G1652">
        <v>226</v>
      </c>
      <c r="W1652" t="s">
        <v>1687</v>
      </c>
    </row>
    <row r="1653" spans="2:24" x14ac:dyDescent="0.25">
      <c r="B1653">
        <v>266441339</v>
      </c>
      <c r="C1653" t="s">
        <v>23055</v>
      </c>
      <c r="E1653">
        <v>209</v>
      </c>
      <c r="F1653">
        <v>206</v>
      </c>
      <c r="G1653">
        <v>226</v>
      </c>
      <c r="X1653" t="s">
        <v>8445</v>
      </c>
    </row>
    <row r="1654" spans="2:24" x14ac:dyDescent="0.25">
      <c r="B1654">
        <v>266441343</v>
      </c>
      <c r="C1654" t="s">
        <v>23056</v>
      </c>
      <c r="E1654">
        <v>209</v>
      </c>
      <c r="F1654">
        <v>206</v>
      </c>
      <c r="G1654">
        <v>226</v>
      </c>
      <c r="X1654" t="s">
        <v>8447</v>
      </c>
    </row>
    <row r="1655" spans="2:24" x14ac:dyDescent="0.25">
      <c r="B1655">
        <v>11287</v>
      </c>
      <c r="C1655" t="s">
        <v>23057</v>
      </c>
      <c r="E1655">
        <v>230</v>
      </c>
      <c r="F1655">
        <v>230</v>
      </c>
      <c r="G1655">
        <v>236</v>
      </c>
      <c r="W1655" t="s">
        <v>1689</v>
      </c>
    </row>
    <row r="1656" spans="2:24" x14ac:dyDescent="0.25">
      <c r="B1656">
        <v>11288</v>
      </c>
      <c r="C1656" t="s">
        <v>23058</v>
      </c>
      <c r="E1656">
        <v>93</v>
      </c>
      <c r="F1656">
        <v>69</v>
      </c>
      <c r="G1656">
        <v>127</v>
      </c>
      <c r="W1656" t="s">
        <v>1691</v>
      </c>
    </row>
    <row r="1657" spans="2:24" x14ac:dyDescent="0.25">
      <c r="B1657">
        <v>11289</v>
      </c>
      <c r="C1657" t="s">
        <v>23059</v>
      </c>
      <c r="E1657">
        <v>138</v>
      </c>
      <c r="F1657">
        <v>122</v>
      </c>
      <c r="G1657">
        <v>177</v>
      </c>
      <c r="W1657" t="s">
        <v>1693</v>
      </c>
    </row>
    <row r="1658" spans="2:24" x14ac:dyDescent="0.25">
      <c r="B1658">
        <v>11290</v>
      </c>
      <c r="C1658" t="s">
        <v>23060</v>
      </c>
      <c r="E1658">
        <v>153</v>
      </c>
      <c r="F1658">
        <v>136</v>
      </c>
      <c r="G1658">
        <v>187</v>
      </c>
      <c r="V1658" t="s">
        <v>864</v>
      </c>
    </row>
    <row r="1659" spans="2:24" x14ac:dyDescent="0.25">
      <c r="B1659">
        <v>11291</v>
      </c>
      <c r="C1659" t="s">
        <v>23061</v>
      </c>
      <c r="E1659">
        <v>209</v>
      </c>
      <c r="F1659">
        <v>206</v>
      </c>
      <c r="G1659">
        <v>226</v>
      </c>
      <c r="W1659" t="s">
        <v>1695</v>
      </c>
    </row>
    <row r="1660" spans="2:24" x14ac:dyDescent="0.25">
      <c r="B1660">
        <v>266441347</v>
      </c>
      <c r="C1660" t="s">
        <v>23062</v>
      </c>
      <c r="E1660">
        <v>209</v>
      </c>
      <c r="F1660">
        <v>206</v>
      </c>
      <c r="G1660">
        <v>226</v>
      </c>
      <c r="X1660" t="s">
        <v>8449</v>
      </c>
    </row>
    <row r="1661" spans="2:24" x14ac:dyDescent="0.25">
      <c r="B1661">
        <v>266441351</v>
      </c>
      <c r="C1661" t="s">
        <v>23063</v>
      </c>
      <c r="E1661">
        <v>209</v>
      </c>
      <c r="F1661">
        <v>206</v>
      </c>
      <c r="G1661">
        <v>226</v>
      </c>
      <c r="X1661" t="s">
        <v>8451</v>
      </c>
    </row>
    <row r="1662" spans="2:24" x14ac:dyDescent="0.25">
      <c r="B1662">
        <v>11292</v>
      </c>
      <c r="C1662" t="s">
        <v>23064</v>
      </c>
      <c r="E1662">
        <v>230</v>
      </c>
      <c r="F1662">
        <v>230</v>
      </c>
      <c r="G1662">
        <v>236</v>
      </c>
      <c r="W1662" t="s">
        <v>1697</v>
      </c>
    </row>
    <row r="1663" spans="2:24" x14ac:dyDescent="0.25">
      <c r="B1663">
        <v>11293</v>
      </c>
      <c r="C1663" t="s">
        <v>23065</v>
      </c>
      <c r="E1663">
        <v>97</v>
      </c>
      <c r="F1663">
        <v>72</v>
      </c>
      <c r="G1663">
        <v>132</v>
      </c>
      <c r="W1663" t="s">
        <v>1699</v>
      </c>
    </row>
    <row r="1664" spans="2:24" x14ac:dyDescent="0.25">
      <c r="B1664">
        <v>11294</v>
      </c>
      <c r="C1664" t="s">
        <v>23066</v>
      </c>
      <c r="E1664">
        <v>138</v>
      </c>
      <c r="F1664">
        <v>122</v>
      </c>
      <c r="G1664">
        <v>177</v>
      </c>
      <c r="W1664" t="s">
        <v>1701</v>
      </c>
    </row>
    <row r="1665" spans="2:24" x14ac:dyDescent="0.25">
      <c r="B1665">
        <v>10299</v>
      </c>
      <c r="C1665" t="s">
        <v>15940</v>
      </c>
      <c r="E1665">
        <v>153</v>
      </c>
      <c r="F1665">
        <v>136</v>
      </c>
      <c r="G1665">
        <v>187</v>
      </c>
      <c r="U1665" t="s">
        <v>104</v>
      </c>
    </row>
    <row r="1666" spans="2:24" x14ac:dyDescent="0.25">
      <c r="B1666">
        <v>266441355</v>
      </c>
      <c r="C1666" t="s">
        <v>23067</v>
      </c>
      <c r="E1666">
        <v>153</v>
      </c>
      <c r="F1666">
        <v>136</v>
      </c>
      <c r="G1666">
        <v>187</v>
      </c>
      <c r="V1666" t="s">
        <v>15010</v>
      </c>
    </row>
    <row r="1667" spans="2:24" x14ac:dyDescent="0.25">
      <c r="B1667">
        <v>266441359</v>
      </c>
      <c r="C1667" t="s">
        <v>23068</v>
      </c>
      <c r="E1667">
        <v>209</v>
      </c>
      <c r="F1667">
        <v>206</v>
      </c>
      <c r="G1667">
        <v>226</v>
      </c>
      <c r="W1667" t="s">
        <v>1741</v>
      </c>
    </row>
    <row r="1668" spans="2:24" x14ac:dyDescent="0.25">
      <c r="B1668">
        <v>266441363</v>
      </c>
      <c r="C1668" t="s">
        <v>23069</v>
      </c>
      <c r="E1668">
        <v>209</v>
      </c>
      <c r="F1668">
        <v>206</v>
      </c>
      <c r="G1668">
        <v>226</v>
      </c>
      <c r="X1668" t="s">
        <v>8453</v>
      </c>
    </row>
    <row r="1669" spans="2:24" x14ac:dyDescent="0.25">
      <c r="B1669">
        <v>266441367</v>
      </c>
      <c r="C1669" t="s">
        <v>23070</v>
      </c>
      <c r="E1669">
        <v>209</v>
      </c>
      <c r="F1669">
        <v>206</v>
      </c>
      <c r="G1669">
        <v>226</v>
      </c>
      <c r="X1669" t="s">
        <v>8455</v>
      </c>
    </row>
    <row r="1670" spans="2:24" x14ac:dyDescent="0.25">
      <c r="B1670">
        <v>266441371</v>
      </c>
      <c r="C1670" t="s">
        <v>23071</v>
      </c>
      <c r="E1670">
        <v>230</v>
      </c>
      <c r="F1670">
        <v>230</v>
      </c>
      <c r="G1670">
        <v>236</v>
      </c>
      <c r="W1670" t="s">
        <v>1743</v>
      </c>
    </row>
    <row r="1671" spans="2:24" x14ac:dyDescent="0.25">
      <c r="B1671">
        <v>266441375</v>
      </c>
      <c r="C1671" t="s">
        <v>23072</v>
      </c>
      <c r="E1671">
        <v>230</v>
      </c>
      <c r="F1671">
        <v>230</v>
      </c>
      <c r="G1671">
        <v>236</v>
      </c>
      <c r="W1671" t="s">
        <v>1745</v>
      </c>
    </row>
    <row r="1672" spans="2:24" x14ac:dyDescent="0.25">
      <c r="B1672">
        <v>266441379</v>
      </c>
      <c r="C1672" t="s">
        <v>23073</v>
      </c>
      <c r="E1672">
        <v>97</v>
      </c>
      <c r="F1672">
        <v>72</v>
      </c>
      <c r="G1672">
        <v>132</v>
      </c>
      <c r="W1672" t="s">
        <v>1747</v>
      </c>
    </row>
    <row r="1673" spans="2:24" x14ac:dyDescent="0.25">
      <c r="B1673">
        <v>266441383</v>
      </c>
      <c r="C1673" t="s">
        <v>23074</v>
      </c>
      <c r="E1673">
        <v>138</v>
      </c>
      <c r="F1673">
        <v>122</v>
      </c>
      <c r="G1673">
        <v>177</v>
      </c>
      <c r="W1673" t="s">
        <v>1749</v>
      </c>
    </row>
    <row r="1674" spans="2:24" x14ac:dyDescent="0.25">
      <c r="B1674">
        <v>11295</v>
      </c>
      <c r="C1674" t="s">
        <v>23075</v>
      </c>
      <c r="E1674">
        <v>153</v>
      </c>
      <c r="F1674">
        <v>136</v>
      </c>
      <c r="G1674">
        <v>187</v>
      </c>
      <c r="V1674" t="s">
        <v>4886</v>
      </c>
    </row>
    <row r="1675" spans="2:24" x14ac:dyDescent="0.25">
      <c r="B1675">
        <v>11296</v>
      </c>
      <c r="C1675" t="s">
        <v>23076</v>
      </c>
      <c r="E1675">
        <v>209</v>
      </c>
      <c r="F1675">
        <v>206</v>
      </c>
      <c r="G1675">
        <v>226</v>
      </c>
      <c r="W1675" t="s">
        <v>1703</v>
      </c>
    </row>
    <row r="1676" spans="2:24" x14ac:dyDescent="0.25">
      <c r="B1676">
        <v>266441387</v>
      </c>
      <c r="C1676" t="s">
        <v>23077</v>
      </c>
      <c r="E1676">
        <v>209</v>
      </c>
      <c r="F1676">
        <v>206</v>
      </c>
      <c r="G1676">
        <v>226</v>
      </c>
      <c r="X1676" t="s">
        <v>8457</v>
      </c>
    </row>
    <row r="1677" spans="2:24" x14ac:dyDescent="0.25">
      <c r="B1677">
        <v>266441391</v>
      </c>
      <c r="C1677" t="s">
        <v>23078</v>
      </c>
      <c r="E1677">
        <v>209</v>
      </c>
      <c r="F1677">
        <v>206</v>
      </c>
      <c r="G1677">
        <v>226</v>
      </c>
      <c r="X1677" t="s">
        <v>8459</v>
      </c>
    </row>
    <row r="1678" spans="2:24" x14ac:dyDescent="0.25">
      <c r="B1678">
        <v>11297</v>
      </c>
      <c r="C1678" t="s">
        <v>23079</v>
      </c>
      <c r="E1678">
        <v>230</v>
      </c>
      <c r="F1678">
        <v>230</v>
      </c>
      <c r="G1678">
        <v>236</v>
      </c>
      <c r="W1678" t="s">
        <v>1705</v>
      </c>
    </row>
    <row r="1679" spans="2:24" x14ac:dyDescent="0.25">
      <c r="B1679">
        <v>11298</v>
      </c>
      <c r="C1679" t="s">
        <v>23080</v>
      </c>
      <c r="E1679">
        <v>230</v>
      </c>
      <c r="F1679">
        <v>230</v>
      </c>
      <c r="G1679">
        <v>236</v>
      </c>
      <c r="W1679" t="s">
        <v>1707</v>
      </c>
    </row>
    <row r="1680" spans="2:24" x14ac:dyDescent="0.25">
      <c r="B1680">
        <v>11299</v>
      </c>
      <c r="C1680" t="s">
        <v>23081</v>
      </c>
      <c r="E1680">
        <v>97</v>
      </c>
      <c r="F1680">
        <v>72</v>
      </c>
      <c r="G1680">
        <v>132</v>
      </c>
      <c r="W1680" t="s">
        <v>1709</v>
      </c>
    </row>
    <row r="1681" spans="2:24" x14ac:dyDescent="0.25">
      <c r="B1681">
        <v>11300</v>
      </c>
      <c r="C1681" t="s">
        <v>23082</v>
      </c>
      <c r="E1681">
        <v>138</v>
      </c>
      <c r="F1681">
        <v>122</v>
      </c>
      <c r="G1681">
        <v>177</v>
      </c>
      <c r="W1681" t="s">
        <v>1711</v>
      </c>
    </row>
    <row r="1682" spans="2:24" x14ac:dyDescent="0.25">
      <c r="B1682">
        <v>11301</v>
      </c>
      <c r="C1682" t="s">
        <v>23083</v>
      </c>
      <c r="E1682">
        <v>138</v>
      </c>
      <c r="F1682">
        <v>122</v>
      </c>
      <c r="G1682">
        <v>177</v>
      </c>
      <c r="V1682" t="s">
        <v>867</v>
      </c>
    </row>
    <row r="1683" spans="2:24" x14ac:dyDescent="0.25">
      <c r="B1683">
        <v>11302</v>
      </c>
      <c r="C1683" t="s">
        <v>23084</v>
      </c>
      <c r="E1683">
        <v>209</v>
      </c>
      <c r="F1683">
        <v>206</v>
      </c>
      <c r="G1683">
        <v>226</v>
      </c>
      <c r="W1683" t="s">
        <v>1713</v>
      </c>
    </row>
    <row r="1684" spans="2:24" x14ac:dyDescent="0.25">
      <c r="B1684">
        <v>266441395</v>
      </c>
      <c r="C1684" t="s">
        <v>23085</v>
      </c>
      <c r="E1684">
        <v>209</v>
      </c>
      <c r="F1684">
        <v>206</v>
      </c>
      <c r="G1684">
        <v>226</v>
      </c>
      <c r="X1684" t="s">
        <v>8461</v>
      </c>
    </row>
    <row r="1685" spans="2:24" x14ac:dyDescent="0.25">
      <c r="B1685">
        <v>266441399</v>
      </c>
      <c r="C1685" t="s">
        <v>23086</v>
      </c>
      <c r="E1685">
        <v>209</v>
      </c>
      <c r="F1685">
        <v>206</v>
      </c>
      <c r="G1685">
        <v>226</v>
      </c>
      <c r="X1685" t="s">
        <v>8463</v>
      </c>
    </row>
    <row r="1686" spans="2:24" x14ac:dyDescent="0.25">
      <c r="B1686">
        <v>11303</v>
      </c>
      <c r="C1686" t="s">
        <v>23087</v>
      </c>
      <c r="E1686">
        <v>230</v>
      </c>
      <c r="F1686">
        <v>230</v>
      </c>
      <c r="G1686">
        <v>236</v>
      </c>
      <c r="W1686" t="s">
        <v>1715</v>
      </c>
    </row>
    <row r="1687" spans="2:24" x14ac:dyDescent="0.25">
      <c r="B1687">
        <v>11304</v>
      </c>
      <c r="C1687" t="s">
        <v>23088</v>
      </c>
      <c r="E1687">
        <v>230</v>
      </c>
      <c r="F1687">
        <v>230</v>
      </c>
      <c r="G1687">
        <v>236</v>
      </c>
      <c r="W1687" t="s">
        <v>1717</v>
      </c>
    </row>
    <row r="1688" spans="2:24" x14ac:dyDescent="0.25">
      <c r="B1688">
        <v>11305</v>
      </c>
      <c r="C1688" t="s">
        <v>23089</v>
      </c>
      <c r="E1688">
        <v>93</v>
      </c>
      <c r="F1688">
        <v>69</v>
      </c>
      <c r="G1688">
        <v>127</v>
      </c>
      <c r="W1688" t="s">
        <v>1719</v>
      </c>
    </row>
    <row r="1689" spans="2:24" x14ac:dyDescent="0.25">
      <c r="B1689">
        <v>11306</v>
      </c>
      <c r="C1689" t="s">
        <v>23090</v>
      </c>
      <c r="E1689">
        <v>138</v>
      </c>
      <c r="F1689">
        <v>122</v>
      </c>
      <c r="G1689">
        <v>177</v>
      </c>
      <c r="W1689" t="s">
        <v>1721</v>
      </c>
    </row>
    <row r="1690" spans="2:24" x14ac:dyDescent="0.25">
      <c r="B1690">
        <v>10300</v>
      </c>
      <c r="C1690" t="s">
        <v>23091</v>
      </c>
      <c r="E1690">
        <v>170</v>
      </c>
      <c r="F1690">
        <v>157</v>
      </c>
      <c r="G1690">
        <v>198</v>
      </c>
      <c r="U1690" t="s">
        <v>143</v>
      </c>
    </row>
    <row r="1691" spans="2:24" x14ac:dyDescent="0.25">
      <c r="B1691">
        <v>266441403</v>
      </c>
      <c r="C1691" t="s">
        <v>23092</v>
      </c>
      <c r="E1691">
        <v>114</v>
      </c>
      <c r="F1691">
        <v>83</v>
      </c>
      <c r="G1691">
        <v>152</v>
      </c>
      <c r="V1691" t="s">
        <v>8465</v>
      </c>
    </row>
    <row r="1692" spans="2:24" x14ac:dyDescent="0.25">
      <c r="B1692">
        <v>11307</v>
      </c>
      <c r="C1692" t="s">
        <v>23093</v>
      </c>
      <c r="E1692">
        <v>114</v>
      </c>
      <c r="F1692">
        <v>83</v>
      </c>
      <c r="G1692">
        <v>152</v>
      </c>
      <c r="V1692" t="s">
        <v>6435</v>
      </c>
    </row>
    <row r="1693" spans="2:24" x14ac:dyDescent="0.25">
      <c r="B1693">
        <v>11308</v>
      </c>
      <c r="C1693" t="s">
        <v>23094</v>
      </c>
      <c r="E1693">
        <v>114</v>
      </c>
      <c r="F1693">
        <v>83</v>
      </c>
      <c r="G1693">
        <v>152</v>
      </c>
      <c r="V1693" t="s">
        <v>6437</v>
      </c>
    </row>
    <row r="1694" spans="2:24" x14ac:dyDescent="0.25">
      <c r="B1694">
        <v>10301</v>
      </c>
      <c r="C1694" t="s">
        <v>23095</v>
      </c>
      <c r="E1694">
        <v>153</v>
      </c>
      <c r="F1694">
        <v>136</v>
      </c>
      <c r="G1694">
        <v>187</v>
      </c>
      <c r="T1694" t="s">
        <v>14720</v>
      </c>
    </row>
    <row r="1695" spans="2:24" x14ac:dyDescent="0.25">
      <c r="B1695">
        <v>10302</v>
      </c>
      <c r="C1695" t="s">
        <v>15962</v>
      </c>
      <c r="E1695">
        <v>153</v>
      </c>
      <c r="F1695">
        <v>136</v>
      </c>
      <c r="G1695">
        <v>187</v>
      </c>
      <c r="U1695" t="s">
        <v>14722</v>
      </c>
    </row>
    <row r="1696" spans="2:24" x14ac:dyDescent="0.25">
      <c r="B1696">
        <v>266441407</v>
      </c>
      <c r="C1696" t="s">
        <v>23096</v>
      </c>
      <c r="E1696">
        <v>153</v>
      </c>
      <c r="F1696">
        <v>136</v>
      </c>
      <c r="G1696">
        <v>187</v>
      </c>
      <c r="V1696" t="s">
        <v>8467</v>
      </c>
    </row>
    <row r="1697" spans="2:23" x14ac:dyDescent="0.25">
      <c r="B1697">
        <v>266441411</v>
      </c>
      <c r="C1697" t="s">
        <v>23097</v>
      </c>
      <c r="E1697">
        <v>230</v>
      </c>
      <c r="F1697">
        <v>230</v>
      </c>
      <c r="G1697">
        <v>236</v>
      </c>
      <c r="W1697" t="s">
        <v>8469</v>
      </c>
    </row>
    <row r="1698" spans="2:23" x14ac:dyDescent="0.25">
      <c r="B1698">
        <v>266441415</v>
      </c>
      <c r="C1698" t="s">
        <v>23098</v>
      </c>
      <c r="E1698">
        <v>97</v>
      </c>
      <c r="F1698">
        <v>72</v>
      </c>
      <c r="G1698">
        <v>132</v>
      </c>
      <c r="W1698" t="s">
        <v>8471</v>
      </c>
    </row>
    <row r="1699" spans="2:23" x14ac:dyDescent="0.25">
      <c r="B1699">
        <v>266441419</v>
      </c>
      <c r="C1699" t="s">
        <v>23099</v>
      </c>
      <c r="E1699">
        <v>153</v>
      </c>
      <c r="F1699">
        <v>136</v>
      </c>
      <c r="G1699">
        <v>187</v>
      </c>
      <c r="W1699" t="s">
        <v>8473</v>
      </c>
    </row>
    <row r="1700" spans="2:23" x14ac:dyDescent="0.25">
      <c r="B1700">
        <v>11309</v>
      </c>
      <c r="C1700" t="s">
        <v>23100</v>
      </c>
      <c r="E1700">
        <v>153</v>
      </c>
      <c r="F1700">
        <v>136</v>
      </c>
      <c r="G1700">
        <v>187</v>
      </c>
      <c r="V1700" t="s">
        <v>6439</v>
      </c>
    </row>
    <row r="1701" spans="2:23" x14ac:dyDescent="0.25">
      <c r="B1701">
        <v>11310</v>
      </c>
      <c r="C1701" t="s">
        <v>23101</v>
      </c>
      <c r="E1701">
        <v>230</v>
      </c>
      <c r="F1701">
        <v>230</v>
      </c>
      <c r="G1701">
        <v>236</v>
      </c>
      <c r="W1701" t="s">
        <v>6441</v>
      </c>
    </row>
    <row r="1702" spans="2:23" x14ac:dyDescent="0.25">
      <c r="B1702">
        <v>11311</v>
      </c>
      <c r="C1702" t="s">
        <v>23102</v>
      </c>
      <c r="E1702">
        <v>97</v>
      </c>
      <c r="F1702">
        <v>72</v>
      </c>
      <c r="G1702">
        <v>132</v>
      </c>
      <c r="W1702" t="s">
        <v>6443</v>
      </c>
    </row>
    <row r="1703" spans="2:23" x14ac:dyDescent="0.25">
      <c r="B1703">
        <v>11312</v>
      </c>
      <c r="C1703" t="s">
        <v>23103</v>
      </c>
      <c r="E1703">
        <v>153</v>
      </c>
      <c r="F1703">
        <v>136</v>
      </c>
      <c r="G1703">
        <v>187</v>
      </c>
      <c r="W1703" t="s">
        <v>6445</v>
      </c>
    </row>
    <row r="1704" spans="2:23" x14ac:dyDescent="0.25">
      <c r="B1704">
        <v>11313</v>
      </c>
      <c r="C1704" t="s">
        <v>23104</v>
      </c>
      <c r="E1704">
        <v>153</v>
      </c>
      <c r="F1704">
        <v>136</v>
      </c>
      <c r="G1704">
        <v>187</v>
      </c>
      <c r="V1704" t="s">
        <v>6447</v>
      </c>
    </row>
    <row r="1705" spans="2:23" x14ac:dyDescent="0.25">
      <c r="B1705">
        <v>11314</v>
      </c>
      <c r="C1705" t="s">
        <v>23105</v>
      </c>
      <c r="E1705">
        <v>230</v>
      </c>
      <c r="F1705">
        <v>230</v>
      </c>
      <c r="G1705">
        <v>236</v>
      </c>
      <c r="W1705" t="s">
        <v>6449</v>
      </c>
    </row>
    <row r="1706" spans="2:23" x14ac:dyDescent="0.25">
      <c r="B1706">
        <v>11315</v>
      </c>
      <c r="C1706" t="s">
        <v>23106</v>
      </c>
      <c r="E1706">
        <v>97</v>
      </c>
      <c r="F1706">
        <v>72</v>
      </c>
      <c r="G1706">
        <v>132</v>
      </c>
      <c r="W1706" t="s">
        <v>6451</v>
      </c>
    </row>
    <row r="1707" spans="2:23" x14ac:dyDescent="0.25">
      <c r="B1707">
        <v>11316</v>
      </c>
      <c r="C1707" t="s">
        <v>23107</v>
      </c>
      <c r="E1707">
        <v>153</v>
      </c>
      <c r="F1707">
        <v>136</v>
      </c>
      <c r="G1707">
        <v>187</v>
      </c>
      <c r="W1707" t="s">
        <v>6453</v>
      </c>
    </row>
    <row r="1708" spans="2:23" x14ac:dyDescent="0.25">
      <c r="B1708">
        <v>10303</v>
      </c>
      <c r="C1708" t="s">
        <v>19689</v>
      </c>
      <c r="E1708">
        <v>170</v>
      </c>
      <c r="F1708">
        <v>157</v>
      </c>
      <c r="G1708">
        <v>198</v>
      </c>
      <c r="U1708" t="s">
        <v>5309</v>
      </c>
    </row>
    <row r="1709" spans="2:23" x14ac:dyDescent="0.25">
      <c r="B1709">
        <v>266441423</v>
      </c>
      <c r="C1709" t="s">
        <v>23108</v>
      </c>
      <c r="E1709">
        <v>170</v>
      </c>
      <c r="F1709">
        <v>157</v>
      </c>
      <c r="G1709">
        <v>198</v>
      </c>
      <c r="V1709" t="s">
        <v>8475</v>
      </c>
    </row>
    <row r="1710" spans="2:23" x14ac:dyDescent="0.25">
      <c r="B1710">
        <v>266441427</v>
      </c>
      <c r="C1710" t="s">
        <v>23109</v>
      </c>
      <c r="E1710">
        <v>230</v>
      </c>
      <c r="F1710">
        <v>230</v>
      </c>
      <c r="G1710">
        <v>236</v>
      </c>
      <c r="W1710" t="s">
        <v>8477</v>
      </c>
    </row>
    <row r="1711" spans="2:23" x14ac:dyDescent="0.25">
      <c r="B1711">
        <v>266441431</v>
      </c>
      <c r="C1711" t="s">
        <v>23110</v>
      </c>
      <c r="E1711">
        <v>105</v>
      </c>
      <c r="F1711">
        <v>79</v>
      </c>
      <c r="G1711">
        <v>140</v>
      </c>
      <c r="W1711" t="s">
        <v>8479</v>
      </c>
    </row>
    <row r="1712" spans="2:23" x14ac:dyDescent="0.25">
      <c r="B1712">
        <v>266441435</v>
      </c>
      <c r="C1712" t="s">
        <v>23111</v>
      </c>
      <c r="E1712">
        <v>117</v>
      </c>
      <c r="F1712">
        <v>87</v>
      </c>
      <c r="G1712">
        <v>161</v>
      </c>
      <c r="W1712" t="s">
        <v>8481</v>
      </c>
    </row>
    <row r="1713" spans="2:23" x14ac:dyDescent="0.25">
      <c r="B1713">
        <v>11317</v>
      </c>
      <c r="C1713" t="s">
        <v>23112</v>
      </c>
      <c r="E1713">
        <v>170</v>
      </c>
      <c r="F1713">
        <v>157</v>
      </c>
      <c r="G1713">
        <v>198</v>
      </c>
      <c r="V1713" t="s">
        <v>6455</v>
      </c>
    </row>
    <row r="1714" spans="2:23" x14ac:dyDescent="0.25">
      <c r="B1714">
        <v>11318</v>
      </c>
      <c r="C1714" t="s">
        <v>23113</v>
      </c>
      <c r="E1714">
        <v>230</v>
      </c>
      <c r="F1714">
        <v>230</v>
      </c>
      <c r="G1714">
        <v>236</v>
      </c>
      <c r="W1714" t="s">
        <v>6457</v>
      </c>
    </row>
    <row r="1715" spans="2:23" x14ac:dyDescent="0.25">
      <c r="B1715">
        <v>11319</v>
      </c>
      <c r="C1715" t="s">
        <v>23114</v>
      </c>
      <c r="E1715">
        <v>105</v>
      </c>
      <c r="F1715">
        <v>79</v>
      </c>
      <c r="G1715">
        <v>140</v>
      </c>
      <c r="W1715" t="s">
        <v>6459</v>
      </c>
    </row>
    <row r="1716" spans="2:23" x14ac:dyDescent="0.25">
      <c r="B1716">
        <v>11320</v>
      </c>
      <c r="C1716" t="s">
        <v>23115</v>
      </c>
      <c r="E1716">
        <v>117</v>
      </c>
      <c r="F1716">
        <v>87</v>
      </c>
      <c r="G1716">
        <v>161</v>
      </c>
      <c r="W1716" t="s">
        <v>6461</v>
      </c>
    </row>
    <row r="1717" spans="2:23" x14ac:dyDescent="0.25">
      <c r="B1717">
        <v>11321</v>
      </c>
      <c r="C1717" t="s">
        <v>23116</v>
      </c>
      <c r="E1717">
        <v>170</v>
      </c>
      <c r="F1717">
        <v>157</v>
      </c>
      <c r="G1717">
        <v>198</v>
      </c>
      <c r="V1717" t="s">
        <v>6463</v>
      </c>
    </row>
    <row r="1718" spans="2:23" x14ac:dyDescent="0.25">
      <c r="B1718">
        <v>11322</v>
      </c>
      <c r="C1718" t="s">
        <v>23117</v>
      </c>
      <c r="E1718">
        <v>230</v>
      </c>
      <c r="F1718">
        <v>230</v>
      </c>
      <c r="G1718">
        <v>236</v>
      </c>
      <c r="W1718" t="s">
        <v>6465</v>
      </c>
    </row>
    <row r="1719" spans="2:23" x14ac:dyDescent="0.25">
      <c r="B1719">
        <v>11323</v>
      </c>
      <c r="C1719" t="s">
        <v>23118</v>
      </c>
      <c r="E1719">
        <v>105</v>
      </c>
      <c r="F1719">
        <v>79</v>
      </c>
      <c r="G1719">
        <v>140</v>
      </c>
      <c r="W1719" t="s">
        <v>6467</v>
      </c>
    </row>
    <row r="1720" spans="2:23" x14ac:dyDescent="0.25">
      <c r="B1720">
        <v>11324</v>
      </c>
      <c r="C1720" t="s">
        <v>23119</v>
      </c>
      <c r="E1720">
        <v>117</v>
      </c>
      <c r="F1720">
        <v>87</v>
      </c>
      <c r="G1720">
        <v>161</v>
      </c>
      <c r="W1720" t="s">
        <v>6469</v>
      </c>
    </row>
    <row r="1721" spans="2:23" x14ac:dyDescent="0.25">
      <c r="B1721">
        <v>11325</v>
      </c>
      <c r="C1721" t="s">
        <v>23120</v>
      </c>
      <c r="E1721">
        <v>117</v>
      </c>
      <c r="F1721">
        <v>87</v>
      </c>
      <c r="G1721">
        <v>161</v>
      </c>
      <c r="U1721" t="s">
        <v>6471</v>
      </c>
    </row>
    <row r="1722" spans="2:23" x14ac:dyDescent="0.25">
      <c r="B1722">
        <v>13326</v>
      </c>
      <c r="C1722" t="s">
        <v>23121</v>
      </c>
      <c r="E1722">
        <v>230</v>
      </c>
      <c r="F1722">
        <v>230</v>
      </c>
      <c r="G1722">
        <v>236</v>
      </c>
      <c r="V1722" t="s">
        <v>8092</v>
      </c>
    </row>
    <row r="1723" spans="2:23" x14ac:dyDescent="0.25">
      <c r="B1723">
        <v>13327</v>
      </c>
      <c r="C1723" t="s">
        <v>23122</v>
      </c>
      <c r="E1723">
        <v>114</v>
      </c>
      <c r="F1723">
        <v>83</v>
      </c>
      <c r="G1723">
        <v>152</v>
      </c>
      <c r="V1723" t="s">
        <v>8094</v>
      </c>
    </row>
    <row r="1724" spans="2:23" x14ac:dyDescent="0.25">
      <c r="B1724">
        <v>15529</v>
      </c>
      <c r="C1724" t="s">
        <v>23123</v>
      </c>
      <c r="E1724">
        <v>93</v>
      </c>
      <c r="F1724">
        <v>69</v>
      </c>
      <c r="G1724">
        <v>127</v>
      </c>
      <c r="V1724" t="s">
        <v>8323</v>
      </c>
    </row>
    <row r="1725" spans="2:23" x14ac:dyDescent="0.25">
      <c r="B1725">
        <v>10304</v>
      </c>
      <c r="C1725" t="s">
        <v>15946</v>
      </c>
      <c r="E1725">
        <v>128</v>
      </c>
      <c r="F1725">
        <v>107</v>
      </c>
      <c r="G1725">
        <v>170</v>
      </c>
      <c r="S1725" t="s">
        <v>2343</v>
      </c>
    </row>
    <row r="1726" spans="2:23" x14ac:dyDescent="0.25">
      <c r="B1726">
        <v>13328</v>
      </c>
      <c r="C1726" t="s">
        <v>15948</v>
      </c>
      <c r="E1726">
        <v>230</v>
      </c>
      <c r="F1726">
        <v>230</v>
      </c>
      <c r="G1726">
        <v>236</v>
      </c>
      <c r="T1726" t="s">
        <v>8096</v>
      </c>
    </row>
    <row r="1727" spans="2:23" x14ac:dyDescent="0.25">
      <c r="B1727">
        <v>13329</v>
      </c>
      <c r="C1727" t="s">
        <v>15949</v>
      </c>
      <c r="E1727">
        <v>114</v>
      </c>
      <c r="F1727">
        <v>83</v>
      </c>
      <c r="G1727">
        <v>152</v>
      </c>
      <c r="T1727" t="s">
        <v>8098</v>
      </c>
    </row>
    <row r="1728" spans="2:23" x14ac:dyDescent="0.25">
      <c r="B1728">
        <v>15530</v>
      </c>
      <c r="C1728" t="s">
        <v>23124</v>
      </c>
      <c r="E1728">
        <v>93</v>
      </c>
      <c r="F1728">
        <v>69</v>
      </c>
      <c r="G1728">
        <v>127</v>
      </c>
      <c r="T1728" t="s">
        <v>8325</v>
      </c>
    </row>
    <row r="1729" spans="2:20" x14ac:dyDescent="0.25">
      <c r="B1729">
        <v>10305</v>
      </c>
      <c r="C1729" t="s">
        <v>19429</v>
      </c>
      <c r="E1729">
        <v>117</v>
      </c>
      <c r="F1729">
        <v>87</v>
      </c>
      <c r="G1729">
        <v>161</v>
      </c>
      <c r="S1729" t="s">
        <v>14890</v>
      </c>
    </row>
    <row r="1730" spans="2:20" x14ac:dyDescent="0.25">
      <c r="B1730">
        <v>15531</v>
      </c>
      <c r="C1730" t="s">
        <v>23125</v>
      </c>
      <c r="E1730">
        <v>230</v>
      </c>
      <c r="F1730">
        <v>230</v>
      </c>
      <c r="G1730">
        <v>236</v>
      </c>
      <c r="T1730" t="s">
        <v>8327</v>
      </c>
    </row>
    <row r="1731" spans="2:20" x14ac:dyDescent="0.25">
      <c r="B1731">
        <v>15532</v>
      </c>
      <c r="C1731" t="s">
        <v>23126</v>
      </c>
      <c r="E1731">
        <v>114</v>
      </c>
      <c r="F1731">
        <v>83</v>
      </c>
      <c r="G1731">
        <v>152</v>
      </c>
      <c r="T1731" t="s">
        <v>8329</v>
      </c>
    </row>
    <row r="1732" spans="2:20" x14ac:dyDescent="0.25">
      <c r="B1732">
        <v>15533</v>
      </c>
      <c r="C1732" t="s">
        <v>19431</v>
      </c>
      <c r="E1732">
        <v>93</v>
      </c>
      <c r="F1732">
        <v>69</v>
      </c>
      <c r="G1732">
        <v>127</v>
      </c>
      <c r="T1732" t="s">
        <v>8331</v>
      </c>
    </row>
    <row r="1733" spans="2:20" x14ac:dyDescent="0.25">
      <c r="B1733">
        <v>10306</v>
      </c>
      <c r="C1733" t="s">
        <v>23127</v>
      </c>
      <c r="E1733">
        <v>191</v>
      </c>
      <c r="F1733">
        <v>181</v>
      </c>
      <c r="G1733">
        <v>213</v>
      </c>
      <c r="R1733" t="s">
        <v>3545</v>
      </c>
    </row>
    <row r="1734" spans="2:20" x14ac:dyDescent="0.25">
      <c r="B1734">
        <v>10307</v>
      </c>
      <c r="C1734" t="s">
        <v>15695</v>
      </c>
      <c r="E1734">
        <v>209</v>
      </c>
      <c r="F1734">
        <v>206</v>
      </c>
      <c r="G1734">
        <v>226</v>
      </c>
      <c r="S1734" t="s">
        <v>3417</v>
      </c>
    </row>
    <row r="1735" spans="2:20" x14ac:dyDescent="0.25">
      <c r="B1735">
        <v>11326</v>
      </c>
      <c r="C1735" t="s">
        <v>23128</v>
      </c>
      <c r="E1735">
        <v>230</v>
      </c>
      <c r="F1735">
        <v>230</v>
      </c>
      <c r="G1735">
        <v>236</v>
      </c>
      <c r="T1735" t="s">
        <v>3448</v>
      </c>
    </row>
    <row r="1736" spans="2:20" x14ac:dyDescent="0.25">
      <c r="B1736">
        <v>11327</v>
      </c>
      <c r="C1736" t="s">
        <v>23129</v>
      </c>
      <c r="E1736">
        <v>153</v>
      </c>
      <c r="F1736">
        <v>136</v>
      </c>
      <c r="G1736">
        <v>187</v>
      </c>
      <c r="T1736" t="s">
        <v>3425</v>
      </c>
    </row>
    <row r="1737" spans="2:20" x14ac:dyDescent="0.25">
      <c r="B1737">
        <v>11328</v>
      </c>
      <c r="C1737" t="s">
        <v>23130</v>
      </c>
      <c r="E1737">
        <v>230</v>
      </c>
      <c r="F1737">
        <v>230</v>
      </c>
      <c r="G1737">
        <v>236</v>
      </c>
      <c r="T1737" t="s">
        <v>6473</v>
      </c>
    </row>
    <row r="1738" spans="2:20" x14ac:dyDescent="0.25">
      <c r="B1738">
        <v>11329</v>
      </c>
      <c r="C1738" t="s">
        <v>23131</v>
      </c>
      <c r="E1738">
        <v>105</v>
      </c>
      <c r="F1738">
        <v>79</v>
      </c>
      <c r="G1738">
        <v>140</v>
      </c>
      <c r="T1738" t="s">
        <v>3443</v>
      </c>
    </row>
    <row r="1739" spans="2:20" x14ac:dyDescent="0.25">
      <c r="B1739">
        <v>11330</v>
      </c>
      <c r="C1739" t="s">
        <v>23132</v>
      </c>
      <c r="E1739">
        <v>153</v>
      </c>
      <c r="F1739">
        <v>136</v>
      </c>
      <c r="G1739">
        <v>187</v>
      </c>
      <c r="T1739" t="s">
        <v>3435</v>
      </c>
    </row>
    <row r="1740" spans="2:20" x14ac:dyDescent="0.25">
      <c r="B1740">
        <v>11331</v>
      </c>
      <c r="C1740" t="s">
        <v>23133</v>
      </c>
      <c r="E1740">
        <v>105</v>
      </c>
      <c r="F1740">
        <v>79</v>
      </c>
      <c r="G1740">
        <v>140</v>
      </c>
      <c r="T1740" t="s">
        <v>6475</v>
      </c>
    </row>
    <row r="1741" spans="2:20" x14ac:dyDescent="0.25">
      <c r="B1741">
        <v>10308</v>
      </c>
      <c r="C1741" t="s">
        <v>19413</v>
      </c>
      <c r="E1741">
        <v>170</v>
      </c>
      <c r="F1741">
        <v>157</v>
      </c>
      <c r="G1741">
        <v>198</v>
      </c>
      <c r="S1741" t="s">
        <v>387</v>
      </c>
    </row>
    <row r="1742" spans="2:20" x14ac:dyDescent="0.25">
      <c r="B1742">
        <v>10309</v>
      </c>
      <c r="C1742" t="s">
        <v>19475</v>
      </c>
      <c r="E1742">
        <v>153</v>
      </c>
      <c r="F1742">
        <v>136</v>
      </c>
      <c r="G1742">
        <v>187</v>
      </c>
      <c r="S1742" t="s">
        <v>3283</v>
      </c>
    </row>
    <row r="1743" spans="2:20" x14ac:dyDescent="0.25">
      <c r="B1743">
        <v>10310</v>
      </c>
      <c r="C1743" t="s">
        <v>19752</v>
      </c>
      <c r="E1743">
        <v>153</v>
      </c>
      <c r="F1743">
        <v>136</v>
      </c>
      <c r="G1743">
        <v>187</v>
      </c>
      <c r="S1743" t="s">
        <v>3471</v>
      </c>
    </row>
    <row r="1744" spans="2:20" x14ac:dyDescent="0.25">
      <c r="B1744">
        <v>11332</v>
      </c>
      <c r="C1744" t="s">
        <v>19760</v>
      </c>
      <c r="E1744">
        <v>230</v>
      </c>
      <c r="F1744">
        <v>230</v>
      </c>
      <c r="G1744">
        <v>236</v>
      </c>
      <c r="T1744" t="s">
        <v>6477</v>
      </c>
    </row>
    <row r="1745" spans="2:20" x14ac:dyDescent="0.25">
      <c r="B1745">
        <v>11333</v>
      </c>
      <c r="C1745" t="s">
        <v>19762</v>
      </c>
      <c r="E1745">
        <v>117</v>
      </c>
      <c r="F1745">
        <v>87</v>
      </c>
      <c r="G1745">
        <v>161</v>
      </c>
      <c r="T1745" t="s">
        <v>6479</v>
      </c>
    </row>
    <row r="1746" spans="2:20" x14ac:dyDescent="0.25">
      <c r="B1746">
        <v>11334</v>
      </c>
      <c r="C1746" t="s">
        <v>19764</v>
      </c>
      <c r="E1746">
        <v>138</v>
      </c>
      <c r="F1746">
        <v>122</v>
      </c>
      <c r="G1746">
        <v>177</v>
      </c>
      <c r="T1746" t="s">
        <v>6481</v>
      </c>
    </row>
    <row r="1747" spans="2:20" x14ac:dyDescent="0.25">
      <c r="B1747">
        <v>146034694</v>
      </c>
      <c r="C1747" t="s">
        <v>23134</v>
      </c>
      <c r="E1747">
        <v>138</v>
      </c>
      <c r="F1747">
        <v>122</v>
      </c>
      <c r="G1747">
        <v>177</v>
      </c>
      <c r="S1747" t="s">
        <v>8203</v>
      </c>
    </row>
    <row r="1748" spans="2:20" x14ac:dyDescent="0.25">
      <c r="B1748">
        <v>146034698</v>
      </c>
      <c r="C1748" t="s">
        <v>23135</v>
      </c>
      <c r="E1748">
        <v>230</v>
      </c>
      <c r="F1748">
        <v>230</v>
      </c>
      <c r="G1748">
        <v>236</v>
      </c>
      <c r="T1748" t="s">
        <v>8205</v>
      </c>
    </row>
    <row r="1749" spans="2:20" x14ac:dyDescent="0.25">
      <c r="B1749">
        <v>146034702</v>
      </c>
      <c r="C1749" t="s">
        <v>23136</v>
      </c>
      <c r="E1749">
        <v>114</v>
      </c>
      <c r="F1749">
        <v>83</v>
      </c>
      <c r="G1749">
        <v>152</v>
      </c>
      <c r="T1749" t="s">
        <v>8207</v>
      </c>
    </row>
    <row r="1750" spans="2:20" x14ac:dyDescent="0.25">
      <c r="B1750">
        <v>146034706</v>
      </c>
      <c r="C1750" t="s">
        <v>23137</v>
      </c>
      <c r="E1750">
        <v>128</v>
      </c>
      <c r="F1750">
        <v>107</v>
      </c>
      <c r="G1750">
        <v>170</v>
      </c>
      <c r="T1750" t="s">
        <v>8209</v>
      </c>
    </row>
    <row r="1751" spans="2:20" x14ac:dyDescent="0.25">
      <c r="B1751">
        <v>266441439</v>
      </c>
      <c r="C1751" t="s">
        <v>23138</v>
      </c>
      <c r="E1751">
        <v>171</v>
      </c>
      <c r="F1751">
        <v>158</v>
      </c>
      <c r="G1751">
        <v>199</v>
      </c>
      <c r="T1751" t="s">
        <v>23139</v>
      </c>
    </row>
    <row r="1752" spans="2:20" x14ac:dyDescent="0.25">
      <c r="B1752">
        <v>266441443</v>
      </c>
      <c r="C1752" t="s">
        <v>23140</v>
      </c>
      <c r="E1752">
        <v>113</v>
      </c>
      <c r="F1752">
        <v>83</v>
      </c>
      <c r="G1752">
        <v>152</v>
      </c>
      <c r="T1752" t="s">
        <v>8485</v>
      </c>
    </row>
    <row r="1753" spans="2:20" x14ac:dyDescent="0.25">
      <c r="B1753">
        <v>10311</v>
      </c>
      <c r="C1753" t="s">
        <v>23141</v>
      </c>
      <c r="E1753">
        <v>170</v>
      </c>
      <c r="F1753">
        <v>157</v>
      </c>
      <c r="G1753">
        <v>198</v>
      </c>
      <c r="S1753" t="s">
        <v>3837</v>
      </c>
    </row>
    <row r="1754" spans="2:20" x14ac:dyDescent="0.25">
      <c r="B1754">
        <v>11335</v>
      </c>
      <c r="C1754" t="s">
        <v>23142</v>
      </c>
      <c r="E1754">
        <v>230</v>
      </c>
      <c r="F1754">
        <v>230</v>
      </c>
      <c r="G1754">
        <v>236</v>
      </c>
      <c r="T1754" t="s">
        <v>6483</v>
      </c>
    </row>
    <row r="1755" spans="2:20" x14ac:dyDescent="0.25">
      <c r="B1755">
        <v>11336</v>
      </c>
      <c r="C1755" t="s">
        <v>23143</v>
      </c>
      <c r="E1755">
        <v>128</v>
      </c>
      <c r="F1755">
        <v>107</v>
      </c>
      <c r="G1755">
        <v>170</v>
      </c>
      <c r="T1755" t="s">
        <v>3841</v>
      </c>
    </row>
    <row r="1756" spans="2:20" x14ac:dyDescent="0.25">
      <c r="B1756">
        <v>11337</v>
      </c>
      <c r="C1756" t="s">
        <v>23144</v>
      </c>
      <c r="E1756">
        <v>153</v>
      </c>
      <c r="F1756">
        <v>136</v>
      </c>
      <c r="G1756">
        <v>187</v>
      </c>
      <c r="T1756" t="s">
        <v>6485</v>
      </c>
    </row>
    <row r="1757" spans="2:20" x14ac:dyDescent="0.25">
      <c r="B1757">
        <v>10312</v>
      </c>
      <c r="C1757" t="s">
        <v>23145</v>
      </c>
      <c r="E1757">
        <v>138</v>
      </c>
      <c r="F1757">
        <v>122</v>
      </c>
      <c r="G1757">
        <v>177</v>
      </c>
      <c r="S1757" t="s">
        <v>5311</v>
      </c>
    </row>
    <row r="1758" spans="2:20" x14ac:dyDescent="0.25">
      <c r="B1758">
        <v>11338</v>
      </c>
      <c r="C1758" t="s">
        <v>23146</v>
      </c>
      <c r="E1758">
        <v>230</v>
      </c>
      <c r="F1758">
        <v>230</v>
      </c>
      <c r="G1758">
        <v>236</v>
      </c>
      <c r="T1758" t="s">
        <v>6487</v>
      </c>
    </row>
    <row r="1759" spans="2:20" x14ac:dyDescent="0.25">
      <c r="B1759">
        <v>11339</v>
      </c>
      <c r="C1759" t="s">
        <v>23147</v>
      </c>
      <c r="E1759">
        <v>114</v>
      </c>
      <c r="F1759">
        <v>83</v>
      </c>
      <c r="G1759">
        <v>152</v>
      </c>
      <c r="T1759" t="s">
        <v>6489</v>
      </c>
    </row>
    <row r="1760" spans="2:20" x14ac:dyDescent="0.25">
      <c r="B1760">
        <v>11340</v>
      </c>
      <c r="C1760" t="s">
        <v>23148</v>
      </c>
      <c r="E1760">
        <v>128</v>
      </c>
      <c r="F1760">
        <v>107</v>
      </c>
      <c r="G1760">
        <v>170</v>
      </c>
      <c r="T1760" t="s">
        <v>6491</v>
      </c>
    </row>
    <row r="1761" spans="2:20" x14ac:dyDescent="0.25">
      <c r="B1761">
        <v>10331</v>
      </c>
      <c r="C1761" t="s">
        <v>20397</v>
      </c>
      <c r="E1761">
        <v>215</v>
      </c>
      <c r="F1761">
        <v>233</v>
      </c>
      <c r="G1761">
        <v>195</v>
      </c>
      <c r="P1761" t="s">
        <v>1285</v>
      </c>
    </row>
    <row r="1762" spans="2:20" x14ac:dyDescent="0.25">
      <c r="B1762">
        <v>10361</v>
      </c>
      <c r="C1762" t="s">
        <v>23149</v>
      </c>
      <c r="E1762">
        <v>201</v>
      </c>
      <c r="F1762">
        <v>226</v>
      </c>
      <c r="G1762">
        <v>177</v>
      </c>
      <c r="Q1762" t="s">
        <v>231</v>
      </c>
    </row>
    <row r="1763" spans="2:20" x14ac:dyDescent="0.25">
      <c r="B1763">
        <v>10362</v>
      </c>
      <c r="C1763" t="s">
        <v>19783</v>
      </c>
      <c r="E1763">
        <v>192</v>
      </c>
      <c r="F1763">
        <v>221</v>
      </c>
      <c r="G1763">
        <v>157</v>
      </c>
      <c r="R1763" t="s">
        <v>306</v>
      </c>
    </row>
    <row r="1764" spans="2:20" x14ac:dyDescent="0.25">
      <c r="B1764">
        <v>146034710</v>
      </c>
      <c r="C1764" t="s">
        <v>23150</v>
      </c>
      <c r="E1764">
        <v>156</v>
      </c>
      <c r="F1764">
        <v>204</v>
      </c>
      <c r="G1764">
        <v>102</v>
      </c>
      <c r="S1764" t="s">
        <v>8211</v>
      </c>
    </row>
    <row r="1765" spans="2:20" x14ac:dyDescent="0.25">
      <c r="B1765">
        <v>146034714</v>
      </c>
      <c r="C1765" t="s">
        <v>23151</v>
      </c>
      <c r="E1765">
        <v>146</v>
      </c>
      <c r="F1765">
        <v>200</v>
      </c>
      <c r="G1765">
        <v>81</v>
      </c>
      <c r="S1765" t="s">
        <v>8213</v>
      </c>
    </row>
    <row r="1766" spans="2:20" x14ac:dyDescent="0.25">
      <c r="B1766">
        <v>10363</v>
      </c>
      <c r="C1766" t="s">
        <v>23152</v>
      </c>
      <c r="E1766">
        <v>175</v>
      </c>
      <c r="F1766">
        <v>213</v>
      </c>
      <c r="G1766">
        <v>138</v>
      </c>
      <c r="R1766" t="s">
        <v>914</v>
      </c>
    </row>
    <row r="1767" spans="2:20" x14ac:dyDescent="0.25">
      <c r="B1767">
        <v>10364</v>
      </c>
      <c r="C1767" t="s">
        <v>23153</v>
      </c>
      <c r="E1767">
        <v>175</v>
      </c>
      <c r="F1767">
        <v>213</v>
      </c>
      <c r="G1767">
        <v>138</v>
      </c>
      <c r="S1767" t="s">
        <v>5346</v>
      </c>
    </row>
    <row r="1768" spans="2:20" x14ac:dyDescent="0.25">
      <c r="B1768">
        <v>11501</v>
      </c>
      <c r="C1768" t="s">
        <v>23154</v>
      </c>
      <c r="E1768">
        <v>175</v>
      </c>
      <c r="F1768">
        <v>213</v>
      </c>
      <c r="G1768">
        <v>138</v>
      </c>
      <c r="T1768" t="s">
        <v>6791</v>
      </c>
    </row>
    <row r="1769" spans="2:20" x14ac:dyDescent="0.25">
      <c r="B1769">
        <v>11502</v>
      </c>
      <c r="C1769" t="s">
        <v>23155</v>
      </c>
      <c r="E1769">
        <v>175</v>
      </c>
      <c r="F1769">
        <v>213</v>
      </c>
      <c r="G1769">
        <v>138</v>
      </c>
      <c r="T1769" t="s">
        <v>6793</v>
      </c>
    </row>
    <row r="1770" spans="2:20" x14ac:dyDescent="0.25">
      <c r="B1770">
        <v>10365</v>
      </c>
      <c r="C1770" t="s">
        <v>23156</v>
      </c>
      <c r="E1770">
        <v>175</v>
      </c>
      <c r="F1770">
        <v>213</v>
      </c>
      <c r="G1770">
        <v>138</v>
      </c>
      <c r="S1770" t="s">
        <v>5348</v>
      </c>
    </row>
    <row r="1771" spans="2:20" x14ac:dyDescent="0.25">
      <c r="B1771">
        <v>11503</v>
      </c>
      <c r="C1771" t="s">
        <v>23157</v>
      </c>
      <c r="E1771">
        <v>175</v>
      </c>
      <c r="F1771">
        <v>213</v>
      </c>
      <c r="G1771">
        <v>138</v>
      </c>
      <c r="T1771" t="s">
        <v>6795</v>
      </c>
    </row>
    <row r="1772" spans="2:20" x14ac:dyDescent="0.25">
      <c r="B1772">
        <v>11504</v>
      </c>
      <c r="C1772" t="s">
        <v>23158</v>
      </c>
      <c r="E1772">
        <v>175</v>
      </c>
      <c r="F1772">
        <v>213</v>
      </c>
      <c r="G1772">
        <v>138</v>
      </c>
      <c r="T1772" t="s">
        <v>6797</v>
      </c>
    </row>
    <row r="1773" spans="2:20" x14ac:dyDescent="0.25">
      <c r="B1773">
        <v>11505</v>
      </c>
      <c r="C1773" t="s">
        <v>23159</v>
      </c>
      <c r="E1773">
        <v>175</v>
      </c>
      <c r="F1773">
        <v>213</v>
      </c>
      <c r="G1773">
        <v>138</v>
      </c>
      <c r="T1773" t="s">
        <v>6799</v>
      </c>
    </row>
    <row r="1774" spans="2:20" x14ac:dyDescent="0.25">
      <c r="B1774">
        <v>11506</v>
      </c>
      <c r="C1774" t="s">
        <v>23160</v>
      </c>
      <c r="E1774">
        <v>175</v>
      </c>
      <c r="F1774">
        <v>213</v>
      </c>
      <c r="G1774">
        <v>138</v>
      </c>
      <c r="T1774" t="s">
        <v>6801</v>
      </c>
    </row>
    <row r="1775" spans="2:20" x14ac:dyDescent="0.25">
      <c r="B1775">
        <v>10372</v>
      </c>
      <c r="C1775" t="s">
        <v>23161</v>
      </c>
      <c r="E1775">
        <v>166</v>
      </c>
      <c r="F1775">
        <v>209</v>
      </c>
      <c r="G1775">
        <v>122</v>
      </c>
      <c r="R1775" t="s">
        <v>1362</v>
      </c>
    </row>
    <row r="1776" spans="2:20" x14ac:dyDescent="0.25">
      <c r="B1776">
        <v>10373</v>
      </c>
      <c r="C1776" t="s">
        <v>23162</v>
      </c>
      <c r="E1776">
        <v>156</v>
      </c>
      <c r="F1776">
        <v>204</v>
      </c>
      <c r="G1776">
        <v>102</v>
      </c>
      <c r="S1776" t="s">
        <v>3789</v>
      </c>
    </row>
    <row r="1777" spans="2:21" x14ac:dyDescent="0.25">
      <c r="B1777">
        <v>10374</v>
      </c>
      <c r="C1777" t="s">
        <v>23163</v>
      </c>
      <c r="E1777">
        <v>137</v>
      </c>
      <c r="F1777">
        <v>186</v>
      </c>
      <c r="G1777">
        <v>70</v>
      </c>
      <c r="T1777" t="s">
        <v>5354</v>
      </c>
    </row>
    <row r="1778" spans="2:21" x14ac:dyDescent="0.25">
      <c r="B1778">
        <v>11528</v>
      </c>
      <c r="C1778" t="s">
        <v>23164</v>
      </c>
      <c r="E1778">
        <v>146</v>
      </c>
      <c r="F1778">
        <v>200</v>
      </c>
      <c r="G1778">
        <v>81</v>
      </c>
      <c r="U1778" t="s">
        <v>6845</v>
      </c>
    </row>
    <row r="1779" spans="2:21" x14ac:dyDescent="0.25">
      <c r="B1779">
        <v>11529</v>
      </c>
      <c r="C1779" t="s">
        <v>23165</v>
      </c>
      <c r="E1779">
        <v>137</v>
      </c>
      <c r="F1779">
        <v>186</v>
      </c>
      <c r="G1779">
        <v>70</v>
      </c>
      <c r="U1779" t="s">
        <v>6847</v>
      </c>
    </row>
    <row r="1780" spans="2:21" x14ac:dyDescent="0.25">
      <c r="B1780">
        <v>13025</v>
      </c>
      <c r="C1780" t="s">
        <v>23166</v>
      </c>
      <c r="E1780">
        <v>215</v>
      </c>
      <c r="F1780">
        <v>233</v>
      </c>
      <c r="G1780">
        <v>195</v>
      </c>
      <c r="U1780" t="s">
        <v>7952</v>
      </c>
    </row>
    <row r="1781" spans="2:21" x14ac:dyDescent="0.25">
      <c r="B1781">
        <v>10375</v>
      </c>
      <c r="C1781" t="s">
        <v>16746</v>
      </c>
      <c r="E1781">
        <v>146</v>
      </c>
      <c r="F1781">
        <v>200</v>
      </c>
      <c r="G1781">
        <v>81</v>
      </c>
      <c r="T1781" t="s">
        <v>5356</v>
      </c>
    </row>
    <row r="1782" spans="2:21" x14ac:dyDescent="0.25">
      <c r="B1782">
        <v>146034718</v>
      </c>
      <c r="C1782" t="s">
        <v>23167</v>
      </c>
      <c r="E1782">
        <v>156</v>
      </c>
      <c r="F1782">
        <v>204</v>
      </c>
      <c r="G1782">
        <v>102</v>
      </c>
      <c r="U1782" t="s">
        <v>8215</v>
      </c>
    </row>
    <row r="1783" spans="2:21" x14ac:dyDescent="0.25">
      <c r="B1783">
        <v>146034722</v>
      </c>
      <c r="C1783" t="s">
        <v>16748</v>
      </c>
      <c r="E1783">
        <v>146</v>
      </c>
      <c r="F1783">
        <v>200</v>
      </c>
      <c r="G1783">
        <v>81</v>
      </c>
      <c r="U1783" t="s">
        <v>8217</v>
      </c>
    </row>
    <row r="1784" spans="2:21" x14ac:dyDescent="0.25">
      <c r="B1784">
        <v>13026</v>
      </c>
      <c r="C1784" t="s">
        <v>23168</v>
      </c>
      <c r="E1784">
        <v>215</v>
      </c>
      <c r="F1784">
        <v>233</v>
      </c>
      <c r="G1784">
        <v>195</v>
      </c>
      <c r="U1784" t="s">
        <v>7954</v>
      </c>
    </row>
    <row r="1785" spans="2:21" x14ac:dyDescent="0.25">
      <c r="B1785">
        <v>10376</v>
      </c>
      <c r="C1785" t="s">
        <v>23169</v>
      </c>
      <c r="E1785">
        <v>156</v>
      </c>
      <c r="F1785">
        <v>204</v>
      </c>
      <c r="G1785">
        <v>102</v>
      </c>
      <c r="S1785" t="s">
        <v>3047</v>
      </c>
    </row>
    <row r="1786" spans="2:21" x14ac:dyDescent="0.25">
      <c r="B1786">
        <v>11530</v>
      </c>
      <c r="C1786" t="s">
        <v>23170</v>
      </c>
      <c r="E1786">
        <v>156</v>
      </c>
      <c r="F1786">
        <v>204</v>
      </c>
      <c r="G1786">
        <v>102</v>
      </c>
      <c r="T1786" t="s">
        <v>6849</v>
      </c>
    </row>
    <row r="1787" spans="2:21" x14ac:dyDescent="0.25">
      <c r="B1787">
        <v>11531</v>
      </c>
      <c r="C1787" t="s">
        <v>23171</v>
      </c>
      <c r="E1787">
        <v>156</v>
      </c>
      <c r="F1787">
        <v>204</v>
      </c>
      <c r="G1787">
        <v>102</v>
      </c>
      <c r="T1787" t="s">
        <v>6851</v>
      </c>
    </row>
    <row r="1788" spans="2:21" x14ac:dyDescent="0.25">
      <c r="B1788">
        <v>11532</v>
      </c>
      <c r="C1788" t="s">
        <v>23172</v>
      </c>
      <c r="E1788">
        <v>156</v>
      </c>
      <c r="F1788">
        <v>204</v>
      </c>
      <c r="G1788">
        <v>102</v>
      </c>
      <c r="U1788" t="s">
        <v>6853</v>
      </c>
    </row>
    <row r="1789" spans="2:21" x14ac:dyDescent="0.25">
      <c r="B1789">
        <v>11533</v>
      </c>
      <c r="C1789" t="s">
        <v>23173</v>
      </c>
      <c r="E1789">
        <v>146</v>
      </c>
      <c r="F1789">
        <v>200</v>
      </c>
      <c r="G1789">
        <v>81</v>
      </c>
      <c r="U1789" t="s">
        <v>6855</v>
      </c>
    </row>
    <row r="1790" spans="2:21" x14ac:dyDescent="0.25">
      <c r="B1790">
        <v>13027</v>
      </c>
      <c r="C1790" t="s">
        <v>23174</v>
      </c>
      <c r="E1790">
        <v>215</v>
      </c>
      <c r="F1790">
        <v>233</v>
      </c>
      <c r="G1790">
        <v>195</v>
      </c>
      <c r="T1790" t="s">
        <v>7956</v>
      </c>
    </row>
    <row r="1791" spans="2:21" x14ac:dyDescent="0.25">
      <c r="B1791">
        <v>10377</v>
      </c>
      <c r="C1791" t="s">
        <v>20037</v>
      </c>
      <c r="E1791">
        <v>137</v>
      </c>
      <c r="F1791">
        <v>186</v>
      </c>
      <c r="G1791">
        <v>70</v>
      </c>
      <c r="S1791" t="s">
        <v>237</v>
      </c>
    </row>
    <row r="1792" spans="2:21" x14ac:dyDescent="0.25">
      <c r="B1792">
        <v>146034726</v>
      </c>
      <c r="C1792" t="s">
        <v>23175</v>
      </c>
      <c r="E1792">
        <v>114</v>
      </c>
      <c r="F1792">
        <v>152</v>
      </c>
      <c r="G1792">
        <v>63</v>
      </c>
      <c r="T1792" t="s">
        <v>8219</v>
      </c>
    </row>
    <row r="1793" spans="2:22" x14ac:dyDescent="0.25">
      <c r="B1793">
        <v>146034730</v>
      </c>
      <c r="C1793" t="s">
        <v>23176</v>
      </c>
      <c r="E1793">
        <v>130</v>
      </c>
      <c r="F1793">
        <v>177</v>
      </c>
      <c r="G1793">
        <v>70</v>
      </c>
      <c r="T1793" t="s">
        <v>8221</v>
      </c>
    </row>
    <row r="1794" spans="2:22" x14ac:dyDescent="0.25">
      <c r="B1794">
        <v>13028</v>
      </c>
      <c r="C1794" t="s">
        <v>23177</v>
      </c>
      <c r="E1794">
        <v>215</v>
      </c>
      <c r="F1794">
        <v>233</v>
      </c>
      <c r="G1794">
        <v>195</v>
      </c>
      <c r="T1794" t="s">
        <v>7958</v>
      </c>
    </row>
    <row r="1795" spans="2:22" x14ac:dyDescent="0.25">
      <c r="B1795">
        <v>10366</v>
      </c>
      <c r="C1795" t="s">
        <v>23178</v>
      </c>
      <c r="E1795">
        <v>166</v>
      </c>
      <c r="F1795">
        <v>209</v>
      </c>
      <c r="G1795">
        <v>122</v>
      </c>
      <c r="R1795" t="s">
        <v>556</v>
      </c>
    </row>
    <row r="1796" spans="2:22" x14ac:dyDescent="0.25">
      <c r="B1796">
        <v>10367</v>
      </c>
      <c r="C1796" t="s">
        <v>15734</v>
      </c>
      <c r="E1796">
        <v>166</v>
      </c>
      <c r="F1796">
        <v>209</v>
      </c>
      <c r="G1796">
        <v>122</v>
      </c>
      <c r="S1796" t="s">
        <v>2557</v>
      </c>
    </row>
    <row r="1797" spans="2:22" x14ac:dyDescent="0.25">
      <c r="B1797">
        <v>11507</v>
      </c>
      <c r="C1797" t="s">
        <v>23179</v>
      </c>
      <c r="E1797">
        <v>146</v>
      </c>
      <c r="F1797">
        <v>200</v>
      </c>
      <c r="G1797">
        <v>81</v>
      </c>
      <c r="T1797" t="s">
        <v>6803</v>
      </c>
    </row>
    <row r="1798" spans="2:22" x14ac:dyDescent="0.25">
      <c r="B1798">
        <v>11508</v>
      </c>
      <c r="C1798" t="s">
        <v>23180</v>
      </c>
      <c r="E1798">
        <v>146</v>
      </c>
      <c r="F1798">
        <v>200</v>
      </c>
      <c r="G1798">
        <v>81</v>
      </c>
      <c r="U1798" t="s">
        <v>6805</v>
      </c>
    </row>
    <row r="1799" spans="2:22" x14ac:dyDescent="0.25">
      <c r="B1799">
        <v>11509</v>
      </c>
      <c r="C1799" t="s">
        <v>23181</v>
      </c>
      <c r="E1799">
        <v>146</v>
      </c>
      <c r="F1799">
        <v>200</v>
      </c>
      <c r="G1799">
        <v>81</v>
      </c>
      <c r="U1799" t="s">
        <v>6807</v>
      </c>
    </row>
    <row r="1800" spans="2:22" x14ac:dyDescent="0.25">
      <c r="B1800">
        <v>11510</v>
      </c>
      <c r="C1800" t="s">
        <v>23182</v>
      </c>
      <c r="E1800">
        <v>146</v>
      </c>
      <c r="F1800">
        <v>200</v>
      </c>
      <c r="G1800">
        <v>81</v>
      </c>
      <c r="V1800" t="s">
        <v>6809</v>
      </c>
    </row>
    <row r="1801" spans="2:22" x14ac:dyDescent="0.25">
      <c r="B1801">
        <v>11511</v>
      </c>
      <c r="C1801" t="s">
        <v>23183</v>
      </c>
      <c r="E1801">
        <v>146</v>
      </c>
      <c r="F1801">
        <v>200</v>
      </c>
      <c r="G1801">
        <v>81</v>
      </c>
      <c r="U1801" t="s">
        <v>6811</v>
      </c>
    </row>
    <row r="1802" spans="2:22" x14ac:dyDescent="0.25">
      <c r="B1802">
        <v>11512</v>
      </c>
      <c r="C1802" t="s">
        <v>23184</v>
      </c>
      <c r="E1802">
        <v>166</v>
      </c>
      <c r="F1802">
        <v>209</v>
      </c>
      <c r="G1802">
        <v>122</v>
      </c>
      <c r="T1802" t="s">
        <v>6813</v>
      </c>
    </row>
    <row r="1803" spans="2:22" x14ac:dyDescent="0.25">
      <c r="B1803">
        <v>11513</v>
      </c>
      <c r="C1803" t="s">
        <v>23185</v>
      </c>
      <c r="E1803">
        <v>137</v>
      </c>
      <c r="F1803">
        <v>186</v>
      </c>
      <c r="G1803">
        <v>70</v>
      </c>
      <c r="T1803" t="s">
        <v>6815</v>
      </c>
    </row>
    <row r="1804" spans="2:22" x14ac:dyDescent="0.25">
      <c r="B1804">
        <v>11514</v>
      </c>
      <c r="C1804" t="s">
        <v>23186</v>
      </c>
      <c r="E1804">
        <v>137</v>
      </c>
      <c r="F1804">
        <v>186</v>
      </c>
      <c r="G1804">
        <v>70</v>
      </c>
      <c r="U1804" t="s">
        <v>6817</v>
      </c>
    </row>
    <row r="1805" spans="2:22" x14ac:dyDescent="0.25">
      <c r="B1805">
        <v>11515</v>
      </c>
      <c r="C1805" t="s">
        <v>23187</v>
      </c>
      <c r="E1805">
        <v>137</v>
      </c>
      <c r="F1805">
        <v>186</v>
      </c>
      <c r="G1805">
        <v>70</v>
      </c>
      <c r="U1805" t="s">
        <v>6819</v>
      </c>
    </row>
    <row r="1806" spans="2:22" x14ac:dyDescent="0.25">
      <c r="B1806">
        <v>146034734</v>
      </c>
      <c r="C1806" t="s">
        <v>23188</v>
      </c>
      <c r="E1806">
        <v>130</v>
      </c>
      <c r="F1806">
        <v>177</v>
      </c>
      <c r="G1806">
        <v>70</v>
      </c>
      <c r="U1806" t="s">
        <v>8223</v>
      </c>
    </row>
    <row r="1807" spans="2:22" x14ac:dyDescent="0.25">
      <c r="B1807">
        <v>10368</v>
      </c>
      <c r="C1807" t="s">
        <v>23189</v>
      </c>
      <c r="E1807">
        <v>137</v>
      </c>
      <c r="F1807">
        <v>186</v>
      </c>
      <c r="G1807">
        <v>70</v>
      </c>
      <c r="S1807" t="s">
        <v>5350</v>
      </c>
    </row>
    <row r="1808" spans="2:22" x14ac:dyDescent="0.25">
      <c r="B1808">
        <v>11516</v>
      </c>
      <c r="C1808" t="s">
        <v>23190</v>
      </c>
      <c r="E1808">
        <v>119</v>
      </c>
      <c r="F1808">
        <v>158</v>
      </c>
      <c r="G1808">
        <v>63</v>
      </c>
      <c r="T1808" t="s">
        <v>6821</v>
      </c>
    </row>
    <row r="1809" spans="2:21" x14ac:dyDescent="0.25">
      <c r="B1809">
        <v>11517</v>
      </c>
      <c r="C1809" t="s">
        <v>23191</v>
      </c>
      <c r="E1809">
        <v>119</v>
      </c>
      <c r="F1809">
        <v>158</v>
      </c>
      <c r="G1809">
        <v>63</v>
      </c>
      <c r="U1809" t="s">
        <v>6823</v>
      </c>
    </row>
    <row r="1810" spans="2:21" x14ac:dyDescent="0.25">
      <c r="B1810">
        <v>11518</v>
      </c>
      <c r="C1810" t="s">
        <v>23192</v>
      </c>
      <c r="E1810">
        <v>126</v>
      </c>
      <c r="F1810">
        <v>165</v>
      </c>
      <c r="G1810">
        <v>65</v>
      </c>
      <c r="T1810" t="s">
        <v>6825</v>
      </c>
    </row>
    <row r="1811" spans="2:21" x14ac:dyDescent="0.25">
      <c r="B1811">
        <v>11519</v>
      </c>
      <c r="C1811" t="s">
        <v>15786</v>
      </c>
      <c r="E1811">
        <v>130</v>
      </c>
      <c r="F1811">
        <v>177</v>
      </c>
      <c r="G1811">
        <v>70</v>
      </c>
      <c r="T1811" t="s">
        <v>6827</v>
      </c>
    </row>
    <row r="1812" spans="2:21" x14ac:dyDescent="0.25">
      <c r="B1812">
        <v>11520</v>
      </c>
      <c r="C1812" t="s">
        <v>23193</v>
      </c>
      <c r="E1812">
        <v>130</v>
      </c>
      <c r="F1812">
        <v>177</v>
      </c>
      <c r="G1812">
        <v>70</v>
      </c>
      <c r="U1812" t="s">
        <v>6829</v>
      </c>
    </row>
    <row r="1813" spans="2:21" x14ac:dyDescent="0.25">
      <c r="B1813">
        <v>11521</v>
      </c>
      <c r="C1813" t="s">
        <v>23194</v>
      </c>
      <c r="E1813">
        <v>130</v>
      </c>
      <c r="F1813">
        <v>177</v>
      </c>
      <c r="G1813">
        <v>70</v>
      </c>
      <c r="U1813" t="s">
        <v>6831</v>
      </c>
    </row>
    <row r="1814" spans="2:21" x14ac:dyDescent="0.25">
      <c r="B1814">
        <v>10369</v>
      </c>
      <c r="C1814" t="s">
        <v>23195</v>
      </c>
      <c r="E1814">
        <v>156</v>
      </c>
      <c r="F1814">
        <v>204</v>
      </c>
      <c r="G1814">
        <v>102</v>
      </c>
      <c r="S1814" t="s">
        <v>175</v>
      </c>
    </row>
    <row r="1815" spans="2:21" x14ac:dyDescent="0.25">
      <c r="B1815">
        <v>11522</v>
      </c>
      <c r="C1815" t="s">
        <v>23196</v>
      </c>
      <c r="E1815">
        <v>126</v>
      </c>
      <c r="F1815">
        <v>165</v>
      </c>
      <c r="G1815">
        <v>65</v>
      </c>
      <c r="T1815" t="s">
        <v>6833</v>
      </c>
    </row>
    <row r="1816" spans="2:21" x14ac:dyDescent="0.25">
      <c r="B1816">
        <v>11523</v>
      </c>
      <c r="C1816" t="s">
        <v>23197</v>
      </c>
      <c r="E1816">
        <v>126</v>
      </c>
      <c r="F1816">
        <v>165</v>
      </c>
      <c r="G1816">
        <v>65</v>
      </c>
      <c r="U1816" t="s">
        <v>6835</v>
      </c>
    </row>
    <row r="1817" spans="2:21" x14ac:dyDescent="0.25">
      <c r="B1817">
        <v>11524</v>
      </c>
      <c r="C1817" t="s">
        <v>23198</v>
      </c>
      <c r="E1817">
        <v>126</v>
      </c>
      <c r="F1817">
        <v>165</v>
      </c>
      <c r="G1817">
        <v>65</v>
      </c>
      <c r="U1817" t="s">
        <v>6837</v>
      </c>
    </row>
    <row r="1818" spans="2:21" x14ac:dyDescent="0.25">
      <c r="B1818">
        <v>11525</v>
      </c>
      <c r="C1818" t="s">
        <v>23199</v>
      </c>
      <c r="E1818">
        <v>137</v>
      </c>
      <c r="F1818">
        <v>186</v>
      </c>
      <c r="G1818">
        <v>70</v>
      </c>
      <c r="T1818" t="s">
        <v>6839</v>
      </c>
    </row>
    <row r="1819" spans="2:21" x14ac:dyDescent="0.25">
      <c r="B1819">
        <v>11526</v>
      </c>
      <c r="C1819" t="s">
        <v>23200</v>
      </c>
      <c r="E1819">
        <v>137</v>
      </c>
      <c r="F1819">
        <v>186</v>
      </c>
      <c r="G1819">
        <v>70</v>
      </c>
      <c r="U1819" t="s">
        <v>6841</v>
      </c>
    </row>
    <row r="1820" spans="2:21" x14ac:dyDescent="0.25">
      <c r="B1820">
        <v>11527</v>
      </c>
      <c r="C1820" t="s">
        <v>23201</v>
      </c>
      <c r="E1820">
        <v>137</v>
      </c>
      <c r="F1820">
        <v>186</v>
      </c>
      <c r="G1820">
        <v>70</v>
      </c>
      <c r="U1820" t="s">
        <v>6843</v>
      </c>
    </row>
    <row r="1821" spans="2:21" x14ac:dyDescent="0.25">
      <c r="B1821">
        <v>266441447</v>
      </c>
      <c r="C1821" t="s">
        <v>23202</v>
      </c>
      <c r="E1821">
        <v>130</v>
      </c>
      <c r="F1821">
        <v>177</v>
      </c>
      <c r="G1821">
        <v>70</v>
      </c>
      <c r="T1821" t="s">
        <v>8487</v>
      </c>
    </row>
    <row r="1822" spans="2:21" x14ac:dyDescent="0.25">
      <c r="B1822">
        <v>266441451</v>
      </c>
      <c r="C1822" t="s">
        <v>23203</v>
      </c>
      <c r="E1822">
        <v>156</v>
      </c>
      <c r="F1822">
        <v>204</v>
      </c>
      <c r="G1822">
        <v>102</v>
      </c>
      <c r="S1822" t="s">
        <v>8489</v>
      </c>
    </row>
    <row r="1823" spans="2:21" x14ac:dyDescent="0.25">
      <c r="B1823">
        <v>10370</v>
      </c>
      <c r="C1823" t="s">
        <v>19111</v>
      </c>
      <c r="E1823">
        <v>146</v>
      </c>
      <c r="F1823">
        <v>200</v>
      </c>
      <c r="G1823">
        <v>81</v>
      </c>
      <c r="S1823" t="s">
        <v>5352</v>
      </c>
    </row>
    <row r="1824" spans="2:21" x14ac:dyDescent="0.25">
      <c r="B1824">
        <v>146034738</v>
      </c>
      <c r="C1824" t="s">
        <v>23204</v>
      </c>
      <c r="E1824">
        <v>137</v>
      </c>
      <c r="F1824">
        <v>186</v>
      </c>
      <c r="G1824">
        <v>70</v>
      </c>
      <c r="T1824" t="s">
        <v>8225</v>
      </c>
    </row>
    <row r="1825" spans="2:21" x14ac:dyDescent="0.25">
      <c r="B1825">
        <v>10371</v>
      </c>
      <c r="C1825" t="s">
        <v>23205</v>
      </c>
      <c r="E1825">
        <v>156</v>
      </c>
      <c r="F1825">
        <v>204</v>
      </c>
      <c r="G1825">
        <v>102</v>
      </c>
      <c r="R1825" t="s">
        <v>1761</v>
      </c>
    </row>
    <row r="1826" spans="2:21" x14ac:dyDescent="0.25">
      <c r="B1826">
        <v>10378</v>
      </c>
      <c r="C1826" t="s">
        <v>23206</v>
      </c>
      <c r="E1826">
        <v>114</v>
      </c>
      <c r="F1826">
        <v>152</v>
      </c>
      <c r="G1826">
        <v>63</v>
      </c>
      <c r="R1826" t="s">
        <v>2446</v>
      </c>
    </row>
    <row r="1827" spans="2:21" x14ac:dyDescent="0.25">
      <c r="B1827">
        <v>266441457</v>
      </c>
      <c r="C1827" t="s">
        <v>23207</v>
      </c>
      <c r="E1827">
        <v>137</v>
      </c>
      <c r="F1827">
        <v>186</v>
      </c>
      <c r="G1827">
        <v>70</v>
      </c>
      <c r="R1827" t="s">
        <v>8491</v>
      </c>
    </row>
    <row r="1828" spans="2:21" x14ac:dyDescent="0.25">
      <c r="B1828">
        <v>10379</v>
      </c>
      <c r="C1828" t="s">
        <v>23208</v>
      </c>
      <c r="E1828">
        <v>235</v>
      </c>
      <c r="F1828">
        <v>190</v>
      </c>
      <c r="G1828">
        <v>151</v>
      </c>
      <c r="Q1828" t="s">
        <v>5359</v>
      </c>
    </row>
    <row r="1829" spans="2:21" x14ac:dyDescent="0.25">
      <c r="B1829">
        <v>10380</v>
      </c>
      <c r="C1829" t="s">
        <v>23209</v>
      </c>
      <c r="E1829">
        <v>231</v>
      </c>
      <c r="F1829">
        <v>176</v>
      </c>
      <c r="G1829">
        <v>128</v>
      </c>
      <c r="R1829" t="s">
        <v>254</v>
      </c>
    </row>
    <row r="1830" spans="2:21" x14ac:dyDescent="0.25">
      <c r="B1830">
        <v>13035</v>
      </c>
      <c r="C1830" t="s">
        <v>23210</v>
      </c>
      <c r="E1830">
        <v>244</v>
      </c>
      <c r="F1830">
        <v>214</v>
      </c>
      <c r="G1830">
        <v>190</v>
      </c>
      <c r="S1830" t="s">
        <v>7968</v>
      </c>
    </row>
    <row r="1831" spans="2:21" x14ac:dyDescent="0.25">
      <c r="B1831">
        <v>10381</v>
      </c>
      <c r="C1831" t="s">
        <v>23211</v>
      </c>
      <c r="E1831">
        <v>227</v>
      </c>
      <c r="F1831">
        <v>166</v>
      </c>
      <c r="G1831">
        <v>117</v>
      </c>
      <c r="R1831" t="s">
        <v>5361</v>
      </c>
    </row>
    <row r="1832" spans="2:21" x14ac:dyDescent="0.25">
      <c r="B1832">
        <v>10382</v>
      </c>
      <c r="C1832" t="s">
        <v>23212</v>
      </c>
      <c r="E1832">
        <v>227</v>
      </c>
      <c r="F1832">
        <v>158</v>
      </c>
      <c r="G1832">
        <v>103</v>
      </c>
      <c r="R1832" t="s">
        <v>5363</v>
      </c>
    </row>
    <row r="1833" spans="2:21" x14ac:dyDescent="0.25">
      <c r="B1833">
        <v>13036</v>
      </c>
      <c r="C1833" t="s">
        <v>23213</v>
      </c>
      <c r="E1833">
        <v>244</v>
      </c>
      <c r="F1833">
        <v>214</v>
      </c>
      <c r="G1833">
        <v>190</v>
      </c>
      <c r="S1833" t="s">
        <v>7970</v>
      </c>
    </row>
    <row r="1834" spans="2:21" x14ac:dyDescent="0.25">
      <c r="B1834">
        <v>13330</v>
      </c>
      <c r="C1834" t="s">
        <v>23214</v>
      </c>
      <c r="E1834">
        <v>231</v>
      </c>
      <c r="F1834">
        <v>176</v>
      </c>
      <c r="G1834">
        <v>128</v>
      </c>
      <c r="R1834" t="s">
        <v>8100</v>
      </c>
    </row>
    <row r="1835" spans="2:21" x14ac:dyDescent="0.25">
      <c r="B1835">
        <v>10383</v>
      </c>
      <c r="C1835" t="s">
        <v>23215</v>
      </c>
      <c r="E1835">
        <v>199</v>
      </c>
      <c r="F1835">
        <v>228</v>
      </c>
      <c r="G1835">
        <v>202</v>
      </c>
      <c r="Q1835" t="s">
        <v>5365</v>
      </c>
    </row>
    <row r="1836" spans="2:21" x14ac:dyDescent="0.25">
      <c r="B1836">
        <v>10384</v>
      </c>
      <c r="C1836" t="s">
        <v>23216</v>
      </c>
      <c r="E1836">
        <v>169</v>
      </c>
      <c r="F1836">
        <v>215</v>
      </c>
      <c r="G1836">
        <v>174</v>
      </c>
      <c r="R1836" t="s">
        <v>561</v>
      </c>
    </row>
    <row r="1837" spans="2:21" x14ac:dyDescent="0.25">
      <c r="B1837">
        <v>10385</v>
      </c>
      <c r="C1837" t="s">
        <v>23217</v>
      </c>
      <c r="E1837">
        <v>143</v>
      </c>
      <c r="F1837">
        <v>204</v>
      </c>
      <c r="G1837">
        <v>148</v>
      </c>
      <c r="S1837" t="s">
        <v>2953</v>
      </c>
    </row>
    <row r="1838" spans="2:21" x14ac:dyDescent="0.25">
      <c r="B1838">
        <v>11555</v>
      </c>
      <c r="C1838" t="s">
        <v>23218</v>
      </c>
      <c r="E1838">
        <v>143</v>
      </c>
      <c r="F1838">
        <v>204</v>
      </c>
      <c r="G1838">
        <v>148</v>
      </c>
      <c r="T1838" t="s">
        <v>6899</v>
      </c>
    </row>
    <row r="1839" spans="2:21" x14ac:dyDescent="0.25">
      <c r="B1839">
        <v>11556</v>
      </c>
      <c r="C1839" t="s">
        <v>23219</v>
      </c>
      <c r="E1839">
        <v>143</v>
      </c>
      <c r="F1839">
        <v>204</v>
      </c>
      <c r="G1839">
        <v>148</v>
      </c>
      <c r="T1839" t="s">
        <v>6901</v>
      </c>
    </row>
    <row r="1840" spans="2:21" x14ac:dyDescent="0.25">
      <c r="B1840">
        <v>11557</v>
      </c>
      <c r="C1840" t="s">
        <v>23220</v>
      </c>
      <c r="E1840">
        <v>143</v>
      </c>
      <c r="F1840">
        <v>204</v>
      </c>
      <c r="G1840">
        <v>148</v>
      </c>
      <c r="U1840" t="s">
        <v>6903</v>
      </c>
    </row>
    <row r="1841" spans="2:21" x14ac:dyDescent="0.25">
      <c r="B1841">
        <v>11559</v>
      </c>
      <c r="C1841" t="s">
        <v>23221</v>
      </c>
      <c r="E1841">
        <v>143</v>
      </c>
      <c r="F1841">
        <v>204</v>
      </c>
      <c r="G1841">
        <v>148</v>
      </c>
      <c r="U1841" t="s">
        <v>6905</v>
      </c>
    </row>
    <row r="1842" spans="2:21" x14ac:dyDescent="0.25">
      <c r="B1842">
        <v>266441461</v>
      </c>
      <c r="C1842" t="s">
        <v>23222</v>
      </c>
      <c r="E1842">
        <v>128</v>
      </c>
      <c r="F1842">
        <v>198</v>
      </c>
      <c r="G1842">
        <v>137</v>
      </c>
      <c r="T1842" t="s">
        <v>8493</v>
      </c>
    </row>
    <row r="1843" spans="2:21" x14ac:dyDescent="0.25">
      <c r="B1843">
        <v>10386</v>
      </c>
      <c r="C1843" t="s">
        <v>23223</v>
      </c>
      <c r="E1843">
        <v>128</v>
      </c>
      <c r="F1843">
        <v>198</v>
      </c>
      <c r="G1843">
        <v>137</v>
      </c>
      <c r="S1843" t="s">
        <v>2632</v>
      </c>
    </row>
    <row r="1844" spans="2:21" x14ac:dyDescent="0.25">
      <c r="B1844">
        <v>11561</v>
      </c>
      <c r="C1844" t="s">
        <v>23224</v>
      </c>
      <c r="E1844">
        <v>128</v>
      </c>
      <c r="F1844">
        <v>198</v>
      </c>
      <c r="G1844">
        <v>137</v>
      </c>
      <c r="T1844" t="s">
        <v>6907</v>
      </c>
    </row>
    <row r="1845" spans="2:21" x14ac:dyDescent="0.25">
      <c r="B1845">
        <v>11562</v>
      </c>
      <c r="C1845" t="s">
        <v>23225</v>
      </c>
      <c r="E1845">
        <v>128</v>
      </c>
      <c r="F1845">
        <v>198</v>
      </c>
      <c r="G1845">
        <v>137</v>
      </c>
      <c r="T1845" t="s">
        <v>6909</v>
      </c>
    </row>
    <row r="1846" spans="2:21" x14ac:dyDescent="0.25">
      <c r="B1846">
        <v>11563</v>
      </c>
      <c r="C1846" t="s">
        <v>23226</v>
      </c>
      <c r="E1846">
        <v>128</v>
      </c>
      <c r="F1846">
        <v>198</v>
      </c>
      <c r="G1846">
        <v>137</v>
      </c>
      <c r="T1846" t="s">
        <v>6911</v>
      </c>
    </row>
    <row r="1847" spans="2:21" x14ac:dyDescent="0.25">
      <c r="B1847">
        <v>266441465</v>
      </c>
      <c r="C1847" t="s">
        <v>23227</v>
      </c>
      <c r="E1847">
        <v>143</v>
      </c>
      <c r="F1847">
        <v>204</v>
      </c>
      <c r="G1847">
        <v>148</v>
      </c>
      <c r="T1847" t="s">
        <v>8495</v>
      </c>
    </row>
    <row r="1848" spans="2:21" x14ac:dyDescent="0.25">
      <c r="B1848">
        <v>266441469</v>
      </c>
      <c r="C1848" t="s">
        <v>23228</v>
      </c>
      <c r="E1848">
        <v>143</v>
      </c>
      <c r="F1848">
        <v>204</v>
      </c>
      <c r="G1848">
        <v>148</v>
      </c>
      <c r="U1848" t="s">
        <v>8497</v>
      </c>
    </row>
    <row r="1849" spans="2:21" x14ac:dyDescent="0.25">
      <c r="B1849">
        <v>11564</v>
      </c>
      <c r="C1849" t="s">
        <v>23229</v>
      </c>
      <c r="E1849">
        <v>128</v>
      </c>
      <c r="F1849">
        <v>198</v>
      </c>
      <c r="G1849">
        <v>137</v>
      </c>
      <c r="T1849" t="s">
        <v>6913</v>
      </c>
    </row>
    <row r="1850" spans="2:21" x14ac:dyDescent="0.25">
      <c r="B1850">
        <v>266441473</v>
      </c>
      <c r="C1850" t="s">
        <v>23230</v>
      </c>
      <c r="E1850">
        <v>143</v>
      </c>
      <c r="F1850">
        <v>204</v>
      </c>
      <c r="G1850">
        <v>148</v>
      </c>
      <c r="U1850" t="s">
        <v>8499</v>
      </c>
    </row>
    <row r="1851" spans="2:21" x14ac:dyDescent="0.25">
      <c r="B1851">
        <v>266441477</v>
      </c>
      <c r="C1851" t="s">
        <v>23231</v>
      </c>
      <c r="E1851">
        <v>143</v>
      </c>
      <c r="F1851">
        <v>204</v>
      </c>
      <c r="G1851">
        <v>148</v>
      </c>
      <c r="U1851" t="s">
        <v>8501</v>
      </c>
    </row>
    <row r="1852" spans="2:21" x14ac:dyDescent="0.25">
      <c r="B1852">
        <v>266441481</v>
      </c>
      <c r="C1852" t="s">
        <v>23232</v>
      </c>
      <c r="E1852">
        <v>143</v>
      </c>
      <c r="F1852">
        <v>204</v>
      </c>
      <c r="G1852">
        <v>148</v>
      </c>
      <c r="U1852" t="s">
        <v>8503</v>
      </c>
    </row>
    <row r="1853" spans="2:21" x14ac:dyDescent="0.25">
      <c r="B1853">
        <v>11565</v>
      </c>
      <c r="C1853" t="s">
        <v>23233</v>
      </c>
      <c r="E1853">
        <v>120</v>
      </c>
      <c r="F1853">
        <v>180</v>
      </c>
      <c r="G1853">
        <v>128</v>
      </c>
      <c r="S1853" t="s">
        <v>6915</v>
      </c>
    </row>
    <row r="1854" spans="2:21" x14ac:dyDescent="0.25">
      <c r="B1854">
        <v>11566</v>
      </c>
      <c r="C1854" t="s">
        <v>23234</v>
      </c>
      <c r="E1854">
        <v>120</v>
      </c>
      <c r="F1854">
        <v>180</v>
      </c>
      <c r="G1854">
        <v>128</v>
      </c>
      <c r="T1854" t="s">
        <v>6917</v>
      </c>
    </row>
    <row r="1855" spans="2:21" x14ac:dyDescent="0.25">
      <c r="B1855">
        <v>11567</v>
      </c>
      <c r="C1855" t="s">
        <v>23235</v>
      </c>
      <c r="E1855">
        <v>120</v>
      </c>
      <c r="F1855">
        <v>180</v>
      </c>
      <c r="G1855">
        <v>128</v>
      </c>
      <c r="T1855" t="s">
        <v>6919</v>
      </c>
    </row>
    <row r="1856" spans="2:21" x14ac:dyDescent="0.25">
      <c r="B1856">
        <v>11568</v>
      </c>
      <c r="C1856" t="s">
        <v>23236</v>
      </c>
      <c r="E1856">
        <v>101</v>
      </c>
      <c r="F1856">
        <v>149</v>
      </c>
      <c r="G1856">
        <v>106</v>
      </c>
      <c r="S1856" t="s">
        <v>6921</v>
      </c>
    </row>
    <row r="1857" spans="2:21" x14ac:dyDescent="0.25">
      <c r="B1857">
        <v>10387</v>
      </c>
      <c r="C1857" t="s">
        <v>23237</v>
      </c>
      <c r="E1857">
        <v>154</v>
      </c>
      <c r="F1857">
        <v>208</v>
      </c>
      <c r="G1857">
        <v>160</v>
      </c>
      <c r="R1857" t="s">
        <v>5367</v>
      </c>
    </row>
    <row r="1858" spans="2:21" x14ac:dyDescent="0.25">
      <c r="B1858">
        <v>11569</v>
      </c>
      <c r="C1858" t="s">
        <v>23238</v>
      </c>
      <c r="E1858">
        <v>143</v>
      </c>
      <c r="F1858">
        <v>204</v>
      </c>
      <c r="G1858">
        <v>148</v>
      </c>
      <c r="S1858" t="s">
        <v>6923</v>
      </c>
    </row>
    <row r="1859" spans="2:21" x14ac:dyDescent="0.25">
      <c r="B1859">
        <v>11570</v>
      </c>
      <c r="C1859" t="s">
        <v>23239</v>
      </c>
      <c r="E1859">
        <v>143</v>
      </c>
      <c r="F1859">
        <v>204</v>
      </c>
      <c r="G1859">
        <v>148</v>
      </c>
      <c r="S1859" t="s">
        <v>6925</v>
      </c>
    </row>
    <row r="1860" spans="2:21" x14ac:dyDescent="0.25">
      <c r="B1860">
        <v>10388</v>
      </c>
      <c r="C1860" t="s">
        <v>15647</v>
      </c>
      <c r="E1860">
        <v>184</v>
      </c>
      <c r="F1860">
        <v>221</v>
      </c>
      <c r="G1860">
        <v>187</v>
      </c>
      <c r="R1860" t="s">
        <v>5369</v>
      </c>
    </row>
    <row r="1861" spans="2:21" x14ac:dyDescent="0.25">
      <c r="B1861">
        <v>10332</v>
      </c>
      <c r="C1861" t="s">
        <v>23240</v>
      </c>
      <c r="E1861">
        <v>226</v>
      </c>
      <c r="F1861">
        <v>234</v>
      </c>
      <c r="G1861">
        <v>202</v>
      </c>
      <c r="Q1861" t="s">
        <v>539</v>
      </c>
    </row>
    <row r="1862" spans="2:21" x14ac:dyDescent="0.25">
      <c r="B1862">
        <v>10333</v>
      </c>
      <c r="C1862" t="s">
        <v>19740</v>
      </c>
      <c r="E1862">
        <v>193</v>
      </c>
      <c r="F1862">
        <v>206</v>
      </c>
      <c r="G1862">
        <v>167</v>
      </c>
      <c r="R1862" t="s">
        <v>1200</v>
      </c>
    </row>
    <row r="1863" spans="2:21" x14ac:dyDescent="0.25">
      <c r="B1863">
        <v>10334</v>
      </c>
      <c r="C1863" t="s">
        <v>23241</v>
      </c>
      <c r="E1863">
        <v>153</v>
      </c>
      <c r="F1863">
        <v>166</v>
      </c>
      <c r="G1863">
        <v>119</v>
      </c>
      <c r="S1863" t="s">
        <v>902</v>
      </c>
    </row>
    <row r="1864" spans="2:21" x14ac:dyDescent="0.25">
      <c r="B1864">
        <v>10335</v>
      </c>
      <c r="C1864" t="s">
        <v>23242</v>
      </c>
      <c r="E1864">
        <v>145</v>
      </c>
      <c r="F1864">
        <v>160</v>
      </c>
      <c r="G1864">
        <v>110</v>
      </c>
      <c r="T1864" t="s">
        <v>2154</v>
      </c>
    </row>
    <row r="1865" spans="2:21" x14ac:dyDescent="0.25">
      <c r="B1865">
        <v>11534</v>
      </c>
      <c r="C1865" t="s">
        <v>23243</v>
      </c>
      <c r="E1865">
        <v>153</v>
      </c>
      <c r="F1865">
        <v>166</v>
      </c>
      <c r="G1865">
        <v>119</v>
      </c>
      <c r="U1865" t="s">
        <v>6857</v>
      </c>
    </row>
    <row r="1866" spans="2:21" x14ac:dyDescent="0.25">
      <c r="B1866">
        <v>11535</v>
      </c>
      <c r="C1866" t="s">
        <v>23244</v>
      </c>
      <c r="E1866">
        <v>153</v>
      </c>
      <c r="F1866">
        <v>166</v>
      </c>
      <c r="G1866">
        <v>119</v>
      </c>
      <c r="U1866" t="s">
        <v>6859</v>
      </c>
    </row>
    <row r="1867" spans="2:21" x14ac:dyDescent="0.25">
      <c r="B1867">
        <v>11536</v>
      </c>
      <c r="C1867" t="s">
        <v>23245</v>
      </c>
      <c r="E1867">
        <v>153</v>
      </c>
      <c r="F1867">
        <v>166</v>
      </c>
      <c r="G1867">
        <v>119</v>
      </c>
      <c r="U1867" t="s">
        <v>6861</v>
      </c>
    </row>
    <row r="1868" spans="2:21" x14ac:dyDescent="0.25">
      <c r="B1868">
        <v>10336</v>
      </c>
      <c r="C1868" t="s">
        <v>23246</v>
      </c>
      <c r="E1868">
        <v>153</v>
      </c>
      <c r="F1868">
        <v>166</v>
      </c>
      <c r="G1868">
        <v>119</v>
      </c>
      <c r="T1868" t="s">
        <v>571</v>
      </c>
    </row>
    <row r="1869" spans="2:21" x14ac:dyDescent="0.25">
      <c r="B1869">
        <v>10337</v>
      </c>
      <c r="C1869" t="s">
        <v>23247</v>
      </c>
      <c r="E1869">
        <v>145</v>
      </c>
      <c r="F1869">
        <v>160</v>
      </c>
      <c r="G1869">
        <v>110</v>
      </c>
      <c r="T1869" t="s">
        <v>5331</v>
      </c>
    </row>
    <row r="1870" spans="2:21" x14ac:dyDescent="0.25">
      <c r="B1870">
        <v>146034742</v>
      </c>
      <c r="C1870" t="s">
        <v>23248</v>
      </c>
      <c r="E1870">
        <v>153</v>
      </c>
      <c r="F1870">
        <v>166</v>
      </c>
      <c r="G1870">
        <v>119</v>
      </c>
      <c r="T1870" t="s">
        <v>8227</v>
      </c>
    </row>
    <row r="1871" spans="2:21" x14ac:dyDescent="0.25">
      <c r="B1871">
        <v>146034746</v>
      </c>
      <c r="C1871" t="s">
        <v>23249</v>
      </c>
      <c r="E1871">
        <v>153</v>
      </c>
      <c r="F1871">
        <v>166</v>
      </c>
      <c r="G1871">
        <v>119</v>
      </c>
      <c r="S1871" t="s">
        <v>8229</v>
      </c>
    </row>
    <row r="1872" spans="2:21" x14ac:dyDescent="0.25">
      <c r="B1872">
        <v>10338</v>
      </c>
      <c r="C1872" t="s">
        <v>23250</v>
      </c>
      <c r="E1872">
        <v>168</v>
      </c>
      <c r="F1872">
        <v>180</v>
      </c>
      <c r="G1872">
        <v>133</v>
      </c>
      <c r="S1872" t="s">
        <v>4204</v>
      </c>
    </row>
    <row r="1873" spans="2:21" x14ac:dyDescent="0.25">
      <c r="B1873">
        <v>11537</v>
      </c>
      <c r="C1873" t="s">
        <v>23251</v>
      </c>
      <c r="E1873">
        <v>168</v>
      </c>
      <c r="F1873">
        <v>180</v>
      </c>
      <c r="G1873">
        <v>133</v>
      </c>
      <c r="T1873" t="s">
        <v>6863</v>
      </c>
    </row>
    <row r="1874" spans="2:21" x14ac:dyDescent="0.25">
      <c r="B1874">
        <v>146034750</v>
      </c>
      <c r="C1874" t="s">
        <v>23252</v>
      </c>
      <c r="E1874">
        <v>168</v>
      </c>
      <c r="F1874">
        <v>180</v>
      </c>
      <c r="G1874">
        <v>133</v>
      </c>
      <c r="U1874" t="s">
        <v>8231</v>
      </c>
    </row>
    <row r="1875" spans="2:21" x14ac:dyDescent="0.25">
      <c r="B1875">
        <v>11538</v>
      </c>
      <c r="C1875" t="s">
        <v>23253</v>
      </c>
      <c r="E1875">
        <v>168</v>
      </c>
      <c r="F1875">
        <v>180</v>
      </c>
      <c r="G1875">
        <v>133</v>
      </c>
      <c r="T1875" t="s">
        <v>6865</v>
      </c>
    </row>
    <row r="1876" spans="2:21" x14ac:dyDescent="0.25">
      <c r="B1876">
        <v>11539</v>
      </c>
      <c r="C1876" t="s">
        <v>23254</v>
      </c>
      <c r="E1876">
        <v>168</v>
      </c>
      <c r="F1876">
        <v>180</v>
      </c>
      <c r="G1876">
        <v>133</v>
      </c>
      <c r="U1876" t="s">
        <v>6867</v>
      </c>
    </row>
    <row r="1877" spans="2:21" x14ac:dyDescent="0.25">
      <c r="B1877">
        <v>11540</v>
      </c>
      <c r="C1877" t="s">
        <v>23255</v>
      </c>
      <c r="E1877">
        <v>168</v>
      </c>
      <c r="F1877">
        <v>180</v>
      </c>
      <c r="G1877">
        <v>133</v>
      </c>
      <c r="U1877" t="s">
        <v>6869</v>
      </c>
    </row>
    <row r="1878" spans="2:21" x14ac:dyDescent="0.25">
      <c r="B1878">
        <v>11541</v>
      </c>
      <c r="C1878" t="s">
        <v>23256</v>
      </c>
      <c r="E1878">
        <v>168</v>
      </c>
      <c r="F1878">
        <v>180</v>
      </c>
      <c r="G1878">
        <v>133</v>
      </c>
      <c r="U1878" t="s">
        <v>6871</v>
      </c>
    </row>
    <row r="1879" spans="2:21" x14ac:dyDescent="0.25">
      <c r="B1879">
        <v>146034754</v>
      </c>
      <c r="C1879" t="s">
        <v>23257</v>
      </c>
      <c r="E1879">
        <v>168</v>
      </c>
      <c r="F1879">
        <v>180</v>
      </c>
      <c r="G1879">
        <v>133</v>
      </c>
      <c r="T1879" t="s">
        <v>8233</v>
      </c>
    </row>
    <row r="1880" spans="2:21" x14ac:dyDescent="0.25">
      <c r="B1880">
        <v>11542</v>
      </c>
      <c r="C1880" t="s">
        <v>23258</v>
      </c>
      <c r="E1880">
        <v>168</v>
      </c>
      <c r="F1880">
        <v>180</v>
      </c>
      <c r="G1880">
        <v>133</v>
      </c>
      <c r="T1880" t="s">
        <v>6873</v>
      </c>
    </row>
    <row r="1881" spans="2:21" x14ac:dyDescent="0.25">
      <c r="B1881">
        <v>10339</v>
      </c>
      <c r="C1881" t="s">
        <v>23259</v>
      </c>
      <c r="E1881">
        <v>145</v>
      </c>
      <c r="F1881">
        <v>160</v>
      </c>
      <c r="G1881">
        <v>110</v>
      </c>
      <c r="S1881" t="s">
        <v>3239</v>
      </c>
    </row>
    <row r="1882" spans="2:21" x14ac:dyDescent="0.25">
      <c r="B1882">
        <v>10340</v>
      </c>
      <c r="C1882" t="s">
        <v>23260</v>
      </c>
      <c r="E1882">
        <v>145</v>
      </c>
      <c r="F1882">
        <v>160</v>
      </c>
      <c r="G1882">
        <v>110</v>
      </c>
      <c r="T1882" t="s">
        <v>1310</v>
      </c>
    </row>
    <row r="1883" spans="2:21" x14ac:dyDescent="0.25">
      <c r="B1883">
        <v>11543</v>
      </c>
      <c r="C1883" t="s">
        <v>23261</v>
      </c>
      <c r="E1883">
        <v>145</v>
      </c>
      <c r="F1883">
        <v>160</v>
      </c>
      <c r="G1883">
        <v>110</v>
      </c>
      <c r="U1883" t="s">
        <v>6875</v>
      </c>
    </row>
    <row r="1884" spans="2:21" x14ac:dyDescent="0.25">
      <c r="B1884">
        <v>11544</v>
      </c>
      <c r="C1884" t="s">
        <v>23262</v>
      </c>
      <c r="E1884">
        <v>145</v>
      </c>
      <c r="F1884">
        <v>160</v>
      </c>
      <c r="G1884">
        <v>110</v>
      </c>
      <c r="U1884" t="s">
        <v>6877</v>
      </c>
    </row>
    <row r="1885" spans="2:21" x14ac:dyDescent="0.25">
      <c r="B1885">
        <v>10341</v>
      </c>
      <c r="C1885" t="s">
        <v>23263</v>
      </c>
      <c r="E1885">
        <v>137</v>
      </c>
      <c r="F1885">
        <v>150</v>
      </c>
      <c r="G1885">
        <v>98</v>
      </c>
      <c r="T1885" t="s">
        <v>4976</v>
      </c>
    </row>
    <row r="1886" spans="2:21" x14ac:dyDescent="0.25">
      <c r="B1886">
        <v>11545</v>
      </c>
      <c r="C1886" t="s">
        <v>23264</v>
      </c>
      <c r="E1886">
        <v>137</v>
      </c>
      <c r="F1886">
        <v>150</v>
      </c>
      <c r="G1886">
        <v>98</v>
      </c>
      <c r="U1886" t="s">
        <v>6879</v>
      </c>
    </row>
    <row r="1887" spans="2:21" x14ac:dyDescent="0.25">
      <c r="B1887">
        <v>11546</v>
      </c>
      <c r="C1887" t="s">
        <v>23265</v>
      </c>
      <c r="E1887">
        <v>137</v>
      </c>
      <c r="F1887">
        <v>150</v>
      </c>
      <c r="G1887">
        <v>98</v>
      </c>
      <c r="U1887" t="s">
        <v>6881</v>
      </c>
    </row>
    <row r="1888" spans="2:21" x14ac:dyDescent="0.25">
      <c r="B1888">
        <v>11547</v>
      </c>
      <c r="C1888" t="s">
        <v>23266</v>
      </c>
      <c r="E1888">
        <v>137</v>
      </c>
      <c r="F1888">
        <v>150</v>
      </c>
      <c r="G1888">
        <v>98</v>
      </c>
      <c r="U1888" t="s">
        <v>6883</v>
      </c>
    </row>
    <row r="1889" spans="2:20" x14ac:dyDescent="0.25">
      <c r="B1889">
        <v>10342</v>
      </c>
      <c r="C1889" t="s">
        <v>23267</v>
      </c>
      <c r="E1889">
        <v>215</v>
      </c>
      <c r="F1889">
        <v>224</v>
      </c>
      <c r="G1889">
        <v>191</v>
      </c>
      <c r="R1889" t="s">
        <v>2082</v>
      </c>
    </row>
    <row r="1890" spans="2:20" x14ac:dyDescent="0.25">
      <c r="B1890">
        <v>10343</v>
      </c>
      <c r="C1890" t="s">
        <v>19816</v>
      </c>
      <c r="E1890">
        <v>215</v>
      </c>
      <c r="F1890">
        <v>224</v>
      </c>
      <c r="G1890">
        <v>191</v>
      </c>
      <c r="S1890" t="s">
        <v>2596</v>
      </c>
    </row>
    <row r="1891" spans="2:20" x14ac:dyDescent="0.25">
      <c r="B1891">
        <v>10344</v>
      </c>
      <c r="C1891" t="s">
        <v>19818</v>
      </c>
      <c r="E1891">
        <v>208</v>
      </c>
      <c r="F1891">
        <v>217</v>
      </c>
      <c r="G1891">
        <v>178</v>
      </c>
      <c r="S1891" t="s">
        <v>2911</v>
      </c>
    </row>
    <row r="1892" spans="2:20" x14ac:dyDescent="0.25">
      <c r="B1892">
        <v>11548</v>
      </c>
      <c r="C1892" t="s">
        <v>23268</v>
      </c>
      <c r="E1892">
        <v>208</v>
      </c>
      <c r="F1892">
        <v>217</v>
      </c>
      <c r="G1892">
        <v>178</v>
      </c>
      <c r="T1892" t="s">
        <v>6885</v>
      </c>
    </row>
    <row r="1893" spans="2:20" x14ac:dyDescent="0.25">
      <c r="B1893">
        <v>11549</v>
      </c>
      <c r="C1893" t="s">
        <v>23269</v>
      </c>
      <c r="E1893">
        <v>208</v>
      </c>
      <c r="F1893">
        <v>217</v>
      </c>
      <c r="G1893">
        <v>178</v>
      </c>
      <c r="T1893" t="s">
        <v>6887</v>
      </c>
    </row>
    <row r="1894" spans="2:20" x14ac:dyDescent="0.25">
      <c r="B1894">
        <v>146034758</v>
      </c>
      <c r="C1894" t="s">
        <v>23270</v>
      </c>
      <c r="E1894">
        <v>168</v>
      </c>
      <c r="F1894">
        <v>180</v>
      </c>
      <c r="G1894">
        <v>133</v>
      </c>
      <c r="S1894" t="s">
        <v>8235</v>
      </c>
    </row>
    <row r="1895" spans="2:20" x14ac:dyDescent="0.25">
      <c r="B1895">
        <v>10345</v>
      </c>
      <c r="C1895" t="s">
        <v>23271</v>
      </c>
      <c r="E1895">
        <v>193</v>
      </c>
      <c r="F1895">
        <v>206</v>
      </c>
      <c r="G1895">
        <v>167</v>
      </c>
      <c r="S1895" t="s">
        <v>5334</v>
      </c>
    </row>
    <row r="1896" spans="2:20" x14ac:dyDescent="0.25">
      <c r="B1896">
        <v>10346</v>
      </c>
      <c r="C1896" t="s">
        <v>23272</v>
      </c>
      <c r="E1896">
        <v>170</v>
      </c>
      <c r="F1896">
        <v>219</v>
      </c>
      <c r="G1896">
        <v>206</v>
      </c>
      <c r="Q1896" t="s">
        <v>1268</v>
      </c>
    </row>
    <row r="1897" spans="2:20" x14ac:dyDescent="0.25">
      <c r="B1897">
        <v>10347</v>
      </c>
      <c r="C1897" t="s">
        <v>23273</v>
      </c>
      <c r="E1897">
        <v>132</v>
      </c>
      <c r="F1897">
        <v>205</v>
      </c>
      <c r="G1897">
        <v>188</v>
      </c>
      <c r="R1897" t="s">
        <v>5336</v>
      </c>
    </row>
    <row r="1898" spans="2:20" x14ac:dyDescent="0.25">
      <c r="B1898">
        <v>10348</v>
      </c>
      <c r="C1898" t="s">
        <v>23274</v>
      </c>
      <c r="E1898">
        <v>117</v>
      </c>
      <c r="F1898">
        <v>200</v>
      </c>
      <c r="G1898">
        <v>179</v>
      </c>
      <c r="R1898" t="s">
        <v>1265</v>
      </c>
    </row>
    <row r="1899" spans="2:20" x14ac:dyDescent="0.25">
      <c r="B1899">
        <v>146034762</v>
      </c>
      <c r="C1899" t="s">
        <v>23275</v>
      </c>
      <c r="E1899">
        <v>102</v>
      </c>
      <c r="F1899">
        <v>196</v>
      </c>
      <c r="G1899">
        <v>175</v>
      </c>
      <c r="R1899" t="s">
        <v>8237</v>
      </c>
    </row>
    <row r="1900" spans="2:20" x14ac:dyDescent="0.25">
      <c r="B1900">
        <v>10349</v>
      </c>
      <c r="C1900" t="s">
        <v>23276</v>
      </c>
      <c r="E1900">
        <v>221</v>
      </c>
      <c r="F1900">
        <v>221</v>
      </c>
      <c r="G1900">
        <v>175</v>
      </c>
      <c r="Q1900" t="s">
        <v>534</v>
      </c>
    </row>
    <row r="1901" spans="2:20" x14ac:dyDescent="0.25">
      <c r="B1901">
        <v>10350</v>
      </c>
      <c r="C1901" t="s">
        <v>23277</v>
      </c>
      <c r="E1901">
        <v>202</v>
      </c>
      <c r="F1901">
        <v>202</v>
      </c>
      <c r="G1901">
        <v>146</v>
      </c>
      <c r="R1901" t="s">
        <v>4958</v>
      </c>
    </row>
    <row r="1902" spans="2:20" x14ac:dyDescent="0.25">
      <c r="B1902">
        <v>10351</v>
      </c>
      <c r="C1902" t="s">
        <v>23278</v>
      </c>
      <c r="E1902">
        <v>195</v>
      </c>
      <c r="F1902">
        <v>194</v>
      </c>
      <c r="G1902">
        <v>134</v>
      </c>
      <c r="S1902" t="s">
        <v>3024</v>
      </c>
    </row>
    <row r="1903" spans="2:20" x14ac:dyDescent="0.25">
      <c r="B1903">
        <v>10352</v>
      </c>
      <c r="C1903" t="s">
        <v>23279</v>
      </c>
      <c r="E1903">
        <v>188</v>
      </c>
      <c r="F1903">
        <v>186</v>
      </c>
      <c r="G1903">
        <v>128</v>
      </c>
      <c r="S1903" t="s">
        <v>2715</v>
      </c>
    </row>
    <row r="1904" spans="2:20" x14ac:dyDescent="0.25">
      <c r="B1904">
        <v>11550</v>
      </c>
      <c r="C1904" t="s">
        <v>23280</v>
      </c>
      <c r="E1904">
        <v>179</v>
      </c>
      <c r="F1904">
        <v>179</v>
      </c>
      <c r="G1904">
        <v>116</v>
      </c>
      <c r="T1904" t="s">
        <v>6889</v>
      </c>
    </row>
    <row r="1905" spans="2:20" x14ac:dyDescent="0.25">
      <c r="B1905">
        <v>11551</v>
      </c>
      <c r="C1905" t="s">
        <v>23281</v>
      </c>
      <c r="E1905">
        <v>188</v>
      </c>
      <c r="F1905">
        <v>186</v>
      </c>
      <c r="G1905">
        <v>128</v>
      </c>
      <c r="T1905" t="s">
        <v>6891</v>
      </c>
    </row>
    <row r="1906" spans="2:20" x14ac:dyDescent="0.25">
      <c r="B1906">
        <v>11552</v>
      </c>
      <c r="C1906" t="s">
        <v>23282</v>
      </c>
      <c r="E1906">
        <v>179</v>
      </c>
      <c r="F1906">
        <v>179</v>
      </c>
      <c r="G1906">
        <v>116</v>
      </c>
      <c r="T1906" t="s">
        <v>6893</v>
      </c>
    </row>
    <row r="1907" spans="2:20" x14ac:dyDescent="0.25">
      <c r="B1907">
        <v>266441485</v>
      </c>
      <c r="C1907" t="s">
        <v>23283</v>
      </c>
      <c r="E1907">
        <v>169</v>
      </c>
      <c r="F1907">
        <v>168</v>
      </c>
      <c r="G1907">
        <v>104</v>
      </c>
      <c r="S1907" t="s">
        <v>8505</v>
      </c>
    </row>
    <row r="1908" spans="2:20" x14ac:dyDescent="0.25">
      <c r="B1908">
        <v>13032</v>
      </c>
      <c r="C1908" t="s">
        <v>15563</v>
      </c>
      <c r="E1908">
        <v>202</v>
      </c>
      <c r="F1908">
        <v>202</v>
      </c>
      <c r="G1908">
        <v>146</v>
      </c>
      <c r="T1908" t="s">
        <v>4962</v>
      </c>
    </row>
    <row r="1909" spans="2:20" x14ac:dyDescent="0.25">
      <c r="B1909">
        <v>266441491</v>
      </c>
      <c r="C1909" t="s">
        <v>23284</v>
      </c>
      <c r="E1909">
        <v>169</v>
      </c>
      <c r="F1909">
        <v>168</v>
      </c>
      <c r="G1909">
        <v>104</v>
      </c>
      <c r="T1909" t="s">
        <v>8507</v>
      </c>
    </row>
    <row r="1910" spans="2:20" x14ac:dyDescent="0.25">
      <c r="B1910">
        <v>13029</v>
      </c>
      <c r="C1910" t="s">
        <v>16012</v>
      </c>
      <c r="E1910">
        <v>195</v>
      </c>
      <c r="F1910">
        <v>194</v>
      </c>
      <c r="G1910">
        <v>134</v>
      </c>
      <c r="S1910" t="s">
        <v>7960</v>
      </c>
    </row>
    <row r="1911" spans="2:20" x14ac:dyDescent="0.25">
      <c r="B1911">
        <v>13030</v>
      </c>
      <c r="C1911" t="s">
        <v>15555</v>
      </c>
      <c r="E1911">
        <v>188</v>
      </c>
      <c r="F1911">
        <v>186</v>
      </c>
      <c r="G1911">
        <v>128</v>
      </c>
      <c r="S1911" t="s">
        <v>7962</v>
      </c>
    </row>
    <row r="1912" spans="2:20" x14ac:dyDescent="0.25">
      <c r="B1912">
        <v>13031</v>
      </c>
      <c r="C1912" t="s">
        <v>23285</v>
      </c>
      <c r="E1912">
        <v>179</v>
      </c>
      <c r="F1912">
        <v>179</v>
      </c>
      <c r="G1912">
        <v>116</v>
      </c>
      <c r="S1912" t="s">
        <v>7964</v>
      </c>
    </row>
    <row r="1913" spans="2:20" x14ac:dyDescent="0.25">
      <c r="B1913">
        <v>13033</v>
      </c>
      <c r="C1913" t="s">
        <v>15544</v>
      </c>
      <c r="E1913">
        <v>179</v>
      </c>
      <c r="F1913">
        <v>179</v>
      </c>
      <c r="G1913">
        <v>116</v>
      </c>
      <c r="S1913" t="s">
        <v>4971</v>
      </c>
    </row>
    <row r="1914" spans="2:20" x14ac:dyDescent="0.25">
      <c r="B1914">
        <v>10353</v>
      </c>
      <c r="C1914" t="s">
        <v>23286</v>
      </c>
      <c r="E1914">
        <v>143</v>
      </c>
      <c r="F1914">
        <v>142</v>
      </c>
      <c r="G1914">
        <v>66</v>
      </c>
      <c r="R1914" t="s">
        <v>542</v>
      </c>
    </row>
    <row r="1915" spans="2:20" x14ac:dyDescent="0.25">
      <c r="B1915">
        <v>11553</v>
      </c>
      <c r="C1915" t="s">
        <v>23287</v>
      </c>
      <c r="E1915">
        <v>143</v>
      </c>
      <c r="F1915">
        <v>142</v>
      </c>
      <c r="G1915">
        <v>66</v>
      </c>
      <c r="S1915" t="s">
        <v>6895</v>
      </c>
    </row>
    <row r="1916" spans="2:20" x14ac:dyDescent="0.25">
      <c r="B1916">
        <v>11554</v>
      </c>
      <c r="C1916" t="s">
        <v>23288</v>
      </c>
      <c r="E1916">
        <v>143</v>
      </c>
      <c r="F1916">
        <v>142</v>
      </c>
      <c r="G1916">
        <v>66</v>
      </c>
      <c r="S1916" t="s">
        <v>6897</v>
      </c>
    </row>
    <row r="1917" spans="2:20" x14ac:dyDescent="0.25">
      <c r="B1917">
        <v>10354</v>
      </c>
      <c r="C1917" t="s">
        <v>19831</v>
      </c>
      <c r="E1917">
        <v>179</v>
      </c>
      <c r="F1917">
        <v>179</v>
      </c>
      <c r="G1917">
        <v>116</v>
      </c>
      <c r="R1917" t="s">
        <v>3272</v>
      </c>
    </row>
    <row r="1918" spans="2:20" x14ac:dyDescent="0.25">
      <c r="B1918">
        <v>10355</v>
      </c>
      <c r="C1918" t="s">
        <v>23289</v>
      </c>
      <c r="E1918">
        <v>168</v>
      </c>
      <c r="F1918">
        <v>167</v>
      </c>
      <c r="G1918">
        <v>103</v>
      </c>
      <c r="S1918" t="s">
        <v>5338</v>
      </c>
    </row>
    <row r="1919" spans="2:20" x14ac:dyDescent="0.25">
      <c r="B1919">
        <v>10356</v>
      </c>
      <c r="C1919" t="s">
        <v>23290</v>
      </c>
      <c r="E1919">
        <v>158</v>
      </c>
      <c r="F1919">
        <v>158</v>
      </c>
      <c r="G1919">
        <v>93</v>
      </c>
      <c r="S1919" t="s">
        <v>5340</v>
      </c>
    </row>
    <row r="1920" spans="2:20" x14ac:dyDescent="0.25">
      <c r="B1920">
        <v>10357</v>
      </c>
      <c r="C1920" t="s">
        <v>23291</v>
      </c>
      <c r="E1920">
        <v>188</v>
      </c>
      <c r="F1920">
        <v>186</v>
      </c>
      <c r="G1920">
        <v>128</v>
      </c>
      <c r="R1920" t="s">
        <v>5342</v>
      </c>
    </row>
    <row r="1921" spans="2:19" x14ac:dyDescent="0.25">
      <c r="B1921">
        <v>10358</v>
      </c>
      <c r="C1921" t="s">
        <v>23292</v>
      </c>
      <c r="E1921">
        <v>133</v>
      </c>
      <c r="F1921">
        <v>133</v>
      </c>
      <c r="G1921">
        <v>54</v>
      </c>
      <c r="R1921" t="s">
        <v>2542</v>
      </c>
    </row>
    <row r="1922" spans="2:19" x14ac:dyDescent="0.25">
      <c r="B1922">
        <v>10359</v>
      </c>
      <c r="C1922" t="s">
        <v>23293</v>
      </c>
      <c r="E1922">
        <v>133</v>
      </c>
      <c r="F1922">
        <v>133</v>
      </c>
      <c r="G1922">
        <v>54</v>
      </c>
      <c r="S1922" t="s">
        <v>2538</v>
      </c>
    </row>
    <row r="1923" spans="2:19" x14ac:dyDescent="0.25">
      <c r="B1923">
        <v>10360</v>
      </c>
      <c r="C1923" t="s">
        <v>23294</v>
      </c>
      <c r="E1923">
        <v>133</v>
      </c>
      <c r="F1923">
        <v>133</v>
      </c>
      <c r="G1923">
        <v>54</v>
      </c>
      <c r="S1923" t="s">
        <v>5344</v>
      </c>
    </row>
    <row r="1924" spans="2:19" x14ac:dyDescent="0.25">
      <c r="B1924">
        <v>13034</v>
      </c>
      <c r="C1924" t="s">
        <v>19822</v>
      </c>
      <c r="E1924">
        <v>202</v>
      </c>
      <c r="F1924">
        <v>202</v>
      </c>
      <c r="G1924">
        <v>146</v>
      </c>
      <c r="R1924" t="s">
        <v>7966</v>
      </c>
    </row>
    <row r="1925" spans="2:19" x14ac:dyDescent="0.25">
      <c r="B1925">
        <v>266441495</v>
      </c>
      <c r="C1925" t="s">
        <v>23295</v>
      </c>
      <c r="E1925">
        <v>196</v>
      </c>
      <c r="F1925">
        <v>194</v>
      </c>
      <c r="G1925">
        <v>136</v>
      </c>
      <c r="S1925" t="s">
        <v>8509</v>
      </c>
    </row>
    <row r="1926" spans="2:19" x14ac:dyDescent="0.25">
      <c r="B1926">
        <v>266441499</v>
      </c>
      <c r="C1926" t="s">
        <v>23296</v>
      </c>
      <c r="E1926">
        <v>152</v>
      </c>
      <c r="F1926">
        <v>151</v>
      </c>
      <c r="G1926">
        <v>80</v>
      </c>
      <c r="S1926" t="s">
        <v>8511</v>
      </c>
    </row>
    <row r="1927" spans="2:19" x14ac:dyDescent="0.25">
      <c r="B1927">
        <v>10389</v>
      </c>
      <c r="C1927" t="s">
        <v>23297</v>
      </c>
      <c r="E1927">
        <v>228</v>
      </c>
      <c r="F1927">
        <v>204</v>
      </c>
      <c r="G1927">
        <v>227</v>
      </c>
      <c r="O1927" t="s">
        <v>1488</v>
      </c>
    </row>
    <row r="1928" spans="2:19" x14ac:dyDescent="0.25">
      <c r="B1928">
        <v>10390</v>
      </c>
      <c r="C1928" t="s">
        <v>23298</v>
      </c>
      <c r="E1928">
        <v>228</v>
      </c>
      <c r="F1928">
        <v>204</v>
      </c>
      <c r="G1928">
        <v>227</v>
      </c>
      <c r="P1928" t="s">
        <v>1588</v>
      </c>
    </row>
    <row r="1929" spans="2:19" x14ac:dyDescent="0.25">
      <c r="B1929">
        <v>10391</v>
      </c>
      <c r="C1929" t="s">
        <v>23299</v>
      </c>
      <c r="E1929">
        <v>204</v>
      </c>
      <c r="F1929">
        <v>159</v>
      </c>
      <c r="G1929">
        <v>201</v>
      </c>
      <c r="Q1929" t="s">
        <v>1620</v>
      </c>
    </row>
    <row r="1930" spans="2:19" x14ac:dyDescent="0.25">
      <c r="B1930">
        <v>10392</v>
      </c>
      <c r="C1930" t="s">
        <v>23300</v>
      </c>
      <c r="E1930">
        <v>191</v>
      </c>
      <c r="F1930">
        <v>137</v>
      </c>
      <c r="G1930">
        <v>188</v>
      </c>
      <c r="R1930" t="s">
        <v>358</v>
      </c>
    </row>
    <row r="1931" spans="2:19" x14ac:dyDescent="0.25">
      <c r="B1931">
        <v>10393</v>
      </c>
      <c r="C1931" t="s">
        <v>16436</v>
      </c>
      <c r="E1931">
        <v>182</v>
      </c>
      <c r="F1931">
        <v>123</v>
      </c>
      <c r="G1931">
        <v>180</v>
      </c>
      <c r="S1931" t="s">
        <v>442</v>
      </c>
    </row>
    <row r="1932" spans="2:19" x14ac:dyDescent="0.25">
      <c r="B1932">
        <v>10394</v>
      </c>
      <c r="C1932" t="s">
        <v>16438</v>
      </c>
      <c r="E1932">
        <v>182</v>
      </c>
      <c r="F1932">
        <v>123</v>
      </c>
      <c r="G1932">
        <v>180</v>
      </c>
      <c r="S1932" t="s">
        <v>456</v>
      </c>
    </row>
    <row r="1933" spans="2:19" x14ac:dyDescent="0.25">
      <c r="B1933">
        <v>10395</v>
      </c>
      <c r="C1933" t="s">
        <v>16437</v>
      </c>
      <c r="E1933">
        <v>176</v>
      </c>
      <c r="F1933">
        <v>103</v>
      </c>
      <c r="G1933">
        <v>169</v>
      </c>
      <c r="S1933" t="s">
        <v>475</v>
      </c>
    </row>
    <row r="1934" spans="2:19" x14ac:dyDescent="0.25">
      <c r="B1934">
        <v>10396</v>
      </c>
      <c r="C1934" t="s">
        <v>16454</v>
      </c>
      <c r="E1934">
        <v>182</v>
      </c>
      <c r="F1934">
        <v>123</v>
      </c>
      <c r="G1934">
        <v>180</v>
      </c>
      <c r="S1934" t="s">
        <v>753</v>
      </c>
    </row>
    <row r="1935" spans="2:19" x14ac:dyDescent="0.25">
      <c r="B1935">
        <v>10397</v>
      </c>
      <c r="C1935" t="s">
        <v>23301</v>
      </c>
      <c r="E1935">
        <v>182</v>
      </c>
      <c r="F1935">
        <v>123</v>
      </c>
      <c r="G1935">
        <v>180</v>
      </c>
      <c r="R1935" t="s">
        <v>23302</v>
      </c>
    </row>
    <row r="1936" spans="2:19" x14ac:dyDescent="0.25">
      <c r="B1936">
        <v>10398</v>
      </c>
      <c r="C1936" t="s">
        <v>16420</v>
      </c>
      <c r="E1936">
        <v>176</v>
      </c>
      <c r="F1936">
        <v>103</v>
      </c>
      <c r="G1936">
        <v>169</v>
      </c>
      <c r="S1936" t="s">
        <v>775</v>
      </c>
    </row>
    <row r="1937" spans="2:21" x14ac:dyDescent="0.25">
      <c r="B1937">
        <v>10399</v>
      </c>
      <c r="C1937" t="s">
        <v>23303</v>
      </c>
      <c r="E1937">
        <v>176</v>
      </c>
      <c r="F1937">
        <v>103</v>
      </c>
      <c r="G1937">
        <v>169</v>
      </c>
      <c r="T1937" t="s">
        <v>1446</v>
      </c>
    </row>
    <row r="1938" spans="2:21" x14ac:dyDescent="0.25">
      <c r="B1938">
        <v>10400</v>
      </c>
      <c r="C1938" t="s">
        <v>19952</v>
      </c>
      <c r="E1938">
        <v>165</v>
      </c>
      <c r="F1938">
        <v>84</v>
      </c>
      <c r="G1938">
        <v>160</v>
      </c>
      <c r="T1938" t="s">
        <v>2833</v>
      </c>
    </row>
    <row r="1939" spans="2:21" x14ac:dyDescent="0.25">
      <c r="B1939">
        <v>266441503</v>
      </c>
      <c r="C1939" t="s">
        <v>23304</v>
      </c>
      <c r="E1939">
        <v>159</v>
      </c>
      <c r="F1939">
        <v>77</v>
      </c>
      <c r="G1939">
        <v>149</v>
      </c>
      <c r="U1939" t="s">
        <v>23305</v>
      </c>
    </row>
    <row r="1940" spans="2:21" x14ac:dyDescent="0.25">
      <c r="B1940">
        <v>266441507</v>
      </c>
      <c r="C1940" t="s">
        <v>23306</v>
      </c>
      <c r="E1940">
        <v>165</v>
      </c>
      <c r="F1940">
        <v>84</v>
      </c>
      <c r="G1940">
        <v>160</v>
      </c>
      <c r="T1940" t="s">
        <v>23307</v>
      </c>
    </row>
    <row r="1941" spans="2:21" x14ac:dyDescent="0.25">
      <c r="B1941">
        <v>10401</v>
      </c>
      <c r="C1941" t="s">
        <v>19950</v>
      </c>
      <c r="E1941">
        <v>176</v>
      </c>
      <c r="F1941">
        <v>103</v>
      </c>
      <c r="G1941">
        <v>169</v>
      </c>
      <c r="T1941" t="s">
        <v>23308</v>
      </c>
    </row>
    <row r="1942" spans="2:21" x14ac:dyDescent="0.25">
      <c r="B1942">
        <v>10402</v>
      </c>
      <c r="C1942" t="s">
        <v>19948</v>
      </c>
      <c r="E1942">
        <v>176</v>
      </c>
      <c r="F1942">
        <v>103</v>
      </c>
      <c r="G1942">
        <v>169</v>
      </c>
      <c r="T1942" t="s">
        <v>23309</v>
      </c>
    </row>
    <row r="1943" spans="2:21" x14ac:dyDescent="0.25">
      <c r="B1943">
        <v>10403</v>
      </c>
      <c r="C1943" t="s">
        <v>16411</v>
      </c>
      <c r="E1943">
        <v>149</v>
      </c>
      <c r="F1943">
        <v>73</v>
      </c>
      <c r="G1943">
        <v>138</v>
      </c>
      <c r="S1943" t="s">
        <v>4747</v>
      </c>
    </row>
    <row r="1944" spans="2:21" x14ac:dyDescent="0.25">
      <c r="B1944">
        <v>10404</v>
      </c>
      <c r="C1944" t="s">
        <v>16604</v>
      </c>
      <c r="E1944">
        <v>182</v>
      </c>
      <c r="F1944">
        <v>123</v>
      </c>
      <c r="G1944">
        <v>180</v>
      </c>
      <c r="S1944" t="s">
        <v>3620</v>
      </c>
    </row>
    <row r="1945" spans="2:21" x14ac:dyDescent="0.25">
      <c r="B1945">
        <v>10406</v>
      </c>
      <c r="C1945" t="s">
        <v>23310</v>
      </c>
      <c r="E1945">
        <v>182</v>
      </c>
      <c r="F1945">
        <v>123</v>
      </c>
      <c r="G1945">
        <v>180</v>
      </c>
      <c r="R1945" t="s">
        <v>23311</v>
      </c>
    </row>
    <row r="1946" spans="2:21" x14ac:dyDescent="0.25">
      <c r="B1946">
        <v>10407</v>
      </c>
      <c r="C1946" t="s">
        <v>23312</v>
      </c>
      <c r="E1946">
        <v>182</v>
      </c>
      <c r="F1946">
        <v>123</v>
      </c>
      <c r="G1946">
        <v>180</v>
      </c>
      <c r="S1946" t="s">
        <v>23313</v>
      </c>
    </row>
    <row r="1947" spans="2:21" x14ac:dyDescent="0.25">
      <c r="B1947">
        <v>10408</v>
      </c>
      <c r="C1947" t="s">
        <v>16456</v>
      </c>
      <c r="E1947">
        <v>176</v>
      </c>
      <c r="F1947">
        <v>103</v>
      </c>
      <c r="G1947">
        <v>169</v>
      </c>
      <c r="T1947" t="s">
        <v>2690</v>
      </c>
    </row>
    <row r="1948" spans="2:21" x14ac:dyDescent="0.25">
      <c r="B1948">
        <v>10409</v>
      </c>
      <c r="C1948" t="s">
        <v>23314</v>
      </c>
      <c r="E1948">
        <v>176</v>
      </c>
      <c r="F1948">
        <v>103</v>
      </c>
      <c r="G1948">
        <v>169</v>
      </c>
      <c r="T1948" t="s">
        <v>4201</v>
      </c>
    </row>
    <row r="1949" spans="2:21" x14ac:dyDescent="0.25">
      <c r="B1949">
        <v>10410</v>
      </c>
      <c r="C1949" t="s">
        <v>23315</v>
      </c>
      <c r="E1949">
        <v>176</v>
      </c>
      <c r="F1949">
        <v>103</v>
      </c>
      <c r="G1949">
        <v>169</v>
      </c>
      <c r="U1949" t="s">
        <v>3523</v>
      </c>
    </row>
    <row r="1950" spans="2:21" x14ac:dyDescent="0.25">
      <c r="B1950">
        <v>10411</v>
      </c>
      <c r="C1950" t="s">
        <v>23316</v>
      </c>
      <c r="E1950">
        <v>176</v>
      </c>
      <c r="F1950">
        <v>103</v>
      </c>
      <c r="G1950">
        <v>169</v>
      </c>
      <c r="U1950" t="s">
        <v>3016</v>
      </c>
    </row>
    <row r="1951" spans="2:21" x14ac:dyDescent="0.25">
      <c r="B1951">
        <v>10412</v>
      </c>
      <c r="C1951" t="s">
        <v>23317</v>
      </c>
      <c r="E1951">
        <v>176</v>
      </c>
      <c r="F1951">
        <v>103</v>
      </c>
      <c r="G1951">
        <v>169</v>
      </c>
      <c r="U1951" t="s">
        <v>2699</v>
      </c>
    </row>
    <row r="1952" spans="2:21" x14ac:dyDescent="0.25">
      <c r="B1952">
        <v>10413</v>
      </c>
      <c r="C1952" t="s">
        <v>23318</v>
      </c>
      <c r="E1952">
        <v>176</v>
      </c>
      <c r="F1952">
        <v>103</v>
      </c>
      <c r="G1952">
        <v>169</v>
      </c>
      <c r="U1952" t="s">
        <v>2398</v>
      </c>
    </row>
    <row r="1953" spans="2:22" x14ac:dyDescent="0.25">
      <c r="B1953">
        <v>10414</v>
      </c>
      <c r="C1953" t="s">
        <v>23319</v>
      </c>
      <c r="E1953">
        <v>176</v>
      </c>
      <c r="F1953">
        <v>103</v>
      </c>
      <c r="G1953">
        <v>169</v>
      </c>
      <c r="V1953" t="s">
        <v>23320</v>
      </c>
    </row>
    <row r="1954" spans="2:22" x14ac:dyDescent="0.25">
      <c r="B1954">
        <v>10415</v>
      </c>
      <c r="C1954" t="s">
        <v>23321</v>
      </c>
      <c r="E1954">
        <v>176</v>
      </c>
      <c r="F1954">
        <v>103</v>
      </c>
      <c r="G1954">
        <v>169</v>
      </c>
      <c r="V1954" t="s">
        <v>23322</v>
      </c>
    </row>
    <row r="1955" spans="2:22" x14ac:dyDescent="0.25">
      <c r="B1955">
        <v>10416</v>
      </c>
      <c r="C1955" t="s">
        <v>23323</v>
      </c>
      <c r="E1955">
        <v>165</v>
      </c>
      <c r="F1955">
        <v>84</v>
      </c>
      <c r="G1955">
        <v>160</v>
      </c>
      <c r="S1955" t="s">
        <v>23324</v>
      </c>
    </row>
    <row r="1956" spans="2:22" x14ac:dyDescent="0.25">
      <c r="B1956">
        <v>10417</v>
      </c>
      <c r="C1956" t="s">
        <v>16444</v>
      </c>
      <c r="E1956">
        <v>165</v>
      </c>
      <c r="F1956">
        <v>84</v>
      </c>
      <c r="G1956">
        <v>160</v>
      </c>
      <c r="T1956" t="s">
        <v>3328</v>
      </c>
    </row>
    <row r="1957" spans="2:22" x14ac:dyDescent="0.25">
      <c r="B1957">
        <v>10418</v>
      </c>
      <c r="C1957" t="s">
        <v>23325</v>
      </c>
      <c r="E1957">
        <v>165</v>
      </c>
      <c r="F1957">
        <v>84</v>
      </c>
      <c r="G1957">
        <v>160</v>
      </c>
      <c r="U1957" t="s">
        <v>23326</v>
      </c>
    </row>
    <row r="1958" spans="2:22" x14ac:dyDescent="0.25">
      <c r="B1958">
        <v>10419</v>
      </c>
      <c r="C1958" t="s">
        <v>23327</v>
      </c>
      <c r="E1958">
        <v>158</v>
      </c>
      <c r="F1958">
        <v>76</v>
      </c>
      <c r="G1958">
        <v>148</v>
      </c>
      <c r="U1958" t="s">
        <v>2846</v>
      </c>
    </row>
    <row r="1959" spans="2:22" x14ac:dyDescent="0.25">
      <c r="B1959">
        <v>10420</v>
      </c>
      <c r="C1959" t="s">
        <v>16445</v>
      </c>
      <c r="E1959">
        <v>176</v>
      </c>
      <c r="F1959">
        <v>103</v>
      </c>
      <c r="G1959">
        <v>169</v>
      </c>
      <c r="T1959" t="s">
        <v>15032</v>
      </c>
    </row>
    <row r="1960" spans="2:22" x14ac:dyDescent="0.25">
      <c r="B1960">
        <v>10421</v>
      </c>
      <c r="C1960" t="s">
        <v>23328</v>
      </c>
      <c r="E1960">
        <v>176</v>
      </c>
      <c r="F1960">
        <v>103</v>
      </c>
      <c r="G1960">
        <v>169</v>
      </c>
      <c r="U1960" t="s">
        <v>23329</v>
      </c>
    </row>
    <row r="1961" spans="2:22" x14ac:dyDescent="0.25">
      <c r="B1961">
        <v>10422</v>
      </c>
      <c r="C1961" t="s">
        <v>23330</v>
      </c>
      <c r="E1961">
        <v>176</v>
      </c>
      <c r="F1961">
        <v>103</v>
      </c>
      <c r="G1961">
        <v>169</v>
      </c>
      <c r="U1961" t="s">
        <v>890</v>
      </c>
    </row>
    <row r="1962" spans="2:22" x14ac:dyDescent="0.25">
      <c r="B1962">
        <v>13037</v>
      </c>
      <c r="C1962" t="s">
        <v>23331</v>
      </c>
      <c r="E1962">
        <v>176</v>
      </c>
      <c r="F1962">
        <v>103</v>
      </c>
      <c r="G1962">
        <v>169</v>
      </c>
      <c r="V1962" t="s">
        <v>23332</v>
      </c>
    </row>
    <row r="1963" spans="2:22" x14ac:dyDescent="0.25">
      <c r="B1963">
        <v>13038</v>
      </c>
      <c r="C1963" t="s">
        <v>23333</v>
      </c>
      <c r="E1963">
        <v>182</v>
      </c>
      <c r="F1963">
        <v>123</v>
      </c>
      <c r="G1963">
        <v>180</v>
      </c>
      <c r="V1963" t="s">
        <v>23334</v>
      </c>
    </row>
    <row r="1964" spans="2:22" x14ac:dyDescent="0.25">
      <c r="B1964">
        <v>13039</v>
      </c>
      <c r="C1964" t="s">
        <v>23335</v>
      </c>
      <c r="E1964">
        <v>191</v>
      </c>
      <c r="F1964">
        <v>137</v>
      </c>
      <c r="G1964">
        <v>188</v>
      </c>
      <c r="V1964" t="s">
        <v>23336</v>
      </c>
    </row>
    <row r="1965" spans="2:22" x14ac:dyDescent="0.25">
      <c r="B1965">
        <v>10423</v>
      </c>
      <c r="C1965" t="s">
        <v>23337</v>
      </c>
      <c r="E1965">
        <v>158</v>
      </c>
      <c r="F1965">
        <v>76</v>
      </c>
      <c r="G1965">
        <v>148</v>
      </c>
      <c r="T1965" t="s">
        <v>15071</v>
      </c>
    </row>
    <row r="1966" spans="2:22" x14ac:dyDescent="0.25">
      <c r="B1966">
        <v>10424</v>
      </c>
      <c r="C1966" t="s">
        <v>16447</v>
      </c>
      <c r="E1966">
        <v>158</v>
      </c>
      <c r="F1966">
        <v>76</v>
      </c>
      <c r="G1966">
        <v>148</v>
      </c>
      <c r="U1966" t="s">
        <v>3330</v>
      </c>
    </row>
    <row r="1967" spans="2:22" x14ac:dyDescent="0.25">
      <c r="B1967">
        <v>266441511</v>
      </c>
      <c r="C1967" t="s">
        <v>23338</v>
      </c>
      <c r="E1967">
        <v>158</v>
      </c>
      <c r="F1967">
        <v>76</v>
      </c>
      <c r="G1967">
        <v>148</v>
      </c>
      <c r="V1967" t="s">
        <v>23339</v>
      </c>
    </row>
    <row r="1968" spans="2:22" x14ac:dyDescent="0.25">
      <c r="B1968">
        <v>266441515</v>
      </c>
      <c r="C1968" t="s">
        <v>23340</v>
      </c>
      <c r="E1968">
        <v>158</v>
      </c>
      <c r="F1968">
        <v>76</v>
      </c>
      <c r="G1968">
        <v>148</v>
      </c>
      <c r="V1968" t="s">
        <v>893</v>
      </c>
    </row>
    <row r="1969" spans="2:22" x14ac:dyDescent="0.25">
      <c r="B1969">
        <v>10425</v>
      </c>
      <c r="C1969" t="s">
        <v>16446</v>
      </c>
      <c r="E1969">
        <v>158</v>
      </c>
      <c r="F1969">
        <v>76</v>
      </c>
      <c r="G1969">
        <v>148</v>
      </c>
      <c r="U1969" t="s">
        <v>3332</v>
      </c>
    </row>
    <row r="1970" spans="2:22" x14ac:dyDescent="0.25">
      <c r="B1970">
        <v>146034766</v>
      </c>
      <c r="C1970" t="s">
        <v>19890</v>
      </c>
      <c r="E1970">
        <v>140</v>
      </c>
      <c r="F1970">
        <v>70</v>
      </c>
      <c r="G1970">
        <v>133</v>
      </c>
      <c r="V1970" t="s">
        <v>3753</v>
      </c>
    </row>
    <row r="1971" spans="2:22" x14ac:dyDescent="0.25">
      <c r="B1971">
        <v>10426</v>
      </c>
      <c r="C1971" t="s">
        <v>23341</v>
      </c>
      <c r="E1971">
        <v>158</v>
      </c>
      <c r="F1971">
        <v>76</v>
      </c>
      <c r="G1971">
        <v>148</v>
      </c>
      <c r="U1971" t="s">
        <v>3334</v>
      </c>
    </row>
    <row r="1972" spans="2:22" x14ac:dyDescent="0.25">
      <c r="B1972">
        <v>13040</v>
      </c>
      <c r="C1972" t="s">
        <v>23342</v>
      </c>
      <c r="E1972">
        <v>158</v>
      </c>
      <c r="F1972">
        <v>76</v>
      </c>
      <c r="G1972">
        <v>148</v>
      </c>
      <c r="U1972" t="s">
        <v>23343</v>
      </c>
    </row>
    <row r="1973" spans="2:22" x14ac:dyDescent="0.25">
      <c r="B1973">
        <v>10427</v>
      </c>
      <c r="C1973" t="s">
        <v>16439</v>
      </c>
      <c r="E1973">
        <v>158</v>
      </c>
      <c r="F1973">
        <v>76</v>
      </c>
      <c r="G1973">
        <v>148</v>
      </c>
      <c r="T1973" t="s">
        <v>2993</v>
      </c>
    </row>
    <row r="1974" spans="2:22" x14ac:dyDescent="0.25">
      <c r="B1974">
        <v>10428</v>
      </c>
      <c r="C1974" t="s">
        <v>23344</v>
      </c>
      <c r="E1974">
        <v>191</v>
      </c>
      <c r="F1974">
        <v>137</v>
      </c>
      <c r="G1974">
        <v>188</v>
      </c>
      <c r="R1974" t="s">
        <v>3950</v>
      </c>
    </row>
    <row r="1975" spans="2:22" x14ac:dyDescent="0.25">
      <c r="B1975">
        <v>10429</v>
      </c>
      <c r="C1975" t="s">
        <v>23345</v>
      </c>
      <c r="E1975">
        <v>140</v>
      </c>
      <c r="F1975">
        <v>70</v>
      </c>
      <c r="G1975">
        <v>133</v>
      </c>
      <c r="S1975" t="s">
        <v>2589</v>
      </c>
    </row>
    <row r="1976" spans="2:22" x14ac:dyDescent="0.25">
      <c r="B1976">
        <v>10430</v>
      </c>
      <c r="C1976" t="s">
        <v>16457</v>
      </c>
      <c r="E1976">
        <v>140</v>
      </c>
      <c r="F1976">
        <v>70</v>
      </c>
      <c r="G1976">
        <v>133</v>
      </c>
      <c r="T1976" t="s">
        <v>694</v>
      </c>
    </row>
    <row r="1977" spans="2:22" x14ac:dyDescent="0.25">
      <c r="B1977">
        <v>10431</v>
      </c>
      <c r="C1977" t="s">
        <v>23346</v>
      </c>
      <c r="E1977">
        <v>119</v>
      </c>
      <c r="F1977">
        <v>54</v>
      </c>
      <c r="G1977">
        <v>113</v>
      </c>
      <c r="U1977" t="s">
        <v>2820</v>
      </c>
    </row>
    <row r="1978" spans="2:22" x14ac:dyDescent="0.25">
      <c r="B1978">
        <v>11571</v>
      </c>
      <c r="C1978" t="s">
        <v>23347</v>
      </c>
      <c r="E1978">
        <v>119</v>
      </c>
      <c r="F1978">
        <v>54</v>
      </c>
      <c r="G1978">
        <v>113</v>
      </c>
      <c r="V1978" t="s">
        <v>23348</v>
      </c>
    </row>
    <row r="1979" spans="2:22" x14ac:dyDescent="0.25">
      <c r="B1979">
        <v>11572</v>
      </c>
      <c r="C1979" t="s">
        <v>23349</v>
      </c>
      <c r="E1979">
        <v>119</v>
      </c>
      <c r="F1979">
        <v>54</v>
      </c>
      <c r="G1979">
        <v>113</v>
      </c>
      <c r="V1979" t="s">
        <v>23350</v>
      </c>
    </row>
    <row r="1980" spans="2:22" x14ac:dyDescent="0.25">
      <c r="B1980">
        <v>10432</v>
      </c>
      <c r="C1980" t="s">
        <v>23351</v>
      </c>
      <c r="E1980">
        <v>140</v>
      </c>
      <c r="F1980">
        <v>70</v>
      </c>
      <c r="G1980">
        <v>133</v>
      </c>
      <c r="U1980" t="s">
        <v>23352</v>
      </c>
    </row>
    <row r="1981" spans="2:22" x14ac:dyDescent="0.25">
      <c r="B1981">
        <v>11573</v>
      </c>
      <c r="C1981" t="s">
        <v>23353</v>
      </c>
      <c r="E1981">
        <v>140</v>
      </c>
      <c r="F1981">
        <v>70</v>
      </c>
      <c r="G1981">
        <v>133</v>
      </c>
      <c r="V1981" t="s">
        <v>23354</v>
      </c>
    </row>
    <row r="1982" spans="2:22" x14ac:dyDescent="0.25">
      <c r="B1982">
        <v>11574</v>
      </c>
      <c r="C1982" t="s">
        <v>23355</v>
      </c>
      <c r="E1982">
        <v>140</v>
      </c>
      <c r="F1982">
        <v>70</v>
      </c>
      <c r="G1982">
        <v>133</v>
      </c>
      <c r="V1982" t="s">
        <v>23356</v>
      </c>
    </row>
    <row r="1983" spans="2:22" x14ac:dyDescent="0.25">
      <c r="B1983">
        <v>11575</v>
      </c>
      <c r="C1983" t="s">
        <v>23357</v>
      </c>
      <c r="E1983">
        <v>140</v>
      </c>
      <c r="F1983">
        <v>70</v>
      </c>
      <c r="G1983">
        <v>133</v>
      </c>
      <c r="V1983" t="s">
        <v>23358</v>
      </c>
    </row>
    <row r="1984" spans="2:22" x14ac:dyDescent="0.25">
      <c r="B1984">
        <v>11576</v>
      </c>
      <c r="C1984" t="s">
        <v>23359</v>
      </c>
      <c r="E1984">
        <v>140</v>
      </c>
      <c r="F1984">
        <v>70</v>
      </c>
      <c r="G1984">
        <v>133</v>
      </c>
      <c r="V1984" t="s">
        <v>23360</v>
      </c>
    </row>
    <row r="1985" spans="2:21" x14ac:dyDescent="0.25">
      <c r="B1985">
        <v>13041</v>
      </c>
      <c r="C1985" t="s">
        <v>23361</v>
      </c>
      <c r="E1985">
        <v>212</v>
      </c>
      <c r="F1985">
        <v>179</v>
      </c>
      <c r="G1985">
        <v>212</v>
      </c>
      <c r="U1985" t="s">
        <v>23362</v>
      </c>
    </row>
    <row r="1986" spans="2:21" x14ac:dyDescent="0.25">
      <c r="B1986">
        <v>266441519</v>
      </c>
      <c r="C1986" t="s">
        <v>23363</v>
      </c>
      <c r="E1986">
        <v>228</v>
      </c>
      <c r="F1986">
        <v>205</v>
      </c>
      <c r="G1986">
        <v>228</v>
      </c>
      <c r="U1986" t="s">
        <v>23364</v>
      </c>
    </row>
    <row r="1987" spans="2:21" x14ac:dyDescent="0.25">
      <c r="B1987">
        <v>13042</v>
      </c>
      <c r="C1987" t="s">
        <v>20348</v>
      </c>
      <c r="E1987">
        <v>165</v>
      </c>
      <c r="F1987">
        <v>84</v>
      </c>
      <c r="G1987">
        <v>160</v>
      </c>
      <c r="T1987" t="s">
        <v>666</v>
      </c>
    </row>
    <row r="1988" spans="2:21" x14ac:dyDescent="0.25">
      <c r="B1988">
        <v>10434</v>
      </c>
      <c r="C1988" t="s">
        <v>16505</v>
      </c>
      <c r="E1988">
        <v>182</v>
      </c>
      <c r="F1988">
        <v>123</v>
      </c>
      <c r="G1988">
        <v>180</v>
      </c>
      <c r="S1988" t="s">
        <v>2903</v>
      </c>
    </row>
    <row r="1989" spans="2:21" x14ac:dyDescent="0.25">
      <c r="B1989">
        <v>10435</v>
      </c>
      <c r="C1989" t="s">
        <v>23365</v>
      </c>
      <c r="E1989">
        <v>182</v>
      </c>
      <c r="F1989">
        <v>123</v>
      </c>
      <c r="G1989">
        <v>180</v>
      </c>
      <c r="T1989" t="s">
        <v>1561</v>
      </c>
    </row>
    <row r="1990" spans="2:21" x14ac:dyDescent="0.25">
      <c r="B1990">
        <v>10436</v>
      </c>
      <c r="C1990" t="s">
        <v>23366</v>
      </c>
      <c r="E1990">
        <v>182</v>
      </c>
      <c r="F1990">
        <v>123</v>
      </c>
      <c r="G1990">
        <v>180</v>
      </c>
      <c r="U1990" t="s">
        <v>23367</v>
      </c>
    </row>
    <row r="1991" spans="2:21" x14ac:dyDescent="0.25">
      <c r="B1991">
        <v>10437</v>
      </c>
      <c r="C1991" t="s">
        <v>23368</v>
      </c>
      <c r="E1991">
        <v>182</v>
      </c>
      <c r="F1991">
        <v>123</v>
      </c>
      <c r="G1991">
        <v>180</v>
      </c>
      <c r="U1991" t="s">
        <v>23369</v>
      </c>
    </row>
    <row r="1992" spans="2:21" x14ac:dyDescent="0.25">
      <c r="B1992">
        <v>10438</v>
      </c>
      <c r="C1992" t="s">
        <v>23370</v>
      </c>
      <c r="E1992">
        <v>191</v>
      </c>
      <c r="F1992">
        <v>137</v>
      </c>
      <c r="G1992">
        <v>188</v>
      </c>
      <c r="T1992" t="s">
        <v>15044</v>
      </c>
    </row>
    <row r="1993" spans="2:21" x14ac:dyDescent="0.25">
      <c r="B1993">
        <v>10439</v>
      </c>
      <c r="C1993" t="s">
        <v>23371</v>
      </c>
      <c r="E1993">
        <v>176</v>
      </c>
      <c r="F1993">
        <v>103</v>
      </c>
      <c r="G1993">
        <v>169</v>
      </c>
      <c r="T1993" t="s">
        <v>2825</v>
      </c>
    </row>
    <row r="1994" spans="2:21" x14ac:dyDescent="0.25">
      <c r="B1994">
        <v>266441523</v>
      </c>
      <c r="C1994" t="s">
        <v>23372</v>
      </c>
      <c r="E1994">
        <v>176</v>
      </c>
      <c r="F1994">
        <v>103</v>
      </c>
      <c r="G1994">
        <v>169</v>
      </c>
      <c r="T1994" t="s">
        <v>23373</v>
      </c>
    </row>
    <row r="1995" spans="2:21" x14ac:dyDescent="0.25">
      <c r="B1995">
        <v>10440</v>
      </c>
      <c r="C1995" t="s">
        <v>16450</v>
      </c>
      <c r="E1995">
        <v>182</v>
      </c>
      <c r="F1995">
        <v>123</v>
      </c>
      <c r="G1995">
        <v>180</v>
      </c>
      <c r="S1995" t="s">
        <v>3959</v>
      </c>
    </row>
    <row r="1996" spans="2:21" x14ac:dyDescent="0.25">
      <c r="B1996">
        <v>10441</v>
      </c>
      <c r="C1996" t="s">
        <v>23374</v>
      </c>
      <c r="E1996">
        <v>149</v>
      </c>
      <c r="F1996">
        <v>73</v>
      </c>
      <c r="G1996">
        <v>138</v>
      </c>
      <c r="S1996" t="s">
        <v>23375</v>
      </c>
    </row>
    <row r="1997" spans="2:21" x14ac:dyDescent="0.25">
      <c r="B1997">
        <v>13043</v>
      </c>
      <c r="C1997" t="s">
        <v>16544</v>
      </c>
      <c r="E1997">
        <v>149</v>
      </c>
      <c r="F1997">
        <v>73</v>
      </c>
      <c r="G1997">
        <v>138</v>
      </c>
      <c r="T1997" t="s">
        <v>2782</v>
      </c>
    </row>
    <row r="1998" spans="2:21" x14ac:dyDescent="0.25">
      <c r="B1998">
        <v>13044</v>
      </c>
      <c r="C1998" t="s">
        <v>19927</v>
      </c>
      <c r="E1998">
        <v>149</v>
      </c>
      <c r="F1998">
        <v>73</v>
      </c>
      <c r="G1998">
        <v>138</v>
      </c>
      <c r="T1998" t="s">
        <v>14864</v>
      </c>
    </row>
    <row r="1999" spans="2:21" x14ac:dyDescent="0.25">
      <c r="B1999">
        <v>10442</v>
      </c>
      <c r="C1999" t="s">
        <v>23376</v>
      </c>
      <c r="E1999">
        <v>191</v>
      </c>
      <c r="F1999">
        <v>137</v>
      </c>
      <c r="G1999">
        <v>188</v>
      </c>
      <c r="R1999" t="s">
        <v>2528</v>
      </c>
    </row>
    <row r="2000" spans="2:21" x14ac:dyDescent="0.25">
      <c r="B2000">
        <v>10443</v>
      </c>
      <c r="C2000" t="s">
        <v>23377</v>
      </c>
      <c r="E2000">
        <v>182</v>
      </c>
      <c r="F2000">
        <v>123</v>
      </c>
      <c r="G2000">
        <v>180</v>
      </c>
      <c r="S2000" t="s">
        <v>4897</v>
      </c>
    </row>
    <row r="2001" spans="2:21" x14ac:dyDescent="0.25">
      <c r="B2001">
        <v>10444</v>
      </c>
      <c r="C2001" t="s">
        <v>16433</v>
      </c>
      <c r="E2001">
        <v>182</v>
      </c>
      <c r="F2001">
        <v>123</v>
      </c>
      <c r="G2001">
        <v>180</v>
      </c>
      <c r="T2001" t="s">
        <v>802</v>
      </c>
    </row>
    <row r="2002" spans="2:21" x14ac:dyDescent="0.25">
      <c r="B2002">
        <v>266441527</v>
      </c>
      <c r="C2002" t="s">
        <v>23378</v>
      </c>
      <c r="E2002">
        <v>182</v>
      </c>
      <c r="F2002">
        <v>123</v>
      </c>
      <c r="G2002">
        <v>180</v>
      </c>
      <c r="U2002" t="s">
        <v>23379</v>
      </c>
    </row>
    <row r="2003" spans="2:21" x14ac:dyDescent="0.25">
      <c r="B2003">
        <v>266441531</v>
      </c>
      <c r="C2003" t="s">
        <v>23380</v>
      </c>
      <c r="E2003">
        <v>182</v>
      </c>
      <c r="F2003">
        <v>123</v>
      </c>
      <c r="G2003">
        <v>180</v>
      </c>
      <c r="U2003" t="s">
        <v>23381</v>
      </c>
    </row>
    <row r="2004" spans="2:21" x14ac:dyDescent="0.25">
      <c r="B2004">
        <v>266441535</v>
      </c>
      <c r="C2004" t="s">
        <v>23382</v>
      </c>
      <c r="E2004">
        <v>182</v>
      </c>
      <c r="F2004">
        <v>123</v>
      </c>
      <c r="G2004">
        <v>180</v>
      </c>
      <c r="U2004" t="s">
        <v>23383</v>
      </c>
    </row>
    <row r="2005" spans="2:21" x14ac:dyDescent="0.25">
      <c r="B2005">
        <v>266441539</v>
      </c>
      <c r="C2005" t="s">
        <v>23384</v>
      </c>
      <c r="E2005">
        <v>182</v>
      </c>
      <c r="F2005">
        <v>123</v>
      </c>
      <c r="G2005">
        <v>180</v>
      </c>
      <c r="U2005" t="s">
        <v>23385</v>
      </c>
    </row>
    <row r="2006" spans="2:21" x14ac:dyDescent="0.25">
      <c r="B2006">
        <v>10445</v>
      </c>
      <c r="C2006" t="s">
        <v>15672</v>
      </c>
      <c r="E2006">
        <v>182</v>
      </c>
      <c r="F2006">
        <v>123</v>
      </c>
      <c r="G2006">
        <v>180</v>
      </c>
      <c r="T2006" t="s">
        <v>961</v>
      </c>
    </row>
    <row r="2007" spans="2:21" x14ac:dyDescent="0.25">
      <c r="B2007">
        <v>10446</v>
      </c>
      <c r="C2007" t="s">
        <v>16430</v>
      </c>
      <c r="E2007">
        <v>182</v>
      </c>
      <c r="F2007">
        <v>123</v>
      </c>
      <c r="G2007">
        <v>180</v>
      </c>
      <c r="T2007" t="s">
        <v>3570</v>
      </c>
    </row>
    <row r="2008" spans="2:21" x14ac:dyDescent="0.25">
      <c r="B2008">
        <v>13331</v>
      </c>
      <c r="C2008" t="s">
        <v>23386</v>
      </c>
      <c r="E2008">
        <v>182</v>
      </c>
      <c r="F2008">
        <v>123</v>
      </c>
      <c r="G2008">
        <v>180</v>
      </c>
      <c r="T2008" t="s">
        <v>932</v>
      </c>
    </row>
    <row r="2009" spans="2:21" x14ac:dyDescent="0.25">
      <c r="B2009">
        <v>10448</v>
      </c>
      <c r="C2009" t="s">
        <v>23387</v>
      </c>
      <c r="E2009">
        <v>182</v>
      </c>
      <c r="F2009">
        <v>123</v>
      </c>
      <c r="G2009">
        <v>180</v>
      </c>
      <c r="S2009" t="s">
        <v>879</v>
      </c>
    </row>
    <row r="2010" spans="2:21" x14ac:dyDescent="0.25">
      <c r="B2010">
        <v>10449</v>
      </c>
      <c r="C2010" t="s">
        <v>16405</v>
      </c>
      <c r="E2010">
        <v>182</v>
      </c>
      <c r="F2010">
        <v>123</v>
      </c>
      <c r="G2010">
        <v>180</v>
      </c>
      <c r="T2010" t="s">
        <v>1013</v>
      </c>
    </row>
    <row r="2011" spans="2:21" x14ac:dyDescent="0.25">
      <c r="B2011">
        <v>13050</v>
      </c>
      <c r="C2011" t="s">
        <v>23388</v>
      </c>
      <c r="E2011">
        <v>182</v>
      </c>
      <c r="F2011">
        <v>123</v>
      </c>
      <c r="G2011">
        <v>180</v>
      </c>
      <c r="U2011" t="s">
        <v>23389</v>
      </c>
    </row>
    <row r="2012" spans="2:21" x14ac:dyDescent="0.25">
      <c r="B2012">
        <v>13051</v>
      </c>
      <c r="C2012" t="s">
        <v>23390</v>
      </c>
      <c r="E2012">
        <v>191</v>
      </c>
      <c r="F2012">
        <v>137</v>
      </c>
      <c r="G2012">
        <v>188</v>
      </c>
      <c r="U2012" t="s">
        <v>23391</v>
      </c>
    </row>
    <row r="2013" spans="2:21" x14ac:dyDescent="0.25">
      <c r="B2013">
        <v>10450</v>
      </c>
      <c r="C2013" t="s">
        <v>23392</v>
      </c>
      <c r="E2013">
        <v>176</v>
      </c>
      <c r="F2013">
        <v>103</v>
      </c>
      <c r="G2013">
        <v>169</v>
      </c>
      <c r="T2013" t="s">
        <v>3582</v>
      </c>
    </row>
    <row r="2014" spans="2:21" x14ac:dyDescent="0.25">
      <c r="B2014">
        <v>13052</v>
      </c>
      <c r="C2014" t="s">
        <v>23393</v>
      </c>
      <c r="E2014">
        <v>176</v>
      </c>
      <c r="F2014">
        <v>103</v>
      </c>
      <c r="G2014">
        <v>169</v>
      </c>
      <c r="U2014" t="s">
        <v>23394</v>
      </c>
    </row>
    <row r="2015" spans="2:21" x14ac:dyDescent="0.25">
      <c r="B2015">
        <v>13053</v>
      </c>
      <c r="C2015" t="s">
        <v>23395</v>
      </c>
      <c r="E2015">
        <v>182</v>
      </c>
      <c r="F2015">
        <v>123</v>
      </c>
      <c r="G2015">
        <v>180</v>
      </c>
      <c r="U2015" t="s">
        <v>23396</v>
      </c>
    </row>
    <row r="2016" spans="2:21" x14ac:dyDescent="0.25">
      <c r="B2016">
        <v>13054</v>
      </c>
      <c r="C2016" t="s">
        <v>23397</v>
      </c>
      <c r="E2016">
        <v>191</v>
      </c>
      <c r="F2016">
        <v>137</v>
      </c>
      <c r="G2016">
        <v>188</v>
      </c>
      <c r="T2016" t="s">
        <v>3279</v>
      </c>
    </row>
    <row r="2017" spans="2:20" x14ac:dyDescent="0.25">
      <c r="B2017">
        <v>15534</v>
      </c>
      <c r="C2017" t="s">
        <v>23398</v>
      </c>
      <c r="E2017">
        <v>176</v>
      </c>
      <c r="F2017">
        <v>103</v>
      </c>
      <c r="G2017">
        <v>169</v>
      </c>
      <c r="T2017" t="s">
        <v>23399</v>
      </c>
    </row>
    <row r="2018" spans="2:20" x14ac:dyDescent="0.25">
      <c r="B2018">
        <v>13047</v>
      </c>
      <c r="C2018" t="s">
        <v>23400</v>
      </c>
      <c r="E2018">
        <v>182</v>
      </c>
      <c r="F2018">
        <v>123</v>
      </c>
      <c r="G2018">
        <v>180</v>
      </c>
      <c r="S2018" t="s">
        <v>23401</v>
      </c>
    </row>
    <row r="2019" spans="2:20" x14ac:dyDescent="0.25">
      <c r="B2019">
        <v>13045</v>
      </c>
      <c r="C2019" t="s">
        <v>23402</v>
      </c>
      <c r="E2019">
        <v>165</v>
      </c>
      <c r="F2019">
        <v>84</v>
      </c>
      <c r="G2019">
        <v>160</v>
      </c>
      <c r="R2019" t="s">
        <v>23403</v>
      </c>
    </row>
    <row r="2020" spans="2:20" x14ac:dyDescent="0.25">
      <c r="B2020">
        <v>10447</v>
      </c>
      <c r="C2020" t="s">
        <v>16410</v>
      </c>
      <c r="E2020">
        <v>182</v>
      </c>
      <c r="F2020">
        <v>123</v>
      </c>
      <c r="G2020">
        <v>180</v>
      </c>
      <c r="S2020" t="s">
        <v>4759</v>
      </c>
    </row>
    <row r="2021" spans="2:20" x14ac:dyDescent="0.25">
      <c r="B2021">
        <v>13046</v>
      </c>
      <c r="C2021" t="s">
        <v>23404</v>
      </c>
      <c r="E2021">
        <v>176</v>
      </c>
      <c r="F2021">
        <v>103</v>
      </c>
      <c r="G2021">
        <v>169</v>
      </c>
      <c r="S2021" t="s">
        <v>23405</v>
      </c>
    </row>
    <row r="2022" spans="2:20" x14ac:dyDescent="0.25">
      <c r="B2022">
        <v>13048</v>
      </c>
      <c r="C2022" t="s">
        <v>16406</v>
      </c>
      <c r="E2022">
        <v>176</v>
      </c>
      <c r="F2022">
        <v>103</v>
      </c>
      <c r="G2022">
        <v>169</v>
      </c>
      <c r="S2022" t="s">
        <v>23406</v>
      </c>
    </row>
    <row r="2023" spans="2:20" x14ac:dyDescent="0.25">
      <c r="B2023">
        <v>13049</v>
      </c>
      <c r="C2023" t="s">
        <v>16403</v>
      </c>
      <c r="E2023">
        <v>176</v>
      </c>
      <c r="F2023">
        <v>103</v>
      </c>
      <c r="G2023">
        <v>169</v>
      </c>
      <c r="S2023" t="s">
        <v>23407</v>
      </c>
    </row>
    <row r="2024" spans="2:20" x14ac:dyDescent="0.25">
      <c r="B2024">
        <v>10451</v>
      </c>
      <c r="C2024" t="s">
        <v>23408</v>
      </c>
      <c r="E2024">
        <v>204</v>
      </c>
      <c r="F2024">
        <v>159</v>
      </c>
      <c r="G2024">
        <v>201</v>
      </c>
      <c r="Q2024" t="s">
        <v>1776</v>
      </c>
    </row>
    <row r="2025" spans="2:20" x14ac:dyDescent="0.25">
      <c r="B2025">
        <v>10452</v>
      </c>
      <c r="C2025" t="s">
        <v>23409</v>
      </c>
      <c r="E2025">
        <v>182</v>
      </c>
      <c r="F2025">
        <v>123</v>
      </c>
      <c r="G2025">
        <v>180</v>
      </c>
      <c r="R2025" t="s">
        <v>2144</v>
      </c>
    </row>
    <row r="2026" spans="2:20" x14ac:dyDescent="0.25">
      <c r="B2026">
        <v>10453</v>
      </c>
      <c r="C2026" t="s">
        <v>23410</v>
      </c>
      <c r="E2026">
        <v>182</v>
      </c>
      <c r="F2026">
        <v>123</v>
      </c>
      <c r="G2026">
        <v>180</v>
      </c>
      <c r="S2026" t="s">
        <v>2599</v>
      </c>
    </row>
    <row r="2027" spans="2:20" x14ac:dyDescent="0.25">
      <c r="B2027">
        <v>10454</v>
      </c>
      <c r="C2027" t="s">
        <v>23411</v>
      </c>
      <c r="E2027">
        <v>176</v>
      </c>
      <c r="F2027">
        <v>103</v>
      </c>
      <c r="G2027">
        <v>169</v>
      </c>
      <c r="T2027" t="s">
        <v>23412</v>
      </c>
    </row>
    <row r="2028" spans="2:20" x14ac:dyDescent="0.25">
      <c r="B2028">
        <v>10455</v>
      </c>
      <c r="C2028" t="s">
        <v>23413</v>
      </c>
      <c r="E2028">
        <v>182</v>
      </c>
      <c r="F2028">
        <v>123</v>
      </c>
      <c r="G2028">
        <v>180</v>
      </c>
      <c r="T2028" t="s">
        <v>23414</v>
      </c>
    </row>
    <row r="2029" spans="2:20" x14ac:dyDescent="0.25">
      <c r="B2029">
        <v>10456</v>
      </c>
      <c r="C2029" t="s">
        <v>23415</v>
      </c>
      <c r="E2029">
        <v>158</v>
      </c>
      <c r="F2029">
        <v>76</v>
      </c>
      <c r="G2029">
        <v>148</v>
      </c>
      <c r="S2029" t="s">
        <v>668</v>
      </c>
    </row>
    <row r="2030" spans="2:20" x14ac:dyDescent="0.25">
      <c r="B2030">
        <v>10457</v>
      </c>
      <c r="C2030" t="s">
        <v>23416</v>
      </c>
      <c r="E2030">
        <v>176</v>
      </c>
      <c r="F2030">
        <v>103</v>
      </c>
      <c r="G2030">
        <v>169</v>
      </c>
      <c r="R2030" t="s">
        <v>3638</v>
      </c>
    </row>
    <row r="2031" spans="2:20" x14ac:dyDescent="0.25">
      <c r="B2031">
        <v>10458</v>
      </c>
      <c r="C2031" t="s">
        <v>23417</v>
      </c>
      <c r="E2031">
        <v>176</v>
      </c>
      <c r="F2031">
        <v>103</v>
      </c>
      <c r="G2031">
        <v>169</v>
      </c>
      <c r="S2031" t="s">
        <v>23418</v>
      </c>
    </row>
    <row r="2032" spans="2:20" x14ac:dyDescent="0.25">
      <c r="B2032">
        <v>10459</v>
      </c>
      <c r="C2032" t="s">
        <v>23419</v>
      </c>
      <c r="E2032">
        <v>176</v>
      </c>
      <c r="F2032">
        <v>103</v>
      </c>
      <c r="G2032">
        <v>169</v>
      </c>
      <c r="S2032" t="s">
        <v>23420</v>
      </c>
    </row>
    <row r="2033" spans="2:19" x14ac:dyDescent="0.25">
      <c r="B2033">
        <v>10460</v>
      </c>
      <c r="C2033" t="s">
        <v>23421</v>
      </c>
      <c r="E2033">
        <v>119</v>
      </c>
      <c r="F2033">
        <v>54</v>
      </c>
      <c r="G2033">
        <v>113</v>
      </c>
      <c r="R2033" t="s">
        <v>3825</v>
      </c>
    </row>
    <row r="2034" spans="2:19" x14ac:dyDescent="0.25">
      <c r="B2034">
        <v>10461</v>
      </c>
      <c r="C2034" t="s">
        <v>23422</v>
      </c>
      <c r="E2034">
        <v>191</v>
      </c>
      <c r="F2034">
        <v>137</v>
      </c>
      <c r="G2034">
        <v>188</v>
      </c>
      <c r="Q2034" t="s">
        <v>15093</v>
      </c>
    </row>
    <row r="2035" spans="2:19" x14ac:dyDescent="0.25">
      <c r="B2035">
        <v>10462</v>
      </c>
      <c r="C2035" t="s">
        <v>20158</v>
      </c>
      <c r="E2035">
        <v>182</v>
      </c>
      <c r="F2035">
        <v>123</v>
      </c>
      <c r="G2035">
        <v>180</v>
      </c>
      <c r="R2035" t="s">
        <v>23423</v>
      </c>
    </row>
    <row r="2036" spans="2:19" x14ac:dyDescent="0.25">
      <c r="B2036">
        <v>10463</v>
      </c>
      <c r="C2036" t="s">
        <v>20155</v>
      </c>
      <c r="E2036">
        <v>176</v>
      </c>
      <c r="F2036">
        <v>103</v>
      </c>
      <c r="G2036">
        <v>169</v>
      </c>
      <c r="R2036" t="s">
        <v>827</v>
      </c>
    </row>
    <row r="2037" spans="2:19" x14ac:dyDescent="0.25">
      <c r="B2037">
        <v>13055</v>
      </c>
      <c r="C2037" t="s">
        <v>23424</v>
      </c>
      <c r="E2037">
        <v>176</v>
      </c>
      <c r="F2037">
        <v>103</v>
      </c>
      <c r="G2037">
        <v>169</v>
      </c>
      <c r="S2037" t="s">
        <v>23425</v>
      </c>
    </row>
    <row r="2038" spans="2:19" x14ac:dyDescent="0.25">
      <c r="B2038">
        <v>13056</v>
      </c>
      <c r="C2038" t="s">
        <v>23426</v>
      </c>
      <c r="E2038">
        <v>165</v>
      </c>
      <c r="F2038">
        <v>84</v>
      </c>
      <c r="G2038">
        <v>160</v>
      </c>
      <c r="S2038" t="s">
        <v>23427</v>
      </c>
    </row>
    <row r="2039" spans="2:19" x14ac:dyDescent="0.25">
      <c r="B2039">
        <v>13057</v>
      </c>
      <c r="C2039" t="s">
        <v>23428</v>
      </c>
      <c r="E2039">
        <v>182</v>
      </c>
      <c r="F2039">
        <v>123</v>
      </c>
      <c r="G2039">
        <v>180</v>
      </c>
      <c r="R2039" t="s">
        <v>1758</v>
      </c>
    </row>
    <row r="2040" spans="2:19" x14ac:dyDescent="0.25">
      <c r="B2040">
        <v>13058</v>
      </c>
      <c r="C2040" t="s">
        <v>16140</v>
      </c>
      <c r="E2040">
        <v>191</v>
      </c>
      <c r="F2040">
        <v>137</v>
      </c>
      <c r="G2040">
        <v>188</v>
      </c>
      <c r="R2040" t="s">
        <v>23429</v>
      </c>
    </row>
    <row r="2041" spans="2:19" x14ac:dyDescent="0.25">
      <c r="B2041">
        <v>10464</v>
      </c>
      <c r="C2041" t="s">
        <v>23430</v>
      </c>
      <c r="E2041">
        <v>165</v>
      </c>
      <c r="F2041">
        <v>84</v>
      </c>
      <c r="G2041">
        <v>160</v>
      </c>
      <c r="Q2041" t="s">
        <v>14938</v>
      </c>
    </row>
    <row r="2042" spans="2:19" x14ac:dyDescent="0.25">
      <c r="B2042">
        <v>13059</v>
      </c>
      <c r="C2042" t="s">
        <v>23431</v>
      </c>
      <c r="E2042">
        <v>176</v>
      </c>
      <c r="F2042">
        <v>103</v>
      </c>
      <c r="G2042">
        <v>169</v>
      </c>
      <c r="R2042" t="s">
        <v>23432</v>
      </c>
    </row>
    <row r="2043" spans="2:19" x14ac:dyDescent="0.25">
      <c r="B2043">
        <v>13060</v>
      </c>
      <c r="C2043" t="s">
        <v>23433</v>
      </c>
      <c r="E2043">
        <v>191</v>
      </c>
      <c r="F2043">
        <v>137</v>
      </c>
      <c r="G2043">
        <v>188</v>
      </c>
      <c r="R2043" t="s">
        <v>23434</v>
      </c>
    </row>
    <row r="2044" spans="2:19" x14ac:dyDescent="0.25">
      <c r="B2044">
        <v>10465</v>
      </c>
      <c r="C2044" t="s">
        <v>23435</v>
      </c>
      <c r="E2044">
        <v>221</v>
      </c>
      <c r="F2044">
        <v>210</v>
      </c>
      <c r="G2044">
        <v>230</v>
      </c>
      <c r="P2044" t="s">
        <v>23436</v>
      </c>
    </row>
    <row r="2045" spans="2:19" x14ac:dyDescent="0.25">
      <c r="B2045">
        <v>10466</v>
      </c>
      <c r="C2045" t="s">
        <v>23437</v>
      </c>
      <c r="E2045">
        <v>183</v>
      </c>
      <c r="F2045">
        <v>153</v>
      </c>
      <c r="G2045">
        <v>196</v>
      </c>
      <c r="Q2045" t="s">
        <v>788</v>
      </c>
    </row>
    <row r="2046" spans="2:19" x14ac:dyDescent="0.25">
      <c r="B2046">
        <v>13332</v>
      </c>
      <c r="C2046" t="s">
        <v>23438</v>
      </c>
      <c r="E2046">
        <v>167</v>
      </c>
      <c r="F2046">
        <v>141</v>
      </c>
      <c r="G2046">
        <v>180</v>
      </c>
      <c r="R2046" t="s">
        <v>23439</v>
      </c>
    </row>
    <row r="2047" spans="2:19" x14ac:dyDescent="0.25">
      <c r="B2047">
        <v>13333</v>
      </c>
      <c r="C2047" t="s">
        <v>23440</v>
      </c>
      <c r="E2047">
        <v>152</v>
      </c>
      <c r="F2047">
        <v>129</v>
      </c>
      <c r="G2047">
        <v>165</v>
      </c>
      <c r="R2047" t="s">
        <v>23441</v>
      </c>
    </row>
    <row r="2048" spans="2:19" x14ac:dyDescent="0.25">
      <c r="B2048">
        <v>13334</v>
      </c>
      <c r="C2048" t="s">
        <v>23442</v>
      </c>
      <c r="E2048">
        <v>138</v>
      </c>
      <c r="F2048">
        <v>117</v>
      </c>
      <c r="G2048">
        <v>149</v>
      </c>
      <c r="R2048" t="s">
        <v>23443</v>
      </c>
    </row>
    <row r="2049" spans="2:19" x14ac:dyDescent="0.25">
      <c r="B2049">
        <v>10467</v>
      </c>
      <c r="C2049" t="s">
        <v>23444</v>
      </c>
      <c r="E2049">
        <v>228</v>
      </c>
      <c r="F2049">
        <v>201</v>
      </c>
      <c r="G2049">
        <v>217</v>
      </c>
      <c r="P2049" t="s">
        <v>2338</v>
      </c>
    </row>
    <row r="2050" spans="2:19" x14ac:dyDescent="0.25">
      <c r="B2050">
        <v>10468</v>
      </c>
      <c r="C2050" t="s">
        <v>23445</v>
      </c>
      <c r="E2050">
        <v>219</v>
      </c>
      <c r="F2050">
        <v>171</v>
      </c>
      <c r="G2050">
        <v>200</v>
      </c>
      <c r="Q2050" t="s">
        <v>23446</v>
      </c>
    </row>
    <row r="2051" spans="2:19" x14ac:dyDescent="0.25">
      <c r="B2051">
        <v>10469</v>
      </c>
      <c r="C2051" t="s">
        <v>23447</v>
      </c>
      <c r="E2051">
        <v>219</v>
      </c>
      <c r="F2051">
        <v>171</v>
      </c>
      <c r="G2051">
        <v>200</v>
      </c>
      <c r="R2051" t="s">
        <v>23448</v>
      </c>
    </row>
    <row r="2052" spans="2:19" x14ac:dyDescent="0.25">
      <c r="B2052">
        <v>266441543</v>
      </c>
      <c r="C2052" t="s">
        <v>23449</v>
      </c>
      <c r="E2052">
        <v>193</v>
      </c>
      <c r="F2052">
        <v>120</v>
      </c>
      <c r="G2052">
        <v>162</v>
      </c>
      <c r="S2052" t="s">
        <v>23450</v>
      </c>
    </row>
    <row r="2053" spans="2:19" x14ac:dyDescent="0.25">
      <c r="B2053">
        <v>13061</v>
      </c>
      <c r="C2053" t="s">
        <v>15242</v>
      </c>
      <c r="E2053">
        <v>207</v>
      </c>
      <c r="F2053">
        <v>151</v>
      </c>
      <c r="G2053">
        <v>185</v>
      </c>
      <c r="S2053" t="s">
        <v>483</v>
      </c>
    </row>
    <row r="2054" spans="2:19" x14ac:dyDescent="0.25">
      <c r="B2054">
        <v>13062</v>
      </c>
      <c r="C2054" t="s">
        <v>23451</v>
      </c>
      <c r="E2054">
        <v>196</v>
      </c>
      <c r="F2054">
        <v>132</v>
      </c>
      <c r="G2054">
        <v>169</v>
      </c>
      <c r="S2054" t="s">
        <v>23452</v>
      </c>
    </row>
    <row r="2055" spans="2:19" x14ac:dyDescent="0.25">
      <c r="B2055">
        <v>266441547</v>
      </c>
      <c r="C2055" t="s">
        <v>23453</v>
      </c>
      <c r="E2055">
        <v>223</v>
      </c>
      <c r="F2055">
        <v>182</v>
      </c>
      <c r="G2055">
        <v>206</v>
      </c>
      <c r="R2055" t="s">
        <v>3008</v>
      </c>
    </row>
    <row r="2056" spans="2:19" x14ac:dyDescent="0.25">
      <c r="B2056">
        <v>10470</v>
      </c>
      <c r="C2056" t="s">
        <v>20107</v>
      </c>
      <c r="E2056">
        <v>207</v>
      </c>
      <c r="F2056">
        <v>151</v>
      </c>
      <c r="G2056">
        <v>185</v>
      </c>
      <c r="R2056" t="s">
        <v>650</v>
      </c>
    </row>
    <row r="2057" spans="2:19" x14ac:dyDescent="0.25">
      <c r="B2057">
        <v>10471</v>
      </c>
      <c r="C2057" t="s">
        <v>23454</v>
      </c>
      <c r="E2057">
        <v>219</v>
      </c>
      <c r="F2057">
        <v>171</v>
      </c>
      <c r="G2057">
        <v>200</v>
      </c>
      <c r="R2057" t="s">
        <v>767</v>
      </c>
    </row>
    <row r="2058" spans="2:19" x14ac:dyDescent="0.25">
      <c r="B2058">
        <v>10472</v>
      </c>
      <c r="C2058" t="s">
        <v>23455</v>
      </c>
      <c r="E2058">
        <v>181</v>
      </c>
      <c r="F2058">
        <v>113</v>
      </c>
      <c r="G2058">
        <v>151</v>
      </c>
      <c r="R2058" t="s">
        <v>23456</v>
      </c>
    </row>
    <row r="2059" spans="2:19" x14ac:dyDescent="0.25">
      <c r="B2059">
        <v>13063</v>
      </c>
      <c r="C2059" t="s">
        <v>23457</v>
      </c>
      <c r="E2059">
        <v>193</v>
      </c>
      <c r="F2059">
        <v>120</v>
      </c>
      <c r="G2059">
        <v>162</v>
      </c>
      <c r="R2059" t="s">
        <v>786</v>
      </c>
    </row>
    <row r="2060" spans="2:19" x14ac:dyDescent="0.25">
      <c r="B2060">
        <v>10473</v>
      </c>
      <c r="C2060" t="s">
        <v>23458</v>
      </c>
      <c r="E2060">
        <v>207</v>
      </c>
      <c r="F2060">
        <v>151</v>
      </c>
      <c r="G2060">
        <v>185</v>
      </c>
      <c r="Q2060" t="s">
        <v>23459</v>
      </c>
    </row>
    <row r="2061" spans="2:19" x14ac:dyDescent="0.25">
      <c r="B2061">
        <v>10474</v>
      </c>
      <c r="C2061" t="s">
        <v>23460</v>
      </c>
      <c r="E2061">
        <v>219</v>
      </c>
      <c r="F2061">
        <v>171</v>
      </c>
      <c r="G2061">
        <v>200</v>
      </c>
      <c r="R2061" t="s">
        <v>23461</v>
      </c>
    </row>
    <row r="2062" spans="2:19" x14ac:dyDescent="0.25">
      <c r="B2062">
        <v>10475</v>
      </c>
      <c r="C2062" t="s">
        <v>20074</v>
      </c>
      <c r="E2062">
        <v>207</v>
      </c>
      <c r="F2062">
        <v>151</v>
      </c>
      <c r="G2062">
        <v>185</v>
      </c>
      <c r="R2062" t="s">
        <v>363</v>
      </c>
    </row>
    <row r="2063" spans="2:19" x14ac:dyDescent="0.25">
      <c r="B2063">
        <v>266441551</v>
      </c>
      <c r="C2063" t="s">
        <v>23462</v>
      </c>
      <c r="E2063">
        <v>207</v>
      </c>
      <c r="F2063">
        <v>151</v>
      </c>
      <c r="G2063">
        <v>185</v>
      </c>
      <c r="R2063" t="s">
        <v>341</v>
      </c>
    </row>
    <row r="2064" spans="2:19" x14ac:dyDescent="0.25">
      <c r="B2064">
        <v>10476</v>
      </c>
      <c r="C2064" t="s">
        <v>23463</v>
      </c>
      <c r="E2064">
        <v>166</v>
      </c>
      <c r="F2064">
        <v>107</v>
      </c>
      <c r="G2064">
        <v>142</v>
      </c>
      <c r="R2064" t="s">
        <v>3633</v>
      </c>
    </row>
    <row r="2065" spans="2:19" x14ac:dyDescent="0.25">
      <c r="B2065">
        <v>10477</v>
      </c>
      <c r="C2065" t="s">
        <v>23464</v>
      </c>
      <c r="E2065">
        <v>193</v>
      </c>
      <c r="F2065">
        <v>120</v>
      </c>
      <c r="G2065">
        <v>162</v>
      </c>
      <c r="S2065" t="s">
        <v>3643</v>
      </c>
    </row>
    <row r="2066" spans="2:19" x14ac:dyDescent="0.25">
      <c r="B2066">
        <v>10478</v>
      </c>
      <c r="C2066" t="s">
        <v>23465</v>
      </c>
      <c r="E2066">
        <v>145</v>
      </c>
      <c r="F2066">
        <v>94</v>
      </c>
      <c r="G2066">
        <v>126</v>
      </c>
      <c r="S2066" t="s">
        <v>3670</v>
      </c>
    </row>
    <row r="2067" spans="2:19" x14ac:dyDescent="0.25">
      <c r="B2067">
        <v>10479</v>
      </c>
      <c r="C2067" t="s">
        <v>23466</v>
      </c>
      <c r="E2067">
        <v>166</v>
      </c>
      <c r="F2067">
        <v>107</v>
      </c>
      <c r="G2067">
        <v>142</v>
      </c>
      <c r="S2067" t="s">
        <v>3698</v>
      </c>
    </row>
    <row r="2068" spans="2:19" x14ac:dyDescent="0.25">
      <c r="B2068">
        <v>13064</v>
      </c>
      <c r="C2068" t="s">
        <v>20063</v>
      </c>
      <c r="E2068">
        <v>196</v>
      </c>
      <c r="F2068">
        <v>132</v>
      </c>
      <c r="G2068">
        <v>169</v>
      </c>
      <c r="S2068" t="s">
        <v>23467</v>
      </c>
    </row>
    <row r="2069" spans="2:19" x14ac:dyDescent="0.25">
      <c r="B2069">
        <v>15535</v>
      </c>
      <c r="C2069" t="s">
        <v>23468</v>
      </c>
      <c r="E2069">
        <v>219</v>
      </c>
      <c r="F2069">
        <v>171</v>
      </c>
      <c r="G2069">
        <v>200</v>
      </c>
      <c r="R2069" t="s">
        <v>23469</v>
      </c>
    </row>
    <row r="2070" spans="2:19" x14ac:dyDescent="0.25">
      <c r="B2070">
        <v>10480</v>
      </c>
      <c r="C2070" t="s">
        <v>23470</v>
      </c>
      <c r="E2070">
        <v>207</v>
      </c>
      <c r="F2070">
        <v>151</v>
      </c>
      <c r="G2070">
        <v>185</v>
      </c>
      <c r="R2070" t="s">
        <v>654</v>
      </c>
    </row>
    <row r="2071" spans="2:19" x14ac:dyDescent="0.25">
      <c r="B2071">
        <v>13065</v>
      </c>
      <c r="C2071" t="s">
        <v>23471</v>
      </c>
      <c r="E2071">
        <v>219</v>
      </c>
      <c r="F2071">
        <v>171</v>
      </c>
      <c r="G2071">
        <v>200</v>
      </c>
      <c r="S2071" t="s">
        <v>23472</v>
      </c>
    </row>
    <row r="2072" spans="2:19" x14ac:dyDescent="0.25">
      <c r="B2072">
        <v>13066</v>
      </c>
      <c r="C2072" t="s">
        <v>23473</v>
      </c>
      <c r="E2072">
        <v>207</v>
      </c>
      <c r="F2072">
        <v>151</v>
      </c>
      <c r="G2072">
        <v>185</v>
      </c>
      <c r="S2072" t="s">
        <v>23474</v>
      </c>
    </row>
    <row r="2073" spans="2:19" x14ac:dyDescent="0.25">
      <c r="B2073">
        <v>15536</v>
      </c>
      <c r="C2073" t="s">
        <v>23475</v>
      </c>
      <c r="E2073">
        <v>219</v>
      </c>
      <c r="F2073">
        <v>171</v>
      </c>
      <c r="G2073">
        <v>200</v>
      </c>
      <c r="R2073" t="s">
        <v>23476</v>
      </c>
    </row>
    <row r="2074" spans="2:19" x14ac:dyDescent="0.25">
      <c r="B2074">
        <v>10481</v>
      </c>
      <c r="C2074" t="s">
        <v>15324</v>
      </c>
      <c r="E2074">
        <v>125</v>
      </c>
      <c r="F2074">
        <v>82</v>
      </c>
      <c r="G2074">
        <v>111</v>
      </c>
      <c r="R2074" t="s">
        <v>652</v>
      </c>
    </row>
    <row r="2075" spans="2:19" x14ac:dyDescent="0.25">
      <c r="B2075">
        <v>13067</v>
      </c>
      <c r="C2075" t="s">
        <v>23477</v>
      </c>
      <c r="E2075">
        <v>125</v>
      </c>
      <c r="F2075">
        <v>82</v>
      </c>
      <c r="G2075">
        <v>111</v>
      </c>
      <c r="S2075" t="s">
        <v>23478</v>
      </c>
    </row>
    <row r="2076" spans="2:19" x14ac:dyDescent="0.25">
      <c r="B2076">
        <v>13068</v>
      </c>
      <c r="C2076" t="s">
        <v>23479</v>
      </c>
      <c r="E2076">
        <v>134</v>
      </c>
      <c r="F2076">
        <v>89</v>
      </c>
      <c r="G2076">
        <v>119</v>
      </c>
      <c r="S2076" t="s">
        <v>23480</v>
      </c>
    </row>
    <row r="2077" spans="2:19" x14ac:dyDescent="0.25">
      <c r="B2077">
        <v>10482</v>
      </c>
      <c r="C2077" t="s">
        <v>23481</v>
      </c>
      <c r="E2077">
        <v>219</v>
      </c>
      <c r="F2077">
        <v>171</v>
      </c>
      <c r="G2077">
        <v>200</v>
      </c>
      <c r="R2077" t="s">
        <v>23482</v>
      </c>
    </row>
    <row r="2078" spans="2:19" x14ac:dyDescent="0.25">
      <c r="B2078">
        <v>13069</v>
      </c>
      <c r="C2078" t="s">
        <v>23483</v>
      </c>
      <c r="E2078">
        <v>219</v>
      </c>
      <c r="F2078">
        <v>171</v>
      </c>
      <c r="G2078">
        <v>200</v>
      </c>
      <c r="R2078" t="s">
        <v>23484</v>
      </c>
    </row>
    <row r="2079" spans="2:19" x14ac:dyDescent="0.25">
      <c r="B2079">
        <v>266441555</v>
      </c>
      <c r="C2079" t="s">
        <v>23485</v>
      </c>
      <c r="E2079">
        <v>219</v>
      </c>
      <c r="F2079">
        <v>171</v>
      </c>
      <c r="G2079">
        <v>200</v>
      </c>
      <c r="R2079" t="s">
        <v>14738</v>
      </c>
    </row>
    <row r="2080" spans="2:19" x14ac:dyDescent="0.25">
      <c r="B2080">
        <v>10483</v>
      </c>
      <c r="C2080" t="s">
        <v>23486</v>
      </c>
      <c r="E2080">
        <v>219</v>
      </c>
      <c r="F2080">
        <v>171</v>
      </c>
      <c r="G2080">
        <v>200</v>
      </c>
      <c r="Q2080" t="s">
        <v>23487</v>
      </c>
    </row>
    <row r="2081" spans="2:19" x14ac:dyDescent="0.25">
      <c r="B2081">
        <v>10484</v>
      </c>
      <c r="C2081" t="s">
        <v>23488</v>
      </c>
      <c r="E2081">
        <v>221</v>
      </c>
      <c r="F2081">
        <v>181</v>
      </c>
      <c r="G2081">
        <v>206</v>
      </c>
      <c r="R2081" t="s">
        <v>23489</v>
      </c>
    </row>
    <row r="2082" spans="2:19" x14ac:dyDescent="0.25">
      <c r="B2082">
        <v>266441559</v>
      </c>
      <c r="C2082" t="s">
        <v>23490</v>
      </c>
      <c r="E2082">
        <v>207</v>
      </c>
      <c r="F2082">
        <v>151</v>
      </c>
      <c r="G2082">
        <v>185</v>
      </c>
      <c r="R2082" t="s">
        <v>23491</v>
      </c>
    </row>
    <row r="2083" spans="2:19" x14ac:dyDescent="0.25">
      <c r="B2083">
        <v>13335</v>
      </c>
      <c r="C2083" t="s">
        <v>23492</v>
      </c>
      <c r="E2083">
        <v>196</v>
      </c>
      <c r="F2083">
        <v>132</v>
      </c>
      <c r="G2083">
        <v>169</v>
      </c>
      <c r="R2083" t="s">
        <v>1531</v>
      </c>
    </row>
    <row r="2084" spans="2:19" x14ac:dyDescent="0.25">
      <c r="B2084">
        <v>10485</v>
      </c>
      <c r="C2084" t="s">
        <v>20043</v>
      </c>
      <c r="E2084">
        <v>207</v>
      </c>
      <c r="F2084">
        <v>151</v>
      </c>
      <c r="G2084">
        <v>185</v>
      </c>
      <c r="R2084" t="s">
        <v>1654</v>
      </c>
    </row>
    <row r="2085" spans="2:19" x14ac:dyDescent="0.25">
      <c r="B2085">
        <v>10486</v>
      </c>
      <c r="C2085" t="s">
        <v>23493</v>
      </c>
      <c r="E2085">
        <v>196</v>
      </c>
      <c r="F2085">
        <v>132</v>
      </c>
      <c r="G2085">
        <v>169</v>
      </c>
      <c r="S2085" t="s">
        <v>23494</v>
      </c>
    </row>
    <row r="2086" spans="2:19" x14ac:dyDescent="0.25">
      <c r="B2086">
        <v>10487</v>
      </c>
      <c r="C2086" t="s">
        <v>23495</v>
      </c>
      <c r="E2086">
        <v>207</v>
      </c>
      <c r="F2086">
        <v>151</v>
      </c>
      <c r="G2086">
        <v>185</v>
      </c>
      <c r="S2086" t="s">
        <v>23496</v>
      </c>
    </row>
    <row r="2087" spans="2:19" x14ac:dyDescent="0.25">
      <c r="B2087">
        <v>10488</v>
      </c>
      <c r="C2087" t="s">
        <v>15403</v>
      </c>
      <c r="E2087">
        <v>193</v>
      </c>
      <c r="F2087">
        <v>120</v>
      </c>
      <c r="G2087">
        <v>162</v>
      </c>
      <c r="R2087" t="s">
        <v>656</v>
      </c>
    </row>
    <row r="2088" spans="2:19" x14ac:dyDescent="0.25">
      <c r="B2088">
        <v>10489</v>
      </c>
      <c r="C2088" t="s">
        <v>23497</v>
      </c>
      <c r="E2088">
        <v>193</v>
      </c>
      <c r="F2088">
        <v>120</v>
      </c>
      <c r="G2088">
        <v>162</v>
      </c>
      <c r="S2088" t="s">
        <v>23498</v>
      </c>
    </row>
    <row r="2089" spans="2:19" x14ac:dyDescent="0.25">
      <c r="B2089">
        <v>10490</v>
      </c>
      <c r="C2089" t="s">
        <v>23499</v>
      </c>
      <c r="E2089">
        <v>166</v>
      </c>
      <c r="F2089">
        <v>107</v>
      </c>
      <c r="G2089">
        <v>142</v>
      </c>
      <c r="S2089" t="s">
        <v>23500</v>
      </c>
    </row>
    <row r="2090" spans="2:19" x14ac:dyDescent="0.25">
      <c r="B2090">
        <v>10491</v>
      </c>
      <c r="C2090" t="s">
        <v>20132</v>
      </c>
      <c r="E2090">
        <v>181</v>
      </c>
      <c r="F2090">
        <v>113</v>
      </c>
      <c r="G2090">
        <v>151</v>
      </c>
      <c r="S2090" t="s">
        <v>23501</v>
      </c>
    </row>
    <row r="2091" spans="2:19" x14ac:dyDescent="0.25">
      <c r="B2091">
        <v>15537</v>
      </c>
      <c r="C2091" t="s">
        <v>17747</v>
      </c>
      <c r="E2091">
        <v>196</v>
      </c>
      <c r="F2091">
        <v>132</v>
      </c>
      <c r="G2091">
        <v>169</v>
      </c>
      <c r="R2091" t="s">
        <v>23502</v>
      </c>
    </row>
    <row r="2092" spans="2:19" x14ac:dyDescent="0.25">
      <c r="B2092">
        <v>10492</v>
      </c>
      <c r="C2092" t="s">
        <v>23503</v>
      </c>
      <c r="E2092">
        <v>196</v>
      </c>
      <c r="F2092">
        <v>132</v>
      </c>
      <c r="G2092">
        <v>169</v>
      </c>
      <c r="R2092" t="s">
        <v>499</v>
      </c>
    </row>
    <row r="2093" spans="2:19" x14ac:dyDescent="0.25">
      <c r="B2093">
        <v>10493</v>
      </c>
      <c r="C2093" t="s">
        <v>20260</v>
      </c>
      <c r="E2093">
        <v>145</v>
      </c>
      <c r="F2093">
        <v>94</v>
      </c>
      <c r="G2093">
        <v>126</v>
      </c>
      <c r="R2093" t="s">
        <v>2741</v>
      </c>
    </row>
    <row r="2094" spans="2:19" x14ac:dyDescent="0.25">
      <c r="B2094">
        <v>10494</v>
      </c>
      <c r="C2094" t="s">
        <v>23504</v>
      </c>
      <c r="E2094">
        <v>219</v>
      </c>
      <c r="F2094">
        <v>171</v>
      </c>
      <c r="G2094">
        <v>200</v>
      </c>
      <c r="R2094" t="s">
        <v>23505</v>
      </c>
    </row>
    <row r="2095" spans="2:19" x14ac:dyDescent="0.25">
      <c r="B2095">
        <v>13070</v>
      </c>
      <c r="C2095" t="s">
        <v>23506</v>
      </c>
      <c r="E2095">
        <v>193</v>
      </c>
      <c r="F2095">
        <v>120</v>
      </c>
      <c r="G2095">
        <v>162</v>
      </c>
      <c r="S2095" t="s">
        <v>23507</v>
      </c>
    </row>
    <row r="2096" spans="2:19" x14ac:dyDescent="0.25">
      <c r="B2096">
        <v>13337</v>
      </c>
      <c r="C2096" t="s">
        <v>23508</v>
      </c>
      <c r="E2096">
        <v>193</v>
      </c>
      <c r="F2096">
        <v>120</v>
      </c>
      <c r="G2096">
        <v>162</v>
      </c>
      <c r="S2096" t="s">
        <v>23509</v>
      </c>
    </row>
    <row r="2097" spans="2:20" x14ac:dyDescent="0.25">
      <c r="B2097">
        <v>266441563</v>
      </c>
      <c r="C2097" t="s">
        <v>23510</v>
      </c>
      <c r="E2097">
        <v>207</v>
      </c>
      <c r="F2097">
        <v>151</v>
      </c>
      <c r="G2097">
        <v>185</v>
      </c>
      <c r="S2097" t="s">
        <v>23511</v>
      </c>
    </row>
    <row r="2098" spans="2:20" x14ac:dyDescent="0.25">
      <c r="B2098">
        <v>13071</v>
      </c>
      <c r="C2098" t="s">
        <v>23512</v>
      </c>
      <c r="E2098">
        <v>196</v>
      </c>
      <c r="F2098">
        <v>132</v>
      </c>
      <c r="G2098">
        <v>169</v>
      </c>
      <c r="R2098" t="s">
        <v>23513</v>
      </c>
    </row>
    <row r="2099" spans="2:20" x14ac:dyDescent="0.25">
      <c r="B2099">
        <v>13338</v>
      </c>
      <c r="C2099" t="s">
        <v>15429</v>
      </c>
      <c r="E2099">
        <v>135</v>
      </c>
      <c r="F2099">
        <v>40</v>
      </c>
      <c r="G2099">
        <v>26</v>
      </c>
      <c r="R2099" t="s">
        <v>3053</v>
      </c>
    </row>
    <row r="2100" spans="2:20" x14ac:dyDescent="0.25">
      <c r="B2100">
        <v>13339</v>
      </c>
      <c r="C2100" t="s">
        <v>23514</v>
      </c>
      <c r="E2100">
        <v>145</v>
      </c>
      <c r="F2100">
        <v>94</v>
      </c>
      <c r="G2100">
        <v>126</v>
      </c>
      <c r="S2100" t="s">
        <v>23515</v>
      </c>
    </row>
    <row r="2101" spans="2:20" x14ac:dyDescent="0.25">
      <c r="B2101">
        <v>13340</v>
      </c>
      <c r="C2101" t="s">
        <v>23516</v>
      </c>
      <c r="E2101">
        <v>145</v>
      </c>
      <c r="F2101">
        <v>94</v>
      </c>
      <c r="G2101">
        <v>126</v>
      </c>
      <c r="S2101" t="s">
        <v>23517</v>
      </c>
    </row>
    <row r="2102" spans="2:20" x14ac:dyDescent="0.25">
      <c r="B2102">
        <v>10495</v>
      </c>
      <c r="C2102" t="s">
        <v>23518</v>
      </c>
      <c r="E2102">
        <v>196</v>
      </c>
      <c r="F2102">
        <v>132</v>
      </c>
      <c r="G2102">
        <v>169</v>
      </c>
      <c r="Q2102" t="s">
        <v>23519</v>
      </c>
    </row>
    <row r="2103" spans="2:20" x14ac:dyDescent="0.25">
      <c r="B2103">
        <v>10496</v>
      </c>
      <c r="C2103" t="s">
        <v>20101</v>
      </c>
      <c r="E2103">
        <v>181</v>
      </c>
      <c r="F2103">
        <v>113</v>
      </c>
      <c r="G2103">
        <v>151</v>
      </c>
      <c r="R2103" t="s">
        <v>798</v>
      </c>
    </row>
    <row r="2104" spans="2:20" x14ac:dyDescent="0.25">
      <c r="B2104">
        <v>10497</v>
      </c>
      <c r="C2104" t="s">
        <v>20095</v>
      </c>
      <c r="E2104">
        <v>166</v>
      </c>
      <c r="F2104">
        <v>107</v>
      </c>
      <c r="G2104">
        <v>142</v>
      </c>
      <c r="R2104" t="s">
        <v>796</v>
      </c>
    </row>
    <row r="2105" spans="2:20" x14ac:dyDescent="0.25">
      <c r="B2105">
        <v>10498</v>
      </c>
      <c r="C2105" t="s">
        <v>23520</v>
      </c>
      <c r="E2105">
        <v>181</v>
      </c>
      <c r="F2105">
        <v>113</v>
      </c>
      <c r="G2105">
        <v>151</v>
      </c>
      <c r="R2105" t="s">
        <v>23521</v>
      </c>
    </row>
    <row r="2106" spans="2:20" x14ac:dyDescent="0.25">
      <c r="B2106">
        <v>10499</v>
      </c>
      <c r="C2106" t="s">
        <v>15504</v>
      </c>
      <c r="E2106">
        <v>181</v>
      </c>
      <c r="F2106">
        <v>113</v>
      </c>
      <c r="G2106">
        <v>151</v>
      </c>
      <c r="S2106" t="s">
        <v>660</v>
      </c>
    </row>
    <row r="2107" spans="2:20" x14ac:dyDescent="0.25">
      <c r="B2107">
        <v>10500</v>
      </c>
      <c r="C2107" t="s">
        <v>15506</v>
      </c>
      <c r="E2107">
        <v>181</v>
      </c>
      <c r="F2107">
        <v>113</v>
      </c>
      <c r="G2107">
        <v>151</v>
      </c>
      <c r="T2107" t="s">
        <v>2673</v>
      </c>
    </row>
    <row r="2108" spans="2:20" x14ac:dyDescent="0.25">
      <c r="B2108">
        <v>10501</v>
      </c>
      <c r="C2108" t="s">
        <v>15505</v>
      </c>
      <c r="E2108">
        <v>181</v>
      </c>
      <c r="F2108">
        <v>113</v>
      </c>
      <c r="G2108">
        <v>151</v>
      </c>
      <c r="T2108" t="s">
        <v>2986</v>
      </c>
    </row>
    <row r="2109" spans="2:20" x14ac:dyDescent="0.25">
      <c r="B2109">
        <v>11577</v>
      </c>
      <c r="C2109" t="s">
        <v>23522</v>
      </c>
      <c r="E2109">
        <v>181</v>
      </c>
      <c r="F2109">
        <v>113</v>
      </c>
      <c r="G2109">
        <v>151</v>
      </c>
      <c r="T2109" t="s">
        <v>23523</v>
      </c>
    </row>
    <row r="2110" spans="2:20" x14ac:dyDescent="0.25">
      <c r="B2110">
        <v>10502</v>
      </c>
      <c r="C2110" t="s">
        <v>15511</v>
      </c>
      <c r="E2110">
        <v>157</v>
      </c>
      <c r="F2110">
        <v>101</v>
      </c>
      <c r="G2110">
        <v>133</v>
      </c>
      <c r="S2110" t="s">
        <v>662</v>
      </c>
    </row>
    <row r="2111" spans="2:20" x14ac:dyDescent="0.25">
      <c r="B2111">
        <v>10503</v>
      </c>
      <c r="C2111" t="s">
        <v>23524</v>
      </c>
      <c r="E2111">
        <v>196</v>
      </c>
      <c r="F2111">
        <v>132</v>
      </c>
      <c r="G2111">
        <v>169</v>
      </c>
      <c r="R2111" t="s">
        <v>840</v>
      </c>
    </row>
    <row r="2112" spans="2:20" x14ac:dyDescent="0.25">
      <c r="B2112">
        <v>10504</v>
      </c>
      <c r="C2112" t="s">
        <v>23525</v>
      </c>
      <c r="E2112">
        <v>196</v>
      </c>
      <c r="F2112">
        <v>132</v>
      </c>
      <c r="G2112">
        <v>169</v>
      </c>
      <c r="R2112" t="s">
        <v>23526</v>
      </c>
    </row>
    <row r="2113" spans="2:19" x14ac:dyDescent="0.25">
      <c r="B2113">
        <v>11578</v>
      </c>
      <c r="C2113" t="s">
        <v>20147</v>
      </c>
      <c r="E2113">
        <v>166</v>
      </c>
      <c r="F2113">
        <v>107</v>
      </c>
      <c r="G2113">
        <v>142</v>
      </c>
      <c r="S2113" t="s">
        <v>3799</v>
      </c>
    </row>
    <row r="2114" spans="2:19" x14ac:dyDescent="0.25">
      <c r="B2114">
        <v>13072</v>
      </c>
      <c r="C2114" t="s">
        <v>23527</v>
      </c>
      <c r="E2114">
        <v>193</v>
      </c>
      <c r="F2114">
        <v>120</v>
      </c>
      <c r="G2114">
        <v>162</v>
      </c>
      <c r="R2114" t="s">
        <v>23528</v>
      </c>
    </row>
    <row r="2115" spans="2:19" x14ac:dyDescent="0.25">
      <c r="B2115">
        <v>13073</v>
      </c>
      <c r="C2115" t="s">
        <v>23529</v>
      </c>
      <c r="E2115">
        <v>193</v>
      </c>
      <c r="F2115">
        <v>120</v>
      </c>
      <c r="G2115">
        <v>162</v>
      </c>
      <c r="R2115" t="s">
        <v>16185</v>
      </c>
    </row>
    <row r="2116" spans="2:19" x14ac:dyDescent="0.25">
      <c r="B2116">
        <v>10505</v>
      </c>
      <c r="C2116" t="s">
        <v>23530</v>
      </c>
      <c r="E2116">
        <v>119</v>
      </c>
      <c r="F2116">
        <v>95</v>
      </c>
      <c r="G2116">
        <v>95</v>
      </c>
      <c r="Q2116" t="s">
        <v>3844</v>
      </c>
    </row>
    <row r="2117" spans="2:19" x14ac:dyDescent="0.25">
      <c r="B2117">
        <v>11579</v>
      </c>
      <c r="C2117" t="s">
        <v>23531</v>
      </c>
      <c r="E2117">
        <v>119</v>
      </c>
      <c r="F2117">
        <v>95</v>
      </c>
      <c r="G2117">
        <v>95</v>
      </c>
      <c r="P2117" t="s">
        <v>4706</v>
      </c>
    </row>
    <row r="2118" spans="2:19" x14ac:dyDescent="0.25">
      <c r="B2118">
        <v>10557</v>
      </c>
      <c r="C2118" t="s">
        <v>23532</v>
      </c>
      <c r="E2118">
        <v>242</v>
      </c>
      <c r="F2118">
        <v>241</v>
      </c>
      <c r="G2118">
        <v>240</v>
      </c>
      <c r="N2118" t="s">
        <v>15142</v>
      </c>
    </row>
    <row r="2119" spans="2:19" x14ac:dyDescent="0.25">
      <c r="B2119">
        <v>10558</v>
      </c>
      <c r="C2119" t="s">
        <v>23533</v>
      </c>
      <c r="E2119">
        <v>242</v>
      </c>
      <c r="F2119">
        <v>241</v>
      </c>
      <c r="G2119">
        <v>240</v>
      </c>
      <c r="O2119" t="s">
        <v>23534</v>
      </c>
    </row>
    <row r="2120" spans="2:19" x14ac:dyDescent="0.25">
      <c r="B2120">
        <v>10559</v>
      </c>
      <c r="C2120" t="s">
        <v>18434</v>
      </c>
      <c r="E2120">
        <v>242</v>
      </c>
      <c r="F2120">
        <v>241</v>
      </c>
      <c r="G2120">
        <v>240</v>
      </c>
      <c r="P2120" t="s">
        <v>318</v>
      </c>
    </row>
    <row r="2121" spans="2:19" x14ac:dyDescent="0.25">
      <c r="B2121">
        <v>10561</v>
      </c>
      <c r="C2121" t="s">
        <v>18443</v>
      </c>
      <c r="E2121">
        <v>242</v>
      </c>
      <c r="F2121">
        <v>241</v>
      </c>
      <c r="G2121">
        <v>240</v>
      </c>
      <c r="P2121" t="s">
        <v>1321</v>
      </c>
    </row>
    <row r="2122" spans="2:19" x14ac:dyDescent="0.25">
      <c r="B2122">
        <v>10562</v>
      </c>
      <c r="C2122" t="s">
        <v>20823</v>
      </c>
      <c r="E2122">
        <v>242</v>
      </c>
      <c r="F2122">
        <v>241</v>
      </c>
      <c r="G2122">
        <v>240</v>
      </c>
      <c r="Q2122" t="s">
        <v>4922</v>
      </c>
    </row>
    <row r="2123" spans="2:19" x14ac:dyDescent="0.25">
      <c r="B2123">
        <v>10563</v>
      </c>
      <c r="C2123" t="s">
        <v>20821</v>
      </c>
      <c r="E2123">
        <v>242</v>
      </c>
      <c r="F2123">
        <v>241</v>
      </c>
      <c r="G2123">
        <v>240</v>
      </c>
      <c r="Q2123" t="s">
        <v>2060</v>
      </c>
    </row>
    <row r="2124" spans="2:19" x14ac:dyDescent="0.25">
      <c r="B2124">
        <v>12024</v>
      </c>
      <c r="C2124" t="s">
        <v>23535</v>
      </c>
      <c r="E2124">
        <v>242</v>
      </c>
      <c r="F2124">
        <v>241</v>
      </c>
      <c r="G2124">
        <v>240</v>
      </c>
      <c r="R2124" t="s">
        <v>1988</v>
      </c>
    </row>
    <row r="2125" spans="2:19" x14ac:dyDescent="0.25">
      <c r="B2125">
        <v>10564</v>
      </c>
      <c r="C2125" t="s">
        <v>20824</v>
      </c>
      <c r="E2125">
        <v>242</v>
      </c>
      <c r="F2125">
        <v>241</v>
      </c>
      <c r="G2125">
        <v>240</v>
      </c>
      <c r="Q2125" t="s">
        <v>576</v>
      </c>
    </row>
    <row r="2126" spans="2:19" x14ac:dyDescent="0.25">
      <c r="B2126">
        <v>266441567</v>
      </c>
      <c r="C2126" t="s">
        <v>23536</v>
      </c>
      <c r="E2126">
        <v>242</v>
      </c>
      <c r="F2126">
        <v>241</v>
      </c>
      <c r="G2126">
        <v>240</v>
      </c>
      <c r="R2126" t="s">
        <v>8513</v>
      </c>
    </row>
    <row r="2127" spans="2:19" x14ac:dyDescent="0.25">
      <c r="B2127">
        <v>266441571</v>
      </c>
      <c r="C2127" t="s">
        <v>23537</v>
      </c>
      <c r="E2127">
        <v>242</v>
      </c>
      <c r="F2127">
        <v>241</v>
      </c>
      <c r="G2127">
        <v>240</v>
      </c>
      <c r="R2127" t="s">
        <v>8515</v>
      </c>
    </row>
    <row r="2128" spans="2:19" x14ac:dyDescent="0.25">
      <c r="B2128">
        <v>266441575</v>
      </c>
      <c r="C2128" t="s">
        <v>23538</v>
      </c>
      <c r="E2128">
        <v>242</v>
      </c>
      <c r="F2128">
        <v>241</v>
      </c>
      <c r="G2128">
        <v>240</v>
      </c>
      <c r="R2128" t="s">
        <v>23539</v>
      </c>
    </row>
    <row r="2129" spans="2:18" x14ac:dyDescent="0.25">
      <c r="B2129">
        <v>10565</v>
      </c>
      <c r="C2129" t="s">
        <v>20826</v>
      </c>
      <c r="E2129">
        <v>242</v>
      </c>
      <c r="F2129">
        <v>241</v>
      </c>
      <c r="G2129">
        <v>240</v>
      </c>
      <c r="Q2129" t="s">
        <v>5021</v>
      </c>
    </row>
    <row r="2130" spans="2:18" x14ac:dyDescent="0.25">
      <c r="B2130">
        <v>12025</v>
      </c>
      <c r="C2130" t="s">
        <v>23540</v>
      </c>
      <c r="E2130">
        <v>242</v>
      </c>
      <c r="F2130">
        <v>241</v>
      </c>
      <c r="G2130">
        <v>240</v>
      </c>
      <c r="R2130" t="s">
        <v>1985</v>
      </c>
    </row>
    <row r="2131" spans="2:18" x14ac:dyDescent="0.25">
      <c r="B2131">
        <v>266441579</v>
      </c>
      <c r="C2131" t="s">
        <v>23541</v>
      </c>
      <c r="E2131">
        <v>242</v>
      </c>
      <c r="F2131">
        <v>241</v>
      </c>
      <c r="G2131">
        <v>240</v>
      </c>
      <c r="R2131" t="s">
        <v>8519</v>
      </c>
    </row>
    <row r="2132" spans="2:18" x14ac:dyDescent="0.25">
      <c r="B2132">
        <v>12026</v>
      </c>
      <c r="C2132" t="s">
        <v>23542</v>
      </c>
      <c r="E2132">
        <v>242</v>
      </c>
      <c r="F2132">
        <v>241</v>
      </c>
      <c r="G2132">
        <v>240</v>
      </c>
      <c r="Q2132" t="s">
        <v>4237</v>
      </c>
    </row>
    <row r="2133" spans="2:18" x14ac:dyDescent="0.25">
      <c r="B2133">
        <v>12027</v>
      </c>
      <c r="C2133" t="s">
        <v>23543</v>
      </c>
      <c r="E2133">
        <v>242</v>
      </c>
      <c r="F2133">
        <v>241</v>
      </c>
      <c r="G2133">
        <v>240</v>
      </c>
      <c r="Q2133" t="s">
        <v>14894</v>
      </c>
    </row>
    <row r="2134" spans="2:18" x14ac:dyDescent="0.25">
      <c r="B2134">
        <v>10566</v>
      </c>
      <c r="C2134" t="s">
        <v>23544</v>
      </c>
      <c r="E2134">
        <v>242</v>
      </c>
      <c r="F2134">
        <v>241</v>
      </c>
      <c r="G2134">
        <v>240</v>
      </c>
      <c r="P2134" t="s">
        <v>2138</v>
      </c>
    </row>
    <row r="2135" spans="2:18" x14ac:dyDescent="0.25">
      <c r="B2135">
        <v>10560</v>
      </c>
      <c r="C2135" t="s">
        <v>23545</v>
      </c>
      <c r="E2135">
        <v>242</v>
      </c>
      <c r="F2135">
        <v>241</v>
      </c>
      <c r="G2135">
        <v>240</v>
      </c>
      <c r="P2135" t="s">
        <v>2282</v>
      </c>
    </row>
    <row r="2136" spans="2:18" x14ac:dyDescent="0.25">
      <c r="B2136">
        <v>12022</v>
      </c>
      <c r="C2136" t="s">
        <v>23546</v>
      </c>
      <c r="E2136">
        <v>242</v>
      </c>
      <c r="F2136">
        <v>241</v>
      </c>
      <c r="G2136">
        <v>240</v>
      </c>
      <c r="Q2136" t="s">
        <v>7213</v>
      </c>
    </row>
    <row r="2137" spans="2:18" x14ac:dyDescent="0.25">
      <c r="B2137">
        <v>12023</v>
      </c>
      <c r="C2137" t="s">
        <v>23547</v>
      </c>
      <c r="E2137">
        <v>242</v>
      </c>
      <c r="F2137">
        <v>241</v>
      </c>
      <c r="G2137">
        <v>240</v>
      </c>
      <c r="Q2137" t="s">
        <v>7215</v>
      </c>
    </row>
    <row r="2138" spans="2:18" x14ac:dyDescent="0.25">
      <c r="B2138">
        <v>12028</v>
      </c>
      <c r="C2138" t="s">
        <v>23548</v>
      </c>
      <c r="E2138">
        <v>242</v>
      </c>
      <c r="F2138">
        <v>241</v>
      </c>
      <c r="G2138">
        <v>240</v>
      </c>
      <c r="P2138" t="s">
        <v>11869</v>
      </c>
    </row>
    <row r="2139" spans="2:18" x14ac:dyDescent="0.25">
      <c r="B2139">
        <v>10568</v>
      </c>
      <c r="C2139" t="s">
        <v>23549</v>
      </c>
      <c r="E2139">
        <v>242</v>
      </c>
      <c r="F2139">
        <v>241</v>
      </c>
      <c r="G2139">
        <v>240</v>
      </c>
      <c r="O2139" t="s">
        <v>1996</v>
      </c>
    </row>
    <row r="2140" spans="2:18" x14ac:dyDescent="0.25">
      <c r="B2140">
        <v>10570</v>
      </c>
      <c r="C2140" t="s">
        <v>20889</v>
      </c>
      <c r="E2140">
        <v>242</v>
      </c>
      <c r="F2140">
        <v>241</v>
      </c>
      <c r="G2140">
        <v>240</v>
      </c>
      <c r="P2140" t="s">
        <v>2303</v>
      </c>
    </row>
    <row r="2141" spans="2:18" x14ac:dyDescent="0.25">
      <c r="B2141">
        <v>12029</v>
      </c>
      <c r="C2141" t="s">
        <v>23550</v>
      </c>
      <c r="E2141">
        <v>242</v>
      </c>
      <c r="F2141">
        <v>241</v>
      </c>
      <c r="G2141">
        <v>240</v>
      </c>
      <c r="P2141" t="s">
        <v>11875</v>
      </c>
    </row>
    <row r="2142" spans="2:18" x14ac:dyDescent="0.25">
      <c r="B2142">
        <v>266441583</v>
      </c>
      <c r="C2142" t="s">
        <v>20847</v>
      </c>
      <c r="E2142">
        <v>242</v>
      </c>
      <c r="F2142">
        <v>241</v>
      </c>
      <c r="G2142">
        <v>240</v>
      </c>
      <c r="P2142" t="s">
        <v>522</v>
      </c>
    </row>
    <row r="2143" spans="2:18" x14ac:dyDescent="0.25">
      <c r="B2143">
        <v>266441587</v>
      </c>
      <c r="C2143" t="s">
        <v>23551</v>
      </c>
      <c r="E2143">
        <v>242</v>
      </c>
      <c r="F2143">
        <v>241</v>
      </c>
      <c r="G2143">
        <v>240</v>
      </c>
      <c r="P2143" t="s">
        <v>11881</v>
      </c>
    </row>
    <row r="2144" spans="2:18" x14ac:dyDescent="0.25">
      <c r="B2144">
        <v>10571</v>
      </c>
      <c r="C2144" t="s">
        <v>23552</v>
      </c>
      <c r="E2144">
        <v>242</v>
      </c>
      <c r="F2144">
        <v>241</v>
      </c>
      <c r="G2144">
        <v>240</v>
      </c>
      <c r="P2144" t="s">
        <v>280</v>
      </c>
    </row>
    <row r="2145" spans="2:17" x14ac:dyDescent="0.25">
      <c r="B2145">
        <v>266441591</v>
      </c>
      <c r="C2145" t="s">
        <v>23553</v>
      </c>
      <c r="E2145">
        <v>242</v>
      </c>
      <c r="F2145">
        <v>241</v>
      </c>
      <c r="G2145">
        <v>240</v>
      </c>
      <c r="P2145" t="s">
        <v>284</v>
      </c>
    </row>
    <row r="2146" spans="2:17" x14ac:dyDescent="0.25">
      <c r="B2146">
        <v>10569</v>
      </c>
      <c r="C2146" t="s">
        <v>23554</v>
      </c>
      <c r="E2146">
        <v>242</v>
      </c>
      <c r="F2146">
        <v>241</v>
      </c>
      <c r="G2146">
        <v>240</v>
      </c>
      <c r="P2146" t="s">
        <v>495</v>
      </c>
    </row>
    <row r="2147" spans="2:17" x14ac:dyDescent="0.25">
      <c r="B2147">
        <v>15538</v>
      </c>
      <c r="C2147" t="s">
        <v>23555</v>
      </c>
      <c r="E2147">
        <v>242</v>
      </c>
      <c r="F2147">
        <v>241</v>
      </c>
      <c r="G2147">
        <v>240</v>
      </c>
      <c r="P2147" t="s">
        <v>11892</v>
      </c>
    </row>
    <row r="2148" spans="2:17" x14ac:dyDescent="0.25">
      <c r="B2148">
        <v>10572</v>
      </c>
      <c r="C2148" t="s">
        <v>23556</v>
      </c>
      <c r="E2148">
        <v>242</v>
      </c>
      <c r="F2148">
        <v>241</v>
      </c>
      <c r="G2148">
        <v>240</v>
      </c>
      <c r="P2148" t="s">
        <v>1256</v>
      </c>
    </row>
    <row r="2149" spans="2:17" x14ac:dyDescent="0.25">
      <c r="B2149">
        <v>15539</v>
      </c>
      <c r="C2149" t="s">
        <v>23557</v>
      </c>
      <c r="E2149">
        <v>242</v>
      </c>
      <c r="F2149">
        <v>241</v>
      </c>
      <c r="G2149">
        <v>240</v>
      </c>
      <c r="Q2149" t="s">
        <v>1245</v>
      </c>
    </row>
    <row r="2150" spans="2:17" x14ac:dyDescent="0.25">
      <c r="B2150">
        <v>15540</v>
      </c>
      <c r="C2150" t="s">
        <v>23558</v>
      </c>
      <c r="E2150">
        <v>242</v>
      </c>
      <c r="F2150">
        <v>241</v>
      </c>
      <c r="G2150">
        <v>240</v>
      </c>
      <c r="Q2150" t="s">
        <v>14922</v>
      </c>
    </row>
    <row r="2151" spans="2:17" x14ac:dyDescent="0.25">
      <c r="B2151">
        <v>13215</v>
      </c>
      <c r="C2151" t="s">
        <v>23559</v>
      </c>
      <c r="E2151">
        <v>242</v>
      </c>
      <c r="F2151">
        <v>241</v>
      </c>
      <c r="G2151">
        <v>240</v>
      </c>
      <c r="P2151" t="s">
        <v>11898</v>
      </c>
    </row>
    <row r="2152" spans="2:17" x14ac:dyDescent="0.25">
      <c r="B2152">
        <v>12030</v>
      </c>
      <c r="C2152" t="s">
        <v>23560</v>
      </c>
      <c r="E2152">
        <v>242</v>
      </c>
      <c r="F2152">
        <v>241</v>
      </c>
      <c r="G2152">
        <v>240</v>
      </c>
      <c r="P2152" t="s">
        <v>1314</v>
      </c>
    </row>
    <row r="2153" spans="2:17" x14ac:dyDescent="0.25">
      <c r="B2153">
        <v>15541</v>
      </c>
      <c r="C2153" t="s">
        <v>23561</v>
      </c>
      <c r="E2153">
        <v>242</v>
      </c>
      <c r="F2153">
        <v>241</v>
      </c>
      <c r="G2153">
        <v>240</v>
      </c>
      <c r="Q2153" t="s">
        <v>326</v>
      </c>
    </row>
    <row r="2154" spans="2:17" x14ac:dyDescent="0.25">
      <c r="B2154">
        <v>15542</v>
      </c>
      <c r="C2154" t="s">
        <v>23562</v>
      </c>
      <c r="E2154">
        <v>242</v>
      </c>
      <c r="F2154">
        <v>241</v>
      </c>
      <c r="G2154">
        <v>240</v>
      </c>
      <c r="Q2154" t="s">
        <v>14811</v>
      </c>
    </row>
    <row r="2155" spans="2:17" x14ac:dyDescent="0.25">
      <c r="B2155">
        <v>15543</v>
      </c>
      <c r="C2155" t="s">
        <v>23563</v>
      </c>
      <c r="E2155">
        <v>242</v>
      </c>
      <c r="F2155">
        <v>241</v>
      </c>
      <c r="G2155">
        <v>240</v>
      </c>
      <c r="Q2155" t="s">
        <v>3928</v>
      </c>
    </row>
    <row r="2156" spans="2:17" x14ac:dyDescent="0.25">
      <c r="B2156">
        <v>266441595</v>
      </c>
      <c r="C2156" t="s">
        <v>23564</v>
      </c>
      <c r="E2156">
        <v>242</v>
      </c>
      <c r="F2156">
        <v>241</v>
      </c>
      <c r="G2156">
        <v>240</v>
      </c>
      <c r="P2156" t="s">
        <v>11908</v>
      </c>
    </row>
    <row r="2157" spans="2:17" x14ac:dyDescent="0.25">
      <c r="B2157">
        <v>12031</v>
      </c>
      <c r="C2157" t="s">
        <v>23565</v>
      </c>
      <c r="E2157">
        <v>242</v>
      </c>
      <c r="F2157">
        <v>241</v>
      </c>
      <c r="G2157">
        <v>240</v>
      </c>
      <c r="P2157" t="s">
        <v>23566</v>
      </c>
    </row>
    <row r="2158" spans="2:17" x14ac:dyDescent="0.25">
      <c r="B2158">
        <v>12032</v>
      </c>
      <c r="C2158" t="s">
        <v>20827</v>
      </c>
      <c r="E2158">
        <v>242</v>
      </c>
      <c r="F2158">
        <v>241</v>
      </c>
      <c r="G2158">
        <v>240</v>
      </c>
      <c r="P2158" t="s">
        <v>23567</v>
      </c>
    </row>
    <row r="2159" spans="2:17" x14ac:dyDescent="0.25">
      <c r="B2159">
        <v>12033</v>
      </c>
      <c r="C2159" t="s">
        <v>23568</v>
      </c>
      <c r="E2159">
        <v>242</v>
      </c>
      <c r="F2159">
        <v>241</v>
      </c>
      <c r="G2159">
        <v>240</v>
      </c>
      <c r="P2159" t="s">
        <v>23569</v>
      </c>
    </row>
    <row r="2160" spans="2:17" x14ac:dyDescent="0.25">
      <c r="B2160">
        <v>12034</v>
      </c>
      <c r="C2160" t="s">
        <v>23570</v>
      </c>
      <c r="E2160">
        <v>242</v>
      </c>
      <c r="F2160">
        <v>241</v>
      </c>
      <c r="G2160">
        <v>240</v>
      </c>
      <c r="P2160" t="s">
        <v>1479</v>
      </c>
    </row>
    <row r="2161" spans="2:18" x14ac:dyDescent="0.25">
      <c r="B2161">
        <v>12035</v>
      </c>
      <c r="C2161" t="s">
        <v>20949</v>
      </c>
      <c r="E2161">
        <v>242</v>
      </c>
      <c r="F2161">
        <v>241</v>
      </c>
      <c r="G2161">
        <v>240</v>
      </c>
      <c r="P2161" t="s">
        <v>1539</v>
      </c>
    </row>
    <row r="2162" spans="2:18" x14ac:dyDescent="0.25">
      <c r="B2162">
        <v>12036</v>
      </c>
      <c r="C2162" t="s">
        <v>23571</v>
      </c>
      <c r="E2162">
        <v>242</v>
      </c>
      <c r="F2162">
        <v>241</v>
      </c>
      <c r="G2162">
        <v>240</v>
      </c>
      <c r="P2162" t="s">
        <v>23572</v>
      </c>
    </row>
    <row r="2163" spans="2:18" x14ac:dyDescent="0.25">
      <c r="B2163">
        <v>10573</v>
      </c>
      <c r="C2163" t="s">
        <v>23573</v>
      </c>
      <c r="E2163">
        <v>242</v>
      </c>
      <c r="F2163">
        <v>241</v>
      </c>
      <c r="G2163">
        <v>240</v>
      </c>
      <c r="P2163" t="s">
        <v>1782</v>
      </c>
    </row>
    <row r="2164" spans="2:18" x14ac:dyDescent="0.25">
      <c r="B2164">
        <v>12037</v>
      </c>
      <c r="C2164" t="s">
        <v>23574</v>
      </c>
      <c r="E2164">
        <v>242</v>
      </c>
      <c r="F2164">
        <v>241</v>
      </c>
      <c r="G2164">
        <v>240</v>
      </c>
      <c r="P2164" t="s">
        <v>2622</v>
      </c>
    </row>
    <row r="2165" spans="2:18" x14ac:dyDescent="0.25">
      <c r="B2165">
        <v>12038</v>
      </c>
      <c r="C2165" t="s">
        <v>23575</v>
      </c>
      <c r="E2165">
        <v>242</v>
      </c>
      <c r="F2165">
        <v>241</v>
      </c>
      <c r="G2165">
        <v>240</v>
      </c>
      <c r="P2165" t="s">
        <v>1788</v>
      </c>
    </row>
    <row r="2166" spans="2:18" x14ac:dyDescent="0.25">
      <c r="B2166">
        <v>10574</v>
      </c>
      <c r="C2166" t="s">
        <v>23576</v>
      </c>
      <c r="E2166">
        <v>242</v>
      </c>
      <c r="F2166">
        <v>241</v>
      </c>
      <c r="G2166">
        <v>240</v>
      </c>
      <c r="P2166" t="s">
        <v>1805</v>
      </c>
    </row>
    <row r="2167" spans="2:18" x14ac:dyDescent="0.25">
      <c r="B2167">
        <v>10575</v>
      </c>
      <c r="C2167" t="s">
        <v>23577</v>
      </c>
      <c r="E2167">
        <v>242</v>
      </c>
      <c r="F2167">
        <v>241</v>
      </c>
      <c r="G2167">
        <v>240</v>
      </c>
      <c r="P2167" t="s">
        <v>2308</v>
      </c>
    </row>
    <row r="2168" spans="2:18" x14ac:dyDescent="0.25">
      <c r="B2168">
        <v>10576</v>
      </c>
      <c r="C2168" t="s">
        <v>18461</v>
      </c>
      <c r="E2168">
        <v>242</v>
      </c>
      <c r="F2168">
        <v>241</v>
      </c>
      <c r="G2168">
        <v>240</v>
      </c>
      <c r="P2168" t="s">
        <v>1999</v>
      </c>
    </row>
    <row r="2169" spans="2:18" x14ac:dyDescent="0.25">
      <c r="B2169">
        <v>10577</v>
      </c>
      <c r="C2169" t="s">
        <v>23578</v>
      </c>
      <c r="E2169">
        <v>242</v>
      </c>
      <c r="F2169">
        <v>241</v>
      </c>
      <c r="G2169">
        <v>240</v>
      </c>
      <c r="Q2169" t="s">
        <v>581</v>
      </c>
    </row>
    <row r="2170" spans="2:18" x14ac:dyDescent="0.25">
      <c r="B2170">
        <v>266441599</v>
      </c>
      <c r="C2170" t="s">
        <v>23579</v>
      </c>
      <c r="E2170">
        <v>242</v>
      </c>
      <c r="F2170">
        <v>241</v>
      </c>
      <c r="G2170">
        <v>240</v>
      </c>
      <c r="R2170" t="s">
        <v>8521</v>
      </c>
    </row>
    <row r="2171" spans="2:18" x14ac:dyDescent="0.25">
      <c r="B2171">
        <v>266441603</v>
      </c>
      <c r="C2171" t="s">
        <v>23580</v>
      </c>
      <c r="E2171">
        <v>242</v>
      </c>
      <c r="F2171">
        <v>241</v>
      </c>
      <c r="G2171">
        <v>240</v>
      </c>
      <c r="R2171" t="s">
        <v>8523</v>
      </c>
    </row>
    <row r="2172" spans="2:18" x14ac:dyDescent="0.25">
      <c r="B2172">
        <v>10578</v>
      </c>
      <c r="C2172" t="s">
        <v>23581</v>
      </c>
      <c r="E2172">
        <v>242</v>
      </c>
      <c r="F2172">
        <v>241</v>
      </c>
      <c r="G2172">
        <v>240</v>
      </c>
      <c r="Q2172" t="s">
        <v>583</v>
      </c>
    </row>
    <row r="2173" spans="2:18" x14ac:dyDescent="0.25">
      <c r="B2173">
        <v>10579</v>
      </c>
      <c r="C2173" t="s">
        <v>23582</v>
      </c>
      <c r="E2173">
        <v>242</v>
      </c>
      <c r="F2173">
        <v>241</v>
      </c>
      <c r="G2173">
        <v>240</v>
      </c>
      <c r="Q2173" t="s">
        <v>3917</v>
      </c>
    </row>
    <row r="2174" spans="2:18" x14ac:dyDescent="0.25">
      <c r="B2174">
        <v>12041</v>
      </c>
      <c r="C2174" t="s">
        <v>23583</v>
      </c>
      <c r="E2174">
        <v>242</v>
      </c>
      <c r="F2174">
        <v>241</v>
      </c>
      <c r="G2174">
        <v>240</v>
      </c>
      <c r="P2174" t="s">
        <v>23584</v>
      </c>
    </row>
    <row r="2175" spans="2:18" x14ac:dyDescent="0.25">
      <c r="B2175">
        <v>10580</v>
      </c>
      <c r="C2175" t="s">
        <v>23585</v>
      </c>
      <c r="E2175">
        <v>242</v>
      </c>
      <c r="F2175">
        <v>241</v>
      </c>
      <c r="G2175">
        <v>240</v>
      </c>
      <c r="P2175" t="s">
        <v>2374</v>
      </c>
    </row>
    <row r="2176" spans="2:18" x14ac:dyDescent="0.25">
      <c r="B2176">
        <v>12059</v>
      </c>
      <c r="C2176" t="s">
        <v>23586</v>
      </c>
      <c r="E2176">
        <v>242</v>
      </c>
      <c r="F2176">
        <v>241</v>
      </c>
      <c r="G2176">
        <v>240</v>
      </c>
      <c r="P2176" t="s">
        <v>2424</v>
      </c>
    </row>
    <row r="2177" spans="2:19" x14ac:dyDescent="0.25">
      <c r="B2177">
        <v>10581</v>
      </c>
      <c r="C2177" t="s">
        <v>18464</v>
      </c>
      <c r="E2177">
        <v>242</v>
      </c>
      <c r="F2177">
        <v>241</v>
      </c>
      <c r="G2177">
        <v>240</v>
      </c>
      <c r="P2177" t="s">
        <v>2490</v>
      </c>
    </row>
    <row r="2178" spans="2:19" x14ac:dyDescent="0.25">
      <c r="B2178">
        <v>10582</v>
      </c>
      <c r="C2178" t="s">
        <v>23587</v>
      </c>
      <c r="E2178">
        <v>242</v>
      </c>
      <c r="F2178">
        <v>241</v>
      </c>
      <c r="G2178">
        <v>240</v>
      </c>
      <c r="Q2178" t="s">
        <v>347</v>
      </c>
    </row>
    <row r="2179" spans="2:19" x14ac:dyDescent="0.25">
      <c r="B2179">
        <v>12042</v>
      </c>
      <c r="C2179" t="s">
        <v>23588</v>
      </c>
      <c r="E2179">
        <v>242</v>
      </c>
      <c r="F2179">
        <v>241</v>
      </c>
      <c r="G2179">
        <v>240</v>
      </c>
      <c r="R2179" t="s">
        <v>7217</v>
      </c>
    </row>
    <row r="2180" spans="2:19" x14ac:dyDescent="0.25">
      <c r="B2180">
        <v>12043</v>
      </c>
      <c r="C2180" t="s">
        <v>23589</v>
      </c>
      <c r="E2180">
        <v>242</v>
      </c>
      <c r="F2180">
        <v>241</v>
      </c>
      <c r="G2180">
        <v>240</v>
      </c>
      <c r="R2180" t="s">
        <v>433</v>
      </c>
    </row>
    <row r="2181" spans="2:19" x14ac:dyDescent="0.25">
      <c r="B2181">
        <v>10583</v>
      </c>
      <c r="C2181" t="s">
        <v>23590</v>
      </c>
      <c r="E2181">
        <v>242</v>
      </c>
      <c r="F2181">
        <v>241</v>
      </c>
      <c r="G2181">
        <v>240</v>
      </c>
      <c r="Q2181" t="s">
        <v>5395</v>
      </c>
    </row>
    <row r="2182" spans="2:19" x14ac:dyDescent="0.25">
      <c r="B2182">
        <v>12044</v>
      </c>
      <c r="C2182" t="s">
        <v>23591</v>
      </c>
      <c r="E2182">
        <v>242</v>
      </c>
      <c r="F2182">
        <v>241</v>
      </c>
      <c r="G2182">
        <v>240</v>
      </c>
      <c r="R2182" t="s">
        <v>7219</v>
      </c>
    </row>
    <row r="2183" spans="2:19" x14ac:dyDescent="0.25">
      <c r="B2183">
        <v>12045</v>
      </c>
      <c r="C2183" t="s">
        <v>23592</v>
      </c>
      <c r="E2183">
        <v>242</v>
      </c>
      <c r="F2183">
        <v>241</v>
      </c>
      <c r="G2183">
        <v>240</v>
      </c>
      <c r="R2183" t="s">
        <v>7221</v>
      </c>
    </row>
    <row r="2184" spans="2:19" x14ac:dyDescent="0.25">
      <c r="B2184">
        <v>10584</v>
      </c>
      <c r="C2184" t="s">
        <v>23593</v>
      </c>
      <c r="E2184">
        <v>242</v>
      </c>
      <c r="F2184">
        <v>241</v>
      </c>
      <c r="G2184">
        <v>240</v>
      </c>
      <c r="Q2184" t="s">
        <v>3941</v>
      </c>
    </row>
    <row r="2185" spans="2:19" x14ac:dyDescent="0.25">
      <c r="B2185">
        <v>12046</v>
      </c>
      <c r="C2185" t="s">
        <v>23594</v>
      </c>
      <c r="E2185">
        <v>242</v>
      </c>
      <c r="F2185">
        <v>241</v>
      </c>
      <c r="G2185">
        <v>240</v>
      </c>
      <c r="R2185" t="s">
        <v>7223</v>
      </c>
    </row>
    <row r="2186" spans="2:19" x14ac:dyDescent="0.25">
      <c r="B2186">
        <v>12047</v>
      </c>
      <c r="C2186" t="s">
        <v>18445</v>
      </c>
      <c r="E2186">
        <v>242</v>
      </c>
      <c r="F2186">
        <v>241</v>
      </c>
      <c r="G2186">
        <v>240</v>
      </c>
      <c r="S2186" t="s">
        <v>7225</v>
      </c>
    </row>
    <row r="2187" spans="2:19" x14ac:dyDescent="0.25">
      <c r="B2187">
        <v>12048</v>
      </c>
      <c r="C2187" t="s">
        <v>23595</v>
      </c>
      <c r="E2187">
        <v>242</v>
      </c>
      <c r="F2187">
        <v>241</v>
      </c>
      <c r="G2187">
        <v>240</v>
      </c>
      <c r="S2187" t="s">
        <v>7227</v>
      </c>
    </row>
    <row r="2188" spans="2:19" x14ac:dyDescent="0.25">
      <c r="B2188">
        <v>12049</v>
      </c>
      <c r="C2188" t="s">
        <v>23596</v>
      </c>
      <c r="E2188">
        <v>242</v>
      </c>
      <c r="F2188">
        <v>241</v>
      </c>
      <c r="G2188">
        <v>240</v>
      </c>
      <c r="S2188" t="s">
        <v>7229</v>
      </c>
    </row>
    <row r="2189" spans="2:19" x14ac:dyDescent="0.25">
      <c r="B2189">
        <v>12050</v>
      </c>
      <c r="C2189" t="s">
        <v>20830</v>
      </c>
      <c r="E2189">
        <v>242</v>
      </c>
      <c r="F2189">
        <v>241</v>
      </c>
      <c r="G2189">
        <v>240</v>
      </c>
      <c r="S2189" t="s">
        <v>1378</v>
      </c>
    </row>
    <row r="2190" spans="2:19" x14ac:dyDescent="0.25">
      <c r="B2190">
        <v>12051</v>
      </c>
      <c r="C2190" t="s">
        <v>23597</v>
      </c>
      <c r="E2190">
        <v>242</v>
      </c>
      <c r="F2190">
        <v>241</v>
      </c>
      <c r="G2190">
        <v>240</v>
      </c>
      <c r="S2190" t="s">
        <v>7231</v>
      </c>
    </row>
    <row r="2191" spans="2:19" x14ac:dyDescent="0.25">
      <c r="B2191">
        <v>12052</v>
      </c>
      <c r="C2191" t="s">
        <v>23598</v>
      </c>
      <c r="E2191">
        <v>242</v>
      </c>
      <c r="F2191">
        <v>241</v>
      </c>
      <c r="G2191">
        <v>240</v>
      </c>
      <c r="R2191" t="s">
        <v>4723</v>
      </c>
    </row>
    <row r="2192" spans="2:19" x14ac:dyDescent="0.25">
      <c r="B2192">
        <v>12053</v>
      </c>
      <c r="C2192" t="s">
        <v>23599</v>
      </c>
      <c r="E2192">
        <v>242</v>
      </c>
      <c r="F2192">
        <v>241</v>
      </c>
      <c r="G2192">
        <v>240</v>
      </c>
      <c r="S2192" t="s">
        <v>4002</v>
      </c>
    </row>
    <row r="2193" spans="2:20" x14ac:dyDescent="0.25">
      <c r="B2193">
        <v>12054</v>
      </c>
      <c r="C2193" t="s">
        <v>23600</v>
      </c>
      <c r="E2193">
        <v>242</v>
      </c>
      <c r="F2193">
        <v>241</v>
      </c>
      <c r="G2193">
        <v>240</v>
      </c>
      <c r="T2193" t="s">
        <v>7233</v>
      </c>
    </row>
    <row r="2194" spans="2:20" x14ac:dyDescent="0.25">
      <c r="B2194">
        <v>12055</v>
      </c>
      <c r="C2194" t="s">
        <v>23601</v>
      </c>
      <c r="E2194">
        <v>242</v>
      </c>
      <c r="F2194">
        <v>241</v>
      </c>
      <c r="G2194">
        <v>240</v>
      </c>
      <c r="S2194" t="s">
        <v>7235</v>
      </c>
    </row>
    <row r="2195" spans="2:20" x14ac:dyDescent="0.25">
      <c r="B2195">
        <v>12056</v>
      </c>
      <c r="C2195" t="s">
        <v>23602</v>
      </c>
      <c r="E2195">
        <v>242</v>
      </c>
      <c r="F2195">
        <v>241</v>
      </c>
      <c r="G2195">
        <v>240</v>
      </c>
      <c r="S2195" t="s">
        <v>7237</v>
      </c>
    </row>
    <row r="2196" spans="2:20" x14ac:dyDescent="0.25">
      <c r="B2196">
        <v>12057</v>
      </c>
      <c r="C2196" t="s">
        <v>23603</v>
      </c>
      <c r="E2196">
        <v>242</v>
      </c>
      <c r="F2196">
        <v>241</v>
      </c>
      <c r="G2196">
        <v>240</v>
      </c>
      <c r="S2196" t="s">
        <v>7239</v>
      </c>
    </row>
    <row r="2197" spans="2:20" x14ac:dyDescent="0.25">
      <c r="B2197">
        <v>12058</v>
      </c>
      <c r="C2197" t="s">
        <v>23604</v>
      </c>
      <c r="E2197">
        <v>242</v>
      </c>
      <c r="F2197">
        <v>241</v>
      </c>
      <c r="G2197">
        <v>240</v>
      </c>
      <c r="R2197" t="s">
        <v>7241</v>
      </c>
    </row>
    <row r="2198" spans="2:20" x14ac:dyDescent="0.25">
      <c r="B2198">
        <v>12060</v>
      </c>
      <c r="C2198" t="s">
        <v>23605</v>
      </c>
      <c r="E2198">
        <v>242</v>
      </c>
      <c r="F2198">
        <v>241</v>
      </c>
      <c r="G2198">
        <v>240</v>
      </c>
      <c r="S2198" t="s">
        <v>7243</v>
      </c>
    </row>
    <row r="2199" spans="2:20" x14ac:dyDescent="0.25">
      <c r="B2199">
        <v>12061</v>
      </c>
      <c r="C2199" t="s">
        <v>23606</v>
      </c>
      <c r="E2199">
        <v>242</v>
      </c>
      <c r="F2199">
        <v>241</v>
      </c>
      <c r="G2199">
        <v>240</v>
      </c>
      <c r="S2199" t="s">
        <v>7245</v>
      </c>
    </row>
    <row r="2200" spans="2:20" x14ac:dyDescent="0.25">
      <c r="B2200">
        <v>12062</v>
      </c>
      <c r="C2200" t="s">
        <v>23607</v>
      </c>
      <c r="E2200">
        <v>242</v>
      </c>
      <c r="F2200">
        <v>241</v>
      </c>
      <c r="G2200">
        <v>240</v>
      </c>
      <c r="P2200" t="s">
        <v>2946</v>
      </c>
    </row>
    <row r="2201" spans="2:20" x14ac:dyDescent="0.25">
      <c r="B2201">
        <v>12063</v>
      </c>
      <c r="C2201" t="s">
        <v>23608</v>
      </c>
      <c r="E2201">
        <v>242</v>
      </c>
      <c r="F2201">
        <v>241</v>
      </c>
      <c r="G2201">
        <v>240</v>
      </c>
      <c r="P2201" t="s">
        <v>2497</v>
      </c>
    </row>
    <row r="2202" spans="2:20" x14ac:dyDescent="0.25">
      <c r="B2202">
        <v>12064</v>
      </c>
      <c r="C2202" t="s">
        <v>23609</v>
      </c>
      <c r="E2202">
        <v>242</v>
      </c>
      <c r="F2202">
        <v>241</v>
      </c>
      <c r="G2202">
        <v>240</v>
      </c>
      <c r="P2202" t="s">
        <v>2614</v>
      </c>
    </row>
    <row r="2203" spans="2:20" x14ac:dyDescent="0.25">
      <c r="B2203">
        <v>10585</v>
      </c>
      <c r="C2203" t="s">
        <v>23610</v>
      </c>
      <c r="E2203">
        <v>242</v>
      </c>
      <c r="F2203">
        <v>241</v>
      </c>
      <c r="G2203">
        <v>240</v>
      </c>
      <c r="P2203" t="s">
        <v>2771</v>
      </c>
    </row>
    <row r="2204" spans="2:20" x14ac:dyDescent="0.25">
      <c r="B2204">
        <v>266441609</v>
      </c>
      <c r="C2204" t="s">
        <v>20938</v>
      </c>
      <c r="E2204">
        <v>242</v>
      </c>
      <c r="F2204">
        <v>241</v>
      </c>
      <c r="G2204">
        <v>240</v>
      </c>
      <c r="P2204" t="s">
        <v>2861</v>
      </c>
    </row>
    <row r="2205" spans="2:20" x14ac:dyDescent="0.25">
      <c r="B2205">
        <v>12065</v>
      </c>
      <c r="C2205" t="s">
        <v>18478</v>
      </c>
      <c r="E2205">
        <v>242</v>
      </c>
      <c r="F2205">
        <v>241</v>
      </c>
      <c r="G2205">
        <v>240</v>
      </c>
      <c r="P2205" t="s">
        <v>2870</v>
      </c>
    </row>
    <row r="2206" spans="2:20" x14ac:dyDescent="0.25">
      <c r="B2206">
        <v>10586</v>
      </c>
      <c r="C2206" t="s">
        <v>20937</v>
      </c>
      <c r="E2206">
        <v>242</v>
      </c>
      <c r="F2206">
        <v>241</v>
      </c>
      <c r="G2206">
        <v>240</v>
      </c>
      <c r="P2206" t="s">
        <v>2876</v>
      </c>
    </row>
    <row r="2207" spans="2:20" x14ac:dyDescent="0.25">
      <c r="B2207">
        <v>266441613</v>
      </c>
      <c r="C2207" t="s">
        <v>23611</v>
      </c>
      <c r="E2207">
        <v>242</v>
      </c>
      <c r="F2207">
        <v>241</v>
      </c>
      <c r="G2207">
        <v>240</v>
      </c>
      <c r="P2207" t="s">
        <v>20897</v>
      </c>
    </row>
    <row r="2208" spans="2:20" x14ac:dyDescent="0.25">
      <c r="B2208">
        <v>10587</v>
      </c>
      <c r="C2208" t="s">
        <v>20909</v>
      </c>
      <c r="E2208">
        <v>242</v>
      </c>
      <c r="F2208">
        <v>241</v>
      </c>
      <c r="G2208">
        <v>240</v>
      </c>
      <c r="P2208" t="s">
        <v>1209</v>
      </c>
    </row>
    <row r="2209" spans="2:17" x14ac:dyDescent="0.25">
      <c r="B2209">
        <v>12066</v>
      </c>
      <c r="C2209" t="s">
        <v>23612</v>
      </c>
      <c r="E2209">
        <v>242</v>
      </c>
      <c r="F2209">
        <v>241</v>
      </c>
      <c r="G2209">
        <v>240</v>
      </c>
      <c r="P2209" t="s">
        <v>2938</v>
      </c>
    </row>
    <row r="2210" spans="2:17" x14ac:dyDescent="0.25">
      <c r="B2210">
        <v>266441617</v>
      </c>
      <c r="C2210" t="s">
        <v>23613</v>
      </c>
      <c r="E2210">
        <v>242</v>
      </c>
      <c r="F2210">
        <v>241</v>
      </c>
      <c r="G2210">
        <v>240</v>
      </c>
      <c r="P2210" t="s">
        <v>23614</v>
      </c>
    </row>
    <row r="2211" spans="2:17" x14ac:dyDescent="0.25">
      <c r="B2211">
        <v>12067</v>
      </c>
      <c r="C2211" t="s">
        <v>23615</v>
      </c>
      <c r="E2211">
        <v>242</v>
      </c>
      <c r="F2211">
        <v>241</v>
      </c>
      <c r="G2211">
        <v>240</v>
      </c>
      <c r="P2211" t="s">
        <v>11964</v>
      </c>
    </row>
    <row r="2212" spans="2:17" x14ac:dyDescent="0.25">
      <c r="B2212">
        <v>12068</v>
      </c>
      <c r="C2212" t="s">
        <v>23616</v>
      </c>
      <c r="E2212">
        <v>242</v>
      </c>
      <c r="F2212">
        <v>241</v>
      </c>
      <c r="G2212">
        <v>240</v>
      </c>
      <c r="P2212" t="s">
        <v>23617</v>
      </c>
    </row>
    <row r="2213" spans="2:17" x14ac:dyDescent="0.25">
      <c r="B2213">
        <v>12069</v>
      </c>
      <c r="C2213" t="s">
        <v>20853</v>
      </c>
      <c r="E2213">
        <v>242</v>
      </c>
      <c r="F2213">
        <v>241</v>
      </c>
      <c r="G2213">
        <v>240</v>
      </c>
      <c r="P2213" t="s">
        <v>23618</v>
      </c>
    </row>
    <row r="2214" spans="2:17" x14ac:dyDescent="0.25">
      <c r="B2214">
        <v>10588</v>
      </c>
      <c r="C2214" t="s">
        <v>23619</v>
      </c>
      <c r="E2214">
        <v>242</v>
      </c>
      <c r="F2214">
        <v>241</v>
      </c>
      <c r="G2214">
        <v>240</v>
      </c>
      <c r="P2214" t="s">
        <v>3394</v>
      </c>
    </row>
    <row r="2215" spans="2:17" x14ac:dyDescent="0.25">
      <c r="B2215">
        <v>12070</v>
      </c>
      <c r="C2215" t="s">
        <v>23620</v>
      </c>
      <c r="E2215">
        <v>242</v>
      </c>
      <c r="F2215">
        <v>241</v>
      </c>
      <c r="G2215">
        <v>240</v>
      </c>
      <c r="Q2215" t="s">
        <v>2382</v>
      </c>
    </row>
    <row r="2216" spans="2:17" x14ac:dyDescent="0.25">
      <c r="B2216">
        <v>12071</v>
      </c>
      <c r="C2216" t="s">
        <v>23621</v>
      </c>
      <c r="E2216">
        <v>242</v>
      </c>
      <c r="F2216">
        <v>241</v>
      </c>
      <c r="G2216">
        <v>240</v>
      </c>
      <c r="Q2216" t="s">
        <v>14702</v>
      </c>
    </row>
    <row r="2217" spans="2:17" x14ac:dyDescent="0.25">
      <c r="B2217">
        <v>12073</v>
      </c>
      <c r="C2217" t="s">
        <v>23622</v>
      </c>
      <c r="E2217">
        <v>242</v>
      </c>
      <c r="F2217">
        <v>241</v>
      </c>
      <c r="G2217">
        <v>240</v>
      </c>
      <c r="P2217" t="s">
        <v>3464</v>
      </c>
    </row>
    <row r="2218" spans="2:17" x14ac:dyDescent="0.25">
      <c r="B2218">
        <v>12074</v>
      </c>
      <c r="C2218" t="s">
        <v>23623</v>
      </c>
      <c r="E2218">
        <v>242</v>
      </c>
      <c r="F2218">
        <v>241</v>
      </c>
      <c r="G2218">
        <v>240</v>
      </c>
      <c r="P2218" t="s">
        <v>3466</v>
      </c>
    </row>
    <row r="2219" spans="2:17" x14ac:dyDescent="0.25">
      <c r="B2219">
        <v>12075</v>
      </c>
      <c r="C2219" t="s">
        <v>23624</v>
      </c>
      <c r="E2219">
        <v>242</v>
      </c>
      <c r="F2219">
        <v>241</v>
      </c>
      <c r="G2219">
        <v>240</v>
      </c>
      <c r="Q2219" t="s">
        <v>2643</v>
      </c>
    </row>
    <row r="2220" spans="2:17" x14ac:dyDescent="0.25">
      <c r="B2220">
        <v>12076</v>
      </c>
      <c r="C2220" t="s">
        <v>23625</v>
      </c>
      <c r="E2220">
        <v>242</v>
      </c>
      <c r="F2220">
        <v>241</v>
      </c>
      <c r="G2220">
        <v>240</v>
      </c>
      <c r="Q2220" t="s">
        <v>2964</v>
      </c>
    </row>
    <row r="2221" spans="2:17" x14ac:dyDescent="0.25">
      <c r="B2221">
        <v>10644</v>
      </c>
      <c r="C2221" t="s">
        <v>23626</v>
      </c>
      <c r="E2221">
        <v>242</v>
      </c>
      <c r="F2221">
        <v>241</v>
      </c>
      <c r="G2221">
        <v>240</v>
      </c>
      <c r="P2221" t="s">
        <v>3492</v>
      </c>
    </row>
    <row r="2222" spans="2:17" x14ac:dyDescent="0.25">
      <c r="B2222">
        <v>15544</v>
      </c>
      <c r="C2222" t="s">
        <v>18481</v>
      </c>
      <c r="E2222">
        <v>242</v>
      </c>
      <c r="F2222">
        <v>241</v>
      </c>
      <c r="G2222">
        <v>240</v>
      </c>
      <c r="P2222" t="s">
        <v>1384</v>
      </c>
    </row>
    <row r="2223" spans="2:17" x14ac:dyDescent="0.25">
      <c r="B2223">
        <v>266441621</v>
      </c>
      <c r="C2223" t="s">
        <v>20846</v>
      </c>
      <c r="E2223">
        <v>242</v>
      </c>
      <c r="F2223">
        <v>241</v>
      </c>
      <c r="G2223">
        <v>240</v>
      </c>
      <c r="P2223" t="s">
        <v>3499</v>
      </c>
    </row>
    <row r="2224" spans="2:17" x14ac:dyDescent="0.25">
      <c r="B2224">
        <v>10589</v>
      </c>
      <c r="C2224" t="s">
        <v>23627</v>
      </c>
      <c r="E2224">
        <v>242</v>
      </c>
      <c r="F2224">
        <v>241</v>
      </c>
      <c r="G2224">
        <v>240</v>
      </c>
      <c r="P2224" t="s">
        <v>3504</v>
      </c>
    </row>
    <row r="2225" spans="2:17" x14ac:dyDescent="0.25">
      <c r="B2225">
        <v>266441625</v>
      </c>
      <c r="C2225" t="s">
        <v>18483</v>
      </c>
      <c r="E2225">
        <v>242</v>
      </c>
      <c r="F2225">
        <v>241</v>
      </c>
      <c r="G2225">
        <v>240</v>
      </c>
      <c r="P2225" t="s">
        <v>11970</v>
      </c>
    </row>
    <row r="2226" spans="2:17" x14ac:dyDescent="0.25">
      <c r="B2226">
        <v>12077</v>
      </c>
      <c r="C2226" t="s">
        <v>23628</v>
      </c>
      <c r="E2226">
        <v>242</v>
      </c>
      <c r="F2226">
        <v>241</v>
      </c>
      <c r="G2226">
        <v>240</v>
      </c>
      <c r="P2226" t="s">
        <v>23629</v>
      </c>
    </row>
    <row r="2227" spans="2:17" x14ac:dyDescent="0.25">
      <c r="B2227">
        <v>12078</v>
      </c>
      <c r="C2227" t="s">
        <v>23630</v>
      </c>
      <c r="E2227">
        <v>242</v>
      </c>
      <c r="F2227">
        <v>241</v>
      </c>
      <c r="G2227">
        <v>240</v>
      </c>
      <c r="P2227" t="s">
        <v>3548</v>
      </c>
    </row>
    <row r="2228" spans="2:17" x14ac:dyDescent="0.25">
      <c r="B2228">
        <v>12079</v>
      </c>
      <c r="C2228" t="s">
        <v>23631</v>
      </c>
      <c r="E2228">
        <v>242</v>
      </c>
      <c r="F2228">
        <v>241</v>
      </c>
      <c r="G2228">
        <v>240</v>
      </c>
      <c r="P2228" t="s">
        <v>23632</v>
      </c>
    </row>
    <row r="2229" spans="2:17" x14ac:dyDescent="0.25">
      <c r="B2229">
        <v>12080</v>
      </c>
      <c r="C2229" t="s">
        <v>23633</v>
      </c>
      <c r="E2229">
        <v>242</v>
      </c>
      <c r="F2229">
        <v>241</v>
      </c>
      <c r="G2229">
        <v>240</v>
      </c>
      <c r="P2229" t="s">
        <v>3781</v>
      </c>
    </row>
    <row r="2230" spans="2:17" x14ac:dyDescent="0.25">
      <c r="B2230">
        <v>266441629</v>
      </c>
      <c r="C2230" t="s">
        <v>23634</v>
      </c>
      <c r="E2230">
        <v>242</v>
      </c>
      <c r="F2230">
        <v>241</v>
      </c>
      <c r="G2230">
        <v>240</v>
      </c>
      <c r="P2230" t="s">
        <v>12907</v>
      </c>
    </row>
    <row r="2231" spans="2:17" x14ac:dyDescent="0.25">
      <c r="B2231">
        <v>12081</v>
      </c>
      <c r="C2231" t="s">
        <v>23635</v>
      </c>
      <c r="E2231">
        <v>242</v>
      </c>
      <c r="F2231">
        <v>241</v>
      </c>
      <c r="G2231">
        <v>240</v>
      </c>
      <c r="P2231" t="s">
        <v>11980</v>
      </c>
    </row>
    <row r="2232" spans="2:17" x14ac:dyDescent="0.25">
      <c r="B2232">
        <v>266441633</v>
      </c>
      <c r="C2232" t="s">
        <v>23636</v>
      </c>
      <c r="E2232">
        <v>242</v>
      </c>
      <c r="F2232">
        <v>241</v>
      </c>
      <c r="G2232">
        <v>240</v>
      </c>
      <c r="P2232" t="s">
        <v>429</v>
      </c>
    </row>
    <row r="2233" spans="2:17" x14ac:dyDescent="0.25">
      <c r="B2233">
        <v>12082</v>
      </c>
      <c r="C2233" t="s">
        <v>20781</v>
      </c>
      <c r="E2233">
        <v>242</v>
      </c>
      <c r="F2233">
        <v>241</v>
      </c>
      <c r="G2233">
        <v>240</v>
      </c>
      <c r="P2233" t="s">
        <v>4934</v>
      </c>
    </row>
    <row r="2234" spans="2:17" x14ac:dyDescent="0.25">
      <c r="B2234">
        <v>12083</v>
      </c>
      <c r="C2234" t="s">
        <v>23637</v>
      </c>
      <c r="E2234">
        <v>242</v>
      </c>
      <c r="F2234">
        <v>241</v>
      </c>
      <c r="G2234">
        <v>240</v>
      </c>
      <c r="Q2234" t="s">
        <v>7247</v>
      </c>
    </row>
    <row r="2235" spans="2:17" x14ac:dyDescent="0.25">
      <c r="B2235">
        <v>12084</v>
      </c>
      <c r="C2235" t="s">
        <v>23638</v>
      </c>
      <c r="E2235">
        <v>242</v>
      </c>
      <c r="F2235">
        <v>241</v>
      </c>
      <c r="G2235">
        <v>240</v>
      </c>
      <c r="Q2235" t="s">
        <v>7249</v>
      </c>
    </row>
    <row r="2236" spans="2:17" x14ac:dyDescent="0.25">
      <c r="B2236">
        <v>15545</v>
      </c>
      <c r="C2236" t="s">
        <v>23639</v>
      </c>
      <c r="E2236">
        <v>242</v>
      </c>
      <c r="F2236">
        <v>241</v>
      </c>
      <c r="G2236">
        <v>240</v>
      </c>
      <c r="P2236" t="s">
        <v>12002</v>
      </c>
    </row>
    <row r="2237" spans="2:17" x14ac:dyDescent="0.25">
      <c r="B2237">
        <v>12085</v>
      </c>
      <c r="C2237" t="s">
        <v>23640</v>
      </c>
      <c r="E2237">
        <v>242</v>
      </c>
      <c r="F2237">
        <v>241</v>
      </c>
      <c r="G2237">
        <v>240</v>
      </c>
      <c r="P2237" t="s">
        <v>5070</v>
      </c>
    </row>
    <row r="2238" spans="2:17" x14ac:dyDescent="0.25">
      <c r="B2238">
        <v>10590</v>
      </c>
      <c r="C2238" t="s">
        <v>23641</v>
      </c>
      <c r="E2238">
        <v>242</v>
      </c>
      <c r="F2238">
        <v>241</v>
      </c>
      <c r="G2238">
        <v>240</v>
      </c>
      <c r="P2238" t="s">
        <v>5074</v>
      </c>
    </row>
    <row r="2239" spans="2:17" x14ac:dyDescent="0.25">
      <c r="B2239">
        <v>10591</v>
      </c>
      <c r="C2239" t="s">
        <v>18501</v>
      </c>
      <c r="E2239">
        <v>242</v>
      </c>
      <c r="F2239">
        <v>241</v>
      </c>
      <c r="G2239">
        <v>240</v>
      </c>
      <c r="P2239" t="s">
        <v>5082</v>
      </c>
    </row>
    <row r="2240" spans="2:17" x14ac:dyDescent="0.25">
      <c r="B2240">
        <v>12086</v>
      </c>
      <c r="C2240" t="s">
        <v>23642</v>
      </c>
      <c r="E2240">
        <v>242</v>
      </c>
      <c r="F2240">
        <v>241</v>
      </c>
      <c r="G2240">
        <v>240</v>
      </c>
      <c r="P2240" t="s">
        <v>23643</v>
      </c>
    </row>
    <row r="2241" spans="2:17" x14ac:dyDescent="0.25">
      <c r="B2241">
        <v>12087</v>
      </c>
      <c r="C2241" t="s">
        <v>23644</v>
      </c>
      <c r="E2241">
        <v>242</v>
      </c>
      <c r="F2241">
        <v>241</v>
      </c>
      <c r="G2241">
        <v>240</v>
      </c>
      <c r="P2241" t="s">
        <v>23645</v>
      </c>
    </row>
    <row r="2242" spans="2:17" x14ac:dyDescent="0.25">
      <c r="B2242">
        <v>12088</v>
      </c>
      <c r="C2242" t="s">
        <v>23646</v>
      </c>
      <c r="E2242">
        <v>242</v>
      </c>
      <c r="F2242">
        <v>241</v>
      </c>
      <c r="G2242">
        <v>240</v>
      </c>
      <c r="P2242" t="s">
        <v>23647</v>
      </c>
    </row>
    <row r="2243" spans="2:17" x14ac:dyDescent="0.25">
      <c r="B2243">
        <v>12072</v>
      </c>
      <c r="C2243" t="s">
        <v>23648</v>
      </c>
      <c r="E2243">
        <v>242</v>
      </c>
      <c r="F2243">
        <v>241</v>
      </c>
      <c r="G2243">
        <v>240</v>
      </c>
      <c r="P2243" t="s">
        <v>14704</v>
      </c>
    </row>
    <row r="2244" spans="2:17" x14ac:dyDescent="0.25">
      <c r="B2244">
        <v>12089</v>
      </c>
      <c r="C2244" t="s">
        <v>23649</v>
      </c>
      <c r="E2244">
        <v>242</v>
      </c>
      <c r="F2244">
        <v>241</v>
      </c>
      <c r="G2244">
        <v>240</v>
      </c>
      <c r="P2244" t="s">
        <v>1213</v>
      </c>
    </row>
    <row r="2245" spans="2:17" x14ac:dyDescent="0.25">
      <c r="B2245">
        <v>266441637</v>
      </c>
      <c r="C2245" t="s">
        <v>23650</v>
      </c>
      <c r="E2245">
        <v>242</v>
      </c>
      <c r="F2245">
        <v>241</v>
      </c>
      <c r="G2245">
        <v>240</v>
      </c>
      <c r="P2245" t="s">
        <v>4436</v>
      </c>
    </row>
    <row r="2246" spans="2:17" x14ac:dyDescent="0.25">
      <c r="B2246">
        <v>10592</v>
      </c>
      <c r="C2246" t="s">
        <v>23651</v>
      </c>
      <c r="E2246">
        <v>242</v>
      </c>
      <c r="F2246">
        <v>241</v>
      </c>
      <c r="G2246">
        <v>240</v>
      </c>
      <c r="P2246" t="s">
        <v>5397</v>
      </c>
    </row>
    <row r="2247" spans="2:17" x14ac:dyDescent="0.25">
      <c r="B2247">
        <v>266441641</v>
      </c>
      <c r="C2247" t="s">
        <v>23652</v>
      </c>
      <c r="E2247">
        <v>242</v>
      </c>
      <c r="F2247">
        <v>241</v>
      </c>
      <c r="G2247">
        <v>240</v>
      </c>
      <c r="Q2247" t="s">
        <v>8525</v>
      </c>
    </row>
    <row r="2248" spans="2:17" x14ac:dyDescent="0.25">
      <c r="B2248">
        <v>266441645</v>
      </c>
      <c r="C2248" t="s">
        <v>23653</v>
      </c>
      <c r="E2248">
        <v>242</v>
      </c>
      <c r="F2248">
        <v>241</v>
      </c>
      <c r="G2248">
        <v>240</v>
      </c>
      <c r="Q2248" t="s">
        <v>8527</v>
      </c>
    </row>
    <row r="2249" spans="2:17" x14ac:dyDescent="0.25">
      <c r="B2249">
        <v>266441649</v>
      </c>
      <c r="C2249" t="s">
        <v>23654</v>
      </c>
      <c r="E2249">
        <v>242</v>
      </c>
      <c r="F2249">
        <v>241</v>
      </c>
      <c r="G2249">
        <v>240</v>
      </c>
      <c r="Q2249" t="s">
        <v>8529</v>
      </c>
    </row>
    <row r="2250" spans="2:17" x14ac:dyDescent="0.25">
      <c r="B2250">
        <v>13216</v>
      </c>
      <c r="C2250" t="s">
        <v>23655</v>
      </c>
      <c r="E2250">
        <v>242</v>
      </c>
      <c r="F2250">
        <v>241</v>
      </c>
      <c r="G2250">
        <v>240</v>
      </c>
      <c r="P2250" t="s">
        <v>23656</v>
      </c>
    </row>
    <row r="2251" spans="2:17" x14ac:dyDescent="0.25">
      <c r="B2251">
        <v>266441653</v>
      </c>
      <c r="C2251" t="s">
        <v>23657</v>
      </c>
      <c r="E2251">
        <v>242</v>
      </c>
      <c r="F2251">
        <v>241</v>
      </c>
      <c r="G2251">
        <v>240</v>
      </c>
      <c r="P2251" t="s">
        <v>23658</v>
      </c>
    </row>
    <row r="2252" spans="2:17" x14ac:dyDescent="0.25">
      <c r="B2252">
        <v>10593</v>
      </c>
      <c r="C2252" t="s">
        <v>23659</v>
      </c>
      <c r="E2252">
        <v>242</v>
      </c>
      <c r="F2252">
        <v>241</v>
      </c>
      <c r="G2252">
        <v>240</v>
      </c>
      <c r="P2252" t="s">
        <v>1211</v>
      </c>
    </row>
    <row r="2253" spans="2:17" x14ac:dyDescent="0.25">
      <c r="B2253">
        <v>12090</v>
      </c>
      <c r="C2253" t="s">
        <v>23660</v>
      </c>
      <c r="E2253">
        <v>242</v>
      </c>
      <c r="F2253">
        <v>241</v>
      </c>
      <c r="G2253">
        <v>240</v>
      </c>
      <c r="P2253" t="s">
        <v>23661</v>
      </c>
    </row>
    <row r="2254" spans="2:17" x14ac:dyDescent="0.25">
      <c r="B2254">
        <v>12091</v>
      </c>
      <c r="C2254" t="s">
        <v>23662</v>
      </c>
      <c r="E2254">
        <v>242</v>
      </c>
      <c r="F2254">
        <v>241</v>
      </c>
      <c r="G2254">
        <v>240</v>
      </c>
      <c r="P2254" t="s">
        <v>23663</v>
      </c>
    </row>
    <row r="2255" spans="2:17" x14ac:dyDescent="0.25">
      <c r="B2255">
        <v>12092</v>
      </c>
      <c r="C2255" t="s">
        <v>23664</v>
      </c>
      <c r="E2255">
        <v>242</v>
      </c>
      <c r="F2255">
        <v>241</v>
      </c>
      <c r="G2255">
        <v>240</v>
      </c>
      <c r="P2255" t="s">
        <v>23665</v>
      </c>
    </row>
    <row r="2256" spans="2:17" x14ac:dyDescent="0.25">
      <c r="B2256">
        <v>10594</v>
      </c>
      <c r="C2256" t="s">
        <v>23666</v>
      </c>
      <c r="E2256">
        <v>242</v>
      </c>
      <c r="F2256">
        <v>241</v>
      </c>
      <c r="G2256">
        <v>240</v>
      </c>
      <c r="P2256" t="s">
        <v>5399</v>
      </c>
    </row>
    <row r="2257" spans="2:16" x14ac:dyDescent="0.25">
      <c r="B2257">
        <v>12093</v>
      </c>
      <c r="C2257" t="s">
        <v>23667</v>
      </c>
      <c r="E2257">
        <v>242</v>
      </c>
      <c r="F2257">
        <v>241</v>
      </c>
      <c r="G2257">
        <v>240</v>
      </c>
      <c r="P2257" t="s">
        <v>23668</v>
      </c>
    </row>
    <row r="2258" spans="2:16" x14ac:dyDescent="0.25">
      <c r="B2258">
        <v>10595</v>
      </c>
      <c r="C2258" t="s">
        <v>23669</v>
      </c>
      <c r="E2258">
        <v>35</v>
      </c>
      <c r="F2258">
        <v>31</v>
      </c>
      <c r="G2258">
        <v>32</v>
      </c>
      <c r="N2258" t="s">
        <v>1658</v>
      </c>
    </row>
    <row r="2259" spans="2:16" x14ac:dyDescent="0.25">
      <c r="B2259">
        <v>10596</v>
      </c>
      <c r="C2259" t="s">
        <v>23670</v>
      </c>
      <c r="E2259">
        <v>35</v>
      </c>
      <c r="F2259">
        <v>31</v>
      </c>
      <c r="G2259">
        <v>32</v>
      </c>
      <c r="O2259" t="s">
        <v>14903</v>
      </c>
    </row>
    <row r="2260" spans="2:16" x14ac:dyDescent="0.25">
      <c r="B2260">
        <v>10597</v>
      </c>
      <c r="C2260" t="s">
        <v>23671</v>
      </c>
      <c r="E2260">
        <v>35</v>
      </c>
      <c r="F2260">
        <v>31</v>
      </c>
      <c r="G2260">
        <v>32</v>
      </c>
      <c r="P2260" t="s">
        <v>335</v>
      </c>
    </row>
    <row r="2261" spans="2:16" x14ac:dyDescent="0.25">
      <c r="B2261">
        <v>10598</v>
      </c>
      <c r="C2261" t="s">
        <v>23672</v>
      </c>
      <c r="E2261">
        <v>35</v>
      </c>
      <c r="F2261">
        <v>31</v>
      </c>
      <c r="G2261">
        <v>32</v>
      </c>
      <c r="P2261" t="s">
        <v>590</v>
      </c>
    </row>
    <row r="2262" spans="2:16" x14ac:dyDescent="0.25">
      <c r="B2262">
        <v>266441657</v>
      </c>
      <c r="C2262" t="s">
        <v>23673</v>
      </c>
      <c r="E2262">
        <v>35</v>
      </c>
      <c r="F2262">
        <v>31</v>
      </c>
      <c r="G2262">
        <v>32</v>
      </c>
      <c r="P2262" t="s">
        <v>8531</v>
      </c>
    </row>
    <row r="2263" spans="2:16" x14ac:dyDescent="0.25">
      <c r="B2263">
        <v>10599</v>
      </c>
      <c r="C2263" t="s">
        <v>23674</v>
      </c>
      <c r="E2263">
        <v>35</v>
      </c>
      <c r="F2263">
        <v>31</v>
      </c>
      <c r="G2263">
        <v>32</v>
      </c>
      <c r="P2263" t="s">
        <v>3934</v>
      </c>
    </row>
    <row r="2264" spans="2:16" x14ac:dyDescent="0.25">
      <c r="B2264">
        <v>10600</v>
      </c>
      <c r="C2264" t="s">
        <v>23675</v>
      </c>
      <c r="E2264">
        <v>35</v>
      </c>
      <c r="F2264">
        <v>31</v>
      </c>
      <c r="G2264">
        <v>32</v>
      </c>
      <c r="P2264" t="s">
        <v>2371</v>
      </c>
    </row>
    <row r="2265" spans="2:16" x14ac:dyDescent="0.25">
      <c r="B2265">
        <v>12021</v>
      </c>
      <c r="C2265" t="s">
        <v>23676</v>
      </c>
      <c r="E2265">
        <v>35</v>
      </c>
      <c r="F2265">
        <v>31</v>
      </c>
      <c r="G2265">
        <v>32</v>
      </c>
      <c r="O2265" t="s">
        <v>23677</v>
      </c>
    </row>
    <row r="2266" spans="2:16" x14ac:dyDescent="0.25">
      <c r="B2266">
        <v>10602</v>
      </c>
      <c r="C2266" t="s">
        <v>23678</v>
      </c>
      <c r="E2266">
        <v>35</v>
      </c>
      <c r="F2266">
        <v>31</v>
      </c>
      <c r="G2266">
        <v>32</v>
      </c>
      <c r="O2266" t="s">
        <v>14943</v>
      </c>
    </row>
    <row r="2267" spans="2:16" x14ac:dyDescent="0.25">
      <c r="B2267">
        <v>10603</v>
      </c>
      <c r="C2267" t="s">
        <v>23679</v>
      </c>
      <c r="E2267">
        <v>35</v>
      </c>
      <c r="F2267">
        <v>31</v>
      </c>
      <c r="G2267">
        <v>32</v>
      </c>
      <c r="P2267" t="s">
        <v>23680</v>
      </c>
    </row>
    <row r="2268" spans="2:16" x14ac:dyDescent="0.25">
      <c r="B2268">
        <v>10604</v>
      </c>
      <c r="C2268" t="s">
        <v>23681</v>
      </c>
      <c r="E2268">
        <v>35</v>
      </c>
      <c r="F2268">
        <v>31</v>
      </c>
      <c r="G2268">
        <v>32</v>
      </c>
      <c r="P2268" t="s">
        <v>23682</v>
      </c>
    </row>
    <row r="2269" spans="2:16" x14ac:dyDescent="0.25">
      <c r="B2269">
        <v>266441661</v>
      </c>
      <c r="C2269" t="s">
        <v>23683</v>
      </c>
      <c r="E2269">
        <v>35</v>
      </c>
      <c r="F2269">
        <v>31</v>
      </c>
      <c r="G2269">
        <v>32</v>
      </c>
      <c r="P2269" t="s">
        <v>3834</v>
      </c>
    </row>
    <row r="2270" spans="2:16" x14ac:dyDescent="0.25">
      <c r="B2270">
        <v>10605</v>
      </c>
      <c r="C2270" t="s">
        <v>23684</v>
      </c>
      <c r="E2270">
        <v>35</v>
      </c>
      <c r="F2270">
        <v>31</v>
      </c>
      <c r="G2270">
        <v>32</v>
      </c>
      <c r="P2270" t="s">
        <v>23685</v>
      </c>
    </row>
    <row r="2271" spans="2:16" x14ac:dyDescent="0.25">
      <c r="B2271">
        <v>12100</v>
      </c>
      <c r="C2271" t="s">
        <v>23686</v>
      </c>
      <c r="E2271">
        <v>35</v>
      </c>
      <c r="F2271">
        <v>31</v>
      </c>
      <c r="G2271">
        <v>32</v>
      </c>
      <c r="P2271" t="s">
        <v>23687</v>
      </c>
    </row>
    <row r="2272" spans="2:16" x14ac:dyDescent="0.25">
      <c r="B2272">
        <v>10608</v>
      </c>
      <c r="C2272" t="s">
        <v>20957</v>
      </c>
      <c r="E2272">
        <v>35</v>
      </c>
      <c r="F2272">
        <v>31</v>
      </c>
      <c r="G2272">
        <v>32</v>
      </c>
      <c r="O2272" t="s">
        <v>2520</v>
      </c>
    </row>
    <row r="2273" spans="2:19" x14ac:dyDescent="0.25">
      <c r="B2273">
        <v>10609</v>
      </c>
      <c r="C2273" t="s">
        <v>23688</v>
      </c>
      <c r="E2273">
        <v>200</v>
      </c>
      <c r="F2273">
        <v>201</v>
      </c>
      <c r="G2273">
        <v>202</v>
      </c>
      <c r="N2273" t="s">
        <v>23689</v>
      </c>
    </row>
    <row r="2274" spans="2:19" x14ac:dyDescent="0.25">
      <c r="B2274">
        <v>10610</v>
      </c>
      <c r="C2274" t="s">
        <v>23690</v>
      </c>
      <c r="E2274">
        <v>109</v>
      </c>
      <c r="F2274">
        <v>110</v>
      </c>
      <c r="G2274">
        <v>112</v>
      </c>
      <c r="O2274" t="s">
        <v>14773</v>
      </c>
    </row>
    <row r="2275" spans="2:19" x14ac:dyDescent="0.25">
      <c r="B2275">
        <v>10611</v>
      </c>
      <c r="C2275" t="s">
        <v>23691</v>
      </c>
      <c r="E2275">
        <v>109</v>
      </c>
      <c r="F2275">
        <v>110</v>
      </c>
      <c r="G2275">
        <v>112</v>
      </c>
      <c r="P2275" t="s">
        <v>23692</v>
      </c>
    </row>
    <row r="2276" spans="2:19" x14ac:dyDescent="0.25">
      <c r="B2276">
        <v>10612</v>
      </c>
      <c r="C2276" t="s">
        <v>23693</v>
      </c>
      <c r="E2276">
        <v>109</v>
      </c>
      <c r="F2276">
        <v>110</v>
      </c>
      <c r="G2276">
        <v>112</v>
      </c>
      <c r="Q2276" t="s">
        <v>852</v>
      </c>
    </row>
    <row r="2277" spans="2:19" x14ac:dyDescent="0.25">
      <c r="B2277">
        <v>13217</v>
      </c>
      <c r="C2277" t="s">
        <v>23694</v>
      </c>
      <c r="E2277">
        <v>109</v>
      </c>
      <c r="F2277">
        <v>110</v>
      </c>
      <c r="G2277">
        <v>112</v>
      </c>
      <c r="R2277" t="s">
        <v>8040</v>
      </c>
    </row>
    <row r="2278" spans="2:19" x14ac:dyDescent="0.25">
      <c r="B2278">
        <v>13218</v>
      </c>
      <c r="C2278" t="s">
        <v>23695</v>
      </c>
      <c r="E2278">
        <v>109</v>
      </c>
      <c r="F2278">
        <v>110</v>
      </c>
      <c r="G2278">
        <v>112</v>
      </c>
      <c r="R2278" t="s">
        <v>8042</v>
      </c>
    </row>
    <row r="2279" spans="2:19" x14ac:dyDescent="0.25">
      <c r="B2279">
        <v>13219</v>
      </c>
      <c r="C2279" t="s">
        <v>23696</v>
      </c>
      <c r="E2279">
        <v>109</v>
      </c>
      <c r="F2279">
        <v>110</v>
      </c>
      <c r="G2279">
        <v>112</v>
      </c>
      <c r="S2279" t="s">
        <v>8044</v>
      </c>
    </row>
    <row r="2280" spans="2:19" x14ac:dyDescent="0.25">
      <c r="B2280">
        <v>13220</v>
      </c>
      <c r="C2280" t="s">
        <v>23697</v>
      </c>
      <c r="E2280">
        <v>109</v>
      </c>
      <c r="F2280">
        <v>110</v>
      </c>
      <c r="G2280">
        <v>112</v>
      </c>
      <c r="S2280" t="s">
        <v>8046</v>
      </c>
    </row>
    <row r="2281" spans="2:19" x14ac:dyDescent="0.25">
      <c r="B2281">
        <v>10613</v>
      </c>
      <c r="C2281" t="s">
        <v>23698</v>
      </c>
      <c r="E2281">
        <v>109</v>
      </c>
      <c r="F2281">
        <v>110</v>
      </c>
      <c r="G2281">
        <v>112</v>
      </c>
      <c r="Q2281" t="s">
        <v>857</v>
      </c>
    </row>
    <row r="2282" spans="2:19" x14ac:dyDescent="0.25">
      <c r="B2282">
        <v>10614</v>
      </c>
      <c r="C2282" t="s">
        <v>23699</v>
      </c>
      <c r="E2282">
        <v>109</v>
      </c>
      <c r="F2282">
        <v>110</v>
      </c>
      <c r="G2282">
        <v>112</v>
      </c>
      <c r="Q2282" t="s">
        <v>1000</v>
      </c>
    </row>
    <row r="2283" spans="2:19" x14ac:dyDescent="0.25">
      <c r="B2283">
        <v>10615</v>
      </c>
      <c r="C2283" t="s">
        <v>23700</v>
      </c>
      <c r="E2283">
        <v>109</v>
      </c>
      <c r="F2283">
        <v>110</v>
      </c>
      <c r="G2283">
        <v>112</v>
      </c>
      <c r="Q2283" t="s">
        <v>1252</v>
      </c>
    </row>
    <row r="2284" spans="2:19" x14ac:dyDescent="0.25">
      <c r="B2284">
        <v>10616</v>
      </c>
      <c r="C2284" t="s">
        <v>23701</v>
      </c>
      <c r="E2284">
        <v>109</v>
      </c>
      <c r="F2284">
        <v>110</v>
      </c>
      <c r="G2284">
        <v>112</v>
      </c>
      <c r="R2284" t="s">
        <v>5401</v>
      </c>
    </row>
    <row r="2285" spans="2:19" x14ac:dyDescent="0.25">
      <c r="B2285">
        <v>10617</v>
      </c>
      <c r="C2285" t="s">
        <v>23702</v>
      </c>
      <c r="E2285">
        <v>109</v>
      </c>
      <c r="F2285">
        <v>110</v>
      </c>
      <c r="G2285">
        <v>112</v>
      </c>
      <c r="Q2285" t="s">
        <v>23703</v>
      </c>
    </row>
    <row r="2286" spans="2:19" x14ac:dyDescent="0.25">
      <c r="B2286">
        <v>13341</v>
      </c>
      <c r="C2286" t="s">
        <v>23704</v>
      </c>
      <c r="E2286">
        <v>109</v>
      </c>
      <c r="F2286">
        <v>110</v>
      </c>
      <c r="G2286">
        <v>112</v>
      </c>
      <c r="R2286" t="s">
        <v>23705</v>
      </c>
    </row>
    <row r="2287" spans="2:19" x14ac:dyDescent="0.25">
      <c r="B2287">
        <v>13342</v>
      </c>
      <c r="C2287" t="s">
        <v>23706</v>
      </c>
      <c r="E2287">
        <v>109</v>
      </c>
      <c r="F2287">
        <v>110</v>
      </c>
      <c r="G2287">
        <v>112</v>
      </c>
      <c r="R2287" t="s">
        <v>23707</v>
      </c>
    </row>
    <row r="2288" spans="2:19" x14ac:dyDescent="0.25">
      <c r="B2288">
        <v>10618</v>
      </c>
      <c r="C2288" t="s">
        <v>23708</v>
      </c>
      <c r="E2288">
        <v>109</v>
      </c>
      <c r="F2288">
        <v>110</v>
      </c>
      <c r="G2288">
        <v>112</v>
      </c>
      <c r="Q2288" t="s">
        <v>1281</v>
      </c>
    </row>
    <row r="2289" spans="2:18" x14ac:dyDescent="0.25">
      <c r="B2289">
        <v>146034772</v>
      </c>
      <c r="C2289" t="s">
        <v>23709</v>
      </c>
      <c r="E2289">
        <v>109</v>
      </c>
      <c r="F2289">
        <v>110</v>
      </c>
      <c r="G2289">
        <v>112</v>
      </c>
      <c r="R2289" t="s">
        <v>8239</v>
      </c>
    </row>
    <row r="2290" spans="2:18" x14ac:dyDescent="0.25">
      <c r="B2290">
        <v>146034776</v>
      </c>
      <c r="C2290" t="s">
        <v>23710</v>
      </c>
      <c r="E2290">
        <v>109</v>
      </c>
      <c r="F2290">
        <v>110</v>
      </c>
      <c r="G2290">
        <v>112</v>
      </c>
      <c r="R2290" t="s">
        <v>8241</v>
      </c>
    </row>
    <row r="2291" spans="2:18" x14ac:dyDescent="0.25">
      <c r="B2291">
        <v>10619</v>
      </c>
      <c r="C2291" t="s">
        <v>20969</v>
      </c>
      <c r="E2291">
        <v>109</v>
      </c>
      <c r="F2291">
        <v>110</v>
      </c>
      <c r="G2291">
        <v>112</v>
      </c>
      <c r="Q2291" t="s">
        <v>2297</v>
      </c>
    </row>
    <row r="2292" spans="2:18" x14ac:dyDescent="0.25">
      <c r="B2292">
        <v>10620</v>
      </c>
      <c r="C2292" t="s">
        <v>23711</v>
      </c>
      <c r="E2292">
        <v>109</v>
      </c>
      <c r="F2292">
        <v>110</v>
      </c>
      <c r="G2292">
        <v>112</v>
      </c>
      <c r="Q2292" t="s">
        <v>2534</v>
      </c>
    </row>
    <row r="2293" spans="2:18" x14ac:dyDescent="0.25">
      <c r="B2293">
        <v>10621</v>
      </c>
      <c r="C2293" t="s">
        <v>23712</v>
      </c>
      <c r="E2293">
        <v>109</v>
      </c>
      <c r="F2293">
        <v>110</v>
      </c>
      <c r="G2293">
        <v>112</v>
      </c>
      <c r="Q2293" t="s">
        <v>2725</v>
      </c>
    </row>
    <row r="2294" spans="2:18" x14ac:dyDescent="0.25">
      <c r="B2294">
        <v>12107</v>
      </c>
      <c r="C2294" t="s">
        <v>23713</v>
      </c>
      <c r="E2294">
        <v>109</v>
      </c>
      <c r="F2294">
        <v>110</v>
      </c>
      <c r="G2294">
        <v>112</v>
      </c>
      <c r="R2294" t="s">
        <v>7251</v>
      </c>
    </row>
    <row r="2295" spans="2:18" x14ac:dyDescent="0.25">
      <c r="B2295">
        <v>12108</v>
      </c>
      <c r="C2295" t="s">
        <v>23714</v>
      </c>
      <c r="E2295">
        <v>109</v>
      </c>
      <c r="F2295">
        <v>110</v>
      </c>
      <c r="G2295">
        <v>112</v>
      </c>
      <c r="R2295" t="s">
        <v>7253</v>
      </c>
    </row>
    <row r="2296" spans="2:18" x14ac:dyDescent="0.25">
      <c r="B2296">
        <v>12109</v>
      </c>
      <c r="C2296" t="s">
        <v>23715</v>
      </c>
      <c r="E2296">
        <v>109</v>
      </c>
      <c r="F2296">
        <v>110</v>
      </c>
      <c r="G2296">
        <v>112</v>
      </c>
      <c r="R2296" t="s">
        <v>7255</v>
      </c>
    </row>
    <row r="2297" spans="2:18" x14ac:dyDescent="0.25">
      <c r="B2297">
        <v>10622</v>
      </c>
      <c r="C2297" t="s">
        <v>23716</v>
      </c>
      <c r="E2297">
        <v>109</v>
      </c>
      <c r="F2297">
        <v>110</v>
      </c>
      <c r="G2297">
        <v>112</v>
      </c>
      <c r="Q2297" t="s">
        <v>2805</v>
      </c>
    </row>
    <row r="2298" spans="2:18" x14ac:dyDescent="0.25">
      <c r="B2298">
        <v>10623</v>
      </c>
      <c r="C2298" t="s">
        <v>23717</v>
      </c>
      <c r="E2298">
        <v>109</v>
      </c>
      <c r="F2298">
        <v>110</v>
      </c>
      <c r="G2298">
        <v>112</v>
      </c>
      <c r="Q2298" t="s">
        <v>3398</v>
      </c>
    </row>
    <row r="2299" spans="2:18" x14ac:dyDescent="0.25">
      <c r="B2299">
        <v>10624</v>
      </c>
      <c r="C2299" t="s">
        <v>23718</v>
      </c>
      <c r="E2299">
        <v>109</v>
      </c>
      <c r="F2299">
        <v>110</v>
      </c>
      <c r="G2299">
        <v>112</v>
      </c>
      <c r="Q2299" t="s">
        <v>3460</v>
      </c>
    </row>
    <row r="2300" spans="2:18" x14ac:dyDescent="0.25">
      <c r="B2300">
        <v>10625</v>
      </c>
      <c r="C2300" t="s">
        <v>23719</v>
      </c>
      <c r="E2300">
        <v>109</v>
      </c>
      <c r="F2300">
        <v>110</v>
      </c>
      <c r="G2300">
        <v>112</v>
      </c>
      <c r="Q2300" t="s">
        <v>3535</v>
      </c>
    </row>
    <row r="2301" spans="2:18" x14ac:dyDescent="0.25">
      <c r="B2301">
        <v>13221</v>
      </c>
      <c r="C2301" t="s">
        <v>23720</v>
      </c>
      <c r="E2301">
        <v>109</v>
      </c>
      <c r="F2301">
        <v>110</v>
      </c>
      <c r="G2301">
        <v>112</v>
      </c>
      <c r="R2301" t="s">
        <v>8048</v>
      </c>
    </row>
    <row r="2302" spans="2:18" x14ac:dyDescent="0.25">
      <c r="B2302">
        <v>13222</v>
      </c>
      <c r="C2302" t="s">
        <v>23721</v>
      </c>
      <c r="E2302">
        <v>109</v>
      </c>
      <c r="F2302">
        <v>110</v>
      </c>
      <c r="G2302">
        <v>112</v>
      </c>
      <c r="R2302" t="s">
        <v>8050</v>
      </c>
    </row>
    <row r="2303" spans="2:18" x14ac:dyDescent="0.25">
      <c r="B2303">
        <v>13223</v>
      </c>
      <c r="C2303" t="s">
        <v>23722</v>
      </c>
      <c r="E2303">
        <v>109</v>
      </c>
      <c r="F2303">
        <v>110</v>
      </c>
      <c r="G2303">
        <v>112</v>
      </c>
      <c r="R2303" t="s">
        <v>14956</v>
      </c>
    </row>
    <row r="2304" spans="2:18" x14ac:dyDescent="0.25">
      <c r="B2304">
        <v>10626</v>
      </c>
      <c r="C2304" t="s">
        <v>23723</v>
      </c>
      <c r="E2304">
        <v>109</v>
      </c>
      <c r="F2304">
        <v>110</v>
      </c>
      <c r="G2304">
        <v>112</v>
      </c>
      <c r="Q2304" t="s">
        <v>3739</v>
      </c>
    </row>
    <row r="2305" spans="2:18" x14ac:dyDescent="0.25">
      <c r="B2305">
        <v>146034780</v>
      </c>
      <c r="C2305" t="s">
        <v>23724</v>
      </c>
      <c r="E2305">
        <v>109</v>
      </c>
      <c r="F2305">
        <v>110</v>
      </c>
      <c r="G2305">
        <v>112</v>
      </c>
      <c r="R2305" t="s">
        <v>8243</v>
      </c>
    </row>
    <row r="2306" spans="2:18" x14ac:dyDescent="0.25">
      <c r="B2306">
        <v>10627</v>
      </c>
      <c r="C2306" t="s">
        <v>23725</v>
      </c>
      <c r="E2306">
        <v>109</v>
      </c>
      <c r="F2306">
        <v>110</v>
      </c>
      <c r="G2306">
        <v>112</v>
      </c>
      <c r="Q2306" t="s">
        <v>3904</v>
      </c>
    </row>
    <row r="2307" spans="2:18" x14ac:dyDescent="0.25">
      <c r="B2307">
        <v>10628</v>
      </c>
      <c r="C2307" t="s">
        <v>23726</v>
      </c>
      <c r="E2307">
        <v>109</v>
      </c>
      <c r="F2307">
        <v>110</v>
      </c>
      <c r="G2307">
        <v>112</v>
      </c>
      <c r="Q2307" t="s">
        <v>4065</v>
      </c>
    </row>
    <row r="2308" spans="2:18" x14ac:dyDescent="0.25">
      <c r="B2308">
        <v>10629</v>
      </c>
      <c r="C2308" t="s">
        <v>23727</v>
      </c>
      <c r="E2308">
        <v>109</v>
      </c>
      <c r="F2308">
        <v>110</v>
      </c>
      <c r="G2308">
        <v>112</v>
      </c>
      <c r="Q2308" t="s">
        <v>14850</v>
      </c>
    </row>
    <row r="2309" spans="2:18" x14ac:dyDescent="0.25">
      <c r="B2309">
        <v>12110</v>
      </c>
      <c r="C2309" t="s">
        <v>23728</v>
      </c>
      <c r="E2309">
        <v>109</v>
      </c>
      <c r="F2309">
        <v>110</v>
      </c>
      <c r="G2309">
        <v>112</v>
      </c>
      <c r="Q2309" t="s">
        <v>2727</v>
      </c>
    </row>
    <row r="2310" spans="2:18" x14ac:dyDescent="0.25">
      <c r="B2310">
        <v>10630</v>
      </c>
      <c r="C2310" t="s">
        <v>23729</v>
      </c>
      <c r="E2310">
        <v>109</v>
      </c>
      <c r="F2310">
        <v>110</v>
      </c>
      <c r="G2310">
        <v>112</v>
      </c>
      <c r="P2310" t="s">
        <v>23730</v>
      </c>
    </row>
    <row r="2311" spans="2:18" x14ac:dyDescent="0.25">
      <c r="B2311">
        <v>146034784</v>
      </c>
      <c r="C2311" t="s">
        <v>23731</v>
      </c>
      <c r="E2311">
        <v>109</v>
      </c>
      <c r="F2311">
        <v>110</v>
      </c>
      <c r="G2311">
        <v>112</v>
      </c>
      <c r="Q2311" t="s">
        <v>383</v>
      </c>
    </row>
    <row r="2312" spans="2:18" x14ac:dyDescent="0.25">
      <c r="B2312">
        <v>146034788</v>
      </c>
      <c r="C2312" t="s">
        <v>23732</v>
      </c>
      <c r="E2312">
        <v>109</v>
      </c>
      <c r="F2312">
        <v>110</v>
      </c>
      <c r="G2312">
        <v>112</v>
      </c>
      <c r="Q2312" t="s">
        <v>422</v>
      </c>
    </row>
    <row r="2313" spans="2:18" x14ac:dyDescent="0.25">
      <c r="B2313">
        <v>13227</v>
      </c>
      <c r="C2313" t="s">
        <v>23733</v>
      </c>
      <c r="E2313">
        <v>109</v>
      </c>
      <c r="F2313">
        <v>110</v>
      </c>
      <c r="G2313">
        <v>112</v>
      </c>
      <c r="Q2313" t="s">
        <v>1004</v>
      </c>
    </row>
    <row r="2314" spans="2:18" x14ac:dyDescent="0.25">
      <c r="B2314">
        <v>13226</v>
      </c>
      <c r="C2314" t="s">
        <v>23734</v>
      </c>
      <c r="E2314">
        <v>109</v>
      </c>
      <c r="F2314">
        <v>110</v>
      </c>
      <c r="G2314">
        <v>112</v>
      </c>
      <c r="Q2314" t="s">
        <v>23735</v>
      </c>
    </row>
    <row r="2315" spans="2:18" x14ac:dyDescent="0.25">
      <c r="B2315">
        <v>12111</v>
      </c>
      <c r="C2315" t="s">
        <v>23736</v>
      </c>
      <c r="E2315">
        <v>109</v>
      </c>
      <c r="F2315">
        <v>110</v>
      </c>
      <c r="G2315">
        <v>112</v>
      </c>
      <c r="Q2315" t="s">
        <v>23737</v>
      </c>
    </row>
    <row r="2316" spans="2:18" x14ac:dyDescent="0.25">
      <c r="B2316">
        <v>146034792</v>
      </c>
      <c r="C2316" t="s">
        <v>23738</v>
      </c>
      <c r="E2316">
        <v>109</v>
      </c>
      <c r="F2316">
        <v>110</v>
      </c>
      <c r="G2316">
        <v>112</v>
      </c>
      <c r="Q2316" t="s">
        <v>2039</v>
      </c>
    </row>
    <row r="2317" spans="2:18" x14ac:dyDescent="0.25">
      <c r="B2317">
        <v>10631</v>
      </c>
      <c r="C2317" t="s">
        <v>23739</v>
      </c>
      <c r="E2317">
        <v>109</v>
      </c>
      <c r="F2317">
        <v>110</v>
      </c>
      <c r="G2317">
        <v>112</v>
      </c>
      <c r="Q2317" t="s">
        <v>2367</v>
      </c>
    </row>
    <row r="2318" spans="2:18" x14ac:dyDescent="0.25">
      <c r="B2318">
        <v>10632</v>
      </c>
      <c r="C2318" t="s">
        <v>23740</v>
      </c>
      <c r="E2318">
        <v>109</v>
      </c>
      <c r="F2318">
        <v>110</v>
      </c>
      <c r="G2318">
        <v>112</v>
      </c>
      <c r="Q2318" t="s">
        <v>2420</v>
      </c>
    </row>
    <row r="2319" spans="2:18" x14ac:dyDescent="0.25">
      <c r="B2319">
        <v>146034796</v>
      </c>
      <c r="C2319" t="s">
        <v>23741</v>
      </c>
      <c r="E2319">
        <v>109</v>
      </c>
      <c r="F2319">
        <v>110</v>
      </c>
      <c r="G2319">
        <v>112</v>
      </c>
      <c r="Q2319" t="s">
        <v>3852</v>
      </c>
    </row>
    <row r="2320" spans="2:18" x14ac:dyDescent="0.25">
      <c r="B2320">
        <v>146034800</v>
      </c>
      <c r="C2320" t="s">
        <v>23742</v>
      </c>
      <c r="E2320">
        <v>109</v>
      </c>
      <c r="F2320">
        <v>110</v>
      </c>
      <c r="G2320">
        <v>112</v>
      </c>
      <c r="Q2320" t="s">
        <v>23743</v>
      </c>
    </row>
    <row r="2321" spans="2:18" x14ac:dyDescent="0.25">
      <c r="B2321">
        <v>266441665</v>
      </c>
      <c r="C2321" t="s">
        <v>23744</v>
      </c>
      <c r="E2321">
        <v>109</v>
      </c>
      <c r="F2321">
        <v>110</v>
      </c>
      <c r="G2321">
        <v>112</v>
      </c>
      <c r="Q2321" t="s">
        <v>23745</v>
      </c>
    </row>
    <row r="2322" spans="2:18" x14ac:dyDescent="0.25">
      <c r="B2322">
        <v>146034804</v>
      </c>
      <c r="C2322" t="s">
        <v>23746</v>
      </c>
      <c r="E2322">
        <v>109</v>
      </c>
      <c r="F2322">
        <v>110</v>
      </c>
      <c r="G2322">
        <v>112</v>
      </c>
      <c r="Q2322" t="s">
        <v>23747</v>
      </c>
    </row>
    <row r="2323" spans="2:18" x14ac:dyDescent="0.25">
      <c r="B2323">
        <v>146034808</v>
      </c>
      <c r="C2323" t="s">
        <v>23748</v>
      </c>
      <c r="E2323">
        <v>109</v>
      </c>
      <c r="F2323">
        <v>110</v>
      </c>
      <c r="G2323">
        <v>112</v>
      </c>
      <c r="Q2323" t="s">
        <v>23749</v>
      </c>
    </row>
    <row r="2324" spans="2:18" x14ac:dyDescent="0.25">
      <c r="B2324">
        <v>146034812</v>
      </c>
      <c r="C2324" t="s">
        <v>23750</v>
      </c>
      <c r="E2324">
        <v>109</v>
      </c>
      <c r="F2324">
        <v>110</v>
      </c>
      <c r="G2324">
        <v>112</v>
      </c>
      <c r="Q2324" t="s">
        <v>2816</v>
      </c>
    </row>
    <row r="2325" spans="2:18" x14ac:dyDescent="0.25">
      <c r="B2325">
        <v>146034816</v>
      </c>
      <c r="C2325" t="s">
        <v>23751</v>
      </c>
      <c r="E2325">
        <v>109</v>
      </c>
      <c r="F2325">
        <v>110</v>
      </c>
      <c r="G2325">
        <v>112</v>
      </c>
      <c r="Q2325" t="s">
        <v>3156</v>
      </c>
    </row>
    <row r="2326" spans="2:18" x14ac:dyDescent="0.25">
      <c r="B2326">
        <v>10633</v>
      </c>
      <c r="C2326" t="s">
        <v>23752</v>
      </c>
      <c r="E2326">
        <v>109</v>
      </c>
      <c r="F2326">
        <v>110</v>
      </c>
      <c r="G2326">
        <v>112</v>
      </c>
      <c r="Q2326" t="s">
        <v>3575</v>
      </c>
    </row>
    <row r="2327" spans="2:18" x14ac:dyDescent="0.25">
      <c r="B2327">
        <v>10634</v>
      </c>
      <c r="C2327" t="s">
        <v>23753</v>
      </c>
      <c r="E2327">
        <v>109</v>
      </c>
      <c r="F2327">
        <v>110</v>
      </c>
      <c r="G2327">
        <v>112</v>
      </c>
      <c r="Q2327" t="s">
        <v>23754</v>
      </c>
    </row>
    <row r="2328" spans="2:18" x14ac:dyDescent="0.25">
      <c r="B2328">
        <v>146034820</v>
      </c>
      <c r="C2328" t="s">
        <v>23755</v>
      </c>
      <c r="E2328">
        <v>109</v>
      </c>
      <c r="F2328">
        <v>110</v>
      </c>
      <c r="G2328">
        <v>112</v>
      </c>
      <c r="Q2328" t="s">
        <v>23756</v>
      </c>
    </row>
    <row r="2329" spans="2:18" x14ac:dyDescent="0.25">
      <c r="B2329">
        <v>10635</v>
      </c>
      <c r="C2329" t="s">
        <v>23757</v>
      </c>
      <c r="E2329">
        <v>109</v>
      </c>
      <c r="F2329">
        <v>110</v>
      </c>
      <c r="G2329">
        <v>112</v>
      </c>
      <c r="Q2329" t="s">
        <v>23758</v>
      </c>
    </row>
    <row r="2330" spans="2:18" x14ac:dyDescent="0.25">
      <c r="B2330">
        <v>146034824</v>
      </c>
      <c r="C2330" t="s">
        <v>23759</v>
      </c>
      <c r="E2330">
        <v>109</v>
      </c>
      <c r="F2330">
        <v>110</v>
      </c>
      <c r="G2330">
        <v>112</v>
      </c>
      <c r="R2330" t="s">
        <v>405</v>
      </c>
    </row>
    <row r="2331" spans="2:18" x14ac:dyDescent="0.25">
      <c r="B2331">
        <v>146034828</v>
      </c>
      <c r="C2331" t="s">
        <v>23760</v>
      </c>
      <c r="E2331">
        <v>109</v>
      </c>
      <c r="F2331">
        <v>110</v>
      </c>
      <c r="G2331">
        <v>112</v>
      </c>
      <c r="R2331" t="s">
        <v>3979</v>
      </c>
    </row>
    <row r="2332" spans="2:18" x14ac:dyDescent="0.25">
      <c r="B2332">
        <v>13343</v>
      </c>
      <c r="C2332" t="s">
        <v>23761</v>
      </c>
      <c r="E2332">
        <v>109</v>
      </c>
      <c r="F2332">
        <v>110</v>
      </c>
      <c r="G2332">
        <v>112</v>
      </c>
      <c r="Q2332" t="s">
        <v>23762</v>
      </c>
    </row>
    <row r="2333" spans="2:18" x14ac:dyDescent="0.25">
      <c r="B2333">
        <v>13344</v>
      </c>
      <c r="C2333" t="s">
        <v>23763</v>
      </c>
      <c r="E2333">
        <v>109</v>
      </c>
      <c r="F2333">
        <v>110</v>
      </c>
      <c r="G2333">
        <v>112</v>
      </c>
      <c r="Q2333" t="s">
        <v>23764</v>
      </c>
    </row>
    <row r="2334" spans="2:18" x14ac:dyDescent="0.25">
      <c r="B2334">
        <v>146034832</v>
      </c>
      <c r="C2334" t="s">
        <v>23765</v>
      </c>
      <c r="E2334">
        <v>109</v>
      </c>
      <c r="F2334">
        <v>110</v>
      </c>
      <c r="G2334">
        <v>112</v>
      </c>
      <c r="Q2334" t="s">
        <v>23766</v>
      </c>
    </row>
    <row r="2335" spans="2:18" x14ac:dyDescent="0.25">
      <c r="B2335">
        <v>10636</v>
      </c>
      <c r="C2335" t="s">
        <v>18494</v>
      </c>
      <c r="E2335">
        <v>109</v>
      </c>
      <c r="F2335">
        <v>110</v>
      </c>
      <c r="G2335">
        <v>112</v>
      </c>
      <c r="Q2335" t="s">
        <v>4750</v>
      </c>
    </row>
    <row r="2336" spans="2:18" x14ac:dyDescent="0.25">
      <c r="B2336">
        <v>146034836</v>
      </c>
      <c r="C2336" t="s">
        <v>23767</v>
      </c>
      <c r="E2336">
        <v>109</v>
      </c>
      <c r="F2336">
        <v>110</v>
      </c>
      <c r="G2336">
        <v>112</v>
      </c>
      <c r="Q2336" t="s">
        <v>23</v>
      </c>
    </row>
    <row r="2337" spans="2:18" x14ac:dyDescent="0.25">
      <c r="B2337">
        <v>146034840</v>
      </c>
      <c r="C2337" t="s">
        <v>23768</v>
      </c>
      <c r="E2337">
        <v>109</v>
      </c>
      <c r="F2337">
        <v>110</v>
      </c>
      <c r="G2337">
        <v>112</v>
      </c>
      <c r="R2337" t="s">
        <v>14841</v>
      </c>
    </row>
    <row r="2338" spans="2:18" x14ac:dyDescent="0.25">
      <c r="B2338">
        <v>146034844</v>
      </c>
      <c r="C2338" t="s">
        <v>23769</v>
      </c>
      <c r="E2338">
        <v>109</v>
      </c>
      <c r="F2338">
        <v>110</v>
      </c>
      <c r="G2338">
        <v>112</v>
      </c>
      <c r="R2338" t="s">
        <v>2407</v>
      </c>
    </row>
    <row r="2339" spans="2:18" x14ac:dyDescent="0.25">
      <c r="B2339">
        <v>10637</v>
      </c>
      <c r="C2339" t="s">
        <v>23770</v>
      </c>
      <c r="E2339">
        <v>109</v>
      </c>
      <c r="F2339">
        <v>110</v>
      </c>
      <c r="G2339">
        <v>112</v>
      </c>
      <c r="Q2339" t="s">
        <v>23771</v>
      </c>
    </row>
    <row r="2340" spans="2:18" x14ac:dyDescent="0.25">
      <c r="B2340">
        <v>10638</v>
      </c>
      <c r="C2340" t="s">
        <v>23772</v>
      </c>
      <c r="E2340">
        <v>109</v>
      </c>
      <c r="F2340">
        <v>110</v>
      </c>
      <c r="G2340">
        <v>112</v>
      </c>
      <c r="Q2340" t="s">
        <v>23773</v>
      </c>
    </row>
    <row r="2341" spans="2:18" x14ac:dyDescent="0.25">
      <c r="B2341">
        <v>10639</v>
      </c>
      <c r="C2341" t="s">
        <v>23774</v>
      </c>
      <c r="E2341">
        <v>109</v>
      </c>
      <c r="F2341">
        <v>110</v>
      </c>
      <c r="G2341">
        <v>112</v>
      </c>
      <c r="Q2341" t="s">
        <v>14818</v>
      </c>
    </row>
    <row r="2342" spans="2:18" x14ac:dyDescent="0.25">
      <c r="B2342">
        <v>146034848</v>
      </c>
      <c r="C2342" t="s">
        <v>23775</v>
      </c>
      <c r="E2342">
        <v>109</v>
      </c>
      <c r="F2342">
        <v>110</v>
      </c>
      <c r="G2342">
        <v>112</v>
      </c>
      <c r="Q2342" t="s">
        <v>13012</v>
      </c>
    </row>
    <row r="2343" spans="2:18" x14ac:dyDescent="0.25">
      <c r="B2343">
        <v>10640</v>
      </c>
      <c r="C2343" t="s">
        <v>23776</v>
      </c>
      <c r="E2343">
        <v>109</v>
      </c>
      <c r="F2343">
        <v>110</v>
      </c>
      <c r="G2343">
        <v>112</v>
      </c>
      <c r="Q2343" t="s">
        <v>23777</v>
      </c>
    </row>
    <row r="2344" spans="2:18" x14ac:dyDescent="0.25">
      <c r="B2344">
        <v>13224</v>
      </c>
      <c r="C2344" t="s">
        <v>23778</v>
      </c>
      <c r="E2344">
        <v>109</v>
      </c>
      <c r="F2344">
        <v>110</v>
      </c>
      <c r="G2344">
        <v>112</v>
      </c>
      <c r="R2344" t="s">
        <v>23779</v>
      </c>
    </row>
    <row r="2345" spans="2:18" x14ac:dyDescent="0.25">
      <c r="B2345">
        <v>13225</v>
      </c>
      <c r="C2345" t="s">
        <v>23780</v>
      </c>
      <c r="E2345">
        <v>109</v>
      </c>
      <c r="F2345">
        <v>110</v>
      </c>
      <c r="G2345">
        <v>112</v>
      </c>
      <c r="R2345" t="s">
        <v>23781</v>
      </c>
    </row>
    <row r="2346" spans="2:18" x14ac:dyDescent="0.25">
      <c r="B2346">
        <v>146034852</v>
      </c>
      <c r="C2346" t="s">
        <v>23782</v>
      </c>
      <c r="E2346">
        <v>109</v>
      </c>
      <c r="F2346">
        <v>110</v>
      </c>
      <c r="G2346">
        <v>112</v>
      </c>
      <c r="Q2346" t="s">
        <v>14960</v>
      </c>
    </row>
    <row r="2347" spans="2:18" x14ac:dyDescent="0.25">
      <c r="B2347">
        <v>146034856</v>
      </c>
      <c r="C2347" t="s">
        <v>23783</v>
      </c>
      <c r="E2347">
        <v>109</v>
      </c>
      <c r="F2347">
        <v>110</v>
      </c>
      <c r="G2347">
        <v>112</v>
      </c>
      <c r="R2347" t="s">
        <v>8245</v>
      </c>
    </row>
    <row r="2348" spans="2:18" x14ac:dyDescent="0.25">
      <c r="B2348">
        <v>146034860</v>
      </c>
      <c r="C2348" t="s">
        <v>23784</v>
      </c>
      <c r="E2348">
        <v>109</v>
      </c>
      <c r="F2348">
        <v>110</v>
      </c>
      <c r="G2348">
        <v>112</v>
      </c>
      <c r="R2348" t="s">
        <v>8247</v>
      </c>
    </row>
    <row r="2349" spans="2:18" x14ac:dyDescent="0.25">
      <c r="B2349">
        <v>146034864</v>
      </c>
      <c r="C2349" t="s">
        <v>23785</v>
      </c>
      <c r="E2349">
        <v>109</v>
      </c>
      <c r="F2349">
        <v>110</v>
      </c>
      <c r="G2349">
        <v>112</v>
      </c>
      <c r="R2349" t="s">
        <v>8249</v>
      </c>
    </row>
    <row r="2350" spans="2:18" x14ac:dyDescent="0.25">
      <c r="B2350">
        <v>146034868</v>
      </c>
      <c r="C2350" t="s">
        <v>23786</v>
      </c>
      <c r="E2350">
        <v>109</v>
      </c>
      <c r="F2350">
        <v>110</v>
      </c>
      <c r="G2350">
        <v>112</v>
      </c>
      <c r="R2350" t="s">
        <v>8251</v>
      </c>
    </row>
    <row r="2351" spans="2:18" x14ac:dyDescent="0.25">
      <c r="B2351">
        <v>13228</v>
      </c>
      <c r="C2351" t="s">
        <v>23787</v>
      </c>
      <c r="E2351">
        <v>109</v>
      </c>
      <c r="F2351">
        <v>110</v>
      </c>
      <c r="G2351">
        <v>112</v>
      </c>
      <c r="Q2351" t="s">
        <v>14952</v>
      </c>
    </row>
    <row r="2352" spans="2:18" x14ac:dyDescent="0.25">
      <c r="B2352">
        <v>10641</v>
      </c>
      <c r="C2352" t="s">
        <v>23788</v>
      </c>
      <c r="E2352">
        <v>109</v>
      </c>
      <c r="F2352">
        <v>110</v>
      </c>
      <c r="G2352">
        <v>112</v>
      </c>
      <c r="Q2352" t="s">
        <v>13024</v>
      </c>
    </row>
    <row r="2353" spans="2:18" x14ac:dyDescent="0.25">
      <c r="B2353">
        <v>12112</v>
      </c>
      <c r="C2353" t="s">
        <v>23789</v>
      </c>
      <c r="E2353">
        <v>223</v>
      </c>
      <c r="F2353">
        <v>206</v>
      </c>
      <c r="G2353">
        <v>206</v>
      </c>
      <c r="O2353" t="s">
        <v>23790</v>
      </c>
    </row>
    <row r="2354" spans="2:18" x14ac:dyDescent="0.25">
      <c r="B2354">
        <v>12113</v>
      </c>
      <c r="C2354" t="s">
        <v>23791</v>
      </c>
      <c r="E2354">
        <v>242</v>
      </c>
      <c r="F2354">
        <v>229</v>
      </c>
      <c r="G2354">
        <v>187</v>
      </c>
      <c r="P2354" t="s">
        <v>2019</v>
      </c>
    </row>
    <row r="2355" spans="2:18" x14ac:dyDescent="0.25">
      <c r="B2355">
        <v>12114</v>
      </c>
      <c r="C2355" t="s">
        <v>23792</v>
      </c>
      <c r="E2355">
        <v>237</v>
      </c>
      <c r="F2355">
        <v>207</v>
      </c>
      <c r="G2355">
        <v>55</v>
      </c>
      <c r="Q2355" t="s">
        <v>4061</v>
      </c>
    </row>
    <row r="2356" spans="2:18" x14ac:dyDescent="0.25">
      <c r="B2356">
        <v>12115</v>
      </c>
      <c r="C2356" t="s">
        <v>23793</v>
      </c>
      <c r="E2356">
        <v>212</v>
      </c>
      <c r="F2356">
        <v>178</v>
      </c>
      <c r="G2356">
        <v>53</v>
      </c>
      <c r="Q2356" t="s">
        <v>14814</v>
      </c>
    </row>
    <row r="2357" spans="2:18" x14ac:dyDescent="0.25">
      <c r="B2357">
        <v>12116</v>
      </c>
      <c r="C2357" t="s">
        <v>23794</v>
      </c>
      <c r="E2357">
        <v>212</v>
      </c>
      <c r="F2357">
        <v>178</v>
      </c>
      <c r="G2357">
        <v>53</v>
      </c>
      <c r="Q2357" t="s">
        <v>3152</v>
      </c>
    </row>
    <row r="2358" spans="2:18" x14ac:dyDescent="0.25">
      <c r="B2358">
        <v>12117</v>
      </c>
      <c r="C2358" t="s">
        <v>23795</v>
      </c>
      <c r="E2358">
        <v>194</v>
      </c>
      <c r="F2358">
        <v>163</v>
      </c>
      <c r="G2358">
        <v>53</v>
      </c>
      <c r="Q2358" t="s">
        <v>2363</v>
      </c>
    </row>
    <row r="2359" spans="2:18" x14ac:dyDescent="0.25">
      <c r="B2359">
        <v>12118</v>
      </c>
      <c r="C2359" t="s">
        <v>23796</v>
      </c>
      <c r="E2359">
        <v>194</v>
      </c>
      <c r="F2359">
        <v>163</v>
      </c>
      <c r="G2359">
        <v>53</v>
      </c>
      <c r="R2359" t="s">
        <v>14966</v>
      </c>
    </row>
    <row r="2360" spans="2:18" x14ac:dyDescent="0.25">
      <c r="B2360">
        <v>12119</v>
      </c>
      <c r="C2360" t="s">
        <v>23797</v>
      </c>
      <c r="E2360">
        <v>194</v>
      </c>
      <c r="F2360">
        <v>163</v>
      </c>
      <c r="G2360">
        <v>53</v>
      </c>
      <c r="R2360" t="s">
        <v>3488</v>
      </c>
    </row>
    <row r="2361" spans="2:18" x14ac:dyDescent="0.25">
      <c r="B2361">
        <v>12120</v>
      </c>
      <c r="C2361" t="s">
        <v>23798</v>
      </c>
      <c r="E2361">
        <v>171</v>
      </c>
      <c r="F2361">
        <v>145</v>
      </c>
      <c r="G2361">
        <v>88</v>
      </c>
      <c r="R2361" t="s">
        <v>3531</v>
      </c>
    </row>
    <row r="2362" spans="2:18" x14ac:dyDescent="0.25">
      <c r="B2362">
        <v>12121</v>
      </c>
      <c r="C2362" t="s">
        <v>23799</v>
      </c>
      <c r="E2362">
        <v>184</v>
      </c>
      <c r="F2362">
        <v>162</v>
      </c>
      <c r="G2362">
        <v>109</v>
      </c>
      <c r="Q2362" t="s">
        <v>7257</v>
      </c>
    </row>
    <row r="2363" spans="2:18" x14ac:dyDescent="0.25">
      <c r="B2363">
        <v>12122</v>
      </c>
      <c r="C2363" t="s">
        <v>23800</v>
      </c>
      <c r="E2363">
        <v>202</v>
      </c>
      <c r="F2363">
        <v>183</v>
      </c>
      <c r="G2363">
        <v>129</v>
      </c>
      <c r="Q2363" t="s">
        <v>2969</v>
      </c>
    </row>
    <row r="2364" spans="2:18" x14ac:dyDescent="0.25">
      <c r="B2364">
        <v>12123</v>
      </c>
      <c r="C2364" t="s">
        <v>23801</v>
      </c>
      <c r="E2364">
        <v>202</v>
      </c>
      <c r="F2364">
        <v>183</v>
      </c>
      <c r="G2364">
        <v>129</v>
      </c>
      <c r="Q2364" t="s">
        <v>7259</v>
      </c>
    </row>
    <row r="2365" spans="2:18" x14ac:dyDescent="0.25">
      <c r="B2365">
        <v>12124</v>
      </c>
      <c r="C2365" t="s">
        <v>23802</v>
      </c>
      <c r="E2365">
        <v>202</v>
      </c>
      <c r="F2365">
        <v>183</v>
      </c>
      <c r="G2365">
        <v>129</v>
      </c>
      <c r="Q2365" t="s">
        <v>7261</v>
      </c>
    </row>
    <row r="2366" spans="2:18" x14ac:dyDescent="0.25">
      <c r="B2366">
        <v>12125</v>
      </c>
      <c r="C2366" t="s">
        <v>23803</v>
      </c>
      <c r="E2366">
        <v>171</v>
      </c>
      <c r="F2366">
        <v>145</v>
      </c>
      <c r="G2366">
        <v>88</v>
      </c>
      <c r="Q2366" t="s">
        <v>2652</v>
      </c>
    </row>
    <row r="2367" spans="2:18" x14ac:dyDescent="0.25">
      <c r="B2367">
        <v>12126</v>
      </c>
      <c r="C2367" t="s">
        <v>23804</v>
      </c>
      <c r="E2367">
        <v>237</v>
      </c>
      <c r="F2367">
        <v>207</v>
      </c>
      <c r="G2367">
        <v>55</v>
      </c>
      <c r="Q2367" t="s">
        <v>7263</v>
      </c>
    </row>
    <row r="2368" spans="2:18" x14ac:dyDescent="0.25">
      <c r="B2368">
        <v>146034872</v>
      </c>
      <c r="C2368" t="s">
        <v>23805</v>
      </c>
      <c r="E2368">
        <v>234</v>
      </c>
      <c r="F2368">
        <v>166</v>
      </c>
      <c r="G2368">
        <v>175</v>
      </c>
      <c r="Q2368" t="s">
        <v>3579</v>
      </c>
    </row>
    <row r="2369" spans="2:18" x14ac:dyDescent="0.25">
      <c r="B2369">
        <v>12127</v>
      </c>
      <c r="C2369" t="s">
        <v>23806</v>
      </c>
      <c r="E2369">
        <v>194</v>
      </c>
      <c r="F2369">
        <v>163</v>
      </c>
      <c r="G2369">
        <v>53</v>
      </c>
      <c r="Q2369" t="s">
        <v>2023</v>
      </c>
    </row>
    <row r="2370" spans="2:18" x14ac:dyDescent="0.25">
      <c r="B2370">
        <v>12128</v>
      </c>
      <c r="C2370" t="s">
        <v>23807</v>
      </c>
      <c r="E2370">
        <v>171</v>
      </c>
      <c r="F2370">
        <v>145</v>
      </c>
      <c r="G2370">
        <v>88</v>
      </c>
      <c r="Q2370" t="s">
        <v>3528</v>
      </c>
    </row>
    <row r="2371" spans="2:18" x14ac:dyDescent="0.25">
      <c r="B2371">
        <v>146034876</v>
      </c>
      <c r="C2371" t="s">
        <v>23808</v>
      </c>
      <c r="E2371">
        <v>184</v>
      </c>
      <c r="F2371">
        <v>162</v>
      </c>
      <c r="G2371">
        <v>109</v>
      </c>
      <c r="Q2371" t="s">
        <v>4889</v>
      </c>
    </row>
    <row r="2372" spans="2:18" x14ac:dyDescent="0.25">
      <c r="B2372">
        <v>12129</v>
      </c>
      <c r="C2372" t="s">
        <v>23809</v>
      </c>
      <c r="E2372">
        <v>184</v>
      </c>
      <c r="F2372">
        <v>162</v>
      </c>
      <c r="G2372">
        <v>109</v>
      </c>
      <c r="R2372" t="s">
        <v>14837</v>
      </c>
    </row>
    <row r="2373" spans="2:18" x14ac:dyDescent="0.25">
      <c r="B2373">
        <v>12130</v>
      </c>
      <c r="C2373" t="s">
        <v>23810</v>
      </c>
      <c r="E2373">
        <v>184</v>
      </c>
      <c r="F2373">
        <v>162</v>
      </c>
      <c r="G2373">
        <v>109</v>
      </c>
      <c r="R2373" t="s">
        <v>2403</v>
      </c>
    </row>
    <row r="2374" spans="2:18" x14ac:dyDescent="0.25">
      <c r="B2374">
        <v>13229</v>
      </c>
      <c r="C2374" t="s">
        <v>23811</v>
      </c>
      <c r="E2374">
        <v>170</v>
      </c>
      <c r="F2374">
        <v>157</v>
      </c>
      <c r="G2374">
        <v>198</v>
      </c>
      <c r="Q2374" t="s">
        <v>4107</v>
      </c>
    </row>
    <row r="2375" spans="2:18" x14ac:dyDescent="0.25">
      <c r="B2375">
        <v>146034884</v>
      </c>
      <c r="C2375" t="s">
        <v>23812</v>
      </c>
      <c r="E2375">
        <v>238</v>
      </c>
      <c r="F2375">
        <v>207</v>
      </c>
      <c r="G2375">
        <v>56</v>
      </c>
      <c r="Q2375" t="s">
        <v>8253</v>
      </c>
    </row>
    <row r="2376" spans="2:18" x14ac:dyDescent="0.25">
      <c r="B2376">
        <v>146034888</v>
      </c>
      <c r="C2376" t="s">
        <v>23813</v>
      </c>
      <c r="E2376">
        <v>234</v>
      </c>
      <c r="F2376">
        <v>209</v>
      </c>
      <c r="G2376">
        <v>128</v>
      </c>
      <c r="Q2376" t="s">
        <v>2027</v>
      </c>
    </row>
    <row r="2377" spans="2:18" x14ac:dyDescent="0.25">
      <c r="B2377">
        <v>12131</v>
      </c>
      <c r="C2377" t="s">
        <v>23814</v>
      </c>
      <c r="E2377">
        <v>240</v>
      </c>
      <c r="F2377">
        <v>218</v>
      </c>
      <c r="G2377">
        <v>190</v>
      </c>
      <c r="P2377" t="s">
        <v>3732</v>
      </c>
    </row>
    <row r="2378" spans="2:18" x14ac:dyDescent="0.25">
      <c r="B2378">
        <v>12132</v>
      </c>
      <c r="C2378" t="s">
        <v>23815</v>
      </c>
      <c r="E2378">
        <v>236</v>
      </c>
      <c r="F2378">
        <v>129</v>
      </c>
      <c r="G2378">
        <v>59</v>
      </c>
      <c r="Q2378" t="s">
        <v>3900</v>
      </c>
    </row>
    <row r="2379" spans="2:18" x14ac:dyDescent="0.25">
      <c r="B2379">
        <v>12133</v>
      </c>
      <c r="C2379" t="s">
        <v>23816</v>
      </c>
      <c r="E2379">
        <v>228</v>
      </c>
      <c r="F2379">
        <v>156</v>
      </c>
      <c r="G2379">
        <v>51</v>
      </c>
      <c r="Q2379" t="s">
        <v>7265</v>
      </c>
    </row>
    <row r="2380" spans="2:18" x14ac:dyDescent="0.25">
      <c r="B2380">
        <v>12134</v>
      </c>
      <c r="C2380" t="s">
        <v>15351</v>
      </c>
      <c r="E2380">
        <v>211</v>
      </c>
      <c r="F2380">
        <v>142</v>
      </c>
      <c r="G2380">
        <v>50</v>
      </c>
      <c r="Q2380" t="s">
        <v>2394</v>
      </c>
    </row>
    <row r="2381" spans="2:18" x14ac:dyDescent="0.25">
      <c r="B2381">
        <v>12135</v>
      </c>
      <c r="C2381" t="s">
        <v>23817</v>
      </c>
      <c r="E2381">
        <v>211</v>
      </c>
      <c r="F2381">
        <v>142</v>
      </c>
      <c r="G2381">
        <v>50</v>
      </c>
      <c r="R2381" t="s">
        <v>14876</v>
      </c>
    </row>
    <row r="2382" spans="2:18" x14ac:dyDescent="0.25">
      <c r="B2382">
        <v>12136</v>
      </c>
      <c r="C2382" t="s">
        <v>23818</v>
      </c>
      <c r="E2382">
        <v>211</v>
      </c>
      <c r="F2382">
        <v>142</v>
      </c>
      <c r="G2382">
        <v>50</v>
      </c>
      <c r="R2382" t="s">
        <v>273</v>
      </c>
    </row>
    <row r="2383" spans="2:18" x14ac:dyDescent="0.25">
      <c r="B2383">
        <v>12137</v>
      </c>
      <c r="C2383" t="s">
        <v>23819</v>
      </c>
      <c r="E2383">
        <v>228</v>
      </c>
      <c r="F2383">
        <v>156</v>
      </c>
      <c r="G2383">
        <v>51</v>
      </c>
      <c r="Q2383" t="s">
        <v>4073</v>
      </c>
    </row>
    <row r="2384" spans="2:18" x14ac:dyDescent="0.25">
      <c r="B2384">
        <v>12138</v>
      </c>
      <c r="C2384" t="s">
        <v>23820</v>
      </c>
      <c r="E2384">
        <v>228</v>
      </c>
      <c r="F2384">
        <v>156</v>
      </c>
      <c r="G2384">
        <v>51</v>
      </c>
      <c r="Q2384" t="s">
        <v>7267</v>
      </c>
    </row>
    <row r="2385" spans="2:18" x14ac:dyDescent="0.25">
      <c r="B2385">
        <v>13230</v>
      </c>
      <c r="C2385" t="s">
        <v>23821</v>
      </c>
      <c r="E2385">
        <v>232</v>
      </c>
      <c r="F2385">
        <v>175</v>
      </c>
      <c r="G2385">
        <v>102</v>
      </c>
      <c r="Q2385" t="s">
        <v>3736</v>
      </c>
    </row>
    <row r="2386" spans="2:18" x14ac:dyDescent="0.25">
      <c r="B2386">
        <v>12139</v>
      </c>
      <c r="C2386" t="s">
        <v>23822</v>
      </c>
      <c r="E2386">
        <v>235</v>
      </c>
      <c r="F2386">
        <v>191</v>
      </c>
      <c r="G2386">
        <v>208</v>
      </c>
      <c r="P2386" t="s">
        <v>14928</v>
      </c>
    </row>
    <row r="2387" spans="2:18" x14ac:dyDescent="0.25">
      <c r="B2387">
        <v>12140</v>
      </c>
      <c r="C2387" t="s">
        <v>23823</v>
      </c>
      <c r="E2387">
        <v>214</v>
      </c>
      <c r="F2387">
        <v>112</v>
      </c>
      <c r="G2387">
        <v>160</v>
      </c>
      <c r="Q2387" t="s">
        <v>14846</v>
      </c>
    </row>
    <row r="2388" spans="2:18" x14ac:dyDescent="0.25">
      <c r="B2388">
        <v>12141</v>
      </c>
      <c r="C2388" t="s">
        <v>23824</v>
      </c>
      <c r="E2388">
        <v>213</v>
      </c>
      <c r="F2388">
        <v>92</v>
      </c>
      <c r="G2388">
        <v>146</v>
      </c>
      <c r="Q2388" t="s">
        <v>3165</v>
      </c>
    </row>
    <row r="2389" spans="2:18" x14ac:dyDescent="0.25">
      <c r="B2389">
        <v>12142</v>
      </c>
      <c r="C2389" t="s">
        <v>23825</v>
      </c>
      <c r="E2389">
        <v>213</v>
      </c>
      <c r="F2389">
        <v>92</v>
      </c>
      <c r="G2389">
        <v>146</v>
      </c>
      <c r="Q2389" t="s">
        <v>2416</v>
      </c>
    </row>
    <row r="2390" spans="2:18" x14ac:dyDescent="0.25">
      <c r="B2390">
        <v>12143</v>
      </c>
      <c r="C2390" t="s">
        <v>23826</v>
      </c>
      <c r="E2390">
        <v>213</v>
      </c>
      <c r="F2390">
        <v>92</v>
      </c>
      <c r="G2390">
        <v>146</v>
      </c>
      <c r="Q2390" t="s">
        <v>14925</v>
      </c>
    </row>
    <row r="2391" spans="2:18" x14ac:dyDescent="0.25">
      <c r="B2391">
        <v>146034892</v>
      </c>
      <c r="C2391" t="s">
        <v>23827</v>
      </c>
      <c r="E2391">
        <v>213</v>
      </c>
      <c r="F2391">
        <v>92</v>
      </c>
      <c r="G2391">
        <v>146</v>
      </c>
      <c r="R2391" t="s">
        <v>8255</v>
      </c>
    </row>
    <row r="2392" spans="2:18" x14ac:dyDescent="0.25">
      <c r="B2392">
        <v>12144</v>
      </c>
      <c r="C2392" t="s">
        <v>23828</v>
      </c>
      <c r="E2392">
        <v>214</v>
      </c>
      <c r="F2392">
        <v>112</v>
      </c>
      <c r="G2392">
        <v>160</v>
      </c>
      <c r="Q2392" t="s">
        <v>7269</v>
      </c>
    </row>
    <row r="2393" spans="2:18" x14ac:dyDescent="0.25">
      <c r="B2393">
        <v>13231</v>
      </c>
      <c r="C2393" t="s">
        <v>23829</v>
      </c>
      <c r="E2393">
        <v>213</v>
      </c>
      <c r="F2393">
        <v>92</v>
      </c>
      <c r="G2393">
        <v>146</v>
      </c>
      <c r="R2393" t="s">
        <v>8052</v>
      </c>
    </row>
    <row r="2394" spans="2:18" x14ac:dyDescent="0.25">
      <c r="B2394">
        <v>13232</v>
      </c>
      <c r="C2394" t="s">
        <v>23830</v>
      </c>
      <c r="E2394">
        <v>213</v>
      </c>
      <c r="F2394">
        <v>92</v>
      </c>
      <c r="G2394">
        <v>146</v>
      </c>
      <c r="R2394" t="s">
        <v>8054</v>
      </c>
    </row>
    <row r="2395" spans="2:18" x14ac:dyDescent="0.25">
      <c r="B2395">
        <v>12145</v>
      </c>
      <c r="C2395" t="s">
        <v>23831</v>
      </c>
      <c r="E2395">
        <v>214</v>
      </c>
      <c r="F2395">
        <v>112</v>
      </c>
      <c r="G2395">
        <v>160</v>
      </c>
      <c r="Q2395" t="s">
        <v>3858</v>
      </c>
    </row>
    <row r="2396" spans="2:18" x14ac:dyDescent="0.25">
      <c r="B2396">
        <v>12146</v>
      </c>
      <c r="C2396" t="s">
        <v>23832</v>
      </c>
      <c r="E2396">
        <v>200</v>
      </c>
      <c r="F2396">
        <v>83</v>
      </c>
      <c r="G2396">
        <v>139</v>
      </c>
      <c r="Q2396" t="s">
        <v>14932</v>
      </c>
    </row>
    <row r="2397" spans="2:18" x14ac:dyDescent="0.25">
      <c r="B2397">
        <v>146034896</v>
      </c>
      <c r="C2397" t="s">
        <v>23833</v>
      </c>
      <c r="E2397">
        <v>200</v>
      </c>
      <c r="F2397">
        <v>83</v>
      </c>
      <c r="G2397">
        <v>139</v>
      </c>
      <c r="R2397" t="s">
        <v>8257</v>
      </c>
    </row>
    <row r="2398" spans="2:18" x14ac:dyDescent="0.25">
      <c r="B2398">
        <v>12147</v>
      </c>
      <c r="C2398" t="s">
        <v>23834</v>
      </c>
      <c r="E2398">
        <v>214</v>
      </c>
      <c r="F2398">
        <v>112</v>
      </c>
      <c r="G2398">
        <v>160</v>
      </c>
      <c r="Q2398" t="s">
        <v>3855</v>
      </c>
    </row>
    <row r="2399" spans="2:18" x14ac:dyDescent="0.25">
      <c r="B2399">
        <v>12148</v>
      </c>
      <c r="C2399" t="s">
        <v>23835</v>
      </c>
      <c r="E2399">
        <v>231</v>
      </c>
      <c r="F2399">
        <v>172</v>
      </c>
      <c r="G2399">
        <v>161</v>
      </c>
      <c r="P2399" t="s">
        <v>3383</v>
      </c>
    </row>
    <row r="2400" spans="2:18" x14ac:dyDescent="0.25">
      <c r="B2400">
        <v>12149</v>
      </c>
      <c r="C2400" t="s">
        <v>20238</v>
      </c>
      <c r="E2400">
        <v>193</v>
      </c>
      <c r="F2400">
        <v>51</v>
      </c>
      <c r="G2400">
        <v>49</v>
      </c>
      <c r="Q2400" t="s">
        <v>3387</v>
      </c>
    </row>
    <row r="2401" spans="2:18" x14ac:dyDescent="0.25">
      <c r="B2401">
        <v>146034900</v>
      </c>
      <c r="C2401" t="s">
        <v>23836</v>
      </c>
      <c r="E2401">
        <v>238</v>
      </c>
      <c r="F2401">
        <v>144</v>
      </c>
      <c r="G2401">
        <v>86</v>
      </c>
      <c r="Q2401" t="s">
        <v>8259</v>
      </c>
    </row>
    <row r="2402" spans="2:18" x14ac:dyDescent="0.25">
      <c r="B2402">
        <v>146034904</v>
      </c>
      <c r="C2402" t="s">
        <v>23837</v>
      </c>
      <c r="E2402">
        <v>226</v>
      </c>
      <c r="F2402">
        <v>151</v>
      </c>
      <c r="G2402">
        <v>184</v>
      </c>
      <c r="Q2402" t="s">
        <v>8261</v>
      </c>
    </row>
    <row r="2403" spans="2:18" x14ac:dyDescent="0.25">
      <c r="B2403">
        <v>12150</v>
      </c>
      <c r="C2403" t="s">
        <v>23838</v>
      </c>
      <c r="E2403">
        <v>193</v>
      </c>
      <c r="F2403">
        <v>51</v>
      </c>
      <c r="G2403">
        <v>49</v>
      </c>
      <c r="Q2403" t="s">
        <v>1412</v>
      </c>
    </row>
    <row r="2404" spans="2:18" x14ac:dyDescent="0.25">
      <c r="B2404">
        <v>12151</v>
      </c>
      <c r="C2404" t="s">
        <v>23839</v>
      </c>
      <c r="E2404">
        <v>193</v>
      </c>
      <c r="F2404">
        <v>51</v>
      </c>
      <c r="G2404">
        <v>49</v>
      </c>
      <c r="Q2404" t="s">
        <v>2790</v>
      </c>
    </row>
    <row r="2405" spans="2:18" x14ac:dyDescent="0.25">
      <c r="B2405">
        <v>12152</v>
      </c>
      <c r="C2405" t="s">
        <v>23840</v>
      </c>
      <c r="E2405">
        <v>209</v>
      </c>
      <c r="F2405">
        <v>77</v>
      </c>
      <c r="G2405">
        <v>70</v>
      </c>
      <c r="Q2405" t="s">
        <v>3380</v>
      </c>
    </row>
    <row r="2406" spans="2:18" x14ac:dyDescent="0.25">
      <c r="B2406">
        <v>12153</v>
      </c>
      <c r="C2406" t="s">
        <v>23841</v>
      </c>
      <c r="E2406">
        <v>209</v>
      </c>
      <c r="F2406">
        <v>77</v>
      </c>
      <c r="G2406">
        <v>70</v>
      </c>
      <c r="Q2406" t="s">
        <v>2378</v>
      </c>
    </row>
    <row r="2407" spans="2:18" x14ac:dyDescent="0.25">
      <c r="B2407">
        <v>12154</v>
      </c>
      <c r="C2407" t="s">
        <v>23842</v>
      </c>
      <c r="E2407">
        <v>209</v>
      </c>
      <c r="F2407">
        <v>77</v>
      </c>
      <c r="G2407">
        <v>70</v>
      </c>
      <c r="Q2407" t="s">
        <v>14823</v>
      </c>
    </row>
    <row r="2408" spans="2:18" x14ac:dyDescent="0.25">
      <c r="B2408">
        <v>12176</v>
      </c>
      <c r="C2408" t="s">
        <v>23843</v>
      </c>
      <c r="E2408">
        <v>229</v>
      </c>
      <c r="F2408">
        <v>171</v>
      </c>
      <c r="G2408">
        <v>154</v>
      </c>
      <c r="P2408" t="s">
        <v>2433</v>
      </c>
    </row>
    <row r="2409" spans="2:18" x14ac:dyDescent="0.25">
      <c r="B2409">
        <v>12177</v>
      </c>
      <c r="C2409" t="s">
        <v>23844</v>
      </c>
      <c r="E2409">
        <v>196</v>
      </c>
      <c r="F2409">
        <v>85</v>
      </c>
      <c r="G2409">
        <v>57</v>
      </c>
      <c r="Q2409" t="s">
        <v>7294</v>
      </c>
    </row>
    <row r="2410" spans="2:18" x14ac:dyDescent="0.25">
      <c r="B2410">
        <v>12178</v>
      </c>
      <c r="C2410" t="s">
        <v>23845</v>
      </c>
      <c r="E2410">
        <v>209</v>
      </c>
      <c r="F2410">
        <v>97</v>
      </c>
      <c r="G2410">
        <v>70</v>
      </c>
      <c r="Q2410" t="s">
        <v>7296</v>
      </c>
    </row>
    <row r="2411" spans="2:18" x14ac:dyDescent="0.25">
      <c r="B2411">
        <v>12155</v>
      </c>
      <c r="C2411" t="s">
        <v>23846</v>
      </c>
      <c r="E2411">
        <v>209</v>
      </c>
      <c r="F2411">
        <v>206</v>
      </c>
      <c r="G2411">
        <v>226</v>
      </c>
      <c r="P2411" t="s">
        <v>2775</v>
      </c>
    </row>
    <row r="2412" spans="2:18" x14ac:dyDescent="0.25">
      <c r="B2412">
        <v>12156</v>
      </c>
      <c r="C2412" t="s">
        <v>23847</v>
      </c>
      <c r="E2412">
        <v>239</v>
      </c>
      <c r="F2412">
        <v>185</v>
      </c>
      <c r="G2412">
        <v>190</v>
      </c>
      <c r="Q2412" t="s">
        <v>1248</v>
      </c>
    </row>
    <row r="2413" spans="2:18" x14ac:dyDescent="0.25">
      <c r="B2413">
        <v>12157</v>
      </c>
      <c r="C2413" t="s">
        <v>23848</v>
      </c>
      <c r="E2413">
        <v>226</v>
      </c>
      <c r="F2413">
        <v>104</v>
      </c>
      <c r="G2413">
        <v>128</v>
      </c>
      <c r="R2413" t="s">
        <v>7272</v>
      </c>
    </row>
    <row r="2414" spans="2:18" x14ac:dyDescent="0.25">
      <c r="B2414">
        <v>12158</v>
      </c>
      <c r="C2414" t="s">
        <v>23849</v>
      </c>
      <c r="E2414">
        <v>223</v>
      </c>
      <c r="F2414">
        <v>79</v>
      </c>
      <c r="G2414">
        <v>114</v>
      </c>
      <c r="R2414" t="s">
        <v>7274</v>
      </c>
    </row>
    <row r="2415" spans="2:18" x14ac:dyDescent="0.25">
      <c r="B2415">
        <v>266441669</v>
      </c>
      <c r="C2415" t="s">
        <v>23850</v>
      </c>
      <c r="E2415">
        <v>228</v>
      </c>
      <c r="F2415">
        <v>126</v>
      </c>
      <c r="G2415">
        <v>141</v>
      </c>
      <c r="R2415" t="s">
        <v>4737</v>
      </c>
    </row>
    <row r="2416" spans="2:18" x14ac:dyDescent="0.25">
      <c r="B2416">
        <v>12159</v>
      </c>
      <c r="C2416" t="s">
        <v>23851</v>
      </c>
      <c r="E2416">
        <v>196</v>
      </c>
      <c r="F2416">
        <v>173</v>
      </c>
      <c r="G2416">
        <v>154</v>
      </c>
      <c r="Q2416" t="s">
        <v>7276</v>
      </c>
    </row>
    <row r="2417" spans="2:19" x14ac:dyDescent="0.25">
      <c r="B2417">
        <v>12160</v>
      </c>
      <c r="C2417" t="s">
        <v>23852</v>
      </c>
      <c r="E2417">
        <v>226</v>
      </c>
      <c r="F2417">
        <v>104</v>
      </c>
      <c r="G2417">
        <v>128</v>
      </c>
      <c r="Q2417" t="s">
        <v>7278</v>
      </c>
    </row>
    <row r="2418" spans="2:19" x14ac:dyDescent="0.25">
      <c r="B2418">
        <v>12161</v>
      </c>
      <c r="C2418" t="s">
        <v>23853</v>
      </c>
      <c r="E2418">
        <v>226</v>
      </c>
      <c r="F2418">
        <v>104</v>
      </c>
      <c r="G2418">
        <v>128</v>
      </c>
      <c r="Q2418" t="s">
        <v>3625</v>
      </c>
    </row>
    <row r="2419" spans="2:19" x14ac:dyDescent="0.25">
      <c r="B2419">
        <v>12162</v>
      </c>
      <c r="C2419" t="s">
        <v>23854</v>
      </c>
      <c r="E2419">
        <v>210</v>
      </c>
      <c r="F2419">
        <v>191</v>
      </c>
      <c r="G2419">
        <v>178</v>
      </c>
      <c r="Q2419" t="s">
        <v>3596</v>
      </c>
    </row>
    <row r="2420" spans="2:19" x14ac:dyDescent="0.25">
      <c r="B2420">
        <v>12163</v>
      </c>
      <c r="C2420" t="s">
        <v>23855</v>
      </c>
      <c r="E2420">
        <v>210</v>
      </c>
      <c r="F2420">
        <v>191</v>
      </c>
      <c r="G2420">
        <v>178</v>
      </c>
      <c r="R2420" t="s">
        <v>395</v>
      </c>
    </row>
    <row r="2421" spans="2:19" x14ac:dyDescent="0.25">
      <c r="B2421">
        <v>12164</v>
      </c>
      <c r="C2421" t="s">
        <v>17231</v>
      </c>
      <c r="E2421">
        <v>193</v>
      </c>
      <c r="F2421">
        <v>81</v>
      </c>
      <c r="G2421">
        <v>132</v>
      </c>
      <c r="R2421" t="s">
        <v>3967</v>
      </c>
    </row>
    <row r="2422" spans="2:19" x14ac:dyDescent="0.25">
      <c r="B2422">
        <v>12165</v>
      </c>
      <c r="C2422" t="s">
        <v>23856</v>
      </c>
      <c r="E2422">
        <v>210</v>
      </c>
      <c r="F2422">
        <v>191</v>
      </c>
      <c r="G2422">
        <v>178</v>
      </c>
      <c r="R2422" t="s">
        <v>15017</v>
      </c>
    </row>
    <row r="2423" spans="2:19" x14ac:dyDescent="0.25">
      <c r="B2423">
        <v>12166</v>
      </c>
      <c r="C2423" t="s">
        <v>23857</v>
      </c>
      <c r="E2423">
        <v>210</v>
      </c>
      <c r="F2423">
        <v>191</v>
      </c>
      <c r="G2423">
        <v>178</v>
      </c>
      <c r="S2423" t="s">
        <v>224</v>
      </c>
    </row>
    <row r="2424" spans="2:19" x14ac:dyDescent="0.25">
      <c r="B2424">
        <v>12167</v>
      </c>
      <c r="C2424" t="s">
        <v>23858</v>
      </c>
      <c r="E2424">
        <v>138</v>
      </c>
      <c r="F2424">
        <v>122</v>
      </c>
      <c r="G2424">
        <v>177</v>
      </c>
      <c r="S2424" t="s">
        <v>7280</v>
      </c>
    </row>
    <row r="2425" spans="2:19" x14ac:dyDescent="0.25">
      <c r="B2425">
        <v>12168</v>
      </c>
      <c r="C2425" t="s">
        <v>23859</v>
      </c>
      <c r="E2425">
        <v>170</v>
      </c>
      <c r="F2425">
        <v>157</v>
      </c>
      <c r="G2425">
        <v>198</v>
      </c>
      <c r="S2425" t="s">
        <v>7282</v>
      </c>
    </row>
    <row r="2426" spans="2:19" x14ac:dyDescent="0.25">
      <c r="B2426">
        <v>12169</v>
      </c>
      <c r="C2426" t="s">
        <v>23860</v>
      </c>
      <c r="E2426">
        <v>170</v>
      </c>
      <c r="F2426">
        <v>157</v>
      </c>
      <c r="G2426">
        <v>198</v>
      </c>
      <c r="S2426" t="s">
        <v>3791</v>
      </c>
    </row>
    <row r="2427" spans="2:19" x14ac:dyDescent="0.25">
      <c r="B2427">
        <v>12170</v>
      </c>
      <c r="C2427" t="s">
        <v>23861</v>
      </c>
      <c r="E2427">
        <v>170</v>
      </c>
      <c r="F2427">
        <v>157</v>
      </c>
      <c r="G2427">
        <v>198</v>
      </c>
      <c r="Q2427" t="s">
        <v>7284</v>
      </c>
    </row>
    <row r="2428" spans="2:19" x14ac:dyDescent="0.25">
      <c r="B2428">
        <v>12171</v>
      </c>
      <c r="C2428" t="s">
        <v>23862</v>
      </c>
      <c r="E2428">
        <v>170</v>
      </c>
      <c r="F2428">
        <v>157</v>
      </c>
      <c r="G2428">
        <v>198</v>
      </c>
      <c r="R2428" t="s">
        <v>7286</v>
      </c>
    </row>
    <row r="2429" spans="2:19" x14ac:dyDescent="0.25">
      <c r="B2429">
        <v>12172</v>
      </c>
      <c r="C2429" t="s">
        <v>23863</v>
      </c>
      <c r="E2429">
        <v>170</v>
      </c>
      <c r="F2429">
        <v>157</v>
      </c>
      <c r="G2429">
        <v>198</v>
      </c>
      <c r="S2429" t="s">
        <v>7288</v>
      </c>
    </row>
    <row r="2430" spans="2:19" x14ac:dyDescent="0.25">
      <c r="B2430">
        <v>12173</v>
      </c>
      <c r="C2430" t="s">
        <v>23864</v>
      </c>
      <c r="E2430">
        <v>170</v>
      </c>
      <c r="F2430">
        <v>157</v>
      </c>
      <c r="G2430">
        <v>198</v>
      </c>
      <c r="R2430" t="s">
        <v>7290</v>
      </c>
    </row>
    <row r="2431" spans="2:19" x14ac:dyDescent="0.25">
      <c r="B2431">
        <v>12174</v>
      </c>
      <c r="C2431" t="s">
        <v>23865</v>
      </c>
      <c r="E2431">
        <v>170</v>
      </c>
      <c r="F2431">
        <v>157</v>
      </c>
      <c r="G2431">
        <v>198</v>
      </c>
      <c r="R2431" t="s">
        <v>7292</v>
      </c>
    </row>
    <row r="2432" spans="2:19" x14ac:dyDescent="0.25">
      <c r="B2432">
        <v>12175</v>
      </c>
      <c r="C2432" t="s">
        <v>23866</v>
      </c>
      <c r="E2432">
        <v>153</v>
      </c>
      <c r="F2432">
        <v>136</v>
      </c>
      <c r="G2432">
        <v>187</v>
      </c>
      <c r="S2432" t="s">
        <v>1832</v>
      </c>
    </row>
    <row r="2433" spans="2:19" x14ac:dyDescent="0.25">
      <c r="B2433">
        <v>13233</v>
      </c>
      <c r="C2433" t="s">
        <v>23867</v>
      </c>
      <c r="E2433">
        <v>153</v>
      </c>
      <c r="F2433">
        <v>136</v>
      </c>
      <c r="G2433">
        <v>187</v>
      </c>
      <c r="S2433" t="s">
        <v>8056</v>
      </c>
    </row>
    <row r="2434" spans="2:19" x14ac:dyDescent="0.25">
      <c r="B2434">
        <v>266441673</v>
      </c>
      <c r="C2434" t="s">
        <v>23868</v>
      </c>
      <c r="E2434">
        <v>191</v>
      </c>
      <c r="F2434">
        <v>181</v>
      </c>
      <c r="G2434">
        <v>213</v>
      </c>
      <c r="R2434" t="s">
        <v>8533</v>
      </c>
    </row>
    <row r="2435" spans="2:19" x14ac:dyDescent="0.25">
      <c r="B2435">
        <v>266441677</v>
      </c>
      <c r="C2435" t="s">
        <v>23869</v>
      </c>
      <c r="E2435">
        <v>153</v>
      </c>
      <c r="F2435">
        <v>136</v>
      </c>
      <c r="G2435">
        <v>187</v>
      </c>
      <c r="Q2435" t="s">
        <v>4109</v>
      </c>
    </row>
    <row r="2436" spans="2:19" x14ac:dyDescent="0.25">
      <c r="B2436">
        <v>10642</v>
      </c>
      <c r="C2436" t="s">
        <v>23870</v>
      </c>
      <c r="E2436">
        <v>208</v>
      </c>
      <c r="F2436">
        <v>208</v>
      </c>
      <c r="G2436">
        <v>209</v>
      </c>
      <c r="O2436" t="s">
        <v>408</v>
      </c>
    </row>
    <row r="2437" spans="2:19" x14ac:dyDescent="0.25">
      <c r="B2437">
        <v>13234</v>
      </c>
      <c r="C2437" t="s">
        <v>23871</v>
      </c>
      <c r="E2437">
        <v>109</v>
      </c>
      <c r="F2437">
        <v>110</v>
      </c>
      <c r="G2437">
        <v>112</v>
      </c>
      <c r="O2437" t="s">
        <v>23872</v>
      </c>
    </row>
    <row r="2438" spans="2:19" x14ac:dyDescent="0.25">
      <c r="B2438">
        <v>10643</v>
      </c>
      <c r="C2438" t="s">
        <v>23873</v>
      </c>
      <c r="E2438">
        <v>109</v>
      </c>
      <c r="F2438">
        <v>110</v>
      </c>
      <c r="G2438">
        <v>112</v>
      </c>
      <c r="O2438" t="s">
        <v>3848</v>
      </c>
    </row>
    <row r="2439" spans="2:19" x14ac:dyDescent="0.25">
      <c r="B2439">
        <v>12179</v>
      </c>
      <c r="C2439" t="s">
        <v>23874</v>
      </c>
      <c r="E2439">
        <v>208</v>
      </c>
      <c r="F2439">
        <v>208</v>
      </c>
      <c r="G2439">
        <v>209</v>
      </c>
      <c r="O2439" t="s">
        <v>2779</v>
      </c>
    </row>
    <row r="2440" spans="2:19" x14ac:dyDescent="0.25">
      <c r="B2440">
        <v>15546</v>
      </c>
      <c r="C2440" t="s">
        <v>20161</v>
      </c>
      <c r="E2440">
        <v>208</v>
      </c>
      <c r="F2440">
        <v>208</v>
      </c>
      <c r="G2440">
        <v>209</v>
      </c>
      <c r="O2440" t="s">
        <v>2854</v>
      </c>
    </row>
    <row r="2441" spans="2:19" x14ac:dyDescent="0.25">
      <c r="B2441">
        <v>10645</v>
      </c>
      <c r="C2441" t="s">
        <v>23875</v>
      </c>
      <c r="E2441">
        <v>109</v>
      </c>
      <c r="F2441">
        <v>110</v>
      </c>
      <c r="G2441">
        <v>112</v>
      </c>
      <c r="O2441" t="s">
        <v>4088</v>
      </c>
    </row>
    <row r="2442" spans="2:19" x14ac:dyDescent="0.25">
      <c r="B2442">
        <v>10646</v>
      </c>
      <c r="C2442" t="s">
        <v>23876</v>
      </c>
      <c r="E2442">
        <v>208</v>
      </c>
      <c r="F2442">
        <v>208</v>
      </c>
      <c r="G2442">
        <v>209</v>
      </c>
      <c r="O2442" t="s">
        <v>23877</v>
      </c>
    </row>
    <row r="2443" spans="2:19" x14ac:dyDescent="0.25">
      <c r="B2443">
        <v>12180</v>
      </c>
      <c r="C2443" t="s">
        <v>23878</v>
      </c>
      <c r="E2443">
        <v>109</v>
      </c>
      <c r="F2443">
        <v>110</v>
      </c>
      <c r="G2443">
        <v>112</v>
      </c>
      <c r="O2443" t="s">
        <v>23879</v>
      </c>
    </row>
    <row r="2444" spans="2:19" x14ac:dyDescent="0.25">
      <c r="B2444">
        <v>10647</v>
      </c>
      <c r="C2444" t="s">
        <v>15384</v>
      </c>
      <c r="E2444">
        <v>208</v>
      </c>
      <c r="F2444">
        <v>208</v>
      </c>
      <c r="G2444">
        <v>209</v>
      </c>
      <c r="O2444" t="s">
        <v>14988</v>
      </c>
    </row>
    <row r="2445" spans="2:19" x14ac:dyDescent="0.25">
      <c r="B2445">
        <v>146034908</v>
      </c>
      <c r="C2445" t="s">
        <v>23880</v>
      </c>
      <c r="E2445">
        <v>109</v>
      </c>
      <c r="F2445">
        <v>110</v>
      </c>
      <c r="G2445">
        <v>112</v>
      </c>
      <c r="O2445" t="s">
        <v>23881</v>
      </c>
    </row>
    <row r="2446" spans="2:19" x14ac:dyDescent="0.25">
      <c r="B2446">
        <v>12095</v>
      </c>
      <c r="C2446" t="s">
        <v>23882</v>
      </c>
      <c r="E2446">
        <v>109</v>
      </c>
      <c r="F2446">
        <v>110</v>
      </c>
      <c r="G2446">
        <v>112</v>
      </c>
      <c r="P2446" t="s">
        <v>849</v>
      </c>
    </row>
    <row r="2447" spans="2:19" x14ac:dyDescent="0.25">
      <c r="B2447">
        <v>10601</v>
      </c>
      <c r="C2447" t="s">
        <v>23883</v>
      </c>
      <c r="E2447">
        <v>135</v>
      </c>
      <c r="F2447">
        <v>38</v>
      </c>
      <c r="G2447">
        <v>1</v>
      </c>
      <c r="P2447" t="s">
        <v>1232</v>
      </c>
    </row>
    <row r="2448" spans="2:19" x14ac:dyDescent="0.25">
      <c r="B2448">
        <v>10606</v>
      </c>
      <c r="C2448" t="s">
        <v>23884</v>
      </c>
      <c r="E2448">
        <v>135</v>
      </c>
      <c r="F2448">
        <v>38</v>
      </c>
      <c r="G2448">
        <v>1</v>
      </c>
      <c r="P2448" t="s">
        <v>23885</v>
      </c>
    </row>
    <row r="2449" spans="2:17" x14ac:dyDescent="0.25">
      <c r="B2449">
        <v>12094</v>
      </c>
      <c r="C2449" t="s">
        <v>23886</v>
      </c>
      <c r="E2449">
        <v>109</v>
      </c>
      <c r="F2449">
        <v>110</v>
      </c>
      <c r="G2449">
        <v>112</v>
      </c>
      <c r="P2449" t="s">
        <v>13485</v>
      </c>
    </row>
    <row r="2450" spans="2:17" x14ac:dyDescent="0.25">
      <c r="B2450">
        <v>12096</v>
      </c>
      <c r="C2450" t="s">
        <v>23887</v>
      </c>
      <c r="E2450">
        <v>109</v>
      </c>
      <c r="F2450">
        <v>110</v>
      </c>
      <c r="G2450">
        <v>112</v>
      </c>
      <c r="P2450" t="s">
        <v>23888</v>
      </c>
    </row>
    <row r="2451" spans="2:17" x14ac:dyDescent="0.25">
      <c r="B2451">
        <v>12097</v>
      </c>
      <c r="C2451" t="s">
        <v>23889</v>
      </c>
      <c r="E2451">
        <v>109</v>
      </c>
      <c r="F2451">
        <v>110</v>
      </c>
      <c r="G2451">
        <v>112</v>
      </c>
      <c r="P2451" t="s">
        <v>23890</v>
      </c>
    </row>
    <row r="2452" spans="2:17" x14ac:dyDescent="0.25">
      <c r="B2452">
        <v>10607</v>
      </c>
      <c r="C2452" t="s">
        <v>23891</v>
      </c>
      <c r="E2452">
        <v>109</v>
      </c>
      <c r="F2452">
        <v>110</v>
      </c>
      <c r="G2452">
        <v>112</v>
      </c>
      <c r="P2452" t="s">
        <v>23892</v>
      </c>
    </row>
    <row r="2453" spans="2:17" x14ac:dyDescent="0.25">
      <c r="B2453">
        <v>12102</v>
      </c>
      <c r="C2453" t="s">
        <v>23893</v>
      </c>
      <c r="E2453">
        <v>109</v>
      </c>
      <c r="F2453">
        <v>110</v>
      </c>
      <c r="G2453">
        <v>112</v>
      </c>
      <c r="P2453" t="s">
        <v>23894</v>
      </c>
    </row>
    <row r="2454" spans="2:17" x14ac:dyDescent="0.25">
      <c r="B2454">
        <v>12105</v>
      </c>
      <c r="C2454" t="s">
        <v>23895</v>
      </c>
      <c r="E2454">
        <v>109</v>
      </c>
      <c r="F2454">
        <v>110</v>
      </c>
      <c r="G2454">
        <v>112</v>
      </c>
      <c r="P2454" t="s">
        <v>2553</v>
      </c>
    </row>
    <row r="2455" spans="2:17" x14ac:dyDescent="0.25">
      <c r="B2455">
        <v>12106</v>
      </c>
      <c r="C2455" t="s">
        <v>23896</v>
      </c>
      <c r="E2455">
        <v>135</v>
      </c>
      <c r="F2455">
        <v>40</v>
      </c>
      <c r="G2455">
        <v>26</v>
      </c>
      <c r="P2455" t="s">
        <v>14880</v>
      </c>
    </row>
    <row r="2456" spans="2:17" x14ac:dyDescent="0.25">
      <c r="B2456">
        <v>12104</v>
      </c>
      <c r="C2456" t="s">
        <v>20068</v>
      </c>
      <c r="E2456">
        <v>135</v>
      </c>
      <c r="F2456">
        <v>40</v>
      </c>
      <c r="G2456">
        <v>26</v>
      </c>
      <c r="P2456" t="s">
        <v>14716</v>
      </c>
    </row>
    <row r="2457" spans="2:17" x14ac:dyDescent="0.25">
      <c r="B2457">
        <v>12098</v>
      </c>
      <c r="C2457" t="s">
        <v>23897</v>
      </c>
      <c r="E2457">
        <v>109</v>
      </c>
      <c r="F2457">
        <v>110</v>
      </c>
      <c r="G2457">
        <v>112</v>
      </c>
      <c r="P2457" t="s">
        <v>1723</v>
      </c>
    </row>
    <row r="2458" spans="2:17" x14ac:dyDescent="0.25">
      <c r="B2458">
        <v>12099</v>
      </c>
      <c r="C2458" t="s">
        <v>23898</v>
      </c>
      <c r="E2458">
        <v>109</v>
      </c>
      <c r="F2458">
        <v>110</v>
      </c>
      <c r="G2458">
        <v>112</v>
      </c>
      <c r="Q2458" t="s">
        <v>911</v>
      </c>
    </row>
    <row r="2459" spans="2:17" x14ac:dyDescent="0.25">
      <c r="B2459">
        <v>266441681</v>
      </c>
      <c r="C2459" t="s">
        <v>23899</v>
      </c>
      <c r="E2459">
        <v>109</v>
      </c>
      <c r="F2459">
        <v>110</v>
      </c>
      <c r="G2459">
        <v>112</v>
      </c>
      <c r="P2459" t="s">
        <v>23900</v>
      </c>
    </row>
    <row r="2460" spans="2:17" x14ac:dyDescent="0.25">
      <c r="B2460">
        <v>266441685</v>
      </c>
      <c r="C2460" t="s">
        <v>23901</v>
      </c>
      <c r="E2460">
        <v>90</v>
      </c>
      <c r="F2460">
        <v>26</v>
      </c>
      <c r="G2460">
        <v>33</v>
      </c>
      <c r="N2460" t="s">
        <v>23902</v>
      </c>
    </row>
    <row r="2461" spans="2:17" x14ac:dyDescent="0.25">
      <c r="B2461">
        <v>10648</v>
      </c>
      <c r="C2461" t="s">
        <v>16889</v>
      </c>
      <c r="E2461">
        <v>175</v>
      </c>
      <c r="F2461">
        <v>208</v>
      </c>
      <c r="G2461">
        <v>221</v>
      </c>
      <c r="M2461" t="s">
        <v>3100</v>
      </c>
    </row>
    <row r="2462" spans="2:17" x14ac:dyDescent="0.25">
      <c r="B2462">
        <v>10649</v>
      </c>
      <c r="C2462" t="s">
        <v>16510</v>
      </c>
      <c r="E2462">
        <v>160</v>
      </c>
      <c r="F2462">
        <v>199</v>
      </c>
      <c r="G2462">
        <v>213</v>
      </c>
      <c r="N2462" t="s">
        <v>2123</v>
      </c>
    </row>
    <row r="2463" spans="2:17" x14ac:dyDescent="0.25">
      <c r="B2463">
        <v>12181</v>
      </c>
      <c r="C2463" t="s">
        <v>23903</v>
      </c>
      <c r="E2463">
        <v>160</v>
      </c>
      <c r="F2463">
        <v>199</v>
      </c>
      <c r="G2463">
        <v>213</v>
      </c>
      <c r="O2463" t="s">
        <v>2114</v>
      </c>
    </row>
    <row r="2464" spans="2:17" x14ac:dyDescent="0.25">
      <c r="B2464">
        <v>12182</v>
      </c>
      <c r="C2464" t="s">
        <v>23904</v>
      </c>
      <c r="E2464">
        <v>142</v>
      </c>
      <c r="F2464">
        <v>189</v>
      </c>
      <c r="G2464">
        <v>205</v>
      </c>
      <c r="P2464" t="s">
        <v>3121</v>
      </c>
    </row>
    <row r="2465" spans="2:18" x14ac:dyDescent="0.25">
      <c r="B2465">
        <v>12183</v>
      </c>
      <c r="C2465" t="s">
        <v>23905</v>
      </c>
      <c r="E2465">
        <v>108</v>
      </c>
      <c r="F2465">
        <v>169</v>
      </c>
      <c r="G2465">
        <v>191</v>
      </c>
      <c r="Q2465" t="s">
        <v>23906</v>
      </c>
    </row>
    <row r="2466" spans="2:18" x14ac:dyDescent="0.25">
      <c r="B2466">
        <v>12184</v>
      </c>
      <c r="C2466" t="s">
        <v>16764</v>
      </c>
      <c r="E2466">
        <v>126</v>
      </c>
      <c r="F2466">
        <v>179</v>
      </c>
      <c r="G2466">
        <v>201</v>
      </c>
      <c r="Q2466" t="s">
        <v>702</v>
      </c>
    </row>
    <row r="2467" spans="2:18" x14ac:dyDescent="0.25">
      <c r="B2467">
        <v>12185</v>
      </c>
      <c r="C2467" t="s">
        <v>23907</v>
      </c>
      <c r="E2467">
        <v>108</v>
      </c>
      <c r="F2467">
        <v>169</v>
      </c>
      <c r="G2467">
        <v>191</v>
      </c>
      <c r="Q2467" t="s">
        <v>23908</v>
      </c>
    </row>
    <row r="2468" spans="2:18" x14ac:dyDescent="0.25">
      <c r="B2468">
        <v>12186</v>
      </c>
      <c r="C2468" t="s">
        <v>16770</v>
      </c>
      <c r="E2468">
        <v>86</v>
      </c>
      <c r="F2468">
        <v>161</v>
      </c>
      <c r="G2468">
        <v>187</v>
      </c>
      <c r="Q2468" t="s">
        <v>706</v>
      </c>
    </row>
    <row r="2469" spans="2:18" x14ac:dyDescent="0.25">
      <c r="B2469">
        <v>12187</v>
      </c>
      <c r="C2469" t="s">
        <v>23909</v>
      </c>
      <c r="E2469">
        <v>108</v>
      </c>
      <c r="F2469">
        <v>169</v>
      </c>
      <c r="G2469">
        <v>191</v>
      </c>
      <c r="Q2469" t="s">
        <v>411</v>
      </c>
    </row>
    <row r="2470" spans="2:18" x14ac:dyDescent="0.25">
      <c r="B2470">
        <v>12188</v>
      </c>
      <c r="C2470" t="s">
        <v>23910</v>
      </c>
      <c r="E2470">
        <v>86</v>
      </c>
      <c r="F2470">
        <v>161</v>
      </c>
      <c r="G2470">
        <v>187</v>
      </c>
      <c r="R2470" t="s">
        <v>23911</v>
      </c>
    </row>
    <row r="2471" spans="2:18" x14ac:dyDescent="0.25">
      <c r="B2471">
        <v>12189</v>
      </c>
      <c r="C2471" t="s">
        <v>23912</v>
      </c>
      <c r="E2471">
        <v>108</v>
      </c>
      <c r="F2471">
        <v>169</v>
      </c>
      <c r="G2471">
        <v>191</v>
      </c>
      <c r="R2471" t="s">
        <v>23913</v>
      </c>
    </row>
    <row r="2472" spans="2:18" x14ac:dyDescent="0.25">
      <c r="B2472">
        <v>12190</v>
      </c>
      <c r="C2472" t="s">
        <v>23914</v>
      </c>
      <c r="E2472">
        <v>126</v>
      </c>
      <c r="F2472">
        <v>179</v>
      </c>
      <c r="G2472">
        <v>201</v>
      </c>
      <c r="P2472" t="s">
        <v>23915</v>
      </c>
    </row>
    <row r="2473" spans="2:18" x14ac:dyDescent="0.25">
      <c r="B2473">
        <v>12191</v>
      </c>
      <c r="C2473" t="s">
        <v>23916</v>
      </c>
      <c r="E2473">
        <v>108</v>
      </c>
      <c r="F2473">
        <v>169</v>
      </c>
      <c r="G2473">
        <v>191</v>
      </c>
      <c r="Q2473" t="s">
        <v>23917</v>
      </c>
    </row>
    <row r="2474" spans="2:18" x14ac:dyDescent="0.25">
      <c r="B2474">
        <v>12192</v>
      </c>
      <c r="C2474" t="s">
        <v>15755</v>
      </c>
      <c r="E2474">
        <v>108</v>
      </c>
      <c r="F2474">
        <v>169</v>
      </c>
      <c r="G2474">
        <v>191</v>
      </c>
      <c r="Q2474" t="s">
        <v>23918</v>
      </c>
    </row>
    <row r="2475" spans="2:18" x14ac:dyDescent="0.25">
      <c r="B2475">
        <v>12193</v>
      </c>
      <c r="C2475" t="s">
        <v>23919</v>
      </c>
      <c r="E2475">
        <v>108</v>
      </c>
      <c r="F2475">
        <v>169</v>
      </c>
      <c r="G2475">
        <v>191</v>
      </c>
      <c r="Q2475" t="s">
        <v>23920</v>
      </c>
    </row>
    <row r="2476" spans="2:18" x14ac:dyDescent="0.25">
      <c r="B2476">
        <v>12195</v>
      </c>
      <c r="C2476" t="s">
        <v>17044</v>
      </c>
      <c r="E2476">
        <v>82</v>
      </c>
      <c r="F2476">
        <v>152</v>
      </c>
      <c r="G2476">
        <v>174</v>
      </c>
      <c r="O2476" t="s">
        <v>3139</v>
      </c>
    </row>
    <row r="2477" spans="2:18" x14ac:dyDescent="0.25">
      <c r="B2477">
        <v>12196</v>
      </c>
      <c r="C2477" t="s">
        <v>23921</v>
      </c>
      <c r="E2477">
        <v>126</v>
      </c>
      <c r="F2477">
        <v>179</v>
      </c>
      <c r="G2477">
        <v>201</v>
      </c>
      <c r="P2477" t="s">
        <v>23922</v>
      </c>
    </row>
    <row r="2478" spans="2:18" x14ac:dyDescent="0.25">
      <c r="B2478">
        <v>12197</v>
      </c>
      <c r="C2478" t="s">
        <v>20253</v>
      </c>
      <c r="E2478">
        <v>86</v>
      </c>
      <c r="F2478">
        <v>161</v>
      </c>
      <c r="G2478">
        <v>187</v>
      </c>
      <c r="Q2478" t="s">
        <v>23923</v>
      </c>
    </row>
    <row r="2479" spans="2:18" x14ac:dyDescent="0.25">
      <c r="B2479">
        <v>12198</v>
      </c>
      <c r="C2479" t="s">
        <v>23924</v>
      </c>
      <c r="E2479">
        <v>71</v>
      </c>
      <c r="F2479">
        <v>133</v>
      </c>
      <c r="G2479">
        <v>153</v>
      </c>
      <c r="Q2479" t="s">
        <v>3411</v>
      </c>
    </row>
    <row r="2480" spans="2:18" x14ac:dyDescent="0.25">
      <c r="B2480">
        <v>12199</v>
      </c>
      <c r="C2480" t="s">
        <v>23925</v>
      </c>
      <c r="E2480">
        <v>71</v>
      </c>
      <c r="F2480">
        <v>133</v>
      </c>
      <c r="G2480">
        <v>153</v>
      </c>
      <c r="R2480" t="s">
        <v>353</v>
      </c>
    </row>
    <row r="2481" spans="2:18" x14ac:dyDescent="0.25">
      <c r="B2481">
        <v>12200</v>
      </c>
      <c r="C2481" t="s">
        <v>23926</v>
      </c>
      <c r="E2481">
        <v>71</v>
      </c>
      <c r="F2481">
        <v>133</v>
      </c>
      <c r="G2481">
        <v>153</v>
      </c>
      <c r="R2481" t="s">
        <v>870</v>
      </c>
    </row>
    <row r="2482" spans="2:18" x14ac:dyDescent="0.25">
      <c r="B2482">
        <v>12201</v>
      </c>
      <c r="C2482" t="s">
        <v>23927</v>
      </c>
      <c r="E2482">
        <v>71</v>
      </c>
      <c r="F2482">
        <v>133</v>
      </c>
      <c r="G2482">
        <v>153</v>
      </c>
      <c r="R2482" t="s">
        <v>992</v>
      </c>
    </row>
    <row r="2483" spans="2:18" x14ac:dyDescent="0.25">
      <c r="B2483">
        <v>12202</v>
      </c>
      <c r="C2483" t="s">
        <v>23928</v>
      </c>
      <c r="E2483">
        <v>71</v>
      </c>
      <c r="F2483">
        <v>133</v>
      </c>
      <c r="G2483">
        <v>153</v>
      </c>
      <c r="R2483" t="s">
        <v>1566</v>
      </c>
    </row>
    <row r="2484" spans="2:18" x14ac:dyDescent="0.25">
      <c r="B2484">
        <v>12204</v>
      </c>
      <c r="C2484" t="s">
        <v>17063</v>
      </c>
      <c r="E2484">
        <v>71</v>
      </c>
      <c r="F2484">
        <v>133</v>
      </c>
      <c r="G2484">
        <v>153</v>
      </c>
      <c r="R2484" t="s">
        <v>2959</v>
      </c>
    </row>
    <row r="2485" spans="2:18" x14ac:dyDescent="0.25">
      <c r="B2485">
        <v>12205</v>
      </c>
      <c r="C2485" t="s">
        <v>23929</v>
      </c>
      <c r="E2485">
        <v>71</v>
      </c>
      <c r="F2485">
        <v>133</v>
      </c>
      <c r="G2485">
        <v>153</v>
      </c>
      <c r="R2485" t="s">
        <v>15055</v>
      </c>
    </row>
    <row r="2486" spans="2:18" x14ac:dyDescent="0.25">
      <c r="B2486">
        <v>12206</v>
      </c>
      <c r="C2486" t="s">
        <v>23930</v>
      </c>
      <c r="E2486">
        <v>71</v>
      </c>
      <c r="F2486">
        <v>133</v>
      </c>
      <c r="G2486">
        <v>153</v>
      </c>
      <c r="Q2486" t="s">
        <v>2263</v>
      </c>
    </row>
    <row r="2487" spans="2:18" x14ac:dyDescent="0.25">
      <c r="B2487">
        <v>13235</v>
      </c>
      <c r="C2487" t="s">
        <v>23931</v>
      </c>
      <c r="E2487">
        <v>71</v>
      </c>
      <c r="F2487">
        <v>133</v>
      </c>
      <c r="G2487">
        <v>153</v>
      </c>
      <c r="Q2487" t="s">
        <v>23932</v>
      </c>
    </row>
    <row r="2488" spans="2:18" x14ac:dyDescent="0.25">
      <c r="B2488">
        <v>12207</v>
      </c>
      <c r="C2488" t="s">
        <v>23933</v>
      </c>
      <c r="E2488">
        <v>86</v>
      </c>
      <c r="F2488">
        <v>161</v>
      </c>
      <c r="G2488">
        <v>187</v>
      </c>
      <c r="P2488" t="s">
        <v>23934</v>
      </c>
    </row>
    <row r="2489" spans="2:18" x14ac:dyDescent="0.25">
      <c r="B2489">
        <v>12208</v>
      </c>
      <c r="C2489" t="s">
        <v>23935</v>
      </c>
      <c r="E2489">
        <v>77</v>
      </c>
      <c r="F2489">
        <v>141</v>
      </c>
      <c r="G2489">
        <v>163</v>
      </c>
      <c r="Q2489" t="s">
        <v>2255</v>
      </c>
    </row>
    <row r="2490" spans="2:18" x14ac:dyDescent="0.25">
      <c r="B2490">
        <v>12209</v>
      </c>
      <c r="C2490" t="s">
        <v>20219</v>
      </c>
      <c r="E2490">
        <v>142</v>
      </c>
      <c r="F2490">
        <v>189</v>
      </c>
      <c r="G2490">
        <v>205</v>
      </c>
      <c r="P2490" t="s">
        <v>940</v>
      </c>
    </row>
    <row r="2491" spans="2:18" x14ac:dyDescent="0.25">
      <c r="B2491">
        <v>12210</v>
      </c>
      <c r="C2491" t="s">
        <v>23936</v>
      </c>
      <c r="E2491">
        <v>126</v>
      </c>
      <c r="F2491">
        <v>179</v>
      </c>
      <c r="G2491">
        <v>201</v>
      </c>
      <c r="Q2491" t="s">
        <v>23937</v>
      </c>
    </row>
    <row r="2492" spans="2:18" x14ac:dyDescent="0.25">
      <c r="B2492">
        <v>12211</v>
      </c>
      <c r="C2492" t="s">
        <v>23938</v>
      </c>
      <c r="E2492">
        <v>86</v>
      </c>
      <c r="F2492">
        <v>161</v>
      </c>
      <c r="G2492">
        <v>187</v>
      </c>
      <c r="R2492" t="s">
        <v>23939</v>
      </c>
    </row>
    <row r="2493" spans="2:18" x14ac:dyDescent="0.25">
      <c r="B2493">
        <v>12212</v>
      </c>
      <c r="C2493" t="s">
        <v>23940</v>
      </c>
      <c r="E2493">
        <v>86</v>
      </c>
      <c r="F2493">
        <v>161</v>
      </c>
      <c r="G2493">
        <v>187</v>
      </c>
      <c r="R2493" t="s">
        <v>23941</v>
      </c>
    </row>
    <row r="2494" spans="2:18" x14ac:dyDescent="0.25">
      <c r="B2494">
        <v>12213</v>
      </c>
      <c r="C2494" t="s">
        <v>23942</v>
      </c>
      <c r="E2494">
        <v>86</v>
      </c>
      <c r="F2494">
        <v>161</v>
      </c>
      <c r="G2494">
        <v>187</v>
      </c>
      <c r="R2494" t="s">
        <v>23943</v>
      </c>
    </row>
    <row r="2495" spans="2:18" x14ac:dyDescent="0.25">
      <c r="B2495">
        <v>12214</v>
      </c>
      <c r="C2495" t="s">
        <v>23944</v>
      </c>
      <c r="E2495">
        <v>86</v>
      </c>
      <c r="F2495">
        <v>161</v>
      </c>
      <c r="G2495">
        <v>187</v>
      </c>
      <c r="R2495" t="s">
        <v>23945</v>
      </c>
    </row>
    <row r="2496" spans="2:18" x14ac:dyDescent="0.25">
      <c r="B2496">
        <v>12215</v>
      </c>
      <c r="C2496" t="s">
        <v>23946</v>
      </c>
      <c r="E2496">
        <v>86</v>
      </c>
      <c r="F2496">
        <v>161</v>
      </c>
      <c r="G2496">
        <v>187</v>
      </c>
      <c r="R2496" t="s">
        <v>23947</v>
      </c>
    </row>
    <row r="2497" spans="2:18" x14ac:dyDescent="0.25">
      <c r="B2497">
        <v>12216</v>
      </c>
      <c r="C2497" t="s">
        <v>23948</v>
      </c>
      <c r="E2497">
        <v>108</v>
      </c>
      <c r="F2497">
        <v>169</v>
      </c>
      <c r="G2497">
        <v>191</v>
      </c>
      <c r="Q2497" t="s">
        <v>23949</v>
      </c>
    </row>
    <row r="2498" spans="2:18" x14ac:dyDescent="0.25">
      <c r="B2498">
        <v>12217</v>
      </c>
      <c r="C2498" t="s">
        <v>23950</v>
      </c>
      <c r="E2498">
        <v>82</v>
      </c>
      <c r="F2498">
        <v>152</v>
      </c>
      <c r="G2498">
        <v>174</v>
      </c>
      <c r="R2498" t="s">
        <v>23951</v>
      </c>
    </row>
    <row r="2499" spans="2:18" x14ac:dyDescent="0.25">
      <c r="B2499">
        <v>12218</v>
      </c>
      <c r="C2499" t="s">
        <v>16849</v>
      </c>
      <c r="E2499">
        <v>82</v>
      </c>
      <c r="F2499">
        <v>152</v>
      </c>
      <c r="G2499">
        <v>174</v>
      </c>
      <c r="R2499" t="s">
        <v>1482</v>
      </c>
    </row>
    <row r="2500" spans="2:18" x14ac:dyDescent="0.25">
      <c r="B2500">
        <v>12219</v>
      </c>
      <c r="C2500" t="s">
        <v>23952</v>
      </c>
      <c r="E2500">
        <v>82</v>
      </c>
      <c r="F2500">
        <v>152</v>
      </c>
      <c r="G2500">
        <v>174</v>
      </c>
      <c r="R2500" t="s">
        <v>3761</v>
      </c>
    </row>
    <row r="2501" spans="2:18" x14ac:dyDescent="0.25">
      <c r="B2501">
        <v>12220</v>
      </c>
      <c r="C2501" t="s">
        <v>23953</v>
      </c>
      <c r="E2501">
        <v>82</v>
      </c>
      <c r="F2501">
        <v>152</v>
      </c>
      <c r="G2501">
        <v>174</v>
      </c>
      <c r="R2501" t="s">
        <v>23954</v>
      </c>
    </row>
    <row r="2502" spans="2:18" x14ac:dyDescent="0.25">
      <c r="B2502">
        <v>12221</v>
      </c>
      <c r="C2502" t="s">
        <v>20227</v>
      </c>
      <c r="E2502">
        <v>82</v>
      </c>
      <c r="F2502">
        <v>152</v>
      </c>
      <c r="G2502">
        <v>174</v>
      </c>
      <c r="R2502" t="s">
        <v>23955</v>
      </c>
    </row>
    <row r="2503" spans="2:18" x14ac:dyDescent="0.25">
      <c r="B2503">
        <v>12222</v>
      </c>
      <c r="C2503" t="s">
        <v>23956</v>
      </c>
      <c r="E2503">
        <v>126</v>
      </c>
      <c r="F2503">
        <v>179</v>
      </c>
      <c r="G2503">
        <v>201</v>
      </c>
      <c r="P2503" t="s">
        <v>3126</v>
      </c>
    </row>
    <row r="2504" spans="2:18" x14ac:dyDescent="0.25">
      <c r="B2504">
        <v>12223</v>
      </c>
      <c r="C2504" t="s">
        <v>20291</v>
      </c>
      <c r="E2504">
        <v>108</v>
      </c>
      <c r="F2504">
        <v>169</v>
      </c>
      <c r="G2504">
        <v>191</v>
      </c>
      <c r="Q2504" t="s">
        <v>1598</v>
      </c>
    </row>
    <row r="2505" spans="2:18" x14ac:dyDescent="0.25">
      <c r="B2505">
        <v>12224</v>
      </c>
      <c r="C2505" t="s">
        <v>23957</v>
      </c>
      <c r="E2505">
        <v>82</v>
      </c>
      <c r="F2505">
        <v>152</v>
      </c>
      <c r="G2505">
        <v>174</v>
      </c>
      <c r="R2505" t="s">
        <v>23958</v>
      </c>
    </row>
    <row r="2506" spans="2:18" x14ac:dyDescent="0.25">
      <c r="B2506">
        <v>12225</v>
      </c>
      <c r="C2506" t="s">
        <v>23959</v>
      </c>
      <c r="E2506">
        <v>82</v>
      </c>
      <c r="F2506">
        <v>152</v>
      </c>
      <c r="G2506">
        <v>174</v>
      </c>
      <c r="R2506" t="s">
        <v>23960</v>
      </c>
    </row>
    <row r="2507" spans="2:18" x14ac:dyDescent="0.25">
      <c r="B2507">
        <v>12226</v>
      </c>
      <c r="C2507" t="s">
        <v>23961</v>
      </c>
      <c r="E2507">
        <v>82</v>
      </c>
      <c r="F2507">
        <v>152</v>
      </c>
      <c r="G2507">
        <v>174</v>
      </c>
      <c r="R2507" t="s">
        <v>23962</v>
      </c>
    </row>
    <row r="2508" spans="2:18" x14ac:dyDescent="0.25">
      <c r="B2508">
        <v>12227</v>
      </c>
      <c r="C2508" t="s">
        <v>23963</v>
      </c>
      <c r="E2508">
        <v>82</v>
      </c>
      <c r="F2508">
        <v>152</v>
      </c>
      <c r="G2508">
        <v>174</v>
      </c>
      <c r="R2508" t="s">
        <v>23964</v>
      </c>
    </row>
    <row r="2509" spans="2:18" x14ac:dyDescent="0.25">
      <c r="B2509">
        <v>12228</v>
      </c>
      <c r="C2509" t="s">
        <v>23965</v>
      </c>
      <c r="E2509">
        <v>82</v>
      </c>
      <c r="F2509">
        <v>152</v>
      </c>
      <c r="G2509">
        <v>174</v>
      </c>
      <c r="R2509" t="s">
        <v>23966</v>
      </c>
    </row>
    <row r="2510" spans="2:18" x14ac:dyDescent="0.25">
      <c r="B2510">
        <v>12229</v>
      </c>
      <c r="C2510" t="s">
        <v>23967</v>
      </c>
      <c r="E2510">
        <v>82</v>
      </c>
      <c r="F2510">
        <v>152</v>
      </c>
      <c r="G2510">
        <v>174</v>
      </c>
      <c r="R2510" t="s">
        <v>23968</v>
      </c>
    </row>
    <row r="2511" spans="2:18" x14ac:dyDescent="0.25">
      <c r="B2511">
        <v>12230</v>
      </c>
      <c r="C2511" t="s">
        <v>23969</v>
      </c>
      <c r="E2511">
        <v>86</v>
      </c>
      <c r="F2511">
        <v>161</v>
      </c>
      <c r="G2511">
        <v>187</v>
      </c>
      <c r="Q2511" t="s">
        <v>2787</v>
      </c>
    </row>
    <row r="2512" spans="2:18" x14ac:dyDescent="0.25">
      <c r="B2512">
        <v>12231</v>
      </c>
      <c r="C2512" t="s">
        <v>23970</v>
      </c>
      <c r="E2512">
        <v>82</v>
      </c>
      <c r="F2512">
        <v>152</v>
      </c>
      <c r="G2512">
        <v>174</v>
      </c>
      <c r="R2512" t="s">
        <v>23971</v>
      </c>
    </row>
    <row r="2513" spans="2:19" x14ac:dyDescent="0.25">
      <c r="B2513">
        <v>12232</v>
      </c>
      <c r="C2513" t="s">
        <v>23972</v>
      </c>
      <c r="E2513">
        <v>82</v>
      </c>
      <c r="F2513">
        <v>152</v>
      </c>
      <c r="G2513">
        <v>174</v>
      </c>
      <c r="S2513" t="s">
        <v>23973</v>
      </c>
    </row>
    <row r="2514" spans="2:19" x14ac:dyDescent="0.25">
      <c r="B2514">
        <v>12233</v>
      </c>
      <c r="C2514" t="s">
        <v>23974</v>
      </c>
      <c r="E2514">
        <v>82</v>
      </c>
      <c r="F2514">
        <v>152</v>
      </c>
      <c r="G2514">
        <v>174</v>
      </c>
      <c r="S2514" t="s">
        <v>23975</v>
      </c>
    </row>
    <row r="2515" spans="2:19" x14ac:dyDescent="0.25">
      <c r="B2515">
        <v>12234</v>
      </c>
      <c r="C2515" t="s">
        <v>23976</v>
      </c>
      <c r="E2515">
        <v>82</v>
      </c>
      <c r="F2515">
        <v>152</v>
      </c>
      <c r="G2515">
        <v>174</v>
      </c>
      <c r="R2515" t="s">
        <v>4902</v>
      </c>
    </row>
    <row r="2516" spans="2:19" x14ac:dyDescent="0.25">
      <c r="B2516">
        <v>12235</v>
      </c>
      <c r="C2516" t="s">
        <v>23977</v>
      </c>
      <c r="E2516">
        <v>86</v>
      </c>
      <c r="F2516">
        <v>161</v>
      </c>
      <c r="G2516">
        <v>187</v>
      </c>
      <c r="Q2516" t="s">
        <v>3060</v>
      </c>
    </row>
    <row r="2517" spans="2:19" x14ac:dyDescent="0.25">
      <c r="B2517">
        <v>12236</v>
      </c>
      <c r="C2517" t="s">
        <v>23978</v>
      </c>
      <c r="E2517">
        <v>86</v>
      </c>
      <c r="F2517">
        <v>161</v>
      </c>
      <c r="G2517">
        <v>187</v>
      </c>
      <c r="Q2517" t="s">
        <v>23979</v>
      </c>
    </row>
    <row r="2518" spans="2:19" x14ac:dyDescent="0.25">
      <c r="B2518">
        <v>12237</v>
      </c>
      <c r="C2518" t="s">
        <v>23980</v>
      </c>
      <c r="E2518">
        <v>86</v>
      </c>
      <c r="F2518">
        <v>161</v>
      </c>
      <c r="G2518">
        <v>187</v>
      </c>
      <c r="Q2518" t="s">
        <v>23981</v>
      </c>
    </row>
    <row r="2519" spans="2:19" x14ac:dyDescent="0.25">
      <c r="B2519">
        <v>12238</v>
      </c>
      <c r="C2519" t="s">
        <v>17461</v>
      </c>
      <c r="E2519">
        <v>86</v>
      </c>
      <c r="F2519">
        <v>161</v>
      </c>
      <c r="G2519">
        <v>187</v>
      </c>
      <c r="Q2519" t="s">
        <v>23982</v>
      </c>
    </row>
    <row r="2520" spans="2:19" x14ac:dyDescent="0.25">
      <c r="B2520">
        <v>15547</v>
      </c>
      <c r="C2520" t="s">
        <v>23983</v>
      </c>
      <c r="E2520">
        <v>108</v>
      </c>
      <c r="F2520">
        <v>169</v>
      </c>
      <c r="G2520">
        <v>191</v>
      </c>
      <c r="P2520" t="s">
        <v>23984</v>
      </c>
    </row>
    <row r="2521" spans="2:19" x14ac:dyDescent="0.25">
      <c r="B2521">
        <v>12239</v>
      </c>
      <c r="C2521" t="s">
        <v>23985</v>
      </c>
      <c r="E2521">
        <v>86</v>
      </c>
      <c r="F2521">
        <v>161</v>
      </c>
      <c r="G2521">
        <v>187</v>
      </c>
      <c r="P2521" t="s">
        <v>3131</v>
      </c>
    </row>
    <row r="2522" spans="2:19" x14ac:dyDescent="0.25">
      <c r="B2522">
        <v>12240</v>
      </c>
      <c r="C2522" t="s">
        <v>17161</v>
      </c>
      <c r="E2522">
        <v>86</v>
      </c>
      <c r="F2522">
        <v>161</v>
      </c>
      <c r="G2522">
        <v>187</v>
      </c>
      <c r="Q2522" t="s">
        <v>1401</v>
      </c>
    </row>
    <row r="2523" spans="2:19" x14ac:dyDescent="0.25">
      <c r="B2523">
        <v>12241</v>
      </c>
      <c r="C2523" t="s">
        <v>23986</v>
      </c>
      <c r="E2523">
        <v>86</v>
      </c>
      <c r="F2523">
        <v>161</v>
      </c>
      <c r="G2523">
        <v>187</v>
      </c>
      <c r="Q2523" t="s">
        <v>23987</v>
      </c>
    </row>
    <row r="2524" spans="2:19" x14ac:dyDescent="0.25">
      <c r="B2524">
        <v>12242</v>
      </c>
      <c r="C2524" t="s">
        <v>23988</v>
      </c>
      <c r="E2524">
        <v>86</v>
      </c>
      <c r="F2524">
        <v>161</v>
      </c>
      <c r="G2524">
        <v>187</v>
      </c>
      <c r="Q2524" t="s">
        <v>23989</v>
      </c>
    </row>
    <row r="2525" spans="2:19" x14ac:dyDescent="0.25">
      <c r="B2525">
        <v>12243</v>
      </c>
      <c r="C2525" t="s">
        <v>17464</v>
      </c>
      <c r="E2525">
        <v>82</v>
      </c>
      <c r="F2525">
        <v>152</v>
      </c>
      <c r="G2525">
        <v>174</v>
      </c>
      <c r="Q2525" t="s">
        <v>23990</v>
      </c>
    </row>
    <row r="2526" spans="2:19" x14ac:dyDescent="0.25">
      <c r="B2526">
        <v>12244</v>
      </c>
      <c r="C2526" t="s">
        <v>23991</v>
      </c>
      <c r="E2526">
        <v>82</v>
      </c>
      <c r="F2526">
        <v>152</v>
      </c>
      <c r="G2526">
        <v>174</v>
      </c>
      <c r="R2526" t="s">
        <v>23992</v>
      </c>
    </row>
    <row r="2527" spans="2:19" x14ac:dyDescent="0.25">
      <c r="B2527">
        <v>12245</v>
      </c>
      <c r="C2527" t="s">
        <v>23993</v>
      </c>
      <c r="E2527">
        <v>82</v>
      </c>
      <c r="F2527">
        <v>152</v>
      </c>
      <c r="G2527">
        <v>174</v>
      </c>
      <c r="R2527" t="s">
        <v>23994</v>
      </c>
    </row>
    <row r="2528" spans="2:19" x14ac:dyDescent="0.25">
      <c r="B2528">
        <v>12246</v>
      </c>
      <c r="C2528" t="s">
        <v>23995</v>
      </c>
      <c r="E2528">
        <v>86</v>
      </c>
      <c r="F2528">
        <v>161</v>
      </c>
      <c r="G2528">
        <v>187</v>
      </c>
      <c r="Q2528" t="s">
        <v>14710</v>
      </c>
    </row>
    <row r="2529" spans="2:18" x14ac:dyDescent="0.25">
      <c r="B2529">
        <v>15548</v>
      </c>
      <c r="C2529" t="s">
        <v>16470</v>
      </c>
      <c r="E2529">
        <v>86</v>
      </c>
      <c r="F2529">
        <v>161</v>
      </c>
      <c r="G2529">
        <v>187</v>
      </c>
      <c r="Q2529" t="s">
        <v>16471</v>
      </c>
    </row>
    <row r="2530" spans="2:18" x14ac:dyDescent="0.25">
      <c r="B2530">
        <v>12247</v>
      </c>
      <c r="C2530" t="s">
        <v>20248</v>
      </c>
      <c r="E2530">
        <v>108</v>
      </c>
      <c r="F2530">
        <v>169</v>
      </c>
      <c r="G2530">
        <v>191</v>
      </c>
      <c r="P2530" t="s">
        <v>4241</v>
      </c>
    </row>
    <row r="2531" spans="2:18" x14ac:dyDescent="0.25">
      <c r="B2531">
        <v>12248</v>
      </c>
      <c r="C2531" t="s">
        <v>23996</v>
      </c>
      <c r="E2531">
        <v>82</v>
      </c>
      <c r="F2531">
        <v>152</v>
      </c>
      <c r="G2531">
        <v>174</v>
      </c>
      <c r="Q2531" t="s">
        <v>23997</v>
      </c>
    </row>
    <row r="2532" spans="2:18" x14ac:dyDescent="0.25">
      <c r="B2532">
        <v>12249</v>
      </c>
      <c r="C2532" t="s">
        <v>23998</v>
      </c>
      <c r="E2532">
        <v>77</v>
      </c>
      <c r="F2532">
        <v>141</v>
      </c>
      <c r="G2532">
        <v>163</v>
      </c>
      <c r="Q2532" t="s">
        <v>2840</v>
      </c>
    </row>
    <row r="2533" spans="2:18" x14ac:dyDescent="0.25">
      <c r="B2533">
        <v>12250</v>
      </c>
      <c r="C2533" t="s">
        <v>23999</v>
      </c>
      <c r="E2533">
        <v>86</v>
      </c>
      <c r="F2533">
        <v>161</v>
      </c>
      <c r="G2533">
        <v>187</v>
      </c>
      <c r="Q2533" t="s">
        <v>2112</v>
      </c>
    </row>
    <row r="2534" spans="2:18" x14ac:dyDescent="0.25">
      <c r="B2534">
        <v>12251</v>
      </c>
      <c r="C2534" t="s">
        <v>24000</v>
      </c>
      <c r="E2534">
        <v>108</v>
      </c>
      <c r="F2534">
        <v>169</v>
      </c>
      <c r="G2534">
        <v>191</v>
      </c>
      <c r="P2534" t="s">
        <v>638</v>
      </c>
    </row>
    <row r="2535" spans="2:18" x14ac:dyDescent="0.25">
      <c r="B2535">
        <v>12252</v>
      </c>
      <c r="C2535" t="s">
        <v>24001</v>
      </c>
      <c r="E2535">
        <v>67</v>
      </c>
      <c r="F2535">
        <v>128</v>
      </c>
      <c r="G2535">
        <v>143</v>
      </c>
      <c r="Q2535" t="s">
        <v>14749</v>
      </c>
    </row>
    <row r="2536" spans="2:18" x14ac:dyDescent="0.25">
      <c r="B2536">
        <v>12253</v>
      </c>
      <c r="C2536" t="s">
        <v>24002</v>
      </c>
      <c r="E2536">
        <v>67</v>
      </c>
      <c r="F2536">
        <v>128</v>
      </c>
      <c r="G2536">
        <v>143</v>
      </c>
      <c r="R2536" t="s">
        <v>24003</v>
      </c>
    </row>
    <row r="2537" spans="2:18" x14ac:dyDescent="0.25">
      <c r="B2537">
        <v>12254</v>
      </c>
      <c r="C2537" t="s">
        <v>24004</v>
      </c>
      <c r="E2537">
        <v>67</v>
      </c>
      <c r="F2537">
        <v>128</v>
      </c>
      <c r="G2537">
        <v>143</v>
      </c>
      <c r="R2537" t="s">
        <v>24005</v>
      </c>
    </row>
    <row r="2538" spans="2:18" x14ac:dyDescent="0.25">
      <c r="B2538">
        <v>12255</v>
      </c>
      <c r="C2538" t="s">
        <v>24006</v>
      </c>
      <c r="E2538">
        <v>67</v>
      </c>
      <c r="F2538">
        <v>128</v>
      </c>
      <c r="G2538">
        <v>143</v>
      </c>
      <c r="R2538" t="s">
        <v>24007</v>
      </c>
    </row>
    <row r="2539" spans="2:18" x14ac:dyDescent="0.25">
      <c r="B2539">
        <v>12257</v>
      </c>
      <c r="C2539" t="s">
        <v>24008</v>
      </c>
      <c r="E2539">
        <v>71</v>
      </c>
      <c r="F2539">
        <v>133</v>
      </c>
      <c r="G2539">
        <v>153</v>
      </c>
      <c r="Q2539" t="s">
        <v>14755</v>
      </c>
    </row>
    <row r="2540" spans="2:18" x14ac:dyDescent="0.25">
      <c r="B2540">
        <v>12259</v>
      </c>
      <c r="C2540" t="s">
        <v>24009</v>
      </c>
      <c r="E2540">
        <v>108</v>
      </c>
      <c r="F2540">
        <v>169</v>
      </c>
      <c r="G2540">
        <v>191</v>
      </c>
      <c r="Q2540" t="s">
        <v>14759</v>
      </c>
    </row>
    <row r="2541" spans="2:18" x14ac:dyDescent="0.25">
      <c r="B2541">
        <v>146034938</v>
      </c>
      <c r="C2541" t="s">
        <v>24010</v>
      </c>
      <c r="E2541">
        <v>142</v>
      </c>
      <c r="F2541">
        <v>189</v>
      </c>
      <c r="G2541">
        <v>205</v>
      </c>
      <c r="P2541" t="s">
        <v>24011</v>
      </c>
    </row>
    <row r="2542" spans="2:18" x14ac:dyDescent="0.25">
      <c r="B2542">
        <v>12261</v>
      </c>
      <c r="C2542" t="s">
        <v>20191</v>
      </c>
      <c r="E2542">
        <v>126</v>
      </c>
      <c r="F2542">
        <v>179</v>
      </c>
      <c r="G2542">
        <v>201</v>
      </c>
      <c r="Q2542" t="s">
        <v>15084</v>
      </c>
    </row>
    <row r="2543" spans="2:18" x14ac:dyDescent="0.25">
      <c r="B2543">
        <v>12262</v>
      </c>
      <c r="C2543" t="s">
        <v>17229</v>
      </c>
      <c r="E2543">
        <v>86</v>
      </c>
      <c r="F2543">
        <v>161</v>
      </c>
      <c r="G2543">
        <v>187</v>
      </c>
      <c r="Q2543" t="s">
        <v>640</v>
      </c>
    </row>
    <row r="2544" spans="2:18" x14ac:dyDescent="0.25">
      <c r="B2544">
        <v>12263</v>
      </c>
      <c r="C2544" t="s">
        <v>24012</v>
      </c>
      <c r="E2544">
        <v>86</v>
      </c>
      <c r="F2544">
        <v>161</v>
      </c>
      <c r="G2544">
        <v>187</v>
      </c>
      <c r="Q2544" t="s">
        <v>3565</v>
      </c>
    </row>
    <row r="2545" spans="2:17" x14ac:dyDescent="0.25">
      <c r="B2545">
        <v>12264</v>
      </c>
      <c r="C2545" t="s">
        <v>24013</v>
      </c>
      <c r="E2545">
        <v>86</v>
      </c>
      <c r="F2545">
        <v>161</v>
      </c>
      <c r="G2545">
        <v>187</v>
      </c>
      <c r="Q2545" t="s">
        <v>24014</v>
      </c>
    </row>
    <row r="2546" spans="2:17" x14ac:dyDescent="0.25">
      <c r="B2546">
        <v>12265</v>
      </c>
      <c r="C2546" t="s">
        <v>24015</v>
      </c>
      <c r="E2546">
        <v>82</v>
      </c>
      <c r="F2546">
        <v>152</v>
      </c>
      <c r="G2546">
        <v>174</v>
      </c>
      <c r="Q2546" t="s">
        <v>3603</v>
      </c>
    </row>
    <row r="2547" spans="2:17" x14ac:dyDescent="0.25">
      <c r="B2547">
        <v>12270</v>
      </c>
      <c r="C2547" t="s">
        <v>20716</v>
      </c>
      <c r="E2547">
        <v>142</v>
      </c>
      <c r="F2547">
        <v>189</v>
      </c>
      <c r="G2547">
        <v>205</v>
      </c>
      <c r="P2547" t="s">
        <v>2503</v>
      </c>
    </row>
    <row r="2548" spans="2:17" x14ac:dyDescent="0.25">
      <c r="B2548">
        <v>12271</v>
      </c>
      <c r="C2548" t="s">
        <v>24016</v>
      </c>
      <c r="E2548">
        <v>108</v>
      </c>
      <c r="F2548">
        <v>169</v>
      </c>
      <c r="G2548">
        <v>191</v>
      </c>
      <c r="Q2548" t="s">
        <v>24017</v>
      </c>
    </row>
    <row r="2549" spans="2:17" x14ac:dyDescent="0.25">
      <c r="B2549">
        <v>12272</v>
      </c>
      <c r="C2549" t="s">
        <v>24018</v>
      </c>
      <c r="E2549">
        <v>108</v>
      </c>
      <c r="F2549">
        <v>169</v>
      </c>
      <c r="G2549">
        <v>191</v>
      </c>
      <c r="Q2549" t="s">
        <v>24019</v>
      </c>
    </row>
    <row r="2550" spans="2:17" x14ac:dyDescent="0.25">
      <c r="B2550">
        <v>12273</v>
      </c>
      <c r="C2550" t="s">
        <v>24020</v>
      </c>
      <c r="E2550">
        <v>108</v>
      </c>
      <c r="F2550">
        <v>169</v>
      </c>
      <c r="G2550">
        <v>191</v>
      </c>
      <c r="Q2550" t="s">
        <v>24021</v>
      </c>
    </row>
    <row r="2551" spans="2:17" x14ac:dyDescent="0.25">
      <c r="B2551">
        <v>12274</v>
      </c>
      <c r="C2551" t="s">
        <v>24022</v>
      </c>
      <c r="E2551">
        <v>108</v>
      </c>
      <c r="F2551">
        <v>169</v>
      </c>
      <c r="G2551">
        <v>191</v>
      </c>
      <c r="Q2551" t="s">
        <v>24023</v>
      </c>
    </row>
    <row r="2552" spans="2:17" x14ac:dyDescent="0.25">
      <c r="B2552">
        <v>12275</v>
      </c>
      <c r="C2552" t="s">
        <v>24024</v>
      </c>
      <c r="E2552">
        <v>108</v>
      </c>
      <c r="F2552">
        <v>169</v>
      </c>
      <c r="G2552">
        <v>191</v>
      </c>
      <c r="Q2552" t="s">
        <v>24025</v>
      </c>
    </row>
    <row r="2553" spans="2:17" x14ac:dyDescent="0.25">
      <c r="B2553">
        <v>12276</v>
      </c>
      <c r="C2553" t="s">
        <v>24026</v>
      </c>
      <c r="E2553">
        <v>108</v>
      </c>
      <c r="F2553">
        <v>169</v>
      </c>
      <c r="G2553">
        <v>191</v>
      </c>
      <c r="Q2553" t="s">
        <v>24027</v>
      </c>
    </row>
    <row r="2554" spans="2:17" x14ac:dyDescent="0.25">
      <c r="B2554">
        <v>12277</v>
      </c>
      <c r="C2554" t="s">
        <v>24028</v>
      </c>
      <c r="E2554">
        <v>126</v>
      </c>
      <c r="F2554">
        <v>179</v>
      </c>
      <c r="G2554">
        <v>201</v>
      </c>
      <c r="P2554" t="s">
        <v>24029</v>
      </c>
    </row>
    <row r="2555" spans="2:17" x14ac:dyDescent="0.25">
      <c r="B2555">
        <v>15549</v>
      </c>
      <c r="C2555" t="s">
        <v>24030</v>
      </c>
      <c r="E2555">
        <v>82</v>
      </c>
      <c r="F2555">
        <v>152</v>
      </c>
      <c r="G2555">
        <v>174</v>
      </c>
      <c r="Q2555" t="s">
        <v>24031</v>
      </c>
    </row>
    <row r="2556" spans="2:17" x14ac:dyDescent="0.25">
      <c r="B2556">
        <v>15550</v>
      </c>
      <c r="C2556" t="s">
        <v>24032</v>
      </c>
      <c r="E2556">
        <v>108</v>
      </c>
      <c r="F2556">
        <v>169</v>
      </c>
      <c r="G2556">
        <v>191</v>
      </c>
      <c r="Q2556" t="s">
        <v>24033</v>
      </c>
    </row>
    <row r="2557" spans="2:17" x14ac:dyDescent="0.25">
      <c r="B2557">
        <v>15551</v>
      </c>
      <c r="C2557" t="s">
        <v>24034</v>
      </c>
      <c r="E2557">
        <v>82</v>
      </c>
      <c r="F2557">
        <v>152</v>
      </c>
      <c r="G2557">
        <v>174</v>
      </c>
      <c r="Q2557" t="s">
        <v>24035</v>
      </c>
    </row>
    <row r="2558" spans="2:17" x14ac:dyDescent="0.25">
      <c r="B2558">
        <v>12203</v>
      </c>
      <c r="C2558" t="s">
        <v>24036</v>
      </c>
      <c r="E2558">
        <v>71</v>
      </c>
      <c r="F2558">
        <v>133</v>
      </c>
      <c r="G2558">
        <v>153</v>
      </c>
      <c r="Q2558" t="s">
        <v>2474</v>
      </c>
    </row>
    <row r="2559" spans="2:17" x14ac:dyDescent="0.25">
      <c r="B2559">
        <v>12278</v>
      </c>
      <c r="C2559" t="s">
        <v>16854</v>
      </c>
      <c r="E2559">
        <v>82</v>
      </c>
      <c r="F2559">
        <v>152</v>
      </c>
      <c r="G2559">
        <v>174</v>
      </c>
      <c r="Q2559" t="s">
        <v>2515</v>
      </c>
    </row>
    <row r="2560" spans="2:17" x14ac:dyDescent="0.25">
      <c r="B2560">
        <v>13236</v>
      </c>
      <c r="C2560" t="s">
        <v>24037</v>
      </c>
      <c r="E2560">
        <v>86</v>
      </c>
      <c r="F2560">
        <v>161</v>
      </c>
      <c r="G2560">
        <v>187</v>
      </c>
      <c r="Q2560" t="s">
        <v>648</v>
      </c>
    </row>
    <row r="2561" spans="2:17" x14ac:dyDescent="0.25">
      <c r="B2561">
        <v>12279</v>
      </c>
      <c r="C2561" t="s">
        <v>16807</v>
      </c>
      <c r="E2561">
        <v>86</v>
      </c>
      <c r="F2561">
        <v>161</v>
      </c>
      <c r="G2561">
        <v>187</v>
      </c>
      <c r="Q2561" t="s">
        <v>24038</v>
      </c>
    </row>
    <row r="2562" spans="2:17" x14ac:dyDescent="0.25">
      <c r="B2562">
        <v>12280</v>
      </c>
      <c r="C2562" t="s">
        <v>20251</v>
      </c>
      <c r="E2562">
        <v>86</v>
      </c>
      <c r="F2562">
        <v>161</v>
      </c>
      <c r="G2562">
        <v>187</v>
      </c>
      <c r="Q2562" t="s">
        <v>24039</v>
      </c>
    </row>
    <row r="2563" spans="2:17" x14ac:dyDescent="0.25">
      <c r="B2563">
        <v>12281</v>
      </c>
      <c r="C2563" t="s">
        <v>17303</v>
      </c>
      <c r="E2563">
        <v>108</v>
      </c>
      <c r="F2563">
        <v>169</v>
      </c>
      <c r="G2563">
        <v>191</v>
      </c>
      <c r="Q2563" t="s">
        <v>10221</v>
      </c>
    </row>
    <row r="2564" spans="2:17" x14ac:dyDescent="0.25">
      <c r="B2564">
        <v>15552</v>
      </c>
      <c r="C2564" t="s">
        <v>24040</v>
      </c>
      <c r="E2564">
        <v>82</v>
      </c>
      <c r="F2564">
        <v>152</v>
      </c>
      <c r="G2564">
        <v>174</v>
      </c>
      <c r="Q2564" t="s">
        <v>24041</v>
      </c>
    </row>
    <row r="2565" spans="2:17" x14ac:dyDescent="0.25">
      <c r="B2565">
        <v>12282</v>
      </c>
      <c r="C2565" t="s">
        <v>16035</v>
      </c>
      <c r="E2565">
        <v>108</v>
      </c>
      <c r="F2565">
        <v>169</v>
      </c>
      <c r="G2565">
        <v>191</v>
      </c>
      <c r="Q2565" t="s">
        <v>24042</v>
      </c>
    </row>
    <row r="2566" spans="2:17" x14ac:dyDescent="0.25">
      <c r="B2566">
        <v>12283</v>
      </c>
      <c r="C2566" t="s">
        <v>24043</v>
      </c>
      <c r="E2566">
        <v>82</v>
      </c>
      <c r="F2566">
        <v>152</v>
      </c>
      <c r="G2566">
        <v>174</v>
      </c>
      <c r="Q2566" t="s">
        <v>24044</v>
      </c>
    </row>
    <row r="2567" spans="2:17" x14ac:dyDescent="0.25">
      <c r="B2567">
        <v>12284</v>
      </c>
      <c r="C2567" t="s">
        <v>17339</v>
      </c>
      <c r="E2567">
        <v>86</v>
      </c>
      <c r="F2567">
        <v>161</v>
      </c>
      <c r="G2567">
        <v>187</v>
      </c>
      <c r="Q2567" t="s">
        <v>10283</v>
      </c>
    </row>
    <row r="2568" spans="2:17" x14ac:dyDescent="0.25">
      <c r="B2568">
        <v>12285</v>
      </c>
      <c r="C2568" t="s">
        <v>16282</v>
      </c>
      <c r="E2568">
        <v>86</v>
      </c>
      <c r="F2568">
        <v>161</v>
      </c>
      <c r="G2568">
        <v>187</v>
      </c>
      <c r="Q2568" t="s">
        <v>3336</v>
      </c>
    </row>
    <row r="2569" spans="2:17" x14ac:dyDescent="0.25">
      <c r="B2569">
        <v>12286</v>
      </c>
      <c r="C2569" t="s">
        <v>17563</v>
      </c>
      <c r="E2569">
        <v>82</v>
      </c>
      <c r="F2569">
        <v>152</v>
      </c>
      <c r="G2569">
        <v>174</v>
      </c>
      <c r="Q2569" t="s">
        <v>10553</v>
      </c>
    </row>
    <row r="2570" spans="2:17" x14ac:dyDescent="0.25">
      <c r="B2570">
        <v>12287</v>
      </c>
      <c r="C2570" t="s">
        <v>24045</v>
      </c>
      <c r="E2570">
        <v>82</v>
      </c>
      <c r="F2570">
        <v>152</v>
      </c>
      <c r="G2570">
        <v>174</v>
      </c>
      <c r="Q2570" t="s">
        <v>24046</v>
      </c>
    </row>
    <row r="2571" spans="2:17" x14ac:dyDescent="0.25">
      <c r="B2571">
        <v>12288</v>
      </c>
      <c r="C2571" t="s">
        <v>24047</v>
      </c>
      <c r="E2571">
        <v>86</v>
      </c>
      <c r="F2571">
        <v>161</v>
      </c>
      <c r="G2571">
        <v>187</v>
      </c>
      <c r="Q2571" t="s">
        <v>24048</v>
      </c>
    </row>
    <row r="2572" spans="2:17" x14ac:dyDescent="0.25">
      <c r="B2572">
        <v>15553</v>
      </c>
      <c r="C2572" t="s">
        <v>24049</v>
      </c>
      <c r="E2572">
        <v>82</v>
      </c>
      <c r="F2572">
        <v>152</v>
      </c>
      <c r="G2572">
        <v>174</v>
      </c>
      <c r="Q2572" t="s">
        <v>24050</v>
      </c>
    </row>
    <row r="2573" spans="2:17" x14ac:dyDescent="0.25">
      <c r="B2573">
        <v>12289</v>
      </c>
      <c r="C2573" t="s">
        <v>17319</v>
      </c>
      <c r="E2573">
        <v>82</v>
      </c>
      <c r="F2573">
        <v>152</v>
      </c>
      <c r="G2573">
        <v>174</v>
      </c>
      <c r="Q2573" t="s">
        <v>4726</v>
      </c>
    </row>
    <row r="2574" spans="2:17" x14ac:dyDescent="0.25">
      <c r="B2574">
        <v>12290</v>
      </c>
      <c r="C2574" t="s">
        <v>24051</v>
      </c>
      <c r="E2574">
        <v>82</v>
      </c>
      <c r="F2574">
        <v>152</v>
      </c>
      <c r="G2574">
        <v>174</v>
      </c>
      <c r="Q2574" t="s">
        <v>642</v>
      </c>
    </row>
    <row r="2575" spans="2:17" x14ac:dyDescent="0.25">
      <c r="B2575">
        <v>12291</v>
      </c>
      <c r="C2575" t="s">
        <v>24052</v>
      </c>
      <c r="E2575">
        <v>142</v>
      </c>
      <c r="F2575">
        <v>189</v>
      </c>
      <c r="G2575">
        <v>205</v>
      </c>
      <c r="O2575" t="s">
        <v>3135</v>
      </c>
    </row>
    <row r="2576" spans="2:17" x14ac:dyDescent="0.25">
      <c r="B2576">
        <v>12292</v>
      </c>
      <c r="C2576" t="s">
        <v>16951</v>
      </c>
      <c r="E2576">
        <v>126</v>
      </c>
      <c r="F2576">
        <v>179</v>
      </c>
      <c r="G2576">
        <v>201</v>
      </c>
      <c r="P2576" t="s">
        <v>14798</v>
      </c>
    </row>
    <row r="2577" spans="2:18" x14ac:dyDescent="0.25">
      <c r="B2577">
        <v>12293</v>
      </c>
      <c r="C2577" t="s">
        <v>24053</v>
      </c>
      <c r="E2577">
        <v>86</v>
      </c>
      <c r="F2577">
        <v>161</v>
      </c>
      <c r="G2577">
        <v>187</v>
      </c>
      <c r="Q2577" t="s">
        <v>14780</v>
      </c>
    </row>
    <row r="2578" spans="2:18" x14ac:dyDescent="0.25">
      <c r="B2578">
        <v>12294</v>
      </c>
      <c r="C2578" t="s">
        <v>24054</v>
      </c>
      <c r="E2578">
        <v>142</v>
      </c>
      <c r="F2578">
        <v>189</v>
      </c>
      <c r="G2578">
        <v>205</v>
      </c>
      <c r="R2578" t="s">
        <v>24055</v>
      </c>
    </row>
    <row r="2579" spans="2:18" x14ac:dyDescent="0.25">
      <c r="B2579">
        <v>12295</v>
      </c>
      <c r="C2579" t="s">
        <v>24056</v>
      </c>
      <c r="E2579">
        <v>86</v>
      </c>
      <c r="F2579">
        <v>161</v>
      </c>
      <c r="G2579">
        <v>187</v>
      </c>
      <c r="R2579" t="s">
        <v>14804</v>
      </c>
    </row>
    <row r="2580" spans="2:18" x14ac:dyDescent="0.25">
      <c r="B2580">
        <v>12296</v>
      </c>
      <c r="C2580" t="s">
        <v>24057</v>
      </c>
      <c r="E2580">
        <v>142</v>
      </c>
      <c r="F2580">
        <v>189</v>
      </c>
      <c r="G2580">
        <v>205</v>
      </c>
      <c r="R2580" t="s">
        <v>14783</v>
      </c>
    </row>
    <row r="2581" spans="2:18" x14ac:dyDescent="0.25">
      <c r="B2581">
        <v>12297</v>
      </c>
      <c r="C2581" t="s">
        <v>24058</v>
      </c>
      <c r="E2581">
        <v>108</v>
      </c>
      <c r="F2581">
        <v>169</v>
      </c>
      <c r="G2581">
        <v>191</v>
      </c>
      <c r="R2581" t="s">
        <v>15167</v>
      </c>
    </row>
    <row r="2582" spans="2:18" x14ac:dyDescent="0.25">
      <c r="B2582">
        <v>12298</v>
      </c>
      <c r="C2582" t="s">
        <v>24059</v>
      </c>
      <c r="E2582">
        <v>126</v>
      </c>
      <c r="F2582">
        <v>179</v>
      </c>
      <c r="G2582">
        <v>201</v>
      </c>
      <c r="Q2582" t="s">
        <v>2465</v>
      </c>
    </row>
    <row r="2583" spans="2:18" x14ac:dyDescent="0.25">
      <c r="B2583">
        <v>12299</v>
      </c>
      <c r="C2583" t="s">
        <v>24060</v>
      </c>
      <c r="E2583">
        <v>86</v>
      </c>
      <c r="F2583">
        <v>161</v>
      </c>
      <c r="G2583">
        <v>187</v>
      </c>
      <c r="R2583" t="s">
        <v>3160</v>
      </c>
    </row>
    <row r="2584" spans="2:18" x14ac:dyDescent="0.25">
      <c r="B2584">
        <v>12300</v>
      </c>
      <c r="C2584" t="s">
        <v>24061</v>
      </c>
      <c r="E2584">
        <v>126</v>
      </c>
      <c r="F2584">
        <v>179</v>
      </c>
      <c r="G2584">
        <v>201</v>
      </c>
      <c r="R2584" t="s">
        <v>3172</v>
      </c>
    </row>
    <row r="2585" spans="2:18" x14ac:dyDescent="0.25">
      <c r="B2585">
        <v>12301</v>
      </c>
      <c r="C2585" t="s">
        <v>24062</v>
      </c>
      <c r="E2585">
        <v>126</v>
      </c>
      <c r="F2585">
        <v>179</v>
      </c>
      <c r="G2585">
        <v>201</v>
      </c>
      <c r="Q2585" t="s">
        <v>1438</v>
      </c>
    </row>
    <row r="2586" spans="2:18" x14ac:dyDescent="0.25">
      <c r="B2586">
        <v>12302</v>
      </c>
      <c r="C2586" t="s">
        <v>24063</v>
      </c>
      <c r="E2586">
        <v>86</v>
      </c>
      <c r="F2586">
        <v>161</v>
      </c>
      <c r="G2586">
        <v>187</v>
      </c>
      <c r="R2586" t="s">
        <v>1433</v>
      </c>
    </row>
    <row r="2587" spans="2:18" x14ac:dyDescent="0.25">
      <c r="B2587">
        <v>12303</v>
      </c>
      <c r="C2587" t="s">
        <v>24064</v>
      </c>
      <c r="E2587">
        <v>126</v>
      </c>
      <c r="F2587">
        <v>179</v>
      </c>
      <c r="G2587">
        <v>201</v>
      </c>
      <c r="R2587" t="s">
        <v>1441</v>
      </c>
    </row>
    <row r="2588" spans="2:18" x14ac:dyDescent="0.25">
      <c r="B2588">
        <v>12304</v>
      </c>
      <c r="C2588" t="s">
        <v>24065</v>
      </c>
      <c r="E2588">
        <v>86</v>
      </c>
      <c r="F2588">
        <v>161</v>
      </c>
      <c r="G2588">
        <v>187</v>
      </c>
      <c r="Q2588" t="s">
        <v>24066</v>
      </c>
    </row>
    <row r="2589" spans="2:18" x14ac:dyDescent="0.25">
      <c r="B2589">
        <v>12305</v>
      </c>
      <c r="C2589" t="s">
        <v>16978</v>
      </c>
      <c r="E2589">
        <v>126</v>
      </c>
      <c r="F2589">
        <v>179</v>
      </c>
      <c r="G2589">
        <v>201</v>
      </c>
      <c r="P2589" t="s">
        <v>2357</v>
      </c>
    </row>
    <row r="2590" spans="2:18" x14ac:dyDescent="0.25">
      <c r="B2590">
        <v>12306</v>
      </c>
      <c r="C2590" t="s">
        <v>24067</v>
      </c>
      <c r="E2590">
        <v>108</v>
      </c>
      <c r="F2590">
        <v>169</v>
      </c>
      <c r="G2590">
        <v>191</v>
      </c>
      <c r="Q2590" t="s">
        <v>3794</v>
      </c>
    </row>
    <row r="2591" spans="2:18" x14ac:dyDescent="0.25">
      <c r="B2591">
        <v>12307</v>
      </c>
      <c r="C2591" t="s">
        <v>24068</v>
      </c>
      <c r="E2591">
        <v>86</v>
      </c>
      <c r="F2591">
        <v>161</v>
      </c>
      <c r="G2591">
        <v>187</v>
      </c>
      <c r="R2591" t="s">
        <v>24069</v>
      </c>
    </row>
    <row r="2592" spans="2:18" x14ac:dyDescent="0.25">
      <c r="B2592">
        <v>12308</v>
      </c>
      <c r="C2592" t="s">
        <v>24070</v>
      </c>
      <c r="E2592">
        <v>86</v>
      </c>
      <c r="F2592">
        <v>161</v>
      </c>
      <c r="G2592">
        <v>187</v>
      </c>
      <c r="R2592" t="s">
        <v>1794</v>
      </c>
    </row>
    <row r="2593" spans="2:17" x14ac:dyDescent="0.25">
      <c r="B2593">
        <v>12309</v>
      </c>
      <c r="C2593" t="s">
        <v>16989</v>
      </c>
      <c r="E2593">
        <v>82</v>
      </c>
      <c r="F2593">
        <v>152</v>
      </c>
      <c r="G2593">
        <v>174</v>
      </c>
      <c r="Q2593" t="s">
        <v>987</v>
      </c>
    </row>
    <row r="2594" spans="2:17" x14ac:dyDescent="0.25">
      <c r="B2594">
        <v>266441689</v>
      </c>
      <c r="C2594" t="s">
        <v>24071</v>
      </c>
      <c r="E2594">
        <v>78</v>
      </c>
      <c r="F2594">
        <v>142</v>
      </c>
      <c r="G2594">
        <v>163</v>
      </c>
      <c r="P2594" t="s">
        <v>24072</v>
      </c>
    </row>
    <row r="2595" spans="2:17" x14ac:dyDescent="0.25">
      <c r="B2595">
        <v>12194</v>
      </c>
      <c r="C2595" t="s">
        <v>24073</v>
      </c>
      <c r="E2595">
        <v>86</v>
      </c>
      <c r="F2595">
        <v>161</v>
      </c>
      <c r="G2595">
        <v>187</v>
      </c>
      <c r="P2595" t="s">
        <v>24074</v>
      </c>
    </row>
    <row r="2596" spans="2:17" x14ac:dyDescent="0.25">
      <c r="B2596">
        <v>12310</v>
      </c>
      <c r="C2596" t="s">
        <v>24075</v>
      </c>
      <c r="E2596">
        <v>108</v>
      </c>
      <c r="F2596">
        <v>169</v>
      </c>
      <c r="G2596">
        <v>191</v>
      </c>
      <c r="P2596" t="s">
        <v>24076</v>
      </c>
    </row>
    <row r="2597" spans="2:17" x14ac:dyDescent="0.25">
      <c r="B2597">
        <v>12311</v>
      </c>
      <c r="C2597" t="s">
        <v>24077</v>
      </c>
      <c r="E2597">
        <v>86</v>
      </c>
      <c r="F2597">
        <v>161</v>
      </c>
      <c r="G2597">
        <v>187</v>
      </c>
      <c r="P2597" t="s">
        <v>24078</v>
      </c>
    </row>
    <row r="2598" spans="2:17" x14ac:dyDescent="0.25">
      <c r="B2598">
        <v>12312</v>
      </c>
      <c r="C2598" t="s">
        <v>17293</v>
      </c>
      <c r="E2598">
        <v>82</v>
      </c>
      <c r="F2598">
        <v>152</v>
      </c>
      <c r="G2598">
        <v>174</v>
      </c>
      <c r="P2598" t="s">
        <v>716</v>
      </c>
    </row>
    <row r="2599" spans="2:17" x14ac:dyDescent="0.25">
      <c r="B2599">
        <v>12313</v>
      </c>
      <c r="C2599" t="s">
        <v>24079</v>
      </c>
      <c r="E2599">
        <v>86</v>
      </c>
      <c r="F2599">
        <v>161</v>
      </c>
      <c r="G2599">
        <v>187</v>
      </c>
      <c r="P2599" t="s">
        <v>4938</v>
      </c>
    </row>
    <row r="2600" spans="2:17" x14ac:dyDescent="0.25">
      <c r="B2600">
        <v>12101</v>
      </c>
      <c r="C2600" t="s">
        <v>16611</v>
      </c>
      <c r="E2600">
        <v>135</v>
      </c>
      <c r="F2600">
        <v>40</v>
      </c>
      <c r="G2600">
        <v>26</v>
      </c>
      <c r="P2600" t="s">
        <v>2079</v>
      </c>
    </row>
    <row r="2601" spans="2:17" x14ac:dyDescent="0.25">
      <c r="B2601">
        <v>12314</v>
      </c>
      <c r="C2601" t="s">
        <v>24080</v>
      </c>
      <c r="E2601">
        <v>167</v>
      </c>
      <c r="F2601">
        <v>141</v>
      </c>
      <c r="G2601">
        <v>141</v>
      </c>
      <c r="O2601" t="s">
        <v>24081</v>
      </c>
    </row>
    <row r="2602" spans="2:17" x14ac:dyDescent="0.25">
      <c r="B2602">
        <v>12315</v>
      </c>
      <c r="C2602" t="s">
        <v>24082</v>
      </c>
      <c r="E2602">
        <v>167</v>
      </c>
      <c r="F2602">
        <v>141</v>
      </c>
      <c r="G2602">
        <v>141</v>
      </c>
      <c r="P2602" t="s">
        <v>24083</v>
      </c>
    </row>
    <row r="2603" spans="2:17" x14ac:dyDescent="0.25">
      <c r="B2603">
        <v>12316</v>
      </c>
      <c r="C2603" t="s">
        <v>24084</v>
      </c>
      <c r="E2603">
        <v>147</v>
      </c>
      <c r="F2603">
        <v>123</v>
      </c>
      <c r="G2603">
        <v>124</v>
      </c>
      <c r="Q2603" t="s">
        <v>3086</v>
      </c>
    </row>
    <row r="2604" spans="2:17" x14ac:dyDescent="0.25">
      <c r="B2604">
        <v>12317</v>
      </c>
      <c r="C2604" t="s">
        <v>24085</v>
      </c>
      <c r="E2604">
        <v>147</v>
      </c>
      <c r="F2604">
        <v>123</v>
      </c>
      <c r="G2604">
        <v>124</v>
      </c>
      <c r="Q2604" t="s">
        <v>3090</v>
      </c>
    </row>
    <row r="2605" spans="2:17" x14ac:dyDescent="0.25">
      <c r="B2605">
        <v>12326</v>
      </c>
      <c r="C2605" t="s">
        <v>24086</v>
      </c>
      <c r="E2605">
        <v>205</v>
      </c>
      <c r="F2605">
        <v>186</v>
      </c>
      <c r="G2605">
        <v>186</v>
      </c>
      <c r="P2605" t="s">
        <v>24087</v>
      </c>
    </row>
    <row r="2606" spans="2:17" x14ac:dyDescent="0.25">
      <c r="B2606">
        <v>12319</v>
      </c>
      <c r="C2606" t="s">
        <v>24088</v>
      </c>
      <c r="E2606">
        <v>156</v>
      </c>
      <c r="F2606">
        <v>131</v>
      </c>
      <c r="G2606">
        <v>131</v>
      </c>
      <c r="P2606" t="s">
        <v>24089</v>
      </c>
    </row>
    <row r="2607" spans="2:17" x14ac:dyDescent="0.25">
      <c r="B2607">
        <v>12320</v>
      </c>
      <c r="C2607" t="s">
        <v>24090</v>
      </c>
      <c r="E2607">
        <v>147</v>
      </c>
      <c r="F2607">
        <v>123</v>
      </c>
      <c r="G2607">
        <v>124</v>
      </c>
      <c r="Q2607" t="s">
        <v>4861</v>
      </c>
    </row>
    <row r="2608" spans="2:17" x14ac:dyDescent="0.25">
      <c r="B2608">
        <v>12321</v>
      </c>
      <c r="C2608" t="s">
        <v>24091</v>
      </c>
      <c r="E2608">
        <v>147</v>
      </c>
      <c r="F2608">
        <v>123</v>
      </c>
      <c r="G2608">
        <v>124</v>
      </c>
      <c r="Q2608" t="s">
        <v>24092</v>
      </c>
    </row>
    <row r="2609" spans="2:18" x14ac:dyDescent="0.25">
      <c r="B2609">
        <v>12322</v>
      </c>
      <c r="C2609" t="s">
        <v>24093</v>
      </c>
      <c r="E2609">
        <v>147</v>
      </c>
      <c r="F2609">
        <v>123</v>
      </c>
      <c r="G2609">
        <v>124</v>
      </c>
      <c r="Q2609" t="s">
        <v>3108</v>
      </c>
    </row>
    <row r="2610" spans="2:18" x14ac:dyDescent="0.25">
      <c r="B2610">
        <v>12323</v>
      </c>
      <c r="C2610" t="s">
        <v>24094</v>
      </c>
      <c r="E2610">
        <v>147</v>
      </c>
      <c r="F2610">
        <v>123</v>
      </c>
      <c r="G2610">
        <v>124</v>
      </c>
      <c r="R2610" t="s">
        <v>24095</v>
      </c>
    </row>
    <row r="2611" spans="2:18" x14ac:dyDescent="0.25">
      <c r="B2611">
        <v>12324</v>
      </c>
      <c r="C2611" t="s">
        <v>24096</v>
      </c>
      <c r="E2611">
        <v>147</v>
      </c>
      <c r="F2611">
        <v>123</v>
      </c>
      <c r="G2611">
        <v>124</v>
      </c>
      <c r="R2611" t="s">
        <v>24097</v>
      </c>
    </row>
    <row r="2612" spans="2:18" x14ac:dyDescent="0.25">
      <c r="B2612">
        <v>12325</v>
      </c>
      <c r="C2612" t="s">
        <v>24098</v>
      </c>
      <c r="E2612">
        <v>156</v>
      </c>
      <c r="F2612">
        <v>131</v>
      </c>
      <c r="G2612">
        <v>131</v>
      </c>
      <c r="Q2612" t="s">
        <v>1917</v>
      </c>
    </row>
    <row r="2613" spans="2:18" x14ac:dyDescent="0.25">
      <c r="B2613">
        <v>12318</v>
      </c>
      <c r="C2613" t="s">
        <v>24099</v>
      </c>
      <c r="E2613">
        <v>129</v>
      </c>
      <c r="F2613">
        <v>105</v>
      </c>
      <c r="G2613">
        <v>107</v>
      </c>
      <c r="P2613" t="s">
        <v>24100</v>
      </c>
    </row>
    <row r="2614" spans="2:18" x14ac:dyDescent="0.25">
      <c r="B2614">
        <v>10650</v>
      </c>
      <c r="C2614" t="s">
        <v>24101</v>
      </c>
      <c r="E2614">
        <v>242</v>
      </c>
      <c r="F2614">
        <v>241</v>
      </c>
      <c r="G2614">
        <v>240</v>
      </c>
      <c r="N2614" t="s">
        <v>15149</v>
      </c>
    </row>
    <row r="2615" spans="2:18" x14ac:dyDescent="0.25">
      <c r="B2615">
        <v>12327</v>
      </c>
      <c r="C2615" t="s">
        <v>18441</v>
      </c>
      <c r="E2615">
        <v>242</v>
      </c>
      <c r="F2615">
        <v>241</v>
      </c>
      <c r="G2615">
        <v>240</v>
      </c>
      <c r="O2615" t="s">
        <v>593</v>
      </c>
    </row>
    <row r="2616" spans="2:18" x14ac:dyDescent="0.25">
      <c r="B2616">
        <v>12328</v>
      </c>
      <c r="C2616" t="s">
        <v>20737</v>
      </c>
      <c r="E2616">
        <v>242</v>
      </c>
      <c r="F2616">
        <v>241</v>
      </c>
      <c r="G2616">
        <v>240</v>
      </c>
      <c r="O2616" t="s">
        <v>600</v>
      </c>
    </row>
    <row r="2617" spans="2:18" x14ac:dyDescent="0.25">
      <c r="B2617">
        <v>12329</v>
      </c>
      <c r="C2617" t="s">
        <v>24102</v>
      </c>
      <c r="E2617">
        <v>242</v>
      </c>
      <c r="F2617">
        <v>241</v>
      </c>
      <c r="G2617">
        <v>240</v>
      </c>
      <c r="O2617" t="s">
        <v>24103</v>
      </c>
    </row>
    <row r="2618" spans="2:18" x14ac:dyDescent="0.25">
      <c r="B2618">
        <v>12330</v>
      </c>
      <c r="C2618" t="s">
        <v>20829</v>
      </c>
      <c r="E2618">
        <v>242</v>
      </c>
      <c r="F2618">
        <v>241</v>
      </c>
      <c r="G2618">
        <v>240</v>
      </c>
      <c r="O2618" t="s">
        <v>24104</v>
      </c>
    </row>
    <row r="2619" spans="2:18" x14ac:dyDescent="0.25">
      <c r="B2619">
        <v>12331</v>
      </c>
      <c r="C2619" t="s">
        <v>24105</v>
      </c>
      <c r="E2619">
        <v>242</v>
      </c>
      <c r="F2619">
        <v>241</v>
      </c>
      <c r="G2619">
        <v>240</v>
      </c>
      <c r="P2619" t="s">
        <v>24106</v>
      </c>
    </row>
    <row r="2620" spans="2:18" x14ac:dyDescent="0.25">
      <c r="B2620">
        <v>266441693</v>
      </c>
      <c r="C2620" t="s">
        <v>24107</v>
      </c>
      <c r="E2620">
        <v>242</v>
      </c>
      <c r="F2620">
        <v>241</v>
      </c>
      <c r="G2620">
        <v>240</v>
      </c>
      <c r="Q2620" t="s">
        <v>24108</v>
      </c>
    </row>
    <row r="2621" spans="2:18" x14ac:dyDescent="0.25">
      <c r="B2621">
        <v>266441697</v>
      </c>
      <c r="C2621" t="s">
        <v>24109</v>
      </c>
      <c r="E2621">
        <v>242</v>
      </c>
      <c r="F2621">
        <v>241</v>
      </c>
      <c r="G2621">
        <v>240</v>
      </c>
      <c r="Q2621" t="s">
        <v>24110</v>
      </c>
    </row>
    <row r="2622" spans="2:18" x14ac:dyDescent="0.25">
      <c r="B2622">
        <v>12332</v>
      </c>
      <c r="C2622" t="s">
        <v>24111</v>
      </c>
      <c r="E2622">
        <v>242</v>
      </c>
      <c r="F2622">
        <v>241</v>
      </c>
      <c r="G2622">
        <v>240</v>
      </c>
      <c r="P2622" t="s">
        <v>24112</v>
      </c>
    </row>
    <row r="2623" spans="2:18" x14ac:dyDescent="0.25">
      <c r="B2623">
        <v>266441701</v>
      </c>
      <c r="C2623" t="s">
        <v>24113</v>
      </c>
      <c r="E2623">
        <v>242</v>
      </c>
      <c r="F2623">
        <v>241</v>
      </c>
      <c r="G2623">
        <v>240</v>
      </c>
      <c r="P2623" t="s">
        <v>24114</v>
      </c>
    </row>
    <row r="2624" spans="2:18" x14ac:dyDescent="0.25">
      <c r="B2624">
        <v>12333</v>
      </c>
      <c r="C2624" t="s">
        <v>24115</v>
      </c>
      <c r="E2624">
        <v>242</v>
      </c>
      <c r="F2624">
        <v>241</v>
      </c>
      <c r="G2624">
        <v>240</v>
      </c>
      <c r="O2624" t="s">
        <v>1294</v>
      </c>
    </row>
    <row r="2625" spans="2:15" x14ac:dyDescent="0.25">
      <c r="B2625">
        <v>12335</v>
      </c>
      <c r="C2625" t="s">
        <v>24116</v>
      </c>
      <c r="E2625">
        <v>242</v>
      </c>
      <c r="F2625">
        <v>241</v>
      </c>
      <c r="G2625">
        <v>240</v>
      </c>
      <c r="O2625" t="s">
        <v>24117</v>
      </c>
    </row>
    <row r="2626" spans="2:15" x14ac:dyDescent="0.25">
      <c r="B2626">
        <v>12336</v>
      </c>
      <c r="C2626" t="s">
        <v>24118</v>
      </c>
      <c r="E2626">
        <v>242</v>
      </c>
      <c r="F2626">
        <v>241</v>
      </c>
      <c r="G2626">
        <v>240</v>
      </c>
      <c r="O2626" t="s">
        <v>24119</v>
      </c>
    </row>
    <row r="2627" spans="2:15" x14ac:dyDescent="0.25">
      <c r="B2627">
        <v>12337</v>
      </c>
      <c r="C2627" t="s">
        <v>24120</v>
      </c>
      <c r="E2627">
        <v>242</v>
      </c>
      <c r="F2627">
        <v>241</v>
      </c>
      <c r="G2627">
        <v>240</v>
      </c>
      <c r="O2627" t="s">
        <v>1421</v>
      </c>
    </row>
    <row r="2628" spans="2:15" x14ac:dyDescent="0.25">
      <c r="B2628">
        <v>12338</v>
      </c>
      <c r="C2628" t="s">
        <v>24121</v>
      </c>
      <c r="E2628">
        <v>242</v>
      </c>
      <c r="F2628">
        <v>241</v>
      </c>
      <c r="G2628">
        <v>240</v>
      </c>
      <c r="O2628" t="s">
        <v>1428</v>
      </c>
    </row>
    <row r="2629" spans="2:15" x14ac:dyDescent="0.25">
      <c r="B2629">
        <v>12339</v>
      </c>
      <c r="C2629" t="s">
        <v>24122</v>
      </c>
      <c r="E2629">
        <v>242</v>
      </c>
      <c r="F2629">
        <v>241</v>
      </c>
      <c r="G2629">
        <v>240</v>
      </c>
      <c r="O2629" t="s">
        <v>24123</v>
      </c>
    </row>
    <row r="2630" spans="2:15" x14ac:dyDescent="0.25">
      <c r="B2630">
        <v>12340</v>
      </c>
      <c r="C2630" t="s">
        <v>24124</v>
      </c>
      <c r="E2630">
        <v>242</v>
      </c>
      <c r="F2630">
        <v>241</v>
      </c>
      <c r="G2630">
        <v>240</v>
      </c>
      <c r="O2630" t="s">
        <v>1611</v>
      </c>
    </row>
    <row r="2631" spans="2:15" x14ac:dyDescent="0.25">
      <c r="B2631">
        <v>12341</v>
      </c>
      <c r="C2631" t="s">
        <v>24125</v>
      </c>
      <c r="E2631">
        <v>242</v>
      </c>
      <c r="F2631">
        <v>241</v>
      </c>
      <c r="G2631">
        <v>240</v>
      </c>
      <c r="O2631" t="s">
        <v>24126</v>
      </c>
    </row>
    <row r="2632" spans="2:15" x14ac:dyDescent="0.25">
      <c r="B2632">
        <v>12342</v>
      </c>
      <c r="C2632" t="s">
        <v>20945</v>
      </c>
      <c r="E2632">
        <v>242</v>
      </c>
      <c r="F2632">
        <v>241</v>
      </c>
      <c r="G2632">
        <v>240</v>
      </c>
      <c r="O2632" t="s">
        <v>24127</v>
      </c>
    </row>
    <row r="2633" spans="2:15" x14ac:dyDescent="0.25">
      <c r="B2633">
        <v>12343</v>
      </c>
      <c r="C2633" t="s">
        <v>24128</v>
      </c>
      <c r="E2633">
        <v>242</v>
      </c>
      <c r="F2633">
        <v>241</v>
      </c>
      <c r="G2633">
        <v>240</v>
      </c>
      <c r="O2633" t="s">
        <v>24129</v>
      </c>
    </row>
    <row r="2634" spans="2:15" x14ac:dyDescent="0.25">
      <c r="B2634">
        <v>12344</v>
      </c>
      <c r="C2634" t="s">
        <v>24130</v>
      </c>
      <c r="E2634">
        <v>242</v>
      </c>
      <c r="F2634">
        <v>241</v>
      </c>
      <c r="G2634">
        <v>240</v>
      </c>
      <c r="O2634" t="s">
        <v>24131</v>
      </c>
    </row>
    <row r="2635" spans="2:15" x14ac:dyDescent="0.25">
      <c r="B2635">
        <v>12345</v>
      </c>
      <c r="C2635" t="s">
        <v>24132</v>
      </c>
      <c r="E2635">
        <v>242</v>
      </c>
      <c r="F2635">
        <v>241</v>
      </c>
      <c r="G2635">
        <v>240</v>
      </c>
      <c r="O2635" t="s">
        <v>24133</v>
      </c>
    </row>
    <row r="2636" spans="2:15" x14ac:dyDescent="0.25">
      <c r="B2636">
        <v>12346</v>
      </c>
      <c r="C2636" t="s">
        <v>24134</v>
      </c>
      <c r="E2636">
        <v>242</v>
      </c>
      <c r="F2636">
        <v>241</v>
      </c>
      <c r="G2636">
        <v>240</v>
      </c>
      <c r="O2636" t="s">
        <v>24135</v>
      </c>
    </row>
    <row r="2637" spans="2:15" x14ac:dyDescent="0.25">
      <c r="B2637">
        <v>12347</v>
      </c>
      <c r="C2637" t="s">
        <v>24136</v>
      </c>
      <c r="E2637">
        <v>242</v>
      </c>
      <c r="F2637">
        <v>241</v>
      </c>
      <c r="G2637">
        <v>240</v>
      </c>
      <c r="O2637" t="s">
        <v>24137</v>
      </c>
    </row>
    <row r="2638" spans="2:15" x14ac:dyDescent="0.25">
      <c r="B2638">
        <v>12348</v>
      </c>
      <c r="C2638" t="s">
        <v>24138</v>
      </c>
      <c r="E2638">
        <v>242</v>
      </c>
      <c r="F2638">
        <v>241</v>
      </c>
      <c r="G2638">
        <v>240</v>
      </c>
      <c r="O2638" t="s">
        <v>24139</v>
      </c>
    </row>
    <row r="2639" spans="2:15" x14ac:dyDescent="0.25">
      <c r="B2639">
        <v>12349</v>
      </c>
      <c r="C2639" t="s">
        <v>24140</v>
      </c>
      <c r="E2639">
        <v>242</v>
      </c>
      <c r="F2639">
        <v>241</v>
      </c>
      <c r="G2639">
        <v>240</v>
      </c>
      <c r="O2639" t="s">
        <v>24141</v>
      </c>
    </row>
    <row r="2640" spans="2:15" x14ac:dyDescent="0.25">
      <c r="B2640">
        <v>12350</v>
      </c>
      <c r="C2640" t="s">
        <v>24142</v>
      </c>
      <c r="E2640">
        <v>242</v>
      </c>
      <c r="F2640">
        <v>241</v>
      </c>
      <c r="G2640">
        <v>240</v>
      </c>
      <c r="O2640" t="s">
        <v>24143</v>
      </c>
    </row>
    <row r="2641" spans="2:16" x14ac:dyDescent="0.25">
      <c r="B2641">
        <v>10567</v>
      </c>
      <c r="C2641" t="s">
        <v>20912</v>
      </c>
      <c r="E2641">
        <v>242</v>
      </c>
      <c r="F2641">
        <v>241</v>
      </c>
      <c r="G2641">
        <v>240</v>
      </c>
      <c r="O2641" t="s">
        <v>3922</v>
      </c>
    </row>
    <row r="2642" spans="2:16" x14ac:dyDescent="0.25">
      <c r="B2642">
        <v>12351</v>
      </c>
      <c r="C2642" t="s">
        <v>24144</v>
      </c>
      <c r="E2642">
        <v>242</v>
      </c>
      <c r="F2642">
        <v>241</v>
      </c>
      <c r="G2642">
        <v>240</v>
      </c>
      <c r="O2642" t="s">
        <v>24145</v>
      </c>
    </row>
    <row r="2643" spans="2:16" x14ac:dyDescent="0.25">
      <c r="B2643">
        <v>12334</v>
      </c>
      <c r="C2643" t="s">
        <v>24146</v>
      </c>
      <c r="E2643">
        <v>242</v>
      </c>
      <c r="F2643">
        <v>241</v>
      </c>
      <c r="G2643">
        <v>240</v>
      </c>
      <c r="O2643" t="s">
        <v>24147</v>
      </c>
    </row>
    <row r="2644" spans="2:16" x14ac:dyDescent="0.25">
      <c r="B2644">
        <v>12352</v>
      </c>
      <c r="C2644" t="s">
        <v>24148</v>
      </c>
      <c r="E2644">
        <v>242</v>
      </c>
      <c r="F2644">
        <v>241</v>
      </c>
      <c r="G2644">
        <v>240</v>
      </c>
      <c r="O2644" t="s">
        <v>24149</v>
      </c>
    </row>
    <row r="2645" spans="2:16" x14ac:dyDescent="0.25">
      <c r="B2645">
        <v>12353</v>
      </c>
      <c r="C2645" t="s">
        <v>24150</v>
      </c>
      <c r="E2645">
        <v>242</v>
      </c>
      <c r="F2645">
        <v>241</v>
      </c>
      <c r="G2645">
        <v>240</v>
      </c>
      <c r="O2645" t="s">
        <v>24151</v>
      </c>
    </row>
    <row r="2646" spans="2:16" x14ac:dyDescent="0.25">
      <c r="B2646">
        <v>12354</v>
      </c>
      <c r="C2646" t="s">
        <v>18495</v>
      </c>
      <c r="E2646">
        <v>242</v>
      </c>
      <c r="F2646">
        <v>241</v>
      </c>
      <c r="G2646">
        <v>240</v>
      </c>
      <c r="O2646" t="s">
        <v>14790</v>
      </c>
    </row>
    <row r="2647" spans="2:16" x14ac:dyDescent="0.25">
      <c r="B2647">
        <v>12355</v>
      </c>
      <c r="C2647" t="s">
        <v>24152</v>
      </c>
      <c r="E2647">
        <v>242</v>
      </c>
      <c r="F2647">
        <v>241</v>
      </c>
      <c r="G2647">
        <v>240</v>
      </c>
      <c r="P2647" t="s">
        <v>7304</v>
      </c>
    </row>
    <row r="2648" spans="2:16" x14ac:dyDescent="0.25">
      <c r="B2648">
        <v>12356</v>
      </c>
      <c r="C2648" t="s">
        <v>24153</v>
      </c>
      <c r="E2648">
        <v>242</v>
      </c>
      <c r="F2648">
        <v>241</v>
      </c>
      <c r="G2648">
        <v>240</v>
      </c>
      <c r="P2648" t="s">
        <v>7306</v>
      </c>
    </row>
    <row r="2649" spans="2:16" x14ac:dyDescent="0.25">
      <c r="B2649">
        <v>12357</v>
      </c>
      <c r="C2649" t="s">
        <v>24154</v>
      </c>
      <c r="E2649">
        <v>242</v>
      </c>
      <c r="F2649">
        <v>241</v>
      </c>
      <c r="G2649">
        <v>240</v>
      </c>
      <c r="P2649" t="s">
        <v>1476</v>
      </c>
    </row>
    <row r="2650" spans="2:16" x14ac:dyDescent="0.25">
      <c r="B2650">
        <v>12358</v>
      </c>
      <c r="C2650" t="s">
        <v>24155</v>
      </c>
      <c r="E2650">
        <v>242</v>
      </c>
      <c r="F2650">
        <v>241</v>
      </c>
      <c r="G2650">
        <v>240</v>
      </c>
      <c r="P2650" t="s">
        <v>7308</v>
      </c>
    </row>
    <row r="2651" spans="2:16" x14ac:dyDescent="0.25">
      <c r="B2651">
        <v>12359</v>
      </c>
      <c r="C2651" t="s">
        <v>24156</v>
      </c>
      <c r="E2651">
        <v>242</v>
      </c>
      <c r="F2651">
        <v>241</v>
      </c>
      <c r="G2651">
        <v>240</v>
      </c>
      <c r="P2651" t="s">
        <v>7310</v>
      </c>
    </row>
    <row r="2652" spans="2:16" x14ac:dyDescent="0.25">
      <c r="B2652">
        <v>12360</v>
      </c>
      <c r="C2652" t="s">
        <v>24157</v>
      </c>
      <c r="E2652">
        <v>242</v>
      </c>
      <c r="F2652">
        <v>241</v>
      </c>
      <c r="G2652">
        <v>240</v>
      </c>
      <c r="P2652" t="s">
        <v>7312</v>
      </c>
    </row>
    <row r="2653" spans="2:16" x14ac:dyDescent="0.25">
      <c r="B2653">
        <v>12361</v>
      </c>
      <c r="C2653" t="s">
        <v>24158</v>
      </c>
      <c r="E2653">
        <v>242</v>
      </c>
      <c r="F2653">
        <v>241</v>
      </c>
      <c r="G2653">
        <v>240</v>
      </c>
      <c r="P2653" t="s">
        <v>7314</v>
      </c>
    </row>
    <row r="2654" spans="2:16" x14ac:dyDescent="0.25">
      <c r="B2654">
        <v>12362</v>
      </c>
      <c r="C2654" t="s">
        <v>24159</v>
      </c>
      <c r="E2654">
        <v>242</v>
      </c>
      <c r="F2654">
        <v>241</v>
      </c>
      <c r="G2654">
        <v>240</v>
      </c>
      <c r="O2654" t="s">
        <v>24160</v>
      </c>
    </row>
    <row r="2655" spans="2:16" x14ac:dyDescent="0.25">
      <c r="B2655">
        <v>12363</v>
      </c>
      <c r="C2655" t="s">
        <v>24161</v>
      </c>
      <c r="E2655">
        <v>242</v>
      </c>
      <c r="F2655">
        <v>241</v>
      </c>
      <c r="G2655">
        <v>240</v>
      </c>
      <c r="O2655" t="s">
        <v>24162</v>
      </c>
    </row>
    <row r="2656" spans="2:16" x14ac:dyDescent="0.25">
      <c r="B2656">
        <v>12364</v>
      </c>
      <c r="C2656" t="s">
        <v>24163</v>
      </c>
      <c r="E2656">
        <v>242</v>
      </c>
      <c r="F2656">
        <v>241</v>
      </c>
      <c r="G2656">
        <v>240</v>
      </c>
      <c r="O2656" t="s">
        <v>7316</v>
      </c>
    </row>
    <row r="2657" spans="2:16" x14ac:dyDescent="0.25">
      <c r="B2657">
        <v>12365</v>
      </c>
      <c r="C2657" t="s">
        <v>24164</v>
      </c>
      <c r="E2657">
        <v>242</v>
      </c>
      <c r="F2657">
        <v>241</v>
      </c>
      <c r="G2657">
        <v>240</v>
      </c>
      <c r="O2657" t="s">
        <v>24165</v>
      </c>
    </row>
    <row r="2658" spans="2:16" x14ac:dyDescent="0.25">
      <c r="B2658">
        <v>12366</v>
      </c>
      <c r="C2658" t="s">
        <v>24166</v>
      </c>
      <c r="E2658">
        <v>242</v>
      </c>
      <c r="F2658">
        <v>241</v>
      </c>
      <c r="G2658">
        <v>240</v>
      </c>
      <c r="O2658" t="s">
        <v>11631</v>
      </c>
    </row>
    <row r="2659" spans="2:16" x14ac:dyDescent="0.25">
      <c r="B2659">
        <v>12367</v>
      </c>
      <c r="C2659" t="s">
        <v>24167</v>
      </c>
      <c r="E2659">
        <v>242</v>
      </c>
      <c r="F2659">
        <v>241</v>
      </c>
      <c r="G2659">
        <v>240</v>
      </c>
      <c r="O2659" t="s">
        <v>24168</v>
      </c>
    </row>
    <row r="2660" spans="2:16" x14ac:dyDescent="0.25">
      <c r="B2660">
        <v>12368</v>
      </c>
      <c r="C2660" t="s">
        <v>24169</v>
      </c>
      <c r="E2660">
        <v>242</v>
      </c>
      <c r="F2660">
        <v>241</v>
      </c>
      <c r="G2660">
        <v>240</v>
      </c>
      <c r="O2660" t="s">
        <v>24170</v>
      </c>
    </row>
    <row r="2661" spans="2:16" x14ac:dyDescent="0.25">
      <c r="B2661">
        <v>10651</v>
      </c>
      <c r="C2661" t="s">
        <v>20526</v>
      </c>
      <c r="E2661">
        <v>35</v>
      </c>
      <c r="F2661">
        <v>31</v>
      </c>
      <c r="G2661">
        <v>32</v>
      </c>
      <c r="N2661" t="s">
        <v>3111</v>
      </c>
    </row>
    <row r="2662" spans="2:16" x14ac:dyDescent="0.25">
      <c r="B2662">
        <v>12369</v>
      </c>
      <c r="C2662" t="s">
        <v>24171</v>
      </c>
      <c r="E2662">
        <v>35</v>
      </c>
      <c r="F2662">
        <v>31</v>
      </c>
      <c r="G2662">
        <v>32</v>
      </c>
      <c r="O2662" t="s">
        <v>3113</v>
      </c>
    </row>
    <row r="2663" spans="2:16" x14ac:dyDescent="0.25">
      <c r="B2663">
        <v>10652</v>
      </c>
      <c r="C2663" t="s">
        <v>24172</v>
      </c>
      <c r="E2663">
        <v>200</v>
      </c>
      <c r="F2663">
        <v>201</v>
      </c>
      <c r="G2663">
        <v>202</v>
      </c>
      <c r="N2663" t="s">
        <v>24173</v>
      </c>
    </row>
    <row r="2664" spans="2:16" x14ac:dyDescent="0.25">
      <c r="B2664">
        <v>12370</v>
      </c>
      <c r="C2664" t="s">
        <v>24174</v>
      </c>
      <c r="E2664">
        <v>208</v>
      </c>
      <c r="F2664">
        <v>208</v>
      </c>
      <c r="G2664">
        <v>209</v>
      </c>
      <c r="O2664" t="s">
        <v>24175</v>
      </c>
    </row>
    <row r="2665" spans="2:16" x14ac:dyDescent="0.25">
      <c r="B2665">
        <v>12371</v>
      </c>
      <c r="C2665" t="s">
        <v>20987</v>
      </c>
      <c r="E2665">
        <v>208</v>
      </c>
      <c r="F2665">
        <v>208</v>
      </c>
      <c r="G2665">
        <v>209</v>
      </c>
      <c r="O2665" t="s">
        <v>24176</v>
      </c>
    </row>
    <row r="2666" spans="2:16" x14ac:dyDescent="0.25">
      <c r="B2666">
        <v>12372</v>
      </c>
      <c r="C2666" t="s">
        <v>24177</v>
      </c>
      <c r="E2666">
        <v>208</v>
      </c>
      <c r="F2666">
        <v>208</v>
      </c>
      <c r="G2666">
        <v>209</v>
      </c>
      <c r="P2666" t="s">
        <v>24178</v>
      </c>
    </row>
    <row r="2667" spans="2:16" x14ac:dyDescent="0.25">
      <c r="B2667">
        <v>12373</v>
      </c>
      <c r="C2667" t="s">
        <v>24179</v>
      </c>
      <c r="E2667">
        <v>109</v>
      </c>
      <c r="F2667">
        <v>110</v>
      </c>
      <c r="G2667">
        <v>112</v>
      </c>
      <c r="O2667" t="s">
        <v>24180</v>
      </c>
    </row>
    <row r="2668" spans="2:16" x14ac:dyDescent="0.25">
      <c r="B2668">
        <v>12374</v>
      </c>
      <c r="C2668" t="s">
        <v>24181</v>
      </c>
      <c r="E2668">
        <v>109</v>
      </c>
      <c r="F2668">
        <v>110</v>
      </c>
      <c r="G2668">
        <v>112</v>
      </c>
      <c r="O2668" t="s">
        <v>24182</v>
      </c>
    </row>
    <row r="2669" spans="2:16" x14ac:dyDescent="0.25">
      <c r="B2669">
        <v>12375</v>
      </c>
      <c r="C2669" t="s">
        <v>24183</v>
      </c>
      <c r="E2669">
        <v>208</v>
      </c>
      <c r="F2669">
        <v>208</v>
      </c>
      <c r="G2669">
        <v>209</v>
      </c>
      <c r="O2669" t="s">
        <v>1318</v>
      </c>
    </row>
    <row r="2670" spans="2:16" x14ac:dyDescent="0.25">
      <c r="B2670">
        <v>12376</v>
      </c>
      <c r="C2670" t="s">
        <v>17578</v>
      </c>
      <c r="E2670">
        <v>208</v>
      </c>
      <c r="F2670">
        <v>208</v>
      </c>
      <c r="G2670">
        <v>209</v>
      </c>
      <c r="O2670" t="s">
        <v>3406</v>
      </c>
    </row>
    <row r="2671" spans="2:16" x14ac:dyDescent="0.25">
      <c r="B2671">
        <v>12377</v>
      </c>
      <c r="C2671" t="s">
        <v>17663</v>
      </c>
      <c r="E2671">
        <v>208</v>
      </c>
      <c r="F2671">
        <v>208</v>
      </c>
      <c r="G2671">
        <v>209</v>
      </c>
      <c r="O2671" t="s">
        <v>4874</v>
      </c>
    </row>
    <row r="2672" spans="2:16" x14ac:dyDescent="0.25">
      <c r="B2672">
        <v>12378</v>
      </c>
      <c r="C2672" t="s">
        <v>24184</v>
      </c>
      <c r="E2672">
        <v>208</v>
      </c>
      <c r="F2672">
        <v>208</v>
      </c>
      <c r="G2672">
        <v>209</v>
      </c>
      <c r="O2672" t="s">
        <v>24185</v>
      </c>
    </row>
    <row r="2673" spans="2:21" x14ac:dyDescent="0.25">
      <c r="B2673">
        <v>266441705</v>
      </c>
      <c r="C2673" t="s">
        <v>24186</v>
      </c>
      <c r="E2673">
        <v>90</v>
      </c>
      <c r="F2673">
        <v>26</v>
      </c>
      <c r="G2673">
        <v>33</v>
      </c>
      <c r="N2673" t="s">
        <v>24187</v>
      </c>
    </row>
    <row r="2674" spans="2:21" x14ac:dyDescent="0.25">
      <c r="B2674">
        <v>10653</v>
      </c>
      <c r="C2674" t="s">
        <v>17230</v>
      </c>
      <c r="E2674">
        <v>202</v>
      </c>
      <c r="F2674">
        <v>215</v>
      </c>
      <c r="G2674">
        <v>238</v>
      </c>
      <c r="M2674" t="s">
        <v>2245</v>
      </c>
    </row>
    <row r="2675" spans="2:21" x14ac:dyDescent="0.25">
      <c r="B2675">
        <v>10654</v>
      </c>
      <c r="C2675" t="s">
        <v>24188</v>
      </c>
      <c r="E2675">
        <v>202</v>
      </c>
      <c r="F2675">
        <v>215</v>
      </c>
      <c r="G2675">
        <v>238</v>
      </c>
      <c r="N2675" t="s">
        <v>2120</v>
      </c>
    </row>
    <row r="2676" spans="2:21" x14ac:dyDescent="0.25">
      <c r="B2676">
        <v>10655</v>
      </c>
      <c r="C2676" t="s">
        <v>24189</v>
      </c>
      <c r="E2676">
        <v>179</v>
      </c>
      <c r="F2676">
        <v>200</v>
      </c>
      <c r="G2676">
        <v>231</v>
      </c>
      <c r="O2676" t="s">
        <v>3096</v>
      </c>
    </row>
    <row r="2677" spans="2:21" x14ac:dyDescent="0.25">
      <c r="B2677">
        <v>10656</v>
      </c>
      <c r="C2677" t="s">
        <v>20548</v>
      </c>
      <c r="E2677">
        <v>158</v>
      </c>
      <c r="F2677">
        <v>186</v>
      </c>
      <c r="G2677">
        <v>225</v>
      </c>
      <c r="P2677" t="s">
        <v>1053</v>
      </c>
    </row>
    <row r="2678" spans="2:21" x14ac:dyDescent="0.25">
      <c r="B2678">
        <v>10657</v>
      </c>
      <c r="C2678" t="s">
        <v>24190</v>
      </c>
      <c r="E2678">
        <v>137</v>
      </c>
      <c r="F2678">
        <v>173</v>
      </c>
      <c r="G2678">
        <v>219</v>
      </c>
      <c r="Q2678" t="s">
        <v>1017</v>
      </c>
    </row>
    <row r="2679" spans="2:21" x14ac:dyDescent="0.25">
      <c r="B2679">
        <v>10658</v>
      </c>
      <c r="C2679" t="s">
        <v>24191</v>
      </c>
      <c r="E2679">
        <v>118</v>
      </c>
      <c r="F2679">
        <v>162</v>
      </c>
      <c r="G2679">
        <v>213</v>
      </c>
      <c r="R2679" t="s">
        <v>1045</v>
      </c>
    </row>
    <row r="2680" spans="2:21" x14ac:dyDescent="0.25">
      <c r="B2680">
        <v>12379</v>
      </c>
      <c r="C2680" t="s">
        <v>24192</v>
      </c>
      <c r="E2680">
        <v>62</v>
      </c>
      <c r="F2680">
        <v>128</v>
      </c>
      <c r="G2680">
        <v>186</v>
      </c>
      <c r="S2680" t="s">
        <v>4246</v>
      </c>
    </row>
    <row r="2681" spans="2:21" x14ac:dyDescent="0.25">
      <c r="B2681">
        <v>13237</v>
      </c>
      <c r="C2681" t="s">
        <v>24193</v>
      </c>
      <c r="E2681">
        <v>225</v>
      </c>
      <c r="F2681">
        <v>232</v>
      </c>
      <c r="G2681">
        <v>246</v>
      </c>
      <c r="T2681" t="s">
        <v>4276</v>
      </c>
    </row>
    <row r="2682" spans="2:21" x14ac:dyDescent="0.25">
      <c r="B2682">
        <v>13238</v>
      </c>
      <c r="C2682" t="s">
        <v>24194</v>
      </c>
      <c r="E2682">
        <v>74</v>
      </c>
      <c r="F2682">
        <v>142</v>
      </c>
      <c r="G2682">
        <v>204</v>
      </c>
      <c r="T2682" t="s">
        <v>4278</v>
      </c>
    </row>
    <row r="2683" spans="2:21" x14ac:dyDescent="0.25">
      <c r="B2683">
        <v>13239</v>
      </c>
      <c r="C2683" t="s">
        <v>24195</v>
      </c>
      <c r="E2683">
        <v>17</v>
      </c>
      <c r="F2683">
        <v>90</v>
      </c>
      <c r="G2683">
        <v>149</v>
      </c>
      <c r="T2683" t="s">
        <v>4280</v>
      </c>
    </row>
    <row r="2684" spans="2:21" x14ac:dyDescent="0.25">
      <c r="B2684">
        <v>12380</v>
      </c>
      <c r="C2684" t="s">
        <v>24196</v>
      </c>
      <c r="E2684">
        <v>50</v>
      </c>
      <c r="F2684">
        <v>114</v>
      </c>
      <c r="G2684">
        <v>174</v>
      </c>
      <c r="S2684" t="s">
        <v>4248</v>
      </c>
    </row>
    <row r="2685" spans="2:21" x14ac:dyDescent="0.25">
      <c r="B2685">
        <v>12381</v>
      </c>
      <c r="C2685" t="s">
        <v>24197</v>
      </c>
      <c r="E2685">
        <v>50</v>
      </c>
      <c r="F2685">
        <v>114</v>
      </c>
      <c r="G2685">
        <v>174</v>
      </c>
      <c r="T2685" t="s">
        <v>4250</v>
      </c>
    </row>
    <row r="2686" spans="2:21" x14ac:dyDescent="0.25">
      <c r="B2686">
        <v>13240</v>
      </c>
      <c r="C2686" t="s">
        <v>24198</v>
      </c>
      <c r="E2686">
        <v>225</v>
      </c>
      <c r="F2686">
        <v>232</v>
      </c>
      <c r="G2686">
        <v>246</v>
      </c>
      <c r="U2686" t="s">
        <v>4282</v>
      </c>
    </row>
    <row r="2687" spans="2:21" x14ac:dyDescent="0.25">
      <c r="B2687">
        <v>13241</v>
      </c>
      <c r="C2687" t="s">
        <v>24199</v>
      </c>
      <c r="E2687">
        <v>62</v>
      </c>
      <c r="F2687">
        <v>128</v>
      </c>
      <c r="G2687">
        <v>186</v>
      </c>
      <c r="U2687" t="s">
        <v>4284</v>
      </c>
    </row>
    <row r="2688" spans="2:21" x14ac:dyDescent="0.25">
      <c r="B2688">
        <v>13242</v>
      </c>
      <c r="C2688" t="s">
        <v>24200</v>
      </c>
      <c r="E2688">
        <v>6</v>
      </c>
      <c r="F2688">
        <v>79</v>
      </c>
      <c r="G2688">
        <v>136</v>
      </c>
      <c r="U2688" t="s">
        <v>4286</v>
      </c>
    </row>
    <row r="2689" spans="2:21" x14ac:dyDescent="0.25">
      <c r="B2689">
        <v>12382</v>
      </c>
      <c r="C2689" t="s">
        <v>24201</v>
      </c>
      <c r="E2689">
        <v>50</v>
      </c>
      <c r="F2689">
        <v>114</v>
      </c>
      <c r="G2689">
        <v>174</v>
      </c>
      <c r="T2689" t="s">
        <v>4252</v>
      </c>
    </row>
    <row r="2690" spans="2:21" x14ac:dyDescent="0.25">
      <c r="B2690">
        <v>13243</v>
      </c>
      <c r="C2690" t="s">
        <v>24202</v>
      </c>
      <c r="E2690">
        <v>225</v>
      </c>
      <c r="F2690">
        <v>232</v>
      </c>
      <c r="G2690">
        <v>246</v>
      </c>
      <c r="U2690" t="s">
        <v>4288</v>
      </c>
    </row>
    <row r="2691" spans="2:21" x14ac:dyDescent="0.25">
      <c r="B2691">
        <v>13244</v>
      </c>
      <c r="C2691" t="s">
        <v>24203</v>
      </c>
      <c r="E2691">
        <v>62</v>
      </c>
      <c r="F2691">
        <v>128</v>
      </c>
      <c r="G2691">
        <v>186</v>
      </c>
      <c r="U2691" t="s">
        <v>4290</v>
      </c>
    </row>
    <row r="2692" spans="2:21" x14ac:dyDescent="0.25">
      <c r="B2692">
        <v>13245</v>
      </c>
      <c r="C2692" t="s">
        <v>24204</v>
      </c>
      <c r="E2692">
        <v>6</v>
      </c>
      <c r="F2692">
        <v>79</v>
      </c>
      <c r="G2692">
        <v>136</v>
      </c>
      <c r="U2692" t="s">
        <v>4292</v>
      </c>
    </row>
    <row r="2693" spans="2:21" x14ac:dyDescent="0.25">
      <c r="B2693">
        <v>12383</v>
      </c>
      <c r="C2693" t="s">
        <v>24205</v>
      </c>
      <c r="E2693">
        <v>74</v>
      </c>
      <c r="F2693">
        <v>142</v>
      </c>
      <c r="G2693">
        <v>204</v>
      </c>
      <c r="S2693" t="s">
        <v>4254</v>
      </c>
    </row>
    <row r="2694" spans="2:21" x14ac:dyDescent="0.25">
      <c r="B2694">
        <v>13246</v>
      </c>
      <c r="C2694" t="s">
        <v>24206</v>
      </c>
      <c r="E2694">
        <v>225</v>
      </c>
      <c r="F2694">
        <v>232</v>
      </c>
      <c r="G2694">
        <v>246</v>
      </c>
      <c r="T2694" t="s">
        <v>4294</v>
      </c>
    </row>
    <row r="2695" spans="2:21" x14ac:dyDescent="0.25">
      <c r="B2695">
        <v>13247</v>
      </c>
      <c r="C2695" t="s">
        <v>24207</v>
      </c>
      <c r="E2695">
        <v>97</v>
      </c>
      <c r="F2695">
        <v>151</v>
      </c>
      <c r="G2695">
        <v>208</v>
      </c>
      <c r="T2695" t="s">
        <v>4296</v>
      </c>
    </row>
    <row r="2696" spans="2:21" x14ac:dyDescent="0.25">
      <c r="B2696">
        <v>13248</v>
      </c>
      <c r="C2696" t="s">
        <v>24208</v>
      </c>
      <c r="E2696">
        <v>35</v>
      </c>
      <c r="F2696">
        <v>102</v>
      </c>
      <c r="G2696">
        <v>161</v>
      </c>
      <c r="T2696" t="s">
        <v>4298</v>
      </c>
    </row>
    <row r="2697" spans="2:21" x14ac:dyDescent="0.25">
      <c r="B2697">
        <v>10659</v>
      </c>
      <c r="C2697" t="s">
        <v>24209</v>
      </c>
      <c r="E2697">
        <v>97</v>
      </c>
      <c r="F2697">
        <v>151</v>
      </c>
      <c r="G2697">
        <v>208</v>
      </c>
      <c r="R2697" t="s">
        <v>1024</v>
      </c>
    </row>
    <row r="2698" spans="2:21" x14ac:dyDescent="0.25">
      <c r="B2698">
        <v>12384</v>
      </c>
      <c r="C2698" t="s">
        <v>24210</v>
      </c>
      <c r="E2698">
        <v>74</v>
      </c>
      <c r="F2698">
        <v>142</v>
      </c>
      <c r="G2698">
        <v>204</v>
      </c>
      <c r="S2698" t="s">
        <v>3718</v>
      </c>
    </row>
    <row r="2699" spans="2:21" x14ac:dyDescent="0.25">
      <c r="B2699">
        <v>12385</v>
      </c>
      <c r="C2699" t="s">
        <v>16402</v>
      </c>
      <c r="E2699">
        <v>50</v>
      </c>
      <c r="F2699">
        <v>114</v>
      </c>
      <c r="G2699">
        <v>174</v>
      </c>
      <c r="T2699" t="s">
        <v>3721</v>
      </c>
    </row>
    <row r="2700" spans="2:21" x14ac:dyDescent="0.25">
      <c r="B2700">
        <v>13249</v>
      </c>
      <c r="C2700" t="s">
        <v>24211</v>
      </c>
      <c r="E2700">
        <v>225</v>
      </c>
      <c r="F2700">
        <v>232</v>
      </c>
      <c r="G2700">
        <v>246</v>
      </c>
      <c r="U2700" t="s">
        <v>4300</v>
      </c>
    </row>
    <row r="2701" spans="2:21" x14ac:dyDescent="0.25">
      <c r="B2701">
        <v>13250</v>
      </c>
      <c r="C2701" t="s">
        <v>24212</v>
      </c>
      <c r="E2701">
        <v>62</v>
      </c>
      <c r="F2701">
        <v>128</v>
      </c>
      <c r="G2701">
        <v>186</v>
      </c>
      <c r="U2701" t="s">
        <v>4302</v>
      </c>
    </row>
    <row r="2702" spans="2:21" x14ac:dyDescent="0.25">
      <c r="B2702">
        <v>13251</v>
      </c>
      <c r="C2702" t="s">
        <v>24213</v>
      </c>
      <c r="E2702">
        <v>6</v>
      </c>
      <c r="F2702">
        <v>79</v>
      </c>
      <c r="G2702">
        <v>136</v>
      </c>
      <c r="U2702" t="s">
        <v>4304</v>
      </c>
    </row>
    <row r="2703" spans="2:21" x14ac:dyDescent="0.25">
      <c r="B2703">
        <v>12386</v>
      </c>
      <c r="C2703" t="s">
        <v>16466</v>
      </c>
      <c r="E2703">
        <v>50</v>
      </c>
      <c r="F2703">
        <v>114</v>
      </c>
      <c r="G2703">
        <v>174</v>
      </c>
      <c r="T2703" t="s">
        <v>3724</v>
      </c>
    </row>
    <row r="2704" spans="2:21" x14ac:dyDescent="0.25">
      <c r="B2704">
        <v>12387</v>
      </c>
      <c r="C2704" t="s">
        <v>24214</v>
      </c>
      <c r="E2704">
        <v>50</v>
      </c>
      <c r="F2704">
        <v>114</v>
      </c>
      <c r="G2704">
        <v>174</v>
      </c>
      <c r="U2704" t="s">
        <v>4256</v>
      </c>
    </row>
    <row r="2705" spans="2:22" x14ac:dyDescent="0.25">
      <c r="B2705">
        <v>13252</v>
      </c>
      <c r="C2705" t="s">
        <v>24215</v>
      </c>
      <c r="E2705">
        <v>225</v>
      </c>
      <c r="F2705">
        <v>232</v>
      </c>
      <c r="G2705">
        <v>246</v>
      </c>
      <c r="V2705" t="s">
        <v>4306</v>
      </c>
    </row>
    <row r="2706" spans="2:22" x14ac:dyDescent="0.25">
      <c r="B2706">
        <v>13253</v>
      </c>
      <c r="C2706" t="s">
        <v>24216</v>
      </c>
      <c r="E2706">
        <v>62</v>
      </c>
      <c r="F2706">
        <v>128</v>
      </c>
      <c r="G2706">
        <v>186</v>
      </c>
      <c r="V2706" t="s">
        <v>4308</v>
      </c>
    </row>
    <row r="2707" spans="2:22" x14ac:dyDescent="0.25">
      <c r="B2707">
        <v>13254</v>
      </c>
      <c r="C2707" t="s">
        <v>24217</v>
      </c>
      <c r="E2707">
        <v>6</v>
      </c>
      <c r="F2707">
        <v>79</v>
      </c>
      <c r="G2707">
        <v>136</v>
      </c>
      <c r="V2707" t="s">
        <v>4310</v>
      </c>
    </row>
    <row r="2708" spans="2:22" x14ac:dyDescent="0.25">
      <c r="B2708">
        <v>12388</v>
      </c>
      <c r="C2708" t="s">
        <v>24218</v>
      </c>
      <c r="E2708">
        <v>50</v>
      </c>
      <c r="F2708">
        <v>114</v>
      </c>
      <c r="G2708">
        <v>174</v>
      </c>
      <c r="U2708" t="s">
        <v>4258</v>
      </c>
    </row>
    <row r="2709" spans="2:22" x14ac:dyDescent="0.25">
      <c r="B2709">
        <v>13255</v>
      </c>
      <c r="C2709" t="s">
        <v>24219</v>
      </c>
      <c r="E2709">
        <v>225</v>
      </c>
      <c r="F2709">
        <v>232</v>
      </c>
      <c r="G2709">
        <v>246</v>
      </c>
      <c r="V2709" t="s">
        <v>4312</v>
      </c>
    </row>
    <row r="2710" spans="2:22" x14ac:dyDescent="0.25">
      <c r="B2710">
        <v>13256</v>
      </c>
      <c r="C2710" t="s">
        <v>24220</v>
      </c>
      <c r="E2710">
        <v>62</v>
      </c>
      <c r="F2710">
        <v>128</v>
      </c>
      <c r="G2710">
        <v>186</v>
      </c>
      <c r="V2710" t="s">
        <v>4314</v>
      </c>
    </row>
    <row r="2711" spans="2:22" x14ac:dyDescent="0.25">
      <c r="B2711">
        <v>13257</v>
      </c>
      <c r="C2711" t="s">
        <v>24221</v>
      </c>
      <c r="E2711">
        <v>6</v>
      </c>
      <c r="F2711">
        <v>79</v>
      </c>
      <c r="G2711">
        <v>136</v>
      </c>
      <c r="V2711" t="s">
        <v>4316</v>
      </c>
    </row>
    <row r="2712" spans="2:22" x14ac:dyDescent="0.25">
      <c r="B2712">
        <v>12389</v>
      </c>
      <c r="C2712" t="s">
        <v>24222</v>
      </c>
      <c r="E2712">
        <v>62</v>
      </c>
      <c r="F2712">
        <v>128</v>
      </c>
      <c r="G2712">
        <v>186</v>
      </c>
      <c r="T2712" t="s">
        <v>3713</v>
      </c>
    </row>
    <row r="2713" spans="2:22" x14ac:dyDescent="0.25">
      <c r="B2713">
        <v>13258</v>
      </c>
      <c r="C2713" t="s">
        <v>24223</v>
      </c>
      <c r="E2713">
        <v>225</v>
      </c>
      <c r="F2713">
        <v>232</v>
      </c>
      <c r="G2713">
        <v>246</v>
      </c>
      <c r="U2713" t="s">
        <v>1848</v>
      </c>
    </row>
    <row r="2714" spans="2:22" x14ac:dyDescent="0.25">
      <c r="B2714">
        <v>13259</v>
      </c>
      <c r="C2714" t="s">
        <v>24224</v>
      </c>
      <c r="E2714">
        <v>74</v>
      </c>
      <c r="F2714">
        <v>142</v>
      </c>
      <c r="G2714">
        <v>204</v>
      </c>
      <c r="U2714" t="s">
        <v>1850</v>
      </c>
    </row>
    <row r="2715" spans="2:22" x14ac:dyDescent="0.25">
      <c r="B2715">
        <v>13260</v>
      </c>
      <c r="C2715" t="s">
        <v>24225</v>
      </c>
      <c r="E2715">
        <v>17</v>
      </c>
      <c r="F2715">
        <v>90</v>
      </c>
      <c r="G2715">
        <v>149</v>
      </c>
      <c r="U2715" t="s">
        <v>1852</v>
      </c>
    </row>
    <row r="2716" spans="2:22" x14ac:dyDescent="0.25">
      <c r="B2716">
        <v>12390</v>
      </c>
      <c r="C2716" t="s">
        <v>24226</v>
      </c>
      <c r="E2716">
        <v>74</v>
      </c>
      <c r="F2716">
        <v>142</v>
      </c>
      <c r="G2716">
        <v>204</v>
      </c>
      <c r="S2716" t="s">
        <v>1222</v>
      </c>
    </row>
    <row r="2717" spans="2:22" x14ac:dyDescent="0.25">
      <c r="B2717">
        <v>12391</v>
      </c>
      <c r="C2717" t="s">
        <v>24227</v>
      </c>
      <c r="E2717">
        <v>62</v>
      </c>
      <c r="F2717">
        <v>128</v>
      </c>
      <c r="G2717">
        <v>186</v>
      </c>
      <c r="T2717" t="s">
        <v>4260</v>
      </c>
    </row>
    <row r="2718" spans="2:22" x14ac:dyDescent="0.25">
      <c r="B2718">
        <v>13261</v>
      </c>
      <c r="C2718" t="s">
        <v>24228</v>
      </c>
      <c r="E2718">
        <v>225</v>
      </c>
      <c r="F2718">
        <v>232</v>
      </c>
      <c r="G2718">
        <v>246</v>
      </c>
      <c r="U2718" t="s">
        <v>4318</v>
      </c>
    </row>
    <row r="2719" spans="2:22" x14ac:dyDescent="0.25">
      <c r="B2719">
        <v>13262</v>
      </c>
      <c r="C2719" t="s">
        <v>24229</v>
      </c>
      <c r="E2719">
        <v>74</v>
      </c>
      <c r="F2719">
        <v>142</v>
      </c>
      <c r="G2719">
        <v>204</v>
      </c>
      <c r="U2719" t="s">
        <v>4320</v>
      </c>
    </row>
    <row r="2720" spans="2:22" x14ac:dyDescent="0.25">
      <c r="B2720">
        <v>13263</v>
      </c>
      <c r="C2720" t="s">
        <v>24230</v>
      </c>
      <c r="E2720">
        <v>17</v>
      </c>
      <c r="F2720">
        <v>90</v>
      </c>
      <c r="G2720">
        <v>149</v>
      </c>
      <c r="U2720" t="s">
        <v>4322</v>
      </c>
    </row>
    <row r="2721" spans="2:22" x14ac:dyDescent="0.25">
      <c r="B2721">
        <v>12392</v>
      </c>
      <c r="C2721" t="s">
        <v>24231</v>
      </c>
      <c r="E2721">
        <v>35</v>
      </c>
      <c r="F2721">
        <v>102</v>
      </c>
      <c r="G2721">
        <v>161</v>
      </c>
      <c r="T2721" t="s">
        <v>4262</v>
      </c>
    </row>
    <row r="2722" spans="2:22" x14ac:dyDescent="0.25">
      <c r="B2722">
        <v>12393</v>
      </c>
      <c r="C2722" t="s">
        <v>24232</v>
      </c>
      <c r="E2722">
        <v>35</v>
      </c>
      <c r="F2722">
        <v>102</v>
      </c>
      <c r="G2722">
        <v>161</v>
      </c>
      <c r="U2722" t="s">
        <v>4264</v>
      </c>
    </row>
    <row r="2723" spans="2:22" x14ac:dyDescent="0.25">
      <c r="B2723">
        <v>13264</v>
      </c>
      <c r="C2723" t="s">
        <v>24233</v>
      </c>
      <c r="E2723">
        <v>225</v>
      </c>
      <c r="F2723">
        <v>232</v>
      </c>
      <c r="G2723">
        <v>246</v>
      </c>
      <c r="V2723" t="s">
        <v>4324</v>
      </c>
    </row>
    <row r="2724" spans="2:22" x14ac:dyDescent="0.25">
      <c r="B2724">
        <v>13265</v>
      </c>
      <c r="C2724" t="s">
        <v>24234</v>
      </c>
      <c r="E2724">
        <v>50</v>
      </c>
      <c r="F2724">
        <v>114</v>
      </c>
      <c r="G2724">
        <v>174</v>
      </c>
      <c r="V2724" t="s">
        <v>4326</v>
      </c>
    </row>
    <row r="2725" spans="2:22" x14ac:dyDescent="0.25">
      <c r="B2725">
        <v>13266</v>
      </c>
      <c r="C2725" t="s">
        <v>24235</v>
      </c>
      <c r="E2725">
        <v>25</v>
      </c>
      <c r="F2725">
        <v>69</v>
      </c>
      <c r="G2725">
        <v>126</v>
      </c>
      <c r="V2725" t="s">
        <v>4328</v>
      </c>
    </row>
    <row r="2726" spans="2:22" x14ac:dyDescent="0.25">
      <c r="B2726">
        <v>12394</v>
      </c>
      <c r="C2726" t="s">
        <v>24236</v>
      </c>
      <c r="E2726">
        <v>35</v>
      </c>
      <c r="F2726">
        <v>102</v>
      </c>
      <c r="G2726">
        <v>161</v>
      </c>
      <c r="U2726" t="s">
        <v>4266</v>
      </c>
    </row>
    <row r="2727" spans="2:22" x14ac:dyDescent="0.25">
      <c r="B2727">
        <v>13267</v>
      </c>
      <c r="C2727" t="s">
        <v>24237</v>
      </c>
      <c r="E2727">
        <v>225</v>
      </c>
      <c r="F2727">
        <v>232</v>
      </c>
      <c r="G2727">
        <v>246</v>
      </c>
      <c r="V2727" t="s">
        <v>4330</v>
      </c>
    </row>
    <row r="2728" spans="2:22" x14ac:dyDescent="0.25">
      <c r="B2728">
        <v>13268</v>
      </c>
      <c r="C2728" t="s">
        <v>24238</v>
      </c>
      <c r="E2728">
        <v>50</v>
      </c>
      <c r="F2728">
        <v>114</v>
      </c>
      <c r="G2728">
        <v>174</v>
      </c>
      <c r="V2728" t="s">
        <v>4332</v>
      </c>
    </row>
    <row r="2729" spans="2:22" x14ac:dyDescent="0.25">
      <c r="B2729">
        <v>13269</v>
      </c>
      <c r="C2729" t="s">
        <v>24239</v>
      </c>
      <c r="E2729">
        <v>25</v>
      </c>
      <c r="F2729">
        <v>69</v>
      </c>
      <c r="G2729">
        <v>126</v>
      </c>
      <c r="V2729" t="s">
        <v>4334</v>
      </c>
    </row>
    <row r="2730" spans="2:22" x14ac:dyDescent="0.25">
      <c r="B2730">
        <v>12395</v>
      </c>
      <c r="C2730" t="s">
        <v>24240</v>
      </c>
      <c r="E2730">
        <v>50</v>
      </c>
      <c r="F2730">
        <v>114</v>
      </c>
      <c r="G2730">
        <v>174</v>
      </c>
      <c r="T2730" t="s">
        <v>4268</v>
      </c>
    </row>
    <row r="2731" spans="2:22" x14ac:dyDescent="0.25">
      <c r="B2731">
        <v>13270</v>
      </c>
      <c r="C2731" t="s">
        <v>24241</v>
      </c>
      <c r="E2731">
        <v>225</v>
      </c>
      <c r="F2731">
        <v>232</v>
      </c>
      <c r="G2731">
        <v>246</v>
      </c>
      <c r="U2731" t="s">
        <v>4336</v>
      </c>
    </row>
    <row r="2732" spans="2:22" x14ac:dyDescent="0.25">
      <c r="B2732">
        <v>13271</v>
      </c>
      <c r="C2732" t="s">
        <v>24242</v>
      </c>
      <c r="E2732">
        <v>74</v>
      </c>
      <c r="F2732">
        <v>142</v>
      </c>
      <c r="G2732">
        <v>204</v>
      </c>
      <c r="U2732" t="s">
        <v>4338</v>
      </c>
    </row>
    <row r="2733" spans="2:22" x14ac:dyDescent="0.25">
      <c r="B2733">
        <v>13272</v>
      </c>
      <c r="C2733" t="s">
        <v>24243</v>
      </c>
      <c r="E2733">
        <v>6</v>
      </c>
      <c r="F2733">
        <v>79</v>
      </c>
      <c r="G2733">
        <v>136</v>
      </c>
      <c r="U2733" t="s">
        <v>4340</v>
      </c>
    </row>
    <row r="2734" spans="2:22" x14ac:dyDescent="0.25">
      <c r="B2734">
        <v>10660</v>
      </c>
      <c r="C2734" t="s">
        <v>24244</v>
      </c>
      <c r="E2734">
        <v>62</v>
      </c>
      <c r="F2734">
        <v>128</v>
      </c>
      <c r="G2734">
        <v>186</v>
      </c>
      <c r="Q2734" t="s">
        <v>1032</v>
      </c>
    </row>
    <row r="2735" spans="2:22" x14ac:dyDescent="0.25">
      <c r="B2735">
        <v>12396</v>
      </c>
      <c r="C2735" t="s">
        <v>16771</v>
      </c>
      <c r="E2735">
        <v>25</v>
      </c>
      <c r="F2735">
        <v>69</v>
      </c>
      <c r="G2735">
        <v>126</v>
      </c>
      <c r="R2735" t="s">
        <v>7318</v>
      </c>
    </row>
    <row r="2736" spans="2:22" x14ac:dyDescent="0.25">
      <c r="B2736">
        <v>12397</v>
      </c>
      <c r="C2736" t="s">
        <v>24245</v>
      </c>
      <c r="E2736">
        <v>25</v>
      </c>
      <c r="F2736">
        <v>69</v>
      </c>
      <c r="G2736">
        <v>126</v>
      </c>
      <c r="S2736" t="s">
        <v>7320</v>
      </c>
    </row>
    <row r="2737" spans="2:19" x14ac:dyDescent="0.25">
      <c r="B2737">
        <v>12398</v>
      </c>
      <c r="C2737" t="s">
        <v>24246</v>
      </c>
      <c r="E2737">
        <v>25</v>
      </c>
      <c r="F2737">
        <v>69</v>
      </c>
      <c r="G2737">
        <v>126</v>
      </c>
      <c r="S2737" t="s">
        <v>7322</v>
      </c>
    </row>
    <row r="2738" spans="2:19" x14ac:dyDescent="0.25">
      <c r="B2738">
        <v>12399</v>
      </c>
      <c r="C2738" t="s">
        <v>24247</v>
      </c>
      <c r="E2738">
        <v>17</v>
      </c>
      <c r="F2738">
        <v>90</v>
      </c>
      <c r="G2738">
        <v>149</v>
      </c>
      <c r="R2738" t="s">
        <v>1133</v>
      </c>
    </row>
    <row r="2739" spans="2:19" x14ac:dyDescent="0.25">
      <c r="B2739">
        <v>12400</v>
      </c>
      <c r="C2739" t="s">
        <v>24248</v>
      </c>
      <c r="E2739">
        <v>17</v>
      </c>
      <c r="F2739">
        <v>90</v>
      </c>
      <c r="G2739">
        <v>149</v>
      </c>
      <c r="S2739" t="s">
        <v>1066</v>
      </c>
    </row>
    <row r="2740" spans="2:19" x14ac:dyDescent="0.25">
      <c r="B2740">
        <v>12401</v>
      </c>
      <c r="C2740" t="s">
        <v>24249</v>
      </c>
      <c r="E2740">
        <v>17</v>
      </c>
      <c r="F2740">
        <v>90</v>
      </c>
      <c r="G2740">
        <v>149</v>
      </c>
      <c r="S2740" t="s">
        <v>1661</v>
      </c>
    </row>
    <row r="2741" spans="2:19" x14ac:dyDescent="0.25">
      <c r="B2741">
        <v>12402</v>
      </c>
      <c r="C2741" t="s">
        <v>24250</v>
      </c>
      <c r="E2741">
        <v>50</v>
      </c>
      <c r="F2741">
        <v>114</v>
      </c>
      <c r="G2741">
        <v>174</v>
      </c>
      <c r="R2741" t="s">
        <v>1838</v>
      </c>
    </row>
    <row r="2742" spans="2:19" x14ac:dyDescent="0.25">
      <c r="B2742">
        <v>12403</v>
      </c>
      <c r="C2742" t="s">
        <v>24251</v>
      </c>
      <c r="E2742">
        <v>50</v>
      </c>
      <c r="F2742">
        <v>114</v>
      </c>
      <c r="G2742">
        <v>174</v>
      </c>
      <c r="S2742" t="s">
        <v>7324</v>
      </c>
    </row>
    <row r="2743" spans="2:19" x14ac:dyDescent="0.25">
      <c r="B2743">
        <v>12404</v>
      </c>
      <c r="C2743" t="s">
        <v>24252</v>
      </c>
      <c r="E2743">
        <v>50</v>
      </c>
      <c r="F2743">
        <v>114</v>
      </c>
      <c r="G2743">
        <v>174</v>
      </c>
      <c r="S2743" t="s">
        <v>7326</v>
      </c>
    </row>
    <row r="2744" spans="2:19" x14ac:dyDescent="0.25">
      <c r="B2744">
        <v>267499207</v>
      </c>
      <c r="C2744" t="s">
        <v>24253</v>
      </c>
      <c r="E2744">
        <v>25</v>
      </c>
      <c r="F2744">
        <v>69</v>
      </c>
      <c r="G2744">
        <v>126</v>
      </c>
      <c r="R2744" t="s">
        <v>8655</v>
      </c>
    </row>
    <row r="2745" spans="2:19" x14ac:dyDescent="0.25">
      <c r="B2745">
        <v>10661</v>
      </c>
      <c r="C2745" t="s">
        <v>24254</v>
      </c>
      <c r="E2745">
        <v>175</v>
      </c>
      <c r="F2745">
        <v>195</v>
      </c>
      <c r="G2745">
        <v>219</v>
      </c>
      <c r="P2745" t="s">
        <v>3862</v>
      </c>
    </row>
    <row r="2746" spans="2:19" x14ac:dyDescent="0.25">
      <c r="B2746">
        <v>12405</v>
      </c>
      <c r="C2746" t="s">
        <v>24255</v>
      </c>
      <c r="E2746">
        <v>120</v>
      </c>
      <c r="F2746">
        <v>147</v>
      </c>
      <c r="G2746">
        <v>199</v>
      </c>
      <c r="Q2746" t="s">
        <v>548</v>
      </c>
    </row>
    <row r="2747" spans="2:19" x14ac:dyDescent="0.25">
      <c r="B2747">
        <v>12406</v>
      </c>
      <c r="C2747" t="s">
        <v>20193</v>
      </c>
      <c r="E2747">
        <v>101</v>
      </c>
      <c r="F2747">
        <v>134</v>
      </c>
      <c r="G2747">
        <v>191</v>
      </c>
      <c r="R2747" t="s">
        <v>3867</v>
      </c>
    </row>
    <row r="2748" spans="2:19" x14ac:dyDescent="0.25">
      <c r="B2748">
        <v>12407</v>
      </c>
      <c r="C2748" t="s">
        <v>24256</v>
      </c>
      <c r="E2748">
        <v>78</v>
      </c>
      <c r="F2748">
        <v>120</v>
      </c>
      <c r="G2748">
        <v>176</v>
      </c>
      <c r="S2748" t="s">
        <v>7328</v>
      </c>
    </row>
    <row r="2749" spans="2:19" x14ac:dyDescent="0.25">
      <c r="B2749">
        <v>12408</v>
      </c>
      <c r="C2749" t="s">
        <v>24257</v>
      </c>
      <c r="E2749">
        <v>78</v>
      </c>
      <c r="F2749">
        <v>120</v>
      </c>
      <c r="G2749">
        <v>176</v>
      </c>
      <c r="S2749" t="s">
        <v>7330</v>
      </c>
    </row>
    <row r="2750" spans="2:19" x14ac:dyDescent="0.25">
      <c r="B2750">
        <v>12409</v>
      </c>
      <c r="C2750" t="s">
        <v>24258</v>
      </c>
      <c r="E2750">
        <v>78</v>
      </c>
      <c r="F2750">
        <v>120</v>
      </c>
      <c r="G2750">
        <v>176</v>
      </c>
      <c r="S2750" t="s">
        <v>7332</v>
      </c>
    </row>
    <row r="2751" spans="2:19" x14ac:dyDescent="0.25">
      <c r="B2751">
        <v>12410</v>
      </c>
      <c r="C2751" t="s">
        <v>24259</v>
      </c>
      <c r="E2751">
        <v>78</v>
      </c>
      <c r="F2751">
        <v>120</v>
      </c>
      <c r="G2751">
        <v>176</v>
      </c>
      <c r="S2751" t="s">
        <v>2557</v>
      </c>
    </row>
    <row r="2752" spans="2:19" x14ac:dyDescent="0.25">
      <c r="B2752">
        <v>12411</v>
      </c>
      <c r="C2752" t="s">
        <v>24260</v>
      </c>
      <c r="E2752">
        <v>78</v>
      </c>
      <c r="F2752">
        <v>120</v>
      </c>
      <c r="G2752">
        <v>176</v>
      </c>
      <c r="S2752" t="s">
        <v>7335</v>
      </c>
    </row>
    <row r="2753" spans="2:20" x14ac:dyDescent="0.25">
      <c r="B2753">
        <v>12412</v>
      </c>
      <c r="C2753" t="s">
        <v>24261</v>
      </c>
      <c r="E2753">
        <v>78</v>
      </c>
      <c r="F2753">
        <v>120</v>
      </c>
      <c r="G2753">
        <v>176</v>
      </c>
      <c r="S2753" t="s">
        <v>7337</v>
      </c>
    </row>
    <row r="2754" spans="2:20" x14ac:dyDescent="0.25">
      <c r="B2754">
        <v>12413</v>
      </c>
      <c r="C2754" t="s">
        <v>24262</v>
      </c>
      <c r="E2754">
        <v>78</v>
      </c>
      <c r="F2754">
        <v>120</v>
      </c>
      <c r="G2754">
        <v>176</v>
      </c>
      <c r="S2754" t="s">
        <v>2259</v>
      </c>
    </row>
    <row r="2755" spans="2:20" x14ac:dyDescent="0.25">
      <c r="B2755">
        <v>12414</v>
      </c>
      <c r="C2755" t="s">
        <v>24263</v>
      </c>
      <c r="E2755">
        <v>78</v>
      </c>
      <c r="F2755">
        <v>120</v>
      </c>
      <c r="G2755">
        <v>176</v>
      </c>
      <c r="S2755" t="s">
        <v>3298</v>
      </c>
    </row>
    <row r="2756" spans="2:20" x14ac:dyDescent="0.25">
      <c r="B2756">
        <v>12416</v>
      </c>
      <c r="C2756" t="s">
        <v>24264</v>
      </c>
      <c r="E2756">
        <v>101</v>
      </c>
      <c r="F2756">
        <v>134</v>
      </c>
      <c r="G2756">
        <v>191</v>
      </c>
      <c r="Q2756" t="s">
        <v>3887</v>
      </c>
    </row>
    <row r="2757" spans="2:20" x14ac:dyDescent="0.25">
      <c r="B2757">
        <v>12417</v>
      </c>
      <c r="C2757" t="s">
        <v>24265</v>
      </c>
      <c r="E2757">
        <v>76</v>
      </c>
      <c r="F2757">
        <v>114</v>
      </c>
      <c r="G2757">
        <v>168</v>
      </c>
      <c r="R2757" t="s">
        <v>7339</v>
      </c>
    </row>
    <row r="2758" spans="2:20" x14ac:dyDescent="0.25">
      <c r="B2758">
        <v>12418</v>
      </c>
      <c r="C2758" t="s">
        <v>24266</v>
      </c>
      <c r="E2758">
        <v>71</v>
      </c>
      <c r="F2758">
        <v>106</v>
      </c>
      <c r="G2758">
        <v>154</v>
      </c>
      <c r="S2758" t="s">
        <v>160</v>
      </c>
    </row>
    <row r="2759" spans="2:20" x14ac:dyDescent="0.25">
      <c r="B2759">
        <v>12419</v>
      </c>
      <c r="C2759" t="s">
        <v>24267</v>
      </c>
      <c r="E2759">
        <v>71</v>
      </c>
      <c r="F2759">
        <v>106</v>
      </c>
      <c r="G2759">
        <v>154</v>
      </c>
      <c r="S2759" t="s">
        <v>7341</v>
      </c>
    </row>
    <row r="2760" spans="2:20" x14ac:dyDescent="0.25">
      <c r="B2760">
        <v>12420</v>
      </c>
      <c r="C2760" t="s">
        <v>24268</v>
      </c>
      <c r="E2760">
        <v>71</v>
      </c>
      <c r="F2760">
        <v>106</v>
      </c>
      <c r="G2760">
        <v>154</v>
      </c>
      <c r="S2760" t="s">
        <v>1823</v>
      </c>
    </row>
    <row r="2761" spans="2:20" x14ac:dyDescent="0.25">
      <c r="B2761">
        <v>12421</v>
      </c>
      <c r="C2761" t="s">
        <v>24269</v>
      </c>
      <c r="E2761">
        <v>64</v>
      </c>
      <c r="F2761">
        <v>98</v>
      </c>
      <c r="G2761">
        <v>144</v>
      </c>
      <c r="T2761" t="s">
        <v>7343</v>
      </c>
    </row>
    <row r="2762" spans="2:20" x14ac:dyDescent="0.25">
      <c r="B2762">
        <v>12422</v>
      </c>
      <c r="C2762" t="s">
        <v>24270</v>
      </c>
      <c r="E2762">
        <v>64</v>
      </c>
      <c r="F2762">
        <v>98</v>
      </c>
      <c r="G2762">
        <v>144</v>
      </c>
      <c r="T2762" t="s">
        <v>7345</v>
      </c>
    </row>
    <row r="2763" spans="2:20" x14ac:dyDescent="0.25">
      <c r="B2763">
        <v>12424</v>
      </c>
      <c r="C2763" t="s">
        <v>24271</v>
      </c>
      <c r="E2763">
        <v>64</v>
      </c>
      <c r="F2763">
        <v>98</v>
      </c>
      <c r="G2763">
        <v>144</v>
      </c>
      <c r="T2763" t="s">
        <v>7347</v>
      </c>
    </row>
    <row r="2764" spans="2:20" x14ac:dyDescent="0.25">
      <c r="B2764">
        <v>15554</v>
      </c>
      <c r="C2764" t="s">
        <v>24272</v>
      </c>
      <c r="E2764">
        <v>64</v>
      </c>
      <c r="F2764">
        <v>98</v>
      </c>
      <c r="G2764">
        <v>144</v>
      </c>
      <c r="T2764" t="s">
        <v>8333</v>
      </c>
    </row>
    <row r="2765" spans="2:20" x14ac:dyDescent="0.25">
      <c r="B2765">
        <v>12427</v>
      </c>
      <c r="C2765" t="s">
        <v>24273</v>
      </c>
      <c r="E2765">
        <v>64</v>
      </c>
      <c r="F2765">
        <v>98</v>
      </c>
      <c r="G2765">
        <v>144</v>
      </c>
      <c r="T2765" t="s">
        <v>7351</v>
      </c>
    </row>
    <row r="2766" spans="2:20" x14ac:dyDescent="0.25">
      <c r="B2766">
        <v>12428</v>
      </c>
      <c r="C2766" t="s">
        <v>24274</v>
      </c>
      <c r="E2766">
        <v>76</v>
      </c>
      <c r="F2766">
        <v>114</v>
      </c>
      <c r="G2766">
        <v>168</v>
      </c>
      <c r="S2766" t="s">
        <v>7353</v>
      </c>
    </row>
    <row r="2767" spans="2:20" x14ac:dyDescent="0.25">
      <c r="B2767">
        <v>12429</v>
      </c>
      <c r="C2767" t="s">
        <v>24275</v>
      </c>
      <c r="E2767">
        <v>71</v>
      </c>
      <c r="F2767">
        <v>106</v>
      </c>
      <c r="G2767">
        <v>154</v>
      </c>
      <c r="S2767" t="s">
        <v>3181</v>
      </c>
    </row>
    <row r="2768" spans="2:20" x14ac:dyDescent="0.25">
      <c r="B2768">
        <v>12430</v>
      </c>
      <c r="C2768" t="s">
        <v>24276</v>
      </c>
      <c r="E2768">
        <v>64</v>
      </c>
      <c r="F2768">
        <v>98</v>
      </c>
      <c r="G2768">
        <v>144</v>
      </c>
      <c r="T2768" t="s">
        <v>7355</v>
      </c>
    </row>
    <row r="2769" spans="2:21" x14ac:dyDescent="0.25">
      <c r="B2769">
        <v>12431</v>
      </c>
      <c r="C2769" t="s">
        <v>24277</v>
      </c>
      <c r="E2769">
        <v>64</v>
      </c>
      <c r="F2769">
        <v>98</v>
      </c>
      <c r="G2769">
        <v>144</v>
      </c>
      <c r="T2769" t="s">
        <v>7357</v>
      </c>
    </row>
    <row r="2770" spans="2:21" x14ac:dyDescent="0.25">
      <c r="B2770">
        <v>12432</v>
      </c>
      <c r="C2770" t="s">
        <v>24278</v>
      </c>
      <c r="E2770">
        <v>64</v>
      </c>
      <c r="F2770">
        <v>98</v>
      </c>
      <c r="G2770">
        <v>144</v>
      </c>
      <c r="T2770" t="s">
        <v>7359</v>
      </c>
    </row>
    <row r="2771" spans="2:21" x14ac:dyDescent="0.25">
      <c r="B2771">
        <v>12433</v>
      </c>
      <c r="C2771" t="s">
        <v>24279</v>
      </c>
      <c r="E2771">
        <v>64</v>
      </c>
      <c r="F2771">
        <v>98</v>
      </c>
      <c r="G2771">
        <v>144</v>
      </c>
      <c r="T2771" t="s">
        <v>7361</v>
      </c>
    </row>
    <row r="2772" spans="2:21" x14ac:dyDescent="0.25">
      <c r="B2772">
        <v>12434</v>
      </c>
      <c r="C2772" t="s">
        <v>24280</v>
      </c>
      <c r="E2772">
        <v>64</v>
      </c>
      <c r="F2772">
        <v>98</v>
      </c>
      <c r="G2772">
        <v>144</v>
      </c>
      <c r="T2772" t="s">
        <v>7363</v>
      </c>
    </row>
    <row r="2773" spans="2:21" x14ac:dyDescent="0.25">
      <c r="B2773">
        <v>12435</v>
      </c>
      <c r="C2773" t="s">
        <v>24281</v>
      </c>
      <c r="E2773">
        <v>71</v>
      </c>
      <c r="F2773">
        <v>106</v>
      </c>
      <c r="G2773">
        <v>154</v>
      </c>
      <c r="S2773" t="s">
        <v>7365</v>
      </c>
    </row>
    <row r="2774" spans="2:21" x14ac:dyDescent="0.25">
      <c r="B2774">
        <v>12436</v>
      </c>
      <c r="C2774" t="s">
        <v>24282</v>
      </c>
      <c r="E2774">
        <v>81</v>
      </c>
      <c r="F2774">
        <v>125</v>
      </c>
      <c r="G2774">
        <v>190</v>
      </c>
      <c r="R2774" t="s">
        <v>7367</v>
      </c>
    </row>
    <row r="2775" spans="2:21" x14ac:dyDescent="0.25">
      <c r="B2775">
        <v>12437</v>
      </c>
      <c r="C2775" t="s">
        <v>24283</v>
      </c>
      <c r="E2775">
        <v>76</v>
      </c>
      <c r="F2775">
        <v>114</v>
      </c>
      <c r="G2775">
        <v>168</v>
      </c>
      <c r="S2775" t="s">
        <v>1276</v>
      </c>
    </row>
    <row r="2776" spans="2:21" x14ac:dyDescent="0.25">
      <c r="B2776">
        <v>12438</v>
      </c>
      <c r="C2776" t="s">
        <v>24284</v>
      </c>
      <c r="E2776">
        <v>71</v>
      </c>
      <c r="F2776">
        <v>106</v>
      </c>
      <c r="G2776">
        <v>154</v>
      </c>
      <c r="T2776" t="s">
        <v>1518</v>
      </c>
    </row>
    <row r="2777" spans="2:21" x14ac:dyDescent="0.25">
      <c r="B2777">
        <v>12442</v>
      </c>
      <c r="C2777" t="s">
        <v>24285</v>
      </c>
      <c r="E2777">
        <v>64</v>
      </c>
      <c r="F2777">
        <v>98</v>
      </c>
      <c r="G2777">
        <v>144</v>
      </c>
      <c r="T2777" t="s">
        <v>7371</v>
      </c>
    </row>
    <row r="2778" spans="2:21" x14ac:dyDescent="0.25">
      <c r="B2778">
        <v>12439</v>
      </c>
      <c r="C2778" t="s">
        <v>24286</v>
      </c>
      <c r="E2778">
        <v>71</v>
      </c>
      <c r="F2778">
        <v>106</v>
      </c>
      <c r="G2778">
        <v>154</v>
      </c>
      <c r="T2778" t="s">
        <v>7369</v>
      </c>
    </row>
    <row r="2779" spans="2:21" x14ac:dyDescent="0.25">
      <c r="B2779">
        <v>12440</v>
      </c>
      <c r="C2779" t="s">
        <v>24287</v>
      </c>
      <c r="E2779">
        <v>71</v>
      </c>
      <c r="F2779">
        <v>106</v>
      </c>
      <c r="G2779">
        <v>154</v>
      </c>
      <c r="U2779" t="s">
        <v>470</v>
      </c>
    </row>
    <row r="2780" spans="2:21" x14ac:dyDescent="0.25">
      <c r="B2780">
        <v>12441</v>
      </c>
      <c r="C2780" t="s">
        <v>24288</v>
      </c>
      <c r="E2780">
        <v>71</v>
      </c>
      <c r="F2780">
        <v>106</v>
      </c>
      <c r="G2780">
        <v>154</v>
      </c>
      <c r="U2780" t="s">
        <v>4033</v>
      </c>
    </row>
    <row r="2781" spans="2:21" x14ac:dyDescent="0.25">
      <c r="B2781">
        <v>12443</v>
      </c>
      <c r="C2781" t="s">
        <v>24289</v>
      </c>
      <c r="E2781">
        <v>71</v>
      </c>
      <c r="F2781">
        <v>106</v>
      </c>
      <c r="G2781">
        <v>154</v>
      </c>
      <c r="S2781" t="s">
        <v>7373</v>
      </c>
    </row>
    <row r="2782" spans="2:21" x14ac:dyDescent="0.25">
      <c r="B2782">
        <v>12444</v>
      </c>
      <c r="C2782" t="s">
        <v>24290</v>
      </c>
      <c r="E2782">
        <v>64</v>
      </c>
      <c r="F2782">
        <v>98</v>
      </c>
      <c r="G2782">
        <v>144</v>
      </c>
      <c r="S2782" t="s">
        <v>4194</v>
      </c>
    </row>
    <row r="2783" spans="2:21" x14ac:dyDescent="0.25">
      <c r="B2783">
        <v>12445</v>
      </c>
      <c r="C2783" t="s">
        <v>24291</v>
      </c>
      <c r="E2783">
        <v>64</v>
      </c>
      <c r="F2783">
        <v>98</v>
      </c>
      <c r="G2783">
        <v>144</v>
      </c>
      <c r="T2783" t="s">
        <v>7375</v>
      </c>
    </row>
    <row r="2784" spans="2:21" x14ac:dyDescent="0.25">
      <c r="B2784">
        <v>12446</v>
      </c>
      <c r="C2784" t="s">
        <v>24292</v>
      </c>
      <c r="E2784">
        <v>64</v>
      </c>
      <c r="F2784">
        <v>98</v>
      </c>
      <c r="G2784">
        <v>144</v>
      </c>
      <c r="T2784" t="s">
        <v>7377</v>
      </c>
    </row>
    <row r="2785" spans="2:21" x14ac:dyDescent="0.25">
      <c r="B2785">
        <v>12447</v>
      </c>
      <c r="C2785" t="s">
        <v>24293</v>
      </c>
      <c r="E2785">
        <v>64</v>
      </c>
      <c r="F2785">
        <v>98</v>
      </c>
      <c r="G2785">
        <v>144</v>
      </c>
      <c r="S2785" t="s">
        <v>7379</v>
      </c>
    </row>
    <row r="2786" spans="2:21" x14ac:dyDescent="0.25">
      <c r="B2786">
        <v>12448</v>
      </c>
      <c r="C2786" t="s">
        <v>24294</v>
      </c>
      <c r="E2786">
        <v>76</v>
      </c>
      <c r="F2786">
        <v>114</v>
      </c>
      <c r="G2786">
        <v>168</v>
      </c>
      <c r="S2786" t="s">
        <v>7381</v>
      </c>
    </row>
    <row r="2787" spans="2:21" x14ac:dyDescent="0.25">
      <c r="B2787">
        <v>12449</v>
      </c>
      <c r="C2787" t="s">
        <v>24295</v>
      </c>
      <c r="E2787">
        <v>71</v>
      </c>
      <c r="F2787">
        <v>106</v>
      </c>
      <c r="G2787">
        <v>154</v>
      </c>
      <c r="T2787" t="s">
        <v>2745</v>
      </c>
    </row>
    <row r="2788" spans="2:21" x14ac:dyDescent="0.25">
      <c r="B2788">
        <v>12450</v>
      </c>
      <c r="C2788" t="s">
        <v>24296</v>
      </c>
      <c r="E2788">
        <v>71</v>
      </c>
      <c r="F2788">
        <v>106</v>
      </c>
      <c r="G2788">
        <v>154</v>
      </c>
      <c r="U2788" t="s">
        <v>7383</v>
      </c>
    </row>
    <row r="2789" spans="2:21" x14ac:dyDescent="0.25">
      <c r="B2789">
        <v>12451</v>
      </c>
      <c r="C2789" t="s">
        <v>24297</v>
      </c>
      <c r="E2789">
        <v>71</v>
      </c>
      <c r="F2789">
        <v>106</v>
      </c>
      <c r="G2789">
        <v>154</v>
      </c>
      <c r="U2789" t="s">
        <v>7385</v>
      </c>
    </row>
    <row r="2790" spans="2:21" x14ac:dyDescent="0.25">
      <c r="B2790">
        <v>12452</v>
      </c>
      <c r="C2790" t="s">
        <v>24298</v>
      </c>
      <c r="E2790">
        <v>76</v>
      </c>
      <c r="F2790">
        <v>114</v>
      </c>
      <c r="G2790">
        <v>168</v>
      </c>
      <c r="T2790" t="s">
        <v>7387</v>
      </c>
    </row>
    <row r="2791" spans="2:21" x14ac:dyDescent="0.25">
      <c r="B2791">
        <v>12266</v>
      </c>
      <c r="C2791" t="s">
        <v>17462</v>
      </c>
      <c r="E2791">
        <v>81</v>
      </c>
      <c r="F2791">
        <v>125</v>
      </c>
      <c r="G2791">
        <v>190</v>
      </c>
      <c r="R2791" t="s">
        <v>2257</v>
      </c>
    </row>
    <row r="2792" spans="2:21" x14ac:dyDescent="0.25">
      <c r="B2792">
        <v>146034960</v>
      </c>
      <c r="C2792" t="s">
        <v>24299</v>
      </c>
      <c r="E2792">
        <v>78</v>
      </c>
      <c r="F2792">
        <v>120</v>
      </c>
      <c r="G2792">
        <v>176</v>
      </c>
      <c r="S2792" t="s">
        <v>8263</v>
      </c>
    </row>
    <row r="2793" spans="2:21" x14ac:dyDescent="0.25">
      <c r="B2793">
        <v>12267</v>
      </c>
      <c r="C2793" t="s">
        <v>24300</v>
      </c>
      <c r="E2793">
        <v>78</v>
      </c>
      <c r="F2793">
        <v>120</v>
      </c>
      <c r="G2793">
        <v>176</v>
      </c>
      <c r="S2793" t="s">
        <v>7298</v>
      </c>
    </row>
    <row r="2794" spans="2:21" x14ac:dyDescent="0.25">
      <c r="B2794">
        <v>12268</v>
      </c>
      <c r="C2794" t="s">
        <v>24301</v>
      </c>
      <c r="E2794">
        <v>78</v>
      </c>
      <c r="F2794">
        <v>120</v>
      </c>
      <c r="G2794">
        <v>176</v>
      </c>
      <c r="S2794" t="s">
        <v>7300</v>
      </c>
    </row>
    <row r="2795" spans="2:21" x14ac:dyDescent="0.25">
      <c r="B2795">
        <v>12269</v>
      </c>
      <c r="C2795" t="s">
        <v>24302</v>
      </c>
      <c r="E2795">
        <v>78</v>
      </c>
      <c r="F2795">
        <v>120</v>
      </c>
      <c r="G2795">
        <v>176</v>
      </c>
      <c r="S2795" t="s">
        <v>7302</v>
      </c>
    </row>
    <row r="2796" spans="2:21" x14ac:dyDescent="0.25">
      <c r="B2796">
        <v>12453</v>
      </c>
      <c r="C2796" t="s">
        <v>24303</v>
      </c>
      <c r="E2796">
        <v>101</v>
      </c>
      <c r="F2796">
        <v>134</v>
      </c>
      <c r="G2796">
        <v>191</v>
      </c>
      <c r="R2796" t="s">
        <v>7389</v>
      </c>
    </row>
    <row r="2797" spans="2:21" x14ac:dyDescent="0.25">
      <c r="B2797">
        <v>12454</v>
      </c>
      <c r="C2797" t="s">
        <v>24304</v>
      </c>
      <c r="E2797">
        <v>78</v>
      </c>
      <c r="F2797">
        <v>120</v>
      </c>
      <c r="G2797">
        <v>176</v>
      </c>
      <c r="S2797" t="s">
        <v>644</v>
      </c>
    </row>
    <row r="2798" spans="2:21" x14ac:dyDescent="0.25">
      <c r="B2798">
        <v>12455</v>
      </c>
      <c r="C2798" t="s">
        <v>17291</v>
      </c>
      <c r="E2798">
        <v>76</v>
      </c>
      <c r="F2798">
        <v>114</v>
      </c>
      <c r="G2798">
        <v>168</v>
      </c>
      <c r="T2798" t="s">
        <v>1553</v>
      </c>
    </row>
    <row r="2799" spans="2:21" x14ac:dyDescent="0.25">
      <c r="B2799">
        <v>12456</v>
      </c>
      <c r="C2799" t="s">
        <v>24305</v>
      </c>
      <c r="E2799">
        <v>76</v>
      </c>
      <c r="F2799">
        <v>114</v>
      </c>
      <c r="G2799">
        <v>168</v>
      </c>
      <c r="T2799" t="s">
        <v>2468</v>
      </c>
    </row>
    <row r="2800" spans="2:21" x14ac:dyDescent="0.25">
      <c r="B2800">
        <v>12457</v>
      </c>
      <c r="C2800" t="s">
        <v>24306</v>
      </c>
      <c r="E2800">
        <v>76</v>
      </c>
      <c r="F2800">
        <v>114</v>
      </c>
      <c r="G2800">
        <v>168</v>
      </c>
      <c r="T2800" t="s">
        <v>15038</v>
      </c>
    </row>
    <row r="2801" spans="2:21" x14ac:dyDescent="0.25">
      <c r="B2801">
        <v>12458</v>
      </c>
      <c r="C2801" t="s">
        <v>24307</v>
      </c>
      <c r="E2801">
        <v>78</v>
      </c>
      <c r="F2801">
        <v>120</v>
      </c>
      <c r="G2801">
        <v>176</v>
      </c>
      <c r="S2801" t="s">
        <v>3323</v>
      </c>
    </row>
    <row r="2802" spans="2:21" x14ac:dyDescent="0.25">
      <c r="B2802">
        <v>12459</v>
      </c>
      <c r="C2802" t="s">
        <v>24308</v>
      </c>
      <c r="E2802">
        <v>76</v>
      </c>
      <c r="F2802">
        <v>114</v>
      </c>
      <c r="G2802">
        <v>168</v>
      </c>
      <c r="T2802" t="s">
        <v>2635</v>
      </c>
    </row>
    <row r="2803" spans="2:21" x14ac:dyDescent="0.25">
      <c r="B2803">
        <v>12460</v>
      </c>
      <c r="C2803" t="s">
        <v>24309</v>
      </c>
      <c r="E2803">
        <v>76</v>
      </c>
      <c r="F2803">
        <v>114</v>
      </c>
      <c r="G2803">
        <v>168</v>
      </c>
      <c r="T2803" t="s">
        <v>2956</v>
      </c>
    </row>
    <row r="2804" spans="2:21" x14ac:dyDescent="0.25">
      <c r="B2804">
        <v>12461</v>
      </c>
      <c r="C2804" t="s">
        <v>24310</v>
      </c>
      <c r="E2804">
        <v>76</v>
      </c>
      <c r="F2804">
        <v>114</v>
      </c>
      <c r="G2804">
        <v>168</v>
      </c>
      <c r="T2804" t="s">
        <v>15052</v>
      </c>
    </row>
    <row r="2805" spans="2:21" x14ac:dyDescent="0.25">
      <c r="B2805">
        <v>12462</v>
      </c>
      <c r="C2805" t="s">
        <v>20331</v>
      </c>
      <c r="E2805">
        <v>78</v>
      </c>
      <c r="F2805">
        <v>120</v>
      </c>
      <c r="G2805">
        <v>176</v>
      </c>
      <c r="S2805" t="s">
        <v>13809</v>
      </c>
    </row>
    <row r="2806" spans="2:21" x14ac:dyDescent="0.25">
      <c r="B2806">
        <v>12464</v>
      </c>
      <c r="C2806" t="s">
        <v>24311</v>
      </c>
      <c r="E2806">
        <v>71</v>
      </c>
      <c r="F2806">
        <v>106</v>
      </c>
      <c r="G2806">
        <v>154</v>
      </c>
      <c r="T2806" t="s">
        <v>3803</v>
      </c>
    </row>
    <row r="2807" spans="2:21" x14ac:dyDescent="0.25">
      <c r="B2807">
        <v>12465</v>
      </c>
      <c r="C2807" t="s">
        <v>24312</v>
      </c>
      <c r="E2807">
        <v>71</v>
      </c>
      <c r="F2807">
        <v>106</v>
      </c>
      <c r="G2807">
        <v>154</v>
      </c>
      <c r="U2807" t="s">
        <v>2687</v>
      </c>
    </row>
    <row r="2808" spans="2:21" x14ac:dyDescent="0.25">
      <c r="B2808">
        <v>12466</v>
      </c>
      <c r="C2808" t="s">
        <v>24313</v>
      </c>
      <c r="E2808">
        <v>71</v>
      </c>
      <c r="F2808">
        <v>106</v>
      </c>
      <c r="G2808">
        <v>154</v>
      </c>
      <c r="U2808" t="s">
        <v>7393</v>
      </c>
    </row>
    <row r="2809" spans="2:21" x14ac:dyDescent="0.25">
      <c r="B2809">
        <v>12467</v>
      </c>
      <c r="C2809" t="s">
        <v>20546</v>
      </c>
      <c r="E2809">
        <v>76</v>
      </c>
      <c r="F2809">
        <v>114</v>
      </c>
      <c r="G2809">
        <v>168</v>
      </c>
      <c r="T2809" t="s">
        <v>4709</v>
      </c>
    </row>
    <row r="2810" spans="2:21" x14ac:dyDescent="0.25">
      <c r="B2810">
        <v>12468</v>
      </c>
      <c r="C2810" t="s">
        <v>24314</v>
      </c>
      <c r="E2810">
        <v>71</v>
      </c>
      <c r="F2810">
        <v>106</v>
      </c>
      <c r="G2810">
        <v>154</v>
      </c>
      <c r="T2810" t="s">
        <v>4162</v>
      </c>
    </row>
    <row r="2811" spans="2:21" x14ac:dyDescent="0.25">
      <c r="B2811">
        <v>12469</v>
      </c>
      <c r="C2811" t="s">
        <v>17805</v>
      </c>
      <c r="E2811">
        <v>71</v>
      </c>
      <c r="F2811">
        <v>106</v>
      </c>
      <c r="G2811">
        <v>154</v>
      </c>
      <c r="U2811" t="s">
        <v>2732</v>
      </c>
    </row>
    <row r="2812" spans="2:21" x14ac:dyDescent="0.25">
      <c r="B2812">
        <v>12470</v>
      </c>
      <c r="C2812" t="s">
        <v>17806</v>
      </c>
      <c r="E2812">
        <v>71</v>
      </c>
      <c r="F2812">
        <v>106</v>
      </c>
      <c r="G2812">
        <v>154</v>
      </c>
      <c r="U2812" t="s">
        <v>3034</v>
      </c>
    </row>
    <row r="2813" spans="2:21" x14ac:dyDescent="0.25">
      <c r="B2813">
        <v>12463</v>
      </c>
      <c r="C2813" t="s">
        <v>24315</v>
      </c>
      <c r="E2813">
        <v>76</v>
      </c>
      <c r="F2813">
        <v>114</v>
      </c>
      <c r="G2813">
        <v>168</v>
      </c>
      <c r="T2813" t="s">
        <v>7391</v>
      </c>
    </row>
    <row r="2814" spans="2:21" x14ac:dyDescent="0.25">
      <c r="B2814">
        <v>266441709</v>
      </c>
      <c r="C2814" t="s">
        <v>24316</v>
      </c>
      <c r="E2814">
        <v>81</v>
      </c>
      <c r="F2814">
        <v>125</v>
      </c>
      <c r="G2814">
        <v>190</v>
      </c>
      <c r="S2814" t="s">
        <v>4092</v>
      </c>
    </row>
    <row r="2815" spans="2:21" x14ac:dyDescent="0.25">
      <c r="B2815">
        <v>12471</v>
      </c>
      <c r="C2815" t="s">
        <v>24317</v>
      </c>
      <c r="E2815">
        <v>101</v>
      </c>
      <c r="F2815">
        <v>134</v>
      </c>
      <c r="G2815">
        <v>191</v>
      </c>
      <c r="R2815" t="s">
        <v>3874</v>
      </c>
    </row>
    <row r="2816" spans="2:21" x14ac:dyDescent="0.25">
      <c r="B2816">
        <v>12472</v>
      </c>
      <c r="C2816" t="s">
        <v>24318</v>
      </c>
      <c r="E2816">
        <v>78</v>
      </c>
      <c r="F2816">
        <v>120</v>
      </c>
      <c r="G2816">
        <v>176</v>
      </c>
      <c r="S2816" t="s">
        <v>1598</v>
      </c>
    </row>
    <row r="2817" spans="2:21" x14ac:dyDescent="0.25">
      <c r="B2817">
        <v>12473</v>
      </c>
      <c r="C2817" t="s">
        <v>24319</v>
      </c>
      <c r="E2817">
        <v>78</v>
      </c>
      <c r="F2817">
        <v>120</v>
      </c>
      <c r="G2817">
        <v>176</v>
      </c>
      <c r="S2817" t="s">
        <v>3060</v>
      </c>
    </row>
    <row r="2818" spans="2:21" x14ac:dyDescent="0.25">
      <c r="B2818">
        <v>12474</v>
      </c>
      <c r="C2818" t="s">
        <v>24320</v>
      </c>
      <c r="E2818">
        <v>78</v>
      </c>
      <c r="F2818">
        <v>120</v>
      </c>
      <c r="G2818">
        <v>176</v>
      </c>
      <c r="S2818" t="s">
        <v>7397</v>
      </c>
    </row>
    <row r="2819" spans="2:21" x14ac:dyDescent="0.25">
      <c r="B2819">
        <v>12475</v>
      </c>
      <c r="C2819" t="s">
        <v>24321</v>
      </c>
      <c r="E2819">
        <v>78</v>
      </c>
      <c r="F2819">
        <v>120</v>
      </c>
      <c r="G2819">
        <v>176</v>
      </c>
      <c r="S2819" t="s">
        <v>3874</v>
      </c>
    </row>
    <row r="2820" spans="2:21" x14ac:dyDescent="0.25">
      <c r="B2820">
        <v>12476</v>
      </c>
      <c r="C2820" t="s">
        <v>17829</v>
      </c>
      <c r="E2820">
        <v>78</v>
      </c>
      <c r="F2820">
        <v>120</v>
      </c>
      <c r="G2820">
        <v>176</v>
      </c>
      <c r="S2820" t="s">
        <v>7399</v>
      </c>
    </row>
    <row r="2821" spans="2:21" x14ac:dyDescent="0.25">
      <c r="B2821">
        <v>12480</v>
      </c>
      <c r="C2821" t="s">
        <v>24322</v>
      </c>
      <c r="E2821">
        <v>120</v>
      </c>
      <c r="F2821">
        <v>147</v>
      </c>
      <c r="G2821">
        <v>199</v>
      </c>
      <c r="R2821" t="s">
        <v>3882</v>
      </c>
    </row>
    <row r="2822" spans="2:21" x14ac:dyDescent="0.25">
      <c r="B2822">
        <v>12481</v>
      </c>
      <c r="C2822" t="s">
        <v>20309</v>
      </c>
      <c r="E2822">
        <v>81</v>
      </c>
      <c r="F2822">
        <v>125</v>
      </c>
      <c r="G2822">
        <v>190</v>
      </c>
      <c r="S2822" t="s">
        <v>3300</v>
      </c>
    </row>
    <row r="2823" spans="2:21" x14ac:dyDescent="0.25">
      <c r="B2823">
        <v>12482</v>
      </c>
      <c r="C2823" t="s">
        <v>17283</v>
      </c>
      <c r="E2823">
        <v>78</v>
      </c>
      <c r="F2823">
        <v>120</v>
      </c>
      <c r="G2823">
        <v>176</v>
      </c>
      <c r="T2823" t="s">
        <v>2659</v>
      </c>
    </row>
    <row r="2824" spans="2:21" x14ac:dyDescent="0.25">
      <c r="B2824">
        <v>12483</v>
      </c>
      <c r="C2824" t="s">
        <v>24323</v>
      </c>
      <c r="E2824">
        <v>78</v>
      </c>
      <c r="F2824">
        <v>120</v>
      </c>
      <c r="G2824">
        <v>176</v>
      </c>
      <c r="U2824" t="s">
        <v>7401</v>
      </c>
    </row>
    <row r="2825" spans="2:21" x14ac:dyDescent="0.25">
      <c r="B2825">
        <v>12484</v>
      </c>
      <c r="C2825" t="s">
        <v>24324</v>
      </c>
      <c r="E2825">
        <v>78</v>
      </c>
      <c r="F2825">
        <v>120</v>
      </c>
      <c r="G2825">
        <v>176</v>
      </c>
      <c r="U2825" t="s">
        <v>7403</v>
      </c>
    </row>
    <row r="2826" spans="2:21" x14ac:dyDescent="0.25">
      <c r="B2826">
        <v>12485</v>
      </c>
      <c r="C2826" t="s">
        <v>24325</v>
      </c>
      <c r="E2826">
        <v>78</v>
      </c>
      <c r="F2826">
        <v>120</v>
      </c>
      <c r="G2826">
        <v>176</v>
      </c>
      <c r="U2826" t="s">
        <v>7405</v>
      </c>
    </row>
    <row r="2827" spans="2:21" x14ac:dyDescent="0.25">
      <c r="B2827">
        <v>12486</v>
      </c>
      <c r="C2827" t="s">
        <v>24326</v>
      </c>
      <c r="E2827">
        <v>78</v>
      </c>
      <c r="F2827">
        <v>120</v>
      </c>
      <c r="G2827">
        <v>176</v>
      </c>
      <c r="U2827" t="s">
        <v>7407</v>
      </c>
    </row>
    <row r="2828" spans="2:21" x14ac:dyDescent="0.25">
      <c r="B2828">
        <v>12487</v>
      </c>
      <c r="C2828" t="s">
        <v>17281</v>
      </c>
      <c r="E2828">
        <v>81</v>
      </c>
      <c r="F2828">
        <v>125</v>
      </c>
      <c r="G2828">
        <v>190</v>
      </c>
      <c r="T2828" t="s">
        <v>2973</v>
      </c>
    </row>
    <row r="2829" spans="2:21" x14ac:dyDescent="0.25">
      <c r="B2829">
        <v>12488</v>
      </c>
      <c r="C2829" t="s">
        <v>24327</v>
      </c>
      <c r="E2829">
        <v>78</v>
      </c>
      <c r="F2829">
        <v>120</v>
      </c>
      <c r="G2829">
        <v>176</v>
      </c>
      <c r="U2829" t="s">
        <v>7409</v>
      </c>
    </row>
    <row r="2830" spans="2:21" x14ac:dyDescent="0.25">
      <c r="B2830">
        <v>12489</v>
      </c>
      <c r="C2830" t="s">
        <v>24328</v>
      </c>
      <c r="E2830">
        <v>78</v>
      </c>
      <c r="F2830">
        <v>120</v>
      </c>
      <c r="G2830">
        <v>176</v>
      </c>
      <c r="U2830" t="s">
        <v>7411</v>
      </c>
    </row>
    <row r="2831" spans="2:21" x14ac:dyDescent="0.25">
      <c r="B2831">
        <v>12490</v>
      </c>
      <c r="C2831" t="s">
        <v>24329</v>
      </c>
      <c r="E2831">
        <v>76</v>
      </c>
      <c r="F2831">
        <v>114</v>
      </c>
      <c r="G2831">
        <v>168</v>
      </c>
      <c r="T2831" t="s">
        <v>7413</v>
      </c>
    </row>
    <row r="2832" spans="2:21" x14ac:dyDescent="0.25">
      <c r="B2832">
        <v>12491</v>
      </c>
      <c r="C2832" t="s">
        <v>24330</v>
      </c>
      <c r="E2832">
        <v>78</v>
      </c>
      <c r="F2832">
        <v>120</v>
      </c>
      <c r="G2832">
        <v>176</v>
      </c>
      <c r="T2832" t="s">
        <v>1496</v>
      </c>
    </row>
    <row r="2833" spans="2:20" x14ac:dyDescent="0.25">
      <c r="B2833">
        <v>12492</v>
      </c>
      <c r="C2833" t="s">
        <v>24331</v>
      </c>
      <c r="E2833">
        <v>120</v>
      </c>
      <c r="F2833">
        <v>147</v>
      </c>
      <c r="G2833">
        <v>199</v>
      </c>
      <c r="S2833" t="s">
        <v>7415</v>
      </c>
    </row>
    <row r="2834" spans="2:20" x14ac:dyDescent="0.25">
      <c r="B2834">
        <v>12493</v>
      </c>
      <c r="C2834" t="s">
        <v>24332</v>
      </c>
      <c r="E2834">
        <v>81</v>
      </c>
      <c r="F2834">
        <v>125</v>
      </c>
      <c r="G2834">
        <v>190</v>
      </c>
      <c r="T2834" t="s">
        <v>896</v>
      </c>
    </row>
    <row r="2835" spans="2:20" x14ac:dyDescent="0.25">
      <c r="B2835">
        <v>12494</v>
      </c>
      <c r="C2835" t="s">
        <v>24333</v>
      </c>
      <c r="E2835">
        <v>81</v>
      </c>
      <c r="F2835">
        <v>125</v>
      </c>
      <c r="G2835">
        <v>190</v>
      </c>
      <c r="T2835" t="s">
        <v>3516</v>
      </c>
    </row>
    <row r="2836" spans="2:20" x14ac:dyDescent="0.25">
      <c r="B2836">
        <v>12495</v>
      </c>
      <c r="C2836" t="s">
        <v>24334</v>
      </c>
      <c r="E2836">
        <v>81</v>
      </c>
      <c r="F2836">
        <v>125</v>
      </c>
      <c r="G2836">
        <v>190</v>
      </c>
      <c r="T2836" t="s">
        <v>7417</v>
      </c>
    </row>
    <row r="2837" spans="2:20" x14ac:dyDescent="0.25">
      <c r="B2837">
        <v>12496</v>
      </c>
      <c r="C2837" t="s">
        <v>24335</v>
      </c>
      <c r="E2837">
        <v>81</v>
      </c>
      <c r="F2837">
        <v>125</v>
      </c>
      <c r="G2837">
        <v>190</v>
      </c>
      <c r="T2837" t="s">
        <v>3302</v>
      </c>
    </row>
    <row r="2838" spans="2:20" x14ac:dyDescent="0.25">
      <c r="B2838">
        <v>12497</v>
      </c>
      <c r="C2838" t="s">
        <v>24336</v>
      </c>
      <c r="E2838">
        <v>81</v>
      </c>
      <c r="F2838">
        <v>125</v>
      </c>
      <c r="G2838">
        <v>190</v>
      </c>
      <c r="T2838" t="s">
        <v>3298</v>
      </c>
    </row>
    <row r="2839" spans="2:20" x14ac:dyDescent="0.25">
      <c r="B2839">
        <v>15555</v>
      </c>
      <c r="C2839" t="s">
        <v>24337</v>
      </c>
      <c r="E2839">
        <v>81</v>
      </c>
      <c r="F2839">
        <v>125</v>
      </c>
      <c r="G2839">
        <v>190</v>
      </c>
      <c r="T2839" t="s">
        <v>8335</v>
      </c>
    </row>
    <row r="2840" spans="2:20" x14ac:dyDescent="0.25">
      <c r="B2840">
        <v>12498</v>
      </c>
      <c r="C2840" t="s">
        <v>24338</v>
      </c>
      <c r="E2840">
        <v>78</v>
      </c>
      <c r="F2840">
        <v>120</v>
      </c>
      <c r="G2840">
        <v>176</v>
      </c>
      <c r="R2840" t="s">
        <v>7419</v>
      </c>
    </row>
    <row r="2841" spans="2:20" x14ac:dyDescent="0.25">
      <c r="B2841">
        <v>12499</v>
      </c>
      <c r="C2841" t="s">
        <v>20003</v>
      </c>
      <c r="E2841">
        <v>58</v>
      </c>
      <c r="F2841">
        <v>86</v>
      </c>
      <c r="G2841">
        <v>128</v>
      </c>
      <c r="S2841" t="s">
        <v>7421</v>
      </c>
    </row>
    <row r="2842" spans="2:20" x14ac:dyDescent="0.25">
      <c r="B2842">
        <v>12500</v>
      </c>
      <c r="C2842" t="s">
        <v>24339</v>
      </c>
      <c r="E2842">
        <v>61</v>
      </c>
      <c r="F2842">
        <v>92</v>
      </c>
      <c r="G2842">
        <v>135</v>
      </c>
      <c r="S2842" t="s">
        <v>646</v>
      </c>
    </row>
    <row r="2843" spans="2:20" x14ac:dyDescent="0.25">
      <c r="B2843">
        <v>12501</v>
      </c>
      <c r="C2843" t="s">
        <v>24340</v>
      </c>
      <c r="E2843">
        <v>61</v>
      </c>
      <c r="F2843">
        <v>92</v>
      </c>
      <c r="G2843">
        <v>135</v>
      </c>
      <c r="T2843" t="s">
        <v>7423</v>
      </c>
    </row>
    <row r="2844" spans="2:20" x14ac:dyDescent="0.25">
      <c r="B2844">
        <v>12502</v>
      </c>
      <c r="C2844" t="s">
        <v>24341</v>
      </c>
      <c r="E2844">
        <v>61</v>
      </c>
      <c r="F2844">
        <v>92</v>
      </c>
      <c r="G2844">
        <v>135</v>
      </c>
      <c r="T2844" t="s">
        <v>7425</v>
      </c>
    </row>
    <row r="2845" spans="2:20" x14ac:dyDescent="0.25">
      <c r="B2845">
        <v>12503</v>
      </c>
      <c r="C2845" t="s">
        <v>24342</v>
      </c>
      <c r="E2845">
        <v>120</v>
      </c>
      <c r="F2845">
        <v>147</v>
      </c>
      <c r="G2845">
        <v>199</v>
      </c>
      <c r="R2845" t="s">
        <v>7427</v>
      </c>
    </row>
    <row r="2846" spans="2:20" x14ac:dyDescent="0.25">
      <c r="B2846">
        <v>12504</v>
      </c>
      <c r="C2846" t="s">
        <v>20364</v>
      </c>
      <c r="E2846">
        <v>78</v>
      </c>
      <c r="F2846">
        <v>120</v>
      </c>
      <c r="G2846">
        <v>176</v>
      </c>
      <c r="S2846" t="s">
        <v>7429</v>
      </c>
    </row>
    <row r="2847" spans="2:20" x14ac:dyDescent="0.25">
      <c r="B2847">
        <v>12505</v>
      </c>
      <c r="C2847" t="s">
        <v>24343</v>
      </c>
      <c r="E2847">
        <v>81</v>
      </c>
      <c r="F2847">
        <v>125</v>
      </c>
      <c r="G2847">
        <v>190</v>
      </c>
      <c r="S2847" t="s">
        <v>7431</v>
      </c>
    </row>
    <row r="2848" spans="2:20" x14ac:dyDescent="0.25">
      <c r="B2848">
        <v>15556</v>
      </c>
      <c r="C2848" t="s">
        <v>17544</v>
      </c>
      <c r="E2848">
        <v>78</v>
      </c>
      <c r="F2848">
        <v>120</v>
      </c>
      <c r="G2848">
        <v>176</v>
      </c>
      <c r="S2848" t="s">
        <v>8337</v>
      </c>
    </row>
    <row r="2849" spans="2:20" x14ac:dyDescent="0.25">
      <c r="B2849">
        <v>12506</v>
      </c>
      <c r="C2849" t="s">
        <v>17426</v>
      </c>
      <c r="E2849">
        <v>81</v>
      </c>
      <c r="F2849">
        <v>125</v>
      </c>
      <c r="G2849">
        <v>190</v>
      </c>
      <c r="S2849" t="s">
        <v>16</v>
      </c>
    </row>
    <row r="2850" spans="2:20" x14ac:dyDescent="0.25">
      <c r="B2850">
        <v>146034964</v>
      </c>
      <c r="C2850" t="s">
        <v>24344</v>
      </c>
      <c r="E2850">
        <v>81</v>
      </c>
      <c r="F2850">
        <v>125</v>
      </c>
      <c r="G2850">
        <v>190</v>
      </c>
      <c r="S2850" t="s">
        <v>947</v>
      </c>
    </row>
    <row r="2851" spans="2:20" x14ac:dyDescent="0.25">
      <c r="B2851">
        <v>12507</v>
      </c>
      <c r="C2851" t="s">
        <v>17790</v>
      </c>
      <c r="E2851">
        <v>101</v>
      </c>
      <c r="F2851">
        <v>134</v>
      </c>
      <c r="G2851">
        <v>191</v>
      </c>
      <c r="S2851" t="s">
        <v>7433</v>
      </c>
    </row>
    <row r="2852" spans="2:20" x14ac:dyDescent="0.25">
      <c r="B2852">
        <v>12508</v>
      </c>
      <c r="C2852" t="s">
        <v>17455</v>
      </c>
      <c r="E2852">
        <v>81</v>
      </c>
      <c r="F2852">
        <v>125</v>
      </c>
      <c r="G2852">
        <v>190</v>
      </c>
      <c r="S2852" t="s">
        <v>1614</v>
      </c>
    </row>
    <row r="2853" spans="2:20" x14ac:dyDescent="0.25">
      <c r="B2853">
        <v>12509</v>
      </c>
      <c r="C2853" t="s">
        <v>17456</v>
      </c>
      <c r="E2853">
        <v>78</v>
      </c>
      <c r="F2853">
        <v>120</v>
      </c>
      <c r="G2853">
        <v>176</v>
      </c>
      <c r="T2853" t="s">
        <v>7435</v>
      </c>
    </row>
    <row r="2854" spans="2:20" x14ac:dyDescent="0.25">
      <c r="B2854">
        <v>12510</v>
      </c>
      <c r="C2854" t="s">
        <v>24345</v>
      </c>
      <c r="E2854">
        <v>78</v>
      </c>
      <c r="F2854">
        <v>120</v>
      </c>
      <c r="G2854">
        <v>176</v>
      </c>
      <c r="T2854" t="s">
        <v>7437</v>
      </c>
    </row>
    <row r="2855" spans="2:20" x14ac:dyDescent="0.25">
      <c r="B2855">
        <v>15557</v>
      </c>
      <c r="C2855" t="s">
        <v>17554</v>
      </c>
      <c r="E2855">
        <v>81</v>
      </c>
      <c r="F2855">
        <v>125</v>
      </c>
      <c r="G2855">
        <v>190</v>
      </c>
      <c r="S2855" t="s">
        <v>8339</v>
      </c>
    </row>
    <row r="2856" spans="2:20" x14ac:dyDescent="0.25">
      <c r="B2856">
        <v>146034968</v>
      </c>
      <c r="C2856" t="s">
        <v>24346</v>
      </c>
      <c r="E2856">
        <v>81</v>
      </c>
      <c r="F2856">
        <v>125</v>
      </c>
      <c r="G2856">
        <v>190</v>
      </c>
      <c r="S2856" t="s">
        <v>8265</v>
      </c>
    </row>
    <row r="2857" spans="2:20" x14ac:dyDescent="0.25">
      <c r="B2857">
        <v>12512</v>
      </c>
      <c r="C2857" t="s">
        <v>24347</v>
      </c>
      <c r="E2857">
        <v>81</v>
      </c>
      <c r="F2857">
        <v>125</v>
      </c>
      <c r="G2857">
        <v>190</v>
      </c>
      <c r="S2857" t="s">
        <v>7439</v>
      </c>
    </row>
    <row r="2858" spans="2:20" x14ac:dyDescent="0.25">
      <c r="B2858">
        <v>12513</v>
      </c>
      <c r="C2858" t="s">
        <v>24348</v>
      </c>
      <c r="E2858">
        <v>61</v>
      </c>
      <c r="F2858">
        <v>92</v>
      </c>
      <c r="G2858">
        <v>135</v>
      </c>
      <c r="S2858" t="s">
        <v>7441</v>
      </c>
    </row>
    <row r="2859" spans="2:20" x14ac:dyDescent="0.25">
      <c r="B2859">
        <v>12514</v>
      </c>
      <c r="C2859" t="s">
        <v>24349</v>
      </c>
      <c r="E2859">
        <v>81</v>
      </c>
      <c r="F2859">
        <v>125</v>
      </c>
      <c r="G2859">
        <v>190</v>
      </c>
      <c r="S2859" t="s">
        <v>7443</v>
      </c>
    </row>
    <row r="2860" spans="2:20" x14ac:dyDescent="0.25">
      <c r="B2860">
        <v>12515</v>
      </c>
      <c r="C2860" t="s">
        <v>24350</v>
      </c>
      <c r="E2860">
        <v>81</v>
      </c>
      <c r="F2860">
        <v>125</v>
      </c>
      <c r="G2860">
        <v>190</v>
      </c>
      <c r="S2860" t="s">
        <v>7445</v>
      </c>
    </row>
    <row r="2861" spans="2:20" x14ac:dyDescent="0.25">
      <c r="B2861">
        <v>12516</v>
      </c>
      <c r="C2861" t="s">
        <v>20368</v>
      </c>
      <c r="E2861">
        <v>81</v>
      </c>
      <c r="F2861">
        <v>125</v>
      </c>
      <c r="G2861">
        <v>190</v>
      </c>
      <c r="S2861" t="s">
        <v>7447</v>
      </c>
    </row>
    <row r="2862" spans="2:20" x14ac:dyDescent="0.25">
      <c r="B2862">
        <v>12517</v>
      </c>
      <c r="C2862" t="s">
        <v>24351</v>
      </c>
      <c r="E2862">
        <v>81</v>
      </c>
      <c r="F2862">
        <v>125</v>
      </c>
      <c r="G2862">
        <v>190</v>
      </c>
      <c r="S2862" t="s">
        <v>7449</v>
      </c>
    </row>
    <row r="2863" spans="2:20" x14ac:dyDescent="0.25">
      <c r="B2863">
        <v>12518</v>
      </c>
      <c r="C2863" t="s">
        <v>17284</v>
      </c>
      <c r="E2863">
        <v>78</v>
      </c>
      <c r="F2863">
        <v>120</v>
      </c>
      <c r="G2863">
        <v>176</v>
      </c>
      <c r="S2863" t="s">
        <v>1498</v>
      </c>
    </row>
    <row r="2864" spans="2:20" x14ac:dyDescent="0.25">
      <c r="B2864">
        <v>12519</v>
      </c>
      <c r="C2864" t="s">
        <v>17411</v>
      </c>
      <c r="E2864">
        <v>78</v>
      </c>
      <c r="F2864">
        <v>120</v>
      </c>
      <c r="G2864">
        <v>176</v>
      </c>
      <c r="S2864" t="s">
        <v>2261</v>
      </c>
    </row>
    <row r="2865" spans="2:20" x14ac:dyDescent="0.25">
      <c r="B2865">
        <v>12520</v>
      </c>
      <c r="C2865" t="s">
        <v>24352</v>
      </c>
      <c r="E2865">
        <v>78</v>
      </c>
      <c r="F2865">
        <v>120</v>
      </c>
      <c r="G2865">
        <v>176</v>
      </c>
      <c r="T2865" t="s">
        <v>7451</v>
      </c>
    </row>
    <row r="2866" spans="2:20" x14ac:dyDescent="0.25">
      <c r="B2866">
        <v>12521</v>
      </c>
      <c r="C2866" t="s">
        <v>24353</v>
      </c>
      <c r="E2866">
        <v>78</v>
      </c>
      <c r="F2866">
        <v>120</v>
      </c>
      <c r="G2866">
        <v>176</v>
      </c>
      <c r="T2866" t="s">
        <v>7453</v>
      </c>
    </row>
    <row r="2867" spans="2:20" x14ac:dyDescent="0.25">
      <c r="B2867">
        <v>146034972</v>
      </c>
      <c r="C2867" t="s">
        <v>20381</v>
      </c>
      <c r="E2867">
        <v>101</v>
      </c>
      <c r="F2867">
        <v>134</v>
      </c>
      <c r="G2867">
        <v>191</v>
      </c>
      <c r="S2867" t="s">
        <v>3251</v>
      </c>
    </row>
    <row r="2868" spans="2:20" x14ac:dyDescent="0.25">
      <c r="B2868">
        <v>12522</v>
      </c>
      <c r="C2868" t="s">
        <v>24354</v>
      </c>
      <c r="E2868">
        <v>81</v>
      </c>
      <c r="F2868">
        <v>125</v>
      </c>
      <c r="G2868">
        <v>190</v>
      </c>
      <c r="S2868" t="s">
        <v>7455</v>
      </c>
    </row>
    <row r="2869" spans="2:20" x14ac:dyDescent="0.25">
      <c r="B2869">
        <v>12523</v>
      </c>
      <c r="C2869" t="s">
        <v>24355</v>
      </c>
      <c r="E2869">
        <v>81</v>
      </c>
      <c r="F2869">
        <v>125</v>
      </c>
      <c r="G2869">
        <v>190</v>
      </c>
      <c r="S2869" t="s">
        <v>7457</v>
      </c>
    </row>
    <row r="2870" spans="2:20" x14ac:dyDescent="0.25">
      <c r="B2870">
        <v>12524</v>
      </c>
      <c r="C2870" t="s">
        <v>17825</v>
      </c>
      <c r="E2870">
        <v>81</v>
      </c>
      <c r="F2870">
        <v>125</v>
      </c>
      <c r="G2870">
        <v>190</v>
      </c>
      <c r="S2870" t="s">
        <v>7459</v>
      </c>
    </row>
    <row r="2871" spans="2:20" x14ac:dyDescent="0.25">
      <c r="B2871">
        <v>12525</v>
      </c>
      <c r="C2871" t="s">
        <v>24356</v>
      </c>
      <c r="E2871">
        <v>81</v>
      </c>
      <c r="F2871">
        <v>125</v>
      </c>
      <c r="G2871">
        <v>190</v>
      </c>
      <c r="S2871" t="s">
        <v>7461</v>
      </c>
    </row>
    <row r="2872" spans="2:20" x14ac:dyDescent="0.25">
      <c r="B2872">
        <v>12526</v>
      </c>
      <c r="C2872" t="s">
        <v>24357</v>
      </c>
      <c r="E2872">
        <v>78</v>
      </c>
      <c r="F2872">
        <v>120</v>
      </c>
      <c r="G2872">
        <v>176</v>
      </c>
      <c r="T2872" t="s">
        <v>2683</v>
      </c>
    </row>
    <row r="2873" spans="2:20" x14ac:dyDescent="0.25">
      <c r="B2873">
        <v>12527</v>
      </c>
      <c r="C2873" t="s">
        <v>24358</v>
      </c>
      <c r="E2873">
        <v>78</v>
      </c>
      <c r="F2873">
        <v>120</v>
      </c>
      <c r="G2873">
        <v>176</v>
      </c>
      <c r="T2873" t="s">
        <v>3000</v>
      </c>
    </row>
    <row r="2874" spans="2:20" x14ac:dyDescent="0.25">
      <c r="B2874">
        <v>12425</v>
      </c>
      <c r="C2874" t="s">
        <v>24359</v>
      </c>
      <c r="E2874">
        <v>209</v>
      </c>
      <c r="F2874">
        <v>215</v>
      </c>
      <c r="G2874">
        <v>232</v>
      </c>
      <c r="S2874" t="s">
        <v>7349</v>
      </c>
    </row>
    <row r="2875" spans="2:20" x14ac:dyDescent="0.25">
      <c r="B2875">
        <v>12528</v>
      </c>
      <c r="C2875" t="s">
        <v>24360</v>
      </c>
      <c r="E2875">
        <v>81</v>
      </c>
      <c r="F2875">
        <v>125</v>
      </c>
      <c r="G2875">
        <v>190</v>
      </c>
      <c r="S2875" t="s">
        <v>7463</v>
      </c>
    </row>
    <row r="2876" spans="2:20" x14ac:dyDescent="0.25">
      <c r="B2876">
        <v>12529</v>
      </c>
      <c r="C2876" t="s">
        <v>20362</v>
      </c>
      <c r="E2876">
        <v>81</v>
      </c>
      <c r="F2876">
        <v>125</v>
      </c>
      <c r="G2876">
        <v>190</v>
      </c>
      <c r="S2876" t="s">
        <v>7465</v>
      </c>
    </row>
    <row r="2877" spans="2:20" x14ac:dyDescent="0.25">
      <c r="B2877">
        <v>12530</v>
      </c>
      <c r="C2877" t="s">
        <v>24361</v>
      </c>
      <c r="E2877">
        <v>78</v>
      </c>
      <c r="F2877">
        <v>120</v>
      </c>
      <c r="G2877">
        <v>176</v>
      </c>
      <c r="S2877" t="s">
        <v>7467</v>
      </c>
    </row>
    <row r="2878" spans="2:20" x14ac:dyDescent="0.25">
      <c r="B2878">
        <v>12531</v>
      </c>
      <c r="C2878" t="s">
        <v>24362</v>
      </c>
      <c r="E2878">
        <v>78</v>
      </c>
      <c r="F2878">
        <v>120</v>
      </c>
      <c r="G2878">
        <v>176</v>
      </c>
      <c r="S2878" t="s">
        <v>4743</v>
      </c>
    </row>
    <row r="2879" spans="2:20" x14ac:dyDescent="0.25">
      <c r="B2879">
        <v>266441713</v>
      </c>
      <c r="C2879" t="s">
        <v>24363</v>
      </c>
      <c r="E2879">
        <v>78</v>
      </c>
      <c r="F2879">
        <v>120</v>
      </c>
      <c r="G2879">
        <v>176</v>
      </c>
      <c r="S2879" t="s">
        <v>14976</v>
      </c>
    </row>
    <row r="2880" spans="2:20" x14ac:dyDescent="0.25">
      <c r="B2880">
        <v>12534</v>
      </c>
      <c r="C2880" t="s">
        <v>24364</v>
      </c>
      <c r="E2880">
        <v>78</v>
      </c>
      <c r="F2880">
        <v>120</v>
      </c>
      <c r="G2880">
        <v>176</v>
      </c>
      <c r="S2880" t="s">
        <v>7469</v>
      </c>
    </row>
    <row r="2881" spans="2:19" x14ac:dyDescent="0.25">
      <c r="B2881">
        <v>12662</v>
      </c>
      <c r="C2881" t="s">
        <v>17800</v>
      </c>
      <c r="E2881">
        <v>114</v>
      </c>
      <c r="F2881">
        <v>124</v>
      </c>
      <c r="G2881">
        <v>182</v>
      </c>
      <c r="S2881" t="s">
        <v>7637</v>
      </c>
    </row>
    <row r="2882" spans="2:19" x14ac:dyDescent="0.25">
      <c r="B2882">
        <v>10662</v>
      </c>
      <c r="C2882" t="s">
        <v>24365</v>
      </c>
      <c r="E2882">
        <v>209</v>
      </c>
      <c r="F2882">
        <v>215</v>
      </c>
      <c r="G2882">
        <v>232</v>
      </c>
      <c r="O2882" t="s">
        <v>3196</v>
      </c>
    </row>
    <row r="2883" spans="2:19" x14ac:dyDescent="0.25">
      <c r="B2883">
        <v>12535</v>
      </c>
      <c r="C2883" t="s">
        <v>24366</v>
      </c>
      <c r="E2883">
        <v>151</v>
      </c>
      <c r="F2883">
        <v>158</v>
      </c>
      <c r="G2883">
        <v>203</v>
      </c>
      <c r="P2883" t="s">
        <v>4210</v>
      </c>
    </row>
    <row r="2884" spans="2:19" x14ac:dyDescent="0.25">
      <c r="B2884">
        <v>12536</v>
      </c>
      <c r="C2884" t="s">
        <v>24367</v>
      </c>
      <c r="E2884">
        <v>114</v>
      </c>
      <c r="F2884">
        <v>124</v>
      </c>
      <c r="G2884">
        <v>182</v>
      </c>
      <c r="Q2884" t="s">
        <v>506</v>
      </c>
    </row>
    <row r="2885" spans="2:19" x14ac:dyDescent="0.25">
      <c r="B2885">
        <v>12537</v>
      </c>
      <c r="C2885" t="s">
        <v>24368</v>
      </c>
      <c r="E2885">
        <v>114</v>
      </c>
      <c r="F2885">
        <v>124</v>
      </c>
      <c r="G2885">
        <v>182</v>
      </c>
      <c r="Q2885" t="s">
        <v>7471</v>
      </c>
    </row>
    <row r="2886" spans="2:19" x14ac:dyDescent="0.25">
      <c r="B2886">
        <v>12538</v>
      </c>
      <c r="C2886" t="s">
        <v>24369</v>
      </c>
      <c r="E2886">
        <v>131</v>
      </c>
      <c r="F2886">
        <v>139</v>
      </c>
      <c r="G2886">
        <v>193</v>
      </c>
      <c r="P2886" t="s">
        <v>7473</v>
      </c>
    </row>
    <row r="2887" spans="2:19" x14ac:dyDescent="0.25">
      <c r="B2887">
        <v>12539</v>
      </c>
      <c r="C2887" t="s">
        <v>24370</v>
      </c>
      <c r="E2887">
        <v>93</v>
      </c>
      <c r="F2887">
        <v>108</v>
      </c>
      <c r="G2887">
        <v>178</v>
      </c>
      <c r="Q2887" t="s">
        <v>7475</v>
      </c>
    </row>
    <row r="2888" spans="2:19" x14ac:dyDescent="0.25">
      <c r="B2888">
        <v>12540</v>
      </c>
      <c r="C2888" t="s">
        <v>24371</v>
      </c>
      <c r="E2888">
        <v>71</v>
      </c>
      <c r="F2888">
        <v>92</v>
      </c>
      <c r="G2888">
        <v>169</v>
      </c>
      <c r="R2888" t="s">
        <v>3245</v>
      </c>
    </row>
    <row r="2889" spans="2:19" x14ac:dyDescent="0.25">
      <c r="B2889">
        <v>12541</v>
      </c>
      <c r="C2889" t="s">
        <v>24372</v>
      </c>
      <c r="E2889">
        <v>71</v>
      </c>
      <c r="F2889">
        <v>92</v>
      </c>
      <c r="G2889">
        <v>169</v>
      </c>
      <c r="S2889" t="s">
        <v>7477</v>
      </c>
    </row>
    <row r="2890" spans="2:19" x14ac:dyDescent="0.25">
      <c r="B2890">
        <v>12542</v>
      </c>
      <c r="C2890" t="s">
        <v>24373</v>
      </c>
      <c r="E2890">
        <v>71</v>
      </c>
      <c r="F2890">
        <v>92</v>
      </c>
      <c r="G2890">
        <v>169</v>
      </c>
      <c r="S2890" t="s">
        <v>7479</v>
      </c>
    </row>
    <row r="2891" spans="2:19" x14ac:dyDescent="0.25">
      <c r="B2891">
        <v>12543</v>
      </c>
      <c r="C2891" t="s">
        <v>24374</v>
      </c>
      <c r="E2891">
        <v>69</v>
      </c>
      <c r="F2891">
        <v>89</v>
      </c>
      <c r="G2891">
        <v>157</v>
      </c>
      <c r="S2891" t="s">
        <v>7481</v>
      </c>
    </row>
    <row r="2892" spans="2:19" x14ac:dyDescent="0.25">
      <c r="B2892">
        <v>12545</v>
      </c>
      <c r="C2892" t="s">
        <v>24375</v>
      </c>
      <c r="E2892">
        <v>65</v>
      </c>
      <c r="F2892">
        <v>84</v>
      </c>
      <c r="G2892">
        <v>146</v>
      </c>
      <c r="R2892" t="s">
        <v>2327</v>
      </c>
    </row>
    <row r="2893" spans="2:19" x14ac:dyDescent="0.25">
      <c r="B2893">
        <v>12546</v>
      </c>
      <c r="C2893" t="s">
        <v>24376</v>
      </c>
      <c r="E2893">
        <v>65</v>
      </c>
      <c r="F2893">
        <v>84</v>
      </c>
      <c r="G2893">
        <v>146</v>
      </c>
      <c r="S2893" t="s">
        <v>7483</v>
      </c>
    </row>
    <row r="2894" spans="2:19" x14ac:dyDescent="0.25">
      <c r="B2894">
        <v>12547</v>
      </c>
      <c r="C2894" t="s">
        <v>24377</v>
      </c>
      <c r="E2894">
        <v>65</v>
      </c>
      <c r="F2894">
        <v>84</v>
      </c>
      <c r="G2894">
        <v>146</v>
      </c>
      <c r="S2894" t="s">
        <v>7485</v>
      </c>
    </row>
    <row r="2895" spans="2:19" x14ac:dyDescent="0.25">
      <c r="B2895">
        <v>12548</v>
      </c>
      <c r="C2895" t="s">
        <v>24378</v>
      </c>
      <c r="E2895">
        <v>65</v>
      </c>
      <c r="F2895">
        <v>84</v>
      </c>
      <c r="G2895">
        <v>146</v>
      </c>
      <c r="S2895" t="s">
        <v>7487</v>
      </c>
    </row>
    <row r="2896" spans="2:19" x14ac:dyDescent="0.25">
      <c r="B2896">
        <v>12549</v>
      </c>
      <c r="C2896" t="s">
        <v>24379</v>
      </c>
      <c r="E2896">
        <v>69</v>
      </c>
      <c r="F2896">
        <v>89</v>
      </c>
      <c r="G2896">
        <v>157</v>
      </c>
      <c r="S2896" t="s">
        <v>7489</v>
      </c>
    </row>
    <row r="2897" spans="2:19" x14ac:dyDescent="0.25">
      <c r="B2897">
        <v>12544</v>
      </c>
      <c r="C2897" t="s">
        <v>24380</v>
      </c>
      <c r="E2897">
        <v>65</v>
      </c>
      <c r="F2897">
        <v>84</v>
      </c>
      <c r="G2897">
        <v>146</v>
      </c>
      <c r="R2897" t="s">
        <v>2411</v>
      </c>
    </row>
    <row r="2898" spans="2:19" x14ac:dyDescent="0.25">
      <c r="B2898">
        <v>12550</v>
      </c>
      <c r="C2898" t="s">
        <v>24381</v>
      </c>
      <c r="E2898">
        <v>69</v>
      </c>
      <c r="F2898">
        <v>89</v>
      </c>
      <c r="G2898">
        <v>157</v>
      </c>
      <c r="R2898" t="s">
        <v>1546</v>
      </c>
    </row>
    <row r="2899" spans="2:19" x14ac:dyDescent="0.25">
      <c r="B2899">
        <v>12551</v>
      </c>
      <c r="C2899" t="s">
        <v>24382</v>
      </c>
      <c r="E2899">
        <v>69</v>
      </c>
      <c r="F2899">
        <v>89</v>
      </c>
      <c r="G2899">
        <v>157</v>
      </c>
      <c r="S2899" t="s">
        <v>7491</v>
      </c>
    </row>
    <row r="2900" spans="2:19" x14ac:dyDescent="0.25">
      <c r="B2900">
        <v>12552</v>
      </c>
      <c r="C2900" t="s">
        <v>24383</v>
      </c>
      <c r="E2900">
        <v>69</v>
      </c>
      <c r="F2900">
        <v>89</v>
      </c>
      <c r="G2900">
        <v>157</v>
      </c>
      <c r="S2900" t="s">
        <v>7493</v>
      </c>
    </row>
    <row r="2901" spans="2:19" x14ac:dyDescent="0.25">
      <c r="B2901">
        <v>12553</v>
      </c>
      <c r="C2901" t="s">
        <v>24384</v>
      </c>
      <c r="E2901">
        <v>69</v>
      </c>
      <c r="F2901">
        <v>89</v>
      </c>
      <c r="G2901">
        <v>157</v>
      </c>
      <c r="S2901" t="s">
        <v>7495</v>
      </c>
    </row>
    <row r="2902" spans="2:19" x14ac:dyDescent="0.25">
      <c r="B2902">
        <v>12554</v>
      </c>
      <c r="C2902" t="s">
        <v>24385</v>
      </c>
      <c r="E2902">
        <v>69</v>
      </c>
      <c r="F2902">
        <v>89</v>
      </c>
      <c r="G2902">
        <v>157</v>
      </c>
      <c r="S2902" t="s">
        <v>7497</v>
      </c>
    </row>
    <row r="2903" spans="2:19" x14ac:dyDescent="0.25">
      <c r="B2903">
        <v>12555</v>
      </c>
      <c r="C2903" t="s">
        <v>24386</v>
      </c>
      <c r="E2903">
        <v>131</v>
      </c>
      <c r="F2903">
        <v>139</v>
      </c>
      <c r="G2903">
        <v>193</v>
      </c>
      <c r="S2903" t="s">
        <v>7499</v>
      </c>
    </row>
    <row r="2904" spans="2:19" x14ac:dyDescent="0.25">
      <c r="B2904">
        <v>15558</v>
      </c>
      <c r="C2904" t="s">
        <v>24387</v>
      </c>
      <c r="E2904">
        <v>69</v>
      </c>
      <c r="F2904">
        <v>89</v>
      </c>
      <c r="G2904">
        <v>157</v>
      </c>
      <c r="S2904" t="s">
        <v>8341</v>
      </c>
    </row>
    <row r="2905" spans="2:19" x14ac:dyDescent="0.25">
      <c r="B2905">
        <v>15559</v>
      </c>
      <c r="C2905" t="s">
        <v>24388</v>
      </c>
      <c r="E2905">
        <v>69</v>
      </c>
      <c r="F2905">
        <v>89</v>
      </c>
      <c r="G2905">
        <v>157</v>
      </c>
      <c r="S2905" t="s">
        <v>8343</v>
      </c>
    </row>
    <row r="2906" spans="2:19" x14ac:dyDescent="0.25">
      <c r="B2906">
        <v>12556</v>
      </c>
      <c r="C2906" t="s">
        <v>24389</v>
      </c>
      <c r="E2906">
        <v>93</v>
      </c>
      <c r="F2906">
        <v>108</v>
      </c>
      <c r="G2906">
        <v>178</v>
      </c>
      <c r="Q2906" t="s">
        <v>7501</v>
      </c>
    </row>
    <row r="2907" spans="2:19" x14ac:dyDescent="0.25">
      <c r="B2907">
        <v>12557</v>
      </c>
      <c r="C2907" t="s">
        <v>24390</v>
      </c>
      <c r="E2907">
        <v>71</v>
      </c>
      <c r="F2907">
        <v>92</v>
      </c>
      <c r="G2907">
        <v>169</v>
      </c>
      <c r="R2907" t="s">
        <v>3312</v>
      </c>
    </row>
    <row r="2908" spans="2:19" x14ac:dyDescent="0.25">
      <c r="B2908">
        <v>12558</v>
      </c>
      <c r="C2908" t="s">
        <v>24391</v>
      </c>
      <c r="E2908">
        <v>71</v>
      </c>
      <c r="F2908">
        <v>92</v>
      </c>
      <c r="G2908">
        <v>169</v>
      </c>
      <c r="S2908" t="s">
        <v>7503</v>
      </c>
    </row>
    <row r="2909" spans="2:19" x14ac:dyDescent="0.25">
      <c r="B2909">
        <v>12559</v>
      </c>
      <c r="C2909" t="s">
        <v>24392</v>
      </c>
      <c r="E2909">
        <v>71</v>
      </c>
      <c r="F2909">
        <v>92</v>
      </c>
      <c r="G2909">
        <v>169</v>
      </c>
      <c r="S2909" t="s">
        <v>7505</v>
      </c>
    </row>
    <row r="2910" spans="2:19" x14ac:dyDescent="0.25">
      <c r="B2910">
        <v>12560</v>
      </c>
      <c r="C2910" t="s">
        <v>24393</v>
      </c>
      <c r="E2910">
        <v>71</v>
      </c>
      <c r="F2910">
        <v>92</v>
      </c>
      <c r="G2910">
        <v>169</v>
      </c>
      <c r="S2910" t="s">
        <v>7507</v>
      </c>
    </row>
    <row r="2911" spans="2:19" x14ac:dyDescent="0.25">
      <c r="B2911">
        <v>12561</v>
      </c>
      <c r="C2911" t="s">
        <v>24394</v>
      </c>
      <c r="E2911">
        <v>71</v>
      </c>
      <c r="F2911">
        <v>92</v>
      </c>
      <c r="G2911">
        <v>169</v>
      </c>
      <c r="S2911" t="s">
        <v>7509</v>
      </c>
    </row>
    <row r="2912" spans="2:19" x14ac:dyDescent="0.25">
      <c r="B2912">
        <v>12562</v>
      </c>
      <c r="C2912" t="s">
        <v>24395</v>
      </c>
      <c r="E2912">
        <v>71</v>
      </c>
      <c r="F2912">
        <v>92</v>
      </c>
      <c r="G2912">
        <v>169</v>
      </c>
      <c r="S2912" t="s">
        <v>7511</v>
      </c>
    </row>
    <row r="2913" spans="2:20" x14ac:dyDescent="0.25">
      <c r="B2913">
        <v>12563</v>
      </c>
      <c r="C2913" t="s">
        <v>24396</v>
      </c>
      <c r="E2913">
        <v>71</v>
      </c>
      <c r="F2913">
        <v>92</v>
      </c>
      <c r="G2913">
        <v>169</v>
      </c>
      <c r="S2913" t="s">
        <v>7513</v>
      </c>
    </row>
    <row r="2914" spans="2:20" x14ac:dyDescent="0.25">
      <c r="B2914">
        <v>12564</v>
      </c>
      <c r="C2914" t="s">
        <v>24397</v>
      </c>
      <c r="E2914">
        <v>71</v>
      </c>
      <c r="F2914">
        <v>92</v>
      </c>
      <c r="G2914">
        <v>169</v>
      </c>
      <c r="T2914" t="s">
        <v>7515</v>
      </c>
    </row>
    <row r="2915" spans="2:20" x14ac:dyDescent="0.25">
      <c r="B2915">
        <v>12565</v>
      </c>
      <c r="C2915" t="s">
        <v>24398</v>
      </c>
      <c r="E2915">
        <v>71</v>
      </c>
      <c r="F2915">
        <v>92</v>
      </c>
      <c r="G2915">
        <v>169</v>
      </c>
      <c r="T2915" t="s">
        <v>7517</v>
      </c>
    </row>
    <row r="2916" spans="2:20" x14ac:dyDescent="0.25">
      <c r="B2916">
        <v>12566</v>
      </c>
      <c r="C2916" t="s">
        <v>24399</v>
      </c>
      <c r="E2916">
        <v>71</v>
      </c>
      <c r="F2916">
        <v>92</v>
      </c>
      <c r="G2916">
        <v>169</v>
      </c>
      <c r="S2916" t="s">
        <v>7519</v>
      </c>
    </row>
    <row r="2917" spans="2:20" x14ac:dyDescent="0.25">
      <c r="B2917">
        <v>12567</v>
      </c>
      <c r="C2917" t="s">
        <v>24400</v>
      </c>
      <c r="E2917">
        <v>71</v>
      </c>
      <c r="F2917">
        <v>92</v>
      </c>
      <c r="G2917">
        <v>169</v>
      </c>
      <c r="S2917" t="s">
        <v>7521</v>
      </c>
    </row>
    <row r="2918" spans="2:20" x14ac:dyDescent="0.25">
      <c r="B2918">
        <v>12568</v>
      </c>
      <c r="C2918" t="s">
        <v>24401</v>
      </c>
      <c r="E2918">
        <v>71</v>
      </c>
      <c r="F2918">
        <v>92</v>
      </c>
      <c r="G2918">
        <v>169</v>
      </c>
      <c r="S2918" t="s">
        <v>7523</v>
      </c>
    </row>
    <row r="2919" spans="2:20" x14ac:dyDescent="0.25">
      <c r="B2919">
        <v>12569</v>
      </c>
      <c r="C2919" t="s">
        <v>24402</v>
      </c>
      <c r="E2919">
        <v>71</v>
      </c>
      <c r="F2919">
        <v>92</v>
      </c>
      <c r="G2919">
        <v>169</v>
      </c>
      <c r="S2919" t="s">
        <v>15112</v>
      </c>
    </row>
    <row r="2920" spans="2:20" x14ac:dyDescent="0.25">
      <c r="B2920">
        <v>12570</v>
      </c>
      <c r="C2920" t="s">
        <v>24403</v>
      </c>
      <c r="E2920">
        <v>114</v>
      </c>
      <c r="F2920">
        <v>124</v>
      </c>
      <c r="G2920">
        <v>182</v>
      </c>
      <c r="S2920" t="s">
        <v>7525</v>
      </c>
    </row>
    <row r="2921" spans="2:20" x14ac:dyDescent="0.25">
      <c r="B2921">
        <v>12571</v>
      </c>
      <c r="C2921" t="s">
        <v>24404</v>
      </c>
      <c r="E2921">
        <v>114</v>
      </c>
      <c r="F2921">
        <v>124</v>
      </c>
      <c r="G2921">
        <v>182</v>
      </c>
      <c r="S2921" t="s">
        <v>3608</v>
      </c>
    </row>
    <row r="2922" spans="2:20" x14ac:dyDescent="0.25">
      <c r="B2922">
        <v>12572</v>
      </c>
      <c r="C2922" t="s">
        <v>24405</v>
      </c>
      <c r="E2922">
        <v>71</v>
      </c>
      <c r="F2922">
        <v>92</v>
      </c>
      <c r="G2922">
        <v>169</v>
      </c>
      <c r="R2922" t="s">
        <v>4997</v>
      </c>
    </row>
    <row r="2923" spans="2:20" x14ac:dyDescent="0.25">
      <c r="B2923">
        <v>12573</v>
      </c>
      <c r="C2923" t="s">
        <v>24406</v>
      </c>
      <c r="E2923">
        <v>114</v>
      </c>
      <c r="F2923">
        <v>124</v>
      </c>
      <c r="G2923">
        <v>182</v>
      </c>
      <c r="S2923" t="s">
        <v>885</v>
      </c>
    </row>
    <row r="2924" spans="2:20" x14ac:dyDescent="0.25">
      <c r="B2924">
        <v>12574</v>
      </c>
      <c r="C2924" t="s">
        <v>24407</v>
      </c>
      <c r="E2924">
        <v>131</v>
      </c>
      <c r="F2924">
        <v>139</v>
      </c>
      <c r="G2924">
        <v>193</v>
      </c>
      <c r="T2924" t="s">
        <v>7527</v>
      </c>
    </row>
    <row r="2925" spans="2:20" x14ac:dyDescent="0.25">
      <c r="B2925">
        <v>12575</v>
      </c>
      <c r="C2925" t="s">
        <v>24408</v>
      </c>
      <c r="E2925">
        <v>71</v>
      </c>
      <c r="F2925">
        <v>92</v>
      </c>
      <c r="G2925">
        <v>169</v>
      </c>
      <c r="T2925" t="s">
        <v>7529</v>
      </c>
    </row>
    <row r="2926" spans="2:20" x14ac:dyDescent="0.25">
      <c r="B2926">
        <v>12576</v>
      </c>
      <c r="C2926" t="s">
        <v>24409</v>
      </c>
      <c r="E2926">
        <v>93</v>
      </c>
      <c r="F2926">
        <v>108</v>
      </c>
      <c r="G2926">
        <v>178</v>
      </c>
      <c r="T2926" t="s">
        <v>7531</v>
      </c>
    </row>
    <row r="2927" spans="2:20" x14ac:dyDescent="0.25">
      <c r="B2927">
        <v>12577</v>
      </c>
      <c r="C2927" t="s">
        <v>24410</v>
      </c>
      <c r="E2927">
        <v>71</v>
      </c>
      <c r="F2927">
        <v>92</v>
      </c>
      <c r="G2927">
        <v>169</v>
      </c>
      <c r="S2927" t="s">
        <v>7533</v>
      </c>
    </row>
    <row r="2928" spans="2:20" x14ac:dyDescent="0.25">
      <c r="B2928">
        <v>12578</v>
      </c>
      <c r="C2928" t="s">
        <v>24411</v>
      </c>
      <c r="E2928">
        <v>93</v>
      </c>
      <c r="F2928">
        <v>108</v>
      </c>
      <c r="G2928">
        <v>178</v>
      </c>
      <c r="S2928" t="s">
        <v>2508</v>
      </c>
    </row>
    <row r="2929" spans="2:20" x14ac:dyDescent="0.25">
      <c r="B2929">
        <v>12579</v>
      </c>
      <c r="C2929" t="s">
        <v>24412</v>
      </c>
      <c r="E2929">
        <v>71</v>
      </c>
      <c r="F2929">
        <v>92</v>
      </c>
      <c r="G2929">
        <v>169</v>
      </c>
      <c r="R2929" t="s">
        <v>7535</v>
      </c>
    </row>
    <row r="2930" spans="2:20" x14ac:dyDescent="0.25">
      <c r="B2930">
        <v>12580</v>
      </c>
      <c r="C2930" t="s">
        <v>24413</v>
      </c>
      <c r="E2930">
        <v>71</v>
      </c>
      <c r="F2930">
        <v>92</v>
      </c>
      <c r="G2930">
        <v>169</v>
      </c>
      <c r="S2930" t="s">
        <v>7537</v>
      </c>
    </row>
    <row r="2931" spans="2:20" x14ac:dyDescent="0.25">
      <c r="B2931">
        <v>12581</v>
      </c>
      <c r="C2931" t="s">
        <v>24414</v>
      </c>
      <c r="E2931">
        <v>71</v>
      </c>
      <c r="F2931">
        <v>92</v>
      </c>
      <c r="G2931">
        <v>169</v>
      </c>
      <c r="S2931" t="s">
        <v>3042</v>
      </c>
    </row>
    <row r="2932" spans="2:20" x14ac:dyDescent="0.25">
      <c r="B2932">
        <v>12582</v>
      </c>
      <c r="C2932" t="s">
        <v>24415</v>
      </c>
      <c r="E2932">
        <v>71</v>
      </c>
      <c r="F2932">
        <v>92</v>
      </c>
      <c r="G2932">
        <v>169</v>
      </c>
      <c r="T2932" t="s">
        <v>7539</v>
      </c>
    </row>
    <row r="2933" spans="2:20" x14ac:dyDescent="0.25">
      <c r="B2933">
        <v>12583</v>
      </c>
      <c r="C2933" t="s">
        <v>24416</v>
      </c>
      <c r="E2933">
        <v>71</v>
      </c>
      <c r="F2933">
        <v>92</v>
      </c>
      <c r="G2933">
        <v>169</v>
      </c>
      <c r="T2933" t="s">
        <v>7541</v>
      </c>
    </row>
    <row r="2934" spans="2:20" x14ac:dyDescent="0.25">
      <c r="B2934">
        <v>12584</v>
      </c>
      <c r="C2934" t="s">
        <v>17712</v>
      </c>
      <c r="E2934">
        <v>71</v>
      </c>
      <c r="F2934">
        <v>92</v>
      </c>
      <c r="G2934">
        <v>169</v>
      </c>
      <c r="S2934" t="s">
        <v>7543</v>
      </c>
    </row>
    <row r="2935" spans="2:20" x14ac:dyDescent="0.25">
      <c r="B2935">
        <v>12585</v>
      </c>
      <c r="C2935" t="s">
        <v>24417</v>
      </c>
      <c r="E2935">
        <v>71</v>
      </c>
      <c r="F2935">
        <v>92</v>
      </c>
      <c r="G2935">
        <v>169</v>
      </c>
      <c r="S2935" t="s">
        <v>7545</v>
      </c>
    </row>
    <row r="2936" spans="2:20" x14ac:dyDescent="0.25">
      <c r="B2936">
        <v>12586</v>
      </c>
      <c r="C2936" t="s">
        <v>24418</v>
      </c>
      <c r="E2936">
        <v>71</v>
      </c>
      <c r="F2936">
        <v>92</v>
      </c>
      <c r="G2936">
        <v>169</v>
      </c>
      <c r="S2936" t="s">
        <v>7547</v>
      </c>
    </row>
    <row r="2937" spans="2:20" x14ac:dyDescent="0.25">
      <c r="B2937">
        <v>12587</v>
      </c>
      <c r="C2937" t="s">
        <v>24419</v>
      </c>
      <c r="E2937">
        <v>93</v>
      </c>
      <c r="F2937">
        <v>108</v>
      </c>
      <c r="G2937">
        <v>178</v>
      </c>
      <c r="Q2937" t="s">
        <v>7549</v>
      </c>
    </row>
    <row r="2938" spans="2:20" x14ac:dyDescent="0.25">
      <c r="B2938">
        <v>12588</v>
      </c>
      <c r="C2938" t="s">
        <v>24420</v>
      </c>
      <c r="E2938">
        <v>131</v>
      </c>
      <c r="F2938">
        <v>139</v>
      </c>
      <c r="G2938">
        <v>193</v>
      </c>
      <c r="R2938" t="s">
        <v>7551</v>
      </c>
    </row>
    <row r="2939" spans="2:20" x14ac:dyDescent="0.25">
      <c r="B2939">
        <v>12589</v>
      </c>
      <c r="C2939" t="s">
        <v>24421</v>
      </c>
      <c r="E2939">
        <v>93</v>
      </c>
      <c r="F2939">
        <v>108</v>
      </c>
      <c r="G2939">
        <v>178</v>
      </c>
      <c r="R2939" t="s">
        <v>1396</v>
      </c>
    </row>
    <row r="2940" spans="2:20" x14ac:dyDescent="0.25">
      <c r="B2940">
        <v>12590</v>
      </c>
      <c r="C2940" t="s">
        <v>24422</v>
      </c>
      <c r="E2940">
        <v>71</v>
      </c>
      <c r="F2940">
        <v>92</v>
      </c>
      <c r="G2940">
        <v>169</v>
      </c>
      <c r="S2940" t="s">
        <v>7553</v>
      </c>
    </row>
    <row r="2941" spans="2:20" x14ac:dyDescent="0.25">
      <c r="B2941">
        <v>12591</v>
      </c>
      <c r="C2941" t="s">
        <v>24423</v>
      </c>
      <c r="E2941">
        <v>93</v>
      </c>
      <c r="F2941">
        <v>108</v>
      </c>
      <c r="G2941">
        <v>178</v>
      </c>
      <c r="S2941" t="s">
        <v>7555</v>
      </c>
    </row>
    <row r="2942" spans="2:20" x14ac:dyDescent="0.25">
      <c r="B2942">
        <v>12592</v>
      </c>
      <c r="C2942" t="s">
        <v>24424</v>
      </c>
      <c r="E2942">
        <v>71</v>
      </c>
      <c r="F2942">
        <v>92</v>
      </c>
      <c r="G2942">
        <v>169</v>
      </c>
      <c r="R2942" t="s">
        <v>2098</v>
      </c>
    </row>
    <row r="2943" spans="2:20" x14ac:dyDescent="0.25">
      <c r="B2943">
        <v>12593</v>
      </c>
      <c r="C2943" t="s">
        <v>24425</v>
      </c>
      <c r="E2943">
        <v>71</v>
      </c>
      <c r="F2943">
        <v>92</v>
      </c>
      <c r="G2943">
        <v>169</v>
      </c>
      <c r="S2943" t="s">
        <v>7557</v>
      </c>
    </row>
    <row r="2944" spans="2:20" x14ac:dyDescent="0.25">
      <c r="B2944">
        <v>12594</v>
      </c>
      <c r="C2944" t="s">
        <v>24426</v>
      </c>
      <c r="E2944">
        <v>69</v>
      </c>
      <c r="F2944">
        <v>89</v>
      </c>
      <c r="G2944">
        <v>157</v>
      </c>
      <c r="S2944" t="s">
        <v>7559</v>
      </c>
    </row>
    <row r="2945" spans="2:20" x14ac:dyDescent="0.25">
      <c r="B2945">
        <v>12595</v>
      </c>
      <c r="C2945" t="s">
        <v>24427</v>
      </c>
      <c r="E2945">
        <v>114</v>
      </c>
      <c r="F2945">
        <v>124</v>
      </c>
      <c r="G2945">
        <v>182</v>
      </c>
      <c r="Q2945" t="s">
        <v>7561</v>
      </c>
    </row>
    <row r="2946" spans="2:20" x14ac:dyDescent="0.25">
      <c r="B2946">
        <v>12596</v>
      </c>
      <c r="C2946" t="s">
        <v>24428</v>
      </c>
      <c r="E2946">
        <v>93</v>
      </c>
      <c r="F2946">
        <v>108</v>
      </c>
      <c r="G2946">
        <v>178</v>
      </c>
      <c r="R2946" t="s">
        <v>7563</v>
      </c>
    </row>
    <row r="2947" spans="2:20" x14ac:dyDescent="0.25">
      <c r="B2947">
        <v>12597</v>
      </c>
      <c r="C2947" t="s">
        <v>24429</v>
      </c>
      <c r="E2947">
        <v>93</v>
      </c>
      <c r="F2947">
        <v>108</v>
      </c>
      <c r="G2947">
        <v>178</v>
      </c>
      <c r="R2947" t="s">
        <v>1581</v>
      </c>
    </row>
    <row r="2948" spans="2:20" x14ac:dyDescent="0.25">
      <c r="B2948">
        <v>12598</v>
      </c>
      <c r="C2948" t="s">
        <v>24430</v>
      </c>
      <c r="E2948">
        <v>93</v>
      </c>
      <c r="F2948">
        <v>108</v>
      </c>
      <c r="G2948">
        <v>178</v>
      </c>
      <c r="S2948" t="s">
        <v>7565</v>
      </c>
    </row>
    <row r="2949" spans="2:20" x14ac:dyDescent="0.25">
      <c r="B2949">
        <v>12599</v>
      </c>
      <c r="C2949" t="s">
        <v>24431</v>
      </c>
      <c r="E2949">
        <v>93</v>
      </c>
      <c r="F2949">
        <v>108</v>
      </c>
      <c r="G2949">
        <v>178</v>
      </c>
      <c r="S2949" t="s">
        <v>7567</v>
      </c>
    </row>
    <row r="2950" spans="2:20" x14ac:dyDescent="0.25">
      <c r="B2950">
        <v>12600</v>
      </c>
      <c r="C2950" t="s">
        <v>20474</v>
      </c>
      <c r="E2950">
        <v>62</v>
      </c>
      <c r="F2950">
        <v>77</v>
      </c>
      <c r="G2950">
        <v>137</v>
      </c>
      <c r="R2950" t="s">
        <v>2385</v>
      </c>
    </row>
    <row r="2951" spans="2:20" x14ac:dyDescent="0.25">
      <c r="B2951">
        <v>12601</v>
      </c>
      <c r="C2951" t="s">
        <v>24432</v>
      </c>
      <c r="E2951">
        <v>62</v>
      </c>
      <c r="F2951">
        <v>77</v>
      </c>
      <c r="G2951">
        <v>137</v>
      </c>
      <c r="S2951" t="s">
        <v>7569</v>
      </c>
    </row>
    <row r="2952" spans="2:20" x14ac:dyDescent="0.25">
      <c r="B2952">
        <v>12602</v>
      </c>
      <c r="C2952" t="s">
        <v>24433</v>
      </c>
      <c r="E2952">
        <v>62</v>
      </c>
      <c r="F2952">
        <v>77</v>
      </c>
      <c r="G2952">
        <v>137</v>
      </c>
      <c r="S2952" t="s">
        <v>2391</v>
      </c>
    </row>
    <row r="2953" spans="2:20" x14ac:dyDescent="0.25">
      <c r="B2953">
        <v>12603</v>
      </c>
      <c r="C2953" t="s">
        <v>24434</v>
      </c>
      <c r="E2953">
        <v>62</v>
      </c>
      <c r="F2953">
        <v>77</v>
      </c>
      <c r="G2953">
        <v>137</v>
      </c>
      <c r="S2953" t="s">
        <v>1502</v>
      </c>
    </row>
    <row r="2954" spans="2:20" x14ac:dyDescent="0.25">
      <c r="B2954">
        <v>12604</v>
      </c>
      <c r="C2954" t="s">
        <v>24435</v>
      </c>
      <c r="E2954">
        <v>62</v>
      </c>
      <c r="F2954">
        <v>77</v>
      </c>
      <c r="G2954">
        <v>137</v>
      </c>
      <c r="S2954" t="s">
        <v>7571</v>
      </c>
    </row>
    <row r="2955" spans="2:20" x14ac:dyDescent="0.25">
      <c r="B2955">
        <v>12605</v>
      </c>
      <c r="C2955" t="s">
        <v>24436</v>
      </c>
      <c r="E2955">
        <v>62</v>
      </c>
      <c r="F2955">
        <v>77</v>
      </c>
      <c r="G2955">
        <v>137</v>
      </c>
      <c r="S2955" t="s">
        <v>2881</v>
      </c>
    </row>
    <row r="2956" spans="2:20" x14ac:dyDescent="0.25">
      <c r="B2956">
        <v>12606</v>
      </c>
      <c r="C2956" t="s">
        <v>24437</v>
      </c>
      <c r="E2956">
        <v>62</v>
      </c>
      <c r="F2956">
        <v>77</v>
      </c>
      <c r="G2956">
        <v>137</v>
      </c>
      <c r="T2956" t="s">
        <v>7573</v>
      </c>
    </row>
    <row r="2957" spans="2:20" x14ac:dyDescent="0.25">
      <c r="B2957">
        <v>12607</v>
      </c>
      <c r="C2957" t="s">
        <v>24438</v>
      </c>
      <c r="E2957">
        <v>62</v>
      </c>
      <c r="F2957">
        <v>77</v>
      </c>
      <c r="G2957">
        <v>137</v>
      </c>
      <c r="T2957" t="s">
        <v>7575</v>
      </c>
    </row>
    <row r="2958" spans="2:20" x14ac:dyDescent="0.25">
      <c r="B2958">
        <v>12608</v>
      </c>
      <c r="C2958" t="s">
        <v>24439</v>
      </c>
      <c r="E2958">
        <v>62</v>
      </c>
      <c r="F2958">
        <v>77</v>
      </c>
      <c r="G2958">
        <v>137</v>
      </c>
      <c r="T2958" t="s">
        <v>7577</v>
      </c>
    </row>
    <row r="2959" spans="2:20" x14ac:dyDescent="0.25">
      <c r="B2959">
        <v>12609</v>
      </c>
      <c r="C2959" t="s">
        <v>24440</v>
      </c>
      <c r="E2959">
        <v>62</v>
      </c>
      <c r="F2959">
        <v>77</v>
      </c>
      <c r="G2959">
        <v>137</v>
      </c>
      <c r="T2959" t="s">
        <v>7579</v>
      </c>
    </row>
    <row r="2960" spans="2:20" x14ac:dyDescent="0.25">
      <c r="B2960">
        <v>12610</v>
      </c>
      <c r="C2960" t="s">
        <v>24441</v>
      </c>
      <c r="E2960">
        <v>62</v>
      </c>
      <c r="F2960">
        <v>77</v>
      </c>
      <c r="G2960">
        <v>137</v>
      </c>
      <c r="S2960" t="s">
        <v>4184</v>
      </c>
    </row>
    <row r="2961" spans="2:19" x14ac:dyDescent="0.25">
      <c r="B2961">
        <v>12611</v>
      </c>
      <c r="C2961" t="s">
        <v>24442</v>
      </c>
      <c r="E2961">
        <v>62</v>
      </c>
      <c r="F2961">
        <v>77</v>
      </c>
      <c r="G2961">
        <v>137</v>
      </c>
      <c r="S2961" t="s">
        <v>7581</v>
      </c>
    </row>
    <row r="2962" spans="2:19" x14ac:dyDescent="0.25">
      <c r="B2962">
        <v>12612</v>
      </c>
      <c r="C2962" t="s">
        <v>24443</v>
      </c>
      <c r="E2962">
        <v>93</v>
      </c>
      <c r="F2962">
        <v>108</v>
      </c>
      <c r="G2962">
        <v>178</v>
      </c>
      <c r="R2962" t="s">
        <v>3256</v>
      </c>
    </row>
    <row r="2963" spans="2:19" x14ac:dyDescent="0.25">
      <c r="B2963">
        <v>12613</v>
      </c>
      <c r="C2963" t="s">
        <v>16484</v>
      </c>
      <c r="E2963">
        <v>93</v>
      </c>
      <c r="F2963">
        <v>108</v>
      </c>
      <c r="G2963">
        <v>178</v>
      </c>
      <c r="R2963" t="s">
        <v>1135</v>
      </c>
    </row>
    <row r="2964" spans="2:19" x14ac:dyDescent="0.25">
      <c r="B2964">
        <v>12614</v>
      </c>
      <c r="C2964" t="s">
        <v>24444</v>
      </c>
      <c r="E2964">
        <v>93</v>
      </c>
      <c r="F2964">
        <v>108</v>
      </c>
      <c r="G2964">
        <v>178</v>
      </c>
      <c r="R2964" t="s">
        <v>3891</v>
      </c>
    </row>
    <row r="2965" spans="2:19" x14ac:dyDescent="0.25">
      <c r="B2965">
        <v>12615</v>
      </c>
      <c r="C2965" t="s">
        <v>24445</v>
      </c>
      <c r="E2965">
        <v>93</v>
      </c>
      <c r="F2965">
        <v>108</v>
      </c>
      <c r="G2965">
        <v>178</v>
      </c>
      <c r="R2965" t="s">
        <v>3348</v>
      </c>
    </row>
    <row r="2966" spans="2:19" x14ac:dyDescent="0.25">
      <c r="B2966">
        <v>12616</v>
      </c>
      <c r="C2966" t="s">
        <v>24446</v>
      </c>
      <c r="E2966">
        <v>151</v>
      </c>
      <c r="F2966">
        <v>158</v>
      </c>
      <c r="G2966">
        <v>203</v>
      </c>
      <c r="Q2966" t="s">
        <v>3071</v>
      </c>
    </row>
    <row r="2967" spans="2:19" x14ac:dyDescent="0.25">
      <c r="B2967">
        <v>12617</v>
      </c>
      <c r="C2967" t="s">
        <v>24447</v>
      </c>
      <c r="E2967">
        <v>131</v>
      </c>
      <c r="F2967">
        <v>139</v>
      </c>
      <c r="G2967">
        <v>193</v>
      </c>
      <c r="R2967" t="s">
        <v>7583</v>
      </c>
    </row>
    <row r="2968" spans="2:19" x14ac:dyDescent="0.25">
      <c r="B2968">
        <v>12620</v>
      </c>
      <c r="C2968" t="s">
        <v>24448</v>
      </c>
      <c r="E2968">
        <v>151</v>
      </c>
      <c r="F2968">
        <v>158</v>
      </c>
      <c r="G2968">
        <v>203</v>
      </c>
      <c r="R2968" t="s">
        <v>2481</v>
      </c>
    </row>
    <row r="2969" spans="2:19" x14ac:dyDescent="0.25">
      <c r="B2969">
        <v>12621</v>
      </c>
      <c r="C2969" t="s">
        <v>24449</v>
      </c>
      <c r="E2969">
        <v>151</v>
      </c>
      <c r="F2969">
        <v>158</v>
      </c>
      <c r="G2969">
        <v>203</v>
      </c>
      <c r="S2969" t="s">
        <v>7587</v>
      </c>
    </row>
    <row r="2970" spans="2:19" x14ac:dyDescent="0.25">
      <c r="B2970">
        <v>12622</v>
      </c>
      <c r="C2970" t="s">
        <v>24450</v>
      </c>
      <c r="E2970">
        <v>151</v>
      </c>
      <c r="F2970">
        <v>158</v>
      </c>
      <c r="G2970">
        <v>203</v>
      </c>
      <c r="S2970" t="s">
        <v>7589</v>
      </c>
    </row>
    <row r="2971" spans="2:19" x14ac:dyDescent="0.25">
      <c r="B2971">
        <v>12623</v>
      </c>
      <c r="C2971" t="s">
        <v>24451</v>
      </c>
      <c r="E2971">
        <v>151</v>
      </c>
      <c r="F2971">
        <v>158</v>
      </c>
      <c r="G2971">
        <v>203</v>
      </c>
      <c r="S2971" t="s">
        <v>7591</v>
      </c>
    </row>
    <row r="2972" spans="2:19" x14ac:dyDescent="0.25">
      <c r="B2972">
        <v>12624</v>
      </c>
      <c r="C2972" t="s">
        <v>17975</v>
      </c>
      <c r="E2972">
        <v>151</v>
      </c>
      <c r="F2972">
        <v>158</v>
      </c>
      <c r="G2972">
        <v>203</v>
      </c>
      <c r="S2972" t="s">
        <v>7593</v>
      </c>
    </row>
    <row r="2973" spans="2:19" x14ac:dyDescent="0.25">
      <c r="B2973">
        <v>12625</v>
      </c>
      <c r="C2973" t="s">
        <v>24452</v>
      </c>
      <c r="E2973">
        <v>114</v>
      </c>
      <c r="F2973">
        <v>124</v>
      </c>
      <c r="G2973">
        <v>182</v>
      </c>
      <c r="R2973" t="s">
        <v>2070</v>
      </c>
    </row>
    <row r="2974" spans="2:19" x14ac:dyDescent="0.25">
      <c r="B2974">
        <v>12631</v>
      </c>
      <c r="C2974" t="s">
        <v>24453</v>
      </c>
      <c r="E2974">
        <v>71</v>
      </c>
      <c r="F2974">
        <v>92</v>
      </c>
      <c r="G2974">
        <v>169</v>
      </c>
      <c r="S2974" t="s">
        <v>7599</v>
      </c>
    </row>
    <row r="2975" spans="2:19" x14ac:dyDescent="0.25">
      <c r="B2975">
        <v>12629</v>
      </c>
      <c r="C2975" t="s">
        <v>24454</v>
      </c>
      <c r="E2975">
        <v>71</v>
      </c>
      <c r="F2975">
        <v>92</v>
      </c>
      <c r="G2975">
        <v>169</v>
      </c>
      <c r="S2975" t="s">
        <v>2666</v>
      </c>
    </row>
    <row r="2976" spans="2:19" x14ac:dyDescent="0.25">
      <c r="B2976">
        <v>12626</v>
      </c>
      <c r="C2976" t="s">
        <v>24455</v>
      </c>
      <c r="E2976">
        <v>71</v>
      </c>
      <c r="F2976">
        <v>92</v>
      </c>
      <c r="G2976">
        <v>169</v>
      </c>
      <c r="S2976" t="s">
        <v>3591</v>
      </c>
    </row>
    <row r="2977" spans="2:20" x14ac:dyDescent="0.25">
      <c r="B2977">
        <v>12627</v>
      </c>
      <c r="C2977" t="s">
        <v>24456</v>
      </c>
      <c r="E2977">
        <v>71</v>
      </c>
      <c r="F2977">
        <v>92</v>
      </c>
      <c r="G2977">
        <v>169</v>
      </c>
      <c r="T2977" t="s">
        <v>7595</v>
      </c>
    </row>
    <row r="2978" spans="2:20" x14ac:dyDescent="0.25">
      <c r="B2978">
        <v>12628</v>
      </c>
      <c r="C2978" t="s">
        <v>24457</v>
      </c>
      <c r="E2978">
        <v>71</v>
      </c>
      <c r="F2978">
        <v>92</v>
      </c>
      <c r="G2978">
        <v>169</v>
      </c>
      <c r="T2978" t="s">
        <v>1574</v>
      </c>
    </row>
    <row r="2979" spans="2:20" x14ac:dyDescent="0.25">
      <c r="B2979">
        <v>12630</v>
      </c>
      <c r="C2979" t="s">
        <v>24458</v>
      </c>
      <c r="E2979">
        <v>71</v>
      </c>
      <c r="F2979">
        <v>92</v>
      </c>
      <c r="G2979">
        <v>169</v>
      </c>
      <c r="S2979" t="s">
        <v>7597</v>
      </c>
    </row>
    <row r="2980" spans="2:20" x14ac:dyDescent="0.25">
      <c r="B2980">
        <v>12632</v>
      </c>
      <c r="C2980" t="s">
        <v>24459</v>
      </c>
      <c r="E2980">
        <v>93</v>
      </c>
      <c r="F2980">
        <v>108</v>
      </c>
      <c r="G2980">
        <v>178</v>
      </c>
      <c r="R2980" t="s">
        <v>7601</v>
      </c>
    </row>
    <row r="2981" spans="2:20" x14ac:dyDescent="0.25">
      <c r="B2981">
        <v>12634</v>
      </c>
      <c r="C2981" t="s">
        <v>24460</v>
      </c>
      <c r="E2981">
        <v>93</v>
      </c>
      <c r="F2981">
        <v>108</v>
      </c>
      <c r="G2981">
        <v>178</v>
      </c>
      <c r="S2981" t="s">
        <v>7603</v>
      </c>
    </row>
    <row r="2982" spans="2:20" x14ac:dyDescent="0.25">
      <c r="B2982">
        <v>12635</v>
      </c>
      <c r="C2982" t="s">
        <v>24461</v>
      </c>
      <c r="E2982">
        <v>93</v>
      </c>
      <c r="F2982">
        <v>108</v>
      </c>
      <c r="G2982">
        <v>178</v>
      </c>
      <c r="T2982" t="s">
        <v>7605</v>
      </c>
    </row>
    <row r="2983" spans="2:20" x14ac:dyDescent="0.25">
      <c r="B2983">
        <v>12636</v>
      </c>
      <c r="C2983" t="s">
        <v>24462</v>
      </c>
      <c r="E2983">
        <v>93</v>
      </c>
      <c r="F2983">
        <v>108</v>
      </c>
      <c r="G2983">
        <v>178</v>
      </c>
      <c r="T2983" t="s">
        <v>7607</v>
      </c>
    </row>
    <row r="2984" spans="2:20" x14ac:dyDescent="0.25">
      <c r="B2984">
        <v>12637</v>
      </c>
      <c r="C2984" t="s">
        <v>24463</v>
      </c>
      <c r="E2984">
        <v>93</v>
      </c>
      <c r="F2984">
        <v>108</v>
      </c>
      <c r="G2984">
        <v>178</v>
      </c>
      <c r="T2984" t="s">
        <v>7609</v>
      </c>
    </row>
    <row r="2985" spans="2:20" x14ac:dyDescent="0.25">
      <c r="B2985">
        <v>266441717</v>
      </c>
      <c r="C2985" t="s">
        <v>24464</v>
      </c>
      <c r="E2985">
        <v>93</v>
      </c>
      <c r="F2985">
        <v>108</v>
      </c>
      <c r="G2985">
        <v>178</v>
      </c>
      <c r="R2985" t="s">
        <v>8535</v>
      </c>
    </row>
    <row r="2986" spans="2:20" x14ac:dyDescent="0.25">
      <c r="B2986">
        <v>12639</v>
      </c>
      <c r="C2986" t="s">
        <v>24465</v>
      </c>
      <c r="E2986">
        <v>93</v>
      </c>
      <c r="F2986">
        <v>108</v>
      </c>
      <c r="G2986">
        <v>178</v>
      </c>
      <c r="R2986" t="s">
        <v>7611</v>
      </c>
    </row>
    <row r="2987" spans="2:20" x14ac:dyDescent="0.25">
      <c r="B2987">
        <v>12640</v>
      </c>
      <c r="C2987" t="s">
        <v>24466</v>
      </c>
      <c r="E2987">
        <v>93</v>
      </c>
      <c r="F2987">
        <v>108</v>
      </c>
      <c r="G2987">
        <v>178</v>
      </c>
      <c r="R2987" t="s">
        <v>7613</v>
      </c>
    </row>
    <row r="2988" spans="2:20" x14ac:dyDescent="0.25">
      <c r="B2988">
        <v>12618</v>
      </c>
      <c r="C2988" t="s">
        <v>24467</v>
      </c>
      <c r="E2988">
        <v>175</v>
      </c>
      <c r="F2988">
        <v>182</v>
      </c>
      <c r="G2988">
        <v>214</v>
      </c>
      <c r="R2988" t="s">
        <v>3772</v>
      </c>
    </row>
    <row r="2989" spans="2:20" x14ac:dyDescent="0.25">
      <c r="B2989">
        <v>12619</v>
      </c>
      <c r="C2989" t="s">
        <v>24468</v>
      </c>
      <c r="E2989">
        <v>175</v>
      </c>
      <c r="F2989">
        <v>182</v>
      </c>
      <c r="G2989">
        <v>214</v>
      </c>
      <c r="S2989" t="s">
        <v>7585</v>
      </c>
    </row>
    <row r="2990" spans="2:20" x14ac:dyDescent="0.25">
      <c r="B2990">
        <v>12641</v>
      </c>
      <c r="C2990" t="s">
        <v>24469</v>
      </c>
      <c r="E2990">
        <v>131</v>
      </c>
      <c r="F2990">
        <v>139</v>
      </c>
      <c r="G2990">
        <v>193</v>
      </c>
      <c r="Q2990" t="s">
        <v>7615</v>
      </c>
    </row>
    <row r="2991" spans="2:20" x14ac:dyDescent="0.25">
      <c r="B2991">
        <v>12642</v>
      </c>
      <c r="C2991" t="s">
        <v>24470</v>
      </c>
      <c r="E2991">
        <v>114</v>
      </c>
      <c r="F2991">
        <v>124</v>
      </c>
      <c r="G2991">
        <v>182</v>
      </c>
      <c r="R2991" t="s">
        <v>3355</v>
      </c>
    </row>
    <row r="2992" spans="2:20" x14ac:dyDescent="0.25">
      <c r="B2992">
        <v>12643</v>
      </c>
      <c r="C2992" t="s">
        <v>24471</v>
      </c>
      <c r="E2992">
        <v>114</v>
      </c>
      <c r="F2992">
        <v>124</v>
      </c>
      <c r="G2992">
        <v>182</v>
      </c>
      <c r="R2992" t="s">
        <v>3361</v>
      </c>
    </row>
    <row r="2993" spans="2:18" x14ac:dyDescent="0.25">
      <c r="B2993">
        <v>12644</v>
      </c>
      <c r="C2993" t="s">
        <v>15314</v>
      </c>
      <c r="E2993">
        <v>114</v>
      </c>
      <c r="F2993">
        <v>124</v>
      </c>
      <c r="G2993">
        <v>182</v>
      </c>
      <c r="R2993" t="s">
        <v>3367</v>
      </c>
    </row>
    <row r="2994" spans="2:18" x14ac:dyDescent="0.25">
      <c r="B2994">
        <v>146034978</v>
      </c>
      <c r="C2994" t="s">
        <v>24472</v>
      </c>
      <c r="E2994">
        <v>114</v>
      </c>
      <c r="F2994">
        <v>124</v>
      </c>
      <c r="G2994">
        <v>182</v>
      </c>
      <c r="R2994" t="s">
        <v>8267</v>
      </c>
    </row>
    <row r="2995" spans="2:18" x14ac:dyDescent="0.25">
      <c r="B2995">
        <v>12645</v>
      </c>
      <c r="C2995" t="s">
        <v>24473</v>
      </c>
      <c r="E2995">
        <v>151</v>
      </c>
      <c r="F2995">
        <v>158</v>
      </c>
      <c r="G2995">
        <v>203</v>
      </c>
      <c r="Q2995" t="s">
        <v>7617</v>
      </c>
    </row>
    <row r="2996" spans="2:18" x14ac:dyDescent="0.25">
      <c r="B2996">
        <v>15560</v>
      </c>
      <c r="C2996" t="s">
        <v>24474</v>
      </c>
      <c r="E2996">
        <v>114</v>
      </c>
      <c r="F2996">
        <v>124</v>
      </c>
      <c r="G2996">
        <v>182</v>
      </c>
      <c r="R2996" t="s">
        <v>8345</v>
      </c>
    </row>
    <row r="2997" spans="2:18" x14ac:dyDescent="0.25">
      <c r="B2997">
        <v>146034982</v>
      </c>
      <c r="C2997" t="s">
        <v>24475</v>
      </c>
      <c r="E2997">
        <v>114</v>
      </c>
      <c r="F2997">
        <v>124</v>
      </c>
      <c r="G2997">
        <v>182</v>
      </c>
      <c r="R2997" t="s">
        <v>8269</v>
      </c>
    </row>
    <row r="2998" spans="2:18" x14ac:dyDescent="0.25">
      <c r="B2998">
        <v>12646</v>
      </c>
      <c r="C2998" t="s">
        <v>24476</v>
      </c>
      <c r="E2998">
        <v>114</v>
      </c>
      <c r="F2998">
        <v>124</v>
      </c>
      <c r="G2998">
        <v>182</v>
      </c>
      <c r="R2998" t="s">
        <v>7619</v>
      </c>
    </row>
    <row r="2999" spans="2:18" x14ac:dyDescent="0.25">
      <c r="B2999">
        <v>12647</v>
      </c>
      <c r="C2999" t="s">
        <v>24477</v>
      </c>
      <c r="E2999">
        <v>114</v>
      </c>
      <c r="F2999">
        <v>124</v>
      </c>
      <c r="G2999">
        <v>182</v>
      </c>
      <c r="R2999" t="s">
        <v>4469</v>
      </c>
    </row>
    <row r="3000" spans="2:18" x14ac:dyDescent="0.25">
      <c r="B3000">
        <v>146034986</v>
      </c>
      <c r="C3000" t="s">
        <v>24478</v>
      </c>
      <c r="E3000">
        <v>93</v>
      </c>
      <c r="F3000">
        <v>108</v>
      </c>
      <c r="G3000">
        <v>178</v>
      </c>
      <c r="R3000" t="s">
        <v>935</v>
      </c>
    </row>
    <row r="3001" spans="2:18" x14ac:dyDescent="0.25">
      <c r="B3001">
        <v>15561</v>
      </c>
      <c r="C3001" t="s">
        <v>24479</v>
      </c>
      <c r="E3001">
        <v>114</v>
      </c>
      <c r="F3001">
        <v>124</v>
      </c>
      <c r="G3001">
        <v>182</v>
      </c>
      <c r="R3001" t="s">
        <v>1584</v>
      </c>
    </row>
    <row r="3002" spans="2:18" x14ac:dyDescent="0.25">
      <c r="B3002">
        <v>146034990</v>
      </c>
      <c r="C3002" t="s">
        <v>24480</v>
      </c>
      <c r="E3002">
        <v>114</v>
      </c>
      <c r="F3002">
        <v>124</v>
      </c>
      <c r="G3002">
        <v>182</v>
      </c>
      <c r="R3002" t="s">
        <v>8271</v>
      </c>
    </row>
    <row r="3003" spans="2:18" x14ac:dyDescent="0.25">
      <c r="B3003">
        <v>12648</v>
      </c>
      <c r="C3003" t="s">
        <v>24481</v>
      </c>
      <c r="E3003">
        <v>114</v>
      </c>
      <c r="F3003">
        <v>124</v>
      </c>
      <c r="G3003">
        <v>182</v>
      </c>
      <c r="R3003" t="s">
        <v>1754</v>
      </c>
    </row>
    <row r="3004" spans="2:18" x14ac:dyDescent="0.25">
      <c r="B3004">
        <v>12649</v>
      </c>
      <c r="C3004" t="s">
        <v>24482</v>
      </c>
      <c r="E3004">
        <v>114</v>
      </c>
      <c r="F3004">
        <v>124</v>
      </c>
      <c r="G3004">
        <v>182</v>
      </c>
      <c r="R3004" t="s">
        <v>1772</v>
      </c>
    </row>
    <row r="3005" spans="2:18" x14ac:dyDescent="0.25">
      <c r="B3005">
        <v>12650</v>
      </c>
      <c r="C3005" t="s">
        <v>24483</v>
      </c>
      <c r="E3005">
        <v>114</v>
      </c>
      <c r="F3005">
        <v>124</v>
      </c>
      <c r="G3005">
        <v>182</v>
      </c>
      <c r="R3005" t="s">
        <v>7621</v>
      </c>
    </row>
    <row r="3006" spans="2:18" x14ac:dyDescent="0.25">
      <c r="B3006">
        <v>146034994</v>
      </c>
      <c r="C3006" t="s">
        <v>18331</v>
      </c>
      <c r="E3006">
        <v>114</v>
      </c>
      <c r="F3006">
        <v>124</v>
      </c>
      <c r="G3006">
        <v>182</v>
      </c>
      <c r="R3006" t="s">
        <v>8273</v>
      </c>
    </row>
    <row r="3007" spans="2:18" x14ac:dyDescent="0.25">
      <c r="B3007">
        <v>146034998</v>
      </c>
      <c r="C3007" t="s">
        <v>24484</v>
      </c>
      <c r="E3007">
        <v>114</v>
      </c>
      <c r="F3007">
        <v>124</v>
      </c>
      <c r="G3007">
        <v>182</v>
      </c>
      <c r="R3007" t="s">
        <v>8275</v>
      </c>
    </row>
    <row r="3008" spans="2:18" x14ac:dyDescent="0.25">
      <c r="B3008">
        <v>12651</v>
      </c>
      <c r="C3008" t="s">
        <v>24485</v>
      </c>
      <c r="E3008">
        <v>114</v>
      </c>
      <c r="F3008">
        <v>124</v>
      </c>
      <c r="G3008">
        <v>182</v>
      </c>
      <c r="R3008" t="s">
        <v>7623</v>
      </c>
    </row>
    <row r="3009" spans="2:18" x14ac:dyDescent="0.25">
      <c r="B3009">
        <v>12652</v>
      </c>
      <c r="C3009" t="s">
        <v>24486</v>
      </c>
      <c r="E3009">
        <v>114</v>
      </c>
      <c r="F3009">
        <v>124</v>
      </c>
      <c r="G3009">
        <v>182</v>
      </c>
      <c r="R3009" t="s">
        <v>7625</v>
      </c>
    </row>
    <row r="3010" spans="2:18" x14ac:dyDescent="0.25">
      <c r="B3010">
        <v>12653</v>
      </c>
      <c r="C3010" t="s">
        <v>1177</v>
      </c>
      <c r="E3010">
        <v>114</v>
      </c>
      <c r="F3010">
        <v>124</v>
      </c>
      <c r="G3010">
        <v>182</v>
      </c>
      <c r="R3010" t="s">
        <v>511</v>
      </c>
    </row>
    <row r="3011" spans="2:18" x14ac:dyDescent="0.25">
      <c r="B3011">
        <v>12654</v>
      </c>
      <c r="C3011" t="s">
        <v>24487</v>
      </c>
      <c r="E3011">
        <v>93</v>
      </c>
      <c r="F3011">
        <v>108</v>
      </c>
      <c r="G3011">
        <v>178</v>
      </c>
      <c r="R3011" t="s">
        <v>7627</v>
      </c>
    </row>
    <row r="3012" spans="2:18" x14ac:dyDescent="0.25">
      <c r="B3012">
        <v>12655</v>
      </c>
      <c r="C3012" t="s">
        <v>24488</v>
      </c>
      <c r="E3012">
        <v>114</v>
      </c>
      <c r="F3012">
        <v>124</v>
      </c>
      <c r="G3012">
        <v>182</v>
      </c>
      <c r="R3012" t="s">
        <v>7629</v>
      </c>
    </row>
    <row r="3013" spans="2:18" x14ac:dyDescent="0.25">
      <c r="B3013">
        <v>12656</v>
      </c>
      <c r="C3013" t="s">
        <v>20445</v>
      </c>
      <c r="E3013">
        <v>114</v>
      </c>
      <c r="F3013">
        <v>124</v>
      </c>
      <c r="G3013">
        <v>182</v>
      </c>
      <c r="R3013" t="s">
        <v>3629</v>
      </c>
    </row>
    <row r="3014" spans="2:18" x14ac:dyDescent="0.25">
      <c r="B3014">
        <v>12657</v>
      </c>
      <c r="C3014" t="s">
        <v>24489</v>
      </c>
      <c r="E3014">
        <v>114</v>
      </c>
      <c r="F3014">
        <v>124</v>
      </c>
      <c r="G3014">
        <v>182</v>
      </c>
      <c r="R3014" t="s">
        <v>7631</v>
      </c>
    </row>
    <row r="3015" spans="2:18" x14ac:dyDescent="0.25">
      <c r="B3015">
        <v>12658</v>
      </c>
      <c r="C3015" t="s">
        <v>24490</v>
      </c>
      <c r="E3015">
        <v>114</v>
      </c>
      <c r="F3015">
        <v>124</v>
      </c>
      <c r="G3015">
        <v>182</v>
      </c>
      <c r="R3015" t="s">
        <v>3818</v>
      </c>
    </row>
    <row r="3016" spans="2:18" x14ac:dyDescent="0.25">
      <c r="B3016">
        <v>12659</v>
      </c>
      <c r="C3016" t="s">
        <v>24491</v>
      </c>
      <c r="E3016">
        <v>114</v>
      </c>
      <c r="F3016">
        <v>124</v>
      </c>
      <c r="G3016">
        <v>182</v>
      </c>
      <c r="R3016" t="s">
        <v>4054</v>
      </c>
    </row>
    <row r="3017" spans="2:18" x14ac:dyDescent="0.25">
      <c r="B3017">
        <v>12660</v>
      </c>
      <c r="C3017" t="s">
        <v>20273</v>
      </c>
      <c r="E3017">
        <v>114</v>
      </c>
      <c r="F3017">
        <v>124</v>
      </c>
      <c r="G3017">
        <v>182</v>
      </c>
      <c r="R3017" t="s">
        <v>7633</v>
      </c>
    </row>
    <row r="3018" spans="2:18" x14ac:dyDescent="0.25">
      <c r="B3018">
        <v>12661</v>
      </c>
      <c r="C3018" t="s">
        <v>18716</v>
      </c>
      <c r="E3018">
        <v>93</v>
      </c>
      <c r="F3018">
        <v>108</v>
      </c>
      <c r="G3018">
        <v>178</v>
      </c>
      <c r="R3018" t="s">
        <v>7635</v>
      </c>
    </row>
    <row r="3019" spans="2:18" x14ac:dyDescent="0.25">
      <c r="B3019">
        <v>12663</v>
      </c>
      <c r="C3019" t="s">
        <v>24492</v>
      </c>
      <c r="E3019">
        <v>114</v>
      </c>
      <c r="F3019">
        <v>124</v>
      </c>
      <c r="G3019">
        <v>182</v>
      </c>
      <c r="R3019" t="s">
        <v>7639</v>
      </c>
    </row>
    <row r="3020" spans="2:18" x14ac:dyDescent="0.25">
      <c r="B3020">
        <v>10663</v>
      </c>
      <c r="C3020" t="s">
        <v>24493</v>
      </c>
      <c r="E3020">
        <v>175</v>
      </c>
      <c r="F3020">
        <v>148</v>
      </c>
      <c r="G3020">
        <v>147</v>
      </c>
      <c r="O3020" t="s">
        <v>5403</v>
      </c>
    </row>
    <row r="3021" spans="2:18" x14ac:dyDescent="0.25">
      <c r="B3021">
        <v>13345</v>
      </c>
      <c r="C3021" t="s">
        <v>24494</v>
      </c>
      <c r="E3021">
        <v>205</v>
      </c>
      <c r="F3021">
        <v>186</v>
      </c>
      <c r="G3021">
        <v>186</v>
      </c>
      <c r="P3021" t="s">
        <v>8102</v>
      </c>
    </row>
    <row r="3022" spans="2:18" x14ac:dyDescent="0.25">
      <c r="B3022">
        <v>13346</v>
      </c>
      <c r="C3022" t="s">
        <v>24495</v>
      </c>
      <c r="E3022">
        <v>198</v>
      </c>
      <c r="F3022">
        <v>178</v>
      </c>
      <c r="G3022">
        <v>177</v>
      </c>
      <c r="Q3022" t="s">
        <v>8104</v>
      </c>
    </row>
    <row r="3023" spans="2:18" x14ac:dyDescent="0.25">
      <c r="B3023">
        <v>13347</v>
      </c>
      <c r="C3023" t="s">
        <v>24496</v>
      </c>
      <c r="E3023">
        <v>167</v>
      </c>
      <c r="F3023">
        <v>141</v>
      </c>
      <c r="G3023">
        <v>141</v>
      </c>
      <c r="R3023" t="s">
        <v>8106</v>
      </c>
    </row>
    <row r="3024" spans="2:18" x14ac:dyDescent="0.25">
      <c r="B3024">
        <v>13348</v>
      </c>
      <c r="C3024" t="s">
        <v>24497</v>
      </c>
      <c r="E3024">
        <v>227</v>
      </c>
      <c r="F3024">
        <v>214</v>
      </c>
      <c r="G3024">
        <v>215</v>
      </c>
      <c r="R3024" t="s">
        <v>8108</v>
      </c>
    </row>
    <row r="3025" spans="2:19" x14ac:dyDescent="0.25">
      <c r="B3025">
        <v>13349</v>
      </c>
      <c r="C3025" t="s">
        <v>24498</v>
      </c>
      <c r="E3025">
        <v>182</v>
      </c>
      <c r="F3025">
        <v>158</v>
      </c>
      <c r="G3025">
        <v>158</v>
      </c>
      <c r="R3025" t="s">
        <v>8110</v>
      </c>
    </row>
    <row r="3026" spans="2:19" x14ac:dyDescent="0.25">
      <c r="B3026">
        <v>13350</v>
      </c>
      <c r="C3026" t="s">
        <v>24499</v>
      </c>
      <c r="E3026">
        <v>156</v>
      </c>
      <c r="F3026">
        <v>131</v>
      </c>
      <c r="G3026">
        <v>131</v>
      </c>
      <c r="R3026" t="s">
        <v>8112</v>
      </c>
    </row>
    <row r="3027" spans="2:19" x14ac:dyDescent="0.25">
      <c r="B3027">
        <v>13351</v>
      </c>
      <c r="C3027" t="s">
        <v>24500</v>
      </c>
      <c r="E3027">
        <v>175</v>
      </c>
      <c r="F3027">
        <v>158</v>
      </c>
      <c r="G3027">
        <v>158</v>
      </c>
      <c r="S3027" t="s">
        <v>8114</v>
      </c>
    </row>
    <row r="3028" spans="2:19" x14ac:dyDescent="0.25">
      <c r="B3028">
        <v>13352</v>
      </c>
      <c r="C3028" t="s">
        <v>24501</v>
      </c>
      <c r="E3028">
        <v>223</v>
      </c>
      <c r="F3028">
        <v>206</v>
      </c>
      <c r="G3028">
        <v>206</v>
      </c>
      <c r="S3028" t="s">
        <v>8116</v>
      </c>
    </row>
    <row r="3029" spans="2:19" x14ac:dyDescent="0.25">
      <c r="B3029">
        <v>13353</v>
      </c>
      <c r="C3029" t="s">
        <v>24502</v>
      </c>
      <c r="E3029">
        <v>167</v>
      </c>
      <c r="F3029">
        <v>141</v>
      </c>
      <c r="G3029">
        <v>141</v>
      </c>
      <c r="R3029" t="s">
        <v>8118</v>
      </c>
    </row>
    <row r="3030" spans="2:19" x14ac:dyDescent="0.25">
      <c r="B3030">
        <v>13354</v>
      </c>
      <c r="C3030" t="s">
        <v>24503</v>
      </c>
      <c r="E3030">
        <v>182</v>
      </c>
      <c r="F3030">
        <v>158</v>
      </c>
      <c r="G3030">
        <v>158</v>
      </c>
      <c r="Q3030" t="s">
        <v>8120</v>
      </c>
    </row>
    <row r="3031" spans="2:19" x14ac:dyDescent="0.25">
      <c r="B3031">
        <v>13355</v>
      </c>
      <c r="C3031" t="s">
        <v>24504</v>
      </c>
      <c r="E3031">
        <v>147</v>
      </c>
      <c r="F3031">
        <v>123</v>
      </c>
      <c r="G3031">
        <v>124</v>
      </c>
      <c r="R3031" t="s">
        <v>8122</v>
      </c>
    </row>
    <row r="3032" spans="2:19" x14ac:dyDescent="0.25">
      <c r="B3032">
        <v>13356</v>
      </c>
      <c r="C3032" t="s">
        <v>24505</v>
      </c>
      <c r="E3032">
        <v>227</v>
      </c>
      <c r="F3032">
        <v>214</v>
      </c>
      <c r="G3032">
        <v>215</v>
      </c>
      <c r="R3032" t="s">
        <v>8124</v>
      </c>
    </row>
    <row r="3033" spans="2:19" x14ac:dyDescent="0.25">
      <c r="B3033">
        <v>13357</v>
      </c>
      <c r="C3033" t="s">
        <v>24506</v>
      </c>
      <c r="E3033">
        <v>167</v>
      </c>
      <c r="F3033">
        <v>141</v>
      </c>
      <c r="G3033">
        <v>141</v>
      </c>
      <c r="R3033" t="s">
        <v>8126</v>
      </c>
    </row>
    <row r="3034" spans="2:19" x14ac:dyDescent="0.25">
      <c r="B3034">
        <v>13358</v>
      </c>
      <c r="C3034" t="s">
        <v>24507</v>
      </c>
      <c r="E3034">
        <v>140</v>
      </c>
      <c r="F3034">
        <v>115</v>
      </c>
      <c r="G3034">
        <v>115</v>
      </c>
      <c r="R3034" t="s">
        <v>8128</v>
      </c>
    </row>
    <row r="3035" spans="2:19" x14ac:dyDescent="0.25">
      <c r="B3035">
        <v>13359</v>
      </c>
      <c r="C3035" t="s">
        <v>24508</v>
      </c>
      <c r="E3035">
        <v>156</v>
      </c>
      <c r="F3035">
        <v>131</v>
      </c>
      <c r="G3035">
        <v>131</v>
      </c>
      <c r="S3035" t="s">
        <v>8130</v>
      </c>
    </row>
    <row r="3036" spans="2:19" x14ac:dyDescent="0.25">
      <c r="B3036">
        <v>13360</v>
      </c>
      <c r="C3036" t="s">
        <v>24509</v>
      </c>
      <c r="E3036">
        <v>205</v>
      </c>
      <c r="F3036">
        <v>186</v>
      </c>
      <c r="G3036">
        <v>186</v>
      </c>
      <c r="S3036" t="s">
        <v>8132</v>
      </c>
    </row>
    <row r="3037" spans="2:19" x14ac:dyDescent="0.25">
      <c r="B3037">
        <v>13361</v>
      </c>
      <c r="C3037" t="s">
        <v>24510</v>
      </c>
      <c r="E3037">
        <v>147</v>
      </c>
      <c r="F3037">
        <v>123</v>
      </c>
      <c r="G3037">
        <v>124</v>
      </c>
      <c r="R3037" t="s">
        <v>8134</v>
      </c>
    </row>
    <row r="3038" spans="2:19" x14ac:dyDescent="0.25">
      <c r="B3038">
        <v>13362</v>
      </c>
      <c r="C3038" t="s">
        <v>24511</v>
      </c>
      <c r="E3038">
        <v>193</v>
      </c>
      <c r="F3038">
        <v>170</v>
      </c>
      <c r="G3038">
        <v>170</v>
      </c>
      <c r="Q3038" t="s">
        <v>8136</v>
      </c>
    </row>
    <row r="3039" spans="2:19" x14ac:dyDescent="0.25">
      <c r="B3039">
        <v>13363</v>
      </c>
      <c r="C3039" t="s">
        <v>24512</v>
      </c>
      <c r="E3039">
        <v>147</v>
      </c>
      <c r="F3039">
        <v>123</v>
      </c>
      <c r="G3039">
        <v>124</v>
      </c>
      <c r="R3039" t="s">
        <v>8138</v>
      </c>
    </row>
    <row r="3040" spans="2:19" x14ac:dyDescent="0.25">
      <c r="B3040">
        <v>13364</v>
      </c>
      <c r="C3040" t="s">
        <v>24513</v>
      </c>
      <c r="E3040">
        <v>227</v>
      </c>
      <c r="F3040">
        <v>214</v>
      </c>
      <c r="G3040">
        <v>215</v>
      </c>
      <c r="R3040" t="s">
        <v>8140</v>
      </c>
    </row>
    <row r="3041" spans="2:19" x14ac:dyDescent="0.25">
      <c r="B3041">
        <v>13365</v>
      </c>
      <c r="C3041" t="s">
        <v>24514</v>
      </c>
      <c r="E3041">
        <v>175</v>
      </c>
      <c r="F3041">
        <v>158</v>
      </c>
      <c r="G3041">
        <v>158</v>
      </c>
      <c r="R3041" t="s">
        <v>8142</v>
      </c>
    </row>
    <row r="3042" spans="2:19" x14ac:dyDescent="0.25">
      <c r="B3042">
        <v>13366</v>
      </c>
      <c r="C3042" t="s">
        <v>24515</v>
      </c>
      <c r="E3042">
        <v>129</v>
      </c>
      <c r="F3042">
        <v>105</v>
      </c>
      <c r="G3042">
        <v>107</v>
      </c>
      <c r="R3042" t="s">
        <v>8144</v>
      </c>
    </row>
    <row r="3043" spans="2:19" x14ac:dyDescent="0.25">
      <c r="B3043">
        <v>13367</v>
      </c>
      <c r="C3043" t="s">
        <v>24516</v>
      </c>
      <c r="E3043">
        <v>147</v>
      </c>
      <c r="F3043">
        <v>123</v>
      </c>
      <c r="G3043">
        <v>124</v>
      </c>
      <c r="S3043" t="s">
        <v>8146</v>
      </c>
    </row>
    <row r="3044" spans="2:19" x14ac:dyDescent="0.25">
      <c r="B3044">
        <v>13368</v>
      </c>
      <c r="C3044" t="s">
        <v>24517</v>
      </c>
      <c r="E3044">
        <v>212</v>
      </c>
      <c r="F3044">
        <v>196</v>
      </c>
      <c r="G3044">
        <v>195</v>
      </c>
      <c r="S3044" t="s">
        <v>8148</v>
      </c>
    </row>
    <row r="3045" spans="2:19" x14ac:dyDescent="0.25">
      <c r="B3045">
        <v>13369</v>
      </c>
      <c r="C3045" t="s">
        <v>24518</v>
      </c>
      <c r="E3045">
        <v>147</v>
      </c>
      <c r="F3045">
        <v>123</v>
      </c>
      <c r="G3045">
        <v>124</v>
      </c>
      <c r="R3045" t="s">
        <v>8150</v>
      </c>
    </row>
    <row r="3046" spans="2:19" x14ac:dyDescent="0.25">
      <c r="B3046">
        <v>13370</v>
      </c>
      <c r="C3046" t="s">
        <v>24519</v>
      </c>
      <c r="E3046">
        <v>167</v>
      </c>
      <c r="F3046">
        <v>141</v>
      </c>
      <c r="G3046">
        <v>141</v>
      </c>
      <c r="Q3046" t="s">
        <v>8152</v>
      </c>
    </row>
    <row r="3047" spans="2:19" x14ac:dyDescent="0.25">
      <c r="B3047">
        <v>13371</v>
      </c>
      <c r="C3047" t="s">
        <v>24520</v>
      </c>
      <c r="E3047">
        <v>129</v>
      </c>
      <c r="F3047">
        <v>105</v>
      </c>
      <c r="G3047">
        <v>107</v>
      </c>
      <c r="R3047" t="s">
        <v>8154</v>
      </c>
    </row>
    <row r="3048" spans="2:19" x14ac:dyDescent="0.25">
      <c r="B3048">
        <v>13372</v>
      </c>
      <c r="C3048" t="s">
        <v>24521</v>
      </c>
      <c r="E3048">
        <v>227</v>
      </c>
      <c r="F3048">
        <v>214</v>
      </c>
      <c r="G3048">
        <v>215</v>
      </c>
      <c r="R3048" t="s">
        <v>8156</v>
      </c>
    </row>
    <row r="3049" spans="2:19" x14ac:dyDescent="0.25">
      <c r="B3049">
        <v>13373</v>
      </c>
      <c r="C3049" t="s">
        <v>24522</v>
      </c>
      <c r="E3049">
        <v>147</v>
      </c>
      <c r="F3049">
        <v>123</v>
      </c>
      <c r="G3049">
        <v>124</v>
      </c>
      <c r="R3049" t="s">
        <v>8158</v>
      </c>
    </row>
    <row r="3050" spans="2:19" x14ac:dyDescent="0.25">
      <c r="B3050">
        <v>13374</v>
      </c>
      <c r="C3050" t="s">
        <v>24523</v>
      </c>
      <c r="E3050">
        <v>119</v>
      </c>
      <c r="F3050">
        <v>95</v>
      </c>
      <c r="G3050">
        <v>95</v>
      </c>
      <c r="R3050" t="s">
        <v>8160</v>
      </c>
    </row>
    <row r="3051" spans="2:19" x14ac:dyDescent="0.25">
      <c r="B3051">
        <v>13375</v>
      </c>
      <c r="C3051" t="s">
        <v>24524</v>
      </c>
      <c r="E3051">
        <v>140</v>
      </c>
      <c r="F3051">
        <v>115</v>
      </c>
      <c r="G3051">
        <v>115</v>
      </c>
      <c r="S3051" t="s">
        <v>8162</v>
      </c>
    </row>
    <row r="3052" spans="2:19" x14ac:dyDescent="0.25">
      <c r="B3052">
        <v>13376</v>
      </c>
      <c r="C3052" t="s">
        <v>24525</v>
      </c>
      <c r="E3052">
        <v>193</v>
      </c>
      <c r="F3052">
        <v>170</v>
      </c>
      <c r="G3052">
        <v>170</v>
      </c>
      <c r="S3052" t="s">
        <v>8164</v>
      </c>
    </row>
    <row r="3053" spans="2:19" x14ac:dyDescent="0.25">
      <c r="B3053">
        <v>13377</v>
      </c>
      <c r="C3053" t="s">
        <v>24526</v>
      </c>
      <c r="E3053">
        <v>129</v>
      </c>
      <c r="F3053">
        <v>105</v>
      </c>
      <c r="G3053">
        <v>107</v>
      </c>
      <c r="R3053" t="s">
        <v>8166</v>
      </c>
    </row>
    <row r="3054" spans="2:19" x14ac:dyDescent="0.25">
      <c r="B3054">
        <v>13378</v>
      </c>
      <c r="C3054" t="s">
        <v>24527</v>
      </c>
      <c r="E3054">
        <v>227</v>
      </c>
      <c r="F3054">
        <v>214</v>
      </c>
      <c r="G3054">
        <v>215</v>
      </c>
      <c r="P3054" t="s">
        <v>8168</v>
      </c>
    </row>
    <row r="3055" spans="2:19" x14ac:dyDescent="0.25">
      <c r="B3055">
        <v>12698</v>
      </c>
      <c r="C3055" t="s">
        <v>24528</v>
      </c>
      <c r="E3055">
        <v>167</v>
      </c>
      <c r="F3055">
        <v>141</v>
      </c>
      <c r="G3055">
        <v>141</v>
      </c>
      <c r="P3055" t="s">
        <v>1042</v>
      </c>
    </row>
    <row r="3056" spans="2:19" x14ac:dyDescent="0.25">
      <c r="B3056">
        <v>12701</v>
      </c>
      <c r="C3056" t="s">
        <v>24529</v>
      </c>
      <c r="E3056">
        <v>175</v>
      </c>
      <c r="F3056">
        <v>148</v>
      </c>
      <c r="G3056">
        <v>147</v>
      </c>
      <c r="Q3056" t="s">
        <v>7689</v>
      </c>
    </row>
    <row r="3057" spans="2:18" x14ac:dyDescent="0.25">
      <c r="B3057">
        <v>12700</v>
      </c>
      <c r="C3057" t="s">
        <v>24530</v>
      </c>
      <c r="E3057">
        <v>156</v>
      </c>
      <c r="F3057">
        <v>131</v>
      </c>
      <c r="G3057">
        <v>131</v>
      </c>
      <c r="Q3057" t="s">
        <v>7687</v>
      </c>
    </row>
    <row r="3058" spans="2:18" x14ac:dyDescent="0.25">
      <c r="B3058">
        <v>12981</v>
      </c>
      <c r="C3058" t="s">
        <v>24531</v>
      </c>
      <c r="E3058">
        <v>156</v>
      </c>
      <c r="F3058">
        <v>131</v>
      </c>
      <c r="G3058">
        <v>131</v>
      </c>
      <c r="R3058" t="s">
        <v>7918</v>
      </c>
    </row>
    <row r="3059" spans="2:18" x14ac:dyDescent="0.25">
      <c r="B3059">
        <v>12982</v>
      </c>
      <c r="C3059" t="s">
        <v>24532</v>
      </c>
      <c r="E3059">
        <v>156</v>
      </c>
      <c r="F3059">
        <v>131</v>
      </c>
      <c r="G3059">
        <v>131</v>
      </c>
      <c r="R3059" t="s">
        <v>7920</v>
      </c>
    </row>
    <row r="3060" spans="2:18" x14ac:dyDescent="0.25">
      <c r="B3060">
        <v>12699</v>
      </c>
      <c r="C3060" t="s">
        <v>24533</v>
      </c>
      <c r="E3060">
        <v>119</v>
      </c>
      <c r="F3060">
        <v>95</v>
      </c>
      <c r="G3060">
        <v>95</v>
      </c>
      <c r="Q3060" t="s">
        <v>7685</v>
      </c>
    </row>
    <row r="3061" spans="2:18" x14ac:dyDescent="0.25">
      <c r="B3061">
        <v>12716</v>
      </c>
      <c r="C3061" t="s">
        <v>24534</v>
      </c>
      <c r="E3061">
        <v>129</v>
      </c>
      <c r="F3061">
        <v>105</v>
      </c>
      <c r="G3061">
        <v>107</v>
      </c>
      <c r="P3061" t="s">
        <v>7719</v>
      </c>
    </row>
    <row r="3062" spans="2:18" x14ac:dyDescent="0.25">
      <c r="B3062">
        <v>12717</v>
      </c>
      <c r="C3062" t="s">
        <v>24535</v>
      </c>
      <c r="E3062">
        <v>129</v>
      </c>
      <c r="F3062">
        <v>105</v>
      </c>
      <c r="G3062">
        <v>107</v>
      </c>
      <c r="Q3062" t="s">
        <v>7721</v>
      </c>
    </row>
    <row r="3063" spans="2:18" x14ac:dyDescent="0.25">
      <c r="B3063">
        <v>12718</v>
      </c>
      <c r="C3063" t="s">
        <v>24536</v>
      </c>
      <c r="E3063">
        <v>129</v>
      </c>
      <c r="F3063">
        <v>105</v>
      </c>
      <c r="G3063">
        <v>107</v>
      </c>
      <c r="Q3063" t="s">
        <v>7723</v>
      </c>
    </row>
    <row r="3064" spans="2:18" x14ac:dyDescent="0.25">
      <c r="B3064">
        <v>12664</v>
      </c>
      <c r="C3064" t="s">
        <v>24537</v>
      </c>
      <c r="E3064">
        <v>167</v>
      </c>
      <c r="F3064">
        <v>141</v>
      </c>
      <c r="G3064">
        <v>141</v>
      </c>
      <c r="P3064" t="s">
        <v>4764</v>
      </c>
    </row>
    <row r="3065" spans="2:18" x14ac:dyDescent="0.25">
      <c r="B3065">
        <v>12665</v>
      </c>
      <c r="C3065" t="s">
        <v>24538</v>
      </c>
      <c r="E3065">
        <v>140</v>
      </c>
      <c r="F3065">
        <v>115</v>
      </c>
      <c r="G3065">
        <v>115</v>
      </c>
      <c r="Q3065" t="s">
        <v>7641</v>
      </c>
    </row>
    <row r="3066" spans="2:18" x14ac:dyDescent="0.25">
      <c r="B3066">
        <v>12666</v>
      </c>
      <c r="C3066" t="s">
        <v>24539</v>
      </c>
      <c r="E3066">
        <v>140</v>
      </c>
      <c r="F3066">
        <v>115</v>
      </c>
      <c r="G3066">
        <v>115</v>
      </c>
      <c r="Q3066" t="s">
        <v>7643</v>
      </c>
    </row>
    <row r="3067" spans="2:18" x14ac:dyDescent="0.25">
      <c r="B3067">
        <v>12667</v>
      </c>
      <c r="C3067" t="s">
        <v>24540</v>
      </c>
      <c r="E3067">
        <v>140</v>
      </c>
      <c r="F3067">
        <v>115</v>
      </c>
      <c r="G3067">
        <v>115</v>
      </c>
      <c r="R3067" t="s">
        <v>4767</v>
      </c>
    </row>
    <row r="3068" spans="2:18" x14ac:dyDescent="0.25">
      <c r="B3068">
        <v>12668</v>
      </c>
      <c r="C3068" t="s">
        <v>24541</v>
      </c>
      <c r="E3068">
        <v>140</v>
      </c>
      <c r="F3068">
        <v>115</v>
      </c>
      <c r="G3068">
        <v>115</v>
      </c>
      <c r="R3068" t="s">
        <v>4783</v>
      </c>
    </row>
    <row r="3069" spans="2:18" x14ac:dyDescent="0.25">
      <c r="B3069">
        <v>12669</v>
      </c>
      <c r="C3069" t="s">
        <v>24542</v>
      </c>
      <c r="E3069">
        <v>140</v>
      </c>
      <c r="F3069">
        <v>115</v>
      </c>
      <c r="G3069">
        <v>115</v>
      </c>
      <c r="R3069" t="s">
        <v>4793</v>
      </c>
    </row>
    <row r="3070" spans="2:18" x14ac:dyDescent="0.25">
      <c r="B3070">
        <v>12670</v>
      </c>
      <c r="C3070" t="s">
        <v>24543</v>
      </c>
      <c r="E3070">
        <v>140</v>
      </c>
      <c r="F3070">
        <v>115</v>
      </c>
      <c r="G3070">
        <v>115</v>
      </c>
      <c r="Q3070" t="s">
        <v>7645</v>
      </c>
    </row>
    <row r="3071" spans="2:18" x14ac:dyDescent="0.25">
      <c r="B3071">
        <v>12671</v>
      </c>
      <c r="C3071" t="s">
        <v>24544</v>
      </c>
      <c r="E3071">
        <v>140</v>
      </c>
      <c r="F3071">
        <v>115</v>
      </c>
      <c r="G3071">
        <v>115</v>
      </c>
      <c r="R3071" t="s">
        <v>4803</v>
      </c>
    </row>
    <row r="3072" spans="2:18" x14ac:dyDescent="0.25">
      <c r="B3072">
        <v>12672</v>
      </c>
      <c r="C3072" t="s">
        <v>24545</v>
      </c>
      <c r="E3072">
        <v>140</v>
      </c>
      <c r="F3072">
        <v>115</v>
      </c>
      <c r="G3072">
        <v>115</v>
      </c>
      <c r="Q3072" t="s">
        <v>7647</v>
      </c>
    </row>
    <row r="3073" spans="2:18" x14ac:dyDescent="0.25">
      <c r="B3073">
        <v>12673</v>
      </c>
      <c r="C3073" t="s">
        <v>24546</v>
      </c>
      <c r="E3073">
        <v>140</v>
      </c>
      <c r="F3073">
        <v>115</v>
      </c>
      <c r="G3073">
        <v>115</v>
      </c>
      <c r="R3073" t="s">
        <v>4813</v>
      </c>
    </row>
    <row r="3074" spans="2:18" x14ac:dyDescent="0.25">
      <c r="B3074">
        <v>12674</v>
      </c>
      <c r="C3074" t="s">
        <v>24547</v>
      </c>
      <c r="E3074">
        <v>140</v>
      </c>
      <c r="F3074">
        <v>115</v>
      </c>
      <c r="G3074">
        <v>115</v>
      </c>
      <c r="R3074" t="s">
        <v>4823</v>
      </c>
    </row>
    <row r="3075" spans="2:18" x14ac:dyDescent="0.25">
      <c r="B3075">
        <v>12675</v>
      </c>
      <c r="C3075" t="s">
        <v>24548</v>
      </c>
      <c r="E3075">
        <v>140</v>
      </c>
      <c r="F3075">
        <v>115</v>
      </c>
      <c r="G3075">
        <v>115</v>
      </c>
      <c r="R3075" t="s">
        <v>4833</v>
      </c>
    </row>
    <row r="3076" spans="2:18" x14ac:dyDescent="0.25">
      <c r="B3076">
        <v>12676</v>
      </c>
      <c r="C3076" t="s">
        <v>24549</v>
      </c>
      <c r="E3076">
        <v>140</v>
      </c>
      <c r="F3076">
        <v>115</v>
      </c>
      <c r="G3076">
        <v>115</v>
      </c>
      <c r="Q3076" t="s">
        <v>7649</v>
      </c>
    </row>
    <row r="3077" spans="2:18" x14ac:dyDescent="0.25">
      <c r="B3077">
        <v>12677</v>
      </c>
      <c r="C3077" t="s">
        <v>24550</v>
      </c>
      <c r="E3077">
        <v>140</v>
      </c>
      <c r="F3077">
        <v>115</v>
      </c>
      <c r="G3077">
        <v>115</v>
      </c>
      <c r="R3077" t="s">
        <v>4843</v>
      </c>
    </row>
    <row r="3078" spans="2:18" x14ac:dyDescent="0.25">
      <c r="B3078">
        <v>10664</v>
      </c>
      <c r="C3078" t="s">
        <v>24551</v>
      </c>
      <c r="E3078">
        <v>167</v>
      </c>
      <c r="F3078">
        <v>141</v>
      </c>
      <c r="G3078">
        <v>141</v>
      </c>
      <c r="P3078" t="s">
        <v>4756</v>
      </c>
    </row>
    <row r="3079" spans="2:18" x14ac:dyDescent="0.25">
      <c r="B3079">
        <v>10665</v>
      </c>
      <c r="C3079" t="s">
        <v>24552</v>
      </c>
      <c r="E3079">
        <v>167</v>
      </c>
      <c r="F3079">
        <v>141</v>
      </c>
      <c r="G3079">
        <v>141</v>
      </c>
      <c r="Q3079" t="s">
        <v>15020</v>
      </c>
    </row>
    <row r="3080" spans="2:18" x14ac:dyDescent="0.25">
      <c r="B3080">
        <v>12702</v>
      </c>
      <c r="C3080" t="s">
        <v>24553</v>
      </c>
      <c r="E3080">
        <v>167</v>
      </c>
      <c r="F3080">
        <v>141</v>
      </c>
      <c r="G3080">
        <v>141</v>
      </c>
      <c r="R3080" t="s">
        <v>7691</v>
      </c>
    </row>
    <row r="3081" spans="2:18" x14ac:dyDescent="0.25">
      <c r="B3081">
        <v>10666</v>
      </c>
      <c r="C3081" t="s">
        <v>24554</v>
      </c>
      <c r="E3081">
        <v>167</v>
      </c>
      <c r="F3081">
        <v>141</v>
      </c>
      <c r="G3081">
        <v>141</v>
      </c>
      <c r="Q3081" t="s">
        <v>2813</v>
      </c>
    </row>
    <row r="3082" spans="2:18" x14ac:dyDescent="0.25">
      <c r="B3082">
        <v>12703</v>
      </c>
      <c r="C3082" t="s">
        <v>24555</v>
      </c>
      <c r="E3082">
        <v>167</v>
      </c>
      <c r="F3082">
        <v>141</v>
      </c>
      <c r="G3082">
        <v>141</v>
      </c>
      <c r="R3082" t="s">
        <v>7693</v>
      </c>
    </row>
    <row r="3083" spans="2:18" x14ac:dyDescent="0.25">
      <c r="B3083">
        <v>10667</v>
      </c>
      <c r="C3083" t="s">
        <v>24556</v>
      </c>
      <c r="E3083">
        <v>167</v>
      </c>
      <c r="F3083">
        <v>141</v>
      </c>
      <c r="G3083">
        <v>141</v>
      </c>
      <c r="P3083" t="s">
        <v>5405</v>
      </c>
    </row>
    <row r="3084" spans="2:18" x14ac:dyDescent="0.25">
      <c r="B3084">
        <v>12704</v>
      </c>
      <c r="C3084" t="s">
        <v>24557</v>
      </c>
      <c r="E3084">
        <v>140</v>
      </c>
      <c r="F3084">
        <v>115</v>
      </c>
      <c r="G3084">
        <v>115</v>
      </c>
      <c r="Q3084" t="s">
        <v>7695</v>
      </c>
    </row>
    <row r="3085" spans="2:18" x14ac:dyDescent="0.25">
      <c r="B3085">
        <v>12705</v>
      </c>
      <c r="C3085" t="s">
        <v>24558</v>
      </c>
      <c r="E3085">
        <v>140</v>
      </c>
      <c r="F3085">
        <v>115</v>
      </c>
      <c r="G3085">
        <v>115</v>
      </c>
      <c r="Q3085" t="s">
        <v>7697</v>
      </c>
    </row>
    <row r="3086" spans="2:18" x14ac:dyDescent="0.25">
      <c r="B3086">
        <v>12706</v>
      </c>
      <c r="C3086" t="s">
        <v>24559</v>
      </c>
      <c r="E3086">
        <v>140</v>
      </c>
      <c r="F3086">
        <v>115</v>
      </c>
      <c r="G3086">
        <v>115</v>
      </c>
      <c r="Q3086" t="s">
        <v>7699</v>
      </c>
    </row>
    <row r="3087" spans="2:18" x14ac:dyDescent="0.25">
      <c r="B3087">
        <v>12707</v>
      </c>
      <c r="C3087" t="s">
        <v>24560</v>
      </c>
      <c r="E3087">
        <v>129</v>
      </c>
      <c r="F3087">
        <v>105</v>
      </c>
      <c r="G3087">
        <v>107</v>
      </c>
      <c r="P3087" t="s">
        <v>7701</v>
      </c>
    </row>
    <row r="3088" spans="2:18" x14ac:dyDescent="0.25">
      <c r="B3088">
        <v>12708</v>
      </c>
      <c r="C3088" t="s">
        <v>24561</v>
      </c>
      <c r="E3088">
        <v>129</v>
      </c>
      <c r="F3088">
        <v>105</v>
      </c>
      <c r="G3088">
        <v>107</v>
      </c>
      <c r="Q3088" t="s">
        <v>7703</v>
      </c>
    </row>
    <row r="3089" spans="2:17" x14ac:dyDescent="0.25">
      <c r="B3089">
        <v>12709</v>
      </c>
      <c r="C3089" t="s">
        <v>24562</v>
      </c>
      <c r="E3089">
        <v>129</v>
      </c>
      <c r="F3089">
        <v>105</v>
      </c>
      <c r="G3089">
        <v>107</v>
      </c>
      <c r="Q3089" t="s">
        <v>7705</v>
      </c>
    </row>
    <row r="3090" spans="2:17" x14ac:dyDescent="0.25">
      <c r="B3090">
        <v>12710</v>
      </c>
      <c r="C3090" t="s">
        <v>24563</v>
      </c>
      <c r="E3090">
        <v>129</v>
      </c>
      <c r="F3090">
        <v>105</v>
      </c>
      <c r="G3090">
        <v>107</v>
      </c>
      <c r="Q3090" t="s">
        <v>7707</v>
      </c>
    </row>
    <row r="3091" spans="2:17" x14ac:dyDescent="0.25">
      <c r="B3091">
        <v>12711</v>
      </c>
      <c r="C3091" t="s">
        <v>24564</v>
      </c>
      <c r="E3091">
        <v>129</v>
      </c>
      <c r="F3091">
        <v>105</v>
      </c>
      <c r="G3091">
        <v>107</v>
      </c>
      <c r="Q3091" t="s">
        <v>7709</v>
      </c>
    </row>
    <row r="3092" spans="2:17" x14ac:dyDescent="0.25">
      <c r="B3092">
        <v>12712</v>
      </c>
      <c r="C3092" t="s">
        <v>24565</v>
      </c>
      <c r="E3092">
        <v>129</v>
      </c>
      <c r="F3092">
        <v>105</v>
      </c>
      <c r="G3092">
        <v>107</v>
      </c>
      <c r="Q3092" t="s">
        <v>7711</v>
      </c>
    </row>
    <row r="3093" spans="2:17" x14ac:dyDescent="0.25">
      <c r="B3093">
        <v>12713</v>
      </c>
      <c r="C3093" t="s">
        <v>24566</v>
      </c>
      <c r="E3093">
        <v>129</v>
      </c>
      <c r="F3093">
        <v>105</v>
      </c>
      <c r="G3093">
        <v>107</v>
      </c>
      <c r="Q3093" t="s">
        <v>7713</v>
      </c>
    </row>
    <row r="3094" spans="2:17" x14ac:dyDescent="0.25">
      <c r="B3094">
        <v>12714</v>
      </c>
      <c r="C3094" t="s">
        <v>24567</v>
      </c>
      <c r="E3094">
        <v>129</v>
      </c>
      <c r="F3094">
        <v>105</v>
      </c>
      <c r="G3094">
        <v>107</v>
      </c>
      <c r="Q3094" t="s">
        <v>7715</v>
      </c>
    </row>
    <row r="3095" spans="2:17" x14ac:dyDescent="0.25">
      <c r="B3095">
        <v>12715</v>
      </c>
      <c r="C3095" t="s">
        <v>17388</v>
      </c>
      <c r="E3095">
        <v>129</v>
      </c>
      <c r="F3095">
        <v>105</v>
      </c>
      <c r="G3095">
        <v>107</v>
      </c>
      <c r="Q3095" t="s">
        <v>7717</v>
      </c>
    </row>
    <row r="3096" spans="2:17" x14ac:dyDescent="0.25">
      <c r="B3096">
        <v>12722</v>
      </c>
      <c r="C3096" t="s">
        <v>24568</v>
      </c>
      <c r="E3096">
        <v>167</v>
      </c>
      <c r="F3096">
        <v>141</v>
      </c>
      <c r="G3096">
        <v>141</v>
      </c>
      <c r="P3096" t="s">
        <v>7731</v>
      </c>
    </row>
    <row r="3097" spans="2:17" x14ac:dyDescent="0.25">
      <c r="B3097">
        <v>12723</v>
      </c>
      <c r="C3097" t="s">
        <v>24569</v>
      </c>
      <c r="E3097">
        <v>119</v>
      </c>
      <c r="F3097">
        <v>95</v>
      </c>
      <c r="G3097">
        <v>95</v>
      </c>
      <c r="Q3097" t="s">
        <v>7733</v>
      </c>
    </row>
    <row r="3098" spans="2:17" x14ac:dyDescent="0.25">
      <c r="B3098">
        <v>12724</v>
      </c>
      <c r="C3098" t="s">
        <v>24570</v>
      </c>
      <c r="E3098">
        <v>119</v>
      </c>
      <c r="F3098">
        <v>95</v>
      </c>
      <c r="G3098">
        <v>95</v>
      </c>
      <c r="Q3098" t="s">
        <v>7735</v>
      </c>
    </row>
    <row r="3099" spans="2:17" x14ac:dyDescent="0.25">
      <c r="B3099">
        <v>12725</v>
      </c>
      <c r="C3099" t="s">
        <v>24571</v>
      </c>
      <c r="E3099">
        <v>119</v>
      </c>
      <c r="F3099">
        <v>95</v>
      </c>
      <c r="G3099">
        <v>95</v>
      </c>
      <c r="Q3099" t="s">
        <v>7737</v>
      </c>
    </row>
    <row r="3100" spans="2:17" x14ac:dyDescent="0.25">
      <c r="B3100">
        <v>12694</v>
      </c>
      <c r="C3100" t="s">
        <v>24572</v>
      </c>
      <c r="E3100">
        <v>205</v>
      </c>
      <c r="F3100">
        <v>186</v>
      </c>
      <c r="G3100">
        <v>186</v>
      </c>
      <c r="P3100" t="s">
        <v>2252</v>
      </c>
    </row>
    <row r="3101" spans="2:17" x14ac:dyDescent="0.25">
      <c r="B3101">
        <v>12695</v>
      </c>
      <c r="C3101" t="s">
        <v>24573</v>
      </c>
      <c r="E3101">
        <v>205</v>
      </c>
      <c r="F3101">
        <v>186</v>
      </c>
      <c r="G3101">
        <v>186</v>
      </c>
      <c r="Q3101" t="s">
        <v>1139</v>
      </c>
    </row>
    <row r="3102" spans="2:17" x14ac:dyDescent="0.25">
      <c r="B3102">
        <v>12696</v>
      </c>
      <c r="C3102" t="s">
        <v>24574</v>
      </c>
      <c r="E3102">
        <v>205</v>
      </c>
      <c r="F3102">
        <v>186</v>
      </c>
      <c r="G3102">
        <v>186</v>
      </c>
      <c r="Q3102" t="s">
        <v>7681</v>
      </c>
    </row>
    <row r="3103" spans="2:17" x14ac:dyDescent="0.25">
      <c r="B3103">
        <v>12697</v>
      </c>
      <c r="C3103" t="s">
        <v>24575</v>
      </c>
      <c r="E3103">
        <v>205</v>
      </c>
      <c r="F3103">
        <v>186</v>
      </c>
      <c r="G3103">
        <v>186</v>
      </c>
      <c r="Q3103" t="s">
        <v>7683</v>
      </c>
    </row>
    <row r="3104" spans="2:17" x14ac:dyDescent="0.25">
      <c r="B3104">
        <v>12682</v>
      </c>
      <c r="C3104" t="s">
        <v>24576</v>
      </c>
      <c r="E3104">
        <v>147</v>
      </c>
      <c r="F3104">
        <v>123</v>
      </c>
      <c r="G3104">
        <v>124</v>
      </c>
      <c r="P3104" t="s">
        <v>1668</v>
      </c>
    </row>
    <row r="3105" spans="2:18" x14ac:dyDescent="0.25">
      <c r="B3105">
        <v>12684</v>
      </c>
      <c r="C3105" t="s">
        <v>24577</v>
      </c>
      <c r="E3105">
        <v>147</v>
      </c>
      <c r="F3105">
        <v>123</v>
      </c>
      <c r="G3105">
        <v>124</v>
      </c>
      <c r="Q3105" t="s">
        <v>7661</v>
      </c>
    </row>
    <row r="3106" spans="2:18" x14ac:dyDescent="0.25">
      <c r="B3106">
        <v>12685</v>
      </c>
      <c r="C3106" t="s">
        <v>24578</v>
      </c>
      <c r="E3106">
        <v>147</v>
      </c>
      <c r="F3106">
        <v>123</v>
      </c>
      <c r="G3106">
        <v>124</v>
      </c>
      <c r="R3106" t="s">
        <v>7663</v>
      </c>
    </row>
    <row r="3107" spans="2:18" x14ac:dyDescent="0.25">
      <c r="B3107">
        <v>12686</v>
      </c>
      <c r="C3107" t="s">
        <v>24579</v>
      </c>
      <c r="E3107">
        <v>147</v>
      </c>
      <c r="F3107">
        <v>123</v>
      </c>
      <c r="G3107">
        <v>124</v>
      </c>
      <c r="R3107" t="s">
        <v>7665</v>
      </c>
    </row>
    <row r="3108" spans="2:18" x14ac:dyDescent="0.25">
      <c r="B3108">
        <v>12687</v>
      </c>
      <c r="C3108" t="s">
        <v>24580</v>
      </c>
      <c r="E3108">
        <v>147</v>
      </c>
      <c r="F3108">
        <v>123</v>
      </c>
      <c r="G3108">
        <v>124</v>
      </c>
      <c r="R3108" t="s">
        <v>7667</v>
      </c>
    </row>
    <row r="3109" spans="2:18" x14ac:dyDescent="0.25">
      <c r="B3109">
        <v>12688</v>
      </c>
      <c r="C3109" t="s">
        <v>24581</v>
      </c>
      <c r="E3109">
        <v>147</v>
      </c>
      <c r="F3109">
        <v>123</v>
      </c>
      <c r="G3109">
        <v>124</v>
      </c>
      <c r="R3109" t="s">
        <v>7669</v>
      </c>
    </row>
    <row r="3110" spans="2:18" x14ac:dyDescent="0.25">
      <c r="B3110">
        <v>12689</v>
      </c>
      <c r="C3110" t="s">
        <v>24582</v>
      </c>
      <c r="E3110">
        <v>140</v>
      </c>
      <c r="F3110">
        <v>115</v>
      </c>
      <c r="G3110">
        <v>115</v>
      </c>
      <c r="Q3110" t="s">
        <v>7671</v>
      </c>
    </row>
    <row r="3111" spans="2:18" x14ac:dyDescent="0.25">
      <c r="B3111">
        <v>12690</v>
      </c>
      <c r="C3111" t="s">
        <v>24583</v>
      </c>
      <c r="E3111">
        <v>140</v>
      </c>
      <c r="F3111">
        <v>115</v>
      </c>
      <c r="G3111">
        <v>115</v>
      </c>
      <c r="R3111" t="s">
        <v>7673</v>
      </c>
    </row>
    <row r="3112" spans="2:18" x14ac:dyDescent="0.25">
      <c r="B3112">
        <v>12691</v>
      </c>
      <c r="C3112" t="s">
        <v>24584</v>
      </c>
      <c r="E3112">
        <v>140</v>
      </c>
      <c r="F3112">
        <v>115</v>
      </c>
      <c r="G3112">
        <v>115</v>
      </c>
      <c r="R3112" t="s">
        <v>7675</v>
      </c>
    </row>
    <row r="3113" spans="2:18" x14ac:dyDescent="0.25">
      <c r="B3113">
        <v>12692</v>
      </c>
      <c r="C3113" t="s">
        <v>24585</v>
      </c>
      <c r="E3113">
        <v>140</v>
      </c>
      <c r="F3113">
        <v>115</v>
      </c>
      <c r="G3113">
        <v>115</v>
      </c>
      <c r="R3113" t="s">
        <v>7677</v>
      </c>
    </row>
    <row r="3114" spans="2:18" x14ac:dyDescent="0.25">
      <c r="B3114">
        <v>12693</v>
      </c>
      <c r="C3114" t="s">
        <v>24586</v>
      </c>
      <c r="E3114">
        <v>167</v>
      </c>
      <c r="F3114">
        <v>141</v>
      </c>
      <c r="G3114">
        <v>141</v>
      </c>
      <c r="Q3114" t="s">
        <v>7679</v>
      </c>
    </row>
    <row r="3115" spans="2:18" x14ac:dyDescent="0.25">
      <c r="B3115">
        <v>12683</v>
      </c>
      <c r="C3115" t="s">
        <v>24587</v>
      </c>
      <c r="E3115">
        <v>147</v>
      </c>
      <c r="F3115">
        <v>123</v>
      </c>
      <c r="G3115">
        <v>124</v>
      </c>
      <c r="Q3115" t="s">
        <v>7659</v>
      </c>
    </row>
    <row r="3116" spans="2:18" x14ac:dyDescent="0.25">
      <c r="B3116">
        <v>12678</v>
      </c>
      <c r="C3116" t="s">
        <v>24588</v>
      </c>
      <c r="E3116">
        <v>119</v>
      </c>
      <c r="F3116">
        <v>95</v>
      </c>
      <c r="G3116">
        <v>95</v>
      </c>
      <c r="P3116" t="s">
        <v>7651</v>
      </c>
    </row>
    <row r="3117" spans="2:18" x14ac:dyDescent="0.25">
      <c r="B3117">
        <v>12679</v>
      </c>
      <c r="C3117" t="s">
        <v>24589</v>
      </c>
      <c r="E3117">
        <v>119</v>
      </c>
      <c r="F3117">
        <v>95</v>
      </c>
      <c r="G3117">
        <v>95</v>
      </c>
      <c r="Q3117" t="s">
        <v>7653</v>
      </c>
    </row>
    <row r="3118" spans="2:18" x14ac:dyDescent="0.25">
      <c r="B3118">
        <v>12680</v>
      </c>
      <c r="C3118" t="s">
        <v>24590</v>
      </c>
      <c r="E3118">
        <v>119</v>
      </c>
      <c r="F3118">
        <v>95</v>
      </c>
      <c r="G3118">
        <v>95</v>
      </c>
      <c r="Q3118" t="s">
        <v>7655</v>
      </c>
    </row>
    <row r="3119" spans="2:18" x14ac:dyDescent="0.25">
      <c r="B3119">
        <v>12681</v>
      </c>
      <c r="C3119" t="s">
        <v>24591</v>
      </c>
      <c r="E3119">
        <v>119</v>
      </c>
      <c r="F3119">
        <v>95</v>
      </c>
      <c r="G3119">
        <v>95</v>
      </c>
      <c r="Q3119" t="s">
        <v>7657</v>
      </c>
    </row>
    <row r="3120" spans="2:18" x14ac:dyDescent="0.25">
      <c r="B3120">
        <v>12719</v>
      </c>
      <c r="C3120" t="s">
        <v>24592</v>
      </c>
      <c r="E3120">
        <v>234</v>
      </c>
      <c r="F3120">
        <v>225</v>
      </c>
      <c r="G3120">
        <v>226</v>
      </c>
      <c r="P3120" t="s">
        <v>7725</v>
      </c>
    </row>
    <row r="3121" spans="2:17" x14ac:dyDescent="0.25">
      <c r="B3121">
        <v>12720</v>
      </c>
      <c r="C3121" t="s">
        <v>24593</v>
      </c>
      <c r="E3121">
        <v>234</v>
      </c>
      <c r="F3121">
        <v>225</v>
      </c>
      <c r="G3121">
        <v>226</v>
      </c>
      <c r="Q3121" t="s">
        <v>7727</v>
      </c>
    </row>
    <row r="3122" spans="2:17" x14ac:dyDescent="0.25">
      <c r="B3122">
        <v>12721</v>
      </c>
      <c r="C3122" t="s">
        <v>24594</v>
      </c>
      <c r="E3122">
        <v>234</v>
      </c>
      <c r="F3122">
        <v>225</v>
      </c>
      <c r="G3122">
        <v>226</v>
      </c>
      <c r="Q3122" t="s">
        <v>7729</v>
      </c>
    </row>
    <row r="3123" spans="2:17" x14ac:dyDescent="0.25">
      <c r="B3123">
        <v>12726</v>
      </c>
      <c r="C3123" t="s">
        <v>24595</v>
      </c>
      <c r="E3123">
        <v>129</v>
      </c>
      <c r="F3123">
        <v>105</v>
      </c>
      <c r="G3123">
        <v>107</v>
      </c>
      <c r="P3123" t="s">
        <v>7739</v>
      </c>
    </row>
    <row r="3124" spans="2:17" x14ac:dyDescent="0.25">
      <c r="B3124">
        <v>12727</v>
      </c>
      <c r="C3124" t="s">
        <v>24596</v>
      </c>
      <c r="E3124">
        <v>234</v>
      </c>
      <c r="F3124">
        <v>225</v>
      </c>
      <c r="G3124">
        <v>226</v>
      </c>
      <c r="P3124" t="s">
        <v>7741</v>
      </c>
    </row>
    <row r="3125" spans="2:17" x14ac:dyDescent="0.25">
      <c r="B3125">
        <v>10668</v>
      </c>
      <c r="C3125" t="s">
        <v>24597</v>
      </c>
      <c r="E3125">
        <v>242</v>
      </c>
      <c r="F3125">
        <v>241</v>
      </c>
      <c r="G3125">
        <v>240</v>
      </c>
      <c r="N3125" t="s">
        <v>5407</v>
      </c>
    </row>
    <row r="3126" spans="2:17" x14ac:dyDescent="0.25">
      <c r="B3126">
        <v>12728</v>
      </c>
      <c r="C3126" t="s">
        <v>24598</v>
      </c>
      <c r="E3126">
        <v>242</v>
      </c>
      <c r="F3126">
        <v>241</v>
      </c>
      <c r="G3126">
        <v>240</v>
      </c>
      <c r="O3126" t="s">
        <v>227</v>
      </c>
    </row>
    <row r="3127" spans="2:17" x14ac:dyDescent="0.25">
      <c r="B3127">
        <v>12729</v>
      </c>
      <c r="C3127" t="s">
        <v>24599</v>
      </c>
      <c r="E3127">
        <v>242</v>
      </c>
      <c r="F3127">
        <v>241</v>
      </c>
      <c r="G3127">
        <v>240</v>
      </c>
      <c r="O3127" t="s">
        <v>7743</v>
      </c>
    </row>
    <row r="3128" spans="2:17" x14ac:dyDescent="0.25">
      <c r="B3128">
        <v>12730</v>
      </c>
      <c r="C3128" t="s">
        <v>24600</v>
      </c>
      <c r="E3128">
        <v>242</v>
      </c>
      <c r="F3128">
        <v>241</v>
      </c>
      <c r="G3128">
        <v>240</v>
      </c>
      <c r="O3128" t="s">
        <v>1008</v>
      </c>
    </row>
    <row r="3129" spans="2:17" x14ac:dyDescent="0.25">
      <c r="B3129">
        <v>266441721</v>
      </c>
      <c r="C3129" t="s">
        <v>24601</v>
      </c>
      <c r="E3129">
        <v>242</v>
      </c>
      <c r="F3129">
        <v>241</v>
      </c>
      <c r="G3129">
        <v>240</v>
      </c>
      <c r="O3129" t="s">
        <v>1365</v>
      </c>
    </row>
    <row r="3130" spans="2:17" x14ac:dyDescent="0.25">
      <c r="B3130">
        <v>12731</v>
      </c>
      <c r="C3130" t="s">
        <v>20778</v>
      </c>
      <c r="E3130">
        <v>242</v>
      </c>
      <c r="F3130">
        <v>241</v>
      </c>
      <c r="G3130">
        <v>240</v>
      </c>
      <c r="O3130" t="s">
        <v>1389</v>
      </c>
    </row>
    <row r="3131" spans="2:17" x14ac:dyDescent="0.25">
      <c r="B3131">
        <v>12732</v>
      </c>
      <c r="C3131" t="s">
        <v>24602</v>
      </c>
      <c r="E3131">
        <v>242</v>
      </c>
      <c r="F3131">
        <v>241</v>
      </c>
      <c r="G3131">
        <v>240</v>
      </c>
      <c r="O3131" t="s">
        <v>1416</v>
      </c>
    </row>
    <row r="3132" spans="2:17" x14ac:dyDescent="0.25">
      <c r="B3132">
        <v>12733</v>
      </c>
      <c r="C3132" t="s">
        <v>20758</v>
      </c>
      <c r="E3132">
        <v>242</v>
      </c>
      <c r="F3132">
        <v>241</v>
      </c>
      <c r="G3132">
        <v>240</v>
      </c>
      <c r="O3132" t="s">
        <v>1508</v>
      </c>
    </row>
    <row r="3133" spans="2:17" x14ac:dyDescent="0.25">
      <c r="B3133">
        <v>12734</v>
      </c>
      <c r="C3133" t="s">
        <v>24603</v>
      </c>
      <c r="E3133">
        <v>242</v>
      </c>
      <c r="F3133">
        <v>241</v>
      </c>
      <c r="G3133">
        <v>240</v>
      </c>
      <c r="O3133" t="s">
        <v>7745</v>
      </c>
    </row>
    <row r="3134" spans="2:17" x14ac:dyDescent="0.25">
      <c r="B3134">
        <v>12735</v>
      </c>
      <c r="C3134" t="s">
        <v>24604</v>
      </c>
      <c r="E3134">
        <v>242</v>
      </c>
      <c r="F3134">
        <v>241</v>
      </c>
      <c r="G3134">
        <v>240</v>
      </c>
      <c r="O3134" t="s">
        <v>1539</v>
      </c>
    </row>
    <row r="3135" spans="2:17" x14ac:dyDescent="0.25">
      <c r="B3135">
        <v>12736</v>
      </c>
      <c r="C3135" t="s">
        <v>24605</v>
      </c>
      <c r="E3135">
        <v>242</v>
      </c>
      <c r="F3135">
        <v>241</v>
      </c>
      <c r="G3135">
        <v>240</v>
      </c>
      <c r="O3135" t="s">
        <v>1627</v>
      </c>
    </row>
    <row r="3136" spans="2:17" x14ac:dyDescent="0.25">
      <c r="B3136">
        <v>12737</v>
      </c>
      <c r="C3136" t="s">
        <v>24606</v>
      </c>
      <c r="E3136">
        <v>242</v>
      </c>
      <c r="F3136">
        <v>241</v>
      </c>
      <c r="G3136">
        <v>240</v>
      </c>
      <c r="O3136" t="s">
        <v>1528</v>
      </c>
    </row>
    <row r="3137" spans="2:17" x14ac:dyDescent="0.25">
      <c r="B3137">
        <v>12738</v>
      </c>
      <c r="C3137" t="s">
        <v>24607</v>
      </c>
      <c r="E3137">
        <v>242</v>
      </c>
      <c r="F3137">
        <v>241</v>
      </c>
      <c r="G3137">
        <v>240</v>
      </c>
      <c r="O3137" t="s">
        <v>2066</v>
      </c>
    </row>
    <row r="3138" spans="2:17" x14ac:dyDescent="0.25">
      <c r="B3138">
        <v>12739</v>
      </c>
      <c r="C3138" t="s">
        <v>24608</v>
      </c>
      <c r="E3138">
        <v>242</v>
      </c>
      <c r="F3138">
        <v>241</v>
      </c>
      <c r="G3138">
        <v>240</v>
      </c>
      <c r="O3138" t="s">
        <v>1826</v>
      </c>
    </row>
    <row r="3139" spans="2:17" x14ac:dyDescent="0.25">
      <c r="B3139">
        <v>15562</v>
      </c>
      <c r="C3139" t="s">
        <v>24609</v>
      </c>
      <c r="E3139">
        <v>242</v>
      </c>
      <c r="F3139">
        <v>241</v>
      </c>
      <c r="G3139">
        <v>240</v>
      </c>
      <c r="O3139" t="s">
        <v>8347</v>
      </c>
    </row>
    <row r="3140" spans="2:17" x14ac:dyDescent="0.25">
      <c r="B3140">
        <v>12740</v>
      </c>
      <c r="C3140" t="s">
        <v>24610</v>
      </c>
      <c r="E3140">
        <v>242</v>
      </c>
      <c r="F3140">
        <v>241</v>
      </c>
      <c r="G3140">
        <v>240</v>
      </c>
      <c r="O3140" t="s">
        <v>7748</v>
      </c>
    </row>
    <row r="3141" spans="2:17" x14ac:dyDescent="0.25">
      <c r="B3141">
        <v>12741</v>
      </c>
      <c r="C3141" t="s">
        <v>18467</v>
      </c>
      <c r="E3141">
        <v>242</v>
      </c>
      <c r="F3141">
        <v>241</v>
      </c>
      <c r="G3141">
        <v>240</v>
      </c>
      <c r="O3141" t="s">
        <v>2350</v>
      </c>
    </row>
    <row r="3142" spans="2:17" x14ac:dyDescent="0.25">
      <c r="B3142">
        <v>12742</v>
      </c>
      <c r="C3142" t="s">
        <v>24611</v>
      </c>
      <c r="E3142">
        <v>242</v>
      </c>
      <c r="F3142">
        <v>241</v>
      </c>
      <c r="G3142">
        <v>240</v>
      </c>
      <c r="P3142" t="s">
        <v>7750</v>
      </c>
    </row>
    <row r="3143" spans="2:17" x14ac:dyDescent="0.25">
      <c r="B3143">
        <v>12743</v>
      </c>
      <c r="C3143" t="s">
        <v>24612</v>
      </c>
      <c r="E3143">
        <v>242</v>
      </c>
      <c r="F3143">
        <v>241</v>
      </c>
      <c r="G3143">
        <v>240</v>
      </c>
      <c r="Q3143" t="s">
        <v>7752</v>
      </c>
    </row>
    <row r="3144" spans="2:17" x14ac:dyDescent="0.25">
      <c r="B3144">
        <v>12744</v>
      </c>
      <c r="C3144" t="s">
        <v>24613</v>
      </c>
      <c r="E3144">
        <v>242</v>
      </c>
      <c r="F3144">
        <v>241</v>
      </c>
      <c r="G3144">
        <v>240</v>
      </c>
      <c r="Q3144" t="s">
        <v>7754</v>
      </c>
    </row>
    <row r="3145" spans="2:17" x14ac:dyDescent="0.25">
      <c r="B3145">
        <v>12745</v>
      </c>
      <c r="C3145" t="s">
        <v>24614</v>
      </c>
      <c r="E3145">
        <v>242</v>
      </c>
      <c r="F3145">
        <v>241</v>
      </c>
      <c r="G3145">
        <v>240</v>
      </c>
      <c r="Q3145" t="s">
        <v>1408</v>
      </c>
    </row>
    <row r="3146" spans="2:17" x14ac:dyDescent="0.25">
      <c r="B3146">
        <v>12746</v>
      </c>
      <c r="C3146" t="s">
        <v>18452</v>
      </c>
      <c r="E3146">
        <v>242</v>
      </c>
      <c r="F3146">
        <v>241</v>
      </c>
      <c r="G3146">
        <v>240</v>
      </c>
      <c r="Q3146" t="s">
        <v>3992</v>
      </c>
    </row>
    <row r="3147" spans="2:17" x14ac:dyDescent="0.25">
      <c r="B3147">
        <v>12747</v>
      </c>
      <c r="C3147" t="s">
        <v>24615</v>
      </c>
      <c r="E3147">
        <v>242</v>
      </c>
      <c r="F3147">
        <v>241</v>
      </c>
      <c r="G3147">
        <v>240</v>
      </c>
      <c r="Q3147" t="s">
        <v>3481</v>
      </c>
    </row>
    <row r="3148" spans="2:17" x14ac:dyDescent="0.25">
      <c r="B3148">
        <v>12748</v>
      </c>
      <c r="C3148" t="s">
        <v>24616</v>
      </c>
      <c r="E3148">
        <v>242</v>
      </c>
      <c r="F3148">
        <v>241</v>
      </c>
      <c r="G3148">
        <v>240</v>
      </c>
      <c r="Q3148" t="s">
        <v>7756</v>
      </c>
    </row>
    <row r="3149" spans="2:17" x14ac:dyDescent="0.25">
      <c r="B3149">
        <v>12749</v>
      </c>
      <c r="C3149" t="s">
        <v>20803</v>
      </c>
      <c r="E3149">
        <v>242</v>
      </c>
      <c r="F3149">
        <v>241</v>
      </c>
      <c r="G3149">
        <v>240</v>
      </c>
      <c r="Q3149" t="s">
        <v>5010</v>
      </c>
    </row>
    <row r="3150" spans="2:17" x14ac:dyDescent="0.25">
      <c r="B3150">
        <v>12750</v>
      </c>
      <c r="C3150" t="s">
        <v>24617</v>
      </c>
      <c r="E3150">
        <v>242</v>
      </c>
      <c r="F3150">
        <v>241</v>
      </c>
      <c r="G3150">
        <v>240</v>
      </c>
      <c r="P3150" t="s">
        <v>2549</v>
      </c>
    </row>
    <row r="3151" spans="2:17" x14ac:dyDescent="0.25">
      <c r="B3151">
        <v>12751</v>
      </c>
      <c r="C3151" t="s">
        <v>24618</v>
      </c>
      <c r="E3151">
        <v>242</v>
      </c>
      <c r="F3151">
        <v>241</v>
      </c>
      <c r="G3151">
        <v>240</v>
      </c>
      <c r="Q3151" t="s">
        <v>7758</v>
      </c>
    </row>
    <row r="3152" spans="2:17" x14ac:dyDescent="0.25">
      <c r="B3152">
        <v>12752</v>
      </c>
      <c r="C3152" t="s">
        <v>24619</v>
      </c>
      <c r="E3152">
        <v>242</v>
      </c>
      <c r="F3152">
        <v>241</v>
      </c>
      <c r="G3152">
        <v>240</v>
      </c>
      <c r="Q3152" t="s">
        <v>7760</v>
      </c>
    </row>
    <row r="3153" spans="2:17" x14ac:dyDescent="0.25">
      <c r="B3153">
        <v>12753</v>
      </c>
      <c r="C3153" t="s">
        <v>24620</v>
      </c>
      <c r="E3153">
        <v>242</v>
      </c>
      <c r="F3153">
        <v>241</v>
      </c>
      <c r="G3153">
        <v>240</v>
      </c>
      <c r="Q3153" t="s">
        <v>7762</v>
      </c>
    </row>
    <row r="3154" spans="2:17" x14ac:dyDescent="0.25">
      <c r="B3154">
        <v>12754</v>
      </c>
      <c r="C3154" t="s">
        <v>24621</v>
      </c>
      <c r="E3154">
        <v>242</v>
      </c>
      <c r="F3154">
        <v>241</v>
      </c>
      <c r="G3154">
        <v>240</v>
      </c>
      <c r="Q3154" t="s">
        <v>7764</v>
      </c>
    </row>
    <row r="3155" spans="2:17" x14ac:dyDescent="0.25">
      <c r="B3155">
        <v>12755</v>
      </c>
      <c r="C3155" t="s">
        <v>20757</v>
      </c>
      <c r="E3155">
        <v>242</v>
      </c>
      <c r="F3155">
        <v>241</v>
      </c>
      <c r="G3155">
        <v>240</v>
      </c>
      <c r="O3155" t="s">
        <v>2461</v>
      </c>
    </row>
    <row r="3156" spans="2:17" x14ac:dyDescent="0.25">
      <c r="B3156">
        <v>12756</v>
      </c>
      <c r="C3156" t="s">
        <v>20780</v>
      </c>
      <c r="E3156">
        <v>242</v>
      </c>
      <c r="F3156">
        <v>241</v>
      </c>
      <c r="G3156">
        <v>240</v>
      </c>
      <c r="O3156" t="s">
        <v>2485</v>
      </c>
    </row>
    <row r="3157" spans="2:17" x14ac:dyDescent="0.25">
      <c r="B3157">
        <v>12757</v>
      </c>
      <c r="C3157" t="s">
        <v>24622</v>
      </c>
      <c r="E3157">
        <v>242</v>
      </c>
      <c r="F3157">
        <v>241</v>
      </c>
      <c r="G3157">
        <v>240</v>
      </c>
      <c r="O3157" t="s">
        <v>7766</v>
      </c>
    </row>
    <row r="3158" spans="2:17" x14ac:dyDescent="0.25">
      <c r="B3158">
        <v>12758</v>
      </c>
      <c r="C3158" t="s">
        <v>24623</v>
      </c>
      <c r="E3158">
        <v>242</v>
      </c>
      <c r="F3158">
        <v>241</v>
      </c>
      <c r="G3158">
        <v>240</v>
      </c>
      <c r="O3158" t="s">
        <v>7768</v>
      </c>
    </row>
    <row r="3159" spans="2:17" x14ac:dyDescent="0.25">
      <c r="B3159">
        <v>12759</v>
      </c>
      <c r="C3159" t="s">
        <v>24624</v>
      </c>
      <c r="E3159">
        <v>242</v>
      </c>
      <c r="F3159">
        <v>241</v>
      </c>
      <c r="G3159">
        <v>240</v>
      </c>
      <c r="O3159" t="s">
        <v>2569</v>
      </c>
    </row>
    <row r="3160" spans="2:17" x14ac:dyDescent="0.25">
      <c r="B3160">
        <v>12760</v>
      </c>
      <c r="C3160" t="s">
        <v>18469</v>
      </c>
      <c r="E3160">
        <v>242</v>
      </c>
      <c r="F3160">
        <v>241</v>
      </c>
      <c r="G3160">
        <v>240</v>
      </c>
      <c r="O3160" t="s">
        <v>2607</v>
      </c>
    </row>
    <row r="3161" spans="2:17" x14ac:dyDescent="0.25">
      <c r="B3161">
        <v>12761</v>
      </c>
      <c r="C3161" t="s">
        <v>24625</v>
      </c>
      <c r="E3161">
        <v>242</v>
      </c>
      <c r="F3161">
        <v>241</v>
      </c>
      <c r="G3161">
        <v>240</v>
      </c>
      <c r="O3161" t="s">
        <v>7770</v>
      </c>
    </row>
    <row r="3162" spans="2:17" x14ac:dyDescent="0.25">
      <c r="B3162">
        <v>12762</v>
      </c>
      <c r="C3162" t="s">
        <v>24626</v>
      </c>
      <c r="E3162">
        <v>242</v>
      </c>
      <c r="F3162">
        <v>241</v>
      </c>
      <c r="G3162">
        <v>240</v>
      </c>
      <c r="O3162" t="s">
        <v>2809</v>
      </c>
    </row>
    <row r="3163" spans="2:17" x14ac:dyDescent="0.25">
      <c r="B3163">
        <v>12763</v>
      </c>
      <c r="C3163" t="s">
        <v>18472</v>
      </c>
      <c r="E3163">
        <v>242</v>
      </c>
      <c r="F3163">
        <v>241</v>
      </c>
      <c r="G3163">
        <v>240</v>
      </c>
      <c r="O3163" t="s">
        <v>2924</v>
      </c>
    </row>
    <row r="3164" spans="2:17" x14ac:dyDescent="0.25">
      <c r="B3164">
        <v>12764</v>
      </c>
      <c r="C3164" t="s">
        <v>18474</v>
      </c>
      <c r="E3164">
        <v>242</v>
      </c>
      <c r="F3164">
        <v>241</v>
      </c>
      <c r="G3164">
        <v>240</v>
      </c>
      <c r="O3164" t="s">
        <v>2931</v>
      </c>
    </row>
    <row r="3165" spans="2:17" x14ac:dyDescent="0.25">
      <c r="B3165">
        <v>12765</v>
      </c>
      <c r="C3165" t="s">
        <v>24627</v>
      </c>
      <c r="E3165">
        <v>242</v>
      </c>
      <c r="F3165">
        <v>241</v>
      </c>
      <c r="G3165">
        <v>240</v>
      </c>
      <c r="O3165" t="s">
        <v>7772</v>
      </c>
    </row>
    <row r="3166" spans="2:17" x14ac:dyDescent="0.25">
      <c r="B3166">
        <v>12766</v>
      </c>
      <c r="C3166" t="s">
        <v>24628</v>
      </c>
      <c r="E3166">
        <v>242</v>
      </c>
      <c r="F3166">
        <v>241</v>
      </c>
      <c r="G3166">
        <v>240</v>
      </c>
      <c r="O3166" t="s">
        <v>7774</v>
      </c>
    </row>
    <row r="3167" spans="2:17" x14ac:dyDescent="0.25">
      <c r="B3167">
        <v>12767</v>
      </c>
      <c r="C3167" t="s">
        <v>24629</v>
      </c>
      <c r="E3167">
        <v>242</v>
      </c>
      <c r="F3167">
        <v>241</v>
      </c>
      <c r="G3167">
        <v>240</v>
      </c>
      <c r="O3167" t="s">
        <v>3080</v>
      </c>
    </row>
    <row r="3168" spans="2:17" x14ac:dyDescent="0.25">
      <c r="B3168">
        <v>12768</v>
      </c>
      <c r="C3168" t="s">
        <v>18470</v>
      </c>
      <c r="E3168">
        <v>242</v>
      </c>
      <c r="F3168">
        <v>241</v>
      </c>
      <c r="G3168">
        <v>240</v>
      </c>
      <c r="O3168" t="s">
        <v>3146</v>
      </c>
    </row>
    <row r="3169" spans="2:16" x14ac:dyDescent="0.25">
      <c r="B3169">
        <v>12769</v>
      </c>
      <c r="C3169" t="s">
        <v>24630</v>
      </c>
      <c r="E3169">
        <v>242</v>
      </c>
      <c r="F3169">
        <v>241</v>
      </c>
      <c r="G3169">
        <v>240</v>
      </c>
      <c r="P3169" t="s">
        <v>3895</v>
      </c>
    </row>
    <row r="3170" spans="2:16" x14ac:dyDescent="0.25">
      <c r="B3170">
        <v>12770</v>
      </c>
      <c r="C3170" t="s">
        <v>24631</v>
      </c>
      <c r="E3170">
        <v>242</v>
      </c>
      <c r="F3170">
        <v>241</v>
      </c>
      <c r="G3170">
        <v>240</v>
      </c>
      <c r="P3170" t="s">
        <v>7776</v>
      </c>
    </row>
    <row r="3171" spans="2:16" x14ac:dyDescent="0.25">
      <c r="B3171">
        <v>12771</v>
      </c>
      <c r="C3171" t="s">
        <v>24632</v>
      </c>
      <c r="E3171">
        <v>242</v>
      </c>
      <c r="F3171">
        <v>241</v>
      </c>
      <c r="G3171">
        <v>240</v>
      </c>
      <c r="O3171" t="s">
        <v>3485</v>
      </c>
    </row>
    <row r="3172" spans="2:16" x14ac:dyDescent="0.25">
      <c r="B3172">
        <v>12772</v>
      </c>
      <c r="C3172" t="s">
        <v>24633</v>
      </c>
      <c r="E3172">
        <v>242</v>
      </c>
      <c r="F3172">
        <v>241</v>
      </c>
      <c r="G3172">
        <v>240</v>
      </c>
      <c r="O3172" t="s">
        <v>4213</v>
      </c>
    </row>
    <row r="3173" spans="2:16" x14ac:dyDescent="0.25">
      <c r="B3173">
        <v>12773</v>
      </c>
      <c r="C3173" t="s">
        <v>18489</v>
      </c>
      <c r="E3173">
        <v>242</v>
      </c>
      <c r="F3173">
        <v>241</v>
      </c>
      <c r="G3173">
        <v>240</v>
      </c>
      <c r="O3173" t="s">
        <v>7778</v>
      </c>
    </row>
    <row r="3174" spans="2:16" x14ac:dyDescent="0.25">
      <c r="B3174">
        <v>12774</v>
      </c>
      <c r="C3174" t="s">
        <v>24634</v>
      </c>
      <c r="E3174">
        <v>242</v>
      </c>
      <c r="F3174">
        <v>241</v>
      </c>
      <c r="G3174">
        <v>240</v>
      </c>
      <c r="P3174" t="s">
        <v>1357</v>
      </c>
    </row>
    <row r="3175" spans="2:16" x14ac:dyDescent="0.25">
      <c r="B3175">
        <v>12775</v>
      </c>
      <c r="C3175" t="s">
        <v>24635</v>
      </c>
      <c r="E3175">
        <v>242</v>
      </c>
      <c r="F3175">
        <v>241</v>
      </c>
      <c r="G3175">
        <v>240</v>
      </c>
      <c r="P3175" t="s">
        <v>7780</v>
      </c>
    </row>
    <row r="3176" spans="2:16" x14ac:dyDescent="0.25">
      <c r="B3176">
        <v>12776</v>
      </c>
      <c r="C3176" t="s">
        <v>24636</v>
      </c>
      <c r="E3176">
        <v>242</v>
      </c>
      <c r="F3176">
        <v>241</v>
      </c>
      <c r="G3176">
        <v>240</v>
      </c>
      <c r="P3176" t="s">
        <v>1370</v>
      </c>
    </row>
    <row r="3177" spans="2:16" x14ac:dyDescent="0.25">
      <c r="B3177">
        <v>12777</v>
      </c>
      <c r="C3177" t="s">
        <v>24637</v>
      </c>
      <c r="E3177">
        <v>242</v>
      </c>
      <c r="F3177">
        <v>241</v>
      </c>
      <c r="G3177">
        <v>240</v>
      </c>
      <c r="O3177" t="s">
        <v>7782</v>
      </c>
    </row>
    <row r="3178" spans="2:16" x14ac:dyDescent="0.25">
      <c r="B3178">
        <v>12778</v>
      </c>
      <c r="C3178" t="s">
        <v>24638</v>
      </c>
      <c r="E3178">
        <v>242</v>
      </c>
      <c r="F3178">
        <v>241</v>
      </c>
      <c r="G3178">
        <v>240</v>
      </c>
      <c r="P3178" t="s">
        <v>7784</v>
      </c>
    </row>
    <row r="3179" spans="2:16" x14ac:dyDescent="0.25">
      <c r="B3179">
        <v>12779</v>
      </c>
      <c r="C3179" t="s">
        <v>24639</v>
      </c>
      <c r="E3179">
        <v>242</v>
      </c>
      <c r="F3179">
        <v>241</v>
      </c>
      <c r="G3179">
        <v>240</v>
      </c>
      <c r="P3179" t="s">
        <v>7786</v>
      </c>
    </row>
    <row r="3180" spans="2:16" x14ac:dyDescent="0.25">
      <c r="B3180">
        <v>12780</v>
      </c>
      <c r="C3180" t="s">
        <v>24640</v>
      </c>
      <c r="E3180">
        <v>242</v>
      </c>
      <c r="F3180">
        <v>241</v>
      </c>
      <c r="G3180">
        <v>240</v>
      </c>
      <c r="O3180" t="s">
        <v>7788</v>
      </c>
    </row>
    <row r="3181" spans="2:16" x14ac:dyDescent="0.25">
      <c r="B3181">
        <v>12781</v>
      </c>
      <c r="C3181" t="s">
        <v>24641</v>
      </c>
      <c r="E3181">
        <v>242</v>
      </c>
      <c r="F3181">
        <v>241</v>
      </c>
      <c r="G3181">
        <v>240</v>
      </c>
      <c r="O3181" t="s">
        <v>7790</v>
      </c>
    </row>
    <row r="3182" spans="2:16" x14ac:dyDescent="0.25">
      <c r="B3182">
        <v>12782</v>
      </c>
      <c r="C3182" t="s">
        <v>24642</v>
      </c>
      <c r="E3182">
        <v>242</v>
      </c>
      <c r="F3182">
        <v>241</v>
      </c>
      <c r="G3182">
        <v>240</v>
      </c>
      <c r="O3182" t="s">
        <v>4929</v>
      </c>
    </row>
    <row r="3183" spans="2:16" x14ac:dyDescent="0.25">
      <c r="B3183">
        <v>12783</v>
      </c>
      <c r="C3183" t="s">
        <v>18499</v>
      </c>
      <c r="E3183">
        <v>242</v>
      </c>
      <c r="F3183">
        <v>241</v>
      </c>
      <c r="G3183">
        <v>240</v>
      </c>
      <c r="O3183" t="s">
        <v>4980</v>
      </c>
    </row>
    <row r="3184" spans="2:16" x14ac:dyDescent="0.25">
      <c r="B3184">
        <v>12784</v>
      </c>
      <c r="C3184" t="s">
        <v>24643</v>
      </c>
      <c r="E3184">
        <v>242</v>
      </c>
      <c r="F3184">
        <v>241</v>
      </c>
      <c r="G3184">
        <v>240</v>
      </c>
      <c r="O3184" t="s">
        <v>7792</v>
      </c>
    </row>
    <row r="3185" spans="2:16" x14ac:dyDescent="0.25">
      <c r="B3185">
        <v>12785</v>
      </c>
      <c r="C3185" t="s">
        <v>24644</v>
      </c>
      <c r="E3185">
        <v>242</v>
      </c>
      <c r="F3185">
        <v>241</v>
      </c>
      <c r="G3185">
        <v>240</v>
      </c>
      <c r="P3185" t="s">
        <v>7794</v>
      </c>
    </row>
    <row r="3186" spans="2:16" x14ac:dyDescent="0.25">
      <c r="B3186">
        <v>12786</v>
      </c>
      <c r="C3186" t="s">
        <v>24645</v>
      </c>
      <c r="E3186">
        <v>242</v>
      </c>
      <c r="F3186">
        <v>241</v>
      </c>
      <c r="G3186">
        <v>240</v>
      </c>
      <c r="P3186" t="s">
        <v>7796</v>
      </c>
    </row>
    <row r="3187" spans="2:16" x14ac:dyDescent="0.25">
      <c r="B3187">
        <v>12787</v>
      </c>
      <c r="C3187" t="s">
        <v>24646</v>
      </c>
      <c r="E3187">
        <v>242</v>
      </c>
      <c r="F3187">
        <v>241</v>
      </c>
      <c r="G3187">
        <v>240</v>
      </c>
      <c r="P3187" t="s">
        <v>7798</v>
      </c>
    </row>
    <row r="3188" spans="2:16" x14ac:dyDescent="0.25">
      <c r="B3188">
        <v>12788</v>
      </c>
      <c r="C3188" t="s">
        <v>24647</v>
      </c>
      <c r="E3188">
        <v>242</v>
      </c>
      <c r="F3188">
        <v>241</v>
      </c>
      <c r="G3188">
        <v>240</v>
      </c>
      <c r="P3188" t="s">
        <v>7800</v>
      </c>
    </row>
    <row r="3189" spans="2:16" x14ac:dyDescent="0.25">
      <c r="B3189">
        <v>12789</v>
      </c>
      <c r="C3189" t="s">
        <v>24648</v>
      </c>
      <c r="E3189">
        <v>242</v>
      </c>
      <c r="F3189">
        <v>241</v>
      </c>
      <c r="G3189">
        <v>240</v>
      </c>
      <c r="P3189" t="s">
        <v>5014</v>
      </c>
    </row>
    <row r="3190" spans="2:16" x14ac:dyDescent="0.25">
      <c r="B3190">
        <v>12790</v>
      </c>
      <c r="C3190" t="s">
        <v>24649</v>
      </c>
      <c r="E3190">
        <v>242</v>
      </c>
      <c r="F3190">
        <v>241</v>
      </c>
      <c r="G3190">
        <v>240</v>
      </c>
      <c r="P3190" t="s">
        <v>7802</v>
      </c>
    </row>
    <row r="3191" spans="2:16" x14ac:dyDescent="0.25">
      <c r="B3191">
        <v>12791</v>
      </c>
      <c r="C3191" t="s">
        <v>24650</v>
      </c>
      <c r="E3191">
        <v>242</v>
      </c>
      <c r="F3191">
        <v>241</v>
      </c>
      <c r="G3191">
        <v>240</v>
      </c>
      <c r="P3191" t="s">
        <v>7804</v>
      </c>
    </row>
    <row r="3192" spans="2:16" x14ac:dyDescent="0.25">
      <c r="B3192">
        <v>12792</v>
      </c>
      <c r="C3192" t="s">
        <v>18500</v>
      </c>
      <c r="E3192">
        <v>242</v>
      </c>
      <c r="F3192">
        <v>241</v>
      </c>
      <c r="G3192">
        <v>240</v>
      </c>
      <c r="O3192" t="s">
        <v>5001</v>
      </c>
    </row>
    <row r="3193" spans="2:16" x14ac:dyDescent="0.25">
      <c r="B3193">
        <v>12793</v>
      </c>
      <c r="C3193" t="s">
        <v>24651</v>
      </c>
      <c r="E3193">
        <v>242</v>
      </c>
      <c r="F3193">
        <v>241</v>
      </c>
      <c r="G3193">
        <v>240</v>
      </c>
      <c r="O3193" t="s">
        <v>5005</v>
      </c>
    </row>
    <row r="3194" spans="2:16" x14ac:dyDescent="0.25">
      <c r="B3194">
        <v>12822</v>
      </c>
      <c r="C3194" t="s">
        <v>24652</v>
      </c>
      <c r="E3194">
        <v>242</v>
      </c>
      <c r="F3194">
        <v>241</v>
      </c>
      <c r="G3194">
        <v>240</v>
      </c>
      <c r="O3194" t="s">
        <v>7846</v>
      </c>
    </row>
    <row r="3195" spans="2:16" x14ac:dyDescent="0.25">
      <c r="B3195">
        <v>12794</v>
      </c>
      <c r="C3195" t="s">
        <v>18509</v>
      </c>
      <c r="E3195">
        <v>242</v>
      </c>
      <c r="F3195">
        <v>241</v>
      </c>
      <c r="G3195">
        <v>240</v>
      </c>
      <c r="O3195" t="s">
        <v>7806</v>
      </c>
    </row>
    <row r="3196" spans="2:16" x14ac:dyDescent="0.25">
      <c r="B3196">
        <v>12795</v>
      </c>
      <c r="C3196" t="s">
        <v>24653</v>
      </c>
      <c r="E3196">
        <v>242</v>
      </c>
      <c r="F3196">
        <v>241</v>
      </c>
      <c r="G3196">
        <v>240</v>
      </c>
      <c r="O3196" t="s">
        <v>7808</v>
      </c>
    </row>
    <row r="3197" spans="2:16" x14ac:dyDescent="0.25">
      <c r="B3197">
        <v>12796</v>
      </c>
      <c r="C3197" t="s">
        <v>18510</v>
      </c>
      <c r="E3197">
        <v>242</v>
      </c>
      <c r="F3197">
        <v>241</v>
      </c>
      <c r="G3197">
        <v>240</v>
      </c>
      <c r="O3197" t="s">
        <v>14233</v>
      </c>
    </row>
    <row r="3198" spans="2:16" x14ac:dyDescent="0.25">
      <c r="B3198">
        <v>12797</v>
      </c>
      <c r="C3198" t="s">
        <v>24654</v>
      </c>
      <c r="E3198">
        <v>242</v>
      </c>
      <c r="F3198">
        <v>241</v>
      </c>
      <c r="G3198">
        <v>240</v>
      </c>
      <c r="O3198" t="s">
        <v>7810</v>
      </c>
    </row>
    <row r="3199" spans="2:16" x14ac:dyDescent="0.25">
      <c r="B3199">
        <v>266441725</v>
      </c>
      <c r="C3199" t="s">
        <v>24655</v>
      </c>
      <c r="E3199">
        <v>242</v>
      </c>
      <c r="F3199">
        <v>241</v>
      </c>
      <c r="G3199">
        <v>240</v>
      </c>
      <c r="O3199" t="s">
        <v>8537</v>
      </c>
    </row>
    <row r="3200" spans="2:16" x14ac:dyDescent="0.25">
      <c r="B3200">
        <v>12798</v>
      </c>
      <c r="C3200" t="s">
        <v>24656</v>
      </c>
      <c r="E3200">
        <v>242</v>
      </c>
      <c r="F3200">
        <v>241</v>
      </c>
      <c r="G3200">
        <v>240</v>
      </c>
      <c r="O3200" t="s">
        <v>7812</v>
      </c>
    </row>
    <row r="3201" spans="2:17" x14ac:dyDescent="0.25">
      <c r="B3201">
        <v>12799</v>
      </c>
      <c r="C3201" t="s">
        <v>24657</v>
      </c>
      <c r="E3201">
        <v>242</v>
      </c>
      <c r="F3201">
        <v>241</v>
      </c>
      <c r="G3201">
        <v>240</v>
      </c>
      <c r="O3201" t="s">
        <v>7814</v>
      </c>
    </row>
    <row r="3202" spans="2:17" x14ac:dyDescent="0.25">
      <c r="B3202">
        <v>12800</v>
      </c>
      <c r="C3202" t="s">
        <v>24658</v>
      </c>
      <c r="E3202">
        <v>242</v>
      </c>
      <c r="F3202">
        <v>241</v>
      </c>
      <c r="G3202">
        <v>240</v>
      </c>
      <c r="O3202" t="s">
        <v>7816</v>
      </c>
    </row>
    <row r="3203" spans="2:17" x14ac:dyDescent="0.25">
      <c r="B3203">
        <v>12801</v>
      </c>
      <c r="C3203" t="s">
        <v>24659</v>
      </c>
      <c r="E3203">
        <v>242</v>
      </c>
      <c r="F3203">
        <v>241</v>
      </c>
      <c r="G3203">
        <v>240</v>
      </c>
      <c r="O3203" t="s">
        <v>417</v>
      </c>
    </row>
    <row r="3204" spans="2:17" x14ac:dyDescent="0.25">
      <c r="B3204">
        <v>12802</v>
      </c>
      <c r="C3204" t="s">
        <v>18517</v>
      </c>
      <c r="E3204">
        <v>242</v>
      </c>
      <c r="F3204">
        <v>241</v>
      </c>
      <c r="G3204">
        <v>240</v>
      </c>
      <c r="O3204" t="s">
        <v>7818</v>
      </c>
    </row>
    <row r="3205" spans="2:17" x14ac:dyDescent="0.25">
      <c r="B3205">
        <v>12803</v>
      </c>
      <c r="C3205" t="s">
        <v>24660</v>
      </c>
      <c r="E3205">
        <v>242</v>
      </c>
      <c r="F3205">
        <v>241</v>
      </c>
      <c r="G3205">
        <v>240</v>
      </c>
      <c r="O3205" t="s">
        <v>15099</v>
      </c>
    </row>
    <row r="3206" spans="2:17" x14ac:dyDescent="0.25">
      <c r="B3206">
        <v>12804</v>
      </c>
      <c r="C3206" t="s">
        <v>24661</v>
      </c>
      <c r="E3206">
        <v>242</v>
      </c>
      <c r="F3206">
        <v>241</v>
      </c>
      <c r="G3206">
        <v>240</v>
      </c>
      <c r="O3206" t="s">
        <v>7820</v>
      </c>
    </row>
    <row r="3207" spans="2:17" x14ac:dyDescent="0.25">
      <c r="B3207">
        <v>10669</v>
      </c>
      <c r="C3207" t="s">
        <v>24662</v>
      </c>
      <c r="E3207">
        <v>35</v>
      </c>
      <c r="F3207">
        <v>31</v>
      </c>
      <c r="G3207">
        <v>32</v>
      </c>
      <c r="N3207" t="s">
        <v>2005</v>
      </c>
    </row>
    <row r="3208" spans="2:17" x14ac:dyDescent="0.25">
      <c r="B3208">
        <v>12805</v>
      </c>
      <c r="C3208" t="s">
        <v>24663</v>
      </c>
      <c r="E3208">
        <v>35</v>
      </c>
      <c r="F3208">
        <v>31</v>
      </c>
      <c r="G3208">
        <v>32</v>
      </c>
      <c r="O3208" t="s">
        <v>2007</v>
      </c>
    </row>
    <row r="3209" spans="2:17" x14ac:dyDescent="0.25">
      <c r="B3209">
        <v>12806</v>
      </c>
      <c r="C3209" t="s">
        <v>24664</v>
      </c>
      <c r="E3209">
        <v>35</v>
      </c>
      <c r="F3209">
        <v>31</v>
      </c>
      <c r="G3209">
        <v>32</v>
      </c>
      <c r="P3209" t="s">
        <v>7822</v>
      </c>
    </row>
    <row r="3210" spans="2:17" x14ac:dyDescent="0.25">
      <c r="B3210">
        <v>12810</v>
      </c>
      <c r="C3210" t="s">
        <v>24665</v>
      </c>
      <c r="E3210">
        <v>35</v>
      </c>
      <c r="F3210">
        <v>31</v>
      </c>
      <c r="G3210">
        <v>32</v>
      </c>
      <c r="Q3210" t="s">
        <v>2702</v>
      </c>
    </row>
    <row r="3211" spans="2:17" x14ac:dyDescent="0.25">
      <c r="B3211">
        <v>12813</v>
      </c>
      <c r="C3211" t="s">
        <v>24666</v>
      </c>
      <c r="E3211">
        <v>35</v>
      </c>
      <c r="F3211">
        <v>31</v>
      </c>
      <c r="G3211">
        <v>32</v>
      </c>
      <c r="P3211" t="s">
        <v>7830</v>
      </c>
    </row>
    <row r="3212" spans="2:17" x14ac:dyDescent="0.25">
      <c r="B3212">
        <v>12826</v>
      </c>
      <c r="C3212" t="s">
        <v>24667</v>
      </c>
      <c r="E3212">
        <v>35</v>
      </c>
      <c r="F3212">
        <v>31</v>
      </c>
      <c r="G3212">
        <v>32</v>
      </c>
      <c r="O3212" t="s">
        <v>7854</v>
      </c>
    </row>
    <row r="3213" spans="2:17" x14ac:dyDescent="0.25">
      <c r="B3213">
        <v>10670</v>
      </c>
      <c r="C3213" t="s">
        <v>24668</v>
      </c>
      <c r="E3213">
        <v>200</v>
      </c>
      <c r="F3213">
        <v>201</v>
      </c>
      <c r="G3213">
        <v>202</v>
      </c>
      <c r="N3213" t="s">
        <v>5409</v>
      </c>
    </row>
    <row r="3214" spans="2:17" x14ac:dyDescent="0.25">
      <c r="B3214">
        <v>12827</v>
      </c>
      <c r="C3214" t="s">
        <v>24669</v>
      </c>
      <c r="E3214">
        <v>200</v>
      </c>
      <c r="F3214">
        <v>201</v>
      </c>
      <c r="G3214">
        <v>202</v>
      </c>
      <c r="O3214" t="s">
        <v>7856</v>
      </c>
    </row>
    <row r="3215" spans="2:17" x14ac:dyDescent="0.25">
      <c r="B3215">
        <v>12828</v>
      </c>
      <c r="C3215" t="s">
        <v>20800</v>
      </c>
      <c r="E3215">
        <v>109</v>
      </c>
      <c r="F3215">
        <v>110</v>
      </c>
      <c r="G3215">
        <v>112</v>
      </c>
      <c r="P3215" t="s">
        <v>1061</v>
      </c>
    </row>
    <row r="3216" spans="2:17" x14ac:dyDescent="0.25">
      <c r="B3216">
        <v>12829</v>
      </c>
      <c r="C3216" t="s">
        <v>24670</v>
      </c>
      <c r="E3216">
        <v>109</v>
      </c>
      <c r="F3216">
        <v>110</v>
      </c>
      <c r="G3216">
        <v>112</v>
      </c>
      <c r="Q3216" t="s">
        <v>7858</v>
      </c>
    </row>
    <row r="3217" spans="2:18" x14ac:dyDescent="0.25">
      <c r="B3217">
        <v>12830</v>
      </c>
      <c r="C3217" t="s">
        <v>24671</v>
      </c>
      <c r="E3217">
        <v>109</v>
      </c>
      <c r="F3217">
        <v>110</v>
      </c>
      <c r="G3217">
        <v>112</v>
      </c>
      <c r="Q3217" t="s">
        <v>7860</v>
      </c>
    </row>
    <row r="3218" spans="2:18" x14ac:dyDescent="0.25">
      <c r="B3218">
        <v>266441729</v>
      </c>
      <c r="C3218" t="s">
        <v>20984</v>
      </c>
      <c r="E3218">
        <v>109</v>
      </c>
      <c r="F3218">
        <v>110</v>
      </c>
      <c r="G3218">
        <v>112</v>
      </c>
      <c r="Q3218" t="s">
        <v>2524</v>
      </c>
    </row>
    <row r="3219" spans="2:18" x14ac:dyDescent="0.25">
      <c r="B3219">
        <v>12831</v>
      </c>
      <c r="C3219" t="s">
        <v>24672</v>
      </c>
      <c r="E3219">
        <v>109</v>
      </c>
      <c r="F3219">
        <v>110</v>
      </c>
      <c r="G3219">
        <v>112</v>
      </c>
      <c r="Q3219" t="s">
        <v>7862</v>
      </c>
    </row>
    <row r="3220" spans="2:18" x14ac:dyDescent="0.25">
      <c r="B3220">
        <v>12832</v>
      </c>
      <c r="C3220" t="s">
        <v>20976</v>
      </c>
      <c r="E3220">
        <v>109</v>
      </c>
      <c r="F3220">
        <v>110</v>
      </c>
      <c r="G3220">
        <v>112</v>
      </c>
      <c r="Q3220" t="s">
        <v>7864</v>
      </c>
    </row>
    <row r="3221" spans="2:18" x14ac:dyDescent="0.25">
      <c r="B3221">
        <v>12833</v>
      </c>
      <c r="C3221" t="s">
        <v>24673</v>
      </c>
      <c r="E3221">
        <v>109</v>
      </c>
      <c r="F3221">
        <v>110</v>
      </c>
      <c r="G3221">
        <v>112</v>
      </c>
      <c r="Q3221" t="s">
        <v>7866</v>
      </c>
    </row>
    <row r="3222" spans="2:18" x14ac:dyDescent="0.25">
      <c r="B3222">
        <v>266441733</v>
      </c>
      <c r="C3222" t="s">
        <v>20986</v>
      </c>
      <c r="E3222">
        <v>109</v>
      </c>
      <c r="F3222">
        <v>110</v>
      </c>
      <c r="G3222">
        <v>112</v>
      </c>
      <c r="Q3222" t="s">
        <v>301</v>
      </c>
    </row>
    <row r="3223" spans="2:18" x14ac:dyDescent="0.25">
      <c r="B3223">
        <v>12834</v>
      </c>
      <c r="C3223" t="s">
        <v>24674</v>
      </c>
      <c r="E3223">
        <v>109</v>
      </c>
      <c r="F3223">
        <v>110</v>
      </c>
      <c r="G3223">
        <v>112</v>
      </c>
      <c r="Q3223" t="s">
        <v>7868</v>
      </c>
    </row>
    <row r="3224" spans="2:18" x14ac:dyDescent="0.25">
      <c r="B3224">
        <v>146035004</v>
      </c>
      <c r="C3224" t="s">
        <v>24675</v>
      </c>
      <c r="E3224">
        <v>109</v>
      </c>
      <c r="F3224">
        <v>110</v>
      </c>
      <c r="G3224">
        <v>112</v>
      </c>
      <c r="Q3224" t="s">
        <v>8277</v>
      </c>
    </row>
    <row r="3225" spans="2:18" x14ac:dyDescent="0.25">
      <c r="B3225">
        <v>12835</v>
      </c>
      <c r="C3225" t="s">
        <v>24676</v>
      </c>
      <c r="E3225">
        <v>109</v>
      </c>
      <c r="F3225">
        <v>110</v>
      </c>
      <c r="G3225">
        <v>112</v>
      </c>
      <c r="Q3225" t="s">
        <v>7870</v>
      </c>
    </row>
    <row r="3226" spans="2:18" x14ac:dyDescent="0.25">
      <c r="B3226">
        <v>12836</v>
      </c>
      <c r="C3226" t="s">
        <v>24677</v>
      </c>
      <c r="E3226">
        <v>109</v>
      </c>
      <c r="F3226">
        <v>110</v>
      </c>
      <c r="G3226">
        <v>112</v>
      </c>
      <c r="Q3226" t="s">
        <v>7872</v>
      </c>
    </row>
    <row r="3227" spans="2:18" x14ac:dyDescent="0.25">
      <c r="B3227">
        <v>12837</v>
      </c>
      <c r="C3227" t="s">
        <v>24678</v>
      </c>
      <c r="E3227">
        <v>97</v>
      </c>
      <c r="F3227">
        <v>151</v>
      </c>
      <c r="G3227">
        <v>208</v>
      </c>
      <c r="P3227" t="s">
        <v>7874</v>
      </c>
    </row>
    <row r="3228" spans="2:18" x14ac:dyDescent="0.25">
      <c r="B3228">
        <v>12838</v>
      </c>
      <c r="C3228" t="s">
        <v>24679</v>
      </c>
      <c r="E3228">
        <v>74</v>
      </c>
      <c r="F3228">
        <v>142</v>
      </c>
      <c r="G3228">
        <v>204</v>
      </c>
      <c r="Q3228" t="s">
        <v>350</v>
      </c>
    </row>
    <row r="3229" spans="2:18" x14ac:dyDescent="0.25">
      <c r="B3229">
        <v>12839</v>
      </c>
      <c r="C3229" t="s">
        <v>24680</v>
      </c>
      <c r="E3229">
        <v>74</v>
      </c>
      <c r="F3229">
        <v>142</v>
      </c>
      <c r="G3229">
        <v>204</v>
      </c>
      <c r="R3229" t="s">
        <v>4270</v>
      </c>
    </row>
    <row r="3230" spans="2:18" x14ac:dyDescent="0.25">
      <c r="B3230">
        <v>12840</v>
      </c>
      <c r="C3230" t="s">
        <v>24681</v>
      </c>
      <c r="E3230">
        <v>74</v>
      </c>
      <c r="F3230">
        <v>142</v>
      </c>
      <c r="G3230">
        <v>204</v>
      </c>
      <c r="R3230" t="s">
        <v>4272</v>
      </c>
    </row>
    <row r="3231" spans="2:18" x14ac:dyDescent="0.25">
      <c r="B3231">
        <v>12841</v>
      </c>
      <c r="C3231" t="s">
        <v>24682</v>
      </c>
      <c r="E3231">
        <v>74</v>
      </c>
      <c r="F3231">
        <v>142</v>
      </c>
      <c r="G3231">
        <v>204</v>
      </c>
      <c r="R3231" t="s">
        <v>1073</v>
      </c>
    </row>
    <row r="3232" spans="2:18" x14ac:dyDescent="0.25">
      <c r="B3232">
        <v>12842</v>
      </c>
      <c r="C3232" t="s">
        <v>24683</v>
      </c>
      <c r="E3232">
        <v>74</v>
      </c>
      <c r="F3232">
        <v>142</v>
      </c>
      <c r="G3232">
        <v>204</v>
      </c>
      <c r="R3232" t="s">
        <v>1075</v>
      </c>
    </row>
    <row r="3233" spans="2:18" x14ac:dyDescent="0.25">
      <c r="B3233">
        <v>12843</v>
      </c>
      <c r="C3233" t="s">
        <v>17240</v>
      </c>
      <c r="E3233">
        <v>74</v>
      </c>
      <c r="F3233">
        <v>142</v>
      </c>
      <c r="G3233">
        <v>204</v>
      </c>
      <c r="R3233" t="s">
        <v>1077</v>
      </c>
    </row>
    <row r="3234" spans="2:18" x14ac:dyDescent="0.25">
      <c r="B3234">
        <v>12844</v>
      </c>
      <c r="C3234" t="s">
        <v>24684</v>
      </c>
      <c r="E3234">
        <v>62</v>
      </c>
      <c r="F3234">
        <v>128</v>
      </c>
      <c r="G3234">
        <v>186</v>
      </c>
      <c r="Q3234" t="s">
        <v>3944</v>
      </c>
    </row>
    <row r="3235" spans="2:18" x14ac:dyDescent="0.25">
      <c r="B3235">
        <v>12845</v>
      </c>
      <c r="C3235" t="s">
        <v>24685</v>
      </c>
      <c r="E3235">
        <v>62</v>
      </c>
      <c r="F3235">
        <v>128</v>
      </c>
      <c r="G3235">
        <v>186</v>
      </c>
      <c r="R3235" t="s">
        <v>1079</v>
      </c>
    </row>
    <row r="3236" spans="2:18" x14ac:dyDescent="0.25">
      <c r="B3236">
        <v>12846</v>
      </c>
      <c r="C3236" t="s">
        <v>24686</v>
      </c>
      <c r="E3236">
        <v>62</v>
      </c>
      <c r="F3236">
        <v>128</v>
      </c>
      <c r="G3236">
        <v>186</v>
      </c>
      <c r="R3236" t="s">
        <v>1165</v>
      </c>
    </row>
    <row r="3237" spans="2:18" x14ac:dyDescent="0.25">
      <c r="B3237">
        <v>12847</v>
      </c>
      <c r="C3237" t="s">
        <v>24687</v>
      </c>
      <c r="E3237">
        <v>62</v>
      </c>
      <c r="F3237">
        <v>128</v>
      </c>
      <c r="G3237">
        <v>186</v>
      </c>
      <c r="R3237" t="s">
        <v>1170</v>
      </c>
    </row>
    <row r="3238" spans="2:18" x14ac:dyDescent="0.25">
      <c r="B3238">
        <v>12848</v>
      </c>
      <c r="C3238" t="s">
        <v>24688</v>
      </c>
      <c r="E3238">
        <v>62</v>
      </c>
      <c r="F3238">
        <v>128</v>
      </c>
      <c r="G3238">
        <v>186</v>
      </c>
      <c r="R3238" t="s">
        <v>1081</v>
      </c>
    </row>
    <row r="3239" spans="2:18" x14ac:dyDescent="0.25">
      <c r="B3239">
        <v>12849</v>
      </c>
      <c r="C3239" t="s">
        <v>24689</v>
      </c>
      <c r="E3239">
        <v>62</v>
      </c>
      <c r="F3239">
        <v>128</v>
      </c>
      <c r="G3239">
        <v>186</v>
      </c>
      <c r="R3239" t="s">
        <v>4274</v>
      </c>
    </row>
    <row r="3240" spans="2:18" x14ac:dyDescent="0.25">
      <c r="B3240">
        <v>12850</v>
      </c>
      <c r="C3240" t="s">
        <v>24690</v>
      </c>
      <c r="E3240">
        <v>62</v>
      </c>
      <c r="F3240">
        <v>128</v>
      </c>
      <c r="G3240">
        <v>186</v>
      </c>
      <c r="R3240" t="s">
        <v>1083</v>
      </c>
    </row>
    <row r="3241" spans="2:18" x14ac:dyDescent="0.25">
      <c r="B3241">
        <v>12851</v>
      </c>
      <c r="C3241" t="s">
        <v>24691</v>
      </c>
      <c r="E3241">
        <v>62</v>
      </c>
      <c r="F3241">
        <v>128</v>
      </c>
      <c r="G3241">
        <v>186</v>
      </c>
      <c r="R3241" t="s">
        <v>1085</v>
      </c>
    </row>
    <row r="3242" spans="2:18" x14ac:dyDescent="0.25">
      <c r="B3242">
        <v>12852</v>
      </c>
      <c r="C3242" t="s">
        <v>24692</v>
      </c>
      <c r="E3242">
        <v>50</v>
      </c>
      <c r="F3242">
        <v>114</v>
      </c>
      <c r="G3242">
        <v>174</v>
      </c>
      <c r="Q3242" t="s">
        <v>1842</v>
      </c>
    </row>
    <row r="3243" spans="2:18" x14ac:dyDescent="0.25">
      <c r="B3243">
        <v>12853</v>
      </c>
      <c r="C3243" t="s">
        <v>24693</v>
      </c>
      <c r="E3243">
        <v>50</v>
      </c>
      <c r="F3243">
        <v>114</v>
      </c>
      <c r="G3243">
        <v>174</v>
      </c>
      <c r="R3243" t="s">
        <v>1846</v>
      </c>
    </row>
    <row r="3244" spans="2:18" x14ac:dyDescent="0.25">
      <c r="B3244">
        <v>12856</v>
      </c>
      <c r="C3244" t="s">
        <v>24694</v>
      </c>
      <c r="E3244">
        <v>200</v>
      </c>
      <c r="F3244">
        <v>201</v>
      </c>
      <c r="G3244">
        <v>202</v>
      </c>
      <c r="O3244" t="s">
        <v>7876</v>
      </c>
    </row>
    <row r="3245" spans="2:18" x14ac:dyDescent="0.25">
      <c r="B3245">
        <v>12857</v>
      </c>
      <c r="C3245" t="s">
        <v>24695</v>
      </c>
      <c r="E3245">
        <v>109</v>
      </c>
      <c r="F3245">
        <v>110</v>
      </c>
      <c r="G3245">
        <v>112</v>
      </c>
      <c r="P3245" t="s">
        <v>7878</v>
      </c>
    </row>
    <row r="3246" spans="2:18" x14ac:dyDescent="0.25">
      <c r="B3246">
        <v>146035008</v>
      </c>
      <c r="C3246" t="s">
        <v>24696</v>
      </c>
      <c r="E3246">
        <v>109</v>
      </c>
      <c r="F3246">
        <v>110</v>
      </c>
      <c r="G3246">
        <v>112</v>
      </c>
      <c r="P3246" t="s">
        <v>8279</v>
      </c>
    </row>
    <row r="3247" spans="2:18" x14ac:dyDescent="0.25">
      <c r="B3247">
        <v>12858</v>
      </c>
      <c r="C3247" t="s">
        <v>24697</v>
      </c>
      <c r="E3247">
        <v>109</v>
      </c>
      <c r="F3247">
        <v>110</v>
      </c>
      <c r="G3247">
        <v>112</v>
      </c>
      <c r="P3247" t="s">
        <v>7880</v>
      </c>
    </row>
    <row r="3248" spans="2:18" x14ac:dyDescent="0.25">
      <c r="B3248">
        <v>12859</v>
      </c>
      <c r="C3248" t="s">
        <v>24698</v>
      </c>
      <c r="E3248">
        <v>109</v>
      </c>
      <c r="F3248">
        <v>110</v>
      </c>
      <c r="G3248">
        <v>112</v>
      </c>
      <c r="P3248" t="s">
        <v>7882</v>
      </c>
    </row>
    <row r="3249" spans="2:17" x14ac:dyDescent="0.25">
      <c r="B3249">
        <v>12860</v>
      </c>
      <c r="C3249" t="s">
        <v>24699</v>
      </c>
      <c r="E3249">
        <v>109</v>
      </c>
      <c r="F3249">
        <v>110</v>
      </c>
      <c r="G3249">
        <v>112</v>
      </c>
      <c r="P3249" t="s">
        <v>3947</v>
      </c>
    </row>
    <row r="3250" spans="2:17" x14ac:dyDescent="0.25">
      <c r="B3250">
        <v>12861</v>
      </c>
      <c r="C3250" t="s">
        <v>17839</v>
      </c>
      <c r="E3250">
        <v>208</v>
      </c>
      <c r="F3250">
        <v>208</v>
      </c>
      <c r="G3250">
        <v>209</v>
      </c>
      <c r="P3250" t="s">
        <v>4864</v>
      </c>
    </row>
    <row r="3251" spans="2:17" x14ac:dyDescent="0.25">
      <c r="B3251">
        <v>12862</v>
      </c>
      <c r="C3251" t="s">
        <v>17923</v>
      </c>
      <c r="E3251">
        <v>208</v>
      </c>
      <c r="F3251">
        <v>208</v>
      </c>
      <c r="G3251">
        <v>209</v>
      </c>
      <c r="P3251" t="s">
        <v>1818</v>
      </c>
    </row>
    <row r="3252" spans="2:17" x14ac:dyDescent="0.25">
      <c r="B3252">
        <v>12863</v>
      </c>
      <c r="C3252" t="s">
        <v>24700</v>
      </c>
      <c r="E3252">
        <v>208</v>
      </c>
      <c r="F3252">
        <v>208</v>
      </c>
      <c r="G3252">
        <v>209</v>
      </c>
      <c r="Q3252" t="s">
        <v>3188</v>
      </c>
    </row>
    <row r="3253" spans="2:17" x14ac:dyDescent="0.25">
      <c r="B3253">
        <v>12864</v>
      </c>
      <c r="C3253" t="s">
        <v>24701</v>
      </c>
      <c r="E3253">
        <v>208</v>
      </c>
      <c r="F3253">
        <v>208</v>
      </c>
      <c r="G3253">
        <v>209</v>
      </c>
      <c r="Q3253" t="s">
        <v>3210</v>
      </c>
    </row>
    <row r="3254" spans="2:17" x14ac:dyDescent="0.25">
      <c r="B3254">
        <v>12865</v>
      </c>
      <c r="C3254" t="s">
        <v>17748</v>
      </c>
      <c r="E3254">
        <v>208</v>
      </c>
      <c r="F3254">
        <v>208</v>
      </c>
      <c r="G3254">
        <v>209</v>
      </c>
      <c r="P3254" t="s">
        <v>7884</v>
      </c>
    </row>
    <row r="3255" spans="2:17" x14ac:dyDescent="0.25">
      <c r="B3255">
        <v>12866</v>
      </c>
      <c r="C3255" t="s">
        <v>24702</v>
      </c>
      <c r="E3255">
        <v>208</v>
      </c>
      <c r="F3255">
        <v>208</v>
      </c>
      <c r="G3255">
        <v>209</v>
      </c>
      <c r="Q3255" t="s">
        <v>3191</v>
      </c>
    </row>
    <row r="3256" spans="2:17" x14ac:dyDescent="0.25">
      <c r="B3256">
        <v>12867</v>
      </c>
      <c r="C3256" t="s">
        <v>24703</v>
      </c>
      <c r="E3256">
        <v>208</v>
      </c>
      <c r="F3256">
        <v>208</v>
      </c>
      <c r="G3256">
        <v>209</v>
      </c>
      <c r="Q3256" t="s">
        <v>3212</v>
      </c>
    </row>
    <row r="3257" spans="2:17" x14ac:dyDescent="0.25">
      <c r="B3257">
        <v>12868</v>
      </c>
      <c r="C3257" t="s">
        <v>18007</v>
      </c>
      <c r="E3257">
        <v>208</v>
      </c>
      <c r="F3257">
        <v>208</v>
      </c>
      <c r="G3257">
        <v>209</v>
      </c>
      <c r="P3257" t="s">
        <v>4845</v>
      </c>
    </row>
    <row r="3258" spans="2:17" x14ac:dyDescent="0.25">
      <c r="B3258">
        <v>12870</v>
      </c>
      <c r="C3258" t="s">
        <v>24704</v>
      </c>
      <c r="E3258">
        <v>208</v>
      </c>
      <c r="F3258">
        <v>208</v>
      </c>
      <c r="G3258">
        <v>209</v>
      </c>
      <c r="Q3258" t="s">
        <v>7886</v>
      </c>
    </row>
    <row r="3259" spans="2:17" x14ac:dyDescent="0.25">
      <c r="B3259">
        <v>12869</v>
      </c>
      <c r="C3259" t="s">
        <v>24705</v>
      </c>
      <c r="E3259">
        <v>208</v>
      </c>
      <c r="F3259">
        <v>208</v>
      </c>
      <c r="G3259">
        <v>209</v>
      </c>
      <c r="Q3259" t="s">
        <v>971</v>
      </c>
    </row>
    <row r="3260" spans="2:17" x14ac:dyDescent="0.25">
      <c r="B3260">
        <v>12871</v>
      </c>
      <c r="C3260" t="s">
        <v>24706</v>
      </c>
      <c r="E3260">
        <v>208</v>
      </c>
      <c r="F3260">
        <v>208</v>
      </c>
      <c r="G3260">
        <v>209</v>
      </c>
      <c r="P3260" t="s">
        <v>7888</v>
      </c>
    </row>
    <row r="3261" spans="2:17" x14ac:dyDescent="0.25">
      <c r="B3261">
        <v>146035012</v>
      </c>
      <c r="C3261" t="s">
        <v>24707</v>
      </c>
      <c r="E3261">
        <v>208</v>
      </c>
      <c r="F3261">
        <v>208</v>
      </c>
      <c r="G3261">
        <v>209</v>
      </c>
      <c r="P3261" t="s">
        <v>8281</v>
      </c>
    </row>
    <row r="3262" spans="2:17" x14ac:dyDescent="0.25">
      <c r="B3262">
        <v>12807</v>
      </c>
      <c r="C3262" t="s">
        <v>20395</v>
      </c>
      <c r="E3262">
        <v>135</v>
      </c>
      <c r="F3262">
        <v>40</v>
      </c>
      <c r="G3262">
        <v>26</v>
      </c>
      <c r="Q3262" t="s">
        <v>514</v>
      </c>
    </row>
    <row r="3263" spans="2:17" x14ac:dyDescent="0.25">
      <c r="B3263">
        <v>12808</v>
      </c>
      <c r="C3263" t="s">
        <v>24708</v>
      </c>
      <c r="E3263">
        <v>135</v>
      </c>
      <c r="F3263">
        <v>38</v>
      </c>
      <c r="G3263">
        <v>1</v>
      </c>
      <c r="Q3263" t="s">
        <v>1228</v>
      </c>
    </row>
    <row r="3264" spans="2:17" x14ac:dyDescent="0.25">
      <c r="B3264">
        <v>12814</v>
      </c>
      <c r="C3264" t="s">
        <v>24709</v>
      </c>
      <c r="E3264">
        <v>109</v>
      </c>
      <c r="F3264">
        <v>110</v>
      </c>
      <c r="G3264">
        <v>112</v>
      </c>
      <c r="Q3264" t="s">
        <v>7832</v>
      </c>
    </row>
    <row r="3265" spans="2:17" x14ac:dyDescent="0.25">
      <c r="B3265">
        <v>12815</v>
      </c>
      <c r="C3265" t="s">
        <v>24710</v>
      </c>
      <c r="E3265">
        <v>109</v>
      </c>
      <c r="F3265">
        <v>110</v>
      </c>
      <c r="G3265">
        <v>112</v>
      </c>
      <c r="Q3265" t="s">
        <v>7834</v>
      </c>
    </row>
    <row r="3266" spans="2:17" x14ac:dyDescent="0.25">
      <c r="B3266">
        <v>12816</v>
      </c>
      <c r="C3266" t="s">
        <v>24711</v>
      </c>
      <c r="E3266">
        <v>109</v>
      </c>
      <c r="F3266">
        <v>110</v>
      </c>
      <c r="G3266">
        <v>112</v>
      </c>
      <c r="Q3266" t="s">
        <v>7836</v>
      </c>
    </row>
    <row r="3267" spans="2:17" x14ac:dyDescent="0.25">
      <c r="B3267">
        <v>12817</v>
      </c>
      <c r="C3267" t="s">
        <v>24712</v>
      </c>
      <c r="E3267">
        <v>109</v>
      </c>
      <c r="F3267">
        <v>110</v>
      </c>
      <c r="G3267">
        <v>112</v>
      </c>
      <c r="Q3267" t="s">
        <v>7838</v>
      </c>
    </row>
    <row r="3268" spans="2:17" x14ac:dyDescent="0.25">
      <c r="B3268">
        <v>12818</v>
      </c>
      <c r="C3268" t="s">
        <v>24713</v>
      </c>
      <c r="E3268">
        <v>109</v>
      </c>
      <c r="F3268">
        <v>110</v>
      </c>
      <c r="G3268">
        <v>112</v>
      </c>
      <c r="Q3268" t="s">
        <v>7840</v>
      </c>
    </row>
    <row r="3269" spans="2:17" x14ac:dyDescent="0.25">
      <c r="B3269">
        <v>12809</v>
      </c>
      <c r="C3269" t="s">
        <v>24714</v>
      </c>
      <c r="E3269">
        <v>109</v>
      </c>
      <c r="F3269">
        <v>110</v>
      </c>
      <c r="G3269">
        <v>112</v>
      </c>
      <c r="Q3269" t="s">
        <v>7824</v>
      </c>
    </row>
    <row r="3270" spans="2:17" x14ac:dyDescent="0.25">
      <c r="B3270">
        <v>12819</v>
      </c>
      <c r="C3270" t="s">
        <v>17425</v>
      </c>
      <c r="E3270">
        <v>81</v>
      </c>
      <c r="F3270">
        <v>125</v>
      </c>
      <c r="G3270">
        <v>190</v>
      </c>
      <c r="Q3270" t="s">
        <v>2798</v>
      </c>
    </row>
    <row r="3271" spans="2:17" x14ac:dyDescent="0.25">
      <c r="B3271">
        <v>12820</v>
      </c>
      <c r="C3271" t="s">
        <v>24715</v>
      </c>
      <c r="E3271">
        <v>193</v>
      </c>
      <c r="F3271">
        <v>120</v>
      </c>
      <c r="G3271">
        <v>162</v>
      </c>
      <c r="Q3271" t="s">
        <v>7842</v>
      </c>
    </row>
    <row r="3272" spans="2:17" x14ac:dyDescent="0.25">
      <c r="B3272">
        <v>12811</v>
      </c>
      <c r="C3272" t="s">
        <v>24716</v>
      </c>
      <c r="E3272">
        <v>109</v>
      </c>
      <c r="F3272">
        <v>110</v>
      </c>
      <c r="G3272">
        <v>112</v>
      </c>
      <c r="Q3272" t="s">
        <v>7826</v>
      </c>
    </row>
    <row r="3273" spans="2:17" x14ac:dyDescent="0.25">
      <c r="B3273">
        <v>12821</v>
      </c>
      <c r="C3273" t="s">
        <v>24717</v>
      </c>
      <c r="E3273">
        <v>109</v>
      </c>
      <c r="F3273">
        <v>110</v>
      </c>
      <c r="G3273">
        <v>112</v>
      </c>
      <c r="Q3273" t="s">
        <v>7844</v>
      </c>
    </row>
    <row r="3274" spans="2:17" x14ac:dyDescent="0.25">
      <c r="B3274">
        <v>12812</v>
      </c>
      <c r="C3274" t="s">
        <v>24718</v>
      </c>
      <c r="E3274">
        <v>109</v>
      </c>
      <c r="F3274">
        <v>110</v>
      </c>
      <c r="G3274">
        <v>112</v>
      </c>
      <c r="Q3274" t="s">
        <v>7828</v>
      </c>
    </row>
    <row r="3275" spans="2:17" x14ac:dyDescent="0.25">
      <c r="B3275">
        <v>12823</v>
      </c>
      <c r="C3275" t="s">
        <v>24719</v>
      </c>
      <c r="E3275">
        <v>109</v>
      </c>
      <c r="F3275">
        <v>110</v>
      </c>
      <c r="G3275">
        <v>112</v>
      </c>
      <c r="Q3275" t="s">
        <v>7848</v>
      </c>
    </row>
    <row r="3276" spans="2:17" x14ac:dyDescent="0.25">
      <c r="B3276">
        <v>12824</v>
      </c>
      <c r="C3276" t="s">
        <v>24720</v>
      </c>
      <c r="E3276">
        <v>109</v>
      </c>
      <c r="F3276">
        <v>110</v>
      </c>
      <c r="G3276">
        <v>112</v>
      </c>
      <c r="Q3276" t="s">
        <v>7850</v>
      </c>
    </row>
    <row r="3277" spans="2:17" x14ac:dyDescent="0.25">
      <c r="B3277">
        <v>12825</v>
      </c>
      <c r="C3277" t="s">
        <v>24721</v>
      </c>
      <c r="E3277">
        <v>109</v>
      </c>
      <c r="F3277">
        <v>110</v>
      </c>
      <c r="G3277">
        <v>112</v>
      </c>
      <c r="Q3277" t="s">
        <v>7852</v>
      </c>
    </row>
    <row r="3278" spans="2:17" x14ac:dyDescent="0.25">
      <c r="B3278">
        <v>12872</v>
      </c>
      <c r="C3278" t="s">
        <v>24722</v>
      </c>
      <c r="E3278">
        <v>200</v>
      </c>
      <c r="F3278">
        <v>201</v>
      </c>
      <c r="G3278">
        <v>202</v>
      </c>
      <c r="O3278" t="s">
        <v>7890</v>
      </c>
    </row>
    <row r="3279" spans="2:17" x14ac:dyDescent="0.25">
      <c r="B3279">
        <v>12873</v>
      </c>
      <c r="C3279" t="s">
        <v>24723</v>
      </c>
      <c r="E3279">
        <v>109</v>
      </c>
      <c r="F3279">
        <v>110</v>
      </c>
      <c r="G3279">
        <v>112</v>
      </c>
      <c r="P3279" t="s">
        <v>7892</v>
      </c>
    </row>
    <row r="3280" spans="2:17" x14ac:dyDescent="0.25">
      <c r="B3280">
        <v>12874</v>
      </c>
      <c r="C3280" t="s">
        <v>24724</v>
      </c>
      <c r="E3280">
        <v>109</v>
      </c>
      <c r="F3280">
        <v>110</v>
      </c>
      <c r="G3280">
        <v>112</v>
      </c>
      <c r="Q3280" t="s">
        <v>7894</v>
      </c>
    </row>
    <row r="3281" spans="2:17" x14ac:dyDescent="0.25">
      <c r="B3281">
        <v>12875</v>
      </c>
      <c r="C3281" t="s">
        <v>24725</v>
      </c>
      <c r="E3281">
        <v>208</v>
      </c>
      <c r="F3281">
        <v>208</v>
      </c>
      <c r="G3281">
        <v>209</v>
      </c>
      <c r="P3281" t="s">
        <v>7896</v>
      </c>
    </row>
    <row r="3282" spans="2:17" x14ac:dyDescent="0.25">
      <c r="B3282">
        <v>12876</v>
      </c>
      <c r="C3282" t="s">
        <v>24726</v>
      </c>
      <c r="E3282">
        <v>109</v>
      </c>
      <c r="F3282">
        <v>110</v>
      </c>
      <c r="G3282">
        <v>112</v>
      </c>
      <c r="P3282" t="s">
        <v>7898</v>
      </c>
    </row>
    <row r="3283" spans="2:17" x14ac:dyDescent="0.25">
      <c r="B3283">
        <v>12877</v>
      </c>
      <c r="C3283" t="s">
        <v>24727</v>
      </c>
      <c r="E3283">
        <v>208</v>
      </c>
      <c r="F3283">
        <v>208</v>
      </c>
      <c r="G3283">
        <v>209</v>
      </c>
      <c r="P3283" t="s">
        <v>7900</v>
      </c>
    </row>
    <row r="3284" spans="2:17" x14ac:dyDescent="0.25">
      <c r="B3284">
        <v>12878</v>
      </c>
      <c r="C3284" t="s">
        <v>24728</v>
      </c>
      <c r="E3284">
        <v>208</v>
      </c>
      <c r="F3284">
        <v>208</v>
      </c>
      <c r="G3284">
        <v>209</v>
      </c>
      <c r="P3284" t="s">
        <v>7902</v>
      </c>
    </row>
    <row r="3285" spans="2:17" x14ac:dyDescent="0.25">
      <c r="B3285">
        <v>12879</v>
      </c>
      <c r="C3285" t="s">
        <v>24729</v>
      </c>
      <c r="E3285">
        <v>208</v>
      </c>
      <c r="F3285">
        <v>208</v>
      </c>
      <c r="G3285">
        <v>209</v>
      </c>
      <c r="P3285" t="s">
        <v>7904</v>
      </c>
    </row>
    <row r="3286" spans="2:17" x14ac:dyDescent="0.25">
      <c r="B3286">
        <v>12880</v>
      </c>
      <c r="C3286" t="s">
        <v>24730</v>
      </c>
      <c r="E3286">
        <v>109</v>
      </c>
      <c r="F3286">
        <v>110</v>
      </c>
      <c r="G3286">
        <v>112</v>
      </c>
      <c r="P3286" t="s">
        <v>7906</v>
      </c>
    </row>
    <row r="3287" spans="2:17" x14ac:dyDescent="0.25">
      <c r="B3287">
        <v>12881</v>
      </c>
      <c r="C3287" t="s">
        <v>24731</v>
      </c>
      <c r="E3287">
        <v>109</v>
      </c>
      <c r="F3287">
        <v>110</v>
      </c>
      <c r="G3287">
        <v>112</v>
      </c>
      <c r="P3287" t="s">
        <v>7908</v>
      </c>
    </row>
    <row r="3288" spans="2:17" x14ac:dyDescent="0.25">
      <c r="B3288">
        <v>12882</v>
      </c>
      <c r="C3288" t="s">
        <v>24732</v>
      </c>
      <c r="E3288">
        <v>109</v>
      </c>
      <c r="F3288">
        <v>110</v>
      </c>
      <c r="G3288">
        <v>112</v>
      </c>
      <c r="P3288" t="s">
        <v>7910</v>
      </c>
    </row>
    <row r="3289" spans="2:17" x14ac:dyDescent="0.25">
      <c r="B3289">
        <v>12883</v>
      </c>
      <c r="C3289" t="s">
        <v>18244</v>
      </c>
      <c r="E3289">
        <v>208</v>
      </c>
      <c r="F3289">
        <v>208</v>
      </c>
      <c r="G3289">
        <v>209</v>
      </c>
      <c r="P3289" t="s">
        <v>185</v>
      </c>
    </row>
    <row r="3290" spans="2:17" x14ac:dyDescent="0.25">
      <c r="B3290">
        <v>12884</v>
      </c>
      <c r="C3290" t="s">
        <v>24733</v>
      </c>
      <c r="E3290">
        <v>208</v>
      </c>
      <c r="F3290">
        <v>208</v>
      </c>
      <c r="G3290">
        <v>209</v>
      </c>
      <c r="Q3290" t="s">
        <v>7912</v>
      </c>
    </row>
    <row r="3291" spans="2:17" x14ac:dyDescent="0.25">
      <c r="B3291">
        <v>12885</v>
      </c>
      <c r="C3291" t="s">
        <v>24734</v>
      </c>
      <c r="E3291">
        <v>208</v>
      </c>
      <c r="F3291">
        <v>208</v>
      </c>
      <c r="G3291">
        <v>209</v>
      </c>
      <c r="Q3291" t="s">
        <v>7914</v>
      </c>
    </row>
    <row r="3292" spans="2:17" x14ac:dyDescent="0.25">
      <c r="B3292">
        <v>12886</v>
      </c>
      <c r="C3292" t="s">
        <v>24735</v>
      </c>
      <c r="E3292">
        <v>208</v>
      </c>
      <c r="F3292">
        <v>208</v>
      </c>
      <c r="G3292">
        <v>209</v>
      </c>
      <c r="P3292" t="s">
        <v>2322</v>
      </c>
    </row>
    <row r="3293" spans="2:17" x14ac:dyDescent="0.25">
      <c r="B3293">
        <v>12887</v>
      </c>
      <c r="C3293" t="s">
        <v>18086</v>
      </c>
      <c r="E3293">
        <v>208</v>
      </c>
      <c r="F3293">
        <v>208</v>
      </c>
      <c r="G3293">
        <v>209</v>
      </c>
      <c r="P3293" t="s">
        <v>2091</v>
      </c>
    </row>
    <row r="3294" spans="2:17" x14ac:dyDescent="0.25">
      <c r="B3294">
        <v>12888</v>
      </c>
      <c r="C3294" t="s">
        <v>18167</v>
      </c>
      <c r="E3294">
        <v>208</v>
      </c>
      <c r="F3294">
        <v>208</v>
      </c>
      <c r="G3294">
        <v>209</v>
      </c>
      <c r="P3294" t="s">
        <v>4869</v>
      </c>
    </row>
    <row r="3295" spans="2:17" x14ac:dyDescent="0.25">
      <c r="B3295">
        <v>12889</v>
      </c>
      <c r="C3295" t="s">
        <v>24736</v>
      </c>
      <c r="E3295">
        <v>208</v>
      </c>
      <c r="F3295">
        <v>208</v>
      </c>
      <c r="G3295">
        <v>209</v>
      </c>
      <c r="P3295" t="s">
        <v>7916</v>
      </c>
    </row>
    <row r="3296" spans="2:17" x14ac:dyDescent="0.25">
      <c r="B3296">
        <v>266441737</v>
      </c>
      <c r="C3296" t="s">
        <v>24737</v>
      </c>
      <c r="E3296">
        <v>90</v>
      </c>
      <c r="F3296">
        <v>26</v>
      </c>
      <c r="G3296">
        <v>33</v>
      </c>
      <c r="N3296" t="s">
        <v>8539</v>
      </c>
    </row>
    <row r="3297" spans="2:15" x14ac:dyDescent="0.25">
      <c r="B3297">
        <v>12890</v>
      </c>
      <c r="C3297" t="s">
        <v>18319</v>
      </c>
      <c r="E3297">
        <v>192</v>
      </c>
      <c r="F3297">
        <v>193</v>
      </c>
      <c r="G3297">
        <v>194</v>
      </c>
      <c r="L3297" t="s">
        <v>4989</v>
      </c>
    </row>
    <row r="3298" spans="2:15" x14ac:dyDescent="0.25">
      <c r="B3298">
        <v>146035048</v>
      </c>
      <c r="C3298" t="s">
        <v>24738</v>
      </c>
      <c r="E3298">
        <v>192</v>
      </c>
      <c r="F3298">
        <v>193</v>
      </c>
      <c r="G3298">
        <v>194</v>
      </c>
      <c r="M3298" t="s">
        <v>2126</v>
      </c>
    </row>
    <row r="3299" spans="2:15" x14ac:dyDescent="0.25">
      <c r="B3299">
        <v>146035052</v>
      </c>
      <c r="C3299" t="s">
        <v>24739</v>
      </c>
      <c r="E3299">
        <v>124</v>
      </c>
      <c r="F3299">
        <v>128</v>
      </c>
      <c r="G3299">
        <v>130</v>
      </c>
      <c r="N3299" t="s">
        <v>4471</v>
      </c>
    </row>
    <row r="3300" spans="2:15" x14ac:dyDescent="0.25">
      <c r="B3300">
        <v>146035056</v>
      </c>
      <c r="C3300" t="s">
        <v>24740</v>
      </c>
      <c r="E3300">
        <v>145</v>
      </c>
      <c r="F3300">
        <v>146</v>
      </c>
      <c r="G3300">
        <v>148</v>
      </c>
      <c r="N3300" t="s">
        <v>4473</v>
      </c>
    </row>
    <row r="3301" spans="2:15" x14ac:dyDescent="0.25">
      <c r="B3301">
        <v>146035060</v>
      </c>
      <c r="C3301" t="s">
        <v>24741</v>
      </c>
      <c r="E3301">
        <v>164</v>
      </c>
      <c r="F3301">
        <v>164</v>
      </c>
      <c r="G3301">
        <v>166</v>
      </c>
      <c r="N3301" t="s">
        <v>4475</v>
      </c>
    </row>
    <row r="3302" spans="2:15" x14ac:dyDescent="0.25">
      <c r="B3302">
        <v>146035064</v>
      </c>
      <c r="C3302" t="s">
        <v>24742</v>
      </c>
      <c r="E3302">
        <v>184</v>
      </c>
      <c r="F3302">
        <v>185</v>
      </c>
      <c r="G3302">
        <v>186</v>
      </c>
      <c r="N3302" t="s">
        <v>4477</v>
      </c>
    </row>
    <row r="3303" spans="2:15" x14ac:dyDescent="0.25">
      <c r="B3303">
        <v>146035068</v>
      </c>
      <c r="C3303" t="s">
        <v>24743</v>
      </c>
      <c r="E3303">
        <v>192</v>
      </c>
      <c r="F3303">
        <v>193</v>
      </c>
      <c r="G3303">
        <v>194</v>
      </c>
      <c r="N3303" t="s">
        <v>4479</v>
      </c>
    </row>
    <row r="3304" spans="2:15" x14ac:dyDescent="0.25">
      <c r="B3304">
        <v>146035072</v>
      </c>
      <c r="C3304" t="s">
        <v>18374</v>
      </c>
      <c r="E3304">
        <v>192</v>
      </c>
      <c r="F3304">
        <v>193</v>
      </c>
      <c r="G3304">
        <v>194</v>
      </c>
      <c r="O3304" t="s">
        <v>4481</v>
      </c>
    </row>
    <row r="3305" spans="2:15" x14ac:dyDescent="0.25">
      <c r="B3305">
        <v>146035076</v>
      </c>
      <c r="C3305" t="s">
        <v>24744</v>
      </c>
      <c r="E3305">
        <v>145</v>
      </c>
      <c r="F3305">
        <v>146</v>
      </c>
      <c r="G3305">
        <v>148</v>
      </c>
      <c r="N3305" t="s">
        <v>4483</v>
      </c>
    </row>
    <row r="3306" spans="2:15" x14ac:dyDescent="0.25">
      <c r="B3306">
        <v>146035080</v>
      </c>
      <c r="C3306" t="s">
        <v>24745</v>
      </c>
      <c r="E3306">
        <v>184</v>
      </c>
      <c r="F3306">
        <v>185</v>
      </c>
      <c r="G3306">
        <v>186</v>
      </c>
      <c r="N3306" t="s">
        <v>4485</v>
      </c>
    </row>
    <row r="3307" spans="2:15" x14ac:dyDescent="0.25">
      <c r="B3307">
        <v>146035084</v>
      </c>
      <c r="C3307" t="s">
        <v>24746</v>
      </c>
      <c r="E3307">
        <v>164</v>
      </c>
      <c r="F3307">
        <v>164</v>
      </c>
      <c r="G3307">
        <v>166</v>
      </c>
      <c r="N3307" t="s">
        <v>4487</v>
      </c>
    </row>
    <row r="3308" spans="2:15" x14ac:dyDescent="0.25">
      <c r="B3308">
        <v>146035088</v>
      </c>
      <c r="C3308" t="s">
        <v>24747</v>
      </c>
      <c r="E3308">
        <v>242</v>
      </c>
      <c r="F3308">
        <v>241</v>
      </c>
      <c r="G3308">
        <v>240</v>
      </c>
      <c r="M3308" t="s">
        <v>4489</v>
      </c>
    </row>
    <row r="3309" spans="2:15" x14ac:dyDescent="0.25">
      <c r="B3309">
        <v>146035092</v>
      </c>
      <c r="C3309" t="s">
        <v>24748</v>
      </c>
      <c r="E3309">
        <v>242</v>
      </c>
      <c r="F3309">
        <v>241</v>
      </c>
      <c r="G3309">
        <v>240</v>
      </c>
      <c r="N3309" t="s">
        <v>4491</v>
      </c>
    </row>
    <row r="3310" spans="2:15" x14ac:dyDescent="0.25">
      <c r="B3310">
        <v>146035096</v>
      </c>
      <c r="C3310" t="s">
        <v>24749</v>
      </c>
      <c r="E3310">
        <v>242</v>
      </c>
      <c r="F3310">
        <v>241</v>
      </c>
      <c r="G3310">
        <v>240</v>
      </c>
      <c r="N3310" t="s">
        <v>4493</v>
      </c>
    </row>
    <row r="3311" spans="2:15" x14ac:dyDescent="0.25">
      <c r="B3311">
        <v>146035100</v>
      </c>
      <c r="C3311" t="s">
        <v>24750</v>
      </c>
      <c r="E3311">
        <v>109</v>
      </c>
      <c r="F3311">
        <v>110</v>
      </c>
      <c r="G3311">
        <v>112</v>
      </c>
      <c r="N3311" t="s">
        <v>4495</v>
      </c>
    </row>
    <row r="3312" spans="2:15" x14ac:dyDescent="0.25">
      <c r="B3312">
        <v>146035104</v>
      </c>
      <c r="C3312" t="s">
        <v>24751</v>
      </c>
      <c r="E3312">
        <v>242</v>
      </c>
      <c r="F3312">
        <v>241</v>
      </c>
      <c r="G3312">
        <v>240</v>
      </c>
      <c r="N3312" t="s">
        <v>4497</v>
      </c>
    </row>
    <row r="3313" spans="2:14" x14ac:dyDescent="0.25">
      <c r="B3313">
        <v>146035108</v>
      </c>
      <c r="C3313" t="s">
        <v>24752</v>
      </c>
      <c r="E3313">
        <v>35</v>
      </c>
      <c r="F3313">
        <v>31</v>
      </c>
      <c r="G3313">
        <v>32</v>
      </c>
      <c r="M3313" t="s">
        <v>923</v>
      </c>
    </row>
    <row r="3314" spans="2:14" x14ac:dyDescent="0.25">
      <c r="B3314">
        <v>146035112</v>
      </c>
      <c r="C3314" t="s">
        <v>24753</v>
      </c>
      <c r="E3314">
        <v>35</v>
      </c>
      <c r="F3314">
        <v>31</v>
      </c>
      <c r="G3314">
        <v>32</v>
      </c>
      <c r="N3314" t="s">
        <v>4499</v>
      </c>
    </row>
    <row r="3315" spans="2:14" x14ac:dyDescent="0.25">
      <c r="B3315">
        <v>146035116</v>
      </c>
      <c r="C3315" t="s">
        <v>24754</v>
      </c>
      <c r="E3315">
        <v>200</v>
      </c>
      <c r="F3315">
        <v>201</v>
      </c>
      <c r="G3315">
        <v>201</v>
      </c>
      <c r="M3315" t="s">
        <v>4501</v>
      </c>
    </row>
    <row r="3316" spans="2:14" x14ac:dyDescent="0.25">
      <c r="B3316">
        <v>146035120</v>
      </c>
      <c r="C3316" t="s">
        <v>24755</v>
      </c>
      <c r="E3316">
        <v>200</v>
      </c>
      <c r="F3316">
        <v>201</v>
      </c>
      <c r="G3316">
        <v>201</v>
      </c>
      <c r="N3316" t="s">
        <v>973</v>
      </c>
    </row>
    <row r="3317" spans="2:14" x14ac:dyDescent="0.25">
      <c r="B3317">
        <v>146035124</v>
      </c>
      <c r="C3317" t="s">
        <v>24756</v>
      </c>
      <c r="E3317">
        <v>200</v>
      </c>
      <c r="F3317">
        <v>201</v>
      </c>
      <c r="G3317">
        <v>201</v>
      </c>
      <c r="N3317" t="s">
        <v>4503</v>
      </c>
    </row>
    <row r="3318" spans="2:14" x14ac:dyDescent="0.25">
      <c r="B3318">
        <v>266441741</v>
      </c>
      <c r="C3318" t="s">
        <v>24757</v>
      </c>
      <c r="E3318">
        <v>90</v>
      </c>
      <c r="F3318">
        <v>26</v>
      </c>
      <c r="G3318">
        <v>33</v>
      </c>
      <c r="M3318" t="s">
        <v>4505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2D30F-A225-4039-A194-737EBA1D2F10}">
  <dimension ref="A1:S1840"/>
  <sheetViews>
    <sheetView workbookViewId="0"/>
  </sheetViews>
  <sheetFormatPr defaultRowHeight="15" x14ac:dyDescent="0.25"/>
  <sheetData>
    <row r="1" spans="1:17" x14ac:dyDescent="0.25">
      <c r="A1" t="s">
        <v>15179</v>
      </c>
      <c r="B1" t="s">
        <v>15180</v>
      </c>
      <c r="C1" t="s">
        <v>15181</v>
      </c>
      <c r="D1" t="s">
        <v>15182</v>
      </c>
      <c r="E1" t="s">
        <v>15183</v>
      </c>
      <c r="F1" t="s">
        <v>15184</v>
      </c>
      <c r="G1" t="s">
        <v>15185</v>
      </c>
      <c r="H1" t="s">
        <v>15186</v>
      </c>
      <c r="I1" t="s">
        <v>15187</v>
      </c>
      <c r="J1" t="s">
        <v>15188</v>
      </c>
    </row>
    <row r="2" spans="1:17" x14ac:dyDescent="0.25">
      <c r="B2">
        <v>4005</v>
      </c>
      <c r="C2" t="s">
        <v>20996</v>
      </c>
      <c r="E2">
        <v>160</v>
      </c>
      <c r="F2">
        <v>160</v>
      </c>
      <c r="G2">
        <v>160</v>
      </c>
      <c r="J2" t="s">
        <v>606</v>
      </c>
    </row>
    <row r="3" spans="1:17" x14ac:dyDescent="0.25">
      <c r="B3">
        <v>4006</v>
      </c>
      <c r="C3" t="s">
        <v>24758</v>
      </c>
      <c r="E3">
        <v>120</v>
      </c>
      <c r="F3">
        <v>120</v>
      </c>
      <c r="G3">
        <v>120</v>
      </c>
      <c r="K3" t="s">
        <v>621</v>
      </c>
    </row>
    <row r="4" spans="1:17" x14ac:dyDescent="0.25">
      <c r="B4">
        <v>4007</v>
      </c>
      <c r="C4" t="s">
        <v>15520</v>
      </c>
      <c r="E4">
        <v>217</v>
      </c>
      <c r="F4">
        <v>136</v>
      </c>
      <c r="G4">
        <v>163</v>
      </c>
      <c r="L4" t="s">
        <v>14911</v>
      </c>
    </row>
    <row r="5" spans="1:17" x14ac:dyDescent="0.25">
      <c r="B5">
        <v>4008</v>
      </c>
      <c r="C5" t="s">
        <v>22077</v>
      </c>
      <c r="E5">
        <v>237</v>
      </c>
      <c r="F5">
        <v>166</v>
      </c>
      <c r="G5">
        <v>95</v>
      </c>
      <c r="M5" t="s">
        <v>1180</v>
      </c>
    </row>
    <row r="6" spans="1:17" x14ac:dyDescent="0.25">
      <c r="B6">
        <v>4009</v>
      </c>
      <c r="C6" t="s">
        <v>20704</v>
      </c>
      <c r="E6">
        <v>232</v>
      </c>
      <c r="F6">
        <v>205</v>
      </c>
      <c r="G6">
        <v>89</v>
      </c>
      <c r="N6" t="s">
        <v>2019</v>
      </c>
    </row>
    <row r="7" spans="1:17" x14ac:dyDescent="0.25">
      <c r="B7">
        <v>4053</v>
      </c>
      <c r="C7" t="s">
        <v>23801</v>
      </c>
      <c r="E7">
        <v>232</v>
      </c>
      <c r="F7">
        <v>191</v>
      </c>
      <c r="G7">
        <v>89</v>
      </c>
      <c r="O7" t="s">
        <v>392</v>
      </c>
    </row>
    <row r="8" spans="1:17" x14ac:dyDescent="0.25">
      <c r="B8">
        <v>4054</v>
      </c>
      <c r="C8" t="s">
        <v>23801</v>
      </c>
      <c r="D8" t="s">
        <v>24355</v>
      </c>
      <c r="E8">
        <v>232</v>
      </c>
      <c r="F8">
        <v>191</v>
      </c>
      <c r="G8">
        <v>89</v>
      </c>
      <c r="P8" t="s">
        <v>12178</v>
      </c>
    </row>
    <row r="9" spans="1:17" x14ac:dyDescent="0.25">
      <c r="B9">
        <v>4055</v>
      </c>
      <c r="C9" t="s">
        <v>23801</v>
      </c>
      <c r="D9" t="s">
        <v>23430</v>
      </c>
      <c r="E9">
        <v>232</v>
      </c>
      <c r="F9">
        <v>191</v>
      </c>
      <c r="G9">
        <v>89</v>
      </c>
      <c r="P9" t="s">
        <v>12180</v>
      </c>
    </row>
    <row r="10" spans="1:17" x14ac:dyDescent="0.25">
      <c r="B10">
        <v>4078</v>
      </c>
      <c r="C10" t="s">
        <v>24759</v>
      </c>
      <c r="E10">
        <v>232</v>
      </c>
      <c r="F10">
        <v>193</v>
      </c>
      <c r="G10">
        <v>89</v>
      </c>
      <c r="O10" t="s">
        <v>2023</v>
      </c>
    </row>
    <row r="11" spans="1:17" x14ac:dyDescent="0.25">
      <c r="B11">
        <v>4079</v>
      </c>
      <c r="C11" t="s">
        <v>24759</v>
      </c>
      <c r="D11" t="s">
        <v>24355</v>
      </c>
      <c r="E11">
        <v>232</v>
      </c>
      <c r="F11">
        <v>193</v>
      </c>
      <c r="G11">
        <v>89</v>
      </c>
      <c r="P11" t="s">
        <v>12218</v>
      </c>
    </row>
    <row r="12" spans="1:17" x14ac:dyDescent="0.25">
      <c r="B12">
        <v>4080</v>
      </c>
      <c r="C12" t="s">
        <v>24759</v>
      </c>
      <c r="D12" t="s">
        <v>23430</v>
      </c>
      <c r="E12">
        <v>232</v>
      </c>
      <c r="F12">
        <v>193</v>
      </c>
      <c r="G12">
        <v>89</v>
      </c>
      <c r="P12" t="s">
        <v>12220</v>
      </c>
    </row>
    <row r="13" spans="1:17" x14ac:dyDescent="0.25">
      <c r="B13">
        <v>4888</v>
      </c>
      <c r="C13" t="s">
        <v>23813</v>
      </c>
      <c r="E13">
        <v>232</v>
      </c>
      <c r="F13">
        <v>195</v>
      </c>
      <c r="G13">
        <v>89</v>
      </c>
      <c r="O13" t="s">
        <v>2027</v>
      </c>
    </row>
    <row r="14" spans="1:17" x14ac:dyDescent="0.25">
      <c r="B14">
        <v>4889</v>
      </c>
      <c r="C14" t="s">
        <v>23813</v>
      </c>
      <c r="D14" t="s">
        <v>24355</v>
      </c>
      <c r="E14">
        <v>232</v>
      </c>
      <c r="F14">
        <v>195</v>
      </c>
      <c r="G14">
        <v>89</v>
      </c>
      <c r="P14" t="s">
        <v>12717</v>
      </c>
    </row>
    <row r="15" spans="1:17" x14ac:dyDescent="0.25">
      <c r="B15">
        <v>4890</v>
      </c>
      <c r="C15" t="s">
        <v>24760</v>
      </c>
      <c r="D15" t="s">
        <v>24355</v>
      </c>
      <c r="E15">
        <v>232</v>
      </c>
      <c r="F15">
        <v>195</v>
      </c>
      <c r="G15">
        <v>89</v>
      </c>
      <c r="Q15" t="s">
        <v>12719</v>
      </c>
    </row>
    <row r="16" spans="1:17" x14ac:dyDescent="0.25">
      <c r="B16">
        <v>4891</v>
      </c>
      <c r="C16" t="s">
        <v>24761</v>
      </c>
      <c r="D16" t="s">
        <v>24355</v>
      </c>
      <c r="E16">
        <v>232</v>
      </c>
      <c r="F16">
        <v>195</v>
      </c>
      <c r="G16">
        <v>89</v>
      </c>
      <c r="Q16" t="s">
        <v>12721</v>
      </c>
    </row>
    <row r="17" spans="2:17" x14ac:dyDescent="0.25">
      <c r="B17">
        <v>4892</v>
      </c>
      <c r="C17" t="s">
        <v>24762</v>
      </c>
      <c r="D17" t="s">
        <v>24355</v>
      </c>
      <c r="E17">
        <v>232</v>
      </c>
      <c r="F17">
        <v>195</v>
      </c>
      <c r="G17">
        <v>89</v>
      </c>
      <c r="Q17" t="s">
        <v>12723</v>
      </c>
    </row>
    <row r="18" spans="2:17" x14ac:dyDescent="0.25">
      <c r="B18">
        <v>4893</v>
      </c>
      <c r="C18" t="s">
        <v>23813</v>
      </c>
      <c r="D18" t="s">
        <v>23430</v>
      </c>
      <c r="E18">
        <v>232</v>
      </c>
      <c r="F18">
        <v>195</v>
      </c>
      <c r="G18">
        <v>89</v>
      </c>
      <c r="P18" t="s">
        <v>12725</v>
      </c>
    </row>
    <row r="19" spans="2:17" x14ac:dyDescent="0.25">
      <c r="B19">
        <v>4894</v>
      </c>
      <c r="C19" t="s">
        <v>24760</v>
      </c>
      <c r="D19" t="s">
        <v>23430</v>
      </c>
      <c r="E19">
        <v>232</v>
      </c>
      <c r="F19">
        <v>195</v>
      </c>
      <c r="G19">
        <v>89</v>
      </c>
      <c r="Q19" t="s">
        <v>12727</v>
      </c>
    </row>
    <row r="20" spans="2:17" x14ac:dyDescent="0.25">
      <c r="B20">
        <v>4895</v>
      </c>
      <c r="C20" t="s">
        <v>24761</v>
      </c>
      <c r="D20" t="s">
        <v>23430</v>
      </c>
      <c r="E20">
        <v>232</v>
      </c>
      <c r="F20">
        <v>195</v>
      </c>
      <c r="G20">
        <v>89</v>
      </c>
      <c r="Q20" t="s">
        <v>12729</v>
      </c>
    </row>
    <row r="21" spans="2:17" x14ac:dyDescent="0.25">
      <c r="B21">
        <v>4896</v>
      </c>
      <c r="C21" t="s">
        <v>24762</v>
      </c>
      <c r="D21" t="s">
        <v>23430</v>
      </c>
      <c r="E21">
        <v>232</v>
      </c>
      <c r="F21">
        <v>195</v>
      </c>
      <c r="G21">
        <v>89</v>
      </c>
      <c r="Q21" t="s">
        <v>12731</v>
      </c>
    </row>
    <row r="22" spans="2:17" x14ac:dyDescent="0.25">
      <c r="B22">
        <v>4047</v>
      </c>
      <c r="C22" t="s">
        <v>24763</v>
      </c>
      <c r="E22">
        <v>232</v>
      </c>
      <c r="F22">
        <v>196</v>
      </c>
      <c r="G22">
        <v>89</v>
      </c>
      <c r="O22" t="s">
        <v>2132</v>
      </c>
    </row>
    <row r="23" spans="2:17" x14ac:dyDescent="0.25">
      <c r="B23">
        <v>4048</v>
      </c>
      <c r="C23" t="s">
        <v>24763</v>
      </c>
      <c r="D23" t="s">
        <v>24355</v>
      </c>
      <c r="E23">
        <v>232</v>
      </c>
      <c r="F23">
        <v>196</v>
      </c>
      <c r="G23">
        <v>89</v>
      </c>
      <c r="P23" t="s">
        <v>12170</v>
      </c>
    </row>
    <row r="24" spans="2:17" x14ac:dyDescent="0.25">
      <c r="B24">
        <v>4049</v>
      </c>
      <c r="C24" t="s">
        <v>24763</v>
      </c>
      <c r="D24" t="s">
        <v>23430</v>
      </c>
      <c r="E24">
        <v>232</v>
      </c>
      <c r="F24">
        <v>196</v>
      </c>
      <c r="G24">
        <v>89</v>
      </c>
      <c r="P24" t="s">
        <v>12172</v>
      </c>
    </row>
    <row r="25" spans="2:17" x14ac:dyDescent="0.25">
      <c r="B25">
        <v>4035</v>
      </c>
      <c r="C25" t="s">
        <v>23795</v>
      </c>
      <c r="E25">
        <v>232</v>
      </c>
      <c r="F25">
        <v>198</v>
      </c>
      <c r="G25">
        <v>89</v>
      </c>
      <c r="O25" t="s">
        <v>2363</v>
      </c>
    </row>
    <row r="26" spans="2:17" x14ac:dyDescent="0.25">
      <c r="B26">
        <v>4036</v>
      </c>
      <c r="C26" t="s">
        <v>23795</v>
      </c>
      <c r="D26" t="s">
        <v>24355</v>
      </c>
      <c r="E26">
        <v>232</v>
      </c>
      <c r="F26">
        <v>198</v>
      </c>
      <c r="G26">
        <v>89</v>
      </c>
      <c r="P26" t="s">
        <v>12154</v>
      </c>
    </row>
    <row r="27" spans="2:17" x14ac:dyDescent="0.25">
      <c r="B27">
        <v>4037</v>
      </c>
      <c r="C27" t="s">
        <v>23795</v>
      </c>
      <c r="D27" t="s">
        <v>23430</v>
      </c>
      <c r="E27">
        <v>232</v>
      </c>
      <c r="F27">
        <v>198</v>
      </c>
      <c r="G27">
        <v>89</v>
      </c>
      <c r="P27" t="s">
        <v>12156</v>
      </c>
    </row>
    <row r="28" spans="2:17" x14ac:dyDescent="0.25">
      <c r="B28">
        <v>4041</v>
      </c>
      <c r="C28" t="s">
        <v>24764</v>
      </c>
      <c r="E28">
        <v>232</v>
      </c>
      <c r="F28">
        <v>198</v>
      </c>
      <c r="G28">
        <v>89</v>
      </c>
      <c r="P28" t="s">
        <v>3488</v>
      </c>
    </row>
    <row r="29" spans="2:17" x14ac:dyDescent="0.25">
      <c r="B29">
        <v>4042</v>
      </c>
      <c r="C29" t="s">
        <v>24764</v>
      </c>
      <c r="D29" t="s">
        <v>24355</v>
      </c>
      <c r="E29">
        <v>232</v>
      </c>
      <c r="F29">
        <v>198</v>
      </c>
      <c r="G29">
        <v>89</v>
      </c>
      <c r="Q29" t="s">
        <v>12162</v>
      </c>
    </row>
    <row r="30" spans="2:17" x14ac:dyDescent="0.25">
      <c r="B30">
        <v>4043</v>
      </c>
      <c r="C30" t="s">
        <v>24764</v>
      </c>
      <c r="D30" t="s">
        <v>23430</v>
      </c>
      <c r="E30">
        <v>232</v>
      </c>
      <c r="F30">
        <v>198</v>
      </c>
      <c r="G30">
        <v>89</v>
      </c>
      <c r="Q30" t="s">
        <v>12164</v>
      </c>
    </row>
    <row r="31" spans="2:17" x14ac:dyDescent="0.25">
      <c r="B31">
        <v>4044</v>
      </c>
      <c r="C31" t="s">
        <v>24765</v>
      </c>
      <c r="E31">
        <v>232</v>
      </c>
      <c r="F31">
        <v>198</v>
      </c>
      <c r="G31">
        <v>89</v>
      </c>
      <c r="P31" t="s">
        <v>3531</v>
      </c>
    </row>
    <row r="32" spans="2:17" x14ac:dyDescent="0.25">
      <c r="B32">
        <v>4045</v>
      </c>
      <c r="C32" t="s">
        <v>24765</v>
      </c>
      <c r="D32" t="s">
        <v>24355</v>
      </c>
      <c r="E32">
        <v>232</v>
      </c>
      <c r="F32">
        <v>198</v>
      </c>
      <c r="G32">
        <v>89</v>
      </c>
      <c r="Q32" t="s">
        <v>12166</v>
      </c>
    </row>
    <row r="33" spans="2:17" x14ac:dyDescent="0.25">
      <c r="B33">
        <v>4046</v>
      </c>
      <c r="C33" t="s">
        <v>24765</v>
      </c>
      <c r="D33" t="s">
        <v>23430</v>
      </c>
      <c r="E33">
        <v>232</v>
      </c>
      <c r="F33">
        <v>198</v>
      </c>
      <c r="G33">
        <v>89</v>
      </c>
      <c r="Q33" t="s">
        <v>12168</v>
      </c>
    </row>
    <row r="34" spans="2:17" x14ac:dyDescent="0.25">
      <c r="B34">
        <v>4038</v>
      </c>
      <c r="C34" t="s">
        <v>24766</v>
      </c>
      <c r="E34">
        <v>232</v>
      </c>
      <c r="F34">
        <v>198</v>
      </c>
      <c r="G34">
        <v>89</v>
      </c>
      <c r="P34" t="s">
        <v>14966</v>
      </c>
    </row>
    <row r="35" spans="2:17" x14ac:dyDescent="0.25">
      <c r="B35">
        <v>4039</v>
      </c>
      <c r="C35" t="s">
        <v>24766</v>
      </c>
      <c r="D35" t="s">
        <v>24355</v>
      </c>
      <c r="E35">
        <v>232</v>
      </c>
      <c r="F35">
        <v>198</v>
      </c>
      <c r="G35">
        <v>89</v>
      </c>
      <c r="Q35" t="s">
        <v>12158</v>
      </c>
    </row>
    <row r="36" spans="2:17" x14ac:dyDescent="0.25">
      <c r="B36">
        <v>4040</v>
      </c>
      <c r="C36" t="s">
        <v>24766</v>
      </c>
      <c r="D36" t="s">
        <v>23430</v>
      </c>
      <c r="E36">
        <v>232</v>
      </c>
      <c r="F36">
        <v>198</v>
      </c>
      <c r="G36">
        <v>89</v>
      </c>
      <c r="Q36" t="s">
        <v>12160</v>
      </c>
    </row>
    <row r="37" spans="2:17" x14ac:dyDescent="0.25">
      <c r="B37">
        <v>4900</v>
      </c>
      <c r="C37" t="s">
        <v>23810</v>
      </c>
      <c r="E37">
        <v>232</v>
      </c>
      <c r="F37">
        <v>200</v>
      </c>
      <c r="G37">
        <v>89</v>
      </c>
      <c r="O37" t="s">
        <v>2403</v>
      </c>
    </row>
    <row r="38" spans="2:17" x14ac:dyDescent="0.25">
      <c r="B38">
        <v>4901</v>
      </c>
      <c r="C38" t="s">
        <v>23810</v>
      </c>
      <c r="D38" t="s">
        <v>24355</v>
      </c>
      <c r="E38">
        <v>232</v>
      </c>
      <c r="F38">
        <v>200</v>
      </c>
      <c r="G38">
        <v>89</v>
      </c>
      <c r="P38" t="s">
        <v>12737</v>
      </c>
    </row>
    <row r="39" spans="2:17" x14ac:dyDescent="0.25">
      <c r="B39">
        <v>4902</v>
      </c>
      <c r="C39" t="s">
        <v>23810</v>
      </c>
      <c r="D39" t="s">
        <v>23430</v>
      </c>
      <c r="E39">
        <v>232</v>
      </c>
      <c r="F39">
        <v>200</v>
      </c>
      <c r="G39">
        <v>89</v>
      </c>
      <c r="P39" t="s">
        <v>12739</v>
      </c>
    </row>
    <row r="40" spans="2:17" x14ac:dyDescent="0.25">
      <c r="B40">
        <v>4059</v>
      </c>
      <c r="C40" t="s">
        <v>23803</v>
      </c>
      <c r="E40">
        <v>232</v>
      </c>
      <c r="F40">
        <v>202</v>
      </c>
      <c r="G40">
        <v>89</v>
      </c>
      <c r="O40" t="s">
        <v>2652</v>
      </c>
    </row>
    <row r="41" spans="2:17" x14ac:dyDescent="0.25">
      <c r="B41">
        <v>4060</v>
      </c>
      <c r="C41" t="s">
        <v>23803</v>
      </c>
      <c r="D41" t="s">
        <v>24355</v>
      </c>
      <c r="E41">
        <v>232</v>
      </c>
      <c r="F41">
        <v>202</v>
      </c>
      <c r="G41">
        <v>89</v>
      </c>
      <c r="P41" t="s">
        <v>12186</v>
      </c>
    </row>
    <row r="42" spans="2:17" x14ac:dyDescent="0.25">
      <c r="B42">
        <v>4061</v>
      </c>
      <c r="C42" t="s">
        <v>23803</v>
      </c>
      <c r="D42" t="s">
        <v>23430</v>
      </c>
      <c r="E42">
        <v>232</v>
      </c>
      <c r="F42">
        <v>202</v>
      </c>
      <c r="G42">
        <v>89</v>
      </c>
      <c r="P42" t="s">
        <v>12188</v>
      </c>
    </row>
    <row r="43" spans="2:17" x14ac:dyDescent="0.25">
      <c r="B43">
        <v>4050</v>
      </c>
      <c r="C43" t="s">
        <v>23800</v>
      </c>
      <c r="E43">
        <v>232</v>
      </c>
      <c r="F43">
        <v>203</v>
      </c>
      <c r="G43">
        <v>89</v>
      </c>
      <c r="O43" t="s">
        <v>2969</v>
      </c>
    </row>
    <row r="44" spans="2:17" x14ac:dyDescent="0.25">
      <c r="B44">
        <v>4051</v>
      </c>
      <c r="C44" t="s">
        <v>23800</v>
      </c>
      <c r="D44" t="s">
        <v>24355</v>
      </c>
      <c r="E44">
        <v>232</v>
      </c>
      <c r="F44">
        <v>203</v>
      </c>
      <c r="G44">
        <v>89</v>
      </c>
      <c r="P44" t="s">
        <v>12174</v>
      </c>
    </row>
    <row r="45" spans="2:17" x14ac:dyDescent="0.25">
      <c r="B45">
        <v>4052</v>
      </c>
      <c r="C45" t="s">
        <v>23800</v>
      </c>
      <c r="D45" t="s">
        <v>23430</v>
      </c>
      <c r="E45">
        <v>232</v>
      </c>
      <c r="F45">
        <v>203</v>
      </c>
      <c r="G45">
        <v>89</v>
      </c>
      <c r="P45" t="s">
        <v>12176</v>
      </c>
    </row>
    <row r="46" spans="2:17" x14ac:dyDescent="0.25">
      <c r="B46">
        <v>4028</v>
      </c>
      <c r="C46" t="s">
        <v>23794</v>
      </c>
      <c r="E46">
        <v>232</v>
      </c>
      <c r="F46">
        <v>205</v>
      </c>
      <c r="G46">
        <v>89</v>
      </c>
      <c r="O46" t="s">
        <v>3152</v>
      </c>
    </row>
    <row r="47" spans="2:17" x14ac:dyDescent="0.25">
      <c r="B47">
        <v>4029</v>
      </c>
      <c r="C47" t="s">
        <v>23794</v>
      </c>
      <c r="D47" t="s">
        <v>24355</v>
      </c>
      <c r="E47">
        <v>232</v>
      </c>
      <c r="F47">
        <v>205</v>
      </c>
      <c r="G47">
        <v>89</v>
      </c>
      <c r="P47" t="s">
        <v>12142</v>
      </c>
    </row>
    <row r="48" spans="2:17" x14ac:dyDescent="0.25">
      <c r="B48">
        <v>4030</v>
      </c>
      <c r="C48" t="s">
        <v>24767</v>
      </c>
      <c r="D48" t="s">
        <v>24355</v>
      </c>
      <c r="E48">
        <v>232</v>
      </c>
      <c r="F48">
        <v>205</v>
      </c>
      <c r="G48">
        <v>89</v>
      </c>
      <c r="Q48" t="s">
        <v>12144</v>
      </c>
    </row>
    <row r="49" spans="2:17" x14ac:dyDescent="0.25">
      <c r="B49">
        <v>4031</v>
      </c>
      <c r="C49" t="s">
        <v>24768</v>
      </c>
      <c r="D49" t="s">
        <v>24355</v>
      </c>
      <c r="E49">
        <v>232</v>
      </c>
      <c r="F49">
        <v>205</v>
      </c>
      <c r="G49">
        <v>89</v>
      </c>
      <c r="Q49" t="s">
        <v>12146</v>
      </c>
    </row>
    <row r="50" spans="2:17" x14ac:dyDescent="0.25">
      <c r="B50">
        <v>4032</v>
      </c>
      <c r="C50" t="s">
        <v>23794</v>
      </c>
      <c r="D50" t="s">
        <v>23430</v>
      </c>
      <c r="E50">
        <v>232</v>
      </c>
      <c r="F50">
        <v>205</v>
      </c>
      <c r="G50">
        <v>89</v>
      </c>
      <c r="P50" t="s">
        <v>12148</v>
      </c>
    </row>
    <row r="51" spans="2:17" x14ac:dyDescent="0.25">
      <c r="B51">
        <v>4033</v>
      </c>
      <c r="C51" t="s">
        <v>24767</v>
      </c>
      <c r="D51" t="s">
        <v>23430</v>
      </c>
      <c r="E51">
        <v>232</v>
      </c>
      <c r="F51">
        <v>205</v>
      </c>
      <c r="G51">
        <v>89</v>
      </c>
      <c r="Q51" t="s">
        <v>12150</v>
      </c>
    </row>
    <row r="52" spans="2:17" x14ac:dyDescent="0.25">
      <c r="B52">
        <v>4034</v>
      </c>
      <c r="C52" t="s">
        <v>24768</v>
      </c>
      <c r="D52" t="s">
        <v>23430</v>
      </c>
      <c r="E52">
        <v>232</v>
      </c>
      <c r="F52">
        <v>205</v>
      </c>
      <c r="G52">
        <v>89</v>
      </c>
      <c r="Q52" t="s">
        <v>12152</v>
      </c>
    </row>
    <row r="53" spans="2:17" x14ac:dyDescent="0.25">
      <c r="B53">
        <v>265504406</v>
      </c>
      <c r="C53" t="s">
        <v>24769</v>
      </c>
      <c r="E53">
        <v>232</v>
      </c>
      <c r="F53">
        <v>206</v>
      </c>
      <c r="G53">
        <v>89</v>
      </c>
      <c r="O53" t="s">
        <v>3453</v>
      </c>
    </row>
    <row r="54" spans="2:17" x14ac:dyDescent="0.25">
      <c r="B54">
        <v>265504410</v>
      </c>
      <c r="C54" t="s">
        <v>24769</v>
      </c>
      <c r="D54" t="s">
        <v>24355</v>
      </c>
      <c r="E54">
        <v>232</v>
      </c>
      <c r="F54">
        <v>206</v>
      </c>
      <c r="G54">
        <v>89</v>
      </c>
      <c r="P54" t="s">
        <v>11664</v>
      </c>
    </row>
    <row r="55" spans="2:17" x14ac:dyDescent="0.25">
      <c r="B55">
        <v>265504414</v>
      </c>
      <c r="C55" t="s">
        <v>24769</v>
      </c>
      <c r="D55" t="s">
        <v>23430</v>
      </c>
      <c r="E55">
        <v>232</v>
      </c>
      <c r="F55">
        <v>206</v>
      </c>
      <c r="G55">
        <v>89</v>
      </c>
      <c r="P55" t="s">
        <v>11666</v>
      </c>
    </row>
    <row r="56" spans="2:17" x14ac:dyDescent="0.25">
      <c r="B56">
        <v>4071</v>
      </c>
      <c r="C56" t="s">
        <v>24770</v>
      </c>
      <c r="E56">
        <v>232</v>
      </c>
      <c r="F56">
        <v>207</v>
      </c>
      <c r="G56">
        <v>89</v>
      </c>
      <c r="O56" t="s">
        <v>414</v>
      </c>
    </row>
    <row r="57" spans="2:17" x14ac:dyDescent="0.25">
      <c r="B57">
        <v>4072</v>
      </c>
      <c r="C57" t="s">
        <v>24770</v>
      </c>
      <c r="D57" t="s">
        <v>24355</v>
      </c>
      <c r="E57">
        <v>232</v>
      </c>
      <c r="F57">
        <v>207</v>
      </c>
      <c r="G57">
        <v>89</v>
      </c>
      <c r="P57" t="s">
        <v>12206</v>
      </c>
    </row>
    <row r="58" spans="2:17" x14ac:dyDescent="0.25">
      <c r="B58">
        <v>4073</v>
      </c>
      <c r="C58" t="s">
        <v>24771</v>
      </c>
      <c r="D58" t="s">
        <v>24355</v>
      </c>
      <c r="E58">
        <v>232</v>
      </c>
      <c r="F58">
        <v>207</v>
      </c>
      <c r="G58">
        <v>89</v>
      </c>
      <c r="Q58" t="s">
        <v>12208</v>
      </c>
    </row>
    <row r="59" spans="2:17" x14ac:dyDescent="0.25">
      <c r="B59">
        <v>4074</v>
      </c>
      <c r="C59" t="s">
        <v>24772</v>
      </c>
      <c r="D59" t="s">
        <v>24355</v>
      </c>
      <c r="E59">
        <v>232</v>
      </c>
      <c r="F59">
        <v>207</v>
      </c>
      <c r="G59">
        <v>89</v>
      </c>
      <c r="Q59" t="s">
        <v>12210</v>
      </c>
    </row>
    <row r="60" spans="2:17" x14ac:dyDescent="0.25">
      <c r="B60">
        <v>4075</v>
      </c>
      <c r="C60" t="s">
        <v>24770</v>
      </c>
      <c r="D60" t="s">
        <v>23430</v>
      </c>
      <c r="E60">
        <v>232</v>
      </c>
      <c r="F60">
        <v>207</v>
      </c>
      <c r="G60">
        <v>89</v>
      </c>
      <c r="P60" t="s">
        <v>12212</v>
      </c>
    </row>
    <row r="61" spans="2:17" x14ac:dyDescent="0.25">
      <c r="B61">
        <v>4076</v>
      </c>
      <c r="C61" t="s">
        <v>24771</v>
      </c>
      <c r="D61" t="s">
        <v>23430</v>
      </c>
      <c r="E61">
        <v>232</v>
      </c>
      <c r="F61">
        <v>207</v>
      </c>
      <c r="G61">
        <v>89</v>
      </c>
      <c r="Q61" t="s">
        <v>12214</v>
      </c>
    </row>
    <row r="62" spans="2:17" x14ac:dyDescent="0.25">
      <c r="B62">
        <v>4077</v>
      </c>
      <c r="C62" t="s">
        <v>24772</v>
      </c>
      <c r="D62" t="s">
        <v>23430</v>
      </c>
      <c r="E62">
        <v>232</v>
      </c>
      <c r="F62">
        <v>207</v>
      </c>
      <c r="G62">
        <v>89</v>
      </c>
      <c r="Q62" t="s">
        <v>12216</v>
      </c>
    </row>
    <row r="63" spans="2:17" x14ac:dyDescent="0.25">
      <c r="B63">
        <v>4065</v>
      </c>
      <c r="C63" t="s">
        <v>23853</v>
      </c>
      <c r="E63">
        <v>232</v>
      </c>
      <c r="F63">
        <v>208</v>
      </c>
      <c r="G63">
        <v>89</v>
      </c>
      <c r="O63" t="s">
        <v>3625</v>
      </c>
    </row>
    <row r="64" spans="2:17" x14ac:dyDescent="0.25">
      <c r="B64">
        <v>4066</v>
      </c>
      <c r="C64" t="s">
        <v>23853</v>
      </c>
      <c r="D64" t="s">
        <v>24355</v>
      </c>
      <c r="E64">
        <v>232</v>
      </c>
      <c r="F64">
        <v>208</v>
      </c>
      <c r="G64">
        <v>89</v>
      </c>
      <c r="P64" t="s">
        <v>12196</v>
      </c>
    </row>
    <row r="65" spans="2:17" x14ac:dyDescent="0.25">
      <c r="B65">
        <v>4067</v>
      </c>
      <c r="C65" t="s">
        <v>23853</v>
      </c>
      <c r="D65" t="s">
        <v>23430</v>
      </c>
      <c r="E65">
        <v>232</v>
      </c>
      <c r="F65">
        <v>208</v>
      </c>
      <c r="G65">
        <v>89</v>
      </c>
      <c r="P65" t="s">
        <v>12198</v>
      </c>
    </row>
    <row r="66" spans="2:17" x14ac:dyDescent="0.25">
      <c r="B66">
        <v>4068</v>
      </c>
      <c r="C66" t="s">
        <v>24773</v>
      </c>
      <c r="E66">
        <v>232</v>
      </c>
      <c r="F66">
        <v>210</v>
      </c>
      <c r="G66">
        <v>89</v>
      </c>
      <c r="O66" t="s">
        <v>12200</v>
      </c>
    </row>
    <row r="67" spans="2:17" x14ac:dyDescent="0.25">
      <c r="B67">
        <v>4069</v>
      </c>
      <c r="C67" t="s">
        <v>24773</v>
      </c>
      <c r="D67" t="s">
        <v>24355</v>
      </c>
      <c r="E67">
        <v>232</v>
      </c>
      <c r="F67">
        <v>210</v>
      </c>
      <c r="G67">
        <v>89</v>
      </c>
      <c r="P67" t="s">
        <v>12202</v>
      </c>
    </row>
    <row r="68" spans="2:17" x14ac:dyDescent="0.25">
      <c r="B68">
        <v>4070</v>
      </c>
      <c r="C68" t="s">
        <v>24773</v>
      </c>
      <c r="D68" t="s">
        <v>23430</v>
      </c>
      <c r="E68">
        <v>232</v>
      </c>
      <c r="F68">
        <v>210</v>
      </c>
      <c r="G68">
        <v>89</v>
      </c>
      <c r="P68" t="s">
        <v>12204</v>
      </c>
    </row>
    <row r="69" spans="2:17" x14ac:dyDescent="0.25">
      <c r="B69">
        <v>4056</v>
      </c>
      <c r="C69" t="s">
        <v>23802</v>
      </c>
      <c r="E69">
        <v>232</v>
      </c>
      <c r="F69">
        <v>212</v>
      </c>
      <c r="G69">
        <v>89</v>
      </c>
      <c r="O69" t="s">
        <v>3964</v>
      </c>
    </row>
    <row r="70" spans="2:17" x14ac:dyDescent="0.25">
      <c r="B70">
        <v>4057</v>
      </c>
      <c r="C70" t="s">
        <v>23802</v>
      </c>
      <c r="D70" t="s">
        <v>24355</v>
      </c>
      <c r="E70">
        <v>232</v>
      </c>
      <c r="F70">
        <v>212</v>
      </c>
      <c r="G70">
        <v>89</v>
      </c>
      <c r="P70" t="s">
        <v>12182</v>
      </c>
    </row>
    <row r="71" spans="2:17" x14ac:dyDescent="0.25">
      <c r="B71">
        <v>4058</v>
      </c>
      <c r="C71" t="s">
        <v>23802</v>
      </c>
      <c r="D71" t="s">
        <v>23430</v>
      </c>
      <c r="E71">
        <v>232</v>
      </c>
      <c r="F71">
        <v>212</v>
      </c>
      <c r="G71">
        <v>89</v>
      </c>
      <c r="P71" t="s">
        <v>12184</v>
      </c>
    </row>
    <row r="72" spans="2:17" x14ac:dyDescent="0.25">
      <c r="B72">
        <v>4010</v>
      </c>
      <c r="C72" t="s">
        <v>24774</v>
      </c>
      <c r="E72">
        <v>232</v>
      </c>
      <c r="F72">
        <v>214</v>
      </c>
      <c r="G72">
        <v>89</v>
      </c>
      <c r="O72" t="s">
        <v>4061</v>
      </c>
    </row>
    <row r="73" spans="2:17" x14ac:dyDescent="0.25">
      <c r="B73">
        <v>4011</v>
      </c>
      <c r="C73" t="s">
        <v>24774</v>
      </c>
      <c r="D73" t="s">
        <v>24355</v>
      </c>
      <c r="E73">
        <v>232</v>
      </c>
      <c r="F73">
        <v>214</v>
      </c>
      <c r="G73">
        <v>89</v>
      </c>
      <c r="P73" t="s">
        <v>12110</v>
      </c>
    </row>
    <row r="74" spans="2:17" x14ac:dyDescent="0.25">
      <c r="B74">
        <v>4012</v>
      </c>
      <c r="C74" t="s">
        <v>24775</v>
      </c>
      <c r="D74" t="s">
        <v>24355</v>
      </c>
      <c r="E74">
        <v>232</v>
      </c>
      <c r="F74">
        <v>214</v>
      </c>
      <c r="G74">
        <v>89</v>
      </c>
      <c r="Q74" t="s">
        <v>12112</v>
      </c>
    </row>
    <row r="75" spans="2:17" x14ac:dyDescent="0.25">
      <c r="B75">
        <v>4013</v>
      </c>
      <c r="C75" t="s">
        <v>24776</v>
      </c>
      <c r="D75" t="s">
        <v>24355</v>
      </c>
      <c r="E75">
        <v>232</v>
      </c>
      <c r="F75">
        <v>214</v>
      </c>
      <c r="G75">
        <v>89</v>
      </c>
      <c r="Q75" t="s">
        <v>12114</v>
      </c>
    </row>
    <row r="76" spans="2:17" x14ac:dyDescent="0.25">
      <c r="B76">
        <v>4014</v>
      </c>
      <c r="C76" t="s">
        <v>24777</v>
      </c>
      <c r="D76" t="s">
        <v>24355</v>
      </c>
      <c r="E76">
        <v>232</v>
      </c>
      <c r="F76">
        <v>214</v>
      </c>
      <c r="G76">
        <v>89</v>
      </c>
      <c r="Q76" t="s">
        <v>12116</v>
      </c>
    </row>
    <row r="77" spans="2:17" x14ac:dyDescent="0.25">
      <c r="B77">
        <v>4015</v>
      </c>
      <c r="C77" t="s">
        <v>24778</v>
      </c>
      <c r="D77" t="s">
        <v>24355</v>
      </c>
      <c r="E77">
        <v>232</v>
      </c>
      <c r="F77">
        <v>214</v>
      </c>
      <c r="G77">
        <v>89</v>
      </c>
      <c r="Q77" t="s">
        <v>12118</v>
      </c>
    </row>
    <row r="78" spans="2:17" x14ac:dyDescent="0.25">
      <c r="B78">
        <v>4016</v>
      </c>
      <c r="C78" t="s">
        <v>24774</v>
      </c>
      <c r="D78" t="s">
        <v>23430</v>
      </c>
      <c r="E78">
        <v>232</v>
      </c>
      <c r="F78">
        <v>214</v>
      </c>
      <c r="G78">
        <v>89</v>
      </c>
      <c r="P78" t="s">
        <v>12120</v>
      </c>
    </row>
    <row r="79" spans="2:17" x14ac:dyDescent="0.25">
      <c r="B79">
        <v>4017</v>
      </c>
      <c r="C79" t="s">
        <v>24775</v>
      </c>
      <c r="D79" t="s">
        <v>23430</v>
      </c>
      <c r="E79">
        <v>232</v>
      </c>
      <c r="F79">
        <v>214</v>
      </c>
      <c r="G79">
        <v>89</v>
      </c>
      <c r="Q79" t="s">
        <v>12122</v>
      </c>
    </row>
    <row r="80" spans="2:17" x14ac:dyDescent="0.25">
      <c r="B80">
        <v>4018</v>
      </c>
      <c r="C80" t="s">
        <v>24776</v>
      </c>
      <c r="D80" t="s">
        <v>23430</v>
      </c>
      <c r="E80">
        <v>232</v>
      </c>
      <c r="F80">
        <v>214</v>
      </c>
      <c r="G80">
        <v>89</v>
      </c>
      <c r="Q80" t="s">
        <v>12124</v>
      </c>
    </row>
    <row r="81" spans="2:17" x14ac:dyDescent="0.25">
      <c r="B81">
        <v>4019</v>
      </c>
      <c r="C81" t="s">
        <v>24777</v>
      </c>
      <c r="D81" t="s">
        <v>23430</v>
      </c>
      <c r="E81">
        <v>232</v>
      </c>
      <c r="F81">
        <v>214</v>
      </c>
      <c r="G81">
        <v>89</v>
      </c>
      <c r="Q81" t="s">
        <v>12126</v>
      </c>
    </row>
    <row r="82" spans="2:17" x14ac:dyDescent="0.25">
      <c r="B82">
        <v>4020</v>
      </c>
      <c r="C82" t="s">
        <v>24778</v>
      </c>
      <c r="D82" t="s">
        <v>23430</v>
      </c>
      <c r="E82">
        <v>232</v>
      </c>
      <c r="F82">
        <v>214</v>
      </c>
      <c r="G82">
        <v>89</v>
      </c>
      <c r="Q82" t="s">
        <v>12128</v>
      </c>
    </row>
    <row r="83" spans="2:17" x14ac:dyDescent="0.25">
      <c r="B83">
        <v>4021</v>
      </c>
      <c r="C83" t="s">
        <v>23793</v>
      </c>
      <c r="E83">
        <v>232</v>
      </c>
      <c r="F83">
        <v>217</v>
      </c>
      <c r="G83">
        <v>89</v>
      </c>
      <c r="O83" t="s">
        <v>14814</v>
      </c>
    </row>
    <row r="84" spans="2:17" x14ac:dyDescent="0.25">
      <c r="B84">
        <v>4022</v>
      </c>
      <c r="C84" t="s">
        <v>23793</v>
      </c>
      <c r="D84" t="s">
        <v>24355</v>
      </c>
      <c r="E84">
        <v>232</v>
      </c>
      <c r="F84">
        <v>217</v>
      </c>
      <c r="G84">
        <v>89</v>
      </c>
      <c r="P84" t="s">
        <v>12130</v>
      </c>
    </row>
    <row r="85" spans="2:17" x14ac:dyDescent="0.25">
      <c r="B85">
        <v>4023</v>
      </c>
      <c r="C85" t="s">
        <v>24779</v>
      </c>
      <c r="D85" t="s">
        <v>24355</v>
      </c>
      <c r="E85">
        <v>232</v>
      </c>
      <c r="F85">
        <v>217</v>
      </c>
      <c r="G85">
        <v>89</v>
      </c>
      <c r="Q85" t="s">
        <v>12132</v>
      </c>
    </row>
    <row r="86" spans="2:17" x14ac:dyDescent="0.25">
      <c r="B86">
        <v>4024</v>
      </c>
      <c r="C86" t="s">
        <v>24780</v>
      </c>
      <c r="D86" t="s">
        <v>24355</v>
      </c>
      <c r="E86">
        <v>232</v>
      </c>
      <c r="F86">
        <v>217</v>
      </c>
      <c r="G86">
        <v>89</v>
      </c>
      <c r="Q86" t="s">
        <v>12134</v>
      </c>
    </row>
    <row r="87" spans="2:17" x14ac:dyDescent="0.25">
      <c r="B87">
        <v>4025</v>
      </c>
      <c r="C87" t="s">
        <v>23793</v>
      </c>
      <c r="D87" t="s">
        <v>23430</v>
      </c>
      <c r="E87">
        <v>232</v>
      </c>
      <c r="F87">
        <v>217</v>
      </c>
      <c r="G87">
        <v>89</v>
      </c>
      <c r="P87" t="s">
        <v>12136</v>
      </c>
    </row>
    <row r="88" spans="2:17" x14ac:dyDescent="0.25">
      <c r="B88">
        <v>4026</v>
      </c>
      <c r="C88" t="s">
        <v>24779</v>
      </c>
      <c r="D88" t="s">
        <v>23430</v>
      </c>
      <c r="E88">
        <v>232</v>
      </c>
      <c r="F88">
        <v>217</v>
      </c>
      <c r="G88">
        <v>89</v>
      </c>
      <c r="Q88" t="s">
        <v>12138</v>
      </c>
    </row>
    <row r="89" spans="2:17" x14ac:dyDescent="0.25">
      <c r="B89">
        <v>4027</v>
      </c>
      <c r="C89" t="s">
        <v>24780</v>
      </c>
      <c r="D89" t="s">
        <v>23430</v>
      </c>
      <c r="E89">
        <v>232</v>
      </c>
      <c r="F89">
        <v>217</v>
      </c>
      <c r="G89">
        <v>89</v>
      </c>
      <c r="Q89" t="s">
        <v>12140</v>
      </c>
    </row>
    <row r="90" spans="2:17" x14ac:dyDescent="0.25">
      <c r="B90">
        <v>4897</v>
      </c>
      <c r="C90" t="s">
        <v>23809</v>
      </c>
      <c r="E90">
        <v>232</v>
      </c>
      <c r="F90">
        <v>219</v>
      </c>
      <c r="G90">
        <v>89</v>
      </c>
      <c r="O90" t="s">
        <v>14837</v>
      </c>
    </row>
    <row r="91" spans="2:17" x14ac:dyDescent="0.25">
      <c r="B91">
        <v>4898</v>
      </c>
      <c r="C91" t="s">
        <v>23809</v>
      </c>
      <c r="D91" t="s">
        <v>24355</v>
      </c>
      <c r="E91">
        <v>232</v>
      </c>
      <c r="F91">
        <v>219</v>
      </c>
      <c r="G91">
        <v>89</v>
      </c>
      <c r="P91" t="s">
        <v>12733</v>
      </c>
    </row>
    <row r="92" spans="2:17" x14ac:dyDescent="0.25">
      <c r="B92">
        <v>4899</v>
      </c>
      <c r="C92" t="s">
        <v>23809</v>
      </c>
      <c r="D92" t="s">
        <v>23430</v>
      </c>
      <c r="E92">
        <v>232</v>
      </c>
      <c r="F92">
        <v>219</v>
      </c>
      <c r="G92">
        <v>89</v>
      </c>
      <c r="P92" t="s">
        <v>12735</v>
      </c>
    </row>
    <row r="93" spans="2:17" x14ac:dyDescent="0.25">
      <c r="B93">
        <v>4268</v>
      </c>
      <c r="C93" t="s">
        <v>24781</v>
      </c>
      <c r="E93">
        <v>254</v>
      </c>
      <c r="F93">
        <v>255</v>
      </c>
      <c r="G93">
        <v>97</v>
      </c>
      <c r="N93" t="s">
        <v>2435</v>
      </c>
    </row>
    <row r="94" spans="2:17" x14ac:dyDescent="0.25">
      <c r="B94">
        <v>4269</v>
      </c>
      <c r="C94" t="s">
        <v>23844</v>
      </c>
      <c r="E94">
        <v>255</v>
      </c>
      <c r="F94">
        <v>241</v>
      </c>
      <c r="G94">
        <v>97</v>
      </c>
      <c r="O94" t="s">
        <v>7294</v>
      </c>
    </row>
    <row r="95" spans="2:17" x14ac:dyDescent="0.25">
      <c r="B95">
        <v>4270</v>
      </c>
      <c r="C95" t="s">
        <v>23844</v>
      </c>
      <c r="D95" t="s">
        <v>24355</v>
      </c>
      <c r="E95">
        <v>255</v>
      </c>
      <c r="F95">
        <v>241</v>
      </c>
      <c r="G95">
        <v>97</v>
      </c>
      <c r="P95" t="s">
        <v>12529</v>
      </c>
    </row>
    <row r="96" spans="2:17" x14ac:dyDescent="0.25">
      <c r="B96">
        <v>4271</v>
      </c>
      <c r="C96" t="s">
        <v>23844</v>
      </c>
      <c r="D96" t="s">
        <v>23430</v>
      </c>
      <c r="E96">
        <v>255</v>
      </c>
      <c r="F96">
        <v>241</v>
      </c>
      <c r="G96">
        <v>97</v>
      </c>
      <c r="P96" t="s">
        <v>12531</v>
      </c>
    </row>
    <row r="97" spans="2:18" x14ac:dyDescent="0.25">
      <c r="B97">
        <v>4272</v>
      </c>
      <c r="C97" t="s">
        <v>23845</v>
      </c>
      <c r="E97">
        <v>239</v>
      </c>
      <c r="F97">
        <v>255</v>
      </c>
      <c r="G97">
        <v>97</v>
      </c>
      <c r="O97" t="s">
        <v>7296</v>
      </c>
    </row>
    <row r="98" spans="2:18" x14ac:dyDescent="0.25">
      <c r="B98">
        <v>4273</v>
      </c>
      <c r="C98" t="s">
        <v>23845</v>
      </c>
      <c r="D98" t="s">
        <v>24355</v>
      </c>
      <c r="E98">
        <v>239</v>
      </c>
      <c r="F98">
        <v>255</v>
      </c>
      <c r="G98">
        <v>97</v>
      </c>
      <c r="P98" t="s">
        <v>12534</v>
      </c>
    </row>
    <row r="99" spans="2:18" x14ac:dyDescent="0.25">
      <c r="B99">
        <v>4274</v>
      </c>
      <c r="C99" t="s">
        <v>23845</v>
      </c>
      <c r="D99" t="s">
        <v>23430</v>
      </c>
      <c r="E99">
        <v>239</v>
      </c>
      <c r="F99">
        <v>255</v>
      </c>
      <c r="G99">
        <v>97</v>
      </c>
      <c r="P99" t="s">
        <v>12536</v>
      </c>
    </row>
    <row r="100" spans="2:18" x14ac:dyDescent="0.25">
      <c r="B100">
        <v>4219</v>
      </c>
      <c r="C100" t="s">
        <v>24782</v>
      </c>
      <c r="E100">
        <v>191</v>
      </c>
      <c r="F100">
        <v>147</v>
      </c>
      <c r="G100">
        <v>76</v>
      </c>
      <c r="N100" t="s">
        <v>2775</v>
      </c>
    </row>
    <row r="101" spans="2:18" x14ac:dyDescent="0.25">
      <c r="B101">
        <v>4220</v>
      </c>
      <c r="C101" t="s">
        <v>23847</v>
      </c>
      <c r="E101">
        <v>127</v>
      </c>
      <c r="F101">
        <v>98</v>
      </c>
      <c r="G101">
        <v>51</v>
      </c>
      <c r="O101" t="s">
        <v>1248</v>
      </c>
    </row>
    <row r="102" spans="2:18" x14ac:dyDescent="0.25">
      <c r="B102">
        <v>4221</v>
      </c>
      <c r="C102" t="s">
        <v>24783</v>
      </c>
      <c r="E102">
        <v>127</v>
      </c>
      <c r="F102">
        <v>91</v>
      </c>
      <c r="G102">
        <v>51</v>
      </c>
      <c r="P102" t="s">
        <v>12446</v>
      </c>
    </row>
    <row r="103" spans="2:18" x14ac:dyDescent="0.25">
      <c r="B103">
        <v>4222</v>
      </c>
      <c r="C103" t="s">
        <v>24783</v>
      </c>
      <c r="D103" t="s">
        <v>24355</v>
      </c>
      <c r="E103">
        <v>127</v>
      </c>
      <c r="F103">
        <v>91</v>
      </c>
      <c r="G103">
        <v>51</v>
      </c>
      <c r="Q103" t="s">
        <v>12448</v>
      </c>
    </row>
    <row r="104" spans="2:18" x14ac:dyDescent="0.25">
      <c r="B104">
        <v>4223</v>
      </c>
      <c r="C104" t="s">
        <v>24784</v>
      </c>
      <c r="D104" t="s">
        <v>24355</v>
      </c>
      <c r="E104">
        <v>127</v>
      </c>
      <c r="F104">
        <v>91</v>
      </c>
      <c r="G104">
        <v>51</v>
      </c>
      <c r="R104" t="s">
        <v>12450</v>
      </c>
    </row>
    <row r="105" spans="2:18" x14ac:dyDescent="0.25">
      <c r="B105">
        <v>4224</v>
      </c>
      <c r="C105" t="s">
        <v>24785</v>
      </c>
      <c r="D105" t="s">
        <v>24355</v>
      </c>
      <c r="E105">
        <v>127</v>
      </c>
      <c r="F105">
        <v>91</v>
      </c>
      <c r="G105">
        <v>51</v>
      </c>
      <c r="R105" t="s">
        <v>12452</v>
      </c>
    </row>
    <row r="106" spans="2:18" x14ac:dyDescent="0.25">
      <c r="B106">
        <v>4225</v>
      </c>
      <c r="C106" t="s">
        <v>24783</v>
      </c>
      <c r="D106" t="s">
        <v>23430</v>
      </c>
      <c r="E106">
        <v>127</v>
      </c>
      <c r="F106">
        <v>91</v>
      </c>
      <c r="G106">
        <v>51</v>
      </c>
      <c r="Q106" t="s">
        <v>12454</v>
      </c>
    </row>
    <row r="107" spans="2:18" x14ac:dyDescent="0.25">
      <c r="B107">
        <v>4226</v>
      </c>
      <c r="C107" t="s">
        <v>24784</v>
      </c>
      <c r="D107" t="s">
        <v>23430</v>
      </c>
      <c r="E107">
        <v>127</v>
      </c>
      <c r="F107">
        <v>91</v>
      </c>
      <c r="G107">
        <v>51</v>
      </c>
      <c r="R107" t="s">
        <v>12456</v>
      </c>
    </row>
    <row r="108" spans="2:18" x14ac:dyDescent="0.25">
      <c r="B108">
        <v>4227</v>
      </c>
      <c r="C108" t="s">
        <v>24785</v>
      </c>
      <c r="D108" t="s">
        <v>23430</v>
      </c>
      <c r="E108">
        <v>127</v>
      </c>
      <c r="F108">
        <v>91</v>
      </c>
      <c r="G108">
        <v>51</v>
      </c>
      <c r="R108" t="s">
        <v>12458</v>
      </c>
    </row>
    <row r="109" spans="2:18" x14ac:dyDescent="0.25">
      <c r="B109">
        <v>4228</v>
      </c>
      <c r="C109" t="s">
        <v>24786</v>
      </c>
      <c r="E109">
        <v>127</v>
      </c>
      <c r="F109">
        <v>98</v>
      </c>
      <c r="G109">
        <v>51</v>
      </c>
      <c r="P109" t="s">
        <v>12460</v>
      </c>
    </row>
    <row r="110" spans="2:18" x14ac:dyDescent="0.25">
      <c r="B110">
        <v>4229</v>
      </c>
      <c r="C110" t="s">
        <v>24786</v>
      </c>
      <c r="D110" t="s">
        <v>24355</v>
      </c>
      <c r="E110">
        <v>127</v>
      </c>
      <c r="F110">
        <v>98</v>
      </c>
      <c r="G110">
        <v>51</v>
      </c>
      <c r="Q110" t="s">
        <v>12462</v>
      </c>
    </row>
    <row r="111" spans="2:18" x14ac:dyDescent="0.25">
      <c r="B111">
        <v>4230</v>
      </c>
      <c r="C111" t="s">
        <v>24787</v>
      </c>
      <c r="D111" t="s">
        <v>24355</v>
      </c>
      <c r="E111">
        <v>127</v>
      </c>
      <c r="F111">
        <v>98</v>
      </c>
      <c r="G111">
        <v>51</v>
      </c>
      <c r="R111" t="s">
        <v>12464</v>
      </c>
    </row>
    <row r="112" spans="2:18" x14ac:dyDescent="0.25">
      <c r="B112">
        <v>4231</v>
      </c>
      <c r="C112" t="s">
        <v>24788</v>
      </c>
      <c r="D112" t="s">
        <v>24355</v>
      </c>
      <c r="E112">
        <v>127</v>
      </c>
      <c r="F112">
        <v>98</v>
      </c>
      <c r="G112">
        <v>51</v>
      </c>
      <c r="R112" t="s">
        <v>12466</v>
      </c>
    </row>
    <row r="113" spans="2:18" x14ac:dyDescent="0.25">
      <c r="B113">
        <v>4232</v>
      </c>
      <c r="C113" t="s">
        <v>24786</v>
      </c>
      <c r="D113" t="s">
        <v>23430</v>
      </c>
      <c r="E113">
        <v>127</v>
      </c>
      <c r="F113">
        <v>98</v>
      </c>
      <c r="G113">
        <v>51</v>
      </c>
      <c r="Q113" t="s">
        <v>12468</v>
      </c>
    </row>
    <row r="114" spans="2:18" x14ac:dyDescent="0.25">
      <c r="B114">
        <v>4233</v>
      </c>
      <c r="C114" t="s">
        <v>24787</v>
      </c>
      <c r="D114" t="s">
        <v>23430</v>
      </c>
      <c r="E114">
        <v>127</v>
      </c>
      <c r="F114">
        <v>98</v>
      </c>
      <c r="G114">
        <v>51</v>
      </c>
      <c r="R114" t="s">
        <v>12470</v>
      </c>
    </row>
    <row r="115" spans="2:18" x14ac:dyDescent="0.25">
      <c r="B115">
        <v>4234</v>
      </c>
      <c r="C115" t="s">
        <v>24788</v>
      </c>
      <c r="D115" t="s">
        <v>23430</v>
      </c>
      <c r="E115">
        <v>127</v>
      </c>
      <c r="F115">
        <v>98</v>
      </c>
      <c r="G115">
        <v>51</v>
      </c>
      <c r="R115" t="s">
        <v>12472</v>
      </c>
    </row>
    <row r="116" spans="2:18" x14ac:dyDescent="0.25">
      <c r="B116">
        <v>4235</v>
      </c>
      <c r="C116" t="s">
        <v>23848</v>
      </c>
      <c r="E116">
        <v>127</v>
      </c>
      <c r="F116">
        <v>105</v>
      </c>
      <c r="G116">
        <v>51</v>
      </c>
      <c r="P116" t="s">
        <v>12474</v>
      </c>
    </row>
    <row r="117" spans="2:18" x14ac:dyDescent="0.25">
      <c r="B117">
        <v>4236</v>
      </c>
      <c r="C117" t="s">
        <v>23848</v>
      </c>
      <c r="D117" t="s">
        <v>24355</v>
      </c>
      <c r="E117">
        <v>127</v>
      </c>
      <c r="F117">
        <v>105</v>
      </c>
      <c r="G117">
        <v>51</v>
      </c>
      <c r="Q117" t="s">
        <v>12476</v>
      </c>
    </row>
    <row r="118" spans="2:18" x14ac:dyDescent="0.25">
      <c r="B118">
        <v>4237</v>
      </c>
      <c r="C118" t="s">
        <v>24789</v>
      </c>
      <c r="D118" t="s">
        <v>24355</v>
      </c>
      <c r="E118">
        <v>127</v>
      </c>
      <c r="F118">
        <v>105</v>
      </c>
      <c r="G118">
        <v>51</v>
      </c>
      <c r="R118" t="s">
        <v>12478</v>
      </c>
    </row>
    <row r="119" spans="2:18" x14ac:dyDescent="0.25">
      <c r="B119">
        <v>4238</v>
      </c>
      <c r="C119" t="s">
        <v>24790</v>
      </c>
      <c r="D119" t="s">
        <v>24355</v>
      </c>
      <c r="E119">
        <v>127</v>
      </c>
      <c r="F119">
        <v>105</v>
      </c>
      <c r="G119">
        <v>51</v>
      </c>
      <c r="R119" t="s">
        <v>12480</v>
      </c>
    </row>
    <row r="120" spans="2:18" x14ac:dyDescent="0.25">
      <c r="B120">
        <v>4239</v>
      </c>
      <c r="C120" t="s">
        <v>23848</v>
      </c>
      <c r="D120" t="s">
        <v>23430</v>
      </c>
      <c r="E120">
        <v>127</v>
      </c>
      <c r="F120">
        <v>105</v>
      </c>
      <c r="G120">
        <v>51</v>
      </c>
      <c r="Q120" t="s">
        <v>12482</v>
      </c>
    </row>
    <row r="121" spans="2:18" x14ac:dyDescent="0.25">
      <c r="B121">
        <v>4240</v>
      </c>
      <c r="C121" t="s">
        <v>24789</v>
      </c>
      <c r="D121" t="s">
        <v>23430</v>
      </c>
      <c r="E121">
        <v>127</v>
      </c>
      <c r="F121">
        <v>105</v>
      </c>
      <c r="G121">
        <v>51</v>
      </c>
      <c r="R121" t="s">
        <v>12484</v>
      </c>
    </row>
    <row r="122" spans="2:18" x14ac:dyDescent="0.25">
      <c r="B122">
        <v>4241</v>
      </c>
      <c r="C122" t="s">
        <v>24790</v>
      </c>
      <c r="D122" t="s">
        <v>23430</v>
      </c>
      <c r="E122">
        <v>127</v>
      </c>
      <c r="F122">
        <v>105</v>
      </c>
      <c r="G122">
        <v>51</v>
      </c>
      <c r="R122" t="s">
        <v>12486</v>
      </c>
    </row>
    <row r="123" spans="2:18" x14ac:dyDescent="0.25">
      <c r="B123">
        <v>4062</v>
      </c>
      <c r="C123" t="s">
        <v>23852</v>
      </c>
      <c r="E123">
        <v>127</v>
      </c>
      <c r="F123">
        <v>95</v>
      </c>
      <c r="G123">
        <v>51</v>
      </c>
      <c r="P123" t="s">
        <v>12190</v>
      </c>
    </row>
    <row r="124" spans="2:18" x14ac:dyDescent="0.25">
      <c r="B124">
        <v>4063</v>
      </c>
      <c r="C124" t="s">
        <v>23852</v>
      </c>
      <c r="D124" t="s">
        <v>24355</v>
      </c>
      <c r="E124">
        <v>127</v>
      </c>
      <c r="F124">
        <v>95</v>
      </c>
      <c r="G124">
        <v>51</v>
      </c>
      <c r="Q124" t="s">
        <v>12192</v>
      </c>
    </row>
    <row r="125" spans="2:18" x14ac:dyDescent="0.25">
      <c r="B125">
        <v>4064</v>
      </c>
      <c r="C125" t="s">
        <v>23852</v>
      </c>
      <c r="D125" t="s">
        <v>23430</v>
      </c>
      <c r="E125">
        <v>127</v>
      </c>
      <c r="F125">
        <v>95</v>
      </c>
      <c r="G125">
        <v>51</v>
      </c>
      <c r="Q125" t="s">
        <v>12194</v>
      </c>
    </row>
    <row r="126" spans="2:18" x14ac:dyDescent="0.25">
      <c r="B126">
        <v>4249</v>
      </c>
      <c r="C126" t="s">
        <v>23861</v>
      </c>
      <c r="E126">
        <v>255</v>
      </c>
      <c r="F126">
        <v>196</v>
      </c>
      <c r="G126">
        <v>102</v>
      </c>
      <c r="O126" t="s">
        <v>2291</v>
      </c>
    </row>
    <row r="127" spans="2:18" x14ac:dyDescent="0.25">
      <c r="B127">
        <v>12891</v>
      </c>
      <c r="C127" t="s">
        <v>15915</v>
      </c>
      <c r="E127">
        <v>255</v>
      </c>
      <c r="F127">
        <v>181</v>
      </c>
      <c r="G127">
        <v>102</v>
      </c>
      <c r="P127" t="s">
        <v>1461</v>
      </c>
    </row>
    <row r="128" spans="2:18" x14ac:dyDescent="0.25">
      <c r="B128">
        <v>4258</v>
      </c>
      <c r="C128" t="s">
        <v>15915</v>
      </c>
      <c r="D128" t="s">
        <v>24355</v>
      </c>
      <c r="E128">
        <v>255</v>
      </c>
      <c r="F128">
        <v>181</v>
      </c>
      <c r="G128">
        <v>102</v>
      </c>
      <c r="Q128" t="s">
        <v>12510</v>
      </c>
    </row>
    <row r="129" spans="2:17" x14ac:dyDescent="0.25">
      <c r="B129">
        <v>4267</v>
      </c>
      <c r="C129" t="s">
        <v>15915</v>
      </c>
      <c r="D129" t="s">
        <v>23430</v>
      </c>
      <c r="E129">
        <v>255</v>
      </c>
      <c r="F129">
        <v>181</v>
      </c>
      <c r="G129">
        <v>102</v>
      </c>
      <c r="Q129" t="s">
        <v>12526</v>
      </c>
    </row>
    <row r="130" spans="2:17" x14ac:dyDescent="0.25">
      <c r="B130">
        <v>12892</v>
      </c>
      <c r="C130" t="s">
        <v>15930</v>
      </c>
      <c r="E130">
        <v>255</v>
      </c>
      <c r="F130">
        <v>186</v>
      </c>
      <c r="G130">
        <v>102</v>
      </c>
      <c r="P130" t="s">
        <v>44</v>
      </c>
    </row>
    <row r="131" spans="2:17" x14ac:dyDescent="0.25">
      <c r="B131">
        <v>4254</v>
      </c>
      <c r="C131" t="s">
        <v>15930</v>
      </c>
      <c r="D131" t="s">
        <v>24355</v>
      </c>
      <c r="E131">
        <v>255</v>
      </c>
      <c r="F131">
        <v>186</v>
      </c>
      <c r="G131">
        <v>102</v>
      </c>
      <c r="Q131" t="s">
        <v>12502</v>
      </c>
    </row>
    <row r="132" spans="2:17" x14ac:dyDescent="0.25">
      <c r="B132">
        <v>4263</v>
      </c>
      <c r="C132" t="s">
        <v>15930</v>
      </c>
      <c r="D132" t="s">
        <v>23430</v>
      </c>
      <c r="E132">
        <v>255</v>
      </c>
      <c r="F132">
        <v>186</v>
      </c>
      <c r="G132">
        <v>102</v>
      </c>
      <c r="Q132" t="s">
        <v>12518</v>
      </c>
    </row>
    <row r="133" spans="2:17" x14ac:dyDescent="0.25">
      <c r="B133">
        <v>12893</v>
      </c>
      <c r="C133" t="s">
        <v>15935</v>
      </c>
      <c r="E133">
        <v>255</v>
      </c>
      <c r="F133">
        <v>191</v>
      </c>
      <c r="G133">
        <v>102</v>
      </c>
      <c r="P133" t="s">
        <v>76</v>
      </c>
    </row>
    <row r="134" spans="2:17" x14ac:dyDescent="0.25">
      <c r="B134">
        <v>4255</v>
      </c>
      <c r="C134" t="s">
        <v>15935</v>
      </c>
      <c r="D134" t="s">
        <v>24355</v>
      </c>
      <c r="E134">
        <v>255</v>
      </c>
      <c r="F134">
        <v>191</v>
      </c>
      <c r="G134">
        <v>102</v>
      </c>
      <c r="Q134" t="s">
        <v>12504</v>
      </c>
    </row>
    <row r="135" spans="2:17" x14ac:dyDescent="0.25">
      <c r="B135">
        <v>4264</v>
      </c>
      <c r="C135" t="s">
        <v>15935</v>
      </c>
      <c r="D135" t="s">
        <v>23430</v>
      </c>
      <c r="E135">
        <v>255</v>
      </c>
      <c r="F135">
        <v>191</v>
      </c>
      <c r="G135">
        <v>102</v>
      </c>
      <c r="Q135" t="s">
        <v>12520</v>
      </c>
    </row>
    <row r="136" spans="2:17" x14ac:dyDescent="0.25">
      <c r="B136">
        <v>12894</v>
      </c>
      <c r="C136" t="s">
        <v>15940</v>
      </c>
      <c r="E136">
        <v>255</v>
      </c>
      <c r="F136">
        <v>196</v>
      </c>
      <c r="G136">
        <v>102</v>
      </c>
      <c r="P136" t="s">
        <v>108</v>
      </c>
    </row>
    <row r="137" spans="2:17" x14ac:dyDescent="0.25">
      <c r="B137">
        <v>4256</v>
      </c>
      <c r="C137" t="s">
        <v>15940</v>
      </c>
      <c r="D137" t="s">
        <v>24355</v>
      </c>
      <c r="E137">
        <v>255</v>
      </c>
      <c r="F137">
        <v>196</v>
      </c>
      <c r="G137">
        <v>102</v>
      </c>
      <c r="Q137" t="s">
        <v>12506</v>
      </c>
    </row>
    <row r="138" spans="2:17" x14ac:dyDescent="0.25">
      <c r="B138">
        <v>4265</v>
      </c>
      <c r="C138" t="s">
        <v>15940</v>
      </c>
      <c r="D138" t="s">
        <v>23430</v>
      </c>
      <c r="E138">
        <v>255</v>
      </c>
      <c r="F138">
        <v>196</v>
      </c>
      <c r="G138">
        <v>102</v>
      </c>
      <c r="Q138" t="s">
        <v>12522</v>
      </c>
    </row>
    <row r="139" spans="2:17" x14ac:dyDescent="0.25">
      <c r="B139">
        <v>12895</v>
      </c>
      <c r="C139" t="s">
        <v>23091</v>
      </c>
      <c r="E139">
        <v>255</v>
      </c>
      <c r="F139">
        <v>201</v>
      </c>
      <c r="G139">
        <v>102</v>
      </c>
      <c r="P139" t="s">
        <v>145</v>
      </c>
    </row>
    <row r="140" spans="2:17" x14ac:dyDescent="0.25">
      <c r="B140">
        <v>4257</v>
      </c>
      <c r="C140" t="s">
        <v>23091</v>
      </c>
      <c r="D140" t="s">
        <v>24355</v>
      </c>
      <c r="E140">
        <v>255</v>
      </c>
      <c r="F140">
        <v>201</v>
      </c>
      <c r="G140">
        <v>102</v>
      </c>
      <c r="Q140" t="s">
        <v>12508</v>
      </c>
    </row>
    <row r="141" spans="2:17" x14ac:dyDescent="0.25">
      <c r="B141">
        <v>4266</v>
      </c>
      <c r="C141" t="s">
        <v>23091</v>
      </c>
      <c r="D141" t="s">
        <v>23430</v>
      </c>
      <c r="E141">
        <v>255</v>
      </c>
      <c r="F141">
        <v>201</v>
      </c>
      <c r="G141">
        <v>102</v>
      </c>
      <c r="Q141" t="s">
        <v>12524</v>
      </c>
    </row>
    <row r="142" spans="2:17" x14ac:dyDescent="0.25">
      <c r="B142">
        <v>265504424</v>
      </c>
      <c r="C142" t="s">
        <v>15946</v>
      </c>
      <c r="E142">
        <v>255</v>
      </c>
      <c r="F142">
        <v>206</v>
      </c>
      <c r="G142">
        <v>102</v>
      </c>
      <c r="P142" t="s">
        <v>2343</v>
      </c>
    </row>
    <row r="143" spans="2:17" x14ac:dyDescent="0.25">
      <c r="B143">
        <v>265504428</v>
      </c>
      <c r="C143" t="s">
        <v>15946</v>
      </c>
      <c r="D143" t="s">
        <v>24355</v>
      </c>
      <c r="E143">
        <v>255</v>
      </c>
      <c r="F143">
        <v>206</v>
      </c>
      <c r="G143">
        <v>102</v>
      </c>
      <c r="Q143" t="s">
        <v>11668</v>
      </c>
    </row>
    <row r="144" spans="2:17" x14ac:dyDescent="0.25">
      <c r="B144">
        <v>265504432</v>
      </c>
      <c r="C144" t="s">
        <v>15946</v>
      </c>
      <c r="D144" t="s">
        <v>23430</v>
      </c>
      <c r="E144">
        <v>255</v>
      </c>
      <c r="F144">
        <v>206</v>
      </c>
      <c r="G144">
        <v>102</v>
      </c>
      <c r="Q144" t="s">
        <v>11670</v>
      </c>
    </row>
    <row r="145" spans="2:18" x14ac:dyDescent="0.25">
      <c r="B145">
        <v>12896</v>
      </c>
      <c r="C145" t="s">
        <v>15962</v>
      </c>
      <c r="E145">
        <v>255</v>
      </c>
      <c r="F145">
        <v>211</v>
      </c>
      <c r="G145">
        <v>102</v>
      </c>
      <c r="P145" t="s">
        <v>14722</v>
      </c>
    </row>
    <row r="146" spans="2:18" x14ac:dyDescent="0.25">
      <c r="B146">
        <v>4251</v>
      </c>
      <c r="C146" t="s">
        <v>15962</v>
      </c>
      <c r="D146" t="s">
        <v>24355</v>
      </c>
      <c r="E146">
        <v>255</v>
      </c>
      <c r="F146">
        <v>211</v>
      </c>
      <c r="G146">
        <v>102</v>
      </c>
      <c r="Q146" t="s">
        <v>12500</v>
      </c>
    </row>
    <row r="147" spans="2:18" x14ac:dyDescent="0.25">
      <c r="B147">
        <v>4252</v>
      </c>
      <c r="C147" t="s">
        <v>15970</v>
      </c>
      <c r="D147" t="s">
        <v>24355</v>
      </c>
      <c r="E147">
        <v>255</v>
      </c>
      <c r="F147">
        <v>211</v>
      </c>
      <c r="G147">
        <v>102</v>
      </c>
      <c r="R147" t="s">
        <v>4118</v>
      </c>
    </row>
    <row r="148" spans="2:18" x14ac:dyDescent="0.25">
      <c r="B148">
        <v>4253</v>
      </c>
      <c r="C148" t="s">
        <v>15984</v>
      </c>
      <c r="D148" t="s">
        <v>24355</v>
      </c>
      <c r="E148">
        <v>255</v>
      </c>
      <c r="F148">
        <v>211</v>
      </c>
      <c r="G148">
        <v>102</v>
      </c>
      <c r="R148" t="s">
        <v>3616</v>
      </c>
    </row>
    <row r="149" spans="2:18" x14ac:dyDescent="0.25">
      <c r="B149">
        <v>265504436</v>
      </c>
      <c r="C149" t="s">
        <v>19689</v>
      </c>
      <c r="D149" t="s">
        <v>24355</v>
      </c>
      <c r="E149">
        <v>255</v>
      </c>
      <c r="F149">
        <v>211</v>
      </c>
      <c r="G149">
        <v>102</v>
      </c>
      <c r="R149" t="s">
        <v>11672</v>
      </c>
    </row>
    <row r="150" spans="2:18" x14ac:dyDescent="0.25">
      <c r="B150">
        <v>265504440</v>
      </c>
      <c r="C150" t="s">
        <v>23095</v>
      </c>
      <c r="D150" t="s">
        <v>24355</v>
      </c>
      <c r="E150">
        <v>255</v>
      </c>
      <c r="F150">
        <v>211</v>
      </c>
      <c r="G150">
        <v>102</v>
      </c>
      <c r="R150" t="s">
        <v>11674</v>
      </c>
    </row>
    <row r="151" spans="2:18" x14ac:dyDescent="0.25">
      <c r="B151">
        <v>4260</v>
      </c>
      <c r="C151" t="s">
        <v>15962</v>
      </c>
      <c r="D151" t="s">
        <v>23430</v>
      </c>
      <c r="E151">
        <v>255</v>
      </c>
      <c r="F151">
        <v>211</v>
      </c>
      <c r="G151">
        <v>102</v>
      </c>
      <c r="Q151" t="s">
        <v>12512</v>
      </c>
    </row>
    <row r="152" spans="2:18" x14ac:dyDescent="0.25">
      <c r="B152">
        <v>4261</v>
      </c>
      <c r="C152" t="s">
        <v>15970</v>
      </c>
      <c r="D152" t="s">
        <v>23430</v>
      </c>
      <c r="E152">
        <v>255</v>
      </c>
      <c r="F152">
        <v>211</v>
      </c>
      <c r="G152">
        <v>102</v>
      </c>
      <c r="R152" t="s">
        <v>12514</v>
      </c>
    </row>
    <row r="153" spans="2:18" x14ac:dyDescent="0.25">
      <c r="B153">
        <v>4262</v>
      </c>
      <c r="C153" t="s">
        <v>15984</v>
      </c>
      <c r="D153" t="s">
        <v>23430</v>
      </c>
      <c r="E153">
        <v>255</v>
      </c>
      <c r="F153">
        <v>211</v>
      </c>
      <c r="G153">
        <v>102</v>
      </c>
      <c r="R153" t="s">
        <v>12516</v>
      </c>
    </row>
    <row r="154" spans="2:18" x14ac:dyDescent="0.25">
      <c r="B154">
        <v>265504444</v>
      </c>
      <c r="C154" t="s">
        <v>19689</v>
      </c>
      <c r="D154" t="s">
        <v>23430</v>
      </c>
      <c r="E154">
        <v>255</v>
      </c>
      <c r="F154">
        <v>211</v>
      </c>
      <c r="G154">
        <v>102</v>
      </c>
      <c r="R154" t="s">
        <v>11676</v>
      </c>
    </row>
    <row r="155" spans="2:18" x14ac:dyDescent="0.25">
      <c r="B155">
        <v>265504448</v>
      </c>
      <c r="C155" t="s">
        <v>23095</v>
      </c>
      <c r="D155" t="s">
        <v>23430</v>
      </c>
      <c r="E155">
        <v>255</v>
      </c>
      <c r="F155">
        <v>211</v>
      </c>
      <c r="G155">
        <v>102</v>
      </c>
      <c r="R155" t="s">
        <v>11678</v>
      </c>
    </row>
    <row r="156" spans="2:18" x14ac:dyDescent="0.25">
      <c r="B156">
        <v>4242</v>
      </c>
      <c r="C156" t="s">
        <v>23854</v>
      </c>
      <c r="E156">
        <v>191</v>
      </c>
      <c r="F156">
        <v>147</v>
      </c>
      <c r="G156">
        <v>76</v>
      </c>
      <c r="O156" t="s">
        <v>3596</v>
      </c>
    </row>
    <row r="157" spans="2:18" x14ac:dyDescent="0.25">
      <c r="B157">
        <v>4243</v>
      </c>
      <c r="C157" t="s">
        <v>23854</v>
      </c>
      <c r="D157" t="s">
        <v>24355</v>
      </c>
      <c r="E157">
        <v>191</v>
      </c>
      <c r="F157">
        <v>147</v>
      </c>
      <c r="G157">
        <v>76</v>
      </c>
      <c r="P157" t="s">
        <v>12488</v>
      </c>
    </row>
    <row r="158" spans="2:18" x14ac:dyDescent="0.25">
      <c r="B158">
        <v>4244</v>
      </c>
      <c r="C158" t="s">
        <v>24791</v>
      </c>
      <c r="D158" t="s">
        <v>24355</v>
      </c>
      <c r="E158">
        <v>191</v>
      </c>
      <c r="F158">
        <v>147</v>
      </c>
      <c r="G158">
        <v>76</v>
      </c>
      <c r="Q158" t="s">
        <v>12490</v>
      </c>
    </row>
    <row r="159" spans="2:18" x14ac:dyDescent="0.25">
      <c r="B159">
        <v>4245</v>
      </c>
      <c r="C159" t="s">
        <v>24792</v>
      </c>
      <c r="D159" t="s">
        <v>24355</v>
      </c>
      <c r="E159">
        <v>191</v>
      </c>
      <c r="F159">
        <v>147</v>
      </c>
      <c r="G159">
        <v>76</v>
      </c>
      <c r="Q159" t="s">
        <v>12492</v>
      </c>
    </row>
    <row r="160" spans="2:18" x14ac:dyDescent="0.25">
      <c r="B160">
        <v>4246</v>
      </c>
      <c r="C160" t="s">
        <v>23854</v>
      </c>
      <c r="D160" t="s">
        <v>23430</v>
      </c>
      <c r="E160">
        <v>191</v>
      </c>
      <c r="F160">
        <v>147</v>
      </c>
      <c r="G160">
        <v>76</v>
      </c>
      <c r="P160" t="s">
        <v>12494</v>
      </c>
    </row>
    <row r="161" spans="2:17" x14ac:dyDescent="0.25">
      <c r="B161">
        <v>4247</v>
      </c>
      <c r="C161" t="s">
        <v>24791</v>
      </c>
      <c r="D161" t="s">
        <v>23430</v>
      </c>
      <c r="E161">
        <v>191</v>
      </c>
      <c r="F161">
        <v>147</v>
      </c>
      <c r="G161">
        <v>76</v>
      </c>
      <c r="Q161" t="s">
        <v>12496</v>
      </c>
    </row>
    <row r="162" spans="2:17" x14ac:dyDescent="0.25">
      <c r="B162">
        <v>4248</v>
      </c>
      <c r="C162" t="s">
        <v>24792</v>
      </c>
      <c r="D162" t="s">
        <v>23430</v>
      </c>
      <c r="E162">
        <v>191</v>
      </c>
      <c r="F162">
        <v>147</v>
      </c>
      <c r="G162">
        <v>76</v>
      </c>
      <c r="Q162" t="s">
        <v>12498</v>
      </c>
    </row>
    <row r="163" spans="2:17" x14ac:dyDescent="0.25">
      <c r="B163">
        <v>10142</v>
      </c>
      <c r="C163" t="s">
        <v>23141</v>
      </c>
      <c r="E163">
        <v>191</v>
      </c>
      <c r="F163">
        <v>158</v>
      </c>
      <c r="G163">
        <v>76</v>
      </c>
      <c r="O163" t="s">
        <v>3837</v>
      </c>
    </row>
    <row r="164" spans="2:17" x14ac:dyDescent="0.25">
      <c r="B164">
        <v>10143</v>
      </c>
      <c r="C164" t="s">
        <v>23141</v>
      </c>
      <c r="D164" t="s">
        <v>24355</v>
      </c>
      <c r="E164">
        <v>191</v>
      </c>
      <c r="F164">
        <v>158</v>
      </c>
      <c r="G164">
        <v>76</v>
      </c>
      <c r="P164" t="s">
        <v>11633</v>
      </c>
    </row>
    <row r="165" spans="2:17" x14ac:dyDescent="0.25">
      <c r="B165">
        <v>10144</v>
      </c>
      <c r="C165" t="s">
        <v>23141</v>
      </c>
      <c r="D165" t="s">
        <v>23430</v>
      </c>
      <c r="E165">
        <v>191</v>
      </c>
      <c r="F165">
        <v>158</v>
      </c>
      <c r="G165">
        <v>76</v>
      </c>
      <c r="P165" t="s">
        <v>11635</v>
      </c>
    </row>
    <row r="166" spans="2:17" x14ac:dyDescent="0.25">
      <c r="B166">
        <v>4180</v>
      </c>
      <c r="C166" t="s">
        <v>24793</v>
      </c>
      <c r="E166">
        <v>232</v>
      </c>
      <c r="F166">
        <v>133</v>
      </c>
      <c r="G166">
        <v>81</v>
      </c>
      <c r="N166" t="s">
        <v>3383</v>
      </c>
    </row>
    <row r="167" spans="2:17" x14ac:dyDescent="0.25">
      <c r="B167">
        <v>4184</v>
      </c>
      <c r="C167" t="s">
        <v>23838</v>
      </c>
      <c r="E167">
        <v>232</v>
      </c>
      <c r="F167">
        <v>119</v>
      </c>
      <c r="G167">
        <v>81</v>
      </c>
      <c r="O167" t="s">
        <v>1412</v>
      </c>
    </row>
    <row r="168" spans="2:17" x14ac:dyDescent="0.25">
      <c r="B168">
        <v>4185</v>
      </c>
      <c r="C168" t="s">
        <v>23838</v>
      </c>
      <c r="D168" t="s">
        <v>24355</v>
      </c>
      <c r="E168">
        <v>232</v>
      </c>
      <c r="F168">
        <v>119</v>
      </c>
      <c r="G168">
        <v>81</v>
      </c>
      <c r="P168" t="s">
        <v>12384</v>
      </c>
    </row>
    <row r="169" spans="2:17" x14ac:dyDescent="0.25">
      <c r="B169">
        <v>4186</v>
      </c>
      <c r="C169" t="s">
        <v>24794</v>
      </c>
      <c r="D169" t="s">
        <v>24355</v>
      </c>
      <c r="E169">
        <v>232</v>
      </c>
      <c r="F169">
        <v>119</v>
      </c>
      <c r="G169">
        <v>81</v>
      </c>
      <c r="Q169" t="s">
        <v>12386</v>
      </c>
    </row>
    <row r="170" spans="2:17" x14ac:dyDescent="0.25">
      <c r="B170">
        <v>4187</v>
      </c>
      <c r="C170" t="s">
        <v>24795</v>
      </c>
      <c r="D170" t="s">
        <v>24355</v>
      </c>
      <c r="E170">
        <v>232</v>
      </c>
      <c r="F170">
        <v>119</v>
      </c>
      <c r="G170">
        <v>81</v>
      </c>
      <c r="Q170" t="s">
        <v>12388</v>
      </c>
    </row>
    <row r="171" spans="2:17" x14ac:dyDescent="0.25">
      <c r="B171">
        <v>4188</v>
      </c>
      <c r="C171" t="s">
        <v>23838</v>
      </c>
      <c r="D171" t="s">
        <v>23430</v>
      </c>
      <c r="E171">
        <v>232</v>
      </c>
      <c r="F171">
        <v>119</v>
      </c>
      <c r="G171">
        <v>81</v>
      </c>
      <c r="P171" t="s">
        <v>12390</v>
      </c>
    </row>
    <row r="172" spans="2:17" x14ac:dyDescent="0.25">
      <c r="B172">
        <v>4189</v>
      </c>
      <c r="C172" t="s">
        <v>24794</v>
      </c>
      <c r="D172" t="s">
        <v>23430</v>
      </c>
      <c r="E172">
        <v>232</v>
      </c>
      <c r="F172">
        <v>119</v>
      </c>
      <c r="G172">
        <v>81</v>
      </c>
      <c r="Q172" t="s">
        <v>12392</v>
      </c>
    </row>
    <row r="173" spans="2:17" x14ac:dyDescent="0.25">
      <c r="B173">
        <v>4190</v>
      </c>
      <c r="C173" t="s">
        <v>24795</v>
      </c>
      <c r="D173" t="s">
        <v>23430</v>
      </c>
      <c r="E173">
        <v>232</v>
      </c>
      <c r="F173">
        <v>119</v>
      </c>
      <c r="G173">
        <v>81</v>
      </c>
      <c r="Q173" t="s">
        <v>12394</v>
      </c>
    </row>
    <row r="174" spans="2:17" x14ac:dyDescent="0.25">
      <c r="B174">
        <v>4205</v>
      </c>
      <c r="C174" t="s">
        <v>23841</v>
      </c>
      <c r="E174">
        <v>232</v>
      </c>
      <c r="F174">
        <v>123</v>
      </c>
      <c r="G174">
        <v>81</v>
      </c>
      <c r="O174" t="s">
        <v>2378</v>
      </c>
    </row>
    <row r="175" spans="2:17" x14ac:dyDescent="0.25">
      <c r="B175">
        <v>4206</v>
      </c>
      <c r="C175" t="s">
        <v>23841</v>
      </c>
      <c r="D175" t="s">
        <v>24355</v>
      </c>
      <c r="E175">
        <v>232</v>
      </c>
      <c r="F175">
        <v>123</v>
      </c>
      <c r="G175">
        <v>81</v>
      </c>
      <c r="P175" t="s">
        <v>12422</v>
      </c>
    </row>
    <row r="176" spans="2:17" x14ac:dyDescent="0.25">
      <c r="B176">
        <v>4207</v>
      </c>
      <c r="C176" t="s">
        <v>24796</v>
      </c>
      <c r="D176" t="s">
        <v>24355</v>
      </c>
      <c r="E176">
        <v>232</v>
      </c>
      <c r="F176">
        <v>123</v>
      </c>
      <c r="G176">
        <v>81</v>
      </c>
      <c r="Q176" t="s">
        <v>12424</v>
      </c>
    </row>
    <row r="177" spans="2:17" x14ac:dyDescent="0.25">
      <c r="B177">
        <v>4208</v>
      </c>
      <c r="C177" t="s">
        <v>24797</v>
      </c>
      <c r="D177" t="s">
        <v>24355</v>
      </c>
      <c r="E177">
        <v>232</v>
      </c>
      <c r="F177">
        <v>123</v>
      </c>
      <c r="G177">
        <v>81</v>
      </c>
      <c r="Q177" t="s">
        <v>12426</v>
      </c>
    </row>
    <row r="178" spans="2:17" x14ac:dyDescent="0.25">
      <c r="B178">
        <v>4209</v>
      </c>
      <c r="C178" t="s">
        <v>23841</v>
      </c>
      <c r="D178" t="s">
        <v>23430</v>
      </c>
      <c r="E178">
        <v>232</v>
      </c>
      <c r="F178">
        <v>123</v>
      </c>
      <c r="G178">
        <v>81</v>
      </c>
      <c r="P178" t="s">
        <v>12428</v>
      </c>
    </row>
    <row r="179" spans="2:17" x14ac:dyDescent="0.25">
      <c r="B179">
        <v>4210</v>
      </c>
      <c r="C179" t="s">
        <v>24796</v>
      </c>
      <c r="D179" t="s">
        <v>23430</v>
      </c>
      <c r="E179">
        <v>232</v>
      </c>
      <c r="F179">
        <v>123</v>
      </c>
      <c r="G179">
        <v>81</v>
      </c>
      <c r="Q179" t="s">
        <v>12430</v>
      </c>
    </row>
    <row r="180" spans="2:17" x14ac:dyDescent="0.25">
      <c r="B180">
        <v>4211</v>
      </c>
      <c r="C180" t="s">
        <v>24797</v>
      </c>
      <c r="D180" t="s">
        <v>23430</v>
      </c>
      <c r="E180">
        <v>232</v>
      </c>
      <c r="F180">
        <v>123</v>
      </c>
      <c r="G180">
        <v>81</v>
      </c>
      <c r="Q180" t="s">
        <v>12432</v>
      </c>
    </row>
    <row r="181" spans="2:17" x14ac:dyDescent="0.25">
      <c r="B181">
        <v>4191</v>
      </c>
      <c r="C181" t="s">
        <v>23839</v>
      </c>
      <c r="E181">
        <v>232</v>
      </c>
      <c r="F181">
        <v>128</v>
      </c>
      <c r="G181">
        <v>81</v>
      </c>
      <c r="O181" t="s">
        <v>2790</v>
      </c>
    </row>
    <row r="182" spans="2:17" x14ac:dyDescent="0.25">
      <c r="B182">
        <v>4192</v>
      </c>
      <c r="C182" t="s">
        <v>23839</v>
      </c>
      <c r="D182" t="s">
        <v>24355</v>
      </c>
      <c r="E182">
        <v>232</v>
      </c>
      <c r="F182">
        <v>128</v>
      </c>
      <c r="G182">
        <v>81</v>
      </c>
      <c r="P182" t="s">
        <v>12396</v>
      </c>
    </row>
    <row r="183" spans="2:17" x14ac:dyDescent="0.25">
      <c r="B183">
        <v>4193</v>
      </c>
      <c r="C183" t="s">
        <v>24798</v>
      </c>
      <c r="D183" t="s">
        <v>24355</v>
      </c>
      <c r="E183">
        <v>232</v>
      </c>
      <c r="F183">
        <v>128</v>
      </c>
      <c r="G183">
        <v>81</v>
      </c>
      <c r="Q183" t="s">
        <v>12398</v>
      </c>
    </row>
    <row r="184" spans="2:17" x14ac:dyDescent="0.25">
      <c r="B184">
        <v>4194</v>
      </c>
      <c r="C184" t="s">
        <v>24799</v>
      </c>
      <c r="D184" t="s">
        <v>24355</v>
      </c>
      <c r="E184">
        <v>232</v>
      </c>
      <c r="F184">
        <v>128</v>
      </c>
      <c r="G184">
        <v>81</v>
      </c>
      <c r="Q184" t="s">
        <v>12400</v>
      </c>
    </row>
    <row r="185" spans="2:17" x14ac:dyDescent="0.25">
      <c r="B185">
        <v>4195</v>
      </c>
      <c r="C185" t="s">
        <v>23839</v>
      </c>
      <c r="D185" t="s">
        <v>23430</v>
      </c>
      <c r="E185">
        <v>232</v>
      </c>
      <c r="F185">
        <v>128</v>
      </c>
      <c r="G185">
        <v>81</v>
      </c>
      <c r="P185" t="s">
        <v>12402</v>
      </c>
    </row>
    <row r="186" spans="2:17" x14ac:dyDescent="0.25">
      <c r="B186">
        <v>4196</v>
      </c>
      <c r="C186" t="s">
        <v>24798</v>
      </c>
      <c r="D186" t="s">
        <v>23430</v>
      </c>
      <c r="E186">
        <v>232</v>
      </c>
      <c r="F186">
        <v>128</v>
      </c>
      <c r="G186">
        <v>81</v>
      </c>
      <c r="Q186" t="s">
        <v>12404</v>
      </c>
    </row>
    <row r="187" spans="2:17" x14ac:dyDescent="0.25">
      <c r="B187">
        <v>4197</v>
      </c>
      <c r="C187" t="s">
        <v>24799</v>
      </c>
      <c r="D187" t="s">
        <v>23430</v>
      </c>
      <c r="E187">
        <v>232</v>
      </c>
      <c r="F187">
        <v>128</v>
      </c>
      <c r="G187">
        <v>81</v>
      </c>
      <c r="Q187" t="s">
        <v>12406</v>
      </c>
    </row>
    <row r="188" spans="2:17" x14ac:dyDescent="0.25">
      <c r="B188">
        <v>4181</v>
      </c>
      <c r="C188" t="s">
        <v>20238</v>
      </c>
      <c r="E188">
        <v>232</v>
      </c>
      <c r="F188">
        <v>133</v>
      </c>
      <c r="G188">
        <v>81</v>
      </c>
      <c r="O188" t="s">
        <v>3387</v>
      </c>
    </row>
    <row r="189" spans="2:17" x14ac:dyDescent="0.25">
      <c r="B189">
        <v>4182</v>
      </c>
      <c r="C189" t="s">
        <v>20238</v>
      </c>
      <c r="D189" t="s">
        <v>24355</v>
      </c>
      <c r="E189">
        <v>232</v>
      </c>
      <c r="F189">
        <v>133</v>
      </c>
      <c r="G189">
        <v>81</v>
      </c>
      <c r="P189" t="s">
        <v>12380</v>
      </c>
    </row>
    <row r="190" spans="2:17" x14ac:dyDescent="0.25">
      <c r="B190">
        <v>4909</v>
      </c>
      <c r="C190" t="s">
        <v>24800</v>
      </c>
      <c r="D190" t="s">
        <v>24355</v>
      </c>
      <c r="E190">
        <v>232</v>
      </c>
      <c r="F190">
        <v>133</v>
      </c>
      <c r="G190">
        <v>81</v>
      </c>
      <c r="Q190" t="s">
        <v>12753</v>
      </c>
    </row>
    <row r="191" spans="2:17" x14ac:dyDescent="0.25">
      <c r="B191">
        <v>4910</v>
      </c>
      <c r="C191" t="s">
        <v>24801</v>
      </c>
      <c r="D191" t="s">
        <v>24355</v>
      </c>
      <c r="E191">
        <v>232</v>
      </c>
      <c r="F191">
        <v>133</v>
      </c>
      <c r="G191">
        <v>81</v>
      </c>
      <c r="Q191" t="s">
        <v>12755</v>
      </c>
    </row>
    <row r="192" spans="2:17" x14ac:dyDescent="0.25">
      <c r="B192">
        <v>4911</v>
      </c>
      <c r="C192" t="s">
        <v>24802</v>
      </c>
      <c r="D192" t="s">
        <v>24355</v>
      </c>
      <c r="E192">
        <v>232</v>
      </c>
      <c r="F192">
        <v>133</v>
      </c>
      <c r="G192">
        <v>81</v>
      </c>
      <c r="Q192" t="s">
        <v>12757</v>
      </c>
    </row>
    <row r="193" spans="2:17" x14ac:dyDescent="0.25">
      <c r="B193">
        <v>4183</v>
      </c>
      <c r="C193" t="s">
        <v>20238</v>
      </c>
      <c r="D193" t="s">
        <v>23430</v>
      </c>
      <c r="E193">
        <v>232</v>
      </c>
      <c r="F193">
        <v>133</v>
      </c>
      <c r="G193">
        <v>81</v>
      </c>
      <c r="P193" t="s">
        <v>12382</v>
      </c>
    </row>
    <row r="194" spans="2:17" x14ac:dyDescent="0.25">
      <c r="B194">
        <v>4912</v>
      </c>
      <c r="C194" t="s">
        <v>24800</v>
      </c>
      <c r="D194" t="s">
        <v>23430</v>
      </c>
      <c r="E194">
        <v>232</v>
      </c>
      <c r="F194">
        <v>133</v>
      </c>
      <c r="G194">
        <v>81</v>
      </c>
      <c r="Q194" t="s">
        <v>12759</v>
      </c>
    </row>
    <row r="195" spans="2:17" x14ac:dyDescent="0.25">
      <c r="B195">
        <v>4913</v>
      </c>
      <c r="C195" t="s">
        <v>24801</v>
      </c>
      <c r="D195" t="s">
        <v>23430</v>
      </c>
      <c r="E195">
        <v>232</v>
      </c>
      <c r="F195">
        <v>133</v>
      </c>
      <c r="G195">
        <v>81</v>
      </c>
      <c r="Q195" t="s">
        <v>12761</v>
      </c>
    </row>
    <row r="196" spans="2:17" x14ac:dyDescent="0.25">
      <c r="B196">
        <v>4914</v>
      </c>
      <c r="C196" t="s">
        <v>24802</v>
      </c>
      <c r="D196" t="s">
        <v>23430</v>
      </c>
      <c r="E196">
        <v>232</v>
      </c>
      <c r="F196">
        <v>133</v>
      </c>
      <c r="G196">
        <v>81</v>
      </c>
      <c r="Q196" t="s">
        <v>12763</v>
      </c>
    </row>
    <row r="197" spans="2:17" x14ac:dyDescent="0.25">
      <c r="B197">
        <v>4198</v>
      </c>
      <c r="C197" t="s">
        <v>24803</v>
      </c>
      <c r="E197">
        <v>232</v>
      </c>
      <c r="F197">
        <v>138</v>
      </c>
      <c r="G197">
        <v>81</v>
      </c>
      <c r="O197" t="s">
        <v>12408</v>
      </c>
    </row>
    <row r="198" spans="2:17" x14ac:dyDescent="0.25">
      <c r="B198">
        <v>4199</v>
      </c>
      <c r="C198" t="s">
        <v>24803</v>
      </c>
      <c r="D198" t="s">
        <v>24355</v>
      </c>
      <c r="E198">
        <v>232</v>
      </c>
      <c r="F198">
        <v>138</v>
      </c>
      <c r="G198">
        <v>81</v>
      </c>
      <c r="P198" t="s">
        <v>12410</v>
      </c>
    </row>
    <row r="199" spans="2:17" x14ac:dyDescent="0.25">
      <c r="B199">
        <v>4200</v>
      </c>
      <c r="C199" t="s">
        <v>24804</v>
      </c>
      <c r="D199" t="s">
        <v>24355</v>
      </c>
      <c r="E199">
        <v>232</v>
      </c>
      <c r="F199">
        <v>138</v>
      </c>
      <c r="G199">
        <v>81</v>
      </c>
      <c r="Q199" t="s">
        <v>12412</v>
      </c>
    </row>
    <row r="200" spans="2:17" x14ac:dyDescent="0.25">
      <c r="B200">
        <v>4201</v>
      </c>
      <c r="C200" t="s">
        <v>24805</v>
      </c>
      <c r="D200" t="s">
        <v>24355</v>
      </c>
      <c r="E200">
        <v>232</v>
      </c>
      <c r="F200">
        <v>138</v>
      </c>
      <c r="G200">
        <v>81</v>
      </c>
      <c r="Q200" t="s">
        <v>12414</v>
      </c>
    </row>
    <row r="201" spans="2:17" x14ac:dyDescent="0.25">
      <c r="B201">
        <v>4202</v>
      </c>
      <c r="C201" t="s">
        <v>24803</v>
      </c>
      <c r="D201" t="s">
        <v>23430</v>
      </c>
      <c r="E201">
        <v>232</v>
      </c>
      <c r="F201">
        <v>138</v>
      </c>
      <c r="G201">
        <v>81</v>
      </c>
      <c r="P201" t="s">
        <v>12416</v>
      </c>
    </row>
    <row r="202" spans="2:17" x14ac:dyDescent="0.25">
      <c r="B202">
        <v>4203</v>
      </c>
      <c r="C202" t="s">
        <v>24804</v>
      </c>
      <c r="D202" t="s">
        <v>23430</v>
      </c>
      <c r="E202">
        <v>232</v>
      </c>
      <c r="F202">
        <v>138</v>
      </c>
      <c r="G202">
        <v>81</v>
      </c>
      <c r="Q202" t="s">
        <v>12418</v>
      </c>
    </row>
    <row r="203" spans="2:17" x14ac:dyDescent="0.25">
      <c r="B203">
        <v>4204</v>
      </c>
      <c r="C203" t="s">
        <v>24805</v>
      </c>
      <c r="D203" t="s">
        <v>23430</v>
      </c>
      <c r="E203">
        <v>232</v>
      </c>
      <c r="F203">
        <v>138</v>
      </c>
      <c r="G203">
        <v>81</v>
      </c>
      <c r="Q203" t="s">
        <v>12420</v>
      </c>
    </row>
    <row r="204" spans="2:17" x14ac:dyDescent="0.25">
      <c r="B204">
        <v>4212</v>
      </c>
      <c r="C204" t="s">
        <v>23842</v>
      </c>
      <c r="E204">
        <v>232</v>
      </c>
      <c r="F204">
        <v>143</v>
      </c>
      <c r="G204">
        <v>81</v>
      </c>
      <c r="O204" t="s">
        <v>14823</v>
      </c>
    </row>
    <row r="205" spans="2:17" x14ac:dyDescent="0.25">
      <c r="B205">
        <v>4213</v>
      </c>
      <c r="C205" t="s">
        <v>23842</v>
      </c>
      <c r="D205" t="s">
        <v>24355</v>
      </c>
      <c r="E205">
        <v>232</v>
      </c>
      <c r="F205">
        <v>143</v>
      </c>
      <c r="G205">
        <v>81</v>
      </c>
      <c r="P205" t="s">
        <v>12434</v>
      </c>
    </row>
    <row r="206" spans="2:17" x14ac:dyDescent="0.25">
      <c r="B206">
        <v>4214</v>
      </c>
      <c r="C206" t="s">
        <v>24806</v>
      </c>
      <c r="D206" t="s">
        <v>24355</v>
      </c>
      <c r="E206">
        <v>232</v>
      </c>
      <c r="F206">
        <v>143</v>
      </c>
      <c r="G206">
        <v>81</v>
      </c>
      <c r="Q206" t="s">
        <v>12436</v>
      </c>
    </row>
    <row r="207" spans="2:17" x14ac:dyDescent="0.25">
      <c r="B207">
        <v>4215</v>
      </c>
      <c r="C207" t="s">
        <v>24807</v>
      </c>
      <c r="D207" t="s">
        <v>24355</v>
      </c>
      <c r="E207">
        <v>232</v>
      </c>
      <c r="F207">
        <v>143</v>
      </c>
      <c r="G207">
        <v>81</v>
      </c>
      <c r="Q207" t="s">
        <v>12438</v>
      </c>
    </row>
    <row r="208" spans="2:17" x14ac:dyDescent="0.25">
      <c r="B208">
        <v>4216</v>
      </c>
      <c r="C208" t="s">
        <v>23842</v>
      </c>
      <c r="D208" t="s">
        <v>23430</v>
      </c>
      <c r="E208">
        <v>232</v>
      </c>
      <c r="F208">
        <v>143</v>
      </c>
      <c r="G208">
        <v>81</v>
      </c>
      <c r="P208" t="s">
        <v>12440</v>
      </c>
    </row>
    <row r="209" spans="2:18" x14ac:dyDescent="0.25">
      <c r="B209">
        <v>4217</v>
      </c>
      <c r="C209" t="s">
        <v>24806</v>
      </c>
      <c r="D209" t="s">
        <v>23430</v>
      </c>
      <c r="E209">
        <v>232</v>
      </c>
      <c r="F209">
        <v>143</v>
      </c>
      <c r="G209">
        <v>81</v>
      </c>
      <c r="Q209" t="s">
        <v>12442</v>
      </c>
    </row>
    <row r="210" spans="2:18" x14ac:dyDescent="0.25">
      <c r="B210">
        <v>4218</v>
      </c>
      <c r="C210" t="s">
        <v>24807</v>
      </c>
      <c r="D210" t="s">
        <v>23430</v>
      </c>
      <c r="E210">
        <v>232</v>
      </c>
      <c r="F210">
        <v>143</v>
      </c>
      <c r="G210">
        <v>81</v>
      </c>
      <c r="Q210" t="s">
        <v>12444</v>
      </c>
    </row>
    <row r="211" spans="2:18" x14ac:dyDescent="0.25">
      <c r="B211">
        <v>4084</v>
      </c>
      <c r="C211" t="s">
        <v>19111</v>
      </c>
      <c r="E211">
        <v>255</v>
      </c>
      <c r="F211">
        <v>108</v>
      </c>
      <c r="G211">
        <v>98</v>
      </c>
      <c r="N211" t="s">
        <v>3732</v>
      </c>
    </row>
    <row r="212" spans="2:18" x14ac:dyDescent="0.25">
      <c r="B212">
        <v>4103</v>
      </c>
      <c r="C212" t="s">
        <v>15351</v>
      </c>
      <c r="E212">
        <v>255</v>
      </c>
      <c r="F212">
        <v>93</v>
      </c>
      <c r="G212">
        <v>98</v>
      </c>
      <c r="O212" t="s">
        <v>2394</v>
      </c>
    </row>
    <row r="213" spans="2:18" x14ac:dyDescent="0.25">
      <c r="B213">
        <v>4111</v>
      </c>
      <c r="C213" t="s">
        <v>23818</v>
      </c>
      <c r="E213">
        <v>255</v>
      </c>
      <c r="F213">
        <v>93</v>
      </c>
      <c r="G213">
        <v>98</v>
      </c>
      <c r="P213" t="s">
        <v>273</v>
      </c>
    </row>
    <row r="214" spans="2:18" x14ac:dyDescent="0.25">
      <c r="B214">
        <v>4112</v>
      </c>
      <c r="C214" t="s">
        <v>23818</v>
      </c>
      <c r="D214" t="s">
        <v>24355</v>
      </c>
      <c r="E214">
        <v>255</v>
      </c>
      <c r="F214">
        <v>93</v>
      </c>
      <c r="G214">
        <v>98</v>
      </c>
      <c r="Q214" t="s">
        <v>12266</v>
      </c>
    </row>
    <row r="215" spans="2:18" x14ac:dyDescent="0.25">
      <c r="B215">
        <v>4113</v>
      </c>
      <c r="C215" t="s">
        <v>24808</v>
      </c>
      <c r="D215" t="s">
        <v>24355</v>
      </c>
      <c r="E215">
        <v>255</v>
      </c>
      <c r="F215">
        <v>93</v>
      </c>
      <c r="G215">
        <v>98</v>
      </c>
      <c r="R215" t="s">
        <v>12268</v>
      </c>
    </row>
    <row r="216" spans="2:18" x14ac:dyDescent="0.25">
      <c r="B216">
        <v>4114</v>
      </c>
      <c r="C216" t="s">
        <v>24809</v>
      </c>
      <c r="D216" t="s">
        <v>24355</v>
      </c>
      <c r="E216">
        <v>255</v>
      </c>
      <c r="F216">
        <v>93</v>
      </c>
      <c r="G216">
        <v>98</v>
      </c>
      <c r="R216" t="s">
        <v>12270</v>
      </c>
    </row>
    <row r="217" spans="2:18" x14ac:dyDescent="0.25">
      <c r="B217">
        <v>4115</v>
      </c>
      <c r="C217" t="s">
        <v>23818</v>
      </c>
      <c r="D217" t="s">
        <v>23430</v>
      </c>
      <c r="E217">
        <v>255</v>
      </c>
      <c r="F217">
        <v>93</v>
      </c>
      <c r="G217">
        <v>98</v>
      </c>
      <c r="Q217" t="s">
        <v>12272</v>
      </c>
    </row>
    <row r="218" spans="2:18" x14ac:dyDescent="0.25">
      <c r="B218">
        <v>4116</v>
      </c>
      <c r="C218" t="s">
        <v>24808</v>
      </c>
      <c r="D218" t="s">
        <v>23430</v>
      </c>
      <c r="E218">
        <v>255</v>
      </c>
      <c r="F218">
        <v>93</v>
      </c>
      <c r="G218">
        <v>98</v>
      </c>
      <c r="R218" t="s">
        <v>12274</v>
      </c>
    </row>
    <row r="219" spans="2:18" x14ac:dyDescent="0.25">
      <c r="B219">
        <v>4117</v>
      </c>
      <c r="C219" t="s">
        <v>24809</v>
      </c>
      <c r="D219" t="s">
        <v>23430</v>
      </c>
      <c r="E219">
        <v>255</v>
      </c>
      <c r="F219">
        <v>93</v>
      </c>
      <c r="G219">
        <v>98</v>
      </c>
      <c r="R219" t="s">
        <v>12276</v>
      </c>
    </row>
    <row r="220" spans="2:18" x14ac:dyDescent="0.25">
      <c r="B220">
        <v>4104</v>
      </c>
      <c r="C220" t="s">
        <v>23817</v>
      </c>
      <c r="E220">
        <v>255</v>
      </c>
      <c r="F220">
        <v>93</v>
      </c>
      <c r="G220">
        <v>98</v>
      </c>
      <c r="P220" t="s">
        <v>14876</v>
      </c>
    </row>
    <row r="221" spans="2:18" x14ac:dyDescent="0.25">
      <c r="B221">
        <v>4105</v>
      </c>
      <c r="C221" t="s">
        <v>23817</v>
      </c>
      <c r="D221" t="s">
        <v>24355</v>
      </c>
      <c r="E221">
        <v>255</v>
      </c>
      <c r="F221">
        <v>93</v>
      </c>
      <c r="G221">
        <v>98</v>
      </c>
      <c r="Q221" t="s">
        <v>12254</v>
      </c>
    </row>
    <row r="222" spans="2:18" x14ac:dyDescent="0.25">
      <c r="B222">
        <v>4106</v>
      </c>
      <c r="C222" t="s">
        <v>24810</v>
      </c>
      <c r="D222" t="s">
        <v>24355</v>
      </c>
      <c r="E222">
        <v>255</v>
      </c>
      <c r="F222">
        <v>93</v>
      </c>
      <c r="G222">
        <v>98</v>
      </c>
      <c r="R222" t="s">
        <v>12256</v>
      </c>
    </row>
    <row r="223" spans="2:18" x14ac:dyDescent="0.25">
      <c r="B223">
        <v>4107</v>
      </c>
      <c r="C223" t="s">
        <v>24811</v>
      </c>
      <c r="D223" t="s">
        <v>24355</v>
      </c>
      <c r="E223">
        <v>255</v>
      </c>
      <c r="F223">
        <v>93</v>
      </c>
      <c r="G223">
        <v>98</v>
      </c>
      <c r="R223" t="s">
        <v>12258</v>
      </c>
    </row>
    <row r="224" spans="2:18" x14ac:dyDescent="0.25">
      <c r="B224">
        <v>4108</v>
      </c>
      <c r="C224" t="s">
        <v>23817</v>
      </c>
      <c r="D224" t="s">
        <v>23430</v>
      </c>
      <c r="E224">
        <v>255</v>
      </c>
      <c r="F224">
        <v>93</v>
      </c>
      <c r="G224">
        <v>98</v>
      </c>
      <c r="Q224" t="s">
        <v>12260</v>
      </c>
    </row>
    <row r="225" spans="2:18" x14ac:dyDescent="0.25">
      <c r="B225">
        <v>4109</v>
      </c>
      <c r="C225" t="s">
        <v>24810</v>
      </c>
      <c r="D225" t="s">
        <v>23430</v>
      </c>
      <c r="E225">
        <v>255</v>
      </c>
      <c r="F225">
        <v>93</v>
      </c>
      <c r="G225">
        <v>98</v>
      </c>
      <c r="R225" t="s">
        <v>12262</v>
      </c>
    </row>
    <row r="226" spans="2:18" x14ac:dyDescent="0.25">
      <c r="B226">
        <v>4110</v>
      </c>
      <c r="C226" t="s">
        <v>24811</v>
      </c>
      <c r="D226" t="s">
        <v>23430</v>
      </c>
      <c r="E226">
        <v>255</v>
      </c>
      <c r="F226">
        <v>93</v>
      </c>
      <c r="G226">
        <v>98</v>
      </c>
      <c r="R226" t="s">
        <v>12264</v>
      </c>
    </row>
    <row r="227" spans="2:18" x14ac:dyDescent="0.25">
      <c r="B227">
        <v>4125</v>
      </c>
      <c r="C227" t="s">
        <v>24812</v>
      </c>
      <c r="E227">
        <v>255</v>
      </c>
      <c r="F227">
        <v>100</v>
      </c>
      <c r="G227">
        <v>98</v>
      </c>
      <c r="O227" t="s">
        <v>3989</v>
      </c>
    </row>
    <row r="228" spans="2:18" x14ac:dyDescent="0.25">
      <c r="B228">
        <v>4126</v>
      </c>
      <c r="C228" t="s">
        <v>24812</v>
      </c>
      <c r="D228" t="s">
        <v>24355</v>
      </c>
      <c r="E228">
        <v>255</v>
      </c>
      <c r="F228">
        <v>100</v>
      </c>
      <c r="G228">
        <v>98</v>
      </c>
      <c r="P228" t="s">
        <v>12290</v>
      </c>
    </row>
    <row r="229" spans="2:18" x14ac:dyDescent="0.25">
      <c r="B229">
        <v>4127</v>
      </c>
      <c r="C229" t="s">
        <v>24813</v>
      </c>
      <c r="D229" t="s">
        <v>24355</v>
      </c>
      <c r="E229">
        <v>255</v>
      </c>
      <c r="F229">
        <v>100</v>
      </c>
      <c r="G229">
        <v>98</v>
      </c>
      <c r="Q229" t="s">
        <v>12292</v>
      </c>
    </row>
    <row r="230" spans="2:18" x14ac:dyDescent="0.25">
      <c r="B230">
        <v>4128</v>
      </c>
      <c r="C230" t="s">
        <v>24814</v>
      </c>
      <c r="D230" t="s">
        <v>24355</v>
      </c>
      <c r="E230">
        <v>255</v>
      </c>
      <c r="F230">
        <v>100</v>
      </c>
      <c r="G230">
        <v>98</v>
      </c>
      <c r="Q230" t="s">
        <v>12294</v>
      </c>
    </row>
    <row r="231" spans="2:18" x14ac:dyDescent="0.25">
      <c r="B231">
        <v>4129</v>
      </c>
      <c r="C231" t="s">
        <v>24812</v>
      </c>
      <c r="D231" t="s">
        <v>23430</v>
      </c>
      <c r="E231">
        <v>255</v>
      </c>
      <c r="F231">
        <v>100</v>
      </c>
      <c r="G231">
        <v>98</v>
      </c>
      <c r="P231" t="s">
        <v>12296</v>
      </c>
    </row>
    <row r="232" spans="2:18" x14ac:dyDescent="0.25">
      <c r="B232">
        <v>4130</v>
      </c>
      <c r="C232" t="s">
        <v>24813</v>
      </c>
      <c r="D232" t="s">
        <v>23430</v>
      </c>
      <c r="E232">
        <v>255</v>
      </c>
      <c r="F232">
        <v>100</v>
      </c>
      <c r="G232">
        <v>98</v>
      </c>
      <c r="Q232" t="s">
        <v>12298</v>
      </c>
    </row>
    <row r="233" spans="2:18" x14ac:dyDescent="0.25">
      <c r="B233">
        <v>4131</v>
      </c>
      <c r="C233" t="s">
        <v>24814</v>
      </c>
      <c r="D233" t="s">
        <v>23430</v>
      </c>
      <c r="E233">
        <v>255</v>
      </c>
      <c r="F233">
        <v>100</v>
      </c>
      <c r="G233">
        <v>98</v>
      </c>
      <c r="Q233" t="s">
        <v>12300</v>
      </c>
    </row>
    <row r="234" spans="2:18" x14ac:dyDescent="0.25">
      <c r="B234">
        <v>4085</v>
      </c>
      <c r="C234" t="s">
        <v>24815</v>
      </c>
      <c r="E234">
        <v>255</v>
      </c>
      <c r="F234">
        <v>108</v>
      </c>
      <c r="G234">
        <v>98</v>
      </c>
      <c r="O234" t="s">
        <v>3900</v>
      </c>
    </row>
    <row r="235" spans="2:18" x14ac:dyDescent="0.25">
      <c r="B235">
        <v>4086</v>
      </c>
      <c r="C235" t="s">
        <v>24815</v>
      </c>
      <c r="D235" t="s">
        <v>24355</v>
      </c>
      <c r="E235">
        <v>255</v>
      </c>
      <c r="F235">
        <v>108</v>
      </c>
      <c r="G235">
        <v>98</v>
      </c>
      <c r="P235" t="s">
        <v>12222</v>
      </c>
    </row>
    <row r="236" spans="2:18" x14ac:dyDescent="0.25">
      <c r="B236">
        <v>4087</v>
      </c>
      <c r="C236" t="s">
        <v>24816</v>
      </c>
      <c r="D236" t="s">
        <v>24355</v>
      </c>
      <c r="E236">
        <v>255</v>
      </c>
      <c r="F236">
        <v>108</v>
      </c>
      <c r="G236">
        <v>98</v>
      </c>
      <c r="Q236" t="s">
        <v>12224</v>
      </c>
    </row>
    <row r="237" spans="2:18" x14ac:dyDescent="0.25">
      <c r="B237">
        <v>4088</v>
      </c>
      <c r="C237" t="s">
        <v>24817</v>
      </c>
      <c r="D237" t="s">
        <v>24355</v>
      </c>
      <c r="E237">
        <v>255</v>
      </c>
      <c r="F237">
        <v>108</v>
      </c>
      <c r="G237">
        <v>98</v>
      </c>
      <c r="Q237" t="s">
        <v>12226</v>
      </c>
    </row>
    <row r="238" spans="2:18" x14ac:dyDescent="0.25">
      <c r="B238">
        <v>4089</v>
      </c>
      <c r="C238" t="s">
        <v>24818</v>
      </c>
      <c r="D238" t="s">
        <v>24355</v>
      </c>
      <c r="E238">
        <v>255</v>
      </c>
      <c r="F238">
        <v>108</v>
      </c>
      <c r="G238">
        <v>98</v>
      </c>
      <c r="Q238" t="s">
        <v>12228</v>
      </c>
    </row>
    <row r="239" spans="2:18" x14ac:dyDescent="0.25">
      <c r="B239">
        <v>4090</v>
      </c>
      <c r="C239" t="s">
        <v>24819</v>
      </c>
      <c r="D239" t="s">
        <v>24355</v>
      </c>
      <c r="E239">
        <v>255</v>
      </c>
      <c r="F239">
        <v>108</v>
      </c>
      <c r="G239">
        <v>98</v>
      </c>
      <c r="Q239" t="s">
        <v>12230</v>
      </c>
    </row>
    <row r="240" spans="2:18" x14ac:dyDescent="0.25">
      <c r="B240">
        <v>4091</v>
      </c>
      <c r="C240" t="s">
        <v>24815</v>
      </c>
      <c r="D240" t="s">
        <v>23430</v>
      </c>
      <c r="E240">
        <v>255</v>
      </c>
      <c r="F240">
        <v>108</v>
      </c>
      <c r="G240">
        <v>98</v>
      </c>
      <c r="P240" t="s">
        <v>12232</v>
      </c>
    </row>
    <row r="241" spans="2:17" x14ac:dyDescent="0.25">
      <c r="B241">
        <v>4092</v>
      </c>
      <c r="C241" t="s">
        <v>24816</v>
      </c>
      <c r="D241" t="s">
        <v>23430</v>
      </c>
      <c r="E241">
        <v>255</v>
      </c>
      <c r="F241">
        <v>108</v>
      </c>
      <c r="G241">
        <v>98</v>
      </c>
      <c r="Q241" t="s">
        <v>12234</v>
      </c>
    </row>
    <row r="242" spans="2:17" x14ac:dyDescent="0.25">
      <c r="B242">
        <v>4093</v>
      </c>
      <c r="C242" t="s">
        <v>24817</v>
      </c>
      <c r="D242" t="s">
        <v>23430</v>
      </c>
      <c r="E242">
        <v>255</v>
      </c>
      <c r="F242">
        <v>108</v>
      </c>
      <c r="G242">
        <v>98</v>
      </c>
      <c r="Q242" t="s">
        <v>12236</v>
      </c>
    </row>
    <row r="243" spans="2:17" x14ac:dyDescent="0.25">
      <c r="B243">
        <v>4094</v>
      </c>
      <c r="C243" t="s">
        <v>24818</v>
      </c>
      <c r="D243" t="s">
        <v>23430</v>
      </c>
      <c r="E243">
        <v>255</v>
      </c>
      <c r="F243">
        <v>108</v>
      </c>
      <c r="G243">
        <v>98</v>
      </c>
      <c r="Q243" t="s">
        <v>12238</v>
      </c>
    </row>
    <row r="244" spans="2:17" x14ac:dyDescent="0.25">
      <c r="B244">
        <v>4095</v>
      </c>
      <c r="C244" t="s">
        <v>24819</v>
      </c>
      <c r="D244" t="s">
        <v>23430</v>
      </c>
      <c r="E244">
        <v>255</v>
      </c>
      <c r="F244">
        <v>108</v>
      </c>
      <c r="G244">
        <v>98</v>
      </c>
      <c r="Q244" t="s">
        <v>12240</v>
      </c>
    </row>
    <row r="245" spans="2:17" x14ac:dyDescent="0.25">
      <c r="B245">
        <v>4118</v>
      </c>
      <c r="C245" t="s">
        <v>24820</v>
      </c>
      <c r="E245">
        <v>255</v>
      </c>
      <c r="F245">
        <v>116</v>
      </c>
      <c r="G245">
        <v>98</v>
      </c>
      <c r="O245" t="s">
        <v>4073</v>
      </c>
    </row>
    <row r="246" spans="2:17" x14ac:dyDescent="0.25">
      <c r="B246">
        <v>4119</v>
      </c>
      <c r="C246" t="s">
        <v>24820</v>
      </c>
      <c r="D246" t="s">
        <v>24355</v>
      </c>
      <c r="E246">
        <v>255</v>
      </c>
      <c r="F246">
        <v>116</v>
      </c>
      <c r="G246">
        <v>98</v>
      </c>
      <c r="P246" t="s">
        <v>12278</v>
      </c>
    </row>
    <row r="247" spans="2:17" x14ac:dyDescent="0.25">
      <c r="B247">
        <v>4120</v>
      </c>
      <c r="C247" t="s">
        <v>24821</v>
      </c>
      <c r="D247" t="s">
        <v>24355</v>
      </c>
      <c r="E247">
        <v>255</v>
      </c>
      <c r="F247">
        <v>116</v>
      </c>
      <c r="G247">
        <v>98</v>
      </c>
      <c r="Q247" t="s">
        <v>12280</v>
      </c>
    </row>
    <row r="248" spans="2:17" x14ac:dyDescent="0.25">
      <c r="B248">
        <v>4121</v>
      </c>
      <c r="C248" t="s">
        <v>24822</v>
      </c>
      <c r="D248" t="s">
        <v>24355</v>
      </c>
      <c r="E248">
        <v>255</v>
      </c>
      <c r="F248">
        <v>116</v>
      </c>
      <c r="G248">
        <v>98</v>
      </c>
      <c r="Q248" t="s">
        <v>12282</v>
      </c>
    </row>
    <row r="249" spans="2:17" x14ac:dyDescent="0.25">
      <c r="B249">
        <v>4122</v>
      </c>
      <c r="C249" t="s">
        <v>24820</v>
      </c>
      <c r="D249" t="s">
        <v>23430</v>
      </c>
      <c r="E249">
        <v>255</v>
      </c>
      <c r="F249">
        <v>116</v>
      </c>
      <c r="G249">
        <v>98</v>
      </c>
      <c r="P249" t="s">
        <v>12284</v>
      </c>
    </row>
    <row r="250" spans="2:17" x14ac:dyDescent="0.25">
      <c r="B250">
        <v>4123</v>
      </c>
      <c r="C250" t="s">
        <v>24821</v>
      </c>
      <c r="D250" t="s">
        <v>23430</v>
      </c>
      <c r="E250">
        <v>255</v>
      </c>
      <c r="F250">
        <v>116</v>
      </c>
      <c r="G250">
        <v>98</v>
      </c>
      <c r="Q250" t="s">
        <v>12286</v>
      </c>
    </row>
    <row r="251" spans="2:17" x14ac:dyDescent="0.25">
      <c r="B251">
        <v>4124</v>
      </c>
      <c r="C251" t="s">
        <v>24822</v>
      </c>
      <c r="D251" t="s">
        <v>23430</v>
      </c>
      <c r="E251">
        <v>255</v>
      </c>
      <c r="F251">
        <v>116</v>
      </c>
      <c r="G251">
        <v>98</v>
      </c>
      <c r="Q251" t="s">
        <v>12288</v>
      </c>
    </row>
    <row r="252" spans="2:17" x14ac:dyDescent="0.25">
      <c r="B252">
        <v>4096</v>
      </c>
      <c r="C252" t="s">
        <v>23816</v>
      </c>
      <c r="E252">
        <v>255</v>
      </c>
      <c r="F252">
        <v>123</v>
      </c>
      <c r="G252">
        <v>98</v>
      </c>
      <c r="O252" t="s">
        <v>14830</v>
      </c>
    </row>
    <row r="253" spans="2:17" x14ac:dyDescent="0.25">
      <c r="B253">
        <v>4097</v>
      </c>
      <c r="C253" t="s">
        <v>23816</v>
      </c>
      <c r="D253" t="s">
        <v>24355</v>
      </c>
      <c r="E253">
        <v>255</v>
      </c>
      <c r="F253">
        <v>123</v>
      </c>
      <c r="G253">
        <v>98</v>
      </c>
      <c r="P253" t="s">
        <v>12242</v>
      </c>
    </row>
    <row r="254" spans="2:17" x14ac:dyDescent="0.25">
      <c r="B254">
        <v>4098</v>
      </c>
      <c r="C254" t="s">
        <v>24823</v>
      </c>
      <c r="D254" t="s">
        <v>24355</v>
      </c>
      <c r="E254">
        <v>255</v>
      </c>
      <c r="F254">
        <v>123</v>
      </c>
      <c r="G254">
        <v>98</v>
      </c>
      <c r="Q254" t="s">
        <v>12244</v>
      </c>
    </row>
    <row r="255" spans="2:17" x14ac:dyDescent="0.25">
      <c r="B255">
        <v>4099</v>
      </c>
      <c r="C255" t="s">
        <v>24824</v>
      </c>
      <c r="D255" t="s">
        <v>24355</v>
      </c>
      <c r="E255">
        <v>255</v>
      </c>
      <c r="F255">
        <v>123</v>
      </c>
      <c r="G255">
        <v>98</v>
      </c>
      <c r="Q255" t="s">
        <v>12246</v>
      </c>
    </row>
    <row r="256" spans="2:17" x14ac:dyDescent="0.25">
      <c r="B256">
        <v>4100</v>
      </c>
      <c r="C256" t="s">
        <v>23816</v>
      </c>
      <c r="D256" t="s">
        <v>23430</v>
      </c>
      <c r="E256">
        <v>255</v>
      </c>
      <c r="F256">
        <v>123</v>
      </c>
      <c r="G256">
        <v>98</v>
      </c>
      <c r="P256" t="s">
        <v>12248</v>
      </c>
    </row>
    <row r="257" spans="2:17" x14ac:dyDescent="0.25">
      <c r="B257">
        <v>4101</v>
      </c>
      <c r="C257" t="s">
        <v>24823</v>
      </c>
      <c r="D257" t="s">
        <v>23430</v>
      </c>
      <c r="E257">
        <v>255</v>
      </c>
      <c r="F257">
        <v>123</v>
      </c>
      <c r="G257">
        <v>98</v>
      </c>
      <c r="Q257" t="s">
        <v>12250</v>
      </c>
    </row>
    <row r="258" spans="2:17" x14ac:dyDescent="0.25">
      <c r="B258">
        <v>4102</v>
      </c>
      <c r="C258" t="s">
        <v>24824</v>
      </c>
      <c r="D258" t="s">
        <v>23430</v>
      </c>
      <c r="E258">
        <v>255</v>
      </c>
      <c r="F258">
        <v>123</v>
      </c>
      <c r="G258">
        <v>98</v>
      </c>
      <c r="Q258" t="s">
        <v>12252</v>
      </c>
    </row>
    <row r="259" spans="2:17" x14ac:dyDescent="0.25">
      <c r="B259">
        <v>4132</v>
      </c>
      <c r="C259" t="s">
        <v>22626</v>
      </c>
      <c r="E259">
        <v>255</v>
      </c>
      <c r="F259">
        <v>147</v>
      </c>
      <c r="G259">
        <v>127</v>
      </c>
      <c r="N259" t="s">
        <v>14928</v>
      </c>
    </row>
    <row r="260" spans="2:17" x14ac:dyDescent="0.25">
      <c r="B260">
        <v>4156</v>
      </c>
      <c r="C260" t="s">
        <v>24825</v>
      </c>
      <c r="E260">
        <v>255</v>
      </c>
      <c r="F260">
        <v>135</v>
      </c>
      <c r="G260">
        <v>127</v>
      </c>
      <c r="O260" t="s">
        <v>2046</v>
      </c>
    </row>
    <row r="261" spans="2:17" x14ac:dyDescent="0.25">
      <c r="B261">
        <v>4157</v>
      </c>
      <c r="C261" t="s">
        <v>24825</v>
      </c>
      <c r="D261" t="s">
        <v>24355</v>
      </c>
      <c r="E261">
        <v>255</v>
      </c>
      <c r="F261">
        <v>135</v>
      </c>
      <c r="G261">
        <v>127</v>
      </c>
      <c r="P261" t="s">
        <v>12342</v>
      </c>
    </row>
    <row r="262" spans="2:17" x14ac:dyDescent="0.25">
      <c r="B262">
        <v>4158</v>
      </c>
      <c r="C262" t="s">
        <v>24826</v>
      </c>
      <c r="D262" t="s">
        <v>24355</v>
      </c>
      <c r="E262">
        <v>255</v>
      </c>
      <c r="F262">
        <v>135</v>
      </c>
      <c r="G262">
        <v>127</v>
      </c>
      <c r="Q262" t="s">
        <v>12344</v>
      </c>
    </row>
    <row r="263" spans="2:17" x14ac:dyDescent="0.25">
      <c r="B263">
        <v>4159</v>
      </c>
      <c r="C263" t="s">
        <v>24827</v>
      </c>
      <c r="D263" t="s">
        <v>24355</v>
      </c>
      <c r="E263">
        <v>255</v>
      </c>
      <c r="F263">
        <v>135</v>
      </c>
      <c r="G263">
        <v>127</v>
      </c>
      <c r="Q263" t="s">
        <v>12346</v>
      </c>
    </row>
    <row r="264" spans="2:17" x14ac:dyDescent="0.25">
      <c r="B264">
        <v>4160</v>
      </c>
      <c r="C264" t="s">
        <v>24828</v>
      </c>
      <c r="D264" t="s">
        <v>24355</v>
      </c>
      <c r="E264">
        <v>255</v>
      </c>
      <c r="F264">
        <v>135</v>
      </c>
      <c r="G264">
        <v>127</v>
      </c>
      <c r="Q264" t="s">
        <v>12348</v>
      </c>
    </row>
    <row r="265" spans="2:17" x14ac:dyDescent="0.25">
      <c r="B265">
        <v>4161</v>
      </c>
      <c r="C265" t="s">
        <v>24825</v>
      </c>
      <c r="D265" t="s">
        <v>23430</v>
      </c>
      <c r="E265">
        <v>255</v>
      </c>
      <c r="F265">
        <v>135</v>
      </c>
      <c r="G265">
        <v>127</v>
      </c>
      <c r="P265" t="s">
        <v>12350</v>
      </c>
    </row>
    <row r="266" spans="2:17" x14ac:dyDescent="0.25">
      <c r="B266">
        <v>4162</v>
      </c>
      <c r="C266" t="s">
        <v>24826</v>
      </c>
      <c r="D266" t="s">
        <v>23430</v>
      </c>
      <c r="E266">
        <v>255</v>
      </c>
      <c r="F266">
        <v>135</v>
      </c>
      <c r="G266">
        <v>127</v>
      </c>
      <c r="Q266" t="s">
        <v>12352</v>
      </c>
    </row>
    <row r="267" spans="2:17" x14ac:dyDescent="0.25">
      <c r="B267">
        <v>4163</v>
      </c>
      <c r="C267" t="s">
        <v>24827</v>
      </c>
      <c r="D267" t="s">
        <v>23430</v>
      </c>
      <c r="E267">
        <v>255</v>
      </c>
      <c r="F267">
        <v>135</v>
      </c>
      <c r="G267">
        <v>127</v>
      </c>
      <c r="Q267" t="s">
        <v>12354</v>
      </c>
    </row>
    <row r="268" spans="2:17" x14ac:dyDescent="0.25">
      <c r="B268">
        <v>4164</v>
      </c>
      <c r="C268" t="s">
        <v>24828</v>
      </c>
      <c r="D268" t="s">
        <v>23430</v>
      </c>
      <c r="E268">
        <v>255</v>
      </c>
      <c r="F268">
        <v>135</v>
      </c>
      <c r="G268">
        <v>127</v>
      </c>
      <c r="Q268" t="s">
        <v>12356</v>
      </c>
    </row>
    <row r="269" spans="2:17" x14ac:dyDescent="0.25">
      <c r="B269">
        <v>4165</v>
      </c>
      <c r="C269" t="s">
        <v>24829</v>
      </c>
      <c r="E269">
        <v>255</v>
      </c>
      <c r="F269">
        <v>138</v>
      </c>
      <c r="G269">
        <v>127</v>
      </c>
      <c r="O269" t="s">
        <v>436</v>
      </c>
    </row>
    <row r="270" spans="2:17" x14ac:dyDescent="0.25">
      <c r="B270">
        <v>4166</v>
      </c>
      <c r="C270" t="s">
        <v>24829</v>
      </c>
      <c r="D270" t="s">
        <v>24355</v>
      </c>
      <c r="E270">
        <v>255</v>
      </c>
      <c r="F270">
        <v>138</v>
      </c>
      <c r="G270">
        <v>127</v>
      </c>
      <c r="P270" t="s">
        <v>12358</v>
      </c>
    </row>
    <row r="271" spans="2:17" x14ac:dyDescent="0.25">
      <c r="B271">
        <v>4167</v>
      </c>
      <c r="C271" t="s">
        <v>24829</v>
      </c>
      <c r="D271" t="s">
        <v>23430</v>
      </c>
      <c r="E271">
        <v>255</v>
      </c>
      <c r="F271">
        <v>138</v>
      </c>
      <c r="G271">
        <v>127</v>
      </c>
      <c r="P271" t="s">
        <v>12360</v>
      </c>
    </row>
    <row r="272" spans="2:17" x14ac:dyDescent="0.25">
      <c r="B272">
        <v>4147</v>
      </c>
      <c r="C272" t="s">
        <v>23825</v>
      </c>
      <c r="E272">
        <v>255</v>
      </c>
      <c r="F272">
        <v>141</v>
      </c>
      <c r="G272">
        <v>127</v>
      </c>
      <c r="O272" t="s">
        <v>2416</v>
      </c>
    </row>
    <row r="273" spans="2:17" x14ac:dyDescent="0.25">
      <c r="B273">
        <v>4148</v>
      </c>
      <c r="C273" t="s">
        <v>23825</v>
      </c>
      <c r="D273" t="s">
        <v>24355</v>
      </c>
      <c r="E273">
        <v>255</v>
      </c>
      <c r="F273">
        <v>141</v>
      </c>
      <c r="G273">
        <v>127</v>
      </c>
      <c r="P273" t="s">
        <v>12326</v>
      </c>
    </row>
    <row r="274" spans="2:17" x14ac:dyDescent="0.25">
      <c r="B274">
        <v>4149</v>
      </c>
      <c r="C274" t="s">
        <v>24830</v>
      </c>
      <c r="D274" t="s">
        <v>24355</v>
      </c>
      <c r="E274">
        <v>255</v>
      </c>
      <c r="F274">
        <v>141</v>
      </c>
      <c r="G274">
        <v>127</v>
      </c>
      <c r="Q274" t="s">
        <v>12328</v>
      </c>
    </row>
    <row r="275" spans="2:17" x14ac:dyDescent="0.25">
      <c r="B275">
        <v>4150</v>
      </c>
      <c r="C275" t="s">
        <v>24831</v>
      </c>
      <c r="D275" t="s">
        <v>24355</v>
      </c>
      <c r="E275">
        <v>255</v>
      </c>
      <c r="F275">
        <v>141</v>
      </c>
      <c r="G275">
        <v>127</v>
      </c>
      <c r="Q275" t="s">
        <v>12330</v>
      </c>
    </row>
    <row r="276" spans="2:17" x14ac:dyDescent="0.25">
      <c r="B276">
        <v>4151</v>
      </c>
      <c r="C276" t="s">
        <v>24832</v>
      </c>
      <c r="D276" t="s">
        <v>24355</v>
      </c>
      <c r="E276">
        <v>255</v>
      </c>
      <c r="F276">
        <v>141</v>
      </c>
      <c r="G276">
        <v>127</v>
      </c>
      <c r="Q276" t="s">
        <v>12332</v>
      </c>
    </row>
    <row r="277" spans="2:17" x14ac:dyDescent="0.25">
      <c r="B277">
        <v>4152</v>
      </c>
      <c r="C277" t="s">
        <v>23825</v>
      </c>
      <c r="D277" t="s">
        <v>23430</v>
      </c>
      <c r="E277">
        <v>255</v>
      </c>
      <c r="F277">
        <v>141</v>
      </c>
      <c r="G277">
        <v>127</v>
      </c>
      <c r="P277" t="s">
        <v>12334</v>
      </c>
    </row>
    <row r="278" spans="2:17" x14ac:dyDescent="0.25">
      <c r="B278">
        <v>4153</v>
      </c>
      <c r="C278" t="s">
        <v>24830</v>
      </c>
      <c r="D278" t="s">
        <v>23430</v>
      </c>
      <c r="E278">
        <v>255</v>
      </c>
      <c r="F278">
        <v>141</v>
      </c>
      <c r="G278">
        <v>127</v>
      </c>
      <c r="Q278" t="s">
        <v>12336</v>
      </c>
    </row>
    <row r="279" spans="2:17" x14ac:dyDescent="0.25">
      <c r="B279">
        <v>4154</v>
      </c>
      <c r="C279" t="s">
        <v>24831</v>
      </c>
      <c r="D279" t="s">
        <v>23430</v>
      </c>
      <c r="E279">
        <v>255</v>
      </c>
      <c r="F279">
        <v>141</v>
      </c>
      <c r="G279">
        <v>127</v>
      </c>
      <c r="Q279" t="s">
        <v>12338</v>
      </c>
    </row>
    <row r="280" spans="2:17" x14ac:dyDescent="0.25">
      <c r="B280">
        <v>4155</v>
      </c>
      <c r="C280" t="s">
        <v>24832</v>
      </c>
      <c r="D280" t="s">
        <v>23430</v>
      </c>
      <c r="E280">
        <v>255</v>
      </c>
      <c r="F280">
        <v>141</v>
      </c>
      <c r="G280">
        <v>127</v>
      </c>
      <c r="Q280" t="s">
        <v>12340</v>
      </c>
    </row>
    <row r="281" spans="2:17" x14ac:dyDescent="0.25">
      <c r="B281">
        <v>4140</v>
      </c>
      <c r="C281" t="s">
        <v>23824</v>
      </c>
      <c r="E281">
        <v>255</v>
      </c>
      <c r="F281">
        <v>144</v>
      </c>
      <c r="G281">
        <v>127</v>
      </c>
      <c r="O281" t="s">
        <v>3165</v>
      </c>
    </row>
    <row r="282" spans="2:17" x14ac:dyDescent="0.25">
      <c r="B282">
        <v>4141</v>
      </c>
      <c r="C282" t="s">
        <v>23824</v>
      </c>
      <c r="D282" t="s">
        <v>24355</v>
      </c>
      <c r="E282">
        <v>255</v>
      </c>
      <c r="F282">
        <v>144</v>
      </c>
      <c r="G282">
        <v>127</v>
      </c>
      <c r="P282" t="s">
        <v>12314</v>
      </c>
    </row>
    <row r="283" spans="2:17" x14ac:dyDescent="0.25">
      <c r="B283">
        <v>4142</v>
      </c>
      <c r="C283" t="s">
        <v>24833</v>
      </c>
      <c r="D283" t="s">
        <v>24355</v>
      </c>
      <c r="E283">
        <v>255</v>
      </c>
      <c r="F283">
        <v>144</v>
      </c>
      <c r="G283">
        <v>127</v>
      </c>
      <c r="Q283" t="s">
        <v>12316</v>
      </c>
    </row>
    <row r="284" spans="2:17" x14ac:dyDescent="0.25">
      <c r="B284">
        <v>4143</v>
      </c>
      <c r="C284" t="s">
        <v>24834</v>
      </c>
      <c r="D284" t="s">
        <v>24355</v>
      </c>
      <c r="E284">
        <v>255</v>
      </c>
      <c r="F284">
        <v>144</v>
      </c>
      <c r="G284">
        <v>127</v>
      </c>
      <c r="Q284" t="s">
        <v>12318</v>
      </c>
    </row>
    <row r="285" spans="2:17" x14ac:dyDescent="0.25">
      <c r="B285">
        <v>4144</v>
      </c>
      <c r="C285" t="s">
        <v>23824</v>
      </c>
      <c r="D285" t="s">
        <v>23430</v>
      </c>
      <c r="E285">
        <v>255</v>
      </c>
      <c r="F285">
        <v>144</v>
      </c>
      <c r="G285">
        <v>127</v>
      </c>
      <c r="P285" t="s">
        <v>12320</v>
      </c>
    </row>
    <row r="286" spans="2:17" x14ac:dyDescent="0.25">
      <c r="B286">
        <v>4145</v>
      </c>
      <c r="C286" t="s">
        <v>24833</v>
      </c>
      <c r="D286" t="s">
        <v>23430</v>
      </c>
      <c r="E286">
        <v>255</v>
      </c>
      <c r="F286">
        <v>144</v>
      </c>
      <c r="G286">
        <v>127</v>
      </c>
      <c r="Q286" t="s">
        <v>12322</v>
      </c>
    </row>
    <row r="287" spans="2:17" x14ac:dyDescent="0.25">
      <c r="B287">
        <v>4146</v>
      </c>
      <c r="C287" t="s">
        <v>24834</v>
      </c>
      <c r="D287" t="s">
        <v>23430</v>
      </c>
      <c r="E287">
        <v>255</v>
      </c>
      <c r="F287">
        <v>144</v>
      </c>
      <c r="G287">
        <v>127</v>
      </c>
      <c r="Q287" t="s">
        <v>12324</v>
      </c>
    </row>
    <row r="288" spans="2:17" x14ac:dyDescent="0.25">
      <c r="B288">
        <v>4177</v>
      </c>
      <c r="C288" t="s">
        <v>23834</v>
      </c>
      <c r="E288">
        <v>255</v>
      </c>
      <c r="F288">
        <v>147</v>
      </c>
      <c r="G288">
        <v>127</v>
      </c>
      <c r="O288" t="s">
        <v>3855</v>
      </c>
    </row>
    <row r="289" spans="2:17" x14ac:dyDescent="0.25">
      <c r="B289">
        <v>4178</v>
      </c>
      <c r="C289" t="s">
        <v>23834</v>
      </c>
      <c r="D289" t="s">
        <v>24355</v>
      </c>
      <c r="E289">
        <v>255</v>
      </c>
      <c r="F289">
        <v>147</v>
      </c>
      <c r="G289">
        <v>127</v>
      </c>
      <c r="P289" t="s">
        <v>12376</v>
      </c>
    </row>
    <row r="290" spans="2:17" x14ac:dyDescent="0.25">
      <c r="B290">
        <v>4179</v>
      </c>
      <c r="C290" t="s">
        <v>23834</v>
      </c>
      <c r="D290" t="s">
        <v>23430</v>
      </c>
      <c r="E290">
        <v>255</v>
      </c>
      <c r="F290">
        <v>147</v>
      </c>
      <c r="G290">
        <v>127</v>
      </c>
      <c r="P290" t="s">
        <v>12378</v>
      </c>
    </row>
    <row r="291" spans="2:17" x14ac:dyDescent="0.25">
      <c r="B291">
        <v>4171</v>
      </c>
      <c r="C291" t="s">
        <v>23831</v>
      </c>
      <c r="E291">
        <v>255</v>
      </c>
      <c r="F291">
        <v>150</v>
      </c>
      <c r="G291">
        <v>127</v>
      </c>
      <c r="O291" t="s">
        <v>3858</v>
      </c>
    </row>
    <row r="292" spans="2:17" x14ac:dyDescent="0.25">
      <c r="B292">
        <v>4172</v>
      </c>
      <c r="C292" t="s">
        <v>23831</v>
      </c>
      <c r="D292" t="s">
        <v>24355</v>
      </c>
      <c r="E292">
        <v>255</v>
      </c>
      <c r="F292">
        <v>150</v>
      </c>
      <c r="G292">
        <v>127</v>
      </c>
      <c r="P292" t="s">
        <v>12368</v>
      </c>
    </row>
    <row r="293" spans="2:17" x14ac:dyDescent="0.25">
      <c r="B293">
        <v>4173</v>
      </c>
      <c r="C293" t="s">
        <v>23831</v>
      </c>
      <c r="D293" t="s">
        <v>23430</v>
      </c>
      <c r="E293">
        <v>255</v>
      </c>
      <c r="F293">
        <v>150</v>
      </c>
      <c r="G293">
        <v>127</v>
      </c>
      <c r="P293" t="s">
        <v>12370</v>
      </c>
    </row>
    <row r="294" spans="2:17" x14ac:dyDescent="0.25">
      <c r="B294">
        <v>4133</v>
      </c>
      <c r="C294" t="s">
        <v>23823</v>
      </c>
      <c r="E294">
        <v>255</v>
      </c>
      <c r="F294">
        <v>153</v>
      </c>
      <c r="G294">
        <v>127</v>
      </c>
      <c r="O294" t="s">
        <v>14846</v>
      </c>
    </row>
    <row r="295" spans="2:17" x14ac:dyDescent="0.25">
      <c r="B295">
        <v>4134</v>
      </c>
      <c r="C295" t="s">
        <v>23823</v>
      </c>
      <c r="D295" t="s">
        <v>24355</v>
      </c>
      <c r="E295">
        <v>255</v>
      </c>
      <c r="F295">
        <v>153</v>
      </c>
      <c r="G295">
        <v>127</v>
      </c>
      <c r="P295" t="s">
        <v>12302</v>
      </c>
    </row>
    <row r="296" spans="2:17" x14ac:dyDescent="0.25">
      <c r="B296">
        <v>4135</v>
      </c>
      <c r="C296" t="s">
        <v>24835</v>
      </c>
      <c r="D296" t="s">
        <v>24355</v>
      </c>
      <c r="E296">
        <v>255</v>
      </c>
      <c r="F296">
        <v>153</v>
      </c>
      <c r="G296">
        <v>127</v>
      </c>
      <c r="Q296" t="s">
        <v>12304</v>
      </c>
    </row>
    <row r="297" spans="2:17" x14ac:dyDescent="0.25">
      <c r="B297">
        <v>4136</v>
      </c>
      <c r="C297" t="s">
        <v>24836</v>
      </c>
      <c r="D297" t="s">
        <v>24355</v>
      </c>
      <c r="E297">
        <v>255</v>
      </c>
      <c r="F297">
        <v>153</v>
      </c>
      <c r="G297">
        <v>127</v>
      </c>
      <c r="Q297" t="s">
        <v>12306</v>
      </c>
    </row>
    <row r="298" spans="2:17" x14ac:dyDescent="0.25">
      <c r="B298">
        <v>4137</v>
      </c>
      <c r="C298" t="s">
        <v>23823</v>
      </c>
      <c r="D298" t="s">
        <v>23430</v>
      </c>
      <c r="E298">
        <v>255</v>
      </c>
      <c r="F298">
        <v>153</v>
      </c>
      <c r="G298">
        <v>127</v>
      </c>
      <c r="P298" t="s">
        <v>12308</v>
      </c>
    </row>
    <row r="299" spans="2:17" x14ac:dyDescent="0.25">
      <c r="B299">
        <v>4138</v>
      </c>
      <c r="C299" t="s">
        <v>24835</v>
      </c>
      <c r="D299" t="s">
        <v>23430</v>
      </c>
      <c r="E299">
        <v>255</v>
      </c>
      <c r="F299">
        <v>153</v>
      </c>
      <c r="G299">
        <v>127</v>
      </c>
      <c r="Q299" t="s">
        <v>12310</v>
      </c>
    </row>
    <row r="300" spans="2:17" x14ac:dyDescent="0.25">
      <c r="B300">
        <v>4139</v>
      </c>
      <c r="C300" t="s">
        <v>24836</v>
      </c>
      <c r="D300" t="s">
        <v>23430</v>
      </c>
      <c r="E300">
        <v>255</v>
      </c>
      <c r="F300">
        <v>153</v>
      </c>
      <c r="G300">
        <v>127</v>
      </c>
      <c r="Q300" t="s">
        <v>12312</v>
      </c>
    </row>
    <row r="301" spans="2:17" x14ac:dyDescent="0.25">
      <c r="B301">
        <v>4174</v>
      </c>
      <c r="C301" t="s">
        <v>23832</v>
      </c>
      <c r="E301">
        <v>255</v>
      </c>
      <c r="F301">
        <v>156</v>
      </c>
      <c r="G301">
        <v>127</v>
      </c>
      <c r="O301" t="s">
        <v>14932</v>
      </c>
    </row>
    <row r="302" spans="2:17" x14ac:dyDescent="0.25">
      <c r="B302">
        <v>4175</v>
      </c>
      <c r="C302" t="s">
        <v>23832</v>
      </c>
      <c r="D302" t="s">
        <v>24355</v>
      </c>
      <c r="E302">
        <v>255</v>
      </c>
      <c r="F302">
        <v>156</v>
      </c>
      <c r="G302">
        <v>127</v>
      </c>
      <c r="P302" t="s">
        <v>12372</v>
      </c>
    </row>
    <row r="303" spans="2:17" x14ac:dyDescent="0.25">
      <c r="B303">
        <v>4903</v>
      </c>
      <c r="C303" t="s">
        <v>24837</v>
      </c>
      <c r="D303" t="s">
        <v>24355</v>
      </c>
      <c r="E303">
        <v>255</v>
      </c>
      <c r="F303">
        <v>156</v>
      </c>
      <c r="G303">
        <v>127</v>
      </c>
      <c r="Q303" t="s">
        <v>12741</v>
      </c>
    </row>
    <row r="304" spans="2:17" x14ac:dyDescent="0.25">
      <c r="B304">
        <v>4904</v>
      </c>
      <c r="C304" t="s">
        <v>24838</v>
      </c>
      <c r="D304" t="s">
        <v>24355</v>
      </c>
      <c r="E304">
        <v>255</v>
      </c>
      <c r="F304">
        <v>156</v>
      </c>
      <c r="G304">
        <v>127</v>
      </c>
      <c r="Q304" t="s">
        <v>12743</v>
      </c>
    </row>
    <row r="305" spans="2:18" x14ac:dyDescent="0.25">
      <c r="B305">
        <v>4905</v>
      </c>
      <c r="C305" t="s">
        <v>24839</v>
      </c>
      <c r="D305" t="s">
        <v>24355</v>
      </c>
      <c r="E305">
        <v>255</v>
      </c>
      <c r="F305">
        <v>156</v>
      </c>
      <c r="G305">
        <v>127</v>
      </c>
      <c r="Q305" t="s">
        <v>12745</v>
      </c>
    </row>
    <row r="306" spans="2:18" x14ac:dyDescent="0.25">
      <c r="B306">
        <v>4176</v>
      </c>
      <c r="C306" t="s">
        <v>23832</v>
      </c>
      <c r="D306" t="s">
        <v>23430</v>
      </c>
      <c r="E306">
        <v>255</v>
      </c>
      <c r="F306">
        <v>156</v>
      </c>
      <c r="G306">
        <v>127</v>
      </c>
      <c r="P306" t="s">
        <v>12374</v>
      </c>
    </row>
    <row r="307" spans="2:18" x14ac:dyDescent="0.25">
      <c r="B307">
        <v>4906</v>
      </c>
      <c r="C307" t="s">
        <v>24837</v>
      </c>
      <c r="D307" t="s">
        <v>23430</v>
      </c>
      <c r="E307">
        <v>255</v>
      </c>
      <c r="F307">
        <v>156</v>
      </c>
      <c r="G307">
        <v>127</v>
      </c>
      <c r="Q307" t="s">
        <v>12747</v>
      </c>
    </row>
    <row r="308" spans="2:18" x14ac:dyDescent="0.25">
      <c r="B308">
        <v>4907</v>
      </c>
      <c r="C308" t="s">
        <v>24838</v>
      </c>
      <c r="D308" t="s">
        <v>23430</v>
      </c>
      <c r="E308">
        <v>255</v>
      </c>
      <c r="F308">
        <v>156</v>
      </c>
      <c r="G308">
        <v>127</v>
      </c>
      <c r="Q308" t="s">
        <v>12749</v>
      </c>
    </row>
    <row r="309" spans="2:18" x14ac:dyDescent="0.25">
      <c r="B309">
        <v>4908</v>
      </c>
      <c r="C309" t="s">
        <v>24839</v>
      </c>
      <c r="D309" t="s">
        <v>23430</v>
      </c>
      <c r="E309">
        <v>255</v>
      </c>
      <c r="F309">
        <v>156</v>
      </c>
      <c r="G309">
        <v>127</v>
      </c>
      <c r="Q309" t="s">
        <v>12751</v>
      </c>
    </row>
    <row r="310" spans="2:18" x14ac:dyDescent="0.25">
      <c r="B310">
        <v>4168</v>
      </c>
      <c r="C310" t="s">
        <v>16933</v>
      </c>
      <c r="E310">
        <v>255</v>
      </c>
      <c r="F310">
        <v>159</v>
      </c>
      <c r="G310">
        <v>127</v>
      </c>
      <c r="O310" t="s">
        <v>12362</v>
      </c>
    </row>
    <row r="311" spans="2:18" x14ac:dyDescent="0.25">
      <c r="B311">
        <v>4169</v>
      </c>
      <c r="C311" t="s">
        <v>16933</v>
      </c>
      <c r="D311" t="s">
        <v>24355</v>
      </c>
      <c r="E311">
        <v>255</v>
      </c>
      <c r="F311">
        <v>159</v>
      </c>
      <c r="G311">
        <v>127</v>
      </c>
      <c r="P311" t="s">
        <v>12364</v>
      </c>
    </row>
    <row r="312" spans="2:18" x14ac:dyDescent="0.25">
      <c r="B312">
        <v>4170</v>
      </c>
      <c r="C312" t="s">
        <v>16933</v>
      </c>
      <c r="D312" t="s">
        <v>23430</v>
      </c>
      <c r="E312">
        <v>255</v>
      </c>
      <c r="F312">
        <v>159</v>
      </c>
      <c r="G312">
        <v>127</v>
      </c>
      <c r="P312" t="s">
        <v>12366</v>
      </c>
    </row>
    <row r="313" spans="2:18" x14ac:dyDescent="0.25">
      <c r="B313">
        <v>4275</v>
      </c>
      <c r="C313" t="s">
        <v>24840</v>
      </c>
      <c r="E313">
        <v>201</v>
      </c>
      <c r="F313">
        <v>106</v>
      </c>
      <c r="G313">
        <v>230</v>
      </c>
      <c r="M313" t="s">
        <v>1285</v>
      </c>
    </row>
    <row r="314" spans="2:18" x14ac:dyDescent="0.25">
      <c r="B314">
        <v>4327</v>
      </c>
      <c r="C314" t="s">
        <v>24841</v>
      </c>
      <c r="E314">
        <v>255</v>
      </c>
      <c r="F314">
        <v>96</v>
      </c>
      <c r="G314">
        <v>222</v>
      </c>
      <c r="N314" t="s">
        <v>233</v>
      </c>
    </row>
    <row r="315" spans="2:18" x14ac:dyDescent="0.25">
      <c r="B315">
        <v>4328</v>
      </c>
      <c r="C315" t="s">
        <v>24842</v>
      </c>
      <c r="E315">
        <v>255</v>
      </c>
      <c r="F315">
        <v>96</v>
      </c>
      <c r="G315">
        <v>222</v>
      </c>
      <c r="O315" t="s">
        <v>12598</v>
      </c>
    </row>
    <row r="316" spans="2:18" x14ac:dyDescent="0.25">
      <c r="B316">
        <v>4329</v>
      </c>
      <c r="C316" t="s">
        <v>24842</v>
      </c>
      <c r="D316" t="s">
        <v>24355</v>
      </c>
      <c r="E316">
        <v>255</v>
      </c>
      <c r="F316">
        <v>96</v>
      </c>
      <c r="G316">
        <v>222</v>
      </c>
      <c r="P316" t="s">
        <v>12600</v>
      </c>
    </row>
    <row r="317" spans="2:18" x14ac:dyDescent="0.25">
      <c r="B317">
        <v>4330</v>
      </c>
      <c r="C317" t="s">
        <v>24843</v>
      </c>
      <c r="D317" t="s">
        <v>24355</v>
      </c>
      <c r="E317">
        <v>255</v>
      </c>
      <c r="F317">
        <v>96</v>
      </c>
      <c r="G317">
        <v>222</v>
      </c>
      <c r="Q317" t="s">
        <v>240</v>
      </c>
    </row>
    <row r="318" spans="2:18" x14ac:dyDescent="0.25">
      <c r="B318">
        <v>265504452</v>
      </c>
      <c r="C318" t="s">
        <v>24844</v>
      </c>
      <c r="D318" t="s">
        <v>24355</v>
      </c>
      <c r="E318">
        <v>255</v>
      </c>
      <c r="F318">
        <v>96</v>
      </c>
      <c r="G318">
        <v>222</v>
      </c>
      <c r="R318" t="s">
        <v>244</v>
      </c>
    </row>
    <row r="319" spans="2:18" x14ac:dyDescent="0.25">
      <c r="B319">
        <v>265504456</v>
      </c>
      <c r="C319" t="s">
        <v>24845</v>
      </c>
      <c r="D319" t="s">
        <v>24355</v>
      </c>
      <c r="E319">
        <v>255</v>
      </c>
      <c r="F319">
        <v>96</v>
      </c>
      <c r="G319">
        <v>222</v>
      </c>
      <c r="R319" t="s">
        <v>249</v>
      </c>
    </row>
    <row r="320" spans="2:18" x14ac:dyDescent="0.25">
      <c r="B320">
        <v>265504460</v>
      </c>
      <c r="C320" t="s">
        <v>24846</v>
      </c>
      <c r="D320" t="s">
        <v>24355</v>
      </c>
      <c r="E320">
        <v>255</v>
      </c>
      <c r="F320">
        <v>96</v>
      </c>
      <c r="G320">
        <v>222</v>
      </c>
      <c r="R320" t="s">
        <v>11680</v>
      </c>
    </row>
    <row r="321" spans="2:18" x14ac:dyDescent="0.25">
      <c r="B321">
        <v>4335</v>
      </c>
      <c r="C321" t="s">
        <v>24842</v>
      </c>
      <c r="D321" t="s">
        <v>23430</v>
      </c>
      <c r="E321">
        <v>255</v>
      </c>
      <c r="F321">
        <v>96</v>
      </c>
      <c r="G321">
        <v>222</v>
      </c>
      <c r="P321" t="s">
        <v>12602</v>
      </c>
    </row>
    <row r="322" spans="2:18" x14ac:dyDescent="0.25">
      <c r="B322">
        <v>4336</v>
      </c>
      <c r="C322" t="s">
        <v>24843</v>
      </c>
      <c r="D322" t="s">
        <v>23430</v>
      </c>
      <c r="E322">
        <v>255</v>
      </c>
      <c r="F322">
        <v>96</v>
      </c>
      <c r="G322">
        <v>222</v>
      </c>
      <c r="Q322" t="s">
        <v>12604</v>
      </c>
    </row>
    <row r="323" spans="2:18" x14ac:dyDescent="0.25">
      <c r="B323">
        <v>265504464</v>
      </c>
      <c r="C323" t="s">
        <v>24844</v>
      </c>
      <c r="D323" t="s">
        <v>23430</v>
      </c>
      <c r="E323">
        <v>255</v>
      </c>
      <c r="F323">
        <v>96</v>
      </c>
      <c r="G323">
        <v>222</v>
      </c>
      <c r="R323" t="s">
        <v>11682</v>
      </c>
    </row>
    <row r="324" spans="2:18" x14ac:dyDescent="0.25">
      <c r="B324">
        <v>265504468</v>
      </c>
      <c r="C324" t="s">
        <v>24845</v>
      </c>
      <c r="D324" t="s">
        <v>23430</v>
      </c>
      <c r="E324">
        <v>255</v>
      </c>
      <c r="F324">
        <v>96</v>
      </c>
      <c r="G324">
        <v>222</v>
      </c>
      <c r="R324" t="s">
        <v>11684</v>
      </c>
    </row>
    <row r="325" spans="2:18" x14ac:dyDescent="0.25">
      <c r="B325">
        <v>265504472</v>
      </c>
      <c r="C325" t="s">
        <v>24846</v>
      </c>
      <c r="D325" t="s">
        <v>23430</v>
      </c>
      <c r="E325">
        <v>255</v>
      </c>
      <c r="F325">
        <v>96</v>
      </c>
      <c r="G325">
        <v>222</v>
      </c>
      <c r="R325" t="s">
        <v>11686</v>
      </c>
    </row>
    <row r="326" spans="2:18" x14ac:dyDescent="0.25">
      <c r="B326">
        <v>265504476</v>
      </c>
      <c r="C326" t="s">
        <v>19783</v>
      </c>
      <c r="E326">
        <v>255</v>
      </c>
      <c r="F326">
        <v>96</v>
      </c>
      <c r="G326">
        <v>222</v>
      </c>
      <c r="O326" t="s">
        <v>306</v>
      </c>
    </row>
    <row r="327" spans="2:18" x14ac:dyDescent="0.25">
      <c r="B327">
        <v>265504480</v>
      </c>
      <c r="C327" t="s">
        <v>19783</v>
      </c>
      <c r="D327" t="s">
        <v>24355</v>
      </c>
      <c r="E327">
        <v>255</v>
      </c>
      <c r="F327">
        <v>96</v>
      </c>
      <c r="G327">
        <v>222</v>
      </c>
      <c r="P327" t="s">
        <v>11688</v>
      </c>
    </row>
    <row r="328" spans="2:18" x14ac:dyDescent="0.25">
      <c r="B328">
        <v>265504484</v>
      </c>
      <c r="C328" t="s">
        <v>23150</v>
      </c>
      <c r="D328" t="s">
        <v>24355</v>
      </c>
      <c r="E328">
        <v>255</v>
      </c>
      <c r="F328">
        <v>96</v>
      </c>
      <c r="G328">
        <v>222</v>
      </c>
      <c r="Q328" t="s">
        <v>11690</v>
      </c>
    </row>
    <row r="329" spans="2:18" x14ac:dyDescent="0.25">
      <c r="B329">
        <v>265504488</v>
      </c>
      <c r="C329" t="s">
        <v>23151</v>
      </c>
      <c r="D329" t="s">
        <v>24355</v>
      </c>
      <c r="E329">
        <v>255</v>
      </c>
      <c r="F329">
        <v>96</v>
      </c>
      <c r="G329">
        <v>222</v>
      </c>
      <c r="Q329" t="s">
        <v>11692</v>
      </c>
    </row>
    <row r="330" spans="2:18" x14ac:dyDescent="0.25">
      <c r="B330">
        <v>265504492</v>
      </c>
      <c r="C330" t="s">
        <v>19783</v>
      </c>
      <c r="D330" t="s">
        <v>23430</v>
      </c>
      <c r="E330">
        <v>255</v>
      </c>
      <c r="F330">
        <v>96</v>
      </c>
      <c r="G330">
        <v>222</v>
      </c>
      <c r="P330" t="s">
        <v>11694</v>
      </c>
    </row>
    <row r="331" spans="2:18" x14ac:dyDescent="0.25">
      <c r="B331">
        <v>265504496</v>
      </c>
      <c r="C331" t="s">
        <v>23150</v>
      </c>
      <c r="D331" t="s">
        <v>23430</v>
      </c>
      <c r="E331">
        <v>255</v>
      </c>
      <c r="F331">
        <v>96</v>
      </c>
      <c r="G331">
        <v>222</v>
      </c>
      <c r="Q331" t="s">
        <v>11696</v>
      </c>
    </row>
    <row r="332" spans="2:18" x14ac:dyDescent="0.25">
      <c r="B332">
        <v>265504500</v>
      </c>
      <c r="C332" t="s">
        <v>23151</v>
      </c>
      <c r="D332" t="s">
        <v>23430</v>
      </c>
      <c r="E332">
        <v>255</v>
      </c>
      <c r="F332">
        <v>96</v>
      </c>
      <c r="G332">
        <v>222</v>
      </c>
      <c r="Q332" t="s">
        <v>11698</v>
      </c>
    </row>
    <row r="333" spans="2:18" x14ac:dyDescent="0.25">
      <c r="B333">
        <v>4341</v>
      </c>
      <c r="C333" t="s">
        <v>15784</v>
      </c>
      <c r="E333">
        <v>255</v>
      </c>
      <c r="F333">
        <v>96</v>
      </c>
      <c r="G333">
        <v>222</v>
      </c>
      <c r="O333" t="s">
        <v>529</v>
      </c>
    </row>
    <row r="334" spans="2:18" x14ac:dyDescent="0.25">
      <c r="B334">
        <v>4342</v>
      </c>
      <c r="C334" t="s">
        <v>15784</v>
      </c>
      <c r="D334" t="s">
        <v>24355</v>
      </c>
      <c r="E334">
        <v>255</v>
      </c>
      <c r="F334">
        <v>96</v>
      </c>
      <c r="G334">
        <v>222</v>
      </c>
      <c r="P334" t="s">
        <v>12606</v>
      </c>
    </row>
    <row r="335" spans="2:18" x14ac:dyDescent="0.25">
      <c r="B335">
        <v>4343</v>
      </c>
      <c r="C335" t="s">
        <v>24847</v>
      </c>
      <c r="D335" t="s">
        <v>24355</v>
      </c>
      <c r="E335">
        <v>255</v>
      </c>
      <c r="F335">
        <v>96</v>
      </c>
      <c r="G335">
        <v>222</v>
      </c>
      <c r="Q335" t="s">
        <v>12608</v>
      </c>
    </row>
    <row r="336" spans="2:18" x14ac:dyDescent="0.25">
      <c r="B336">
        <v>265504504</v>
      </c>
      <c r="C336" t="s">
        <v>24848</v>
      </c>
      <c r="D336" t="s">
        <v>24355</v>
      </c>
      <c r="E336">
        <v>255</v>
      </c>
      <c r="F336">
        <v>96</v>
      </c>
      <c r="G336">
        <v>222</v>
      </c>
      <c r="R336" t="s">
        <v>11700</v>
      </c>
    </row>
    <row r="337" spans="2:18" x14ac:dyDescent="0.25">
      <c r="B337">
        <v>4344</v>
      </c>
      <c r="C337" t="s">
        <v>24849</v>
      </c>
      <c r="D337" t="s">
        <v>24355</v>
      </c>
      <c r="E337">
        <v>255</v>
      </c>
      <c r="F337">
        <v>96</v>
      </c>
      <c r="G337">
        <v>222</v>
      </c>
      <c r="Q337" t="s">
        <v>12610</v>
      </c>
    </row>
    <row r="338" spans="2:18" x14ac:dyDescent="0.25">
      <c r="B338">
        <v>4345</v>
      </c>
      <c r="C338" t="s">
        <v>19727</v>
      </c>
      <c r="D338" t="s">
        <v>24355</v>
      </c>
      <c r="E338">
        <v>255</v>
      </c>
      <c r="F338">
        <v>96</v>
      </c>
      <c r="G338">
        <v>222</v>
      </c>
      <c r="Q338" t="s">
        <v>12612</v>
      </c>
    </row>
    <row r="339" spans="2:18" x14ac:dyDescent="0.25">
      <c r="B339">
        <v>265504508</v>
      </c>
      <c r="C339" t="s">
        <v>24850</v>
      </c>
      <c r="D339" t="s">
        <v>24355</v>
      </c>
      <c r="E339">
        <v>255</v>
      </c>
      <c r="F339">
        <v>96</v>
      </c>
      <c r="G339">
        <v>222</v>
      </c>
      <c r="R339" t="s">
        <v>11702</v>
      </c>
    </row>
    <row r="340" spans="2:18" x14ac:dyDescent="0.25">
      <c r="B340">
        <v>265504512</v>
      </c>
      <c r="C340" t="s">
        <v>24851</v>
      </c>
      <c r="D340" t="s">
        <v>24355</v>
      </c>
      <c r="E340">
        <v>255</v>
      </c>
      <c r="F340">
        <v>96</v>
      </c>
      <c r="G340">
        <v>222</v>
      </c>
      <c r="R340" t="s">
        <v>11704</v>
      </c>
    </row>
    <row r="341" spans="2:18" x14ac:dyDescent="0.25">
      <c r="B341">
        <v>4346</v>
      </c>
      <c r="C341" t="s">
        <v>15784</v>
      </c>
      <c r="D341" t="s">
        <v>23430</v>
      </c>
      <c r="E341">
        <v>255</v>
      </c>
      <c r="F341">
        <v>96</v>
      </c>
      <c r="G341">
        <v>222</v>
      </c>
      <c r="P341" t="s">
        <v>12614</v>
      </c>
    </row>
    <row r="342" spans="2:18" x14ac:dyDescent="0.25">
      <c r="B342">
        <v>4347</v>
      </c>
      <c r="C342" t="s">
        <v>24847</v>
      </c>
      <c r="D342" t="s">
        <v>23430</v>
      </c>
      <c r="E342">
        <v>255</v>
      </c>
      <c r="F342">
        <v>96</v>
      </c>
      <c r="G342">
        <v>222</v>
      </c>
      <c r="Q342" t="s">
        <v>12616</v>
      </c>
    </row>
    <row r="343" spans="2:18" x14ac:dyDescent="0.25">
      <c r="B343">
        <v>265504516</v>
      </c>
      <c r="C343" t="s">
        <v>24848</v>
      </c>
      <c r="D343" t="s">
        <v>23430</v>
      </c>
      <c r="E343">
        <v>255</v>
      </c>
      <c r="F343">
        <v>96</v>
      </c>
      <c r="G343">
        <v>222</v>
      </c>
      <c r="R343" t="s">
        <v>11706</v>
      </c>
    </row>
    <row r="344" spans="2:18" x14ac:dyDescent="0.25">
      <c r="B344">
        <v>4348</v>
      </c>
      <c r="C344" t="s">
        <v>24849</v>
      </c>
      <c r="D344" t="s">
        <v>23430</v>
      </c>
      <c r="E344">
        <v>255</v>
      </c>
      <c r="F344">
        <v>96</v>
      </c>
      <c r="G344">
        <v>222</v>
      </c>
      <c r="Q344" t="s">
        <v>12618</v>
      </c>
    </row>
    <row r="345" spans="2:18" x14ac:dyDescent="0.25">
      <c r="B345">
        <v>4349</v>
      </c>
      <c r="C345" t="s">
        <v>19727</v>
      </c>
      <c r="D345" t="s">
        <v>23430</v>
      </c>
      <c r="E345">
        <v>255</v>
      </c>
      <c r="F345">
        <v>96</v>
      </c>
      <c r="G345">
        <v>222</v>
      </c>
      <c r="Q345" t="s">
        <v>12620</v>
      </c>
    </row>
    <row r="346" spans="2:18" x14ac:dyDescent="0.25">
      <c r="B346">
        <v>265504520</v>
      </c>
      <c r="C346" t="s">
        <v>24850</v>
      </c>
      <c r="D346" t="s">
        <v>23430</v>
      </c>
      <c r="E346">
        <v>255</v>
      </c>
      <c r="F346">
        <v>96</v>
      </c>
      <c r="G346">
        <v>222</v>
      </c>
      <c r="R346" t="s">
        <v>11708</v>
      </c>
    </row>
    <row r="347" spans="2:18" x14ac:dyDescent="0.25">
      <c r="B347">
        <v>265504524</v>
      </c>
      <c r="C347" t="s">
        <v>24851</v>
      </c>
      <c r="D347" t="s">
        <v>23430</v>
      </c>
      <c r="E347">
        <v>255</v>
      </c>
      <c r="F347">
        <v>96</v>
      </c>
      <c r="G347">
        <v>222</v>
      </c>
      <c r="R347" t="s">
        <v>11710</v>
      </c>
    </row>
    <row r="348" spans="2:18" x14ac:dyDescent="0.25">
      <c r="B348">
        <v>4350</v>
      </c>
      <c r="C348" t="s">
        <v>15737</v>
      </c>
      <c r="E348">
        <v>255</v>
      </c>
      <c r="F348">
        <v>96</v>
      </c>
      <c r="G348">
        <v>222</v>
      </c>
      <c r="O348" t="s">
        <v>177</v>
      </c>
    </row>
    <row r="349" spans="2:18" x14ac:dyDescent="0.25">
      <c r="B349">
        <v>4351</v>
      </c>
      <c r="C349" t="s">
        <v>15737</v>
      </c>
      <c r="D349" t="s">
        <v>24355</v>
      </c>
      <c r="E349">
        <v>255</v>
      </c>
      <c r="F349">
        <v>96</v>
      </c>
      <c r="G349">
        <v>222</v>
      </c>
      <c r="P349" t="s">
        <v>12622</v>
      </c>
    </row>
    <row r="350" spans="2:18" x14ac:dyDescent="0.25">
      <c r="B350">
        <v>265504528</v>
      </c>
      <c r="C350" t="s">
        <v>24852</v>
      </c>
      <c r="D350" t="s">
        <v>24355</v>
      </c>
      <c r="E350">
        <v>255</v>
      </c>
      <c r="F350">
        <v>96</v>
      </c>
      <c r="G350">
        <v>222</v>
      </c>
      <c r="Q350" t="s">
        <v>11712</v>
      </c>
    </row>
    <row r="351" spans="2:18" x14ac:dyDescent="0.25">
      <c r="B351">
        <v>4352</v>
      </c>
      <c r="C351" t="s">
        <v>24853</v>
      </c>
      <c r="D351" t="s">
        <v>24355</v>
      </c>
      <c r="E351">
        <v>255</v>
      </c>
      <c r="F351">
        <v>96</v>
      </c>
      <c r="G351">
        <v>222</v>
      </c>
      <c r="R351" t="s">
        <v>12624</v>
      </c>
    </row>
    <row r="352" spans="2:18" x14ac:dyDescent="0.25">
      <c r="B352">
        <v>265504534</v>
      </c>
      <c r="C352" t="s">
        <v>24854</v>
      </c>
      <c r="D352" t="s">
        <v>24355</v>
      </c>
      <c r="E352">
        <v>255</v>
      </c>
      <c r="F352">
        <v>96</v>
      </c>
      <c r="G352">
        <v>222</v>
      </c>
      <c r="R352" t="s">
        <v>11714</v>
      </c>
    </row>
    <row r="353" spans="2:18" x14ac:dyDescent="0.25">
      <c r="B353">
        <v>265504538</v>
      </c>
      <c r="C353" t="s">
        <v>24855</v>
      </c>
      <c r="D353" t="s">
        <v>24355</v>
      </c>
      <c r="E353">
        <v>255</v>
      </c>
      <c r="F353">
        <v>96</v>
      </c>
      <c r="G353">
        <v>222</v>
      </c>
      <c r="R353" t="s">
        <v>11716</v>
      </c>
    </row>
    <row r="354" spans="2:18" x14ac:dyDescent="0.25">
      <c r="B354">
        <v>265504542</v>
      </c>
      <c r="C354" t="s">
        <v>24856</v>
      </c>
      <c r="D354" t="s">
        <v>24355</v>
      </c>
      <c r="E354">
        <v>255</v>
      </c>
      <c r="F354">
        <v>96</v>
      </c>
      <c r="G354">
        <v>222</v>
      </c>
      <c r="Q354" t="s">
        <v>11718</v>
      </c>
    </row>
    <row r="355" spans="2:18" x14ac:dyDescent="0.25">
      <c r="B355">
        <v>4353</v>
      </c>
      <c r="C355" t="s">
        <v>24857</v>
      </c>
      <c r="D355" t="s">
        <v>24355</v>
      </c>
      <c r="E355">
        <v>255</v>
      </c>
      <c r="F355">
        <v>96</v>
      </c>
      <c r="G355">
        <v>222</v>
      </c>
      <c r="R355" t="s">
        <v>12626</v>
      </c>
    </row>
    <row r="356" spans="2:18" x14ac:dyDescent="0.25">
      <c r="B356">
        <v>4354</v>
      </c>
      <c r="C356" t="s">
        <v>24858</v>
      </c>
      <c r="D356" t="s">
        <v>24355</v>
      </c>
      <c r="E356">
        <v>255</v>
      </c>
      <c r="F356">
        <v>96</v>
      </c>
      <c r="G356">
        <v>222</v>
      </c>
      <c r="R356" t="s">
        <v>12628</v>
      </c>
    </row>
    <row r="357" spans="2:18" x14ac:dyDescent="0.25">
      <c r="B357">
        <v>4355</v>
      </c>
      <c r="C357" t="s">
        <v>15737</v>
      </c>
      <c r="D357" t="s">
        <v>23430</v>
      </c>
      <c r="E357">
        <v>255</v>
      </c>
      <c r="F357">
        <v>96</v>
      </c>
      <c r="G357">
        <v>222</v>
      </c>
      <c r="P357" t="s">
        <v>12630</v>
      </c>
    </row>
    <row r="358" spans="2:18" x14ac:dyDescent="0.25">
      <c r="B358">
        <v>265504550</v>
      </c>
      <c r="C358" t="s">
        <v>24852</v>
      </c>
      <c r="D358" t="s">
        <v>23430</v>
      </c>
      <c r="E358">
        <v>255</v>
      </c>
      <c r="F358">
        <v>96</v>
      </c>
      <c r="G358">
        <v>222</v>
      </c>
      <c r="Q358" t="s">
        <v>11720</v>
      </c>
    </row>
    <row r="359" spans="2:18" x14ac:dyDescent="0.25">
      <c r="B359">
        <v>4356</v>
      </c>
      <c r="C359" t="s">
        <v>24853</v>
      </c>
      <c r="D359" t="s">
        <v>23430</v>
      </c>
      <c r="E359">
        <v>255</v>
      </c>
      <c r="F359">
        <v>96</v>
      </c>
      <c r="G359">
        <v>222</v>
      </c>
      <c r="R359" t="s">
        <v>12632</v>
      </c>
    </row>
    <row r="360" spans="2:18" x14ac:dyDescent="0.25">
      <c r="B360">
        <v>265504556</v>
      </c>
      <c r="C360" t="s">
        <v>24854</v>
      </c>
      <c r="D360" t="s">
        <v>23430</v>
      </c>
      <c r="E360">
        <v>255</v>
      </c>
      <c r="F360">
        <v>96</v>
      </c>
      <c r="G360">
        <v>222</v>
      </c>
      <c r="R360" t="s">
        <v>11722</v>
      </c>
    </row>
    <row r="361" spans="2:18" x14ac:dyDescent="0.25">
      <c r="B361">
        <v>265504561</v>
      </c>
      <c r="C361" t="s">
        <v>24855</v>
      </c>
      <c r="D361" t="s">
        <v>23430</v>
      </c>
      <c r="E361">
        <v>255</v>
      </c>
      <c r="F361">
        <v>96</v>
      </c>
      <c r="G361">
        <v>222</v>
      </c>
      <c r="R361" t="s">
        <v>11724</v>
      </c>
    </row>
    <row r="362" spans="2:18" x14ac:dyDescent="0.25">
      <c r="B362">
        <v>265504565</v>
      </c>
      <c r="C362" t="s">
        <v>24856</v>
      </c>
      <c r="D362" t="s">
        <v>23430</v>
      </c>
      <c r="E362">
        <v>255</v>
      </c>
      <c r="F362">
        <v>96</v>
      </c>
      <c r="G362">
        <v>222</v>
      </c>
      <c r="Q362" t="s">
        <v>11726</v>
      </c>
    </row>
    <row r="363" spans="2:18" x14ac:dyDescent="0.25">
      <c r="B363">
        <v>4357</v>
      </c>
      <c r="C363" t="s">
        <v>24857</v>
      </c>
      <c r="D363" t="s">
        <v>23430</v>
      </c>
      <c r="E363">
        <v>255</v>
      </c>
      <c r="F363">
        <v>96</v>
      </c>
      <c r="G363">
        <v>222</v>
      </c>
      <c r="R363" t="s">
        <v>12634</v>
      </c>
    </row>
    <row r="364" spans="2:18" x14ac:dyDescent="0.25">
      <c r="B364">
        <v>4358</v>
      </c>
      <c r="C364" t="s">
        <v>24858</v>
      </c>
      <c r="D364" t="s">
        <v>23430</v>
      </c>
      <c r="E364">
        <v>255</v>
      </c>
      <c r="F364">
        <v>96</v>
      </c>
      <c r="G364">
        <v>222</v>
      </c>
      <c r="R364" t="s">
        <v>12636</v>
      </c>
    </row>
    <row r="365" spans="2:18" x14ac:dyDescent="0.25">
      <c r="B365">
        <v>4359</v>
      </c>
      <c r="C365" t="s">
        <v>24859</v>
      </c>
      <c r="E365">
        <v>255</v>
      </c>
      <c r="F365">
        <v>96</v>
      </c>
      <c r="G365">
        <v>222</v>
      </c>
      <c r="O365" t="s">
        <v>916</v>
      </c>
    </row>
    <row r="366" spans="2:18" x14ac:dyDescent="0.25">
      <c r="B366">
        <v>4360</v>
      </c>
      <c r="C366" t="s">
        <v>24859</v>
      </c>
      <c r="D366" t="s">
        <v>24355</v>
      </c>
      <c r="E366">
        <v>255</v>
      </c>
      <c r="F366">
        <v>96</v>
      </c>
      <c r="G366">
        <v>222</v>
      </c>
      <c r="P366" t="s">
        <v>12638</v>
      </c>
    </row>
    <row r="367" spans="2:18" x14ac:dyDescent="0.25">
      <c r="B367">
        <v>4361</v>
      </c>
      <c r="C367" t="s">
        <v>24860</v>
      </c>
      <c r="D367" t="s">
        <v>24355</v>
      </c>
      <c r="E367">
        <v>255</v>
      </c>
      <c r="F367">
        <v>96</v>
      </c>
      <c r="G367">
        <v>222</v>
      </c>
      <c r="Q367" t="s">
        <v>12640</v>
      </c>
    </row>
    <row r="368" spans="2:18" x14ac:dyDescent="0.25">
      <c r="B368">
        <v>265504574</v>
      </c>
      <c r="C368" t="s">
        <v>24861</v>
      </c>
      <c r="D368" t="s">
        <v>24355</v>
      </c>
      <c r="E368">
        <v>255</v>
      </c>
      <c r="F368">
        <v>96</v>
      </c>
      <c r="G368">
        <v>222</v>
      </c>
      <c r="R368" t="s">
        <v>11728</v>
      </c>
    </row>
    <row r="369" spans="2:18" x14ac:dyDescent="0.25">
      <c r="B369">
        <v>265504578</v>
      </c>
      <c r="C369" t="s">
        <v>24862</v>
      </c>
      <c r="D369" t="s">
        <v>24355</v>
      </c>
      <c r="E369">
        <v>255</v>
      </c>
      <c r="F369">
        <v>96</v>
      </c>
      <c r="G369">
        <v>222</v>
      </c>
      <c r="R369" t="s">
        <v>11730</v>
      </c>
    </row>
    <row r="370" spans="2:18" x14ac:dyDescent="0.25">
      <c r="B370">
        <v>4362</v>
      </c>
      <c r="C370" t="s">
        <v>24863</v>
      </c>
      <c r="D370" t="s">
        <v>24355</v>
      </c>
      <c r="E370">
        <v>255</v>
      </c>
      <c r="F370">
        <v>96</v>
      </c>
      <c r="G370">
        <v>222</v>
      </c>
      <c r="Q370" t="s">
        <v>12642</v>
      </c>
    </row>
    <row r="371" spans="2:18" x14ac:dyDescent="0.25">
      <c r="B371">
        <v>265504583</v>
      </c>
      <c r="C371" t="s">
        <v>24864</v>
      </c>
      <c r="D371" t="s">
        <v>24355</v>
      </c>
      <c r="E371">
        <v>255</v>
      </c>
      <c r="F371">
        <v>96</v>
      </c>
      <c r="G371">
        <v>222</v>
      </c>
      <c r="R371" t="s">
        <v>11732</v>
      </c>
    </row>
    <row r="372" spans="2:18" x14ac:dyDescent="0.25">
      <c r="B372">
        <v>265504587</v>
      </c>
      <c r="C372" t="s">
        <v>24865</v>
      </c>
      <c r="D372" t="s">
        <v>24355</v>
      </c>
      <c r="E372">
        <v>255</v>
      </c>
      <c r="F372">
        <v>96</v>
      </c>
      <c r="G372">
        <v>222</v>
      </c>
      <c r="R372" t="s">
        <v>11734</v>
      </c>
    </row>
    <row r="373" spans="2:18" x14ac:dyDescent="0.25">
      <c r="B373">
        <v>265504591</v>
      </c>
      <c r="C373" t="s">
        <v>24866</v>
      </c>
      <c r="D373" t="s">
        <v>24355</v>
      </c>
      <c r="E373">
        <v>255</v>
      </c>
      <c r="F373">
        <v>96</v>
      </c>
      <c r="G373">
        <v>222</v>
      </c>
      <c r="R373" t="s">
        <v>11736</v>
      </c>
    </row>
    <row r="374" spans="2:18" x14ac:dyDescent="0.25">
      <c r="B374">
        <v>265504596</v>
      </c>
      <c r="C374" t="s">
        <v>24867</v>
      </c>
      <c r="D374" t="s">
        <v>24355</v>
      </c>
      <c r="E374">
        <v>255</v>
      </c>
      <c r="F374">
        <v>96</v>
      </c>
      <c r="G374">
        <v>222</v>
      </c>
      <c r="R374" t="s">
        <v>11738</v>
      </c>
    </row>
    <row r="375" spans="2:18" x14ac:dyDescent="0.25">
      <c r="B375">
        <v>4363</v>
      </c>
      <c r="C375" t="s">
        <v>24859</v>
      </c>
      <c r="D375" t="s">
        <v>23430</v>
      </c>
      <c r="E375">
        <v>255</v>
      </c>
      <c r="F375">
        <v>96</v>
      </c>
      <c r="G375">
        <v>222</v>
      </c>
      <c r="P375" t="s">
        <v>12644</v>
      </c>
    </row>
    <row r="376" spans="2:18" x14ac:dyDescent="0.25">
      <c r="B376">
        <v>4364</v>
      </c>
      <c r="C376" t="s">
        <v>24860</v>
      </c>
      <c r="D376" t="s">
        <v>23430</v>
      </c>
      <c r="E376">
        <v>255</v>
      </c>
      <c r="F376">
        <v>96</v>
      </c>
      <c r="G376">
        <v>222</v>
      </c>
      <c r="Q376" t="s">
        <v>12646</v>
      </c>
    </row>
    <row r="377" spans="2:18" x14ac:dyDescent="0.25">
      <c r="B377">
        <v>265504600</v>
      </c>
      <c r="C377" t="s">
        <v>24861</v>
      </c>
      <c r="D377" t="s">
        <v>23430</v>
      </c>
      <c r="E377">
        <v>255</v>
      </c>
      <c r="F377">
        <v>96</v>
      </c>
      <c r="G377">
        <v>222</v>
      </c>
      <c r="R377" t="s">
        <v>11740</v>
      </c>
    </row>
    <row r="378" spans="2:18" x14ac:dyDescent="0.25">
      <c r="B378">
        <v>265504604</v>
      </c>
      <c r="C378" t="s">
        <v>24862</v>
      </c>
      <c r="D378" t="s">
        <v>23430</v>
      </c>
      <c r="E378">
        <v>255</v>
      </c>
      <c r="F378">
        <v>96</v>
      </c>
      <c r="G378">
        <v>222</v>
      </c>
      <c r="R378" t="s">
        <v>11742</v>
      </c>
    </row>
    <row r="379" spans="2:18" x14ac:dyDescent="0.25">
      <c r="B379">
        <v>4365</v>
      </c>
      <c r="C379" t="s">
        <v>24863</v>
      </c>
      <c r="D379" t="s">
        <v>23430</v>
      </c>
      <c r="E379">
        <v>255</v>
      </c>
      <c r="F379">
        <v>96</v>
      </c>
      <c r="G379">
        <v>222</v>
      </c>
      <c r="Q379" t="s">
        <v>12648</v>
      </c>
    </row>
    <row r="380" spans="2:18" x14ac:dyDescent="0.25">
      <c r="B380">
        <v>265504608</v>
      </c>
      <c r="C380" t="s">
        <v>24864</v>
      </c>
      <c r="D380" t="s">
        <v>23430</v>
      </c>
      <c r="E380">
        <v>255</v>
      </c>
      <c r="F380">
        <v>96</v>
      </c>
      <c r="G380">
        <v>222</v>
      </c>
      <c r="R380" t="s">
        <v>11744</v>
      </c>
    </row>
    <row r="381" spans="2:18" x14ac:dyDescent="0.25">
      <c r="B381">
        <v>265504612</v>
      </c>
      <c r="C381" t="s">
        <v>24865</v>
      </c>
      <c r="D381" t="s">
        <v>23430</v>
      </c>
      <c r="E381">
        <v>255</v>
      </c>
      <c r="F381">
        <v>96</v>
      </c>
      <c r="G381">
        <v>222</v>
      </c>
      <c r="R381" t="s">
        <v>11746</v>
      </c>
    </row>
    <row r="382" spans="2:18" x14ac:dyDescent="0.25">
      <c r="B382">
        <v>265504616</v>
      </c>
      <c r="C382" t="s">
        <v>24866</v>
      </c>
      <c r="D382" t="s">
        <v>23430</v>
      </c>
      <c r="E382">
        <v>255</v>
      </c>
      <c r="F382">
        <v>96</v>
      </c>
      <c r="G382">
        <v>222</v>
      </c>
      <c r="R382" t="s">
        <v>11748</v>
      </c>
    </row>
    <row r="383" spans="2:18" x14ac:dyDescent="0.25">
      <c r="B383">
        <v>265504620</v>
      </c>
      <c r="C383" t="s">
        <v>24867</v>
      </c>
      <c r="D383" t="s">
        <v>23430</v>
      </c>
      <c r="E383">
        <v>255</v>
      </c>
      <c r="F383">
        <v>96</v>
      </c>
      <c r="G383">
        <v>222</v>
      </c>
      <c r="R383" t="s">
        <v>11750</v>
      </c>
    </row>
    <row r="384" spans="2:18" x14ac:dyDescent="0.25">
      <c r="B384">
        <v>4366</v>
      </c>
      <c r="C384" t="s">
        <v>24868</v>
      </c>
      <c r="E384">
        <v>255</v>
      </c>
      <c r="F384">
        <v>96</v>
      </c>
      <c r="G384">
        <v>222</v>
      </c>
      <c r="O384" t="s">
        <v>12650</v>
      </c>
    </row>
    <row r="385" spans="2:19" x14ac:dyDescent="0.25">
      <c r="B385">
        <v>4367</v>
      </c>
      <c r="C385" t="s">
        <v>24868</v>
      </c>
      <c r="D385" t="s">
        <v>24355</v>
      </c>
      <c r="E385">
        <v>255</v>
      </c>
      <c r="F385">
        <v>96</v>
      </c>
      <c r="G385">
        <v>222</v>
      </c>
      <c r="P385" t="s">
        <v>12652</v>
      </c>
    </row>
    <row r="386" spans="2:19" x14ac:dyDescent="0.25">
      <c r="B386">
        <v>4368</v>
      </c>
      <c r="C386" t="s">
        <v>19487</v>
      </c>
      <c r="D386" t="s">
        <v>24355</v>
      </c>
      <c r="E386">
        <v>255</v>
      </c>
      <c r="F386">
        <v>96</v>
      </c>
      <c r="G386">
        <v>222</v>
      </c>
      <c r="Q386" t="s">
        <v>12654</v>
      </c>
    </row>
    <row r="387" spans="2:19" x14ac:dyDescent="0.25">
      <c r="B387">
        <v>265504624</v>
      </c>
      <c r="C387" t="s">
        <v>24869</v>
      </c>
      <c r="D387" t="s">
        <v>24355</v>
      </c>
      <c r="E387">
        <v>255</v>
      </c>
      <c r="F387">
        <v>96</v>
      </c>
      <c r="G387">
        <v>222</v>
      </c>
      <c r="R387" t="s">
        <v>11752</v>
      </c>
    </row>
    <row r="388" spans="2:19" x14ac:dyDescent="0.25">
      <c r="B388">
        <v>265504628</v>
      </c>
      <c r="C388" t="s">
        <v>24870</v>
      </c>
      <c r="D388" t="s">
        <v>24355</v>
      </c>
      <c r="E388">
        <v>255</v>
      </c>
      <c r="F388">
        <v>96</v>
      </c>
      <c r="G388">
        <v>222</v>
      </c>
      <c r="R388" t="s">
        <v>11754</v>
      </c>
    </row>
    <row r="389" spans="2:19" x14ac:dyDescent="0.25">
      <c r="B389">
        <v>265504632</v>
      </c>
      <c r="C389" t="s">
        <v>24871</v>
      </c>
      <c r="D389" t="s">
        <v>24355</v>
      </c>
      <c r="E389">
        <v>255</v>
      </c>
      <c r="F389">
        <v>96</v>
      </c>
      <c r="G389">
        <v>222</v>
      </c>
      <c r="R389" t="s">
        <v>11756</v>
      </c>
    </row>
    <row r="390" spans="2:19" x14ac:dyDescent="0.25">
      <c r="B390">
        <v>4370</v>
      </c>
      <c r="C390" t="s">
        <v>19824</v>
      </c>
      <c r="D390" t="s">
        <v>24355</v>
      </c>
      <c r="E390">
        <v>255</v>
      </c>
      <c r="F390">
        <v>96</v>
      </c>
      <c r="G390">
        <v>222</v>
      </c>
      <c r="Q390" t="s">
        <v>12658</v>
      </c>
    </row>
    <row r="391" spans="2:19" x14ac:dyDescent="0.25">
      <c r="B391">
        <v>265504636</v>
      </c>
      <c r="C391" t="s">
        <v>24872</v>
      </c>
      <c r="D391" t="s">
        <v>24355</v>
      </c>
      <c r="E391">
        <v>255</v>
      </c>
      <c r="F391">
        <v>96</v>
      </c>
      <c r="G391">
        <v>222</v>
      </c>
      <c r="R391" t="s">
        <v>11758</v>
      </c>
    </row>
    <row r="392" spans="2:19" x14ac:dyDescent="0.25">
      <c r="B392">
        <v>265504640</v>
      </c>
      <c r="C392" t="s">
        <v>24873</v>
      </c>
      <c r="D392" t="s">
        <v>24355</v>
      </c>
      <c r="E392">
        <v>255</v>
      </c>
      <c r="F392">
        <v>96</v>
      </c>
      <c r="G392">
        <v>222</v>
      </c>
      <c r="R392" t="s">
        <v>11760</v>
      </c>
    </row>
    <row r="393" spans="2:19" x14ac:dyDescent="0.25">
      <c r="B393">
        <v>265504644</v>
      </c>
      <c r="C393" t="s">
        <v>24874</v>
      </c>
      <c r="D393" t="s">
        <v>24355</v>
      </c>
      <c r="E393">
        <v>255</v>
      </c>
      <c r="F393">
        <v>96</v>
      </c>
      <c r="G393">
        <v>222</v>
      </c>
      <c r="S393" t="s">
        <v>11762</v>
      </c>
    </row>
    <row r="394" spans="2:19" x14ac:dyDescent="0.25">
      <c r="B394">
        <v>265504648</v>
      </c>
      <c r="C394" t="s">
        <v>24875</v>
      </c>
      <c r="D394" t="s">
        <v>24355</v>
      </c>
      <c r="E394">
        <v>255</v>
      </c>
      <c r="F394">
        <v>96</v>
      </c>
      <c r="G394">
        <v>222</v>
      </c>
      <c r="S394" t="s">
        <v>11764</v>
      </c>
    </row>
    <row r="395" spans="2:19" x14ac:dyDescent="0.25">
      <c r="B395">
        <v>265504652</v>
      </c>
      <c r="C395" t="s">
        <v>24876</v>
      </c>
      <c r="D395" t="s">
        <v>24355</v>
      </c>
      <c r="E395">
        <v>255</v>
      </c>
      <c r="F395">
        <v>96</v>
      </c>
      <c r="G395">
        <v>222</v>
      </c>
      <c r="R395" t="s">
        <v>11766</v>
      </c>
    </row>
    <row r="396" spans="2:19" x14ac:dyDescent="0.25">
      <c r="B396">
        <v>4369</v>
      </c>
      <c r="C396" t="s">
        <v>19495</v>
      </c>
      <c r="D396" t="s">
        <v>24355</v>
      </c>
      <c r="E396">
        <v>255</v>
      </c>
      <c r="F396">
        <v>96</v>
      </c>
      <c r="G396">
        <v>222</v>
      </c>
      <c r="Q396" t="s">
        <v>12656</v>
      </c>
    </row>
    <row r="397" spans="2:19" x14ac:dyDescent="0.25">
      <c r="B397">
        <v>265504656</v>
      </c>
      <c r="C397" t="s">
        <v>24877</v>
      </c>
      <c r="D397" t="s">
        <v>24355</v>
      </c>
      <c r="E397">
        <v>255</v>
      </c>
      <c r="F397">
        <v>96</v>
      </c>
      <c r="G397">
        <v>222</v>
      </c>
      <c r="R397" t="s">
        <v>11768</v>
      </c>
    </row>
    <row r="398" spans="2:19" x14ac:dyDescent="0.25">
      <c r="B398">
        <v>265504660</v>
      </c>
      <c r="C398" t="s">
        <v>24878</v>
      </c>
      <c r="D398" t="s">
        <v>24355</v>
      </c>
      <c r="E398">
        <v>255</v>
      </c>
      <c r="F398">
        <v>96</v>
      </c>
      <c r="G398">
        <v>222</v>
      </c>
      <c r="R398" t="s">
        <v>11770</v>
      </c>
    </row>
    <row r="399" spans="2:19" x14ac:dyDescent="0.25">
      <c r="B399">
        <v>265504664</v>
      </c>
      <c r="C399" t="s">
        <v>19509</v>
      </c>
      <c r="D399" t="s">
        <v>24355</v>
      </c>
      <c r="E399">
        <v>255</v>
      </c>
      <c r="F399">
        <v>96</v>
      </c>
      <c r="G399">
        <v>222</v>
      </c>
      <c r="R399" t="s">
        <v>11772</v>
      </c>
    </row>
    <row r="400" spans="2:19" x14ac:dyDescent="0.25">
      <c r="B400">
        <v>4371</v>
      </c>
      <c r="C400" t="s">
        <v>24868</v>
      </c>
      <c r="D400" t="s">
        <v>23430</v>
      </c>
      <c r="E400">
        <v>255</v>
      </c>
      <c r="F400">
        <v>96</v>
      </c>
      <c r="G400">
        <v>222</v>
      </c>
      <c r="P400" t="s">
        <v>12660</v>
      </c>
    </row>
    <row r="401" spans="2:19" x14ac:dyDescent="0.25">
      <c r="B401">
        <v>4372</v>
      </c>
      <c r="C401" t="s">
        <v>19487</v>
      </c>
      <c r="D401" t="s">
        <v>23430</v>
      </c>
      <c r="E401">
        <v>255</v>
      </c>
      <c r="F401">
        <v>96</v>
      </c>
      <c r="G401">
        <v>222</v>
      </c>
      <c r="Q401" t="s">
        <v>12662</v>
      </c>
    </row>
    <row r="402" spans="2:19" x14ac:dyDescent="0.25">
      <c r="B402">
        <v>265504668</v>
      </c>
      <c r="C402" t="s">
        <v>24869</v>
      </c>
      <c r="D402" t="s">
        <v>23430</v>
      </c>
      <c r="E402">
        <v>255</v>
      </c>
      <c r="F402">
        <v>96</v>
      </c>
      <c r="G402">
        <v>222</v>
      </c>
      <c r="R402" t="s">
        <v>11774</v>
      </c>
    </row>
    <row r="403" spans="2:19" x14ac:dyDescent="0.25">
      <c r="B403">
        <v>265504672</v>
      </c>
      <c r="C403" t="s">
        <v>24870</v>
      </c>
      <c r="D403" t="s">
        <v>23430</v>
      </c>
      <c r="E403">
        <v>255</v>
      </c>
      <c r="F403">
        <v>96</v>
      </c>
      <c r="G403">
        <v>222</v>
      </c>
      <c r="R403" t="s">
        <v>11776</v>
      </c>
    </row>
    <row r="404" spans="2:19" x14ac:dyDescent="0.25">
      <c r="B404">
        <v>265504676</v>
      </c>
      <c r="C404" t="s">
        <v>24871</v>
      </c>
      <c r="D404" t="s">
        <v>23430</v>
      </c>
      <c r="E404">
        <v>255</v>
      </c>
      <c r="F404">
        <v>96</v>
      </c>
      <c r="G404">
        <v>222</v>
      </c>
      <c r="R404" t="s">
        <v>11778</v>
      </c>
    </row>
    <row r="405" spans="2:19" x14ac:dyDescent="0.25">
      <c r="B405">
        <v>4374</v>
      </c>
      <c r="C405" t="s">
        <v>19824</v>
      </c>
      <c r="D405" t="s">
        <v>23430</v>
      </c>
      <c r="E405">
        <v>255</v>
      </c>
      <c r="F405">
        <v>96</v>
      </c>
      <c r="G405">
        <v>222</v>
      </c>
      <c r="Q405" t="s">
        <v>12666</v>
      </c>
    </row>
    <row r="406" spans="2:19" x14ac:dyDescent="0.25">
      <c r="B406">
        <v>265504680</v>
      </c>
      <c r="C406" t="s">
        <v>24872</v>
      </c>
      <c r="D406" t="s">
        <v>23430</v>
      </c>
      <c r="E406">
        <v>255</v>
      </c>
      <c r="F406">
        <v>96</v>
      </c>
      <c r="G406">
        <v>222</v>
      </c>
      <c r="R406" t="s">
        <v>11780</v>
      </c>
    </row>
    <row r="407" spans="2:19" x14ac:dyDescent="0.25">
      <c r="B407">
        <v>265504684</v>
      </c>
      <c r="C407" t="s">
        <v>24873</v>
      </c>
      <c r="D407" t="s">
        <v>23430</v>
      </c>
      <c r="E407">
        <v>255</v>
      </c>
      <c r="F407">
        <v>96</v>
      </c>
      <c r="G407">
        <v>222</v>
      </c>
      <c r="R407" t="s">
        <v>11782</v>
      </c>
    </row>
    <row r="408" spans="2:19" x14ac:dyDescent="0.25">
      <c r="B408">
        <v>265504688</v>
      </c>
      <c r="C408" t="s">
        <v>24874</v>
      </c>
      <c r="D408" t="s">
        <v>23430</v>
      </c>
      <c r="E408">
        <v>255</v>
      </c>
      <c r="F408">
        <v>96</v>
      </c>
      <c r="G408">
        <v>222</v>
      </c>
      <c r="S408" t="s">
        <v>11784</v>
      </c>
    </row>
    <row r="409" spans="2:19" x14ac:dyDescent="0.25">
      <c r="B409">
        <v>265504692</v>
      </c>
      <c r="C409" t="s">
        <v>24875</v>
      </c>
      <c r="D409" t="s">
        <v>23430</v>
      </c>
      <c r="E409">
        <v>255</v>
      </c>
      <c r="F409">
        <v>96</v>
      </c>
      <c r="G409">
        <v>222</v>
      </c>
      <c r="S409" t="s">
        <v>11786</v>
      </c>
    </row>
    <row r="410" spans="2:19" x14ac:dyDescent="0.25">
      <c r="B410">
        <v>265504696</v>
      </c>
      <c r="C410" t="s">
        <v>24876</v>
      </c>
      <c r="D410" t="s">
        <v>23430</v>
      </c>
      <c r="E410">
        <v>255</v>
      </c>
      <c r="F410">
        <v>96</v>
      </c>
      <c r="G410">
        <v>222</v>
      </c>
      <c r="R410" t="s">
        <v>11788</v>
      </c>
    </row>
    <row r="411" spans="2:19" x14ac:dyDescent="0.25">
      <c r="B411">
        <v>4373</v>
      </c>
      <c r="C411" t="s">
        <v>19495</v>
      </c>
      <c r="D411" t="s">
        <v>23430</v>
      </c>
      <c r="E411">
        <v>255</v>
      </c>
      <c r="F411">
        <v>96</v>
      </c>
      <c r="G411">
        <v>222</v>
      </c>
      <c r="Q411" t="s">
        <v>12664</v>
      </c>
    </row>
    <row r="412" spans="2:19" x14ac:dyDescent="0.25">
      <c r="B412">
        <v>265504700</v>
      </c>
      <c r="C412" t="s">
        <v>24877</v>
      </c>
      <c r="D412" t="s">
        <v>23430</v>
      </c>
      <c r="E412">
        <v>255</v>
      </c>
      <c r="F412">
        <v>96</v>
      </c>
      <c r="G412">
        <v>222</v>
      </c>
      <c r="R412" t="s">
        <v>11790</v>
      </c>
    </row>
    <row r="413" spans="2:19" x14ac:dyDescent="0.25">
      <c r="B413">
        <v>265504704</v>
      </c>
      <c r="C413" t="s">
        <v>24878</v>
      </c>
      <c r="D413" t="s">
        <v>23430</v>
      </c>
      <c r="E413">
        <v>255</v>
      </c>
      <c r="F413">
        <v>96</v>
      </c>
      <c r="G413">
        <v>222</v>
      </c>
      <c r="R413" t="s">
        <v>11792</v>
      </c>
    </row>
    <row r="414" spans="2:19" x14ac:dyDescent="0.25">
      <c r="B414">
        <v>265504708</v>
      </c>
      <c r="C414" t="s">
        <v>19509</v>
      </c>
      <c r="D414" t="s">
        <v>23430</v>
      </c>
      <c r="E414">
        <v>255</v>
      </c>
      <c r="F414">
        <v>96</v>
      </c>
      <c r="G414">
        <v>222</v>
      </c>
      <c r="R414" t="s">
        <v>11794</v>
      </c>
    </row>
    <row r="415" spans="2:19" x14ac:dyDescent="0.25">
      <c r="B415">
        <v>4375</v>
      </c>
      <c r="C415" t="s">
        <v>15664</v>
      </c>
      <c r="E415">
        <v>255</v>
      </c>
      <c r="F415">
        <v>96</v>
      </c>
      <c r="G415">
        <v>222</v>
      </c>
      <c r="O415" t="s">
        <v>2450</v>
      </c>
    </row>
    <row r="416" spans="2:19" x14ac:dyDescent="0.25">
      <c r="B416">
        <v>4376</v>
      </c>
      <c r="C416" t="s">
        <v>15664</v>
      </c>
      <c r="D416" t="s">
        <v>24355</v>
      </c>
      <c r="E416">
        <v>255</v>
      </c>
      <c r="F416">
        <v>96</v>
      </c>
      <c r="G416">
        <v>222</v>
      </c>
      <c r="P416" t="s">
        <v>12668</v>
      </c>
    </row>
    <row r="417" spans="2:19" x14ac:dyDescent="0.25">
      <c r="B417">
        <v>4377</v>
      </c>
      <c r="C417" t="s">
        <v>15664</v>
      </c>
      <c r="D417" t="s">
        <v>23430</v>
      </c>
      <c r="E417">
        <v>255</v>
      </c>
      <c r="F417">
        <v>96</v>
      </c>
      <c r="G417">
        <v>222</v>
      </c>
      <c r="P417" t="s">
        <v>12670</v>
      </c>
    </row>
    <row r="418" spans="2:19" x14ac:dyDescent="0.25">
      <c r="B418">
        <v>4378</v>
      </c>
      <c r="C418" t="s">
        <v>15318</v>
      </c>
      <c r="E418">
        <v>255</v>
      </c>
      <c r="F418">
        <v>96</v>
      </c>
      <c r="G418">
        <v>222</v>
      </c>
      <c r="O418" t="s">
        <v>2557</v>
      </c>
    </row>
    <row r="419" spans="2:19" x14ac:dyDescent="0.25">
      <c r="B419">
        <v>4379</v>
      </c>
      <c r="C419" t="s">
        <v>15318</v>
      </c>
      <c r="D419" t="s">
        <v>24355</v>
      </c>
      <c r="E419">
        <v>255</v>
      </c>
      <c r="F419">
        <v>96</v>
      </c>
      <c r="G419">
        <v>222</v>
      </c>
      <c r="P419" t="s">
        <v>12672</v>
      </c>
    </row>
    <row r="420" spans="2:19" x14ac:dyDescent="0.25">
      <c r="B420">
        <v>265504712</v>
      </c>
      <c r="C420" t="s">
        <v>24879</v>
      </c>
      <c r="D420" t="s">
        <v>24355</v>
      </c>
      <c r="E420">
        <v>255</v>
      </c>
      <c r="F420">
        <v>96</v>
      </c>
      <c r="G420">
        <v>222</v>
      </c>
      <c r="Q420" t="s">
        <v>11796</v>
      </c>
    </row>
    <row r="421" spans="2:19" x14ac:dyDescent="0.25">
      <c r="B421">
        <v>265504716</v>
      </c>
      <c r="C421" t="s">
        <v>24880</v>
      </c>
      <c r="D421" t="s">
        <v>24355</v>
      </c>
      <c r="E421">
        <v>255</v>
      </c>
      <c r="F421">
        <v>96</v>
      </c>
      <c r="G421">
        <v>222</v>
      </c>
      <c r="R421" t="s">
        <v>11798</v>
      </c>
    </row>
    <row r="422" spans="2:19" x14ac:dyDescent="0.25">
      <c r="B422">
        <v>4380</v>
      </c>
      <c r="C422" t="s">
        <v>24881</v>
      </c>
      <c r="D422" t="s">
        <v>24355</v>
      </c>
      <c r="E422">
        <v>255</v>
      </c>
      <c r="F422">
        <v>96</v>
      </c>
      <c r="G422">
        <v>222</v>
      </c>
      <c r="R422" t="s">
        <v>12674</v>
      </c>
    </row>
    <row r="423" spans="2:19" x14ac:dyDescent="0.25">
      <c r="B423">
        <v>265504722</v>
      </c>
      <c r="C423" t="s">
        <v>24882</v>
      </c>
      <c r="D423" t="s">
        <v>24355</v>
      </c>
      <c r="E423">
        <v>255</v>
      </c>
      <c r="F423">
        <v>96</v>
      </c>
      <c r="G423">
        <v>222</v>
      </c>
      <c r="R423" t="s">
        <v>11800</v>
      </c>
    </row>
    <row r="424" spans="2:19" x14ac:dyDescent="0.25">
      <c r="B424">
        <v>265504726</v>
      </c>
      <c r="C424" t="s">
        <v>24883</v>
      </c>
      <c r="D424" t="s">
        <v>24355</v>
      </c>
      <c r="E424">
        <v>255</v>
      </c>
      <c r="F424">
        <v>96</v>
      </c>
      <c r="G424">
        <v>222</v>
      </c>
      <c r="S424" t="s">
        <v>11802</v>
      </c>
    </row>
    <row r="425" spans="2:19" x14ac:dyDescent="0.25">
      <c r="B425">
        <v>265504730</v>
      </c>
      <c r="C425" t="s">
        <v>24884</v>
      </c>
      <c r="D425" t="s">
        <v>24355</v>
      </c>
      <c r="E425">
        <v>255</v>
      </c>
      <c r="F425">
        <v>96</v>
      </c>
      <c r="G425">
        <v>222</v>
      </c>
      <c r="Q425" t="s">
        <v>11804</v>
      </c>
    </row>
    <row r="426" spans="2:19" x14ac:dyDescent="0.25">
      <c r="B426">
        <v>265504734</v>
      </c>
      <c r="C426" t="s">
        <v>24885</v>
      </c>
      <c r="D426" t="s">
        <v>24355</v>
      </c>
      <c r="E426">
        <v>255</v>
      </c>
      <c r="F426">
        <v>96</v>
      </c>
      <c r="G426">
        <v>222</v>
      </c>
      <c r="Q426" t="s">
        <v>11806</v>
      </c>
    </row>
    <row r="427" spans="2:19" x14ac:dyDescent="0.25">
      <c r="B427">
        <v>4381</v>
      </c>
      <c r="C427" t="s">
        <v>24886</v>
      </c>
      <c r="D427" t="s">
        <v>24355</v>
      </c>
      <c r="E427">
        <v>255</v>
      </c>
      <c r="F427">
        <v>96</v>
      </c>
      <c r="G427">
        <v>222</v>
      </c>
      <c r="R427" t="s">
        <v>12676</v>
      </c>
    </row>
    <row r="428" spans="2:19" x14ac:dyDescent="0.25">
      <c r="B428">
        <v>265504740</v>
      </c>
      <c r="C428" t="s">
        <v>24887</v>
      </c>
      <c r="D428" t="s">
        <v>24355</v>
      </c>
      <c r="E428">
        <v>255</v>
      </c>
      <c r="F428">
        <v>96</v>
      </c>
      <c r="G428">
        <v>222</v>
      </c>
      <c r="R428" t="s">
        <v>11808</v>
      </c>
    </row>
    <row r="429" spans="2:19" x14ac:dyDescent="0.25">
      <c r="B429">
        <v>265504744</v>
      </c>
      <c r="C429" t="s">
        <v>24888</v>
      </c>
      <c r="D429" t="s">
        <v>24355</v>
      </c>
      <c r="E429">
        <v>255</v>
      </c>
      <c r="F429">
        <v>96</v>
      </c>
      <c r="G429">
        <v>222</v>
      </c>
      <c r="R429" t="s">
        <v>11810</v>
      </c>
    </row>
    <row r="430" spans="2:19" x14ac:dyDescent="0.25">
      <c r="B430">
        <v>4382</v>
      </c>
      <c r="C430" t="s">
        <v>15318</v>
      </c>
      <c r="D430" t="s">
        <v>23430</v>
      </c>
      <c r="E430">
        <v>255</v>
      </c>
      <c r="F430">
        <v>96</v>
      </c>
      <c r="G430">
        <v>222</v>
      </c>
      <c r="P430" t="s">
        <v>12678</v>
      </c>
    </row>
    <row r="431" spans="2:19" x14ac:dyDescent="0.25">
      <c r="B431">
        <v>265504748</v>
      </c>
      <c r="C431" t="s">
        <v>24879</v>
      </c>
      <c r="D431" t="s">
        <v>23430</v>
      </c>
      <c r="E431">
        <v>255</v>
      </c>
      <c r="F431">
        <v>96</v>
      </c>
      <c r="G431">
        <v>222</v>
      </c>
      <c r="Q431" t="s">
        <v>11812</v>
      </c>
    </row>
    <row r="432" spans="2:19" x14ac:dyDescent="0.25">
      <c r="B432">
        <v>265504752</v>
      </c>
      <c r="C432" t="s">
        <v>24880</v>
      </c>
      <c r="D432" t="s">
        <v>23430</v>
      </c>
      <c r="E432">
        <v>255</v>
      </c>
      <c r="F432">
        <v>96</v>
      </c>
      <c r="G432">
        <v>222</v>
      </c>
      <c r="R432" t="s">
        <v>11814</v>
      </c>
    </row>
    <row r="433" spans="2:19" x14ac:dyDescent="0.25">
      <c r="B433">
        <v>4383</v>
      </c>
      <c r="C433" t="s">
        <v>24881</v>
      </c>
      <c r="D433" t="s">
        <v>23430</v>
      </c>
      <c r="E433">
        <v>255</v>
      </c>
      <c r="F433">
        <v>96</v>
      </c>
      <c r="G433">
        <v>222</v>
      </c>
      <c r="R433" t="s">
        <v>12680</v>
      </c>
    </row>
    <row r="434" spans="2:19" x14ac:dyDescent="0.25">
      <c r="B434">
        <v>265504758</v>
      </c>
      <c r="C434" t="s">
        <v>24882</v>
      </c>
      <c r="D434" t="s">
        <v>23430</v>
      </c>
      <c r="E434">
        <v>255</v>
      </c>
      <c r="F434">
        <v>96</v>
      </c>
      <c r="G434">
        <v>222</v>
      </c>
      <c r="R434" t="s">
        <v>11816</v>
      </c>
    </row>
    <row r="435" spans="2:19" x14ac:dyDescent="0.25">
      <c r="B435">
        <v>265504762</v>
      </c>
      <c r="C435" t="s">
        <v>24883</v>
      </c>
      <c r="D435" t="s">
        <v>23430</v>
      </c>
      <c r="E435">
        <v>255</v>
      </c>
      <c r="F435">
        <v>96</v>
      </c>
      <c r="G435">
        <v>222</v>
      </c>
      <c r="S435" t="s">
        <v>11818</v>
      </c>
    </row>
    <row r="436" spans="2:19" x14ac:dyDescent="0.25">
      <c r="B436">
        <v>265504766</v>
      </c>
      <c r="C436" t="s">
        <v>24884</v>
      </c>
      <c r="D436" t="s">
        <v>23430</v>
      </c>
      <c r="E436">
        <v>255</v>
      </c>
      <c r="F436">
        <v>96</v>
      </c>
      <c r="G436">
        <v>222</v>
      </c>
      <c r="Q436" t="s">
        <v>11820</v>
      </c>
    </row>
    <row r="437" spans="2:19" x14ac:dyDescent="0.25">
      <c r="B437">
        <v>265504770</v>
      </c>
      <c r="C437" t="s">
        <v>24885</v>
      </c>
      <c r="D437" t="s">
        <v>23430</v>
      </c>
      <c r="E437">
        <v>255</v>
      </c>
      <c r="F437">
        <v>96</v>
      </c>
      <c r="G437">
        <v>222</v>
      </c>
      <c r="Q437" t="s">
        <v>11822</v>
      </c>
    </row>
    <row r="438" spans="2:19" x14ac:dyDescent="0.25">
      <c r="B438">
        <v>4384</v>
      </c>
      <c r="C438" t="s">
        <v>24886</v>
      </c>
      <c r="D438" t="s">
        <v>23430</v>
      </c>
      <c r="E438">
        <v>255</v>
      </c>
      <c r="F438">
        <v>96</v>
      </c>
      <c r="G438">
        <v>222</v>
      </c>
      <c r="R438" t="s">
        <v>12682</v>
      </c>
    </row>
    <row r="439" spans="2:19" x14ac:dyDescent="0.25">
      <c r="B439">
        <v>265504776</v>
      </c>
      <c r="C439" t="s">
        <v>24887</v>
      </c>
      <c r="D439" t="s">
        <v>23430</v>
      </c>
      <c r="E439">
        <v>255</v>
      </c>
      <c r="F439">
        <v>96</v>
      </c>
      <c r="G439">
        <v>222</v>
      </c>
      <c r="R439" t="s">
        <v>11824</v>
      </c>
    </row>
    <row r="440" spans="2:19" x14ac:dyDescent="0.25">
      <c r="B440">
        <v>265504780</v>
      </c>
      <c r="C440" t="s">
        <v>24888</v>
      </c>
      <c r="D440" t="s">
        <v>23430</v>
      </c>
      <c r="E440">
        <v>255</v>
      </c>
      <c r="F440">
        <v>96</v>
      </c>
      <c r="G440">
        <v>222</v>
      </c>
      <c r="R440" t="s">
        <v>11826</v>
      </c>
    </row>
    <row r="441" spans="2:19" x14ac:dyDescent="0.25">
      <c r="B441">
        <v>4385</v>
      </c>
      <c r="C441" t="s">
        <v>19475</v>
      </c>
      <c r="E441">
        <v>255</v>
      </c>
      <c r="F441">
        <v>96</v>
      </c>
      <c r="G441">
        <v>222</v>
      </c>
      <c r="O441" t="s">
        <v>3285</v>
      </c>
    </row>
    <row r="442" spans="2:19" x14ac:dyDescent="0.25">
      <c r="B442">
        <v>4386</v>
      </c>
      <c r="C442" t="s">
        <v>19475</v>
      </c>
      <c r="D442" t="s">
        <v>24355</v>
      </c>
      <c r="E442">
        <v>255</v>
      </c>
      <c r="F442">
        <v>96</v>
      </c>
      <c r="G442">
        <v>222</v>
      </c>
      <c r="P442" t="s">
        <v>12684</v>
      </c>
    </row>
    <row r="443" spans="2:19" x14ac:dyDescent="0.25">
      <c r="B443">
        <v>4387</v>
      </c>
      <c r="C443" t="s">
        <v>19475</v>
      </c>
      <c r="D443" t="s">
        <v>23430</v>
      </c>
      <c r="E443">
        <v>255</v>
      </c>
      <c r="F443">
        <v>96</v>
      </c>
      <c r="G443">
        <v>222</v>
      </c>
      <c r="P443" t="s">
        <v>12686</v>
      </c>
    </row>
    <row r="444" spans="2:19" x14ac:dyDescent="0.25">
      <c r="B444">
        <v>4388</v>
      </c>
      <c r="C444" t="s">
        <v>24889</v>
      </c>
      <c r="E444">
        <v>255</v>
      </c>
      <c r="F444">
        <v>96</v>
      </c>
      <c r="G444">
        <v>222</v>
      </c>
      <c r="O444" t="s">
        <v>5352</v>
      </c>
    </row>
    <row r="445" spans="2:19" x14ac:dyDescent="0.25">
      <c r="B445">
        <v>4389</v>
      </c>
      <c r="C445" t="s">
        <v>24889</v>
      </c>
      <c r="D445" t="s">
        <v>24355</v>
      </c>
      <c r="E445">
        <v>255</v>
      </c>
      <c r="F445">
        <v>96</v>
      </c>
      <c r="G445">
        <v>222</v>
      </c>
      <c r="P445" t="s">
        <v>12689</v>
      </c>
    </row>
    <row r="446" spans="2:19" x14ac:dyDescent="0.25">
      <c r="B446">
        <v>265504784</v>
      </c>
      <c r="C446" t="s">
        <v>24890</v>
      </c>
      <c r="D446" t="s">
        <v>24355</v>
      </c>
      <c r="E446">
        <v>255</v>
      </c>
      <c r="F446">
        <v>96</v>
      </c>
      <c r="G446">
        <v>222</v>
      </c>
      <c r="Q446" t="s">
        <v>11828</v>
      </c>
    </row>
    <row r="447" spans="2:19" x14ac:dyDescent="0.25">
      <c r="B447">
        <v>4390</v>
      </c>
      <c r="C447" t="s">
        <v>24889</v>
      </c>
      <c r="D447" t="s">
        <v>23430</v>
      </c>
      <c r="E447">
        <v>255</v>
      </c>
      <c r="F447">
        <v>96</v>
      </c>
      <c r="G447">
        <v>222</v>
      </c>
      <c r="P447" t="s">
        <v>12691</v>
      </c>
    </row>
    <row r="448" spans="2:19" x14ac:dyDescent="0.25">
      <c r="B448">
        <v>265504788</v>
      </c>
      <c r="C448" t="s">
        <v>24890</v>
      </c>
      <c r="D448" t="s">
        <v>23430</v>
      </c>
      <c r="E448">
        <v>255</v>
      </c>
      <c r="F448">
        <v>96</v>
      </c>
      <c r="G448">
        <v>222</v>
      </c>
      <c r="Q448" t="s">
        <v>11830</v>
      </c>
    </row>
    <row r="449" spans="2:18" x14ac:dyDescent="0.25">
      <c r="B449">
        <v>4324</v>
      </c>
      <c r="C449" t="s">
        <v>24891</v>
      </c>
      <c r="E449">
        <v>204</v>
      </c>
      <c r="F449">
        <v>77</v>
      </c>
      <c r="G449">
        <v>178</v>
      </c>
      <c r="N449" t="s">
        <v>387</v>
      </c>
    </row>
    <row r="450" spans="2:18" x14ac:dyDescent="0.25">
      <c r="B450">
        <v>4325</v>
      </c>
      <c r="C450" t="s">
        <v>24891</v>
      </c>
      <c r="D450" t="s">
        <v>24355</v>
      </c>
      <c r="E450">
        <v>204</v>
      </c>
      <c r="F450">
        <v>77</v>
      </c>
      <c r="G450">
        <v>178</v>
      </c>
      <c r="O450" t="s">
        <v>12594</v>
      </c>
    </row>
    <row r="451" spans="2:18" x14ac:dyDescent="0.25">
      <c r="B451">
        <v>4326</v>
      </c>
      <c r="C451" t="s">
        <v>24891</v>
      </c>
      <c r="D451" t="s">
        <v>23430</v>
      </c>
      <c r="E451">
        <v>204</v>
      </c>
      <c r="F451">
        <v>77</v>
      </c>
      <c r="G451">
        <v>178</v>
      </c>
      <c r="O451" t="s">
        <v>12596</v>
      </c>
    </row>
    <row r="452" spans="2:18" x14ac:dyDescent="0.25">
      <c r="B452">
        <v>4300</v>
      </c>
      <c r="C452" t="s">
        <v>23276</v>
      </c>
      <c r="E452">
        <v>209</v>
      </c>
      <c r="F452">
        <v>104</v>
      </c>
      <c r="G452">
        <v>255</v>
      </c>
      <c r="N452" t="s">
        <v>534</v>
      </c>
    </row>
    <row r="453" spans="2:18" x14ac:dyDescent="0.25">
      <c r="B453">
        <v>13002</v>
      </c>
      <c r="C453" t="s">
        <v>24892</v>
      </c>
      <c r="E453">
        <v>209</v>
      </c>
      <c r="F453">
        <v>104</v>
      </c>
      <c r="G453">
        <v>255</v>
      </c>
      <c r="O453" t="s">
        <v>4958</v>
      </c>
    </row>
    <row r="454" spans="2:18" x14ac:dyDescent="0.25">
      <c r="B454">
        <v>4301</v>
      </c>
      <c r="C454" t="s">
        <v>24892</v>
      </c>
      <c r="D454" t="s">
        <v>24355</v>
      </c>
      <c r="E454">
        <v>209</v>
      </c>
      <c r="F454">
        <v>104</v>
      </c>
      <c r="G454">
        <v>255</v>
      </c>
      <c r="P454" t="s">
        <v>12562</v>
      </c>
    </row>
    <row r="455" spans="2:18" x14ac:dyDescent="0.25">
      <c r="B455">
        <v>4302</v>
      </c>
      <c r="C455" t="s">
        <v>15547</v>
      </c>
      <c r="D455" t="s">
        <v>24355</v>
      </c>
      <c r="E455">
        <v>209</v>
      </c>
      <c r="F455">
        <v>104</v>
      </c>
      <c r="G455">
        <v>255</v>
      </c>
      <c r="Q455" t="s">
        <v>3027</v>
      </c>
    </row>
    <row r="456" spans="2:18" x14ac:dyDescent="0.25">
      <c r="B456">
        <v>4303</v>
      </c>
      <c r="C456" t="s">
        <v>19769</v>
      </c>
      <c r="D456" t="s">
        <v>24355</v>
      </c>
      <c r="E456">
        <v>209</v>
      </c>
      <c r="F456">
        <v>104</v>
      </c>
      <c r="G456">
        <v>255</v>
      </c>
      <c r="Q456" t="s">
        <v>2717</v>
      </c>
    </row>
    <row r="457" spans="2:18" x14ac:dyDescent="0.25">
      <c r="B457">
        <v>4304</v>
      </c>
      <c r="C457" t="s">
        <v>24892</v>
      </c>
      <c r="D457" t="s">
        <v>23430</v>
      </c>
      <c r="E457">
        <v>209</v>
      </c>
      <c r="F457">
        <v>104</v>
      </c>
      <c r="G457">
        <v>255</v>
      </c>
      <c r="P457" t="s">
        <v>12564</v>
      </c>
    </row>
    <row r="458" spans="2:18" x14ac:dyDescent="0.25">
      <c r="B458">
        <v>4305</v>
      </c>
      <c r="C458" t="s">
        <v>15547</v>
      </c>
      <c r="D458" t="s">
        <v>23430</v>
      </c>
      <c r="E458">
        <v>209</v>
      </c>
      <c r="F458">
        <v>104</v>
      </c>
      <c r="G458">
        <v>255</v>
      </c>
      <c r="Q458" t="s">
        <v>12566</v>
      </c>
    </row>
    <row r="459" spans="2:18" x14ac:dyDescent="0.25">
      <c r="B459">
        <v>4306</v>
      </c>
      <c r="C459" t="s">
        <v>19769</v>
      </c>
      <c r="D459" t="s">
        <v>23430</v>
      </c>
      <c r="E459">
        <v>209</v>
      </c>
      <c r="F459">
        <v>104</v>
      </c>
      <c r="G459">
        <v>255</v>
      </c>
      <c r="Q459" t="s">
        <v>12568</v>
      </c>
    </row>
    <row r="460" spans="2:18" x14ac:dyDescent="0.25">
      <c r="B460">
        <v>13003</v>
      </c>
      <c r="C460" t="s">
        <v>19822</v>
      </c>
      <c r="E460">
        <v>209</v>
      </c>
      <c r="F460">
        <v>104</v>
      </c>
      <c r="G460">
        <v>255</v>
      </c>
      <c r="O460" t="s">
        <v>7966</v>
      </c>
    </row>
    <row r="461" spans="2:18" x14ac:dyDescent="0.25">
      <c r="B461">
        <v>4307</v>
      </c>
      <c r="C461" t="s">
        <v>19822</v>
      </c>
      <c r="D461" t="s">
        <v>24355</v>
      </c>
      <c r="E461">
        <v>209</v>
      </c>
      <c r="F461">
        <v>104</v>
      </c>
      <c r="G461">
        <v>255</v>
      </c>
      <c r="P461" t="s">
        <v>12570</v>
      </c>
    </row>
    <row r="462" spans="2:18" x14ac:dyDescent="0.25">
      <c r="B462">
        <v>4308</v>
      </c>
      <c r="C462" t="s">
        <v>24893</v>
      </c>
      <c r="D462" t="s">
        <v>24355</v>
      </c>
      <c r="E462">
        <v>209</v>
      </c>
      <c r="F462">
        <v>104</v>
      </c>
      <c r="G462">
        <v>255</v>
      </c>
      <c r="Q462" t="s">
        <v>544</v>
      </c>
    </row>
    <row r="463" spans="2:18" x14ac:dyDescent="0.25">
      <c r="B463">
        <v>4309</v>
      </c>
      <c r="C463" t="s">
        <v>24894</v>
      </c>
      <c r="D463" t="s">
        <v>24355</v>
      </c>
      <c r="E463">
        <v>209</v>
      </c>
      <c r="F463">
        <v>104</v>
      </c>
      <c r="G463">
        <v>255</v>
      </c>
      <c r="Q463" t="s">
        <v>3274</v>
      </c>
    </row>
    <row r="464" spans="2:18" x14ac:dyDescent="0.25">
      <c r="B464">
        <v>4310</v>
      </c>
      <c r="C464" t="s">
        <v>24895</v>
      </c>
      <c r="D464" t="s">
        <v>24355</v>
      </c>
      <c r="E464">
        <v>209</v>
      </c>
      <c r="F464">
        <v>104</v>
      </c>
      <c r="G464">
        <v>255</v>
      </c>
      <c r="R464" t="s">
        <v>12572</v>
      </c>
    </row>
    <row r="465" spans="2:18" x14ac:dyDescent="0.25">
      <c r="B465">
        <v>4311</v>
      </c>
      <c r="C465" t="s">
        <v>24896</v>
      </c>
      <c r="D465" t="s">
        <v>24355</v>
      </c>
      <c r="E465">
        <v>209</v>
      </c>
      <c r="F465">
        <v>104</v>
      </c>
      <c r="G465">
        <v>255</v>
      </c>
      <c r="R465" t="s">
        <v>12574</v>
      </c>
    </row>
    <row r="466" spans="2:18" x14ac:dyDescent="0.25">
      <c r="B466">
        <v>4312</v>
      </c>
      <c r="C466" t="s">
        <v>24897</v>
      </c>
      <c r="D466" t="s">
        <v>24355</v>
      </c>
      <c r="E466">
        <v>209</v>
      </c>
      <c r="F466">
        <v>104</v>
      </c>
      <c r="G466">
        <v>255</v>
      </c>
      <c r="Q466" t="s">
        <v>3267</v>
      </c>
    </row>
    <row r="467" spans="2:18" x14ac:dyDescent="0.25">
      <c r="B467">
        <v>4313</v>
      </c>
      <c r="C467" t="s">
        <v>19837</v>
      </c>
      <c r="D467" t="s">
        <v>24355</v>
      </c>
      <c r="E467">
        <v>209</v>
      </c>
      <c r="F467">
        <v>104</v>
      </c>
      <c r="G467">
        <v>255</v>
      </c>
      <c r="Q467" t="s">
        <v>563</v>
      </c>
    </row>
    <row r="468" spans="2:18" x14ac:dyDescent="0.25">
      <c r="B468">
        <v>10145</v>
      </c>
      <c r="C468" t="s">
        <v>24898</v>
      </c>
      <c r="D468" t="s">
        <v>24355</v>
      </c>
      <c r="E468">
        <v>209</v>
      </c>
      <c r="F468">
        <v>104</v>
      </c>
      <c r="G468">
        <v>255</v>
      </c>
      <c r="Q468" t="s">
        <v>3473</v>
      </c>
    </row>
    <row r="469" spans="2:18" x14ac:dyDescent="0.25">
      <c r="B469">
        <v>265504792</v>
      </c>
      <c r="C469" t="s">
        <v>24899</v>
      </c>
      <c r="D469" t="s">
        <v>24355</v>
      </c>
      <c r="E469">
        <v>209</v>
      </c>
      <c r="F469">
        <v>104</v>
      </c>
      <c r="G469">
        <v>255</v>
      </c>
      <c r="R469" t="s">
        <v>2544</v>
      </c>
    </row>
    <row r="470" spans="2:18" x14ac:dyDescent="0.25">
      <c r="B470">
        <v>4314</v>
      </c>
      <c r="C470" t="s">
        <v>19822</v>
      </c>
      <c r="D470" t="s">
        <v>23430</v>
      </c>
      <c r="E470">
        <v>209</v>
      </c>
      <c r="F470">
        <v>104</v>
      </c>
      <c r="G470">
        <v>255</v>
      </c>
      <c r="P470" t="s">
        <v>12576</v>
      </c>
    </row>
    <row r="471" spans="2:18" x14ac:dyDescent="0.25">
      <c r="B471">
        <v>4315</v>
      </c>
      <c r="C471" t="s">
        <v>24893</v>
      </c>
      <c r="D471" t="s">
        <v>23430</v>
      </c>
      <c r="E471">
        <v>209</v>
      </c>
      <c r="F471">
        <v>104</v>
      </c>
      <c r="G471">
        <v>255</v>
      </c>
      <c r="Q471" t="s">
        <v>12578</v>
      </c>
    </row>
    <row r="472" spans="2:18" x14ac:dyDescent="0.25">
      <c r="B472">
        <v>4316</v>
      </c>
      <c r="C472" t="s">
        <v>24894</v>
      </c>
      <c r="D472" t="s">
        <v>23430</v>
      </c>
      <c r="E472">
        <v>209</v>
      </c>
      <c r="F472">
        <v>104</v>
      </c>
      <c r="G472">
        <v>255</v>
      </c>
      <c r="Q472" t="s">
        <v>24900</v>
      </c>
    </row>
    <row r="473" spans="2:18" x14ac:dyDescent="0.25">
      <c r="B473">
        <v>4317</v>
      </c>
      <c r="C473" t="s">
        <v>24895</v>
      </c>
      <c r="D473" t="s">
        <v>23430</v>
      </c>
      <c r="E473">
        <v>209</v>
      </c>
      <c r="F473">
        <v>104</v>
      </c>
      <c r="G473">
        <v>255</v>
      </c>
      <c r="R473" t="s">
        <v>12582</v>
      </c>
    </row>
    <row r="474" spans="2:18" x14ac:dyDescent="0.25">
      <c r="B474">
        <v>4318</v>
      </c>
      <c r="C474" t="s">
        <v>24896</v>
      </c>
      <c r="D474" t="s">
        <v>23430</v>
      </c>
      <c r="E474">
        <v>209</v>
      </c>
      <c r="F474">
        <v>104</v>
      </c>
      <c r="G474">
        <v>255</v>
      </c>
      <c r="R474" t="s">
        <v>12584</v>
      </c>
    </row>
    <row r="475" spans="2:18" x14ac:dyDescent="0.25">
      <c r="B475">
        <v>4319</v>
      </c>
      <c r="C475" t="s">
        <v>24897</v>
      </c>
      <c r="D475" t="s">
        <v>23430</v>
      </c>
      <c r="E475">
        <v>209</v>
      </c>
      <c r="F475">
        <v>104</v>
      </c>
      <c r="G475">
        <v>255</v>
      </c>
      <c r="Q475" t="s">
        <v>12586</v>
      </c>
    </row>
    <row r="476" spans="2:18" x14ac:dyDescent="0.25">
      <c r="B476">
        <v>4320</v>
      </c>
      <c r="C476" t="s">
        <v>19837</v>
      </c>
      <c r="D476" t="s">
        <v>23430</v>
      </c>
      <c r="E476">
        <v>209</v>
      </c>
      <c r="F476">
        <v>104</v>
      </c>
      <c r="G476">
        <v>255</v>
      </c>
      <c r="Q476" t="s">
        <v>12588</v>
      </c>
    </row>
    <row r="477" spans="2:18" x14ac:dyDescent="0.25">
      <c r="B477">
        <v>10146</v>
      </c>
      <c r="C477" t="s">
        <v>24898</v>
      </c>
      <c r="D477" t="s">
        <v>23430</v>
      </c>
      <c r="E477">
        <v>209</v>
      </c>
      <c r="F477">
        <v>104</v>
      </c>
      <c r="G477">
        <v>255</v>
      </c>
      <c r="Q477" t="s">
        <v>11637</v>
      </c>
    </row>
    <row r="478" spans="2:18" x14ac:dyDescent="0.25">
      <c r="B478">
        <v>265504796</v>
      </c>
      <c r="C478" t="s">
        <v>24899</v>
      </c>
      <c r="D478" t="s">
        <v>23430</v>
      </c>
      <c r="E478">
        <v>209</v>
      </c>
      <c r="F478">
        <v>104</v>
      </c>
      <c r="G478">
        <v>255</v>
      </c>
      <c r="R478" t="s">
        <v>11832</v>
      </c>
    </row>
    <row r="479" spans="2:18" x14ac:dyDescent="0.25">
      <c r="B479">
        <v>4276</v>
      </c>
      <c r="C479" t="s">
        <v>23858</v>
      </c>
      <c r="E479">
        <v>146</v>
      </c>
      <c r="F479">
        <v>87</v>
      </c>
      <c r="G479">
        <v>243</v>
      </c>
      <c r="N479" t="s">
        <v>1288</v>
      </c>
    </row>
    <row r="480" spans="2:18" x14ac:dyDescent="0.25">
      <c r="B480">
        <v>4293</v>
      </c>
      <c r="C480" t="s">
        <v>23267</v>
      </c>
      <c r="E480">
        <v>156</v>
      </c>
      <c r="F480">
        <v>83</v>
      </c>
      <c r="G480">
        <v>232</v>
      </c>
      <c r="O480" t="s">
        <v>2082</v>
      </c>
    </row>
    <row r="481" spans="2:18" x14ac:dyDescent="0.25">
      <c r="B481">
        <v>12897</v>
      </c>
      <c r="C481" t="s">
        <v>19816</v>
      </c>
      <c r="E481">
        <v>156</v>
      </c>
      <c r="F481">
        <v>83</v>
      </c>
      <c r="G481">
        <v>232</v>
      </c>
      <c r="P481" t="s">
        <v>2593</v>
      </c>
    </row>
    <row r="482" spans="2:18" x14ac:dyDescent="0.25">
      <c r="B482">
        <v>4295</v>
      </c>
      <c r="C482" t="s">
        <v>19816</v>
      </c>
      <c r="D482" t="s">
        <v>24355</v>
      </c>
      <c r="E482">
        <v>156</v>
      </c>
      <c r="F482">
        <v>83</v>
      </c>
      <c r="G482">
        <v>232</v>
      </c>
      <c r="Q482" t="s">
        <v>12554</v>
      </c>
    </row>
    <row r="483" spans="2:18" x14ac:dyDescent="0.25">
      <c r="B483">
        <v>4298</v>
      </c>
      <c r="C483" t="s">
        <v>19816</v>
      </c>
      <c r="D483" t="s">
        <v>23430</v>
      </c>
      <c r="E483">
        <v>156</v>
      </c>
      <c r="F483">
        <v>83</v>
      </c>
      <c r="G483">
        <v>232</v>
      </c>
      <c r="Q483" t="s">
        <v>12558</v>
      </c>
    </row>
    <row r="484" spans="2:18" x14ac:dyDescent="0.25">
      <c r="B484">
        <v>12898</v>
      </c>
      <c r="C484" t="s">
        <v>19818</v>
      </c>
      <c r="E484">
        <v>156</v>
      </c>
      <c r="F484">
        <v>83</v>
      </c>
      <c r="G484">
        <v>232</v>
      </c>
      <c r="P484" t="s">
        <v>2915</v>
      </c>
    </row>
    <row r="485" spans="2:18" x14ac:dyDescent="0.25">
      <c r="B485">
        <v>4296</v>
      </c>
      <c r="C485" t="s">
        <v>19818</v>
      </c>
      <c r="D485" t="s">
        <v>24355</v>
      </c>
      <c r="E485">
        <v>156</v>
      </c>
      <c r="F485">
        <v>83</v>
      </c>
      <c r="G485">
        <v>232</v>
      </c>
      <c r="Q485" t="s">
        <v>12556</v>
      </c>
    </row>
    <row r="486" spans="2:18" x14ac:dyDescent="0.25">
      <c r="B486">
        <v>4299</v>
      </c>
      <c r="C486" t="s">
        <v>19818</v>
      </c>
      <c r="D486" t="s">
        <v>23430</v>
      </c>
      <c r="E486">
        <v>156</v>
      </c>
      <c r="F486">
        <v>83</v>
      </c>
      <c r="G486">
        <v>232</v>
      </c>
      <c r="Q486" t="s">
        <v>12560</v>
      </c>
    </row>
    <row r="487" spans="2:18" x14ac:dyDescent="0.25">
      <c r="B487">
        <v>4277</v>
      </c>
      <c r="C487" t="s">
        <v>15639</v>
      </c>
      <c r="E487">
        <v>137</v>
      </c>
      <c r="F487">
        <v>91</v>
      </c>
      <c r="G487">
        <v>255</v>
      </c>
      <c r="O487" t="s">
        <v>1200</v>
      </c>
    </row>
    <row r="488" spans="2:18" x14ac:dyDescent="0.25">
      <c r="B488">
        <v>4278</v>
      </c>
      <c r="C488" t="s">
        <v>24901</v>
      </c>
      <c r="E488">
        <v>137</v>
      </c>
      <c r="F488">
        <v>91</v>
      </c>
      <c r="G488">
        <v>255</v>
      </c>
      <c r="P488" t="s">
        <v>902</v>
      </c>
    </row>
    <row r="489" spans="2:18" x14ac:dyDescent="0.25">
      <c r="B489">
        <v>12899</v>
      </c>
      <c r="C489" t="s">
        <v>24902</v>
      </c>
      <c r="E489">
        <v>137</v>
      </c>
      <c r="F489">
        <v>91</v>
      </c>
      <c r="G489">
        <v>255</v>
      </c>
      <c r="Q489" t="s">
        <v>573</v>
      </c>
    </row>
    <row r="490" spans="2:18" x14ac:dyDescent="0.25">
      <c r="B490">
        <v>4282</v>
      </c>
      <c r="C490" t="s">
        <v>24902</v>
      </c>
      <c r="D490" t="s">
        <v>24355</v>
      </c>
      <c r="E490">
        <v>137</v>
      </c>
      <c r="F490">
        <v>91</v>
      </c>
      <c r="G490">
        <v>255</v>
      </c>
      <c r="R490" t="s">
        <v>12542</v>
      </c>
    </row>
    <row r="491" spans="2:18" x14ac:dyDescent="0.25">
      <c r="B491">
        <v>4286</v>
      </c>
      <c r="C491" t="s">
        <v>24902</v>
      </c>
      <c r="D491" t="s">
        <v>23430</v>
      </c>
      <c r="E491">
        <v>137</v>
      </c>
      <c r="F491">
        <v>91</v>
      </c>
      <c r="G491">
        <v>255</v>
      </c>
      <c r="R491" t="s">
        <v>12548</v>
      </c>
    </row>
    <row r="492" spans="2:18" x14ac:dyDescent="0.25">
      <c r="B492">
        <v>12900</v>
      </c>
      <c r="C492" t="s">
        <v>24903</v>
      </c>
      <c r="E492">
        <v>137</v>
      </c>
      <c r="F492">
        <v>91</v>
      </c>
      <c r="G492">
        <v>255</v>
      </c>
      <c r="Q492" t="s">
        <v>2156</v>
      </c>
    </row>
    <row r="493" spans="2:18" x14ac:dyDescent="0.25">
      <c r="B493">
        <v>4280</v>
      </c>
      <c r="C493" t="s">
        <v>24903</v>
      </c>
      <c r="D493" t="s">
        <v>24355</v>
      </c>
      <c r="E493">
        <v>137</v>
      </c>
      <c r="F493">
        <v>91</v>
      </c>
      <c r="G493">
        <v>255</v>
      </c>
      <c r="R493" t="s">
        <v>12538</v>
      </c>
    </row>
    <row r="494" spans="2:18" x14ac:dyDescent="0.25">
      <c r="B494">
        <v>4284</v>
      </c>
      <c r="C494" t="s">
        <v>24903</v>
      </c>
      <c r="D494" t="s">
        <v>23430</v>
      </c>
      <c r="E494">
        <v>137</v>
      </c>
      <c r="F494">
        <v>91</v>
      </c>
      <c r="G494">
        <v>255</v>
      </c>
      <c r="R494" t="s">
        <v>12544</v>
      </c>
    </row>
    <row r="495" spans="2:18" x14ac:dyDescent="0.25">
      <c r="B495">
        <v>12901</v>
      </c>
      <c r="C495" t="s">
        <v>24904</v>
      </c>
      <c r="E495">
        <v>137</v>
      </c>
      <c r="F495">
        <v>91</v>
      </c>
      <c r="G495">
        <v>255</v>
      </c>
      <c r="Q495" t="s">
        <v>11643</v>
      </c>
    </row>
    <row r="496" spans="2:18" x14ac:dyDescent="0.25">
      <c r="B496">
        <v>4281</v>
      </c>
      <c r="C496" t="s">
        <v>24904</v>
      </c>
      <c r="D496" t="s">
        <v>24355</v>
      </c>
      <c r="E496">
        <v>137</v>
      </c>
      <c r="F496">
        <v>91</v>
      </c>
      <c r="G496">
        <v>255</v>
      </c>
      <c r="R496" t="s">
        <v>12540</v>
      </c>
    </row>
    <row r="497" spans="2:18" x14ac:dyDescent="0.25">
      <c r="B497">
        <v>4285</v>
      </c>
      <c r="C497" t="s">
        <v>24904</v>
      </c>
      <c r="D497" t="s">
        <v>23430</v>
      </c>
      <c r="E497">
        <v>137</v>
      </c>
      <c r="F497">
        <v>91</v>
      </c>
      <c r="G497">
        <v>255</v>
      </c>
      <c r="R497" t="s">
        <v>12546</v>
      </c>
    </row>
    <row r="498" spans="2:18" x14ac:dyDescent="0.25">
      <c r="B498">
        <v>4290</v>
      </c>
      <c r="C498" t="s">
        <v>24905</v>
      </c>
      <c r="E498">
        <v>137</v>
      </c>
      <c r="F498">
        <v>91</v>
      </c>
      <c r="G498">
        <v>255</v>
      </c>
      <c r="P498" t="s">
        <v>3239</v>
      </c>
    </row>
    <row r="499" spans="2:18" x14ac:dyDescent="0.25">
      <c r="B499">
        <v>4291</v>
      </c>
      <c r="C499" t="s">
        <v>24905</v>
      </c>
      <c r="D499" t="s">
        <v>24355</v>
      </c>
      <c r="E499">
        <v>137</v>
      </c>
      <c r="F499">
        <v>91</v>
      </c>
      <c r="G499">
        <v>255</v>
      </c>
      <c r="Q499" t="s">
        <v>12550</v>
      </c>
    </row>
    <row r="500" spans="2:18" x14ac:dyDescent="0.25">
      <c r="B500">
        <v>4292</v>
      </c>
      <c r="C500" t="s">
        <v>24905</v>
      </c>
      <c r="D500" t="s">
        <v>23430</v>
      </c>
      <c r="E500">
        <v>137</v>
      </c>
      <c r="F500">
        <v>91</v>
      </c>
      <c r="G500">
        <v>255</v>
      </c>
      <c r="Q500" t="s">
        <v>12552</v>
      </c>
    </row>
    <row r="501" spans="2:18" x14ac:dyDescent="0.25">
      <c r="B501">
        <v>4287</v>
      </c>
      <c r="C501" t="s">
        <v>23250</v>
      </c>
      <c r="E501">
        <v>137</v>
      </c>
      <c r="F501">
        <v>91</v>
      </c>
      <c r="G501">
        <v>255</v>
      </c>
      <c r="P501" t="s">
        <v>4204</v>
      </c>
    </row>
    <row r="502" spans="2:18" x14ac:dyDescent="0.25">
      <c r="B502">
        <v>4288</v>
      </c>
      <c r="C502" t="s">
        <v>23250</v>
      </c>
      <c r="D502" t="s">
        <v>24355</v>
      </c>
      <c r="E502">
        <v>137</v>
      </c>
      <c r="F502">
        <v>91</v>
      </c>
      <c r="G502">
        <v>255</v>
      </c>
      <c r="Q502" t="s">
        <v>2768</v>
      </c>
    </row>
    <row r="503" spans="2:18" x14ac:dyDescent="0.25">
      <c r="B503">
        <v>4289</v>
      </c>
      <c r="C503" t="s">
        <v>23250</v>
      </c>
      <c r="D503" t="s">
        <v>23430</v>
      </c>
      <c r="E503">
        <v>137</v>
      </c>
      <c r="F503">
        <v>91</v>
      </c>
      <c r="G503">
        <v>255</v>
      </c>
      <c r="Q503" t="s">
        <v>4858</v>
      </c>
    </row>
    <row r="504" spans="2:18" x14ac:dyDescent="0.25">
      <c r="B504">
        <v>4321</v>
      </c>
      <c r="C504" t="s">
        <v>15774</v>
      </c>
      <c r="E504">
        <v>192</v>
      </c>
      <c r="F504">
        <v>167</v>
      </c>
      <c r="G504">
        <v>255</v>
      </c>
      <c r="N504" t="s">
        <v>1268</v>
      </c>
    </row>
    <row r="505" spans="2:18" x14ac:dyDescent="0.25">
      <c r="B505">
        <v>4322</v>
      </c>
      <c r="C505" t="s">
        <v>15774</v>
      </c>
      <c r="D505" t="s">
        <v>24355</v>
      </c>
      <c r="E505">
        <v>192</v>
      </c>
      <c r="F505">
        <v>167</v>
      </c>
      <c r="G505">
        <v>255</v>
      </c>
      <c r="O505" t="s">
        <v>12590</v>
      </c>
    </row>
    <row r="506" spans="2:18" x14ac:dyDescent="0.25">
      <c r="B506">
        <v>4323</v>
      </c>
      <c r="C506" t="s">
        <v>15774</v>
      </c>
      <c r="D506" t="s">
        <v>23430</v>
      </c>
      <c r="E506">
        <v>192</v>
      </c>
      <c r="F506">
        <v>167</v>
      </c>
      <c r="G506">
        <v>255</v>
      </c>
      <c r="O506" t="s">
        <v>12592</v>
      </c>
    </row>
    <row r="507" spans="2:18" x14ac:dyDescent="0.25">
      <c r="B507">
        <v>4391</v>
      </c>
      <c r="C507" t="s">
        <v>24906</v>
      </c>
      <c r="E507">
        <v>148</v>
      </c>
      <c r="F507">
        <v>246</v>
      </c>
      <c r="G507">
        <v>110</v>
      </c>
      <c r="L507" t="s">
        <v>1488</v>
      </c>
    </row>
    <row r="508" spans="2:18" x14ac:dyDescent="0.25">
      <c r="B508">
        <v>4520</v>
      </c>
      <c r="C508" t="s">
        <v>24907</v>
      </c>
      <c r="E508">
        <v>122</v>
      </c>
      <c r="F508">
        <v>232</v>
      </c>
      <c r="G508">
        <v>114</v>
      </c>
      <c r="M508" t="s">
        <v>1776</v>
      </c>
    </row>
    <row r="509" spans="2:18" x14ac:dyDescent="0.25">
      <c r="B509">
        <v>4521</v>
      </c>
      <c r="C509" t="s">
        <v>16368</v>
      </c>
      <c r="E509">
        <v>133</v>
      </c>
      <c r="F509">
        <v>232</v>
      </c>
      <c r="G509">
        <v>114</v>
      </c>
      <c r="N509" t="s">
        <v>2144</v>
      </c>
    </row>
    <row r="510" spans="2:18" x14ac:dyDescent="0.25">
      <c r="B510">
        <v>4522</v>
      </c>
      <c r="C510" t="s">
        <v>16368</v>
      </c>
      <c r="D510" t="s">
        <v>24355</v>
      </c>
      <c r="E510">
        <v>133</v>
      </c>
      <c r="F510">
        <v>232</v>
      </c>
      <c r="G510">
        <v>114</v>
      </c>
      <c r="O510" t="s">
        <v>2135</v>
      </c>
    </row>
    <row r="511" spans="2:18" x14ac:dyDescent="0.25">
      <c r="B511">
        <v>4524</v>
      </c>
      <c r="C511" t="s">
        <v>24908</v>
      </c>
      <c r="D511" t="s">
        <v>24355</v>
      </c>
      <c r="E511">
        <v>133</v>
      </c>
      <c r="F511">
        <v>232</v>
      </c>
      <c r="G511">
        <v>114</v>
      </c>
      <c r="P511" t="s">
        <v>2601</v>
      </c>
    </row>
    <row r="512" spans="2:18" x14ac:dyDescent="0.25">
      <c r="B512">
        <v>4525</v>
      </c>
      <c r="C512" t="s">
        <v>24909</v>
      </c>
      <c r="D512" t="s">
        <v>24355</v>
      </c>
      <c r="E512">
        <v>133</v>
      </c>
      <c r="F512">
        <v>232</v>
      </c>
      <c r="G512">
        <v>114</v>
      </c>
      <c r="Q512" t="s">
        <v>24910</v>
      </c>
    </row>
    <row r="513" spans="2:17" x14ac:dyDescent="0.25">
      <c r="B513">
        <v>4526</v>
      </c>
      <c r="C513" t="s">
        <v>24911</v>
      </c>
      <c r="D513" t="s">
        <v>24355</v>
      </c>
      <c r="E513">
        <v>133</v>
      </c>
      <c r="F513">
        <v>232</v>
      </c>
      <c r="G513">
        <v>114</v>
      </c>
      <c r="Q513" t="s">
        <v>24912</v>
      </c>
    </row>
    <row r="514" spans="2:17" x14ac:dyDescent="0.25">
      <c r="B514">
        <v>4523</v>
      </c>
      <c r="C514" t="s">
        <v>24913</v>
      </c>
      <c r="D514" t="s">
        <v>24355</v>
      </c>
      <c r="E514">
        <v>133</v>
      </c>
      <c r="F514">
        <v>232</v>
      </c>
      <c r="G514">
        <v>114</v>
      </c>
      <c r="P514" t="s">
        <v>2921</v>
      </c>
    </row>
    <row r="515" spans="2:17" x14ac:dyDescent="0.25">
      <c r="B515">
        <v>4527</v>
      </c>
      <c r="C515" t="s">
        <v>16368</v>
      </c>
      <c r="D515" t="s">
        <v>23430</v>
      </c>
      <c r="E515">
        <v>133</v>
      </c>
      <c r="F515">
        <v>232</v>
      </c>
      <c r="G515">
        <v>114</v>
      </c>
      <c r="O515" t="s">
        <v>24914</v>
      </c>
    </row>
    <row r="516" spans="2:17" x14ac:dyDescent="0.25">
      <c r="B516">
        <v>4529</v>
      </c>
      <c r="C516" t="s">
        <v>24908</v>
      </c>
      <c r="D516" t="s">
        <v>23430</v>
      </c>
      <c r="E516">
        <v>133</v>
      </c>
      <c r="F516">
        <v>232</v>
      </c>
      <c r="G516">
        <v>114</v>
      </c>
      <c r="P516" t="s">
        <v>24915</v>
      </c>
    </row>
    <row r="517" spans="2:17" x14ac:dyDescent="0.25">
      <c r="B517">
        <v>4530</v>
      </c>
      <c r="C517" t="s">
        <v>24909</v>
      </c>
      <c r="D517" t="s">
        <v>23430</v>
      </c>
      <c r="E517">
        <v>133</v>
      </c>
      <c r="F517">
        <v>232</v>
      </c>
      <c r="G517">
        <v>114</v>
      </c>
      <c r="Q517" t="s">
        <v>24916</v>
      </c>
    </row>
    <row r="518" spans="2:17" x14ac:dyDescent="0.25">
      <c r="B518">
        <v>4531</v>
      </c>
      <c r="C518" t="s">
        <v>24911</v>
      </c>
      <c r="D518" t="s">
        <v>23430</v>
      </c>
      <c r="E518">
        <v>133</v>
      </c>
      <c r="F518">
        <v>232</v>
      </c>
      <c r="G518">
        <v>114</v>
      </c>
      <c r="Q518" t="s">
        <v>24917</v>
      </c>
    </row>
    <row r="519" spans="2:17" x14ac:dyDescent="0.25">
      <c r="B519">
        <v>4528</v>
      </c>
      <c r="C519" t="s">
        <v>24913</v>
      </c>
      <c r="D519" t="s">
        <v>23430</v>
      </c>
      <c r="E519">
        <v>133</v>
      </c>
      <c r="F519">
        <v>232</v>
      </c>
      <c r="G519">
        <v>114</v>
      </c>
      <c r="P519" t="s">
        <v>24918</v>
      </c>
    </row>
    <row r="520" spans="2:17" x14ac:dyDescent="0.25">
      <c r="B520">
        <v>4533</v>
      </c>
      <c r="C520" t="s">
        <v>24919</v>
      </c>
      <c r="E520">
        <v>122</v>
      </c>
      <c r="F520">
        <v>232</v>
      </c>
      <c r="G520">
        <v>114</v>
      </c>
      <c r="N520" t="s">
        <v>3640</v>
      </c>
    </row>
    <row r="521" spans="2:17" x14ac:dyDescent="0.25">
      <c r="B521">
        <v>4534</v>
      </c>
      <c r="C521" t="s">
        <v>24919</v>
      </c>
      <c r="D521" t="s">
        <v>24355</v>
      </c>
      <c r="E521">
        <v>122</v>
      </c>
      <c r="F521">
        <v>232</v>
      </c>
      <c r="G521">
        <v>114</v>
      </c>
      <c r="O521" t="s">
        <v>24920</v>
      </c>
    </row>
    <row r="522" spans="2:17" x14ac:dyDescent="0.25">
      <c r="B522">
        <v>4535</v>
      </c>
      <c r="C522" t="s">
        <v>24921</v>
      </c>
      <c r="D522" t="s">
        <v>24355</v>
      </c>
      <c r="E522">
        <v>122</v>
      </c>
      <c r="F522">
        <v>232</v>
      </c>
      <c r="G522">
        <v>114</v>
      </c>
      <c r="P522" t="s">
        <v>24922</v>
      </c>
    </row>
    <row r="523" spans="2:17" x14ac:dyDescent="0.25">
      <c r="B523">
        <v>4536</v>
      </c>
      <c r="C523" t="s">
        <v>24923</v>
      </c>
      <c r="D523" t="s">
        <v>24355</v>
      </c>
      <c r="E523">
        <v>122</v>
      </c>
      <c r="F523">
        <v>232</v>
      </c>
      <c r="G523">
        <v>114</v>
      </c>
      <c r="P523" t="s">
        <v>3970</v>
      </c>
    </row>
    <row r="524" spans="2:17" x14ac:dyDescent="0.25">
      <c r="B524">
        <v>4537</v>
      </c>
      <c r="C524" t="s">
        <v>24919</v>
      </c>
      <c r="D524" t="s">
        <v>23430</v>
      </c>
      <c r="E524">
        <v>122</v>
      </c>
      <c r="F524">
        <v>232</v>
      </c>
      <c r="G524">
        <v>114</v>
      </c>
      <c r="O524" t="s">
        <v>24924</v>
      </c>
    </row>
    <row r="525" spans="2:17" x14ac:dyDescent="0.25">
      <c r="B525">
        <v>4538</v>
      </c>
      <c r="C525" t="s">
        <v>24921</v>
      </c>
      <c r="D525" t="s">
        <v>23430</v>
      </c>
      <c r="E525">
        <v>122</v>
      </c>
      <c r="F525">
        <v>232</v>
      </c>
      <c r="G525">
        <v>114</v>
      </c>
      <c r="P525" t="s">
        <v>24925</v>
      </c>
    </row>
    <row r="526" spans="2:17" x14ac:dyDescent="0.25">
      <c r="B526">
        <v>4539</v>
      </c>
      <c r="C526" t="s">
        <v>24923</v>
      </c>
      <c r="D526" t="s">
        <v>23430</v>
      </c>
      <c r="E526">
        <v>122</v>
      </c>
      <c r="F526">
        <v>232</v>
      </c>
      <c r="G526">
        <v>114</v>
      </c>
      <c r="P526" t="s">
        <v>24926</v>
      </c>
    </row>
    <row r="527" spans="2:17" x14ac:dyDescent="0.25">
      <c r="B527">
        <v>4532</v>
      </c>
      <c r="C527" t="s">
        <v>19994</v>
      </c>
      <c r="E527">
        <v>114</v>
      </c>
      <c r="F527">
        <v>232</v>
      </c>
      <c r="G527">
        <v>117</v>
      </c>
      <c r="N527" t="s">
        <v>3827</v>
      </c>
    </row>
    <row r="528" spans="2:17" x14ac:dyDescent="0.25">
      <c r="B528">
        <v>4540</v>
      </c>
      <c r="C528" t="s">
        <v>24927</v>
      </c>
      <c r="E528">
        <v>127</v>
      </c>
      <c r="F528">
        <v>255</v>
      </c>
      <c r="G528">
        <v>144</v>
      </c>
      <c r="M528" t="s">
        <v>2338</v>
      </c>
    </row>
    <row r="529" spans="2:17" x14ac:dyDescent="0.25">
      <c r="B529">
        <v>4570</v>
      </c>
      <c r="C529" t="s">
        <v>24928</v>
      </c>
      <c r="E529">
        <v>127</v>
      </c>
      <c r="F529">
        <v>255</v>
      </c>
      <c r="G529">
        <v>132</v>
      </c>
      <c r="N529" t="s">
        <v>344</v>
      </c>
    </row>
    <row r="530" spans="2:17" x14ac:dyDescent="0.25">
      <c r="B530">
        <v>12902</v>
      </c>
      <c r="C530" t="s">
        <v>20037</v>
      </c>
      <c r="E530">
        <v>127</v>
      </c>
      <c r="F530">
        <v>255</v>
      </c>
      <c r="G530">
        <v>132</v>
      </c>
      <c r="O530" t="s">
        <v>341</v>
      </c>
    </row>
    <row r="531" spans="2:17" x14ac:dyDescent="0.25">
      <c r="B531">
        <v>4598</v>
      </c>
      <c r="C531" t="s">
        <v>20037</v>
      </c>
      <c r="D531" t="s">
        <v>24355</v>
      </c>
      <c r="E531">
        <v>127</v>
      </c>
      <c r="F531">
        <v>255</v>
      </c>
      <c r="G531">
        <v>132</v>
      </c>
      <c r="P531" t="s">
        <v>24929</v>
      </c>
    </row>
    <row r="532" spans="2:17" x14ac:dyDescent="0.25">
      <c r="B532">
        <v>4599</v>
      </c>
      <c r="C532" t="s">
        <v>24930</v>
      </c>
      <c r="D532" t="s">
        <v>24355</v>
      </c>
      <c r="E532">
        <v>127</v>
      </c>
      <c r="F532">
        <v>255</v>
      </c>
      <c r="G532">
        <v>132</v>
      </c>
      <c r="Q532" t="s">
        <v>24931</v>
      </c>
    </row>
    <row r="533" spans="2:17" x14ac:dyDescent="0.25">
      <c r="B533">
        <v>4600</v>
      </c>
      <c r="C533" t="s">
        <v>24932</v>
      </c>
      <c r="D533" t="s">
        <v>24355</v>
      </c>
      <c r="E533">
        <v>127</v>
      </c>
      <c r="F533">
        <v>255</v>
      </c>
      <c r="G533">
        <v>132</v>
      </c>
      <c r="Q533" t="s">
        <v>338</v>
      </c>
    </row>
    <row r="534" spans="2:17" x14ac:dyDescent="0.25">
      <c r="B534">
        <v>4629</v>
      </c>
      <c r="C534" t="s">
        <v>20037</v>
      </c>
      <c r="D534" t="s">
        <v>23430</v>
      </c>
      <c r="E534">
        <v>127</v>
      </c>
      <c r="F534">
        <v>255</v>
      </c>
      <c r="G534">
        <v>132</v>
      </c>
      <c r="P534" t="s">
        <v>24933</v>
      </c>
    </row>
    <row r="535" spans="2:17" x14ac:dyDescent="0.25">
      <c r="B535">
        <v>4630</v>
      </c>
      <c r="C535" t="s">
        <v>24930</v>
      </c>
      <c r="D535" t="s">
        <v>23430</v>
      </c>
      <c r="E535">
        <v>127</v>
      </c>
      <c r="F535">
        <v>255</v>
      </c>
      <c r="G535">
        <v>132</v>
      </c>
      <c r="Q535" t="s">
        <v>24934</v>
      </c>
    </row>
    <row r="536" spans="2:17" x14ac:dyDescent="0.25">
      <c r="B536">
        <v>4631</v>
      </c>
      <c r="C536" t="s">
        <v>24932</v>
      </c>
      <c r="D536" t="s">
        <v>23430</v>
      </c>
      <c r="E536">
        <v>127</v>
      </c>
      <c r="F536">
        <v>255</v>
      </c>
      <c r="G536">
        <v>132</v>
      </c>
      <c r="Q536" t="s">
        <v>24935</v>
      </c>
    </row>
    <row r="537" spans="2:17" x14ac:dyDescent="0.25">
      <c r="B537">
        <v>12903</v>
      </c>
      <c r="C537" t="s">
        <v>20074</v>
      </c>
      <c r="E537">
        <v>127</v>
      </c>
      <c r="F537">
        <v>255</v>
      </c>
      <c r="G537">
        <v>132</v>
      </c>
      <c r="O537" t="s">
        <v>363</v>
      </c>
    </row>
    <row r="538" spans="2:17" x14ac:dyDescent="0.25">
      <c r="B538">
        <v>4601</v>
      </c>
      <c r="C538" t="s">
        <v>20074</v>
      </c>
      <c r="D538" t="s">
        <v>24355</v>
      </c>
      <c r="E538">
        <v>127</v>
      </c>
      <c r="F538">
        <v>255</v>
      </c>
      <c r="G538">
        <v>132</v>
      </c>
      <c r="P538" t="s">
        <v>24936</v>
      </c>
    </row>
    <row r="539" spans="2:17" x14ac:dyDescent="0.25">
      <c r="B539">
        <v>4632</v>
      </c>
      <c r="C539" t="s">
        <v>20074</v>
      </c>
      <c r="D539" t="s">
        <v>23430</v>
      </c>
      <c r="E539">
        <v>127</v>
      </c>
      <c r="F539">
        <v>255</v>
      </c>
      <c r="G539">
        <v>132</v>
      </c>
      <c r="P539" t="s">
        <v>24937</v>
      </c>
    </row>
    <row r="540" spans="2:17" x14ac:dyDescent="0.25">
      <c r="B540">
        <v>12904</v>
      </c>
      <c r="C540" t="s">
        <v>20139</v>
      </c>
      <c r="E540">
        <v>127</v>
      </c>
      <c r="F540">
        <v>255</v>
      </c>
      <c r="G540">
        <v>132</v>
      </c>
      <c r="O540" t="s">
        <v>24938</v>
      </c>
    </row>
    <row r="541" spans="2:17" x14ac:dyDescent="0.25">
      <c r="B541">
        <v>4596</v>
      </c>
      <c r="C541" t="s">
        <v>20139</v>
      </c>
      <c r="D541" t="s">
        <v>24355</v>
      </c>
      <c r="E541">
        <v>127</v>
      </c>
      <c r="F541">
        <v>255</v>
      </c>
      <c r="G541">
        <v>132</v>
      </c>
      <c r="P541" t="s">
        <v>24939</v>
      </c>
    </row>
    <row r="542" spans="2:17" x14ac:dyDescent="0.25">
      <c r="B542">
        <v>4627</v>
      </c>
      <c r="C542" t="s">
        <v>20139</v>
      </c>
      <c r="D542" t="s">
        <v>23430</v>
      </c>
      <c r="E542">
        <v>127</v>
      </c>
      <c r="F542">
        <v>255</v>
      </c>
      <c r="G542">
        <v>132</v>
      </c>
      <c r="P542" t="s">
        <v>24940</v>
      </c>
    </row>
    <row r="543" spans="2:17" x14ac:dyDescent="0.25">
      <c r="B543">
        <v>12905</v>
      </c>
      <c r="C543" t="s">
        <v>20005</v>
      </c>
      <c r="E543">
        <v>127</v>
      </c>
      <c r="F543">
        <v>255</v>
      </c>
      <c r="G543">
        <v>132</v>
      </c>
      <c r="O543" t="s">
        <v>3635</v>
      </c>
    </row>
    <row r="544" spans="2:17" x14ac:dyDescent="0.25">
      <c r="B544">
        <v>4573</v>
      </c>
      <c r="C544" t="s">
        <v>20005</v>
      </c>
      <c r="D544" t="s">
        <v>24355</v>
      </c>
      <c r="E544">
        <v>127</v>
      </c>
      <c r="F544">
        <v>255</v>
      </c>
      <c r="G544">
        <v>132</v>
      </c>
      <c r="P544" t="s">
        <v>24941</v>
      </c>
    </row>
    <row r="545" spans="2:19" x14ac:dyDescent="0.25">
      <c r="B545">
        <v>4574</v>
      </c>
      <c r="C545" t="s">
        <v>23485</v>
      </c>
      <c r="D545" t="s">
        <v>24355</v>
      </c>
      <c r="E545">
        <v>127</v>
      </c>
      <c r="F545">
        <v>255</v>
      </c>
      <c r="G545">
        <v>132</v>
      </c>
      <c r="Q545" t="s">
        <v>14740</v>
      </c>
    </row>
    <row r="546" spans="2:19" x14ac:dyDescent="0.25">
      <c r="B546">
        <v>4575</v>
      </c>
      <c r="C546" t="s">
        <v>20119</v>
      </c>
      <c r="D546" t="s">
        <v>24355</v>
      </c>
      <c r="E546">
        <v>127</v>
      </c>
      <c r="F546">
        <v>255</v>
      </c>
      <c r="G546">
        <v>132</v>
      </c>
      <c r="Q546" t="s">
        <v>3645</v>
      </c>
    </row>
    <row r="547" spans="2:19" x14ac:dyDescent="0.25">
      <c r="B547">
        <v>4577</v>
      </c>
      <c r="C547" t="s">
        <v>20121</v>
      </c>
      <c r="D547" t="s">
        <v>24355</v>
      </c>
      <c r="E547">
        <v>127</v>
      </c>
      <c r="F547">
        <v>255</v>
      </c>
      <c r="G547">
        <v>132</v>
      </c>
      <c r="R547" t="s">
        <v>3650</v>
      </c>
    </row>
    <row r="548" spans="2:19" x14ac:dyDescent="0.25">
      <c r="B548">
        <v>4579</v>
      </c>
      <c r="C548" t="s">
        <v>20123</v>
      </c>
      <c r="D548" t="s">
        <v>24355</v>
      </c>
      <c r="E548">
        <v>127</v>
      </c>
      <c r="F548">
        <v>255</v>
      </c>
      <c r="G548">
        <v>132</v>
      </c>
      <c r="R548" t="s">
        <v>3655</v>
      </c>
    </row>
    <row r="549" spans="2:19" x14ac:dyDescent="0.25">
      <c r="B549">
        <v>4578</v>
      </c>
      <c r="C549" t="s">
        <v>20125</v>
      </c>
      <c r="D549" t="s">
        <v>24355</v>
      </c>
      <c r="E549">
        <v>127</v>
      </c>
      <c r="F549">
        <v>255</v>
      </c>
      <c r="G549">
        <v>132</v>
      </c>
      <c r="R549" t="s">
        <v>3660</v>
      </c>
    </row>
    <row r="550" spans="2:19" x14ac:dyDescent="0.25">
      <c r="B550">
        <v>4576</v>
      </c>
      <c r="C550" t="s">
        <v>20127</v>
      </c>
      <c r="D550" t="s">
        <v>24355</v>
      </c>
      <c r="E550">
        <v>127</v>
      </c>
      <c r="F550">
        <v>255</v>
      </c>
      <c r="G550">
        <v>132</v>
      </c>
      <c r="R550" t="s">
        <v>3665</v>
      </c>
    </row>
    <row r="551" spans="2:19" x14ac:dyDescent="0.25">
      <c r="B551">
        <v>4580</v>
      </c>
      <c r="C551" t="s">
        <v>20007</v>
      </c>
      <c r="D551" t="s">
        <v>24355</v>
      </c>
      <c r="E551">
        <v>127</v>
      </c>
      <c r="F551">
        <v>255</v>
      </c>
      <c r="G551">
        <v>132</v>
      </c>
      <c r="Q551" t="s">
        <v>3672</v>
      </c>
    </row>
    <row r="552" spans="2:19" x14ac:dyDescent="0.25">
      <c r="B552">
        <v>4581</v>
      </c>
      <c r="C552" t="s">
        <v>20009</v>
      </c>
      <c r="D552" t="s">
        <v>24355</v>
      </c>
      <c r="E552">
        <v>127</v>
      </c>
      <c r="F552">
        <v>255</v>
      </c>
      <c r="G552">
        <v>132</v>
      </c>
      <c r="R552" t="s">
        <v>3677</v>
      </c>
    </row>
    <row r="553" spans="2:19" x14ac:dyDescent="0.25">
      <c r="B553">
        <v>4582</v>
      </c>
      <c r="C553" t="s">
        <v>20011</v>
      </c>
      <c r="D553" t="s">
        <v>24355</v>
      </c>
      <c r="E553">
        <v>127</v>
      </c>
      <c r="F553">
        <v>255</v>
      </c>
      <c r="G553">
        <v>132</v>
      </c>
      <c r="R553" t="s">
        <v>3682</v>
      </c>
    </row>
    <row r="554" spans="2:19" x14ac:dyDescent="0.25">
      <c r="B554">
        <v>4583</v>
      </c>
      <c r="C554" t="s">
        <v>20013</v>
      </c>
      <c r="D554" t="s">
        <v>24355</v>
      </c>
      <c r="E554">
        <v>127</v>
      </c>
      <c r="F554">
        <v>255</v>
      </c>
      <c r="G554">
        <v>132</v>
      </c>
      <c r="R554" t="s">
        <v>3687</v>
      </c>
    </row>
    <row r="555" spans="2:19" x14ac:dyDescent="0.25">
      <c r="B555">
        <v>4585</v>
      </c>
      <c r="C555" t="s">
        <v>20015</v>
      </c>
      <c r="D555" t="s">
        <v>24355</v>
      </c>
      <c r="E555">
        <v>127</v>
      </c>
      <c r="F555">
        <v>255</v>
      </c>
      <c r="G555">
        <v>132</v>
      </c>
      <c r="S555" t="s">
        <v>3692</v>
      </c>
    </row>
    <row r="556" spans="2:19" x14ac:dyDescent="0.25">
      <c r="B556">
        <v>4584</v>
      </c>
      <c r="C556" t="s">
        <v>20017</v>
      </c>
      <c r="D556" t="s">
        <v>24355</v>
      </c>
      <c r="E556">
        <v>127</v>
      </c>
      <c r="F556">
        <v>255</v>
      </c>
      <c r="G556">
        <v>132</v>
      </c>
      <c r="S556" t="s">
        <v>3695</v>
      </c>
    </row>
    <row r="557" spans="2:19" x14ac:dyDescent="0.25">
      <c r="B557">
        <v>4586</v>
      </c>
      <c r="C557" t="s">
        <v>20019</v>
      </c>
      <c r="D557" t="s">
        <v>24355</v>
      </c>
      <c r="E557">
        <v>127</v>
      </c>
      <c r="F557">
        <v>255</v>
      </c>
      <c r="G557">
        <v>132</v>
      </c>
      <c r="Q557" t="s">
        <v>3700</v>
      </c>
    </row>
    <row r="558" spans="2:19" x14ac:dyDescent="0.25">
      <c r="B558">
        <v>4587</v>
      </c>
      <c r="C558" t="s">
        <v>20021</v>
      </c>
      <c r="D558" t="s">
        <v>24355</v>
      </c>
      <c r="E558">
        <v>127</v>
      </c>
      <c r="F558">
        <v>255</v>
      </c>
      <c r="G558">
        <v>132</v>
      </c>
      <c r="R558" t="s">
        <v>24942</v>
      </c>
    </row>
    <row r="559" spans="2:19" x14ac:dyDescent="0.25">
      <c r="B559">
        <v>4588</v>
      </c>
      <c r="C559" t="s">
        <v>20023</v>
      </c>
      <c r="D559" t="s">
        <v>24355</v>
      </c>
      <c r="E559">
        <v>127</v>
      </c>
      <c r="F559">
        <v>255</v>
      </c>
      <c r="G559">
        <v>132</v>
      </c>
      <c r="R559" t="s">
        <v>24943</v>
      </c>
    </row>
    <row r="560" spans="2:19" x14ac:dyDescent="0.25">
      <c r="B560">
        <v>4589</v>
      </c>
      <c r="C560" t="s">
        <v>20025</v>
      </c>
      <c r="D560" t="s">
        <v>24355</v>
      </c>
      <c r="E560">
        <v>127</v>
      </c>
      <c r="F560">
        <v>255</v>
      </c>
      <c r="G560">
        <v>132</v>
      </c>
      <c r="R560" t="s">
        <v>24944</v>
      </c>
    </row>
    <row r="561" spans="2:19" x14ac:dyDescent="0.25">
      <c r="B561">
        <v>4604</v>
      </c>
      <c r="C561" t="s">
        <v>20005</v>
      </c>
      <c r="D561" t="s">
        <v>23430</v>
      </c>
      <c r="E561">
        <v>127</v>
      </c>
      <c r="F561">
        <v>255</v>
      </c>
      <c r="G561">
        <v>132</v>
      </c>
      <c r="P561" t="s">
        <v>24945</v>
      </c>
    </row>
    <row r="562" spans="2:19" x14ac:dyDescent="0.25">
      <c r="B562">
        <v>4605</v>
      </c>
      <c r="C562" t="s">
        <v>23485</v>
      </c>
      <c r="D562" t="s">
        <v>23430</v>
      </c>
      <c r="E562">
        <v>127</v>
      </c>
      <c r="F562">
        <v>255</v>
      </c>
      <c r="G562">
        <v>132</v>
      </c>
      <c r="Q562" t="s">
        <v>24946</v>
      </c>
    </row>
    <row r="563" spans="2:19" x14ac:dyDescent="0.25">
      <c r="B563">
        <v>4606</v>
      </c>
      <c r="C563" t="s">
        <v>20119</v>
      </c>
      <c r="D563" t="s">
        <v>23430</v>
      </c>
      <c r="E563">
        <v>127</v>
      </c>
      <c r="F563">
        <v>255</v>
      </c>
      <c r="G563">
        <v>132</v>
      </c>
      <c r="Q563" t="s">
        <v>24947</v>
      </c>
    </row>
    <row r="564" spans="2:19" x14ac:dyDescent="0.25">
      <c r="B564">
        <v>4608</v>
      </c>
      <c r="C564" t="s">
        <v>20121</v>
      </c>
      <c r="D564" t="s">
        <v>23430</v>
      </c>
      <c r="E564">
        <v>127</v>
      </c>
      <c r="F564">
        <v>255</v>
      </c>
      <c r="G564">
        <v>132</v>
      </c>
      <c r="R564" t="s">
        <v>24948</v>
      </c>
    </row>
    <row r="565" spans="2:19" x14ac:dyDescent="0.25">
      <c r="B565">
        <v>4610</v>
      </c>
      <c r="C565" t="s">
        <v>20123</v>
      </c>
      <c r="D565" t="s">
        <v>23430</v>
      </c>
      <c r="E565">
        <v>127</v>
      </c>
      <c r="F565">
        <v>255</v>
      </c>
      <c r="G565">
        <v>132</v>
      </c>
      <c r="R565" t="s">
        <v>24949</v>
      </c>
    </row>
    <row r="566" spans="2:19" x14ac:dyDescent="0.25">
      <c r="B566">
        <v>4609</v>
      </c>
      <c r="C566" t="s">
        <v>20125</v>
      </c>
      <c r="D566" t="s">
        <v>23430</v>
      </c>
      <c r="E566">
        <v>127</v>
      </c>
      <c r="F566">
        <v>255</v>
      </c>
      <c r="G566">
        <v>132</v>
      </c>
      <c r="R566" t="s">
        <v>24950</v>
      </c>
    </row>
    <row r="567" spans="2:19" x14ac:dyDescent="0.25">
      <c r="B567">
        <v>4607</v>
      </c>
      <c r="C567" t="s">
        <v>20127</v>
      </c>
      <c r="D567" t="s">
        <v>23430</v>
      </c>
      <c r="E567">
        <v>127</v>
      </c>
      <c r="F567">
        <v>255</v>
      </c>
      <c r="G567">
        <v>132</v>
      </c>
      <c r="R567" t="s">
        <v>24951</v>
      </c>
    </row>
    <row r="568" spans="2:19" x14ac:dyDescent="0.25">
      <c r="B568">
        <v>4611</v>
      </c>
      <c r="C568" t="s">
        <v>20007</v>
      </c>
      <c r="D568" t="s">
        <v>23430</v>
      </c>
      <c r="E568">
        <v>127</v>
      </c>
      <c r="F568">
        <v>255</v>
      </c>
      <c r="G568">
        <v>132</v>
      </c>
      <c r="Q568" t="s">
        <v>24952</v>
      </c>
    </row>
    <row r="569" spans="2:19" x14ac:dyDescent="0.25">
      <c r="B569">
        <v>4612</v>
      </c>
      <c r="C569" t="s">
        <v>20009</v>
      </c>
      <c r="D569" t="s">
        <v>23430</v>
      </c>
      <c r="E569">
        <v>127</v>
      </c>
      <c r="F569">
        <v>255</v>
      </c>
      <c r="G569">
        <v>132</v>
      </c>
      <c r="R569" t="s">
        <v>24953</v>
      </c>
    </row>
    <row r="570" spans="2:19" x14ac:dyDescent="0.25">
      <c r="B570">
        <v>4613</v>
      </c>
      <c r="C570" t="s">
        <v>20011</v>
      </c>
      <c r="D570" t="s">
        <v>23430</v>
      </c>
      <c r="E570">
        <v>127</v>
      </c>
      <c r="F570">
        <v>255</v>
      </c>
      <c r="G570">
        <v>132</v>
      </c>
      <c r="R570" t="s">
        <v>24954</v>
      </c>
    </row>
    <row r="571" spans="2:19" x14ac:dyDescent="0.25">
      <c r="B571">
        <v>4614</v>
      </c>
      <c r="C571" t="s">
        <v>20013</v>
      </c>
      <c r="D571" t="s">
        <v>23430</v>
      </c>
      <c r="E571">
        <v>127</v>
      </c>
      <c r="F571">
        <v>255</v>
      </c>
      <c r="G571">
        <v>132</v>
      </c>
      <c r="R571" t="s">
        <v>24955</v>
      </c>
    </row>
    <row r="572" spans="2:19" x14ac:dyDescent="0.25">
      <c r="B572">
        <v>4616</v>
      </c>
      <c r="C572" t="s">
        <v>20015</v>
      </c>
      <c r="D572" t="s">
        <v>23430</v>
      </c>
      <c r="E572">
        <v>127</v>
      </c>
      <c r="F572">
        <v>255</v>
      </c>
      <c r="G572">
        <v>132</v>
      </c>
      <c r="S572" t="s">
        <v>24956</v>
      </c>
    </row>
    <row r="573" spans="2:19" x14ac:dyDescent="0.25">
      <c r="B573">
        <v>4615</v>
      </c>
      <c r="C573" t="s">
        <v>20017</v>
      </c>
      <c r="D573" t="s">
        <v>23430</v>
      </c>
      <c r="E573">
        <v>127</v>
      </c>
      <c r="F573">
        <v>255</v>
      </c>
      <c r="G573">
        <v>132</v>
      </c>
      <c r="S573" t="s">
        <v>24957</v>
      </c>
    </row>
    <row r="574" spans="2:19" x14ac:dyDescent="0.25">
      <c r="B574">
        <v>4617</v>
      </c>
      <c r="C574" t="s">
        <v>20019</v>
      </c>
      <c r="D574" t="s">
        <v>23430</v>
      </c>
      <c r="E574">
        <v>127</v>
      </c>
      <c r="F574">
        <v>255</v>
      </c>
      <c r="G574">
        <v>132</v>
      </c>
      <c r="Q574" t="s">
        <v>24958</v>
      </c>
    </row>
    <row r="575" spans="2:19" x14ac:dyDescent="0.25">
      <c r="B575">
        <v>4618</v>
      </c>
      <c r="C575" t="s">
        <v>20021</v>
      </c>
      <c r="D575" t="s">
        <v>23430</v>
      </c>
      <c r="E575">
        <v>127</v>
      </c>
      <c r="F575">
        <v>255</v>
      </c>
      <c r="G575">
        <v>132</v>
      </c>
      <c r="R575" t="s">
        <v>24959</v>
      </c>
    </row>
    <row r="576" spans="2:19" x14ac:dyDescent="0.25">
      <c r="B576">
        <v>4619</v>
      </c>
      <c r="C576" t="s">
        <v>20023</v>
      </c>
      <c r="D576" t="s">
        <v>23430</v>
      </c>
      <c r="E576">
        <v>127</v>
      </c>
      <c r="F576">
        <v>255</v>
      </c>
      <c r="G576">
        <v>132</v>
      </c>
      <c r="R576" t="s">
        <v>24960</v>
      </c>
    </row>
    <row r="577" spans="2:18" x14ac:dyDescent="0.25">
      <c r="B577">
        <v>4620</v>
      </c>
      <c r="C577" t="s">
        <v>20025</v>
      </c>
      <c r="D577" t="s">
        <v>23430</v>
      </c>
      <c r="E577">
        <v>127</v>
      </c>
      <c r="F577">
        <v>255</v>
      </c>
      <c r="G577">
        <v>132</v>
      </c>
      <c r="R577" t="s">
        <v>24961</v>
      </c>
    </row>
    <row r="578" spans="2:18" x14ac:dyDescent="0.25">
      <c r="B578">
        <v>12906</v>
      </c>
      <c r="C578" t="s">
        <v>20027</v>
      </c>
      <c r="E578">
        <v>127</v>
      </c>
      <c r="F578">
        <v>255</v>
      </c>
      <c r="G578">
        <v>132</v>
      </c>
      <c r="O578" t="s">
        <v>400</v>
      </c>
    </row>
    <row r="579" spans="2:18" x14ac:dyDescent="0.25">
      <c r="B579">
        <v>4572</v>
      </c>
      <c r="C579" t="s">
        <v>20027</v>
      </c>
      <c r="D579" t="s">
        <v>24355</v>
      </c>
      <c r="E579">
        <v>127</v>
      </c>
      <c r="F579">
        <v>255</v>
      </c>
      <c r="G579">
        <v>132</v>
      </c>
      <c r="P579" t="s">
        <v>24962</v>
      </c>
    </row>
    <row r="580" spans="2:18" x14ac:dyDescent="0.25">
      <c r="B580">
        <v>4603</v>
      </c>
      <c r="C580" t="s">
        <v>20027</v>
      </c>
      <c r="D580" t="s">
        <v>23430</v>
      </c>
      <c r="E580">
        <v>127</v>
      </c>
      <c r="F580">
        <v>255</v>
      </c>
      <c r="G580">
        <v>132</v>
      </c>
      <c r="P580" t="s">
        <v>24963</v>
      </c>
    </row>
    <row r="581" spans="2:18" x14ac:dyDescent="0.25">
      <c r="B581">
        <v>12907</v>
      </c>
      <c r="C581" t="s">
        <v>15324</v>
      </c>
      <c r="E581">
        <v>127</v>
      </c>
      <c r="F581">
        <v>255</v>
      </c>
      <c r="G581">
        <v>132</v>
      </c>
      <c r="O581" t="s">
        <v>652</v>
      </c>
    </row>
    <row r="582" spans="2:18" x14ac:dyDescent="0.25">
      <c r="B582">
        <v>4593</v>
      </c>
      <c r="C582" t="s">
        <v>15324</v>
      </c>
      <c r="D582" t="s">
        <v>24355</v>
      </c>
      <c r="E582">
        <v>127</v>
      </c>
      <c r="F582">
        <v>255</v>
      </c>
      <c r="G582">
        <v>132</v>
      </c>
      <c r="P582" t="s">
        <v>24964</v>
      </c>
    </row>
    <row r="583" spans="2:18" x14ac:dyDescent="0.25">
      <c r="B583">
        <v>4594</v>
      </c>
      <c r="C583" t="s">
        <v>24965</v>
      </c>
      <c r="D583" t="s">
        <v>24355</v>
      </c>
      <c r="E583">
        <v>127</v>
      </c>
      <c r="F583">
        <v>255</v>
      </c>
      <c r="G583">
        <v>132</v>
      </c>
      <c r="Q583" t="s">
        <v>1633</v>
      </c>
    </row>
    <row r="584" spans="2:18" x14ac:dyDescent="0.25">
      <c r="B584">
        <v>4595</v>
      </c>
      <c r="C584" t="s">
        <v>24966</v>
      </c>
      <c r="D584" t="s">
        <v>24355</v>
      </c>
      <c r="E584">
        <v>127</v>
      </c>
      <c r="F584">
        <v>255</v>
      </c>
      <c r="G584">
        <v>132</v>
      </c>
      <c r="Q584" t="s">
        <v>24967</v>
      </c>
    </row>
    <row r="585" spans="2:18" x14ac:dyDescent="0.25">
      <c r="B585">
        <v>4624</v>
      </c>
      <c r="C585" t="s">
        <v>15324</v>
      </c>
      <c r="D585" t="s">
        <v>23430</v>
      </c>
      <c r="E585">
        <v>127</v>
      </c>
      <c r="F585">
        <v>255</v>
      </c>
      <c r="G585">
        <v>132</v>
      </c>
      <c r="P585" t="s">
        <v>24968</v>
      </c>
    </row>
    <row r="586" spans="2:18" x14ac:dyDescent="0.25">
      <c r="B586">
        <v>4625</v>
      </c>
      <c r="C586" t="s">
        <v>24965</v>
      </c>
      <c r="D586" t="s">
        <v>23430</v>
      </c>
      <c r="E586">
        <v>127</v>
      </c>
      <c r="F586">
        <v>255</v>
      </c>
      <c r="G586">
        <v>132</v>
      </c>
      <c r="Q586" t="s">
        <v>24969</v>
      </c>
    </row>
    <row r="587" spans="2:18" x14ac:dyDescent="0.25">
      <c r="B587">
        <v>4626</v>
      </c>
      <c r="C587" t="s">
        <v>24966</v>
      </c>
      <c r="D587" t="s">
        <v>23430</v>
      </c>
      <c r="E587">
        <v>127</v>
      </c>
      <c r="F587">
        <v>255</v>
      </c>
      <c r="G587">
        <v>132</v>
      </c>
      <c r="Q587" t="s">
        <v>24970</v>
      </c>
    </row>
    <row r="588" spans="2:18" x14ac:dyDescent="0.25">
      <c r="B588">
        <v>12908</v>
      </c>
      <c r="C588" t="s">
        <v>23470</v>
      </c>
      <c r="E588">
        <v>127</v>
      </c>
      <c r="F588">
        <v>255</v>
      </c>
      <c r="G588">
        <v>132</v>
      </c>
      <c r="O588" t="s">
        <v>654</v>
      </c>
    </row>
    <row r="589" spans="2:18" x14ac:dyDescent="0.25">
      <c r="B589">
        <v>4590</v>
      </c>
      <c r="C589" t="s">
        <v>23470</v>
      </c>
      <c r="D589" t="s">
        <v>24355</v>
      </c>
      <c r="E589">
        <v>127</v>
      </c>
      <c r="F589">
        <v>255</v>
      </c>
      <c r="G589">
        <v>132</v>
      </c>
      <c r="P589" t="s">
        <v>24971</v>
      </c>
    </row>
    <row r="590" spans="2:18" x14ac:dyDescent="0.25">
      <c r="B590">
        <v>4591</v>
      </c>
      <c r="C590" t="s">
        <v>23471</v>
      </c>
      <c r="D590" t="s">
        <v>24355</v>
      </c>
      <c r="E590">
        <v>127</v>
      </c>
      <c r="F590">
        <v>255</v>
      </c>
      <c r="G590">
        <v>132</v>
      </c>
      <c r="Q590" t="s">
        <v>14858</v>
      </c>
    </row>
    <row r="591" spans="2:18" x14ac:dyDescent="0.25">
      <c r="B591">
        <v>4592</v>
      </c>
      <c r="C591" t="s">
        <v>24972</v>
      </c>
      <c r="D591" t="s">
        <v>24355</v>
      </c>
      <c r="E591">
        <v>127</v>
      </c>
      <c r="F591">
        <v>255</v>
      </c>
      <c r="G591">
        <v>132</v>
      </c>
      <c r="Q591" t="s">
        <v>14861</v>
      </c>
    </row>
    <row r="592" spans="2:18" x14ac:dyDescent="0.25">
      <c r="B592">
        <v>4621</v>
      </c>
      <c r="C592" t="s">
        <v>23470</v>
      </c>
      <c r="D592" t="s">
        <v>23430</v>
      </c>
      <c r="E592">
        <v>127</v>
      </c>
      <c r="F592">
        <v>255</v>
      </c>
      <c r="G592">
        <v>132</v>
      </c>
      <c r="P592" t="s">
        <v>24973</v>
      </c>
    </row>
    <row r="593" spans="2:18" x14ac:dyDescent="0.25">
      <c r="B593">
        <v>4622</v>
      </c>
      <c r="C593" t="s">
        <v>23471</v>
      </c>
      <c r="D593" t="s">
        <v>23430</v>
      </c>
      <c r="E593">
        <v>127</v>
      </c>
      <c r="F593">
        <v>255</v>
      </c>
      <c r="G593">
        <v>132</v>
      </c>
      <c r="Q593" t="s">
        <v>24974</v>
      </c>
    </row>
    <row r="594" spans="2:18" x14ac:dyDescent="0.25">
      <c r="B594">
        <v>4623</v>
      </c>
      <c r="C594" t="s">
        <v>24972</v>
      </c>
      <c r="D594" t="s">
        <v>23430</v>
      </c>
      <c r="E594">
        <v>127</v>
      </c>
      <c r="F594">
        <v>255</v>
      </c>
      <c r="G594">
        <v>132</v>
      </c>
      <c r="Q594" t="s">
        <v>24975</v>
      </c>
    </row>
    <row r="595" spans="2:18" x14ac:dyDescent="0.25">
      <c r="B595">
        <v>4665</v>
      </c>
      <c r="C595" t="s">
        <v>24976</v>
      </c>
      <c r="E595">
        <v>127</v>
      </c>
      <c r="F595">
        <v>255</v>
      </c>
      <c r="G595">
        <v>137</v>
      </c>
      <c r="N595" t="s">
        <v>3937</v>
      </c>
    </row>
    <row r="596" spans="2:18" x14ac:dyDescent="0.25">
      <c r="B596">
        <v>13004</v>
      </c>
      <c r="C596" t="s">
        <v>24977</v>
      </c>
      <c r="E596">
        <v>127</v>
      </c>
      <c r="F596">
        <v>255</v>
      </c>
      <c r="G596">
        <v>137</v>
      </c>
      <c r="O596" t="s">
        <v>24978</v>
      </c>
    </row>
    <row r="597" spans="2:18" x14ac:dyDescent="0.25">
      <c r="B597">
        <v>13005</v>
      </c>
      <c r="C597" t="s">
        <v>24977</v>
      </c>
      <c r="D597" t="s">
        <v>24355</v>
      </c>
      <c r="E597">
        <v>127</v>
      </c>
      <c r="F597">
        <v>255</v>
      </c>
      <c r="G597">
        <v>137</v>
      </c>
      <c r="P597" t="s">
        <v>24979</v>
      </c>
    </row>
    <row r="598" spans="2:18" x14ac:dyDescent="0.25">
      <c r="B598">
        <v>4597</v>
      </c>
      <c r="C598" t="s">
        <v>23510</v>
      </c>
      <c r="D598" t="s">
        <v>24355</v>
      </c>
      <c r="E598">
        <v>127</v>
      </c>
      <c r="F598">
        <v>255</v>
      </c>
      <c r="G598">
        <v>137</v>
      </c>
      <c r="Q598" t="s">
        <v>24980</v>
      </c>
    </row>
    <row r="599" spans="2:18" x14ac:dyDescent="0.25">
      <c r="B599">
        <v>13006</v>
      </c>
      <c r="C599" t="s">
        <v>24977</v>
      </c>
      <c r="D599" t="s">
        <v>23430</v>
      </c>
      <c r="E599">
        <v>127</v>
      </c>
      <c r="F599">
        <v>255</v>
      </c>
      <c r="G599">
        <v>137</v>
      </c>
      <c r="P599" t="s">
        <v>24981</v>
      </c>
    </row>
    <row r="600" spans="2:18" x14ac:dyDescent="0.25">
      <c r="B600">
        <v>4628</v>
      </c>
      <c r="C600" t="s">
        <v>23510</v>
      </c>
      <c r="D600" t="s">
        <v>23430</v>
      </c>
      <c r="E600">
        <v>127</v>
      </c>
      <c r="F600">
        <v>255</v>
      </c>
      <c r="G600">
        <v>137</v>
      </c>
      <c r="Q600" t="s">
        <v>24982</v>
      </c>
    </row>
    <row r="601" spans="2:18" x14ac:dyDescent="0.25">
      <c r="B601">
        <v>12909</v>
      </c>
      <c r="C601" t="s">
        <v>20161</v>
      </c>
      <c r="E601">
        <v>127</v>
      </c>
      <c r="F601">
        <v>255</v>
      </c>
      <c r="G601">
        <v>137</v>
      </c>
      <c r="O601" t="s">
        <v>2854</v>
      </c>
    </row>
    <row r="602" spans="2:18" x14ac:dyDescent="0.25">
      <c r="B602">
        <v>4671</v>
      </c>
      <c r="C602" t="s">
        <v>20161</v>
      </c>
      <c r="D602" t="s">
        <v>24355</v>
      </c>
      <c r="E602">
        <v>127</v>
      </c>
      <c r="F602">
        <v>255</v>
      </c>
      <c r="G602">
        <v>137</v>
      </c>
      <c r="P602" t="s">
        <v>24983</v>
      </c>
    </row>
    <row r="603" spans="2:18" x14ac:dyDescent="0.25">
      <c r="B603">
        <v>4675</v>
      </c>
      <c r="C603" t="s">
        <v>15511</v>
      </c>
      <c r="D603" t="s">
        <v>24355</v>
      </c>
      <c r="E603">
        <v>127</v>
      </c>
      <c r="F603">
        <v>255</v>
      </c>
      <c r="G603">
        <v>137</v>
      </c>
      <c r="Q603" t="s">
        <v>2619</v>
      </c>
    </row>
    <row r="604" spans="2:18" x14ac:dyDescent="0.25">
      <c r="B604">
        <v>4672</v>
      </c>
      <c r="C604" t="s">
        <v>15504</v>
      </c>
      <c r="D604" t="s">
        <v>24355</v>
      </c>
      <c r="E604">
        <v>127</v>
      </c>
      <c r="F604">
        <v>255</v>
      </c>
      <c r="G604">
        <v>137</v>
      </c>
      <c r="Q604" t="s">
        <v>2943</v>
      </c>
    </row>
    <row r="605" spans="2:18" x14ac:dyDescent="0.25">
      <c r="B605">
        <v>4673</v>
      </c>
      <c r="C605" t="s">
        <v>15506</v>
      </c>
      <c r="D605" t="s">
        <v>24355</v>
      </c>
      <c r="E605">
        <v>127</v>
      </c>
      <c r="F605">
        <v>255</v>
      </c>
      <c r="G605">
        <v>137</v>
      </c>
      <c r="R605" t="s">
        <v>2677</v>
      </c>
    </row>
    <row r="606" spans="2:18" x14ac:dyDescent="0.25">
      <c r="B606">
        <v>4674</v>
      </c>
      <c r="C606" t="s">
        <v>15505</v>
      </c>
      <c r="D606" t="s">
        <v>24355</v>
      </c>
      <c r="E606">
        <v>127</v>
      </c>
      <c r="F606">
        <v>255</v>
      </c>
      <c r="G606">
        <v>137</v>
      </c>
      <c r="R606" t="s">
        <v>24984</v>
      </c>
    </row>
    <row r="607" spans="2:18" x14ac:dyDescent="0.25">
      <c r="B607">
        <v>265504804</v>
      </c>
      <c r="C607" t="s">
        <v>23522</v>
      </c>
      <c r="D607" t="s">
        <v>24355</v>
      </c>
      <c r="E607">
        <v>127</v>
      </c>
      <c r="F607">
        <v>255</v>
      </c>
      <c r="G607">
        <v>137</v>
      </c>
      <c r="R607" t="s">
        <v>24985</v>
      </c>
    </row>
    <row r="608" spans="2:18" x14ac:dyDescent="0.25">
      <c r="B608">
        <v>4676</v>
      </c>
      <c r="C608" t="s">
        <v>24986</v>
      </c>
      <c r="D608" t="s">
        <v>24355</v>
      </c>
      <c r="E608">
        <v>127</v>
      </c>
      <c r="F608">
        <v>255</v>
      </c>
      <c r="G608">
        <v>137</v>
      </c>
      <c r="Q608" t="s">
        <v>4080</v>
      </c>
    </row>
    <row r="609" spans="2:18" x14ac:dyDescent="0.25">
      <c r="B609">
        <v>4677</v>
      </c>
      <c r="C609" t="s">
        <v>15486</v>
      </c>
      <c r="D609" t="s">
        <v>24355</v>
      </c>
      <c r="E609">
        <v>127</v>
      </c>
      <c r="F609">
        <v>255</v>
      </c>
      <c r="G609">
        <v>137</v>
      </c>
      <c r="R609" t="s">
        <v>1595</v>
      </c>
    </row>
    <row r="610" spans="2:18" x14ac:dyDescent="0.25">
      <c r="B610">
        <v>4678</v>
      </c>
      <c r="C610" t="s">
        <v>15444</v>
      </c>
      <c r="D610" t="s">
        <v>24355</v>
      </c>
      <c r="E610">
        <v>127</v>
      </c>
      <c r="F610">
        <v>255</v>
      </c>
      <c r="G610">
        <v>137</v>
      </c>
      <c r="R610" t="s">
        <v>15077</v>
      </c>
    </row>
    <row r="611" spans="2:18" x14ac:dyDescent="0.25">
      <c r="B611">
        <v>4685</v>
      </c>
      <c r="C611" t="s">
        <v>20161</v>
      </c>
      <c r="D611" t="s">
        <v>23430</v>
      </c>
      <c r="E611">
        <v>127</v>
      </c>
      <c r="F611">
        <v>255</v>
      </c>
      <c r="G611">
        <v>137</v>
      </c>
      <c r="P611" t="s">
        <v>24987</v>
      </c>
    </row>
    <row r="612" spans="2:18" x14ac:dyDescent="0.25">
      <c r="B612">
        <v>4689</v>
      </c>
      <c r="C612" t="s">
        <v>15511</v>
      </c>
      <c r="D612" t="s">
        <v>23430</v>
      </c>
      <c r="E612">
        <v>127</v>
      </c>
      <c r="F612">
        <v>255</v>
      </c>
      <c r="G612">
        <v>137</v>
      </c>
      <c r="Q612" t="s">
        <v>24988</v>
      </c>
    </row>
    <row r="613" spans="2:18" x14ac:dyDescent="0.25">
      <c r="B613">
        <v>4686</v>
      </c>
      <c r="C613" t="s">
        <v>15504</v>
      </c>
      <c r="D613" t="s">
        <v>23430</v>
      </c>
      <c r="E613">
        <v>127</v>
      </c>
      <c r="F613">
        <v>255</v>
      </c>
      <c r="G613">
        <v>137</v>
      </c>
      <c r="Q613" t="s">
        <v>24989</v>
      </c>
    </row>
    <row r="614" spans="2:18" x14ac:dyDescent="0.25">
      <c r="B614">
        <v>4687</v>
      </c>
      <c r="C614" t="s">
        <v>15506</v>
      </c>
      <c r="D614" t="s">
        <v>23430</v>
      </c>
      <c r="E614">
        <v>127</v>
      </c>
      <c r="F614">
        <v>255</v>
      </c>
      <c r="G614">
        <v>137</v>
      </c>
      <c r="R614" t="s">
        <v>24990</v>
      </c>
    </row>
    <row r="615" spans="2:18" x14ac:dyDescent="0.25">
      <c r="B615">
        <v>4688</v>
      </c>
      <c r="C615" t="s">
        <v>15505</v>
      </c>
      <c r="D615" t="s">
        <v>23430</v>
      </c>
      <c r="E615">
        <v>127</v>
      </c>
      <c r="F615">
        <v>255</v>
      </c>
      <c r="G615">
        <v>137</v>
      </c>
      <c r="R615" t="s">
        <v>24991</v>
      </c>
    </row>
    <row r="616" spans="2:18" x14ac:dyDescent="0.25">
      <c r="B616">
        <v>265504808</v>
      </c>
      <c r="C616" t="s">
        <v>23522</v>
      </c>
      <c r="D616" t="s">
        <v>23430</v>
      </c>
      <c r="E616">
        <v>127</v>
      </c>
      <c r="F616">
        <v>255</v>
      </c>
      <c r="G616">
        <v>137</v>
      </c>
      <c r="R616" t="s">
        <v>24992</v>
      </c>
    </row>
    <row r="617" spans="2:18" x14ac:dyDescent="0.25">
      <c r="B617">
        <v>4690</v>
      </c>
      <c r="C617" t="s">
        <v>24986</v>
      </c>
      <c r="D617" t="s">
        <v>23430</v>
      </c>
      <c r="E617">
        <v>127</v>
      </c>
      <c r="F617">
        <v>255</v>
      </c>
      <c r="G617">
        <v>137</v>
      </c>
      <c r="Q617" t="s">
        <v>24993</v>
      </c>
    </row>
    <row r="618" spans="2:18" x14ac:dyDescent="0.25">
      <c r="B618">
        <v>4691</v>
      </c>
      <c r="C618" t="s">
        <v>15486</v>
      </c>
      <c r="D618" t="s">
        <v>23430</v>
      </c>
      <c r="E618">
        <v>127</v>
      </c>
      <c r="F618">
        <v>255</v>
      </c>
      <c r="G618">
        <v>137</v>
      </c>
      <c r="R618" t="s">
        <v>24994</v>
      </c>
    </row>
    <row r="619" spans="2:18" x14ac:dyDescent="0.25">
      <c r="B619">
        <v>4692</v>
      </c>
      <c r="C619" t="s">
        <v>15444</v>
      </c>
      <c r="D619" t="s">
        <v>23430</v>
      </c>
      <c r="E619">
        <v>127</v>
      </c>
      <c r="F619">
        <v>255</v>
      </c>
      <c r="G619">
        <v>137</v>
      </c>
      <c r="R619" t="s">
        <v>24995</v>
      </c>
    </row>
    <row r="620" spans="2:18" x14ac:dyDescent="0.25">
      <c r="B620">
        <v>12910</v>
      </c>
      <c r="C620" t="s">
        <v>24996</v>
      </c>
      <c r="E620">
        <v>127</v>
      </c>
      <c r="F620">
        <v>255</v>
      </c>
      <c r="G620">
        <v>137</v>
      </c>
      <c r="O620" t="s">
        <v>3956</v>
      </c>
    </row>
    <row r="621" spans="2:18" x14ac:dyDescent="0.25">
      <c r="B621">
        <v>4679</v>
      </c>
      <c r="C621" t="s">
        <v>24996</v>
      </c>
      <c r="D621" t="s">
        <v>24355</v>
      </c>
      <c r="E621">
        <v>127</v>
      </c>
      <c r="F621">
        <v>255</v>
      </c>
      <c r="G621">
        <v>137</v>
      </c>
      <c r="P621" t="s">
        <v>24997</v>
      </c>
    </row>
    <row r="622" spans="2:18" x14ac:dyDescent="0.25">
      <c r="B622">
        <v>4693</v>
      </c>
      <c r="C622" t="s">
        <v>24996</v>
      </c>
      <c r="D622" t="s">
        <v>23430</v>
      </c>
      <c r="E622">
        <v>127</v>
      </c>
      <c r="F622">
        <v>255</v>
      </c>
      <c r="G622">
        <v>137</v>
      </c>
      <c r="P622" t="s">
        <v>24998</v>
      </c>
    </row>
    <row r="623" spans="2:18" x14ac:dyDescent="0.25">
      <c r="B623">
        <v>12911</v>
      </c>
      <c r="C623" t="s">
        <v>24999</v>
      </c>
      <c r="E623">
        <v>127</v>
      </c>
      <c r="F623">
        <v>255</v>
      </c>
      <c r="G623">
        <v>137</v>
      </c>
      <c r="O623" t="s">
        <v>796</v>
      </c>
    </row>
    <row r="624" spans="2:18" x14ac:dyDescent="0.25">
      <c r="B624">
        <v>4669</v>
      </c>
      <c r="C624" t="s">
        <v>24999</v>
      </c>
      <c r="D624" t="s">
        <v>24355</v>
      </c>
      <c r="E624">
        <v>127</v>
      </c>
      <c r="F624">
        <v>255</v>
      </c>
      <c r="G624">
        <v>137</v>
      </c>
      <c r="P624" t="s">
        <v>25000</v>
      </c>
    </row>
    <row r="625" spans="2:17" x14ac:dyDescent="0.25">
      <c r="B625">
        <v>4670</v>
      </c>
      <c r="C625" t="s">
        <v>25001</v>
      </c>
      <c r="D625" t="s">
        <v>24355</v>
      </c>
      <c r="E625">
        <v>127</v>
      </c>
      <c r="F625">
        <v>255</v>
      </c>
      <c r="G625">
        <v>137</v>
      </c>
      <c r="Q625" t="s">
        <v>25002</v>
      </c>
    </row>
    <row r="626" spans="2:17" x14ac:dyDescent="0.25">
      <c r="B626">
        <v>4683</v>
      </c>
      <c r="C626" t="s">
        <v>24999</v>
      </c>
      <c r="D626" t="s">
        <v>23430</v>
      </c>
      <c r="E626">
        <v>127</v>
      </c>
      <c r="F626">
        <v>255</v>
      </c>
      <c r="G626">
        <v>137</v>
      </c>
      <c r="P626" t="s">
        <v>25003</v>
      </c>
    </row>
    <row r="627" spans="2:17" x14ac:dyDescent="0.25">
      <c r="B627">
        <v>4684</v>
      </c>
      <c r="C627" t="s">
        <v>25001</v>
      </c>
      <c r="D627" t="s">
        <v>23430</v>
      </c>
      <c r="E627">
        <v>127</v>
      </c>
      <c r="F627">
        <v>255</v>
      </c>
      <c r="G627">
        <v>137</v>
      </c>
      <c r="Q627" t="s">
        <v>25004</v>
      </c>
    </row>
    <row r="628" spans="2:17" x14ac:dyDescent="0.25">
      <c r="B628">
        <v>12912</v>
      </c>
      <c r="C628" t="s">
        <v>20101</v>
      </c>
      <c r="E628">
        <v>127</v>
      </c>
      <c r="F628">
        <v>255</v>
      </c>
      <c r="G628">
        <v>137</v>
      </c>
      <c r="O628" t="s">
        <v>798</v>
      </c>
    </row>
    <row r="629" spans="2:17" x14ac:dyDescent="0.25">
      <c r="B629">
        <v>4667</v>
      </c>
      <c r="C629" t="s">
        <v>20101</v>
      </c>
      <c r="D629" t="s">
        <v>24355</v>
      </c>
      <c r="E629">
        <v>127</v>
      </c>
      <c r="F629">
        <v>255</v>
      </c>
      <c r="G629">
        <v>137</v>
      </c>
      <c r="P629" t="s">
        <v>25005</v>
      </c>
    </row>
    <row r="630" spans="2:17" x14ac:dyDescent="0.25">
      <c r="B630">
        <v>4668</v>
      </c>
      <c r="C630" t="s">
        <v>25006</v>
      </c>
      <c r="D630" t="s">
        <v>24355</v>
      </c>
      <c r="E630">
        <v>127</v>
      </c>
      <c r="F630">
        <v>255</v>
      </c>
      <c r="G630">
        <v>137</v>
      </c>
      <c r="Q630" t="s">
        <v>25007</v>
      </c>
    </row>
    <row r="631" spans="2:17" x14ac:dyDescent="0.25">
      <c r="B631">
        <v>4681</v>
      </c>
      <c r="C631" t="s">
        <v>20101</v>
      </c>
      <c r="D631" t="s">
        <v>23430</v>
      </c>
      <c r="E631">
        <v>127</v>
      </c>
      <c r="F631">
        <v>255</v>
      </c>
      <c r="G631">
        <v>137</v>
      </c>
      <c r="P631" t="s">
        <v>25008</v>
      </c>
    </row>
    <row r="632" spans="2:17" x14ac:dyDescent="0.25">
      <c r="B632">
        <v>4682</v>
      </c>
      <c r="C632" t="s">
        <v>25006</v>
      </c>
      <c r="D632" t="s">
        <v>23430</v>
      </c>
      <c r="E632">
        <v>127</v>
      </c>
      <c r="F632">
        <v>255</v>
      </c>
      <c r="G632">
        <v>137</v>
      </c>
      <c r="Q632" t="s">
        <v>25009</v>
      </c>
    </row>
    <row r="633" spans="2:17" x14ac:dyDescent="0.25">
      <c r="B633">
        <v>4541</v>
      </c>
      <c r="C633" t="s">
        <v>25010</v>
      </c>
      <c r="E633">
        <v>127</v>
      </c>
      <c r="F633">
        <v>255</v>
      </c>
      <c r="G633">
        <v>143</v>
      </c>
      <c r="N633" t="s">
        <v>4099</v>
      </c>
    </row>
    <row r="634" spans="2:17" x14ac:dyDescent="0.25">
      <c r="B634">
        <v>4542</v>
      </c>
      <c r="C634" t="s">
        <v>25010</v>
      </c>
      <c r="D634" t="s">
        <v>24355</v>
      </c>
      <c r="E634">
        <v>127</v>
      </c>
      <c r="F634">
        <v>255</v>
      </c>
      <c r="G634">
        <v>143</v>
      </c>
      <c r="O634" t="s">
        <v>25011</v>
      </c>
    </row>
    <row r="635" spans="2:17" x14ac:dyDescent="0.25">
      <c r="B635">
        <v>4553</v>
      </c>
      <c r="C635" t="s">
        <v>23455</v>
      </c>
      <c r="D635" t="s">
        <v>24355</v>
      </c>
      <c r="E635">
        <v>127</v>
      </c>
      <c r="F635">
        <v>255</v>
      </c>
      <c r="G635">
        <v>143</v>
      </c>
      <c r="P635" t="s">
        <v>25012</v>
      </c>
    </row>
    <row r="636" spans="2:17" x14ac:dyDescent="0.25">
      <c r="B636">
        <v>4554</v>
      </c>
      <c r="C636" t="s">
        <v>25013</v>
      </c>
      <c r="D636" t="s">
        <v>24355</v>
      </c>
      <c r="E636">
        <v>127</v>
      </c>
      <c r="F636">
        <v>255</v>
      </c>
      <c r="G636">
        <v>143</v>
      </c>
      <c r="Q636" t="s">
        <v>25014</v>
      </c>
    </row>
    <row r="637" spans="2:17" x14ac:dyDescent="0.25">
      <c r="B637">
        <v>4555</v>
      </c>
      <c r="C637" t="s">
        <v>23856</v>
      </c>
      <c r="D637" t="s">
        <v>24355</v>
      </c>
      <c r="E637">
        <v>127</v>
      </c>
      <c r="F637">
        <v>255</v>
      </c>
      <c r="G637">
        <v>143</v>
      </c>
      <c r="Q637" t="s">
        <v>25015</v>
      </c>
    </row>
    <row r="638" spans="2:17" x14ac:dyDescent="0.25">
      <c r="B638">
        <v>4552</v>
      </c>
      <c r="C638" t="s">
        <v>20141</v>
      </c>
      <c r="D638" t="s">
        <v>24355</v>
      </c>
      <c r="E638">
        <v>127</v>
      </c>
      <c r="F638">
        <v>255</v>
      </c>
      <c r="G638">
        <v>143</v>
      </c>
      <c r="P638" t="s">
        <v>2696</v>
      </c>
    </row>
    <row r="639" spans="2:17" x14ac:dyDescent="0.25">
      <c r="B639">
        <v>4543</v>
      </c>
      <c r="C639" t="s">
        <v>23453</v>
      </c>
      <c r="D639" t="s">
        <v>24355</v>
      </c>
      <c r="E639">
        <v>127</v>
      </c>
      <c r="F639">
        <v>255</v>
      </c>
      <c r="G639">
        <v>143</v>
      </c>
      <c r="P639" t="s">
        <v>3010</v>
      </c>
    </row>
    <row r="640" spans="2:17" x14ac:dyDescent="0.25">
      <c r="B640">
        <v>4544</v>
      </c>
      <c r="C640" t="s">
        <v>15268</v>
      </c>
      <c r="D640" t="s">
        <v>24355</v>
      </c>
      <c r="E640">
        <v>127</v>
      </c>
      <c r="F640">
        <v>255</v>
      </c>
      <c r="G640">
        <v>143</v>
      </c>
      <c r="Q640" t="s">
        <v>3005</v>
      </c>
    </row>
    <row r="641" spans="2:18" x14ac:dyDescent="0.25">
      <c r="B641">
        <v>4547</v>
      </c>
      <c r="C641" t="s">
        <v>15273</v>
      </c>
      <c r="D641" t="s">
        <v>24355</v>
      </c>
      <c r="E641">
        <v>127</v>
      </c>
      <c r="F641">
        <v>255</v>
      </c>
      <c r="G641">
        <v>143</v>
      </c>
      <c r="R641" t="s">
        <v>25016</v>
      </c>
    </row>
    <row r="642" spans="2:18" x14ac:dyDescent="0.25">
      <c r="B642">
        <v>4545</v>
      </c>
      <c r="C642" t="s">
        <v>15269</v>
      </c>
      <c r="D642" t="s">
        <v>24355</v>
      </c>
      <c r="E642">
        <v>127</v>
      </c>
      <c r="F642">
        <v>255</v>
      </c>
      <c r="G642">
        <v>143</v>
      </c>
      <c r="R642" t="s">
        <v>25017</v>
      </c>
    </row>
    <row r="643" spans="2:18" x14ac:dyDescent="0.25">
      <c r="B643">
        <v>4546</v>
      </c>
      <c r="C643" t="s">
        <v>15271</v>
      </c>
      <c r="D643" t="s">
        <v>24355</v>
      </c>
      <c r="E643">
        <v>127</v>
      </c>
      <c r="F643">
        <v>255</v>
      </c>
      <c r="G643">
        <v>143</v>
      </c>
      <c r="R643" t="s">
        <v>25018</v>
      </c>
    </row>
    <row r="644" spans="2:18" x14ac:dyDescent="0.25">
      <c r="B644">
        <v>4548</v>
      </c>
      <c r="C644" t="s">
        <v>23457</v>
      </c>
      <c r="D644" t="s">
        <v>24355</v>
      </c>
      <c r="E644">
        <v>127</v>
      </c>
      <c r="F644">
        <v>255</v>
      </c>
      <c r="G644">
        <v>143</v>
      </c>
      <c r="Q644" t="s">
        <v>2333</v>
      </c>
    </row>
    <row r="645" spans="2:18" x14ac:dyDescent="0.25">
      <c r="B645">
        <v>4549</v>
      </c>
      <c r="C645" t="s">
        <v>20063</v>
      </c>
      <c r="D645" t="s">
        <v>24355</v>
      </c>
      <c r="E645">
        <v>127</v>
      </c>
      <c r="F645">
        <v>255</v>
      </c>
      <c r="G645">
        <v>143</v>
      </c>
      <c r="P645" t="s">
        <v>2335</v>
      </c>
    </row>
    <row r="646" spans="2:18" x14ac:dyDescent="0.25">
      <c r="B646">
        <v>4550</v>
      </c>
      <c r="C646" t="s">
        <v>20041</v>
      </c>
      <c r="D646" t="s">
        <v>24355</v>
      </c>
      <c r="E646">
        <v>127</v>
      </c>
      <c r="F646">
        <v>255</v>
      </c>
      <c r="G646">
        <v>143</v>
      </c>
      <c r="Q646" t="s">
        <v>485</v>
      </c>
    </row>
    <row r="647" spans="2:18" x14ac:dyDescent="0.25">
      <c r="B647">
        <v>4551</v>
      </c>
      <c r="C647" t="s">
        <v>25019</v>
      </c>
      <c r="D647" t="s">
        <v>24355</v>
      </c>
      <c r="E647">
        <v>127</v>
      </c>
      <c r="F647">
        <v>255</v>
      </c>
      <c r="G647">
        <v>143</v>
      </c>
      <c r="Q647" t="s">
        <v>25020</v>
      </c>
    </row>
    <row r="648" spans="2:18" x14ac:dyDescent="0.25">
      <c r="B648">
        <v>4556</v>
      </c>
      <c r="C648" t="s">
        <v>25010</v>
      </c>
      <c r="D648" t="s">
        <v>23430</v>
      </c>
      <c r="E648">
        <v>127</v>
      </c>
      <c r="F648">
        <v>255</v>
      </c>
      <c r="G648">
        <v>143</v>
      </c>
      <c r="O648" t="s">
        <v>25021</v>
      </c>
    </row>
    <row r="649" spans="2:18" x14ac:dyDescent="0.25">
      <c r="B649">
        <v>4567</v>
      </c>
      <c r="C649" t="s">
        <v>23455</v>
      </c>
      <c r="D649" t="s">
        <v>23430</v>
      </c>
      <c r="E649">
        <v>127</v>
      </c>
      <c r="F649">
        <v>255</v>
      </c>
      <c r="G649">
        <v>143</v>
      </c>
      <c r="P649" t="s">
        <v>25022</v>
      </c>
    </row>
    <row r="650" spans="2:18" x14ac:dyDescent="0.25">
      <c r="B650">
        <v>4568</v>
      </c>
      <c r="C650" t="s">
        <v>25013</v>
      </c>
      <c r="D650" t="s">
        <v>23430</v>
      </c>
      <c r="E650">
        <v>127</v>
      </c>
      <c r="F650">
        <v>255</v>
      </c>
      <c r="G650">
        <v>143</v>
      </c>
      <c r="Q650" t="s">
        <v>25023</v>
      </c>
    </row>
    <row r="651" spans="2:18" x14ac:dyDescent="0.25">
      <c r="B651">
        <v>4569</v>
      </c>
      <c r="C651" t="s">
        <v>23856</v>
      </c>
      <c r="D651" t="s">
        <v>23430</v>
      </c>
      <c r="E651">
        <v>127</v>
      </c>
      <c r="F651">
        <v>255</v>
      </c>
      <c r="G651">
        <v>143</v>
      </c>
      <c r="Q651" t="s">
        <v>25024</v>
      </c>
    </row>
    <row r="652" spans="2:18" x14ac:dyDescent="0.25">
      <c r="B652">
        <v>4566</v>
      </c>
      <c r="C652" t="s">
        <v>20141</v>
      </c>
      <c r="D652" t="s">
        <v>23430</v>
      </c>
      <c r="E652">
        <v>127</v>
      </c>
      <c r="F652">
        <v>255</v>
      </c>
      <c r="G652">
        <v>143</v>
      </c>
      <c r="P652" t="s">
        <v>25025</v>
      </c>
    </row>
    <row r="653" spans="2:18" x14ac:dyDescent="0.25">
      <c r="B653">
        <v>4557</v>
      </c>
      <c r="C653" t="s">
        <v>23453</v>
      </c>
      <c r="D653" t="s">
        <v>23430</v>
      </c>
      <c r="E653">
        <v>127</v>
      </c>
      <c r="F653">
        <v>255</v>
      </c>
      <c r="G653">
        <v>143</v>
      </c>
      <c r="P653" t="s">
        <v>25026</v>
      </c>
    </row>
    <row r="654" spans="2:18" x14ac:dyDescent="0.25">
      <c r="B654">
        <v>4558</v>
      </c>
      <c r="C654" t="s">
        <v>15268</v>
      </c>
      <c r="D654" t="s">
        <v>23430</v>
      </c>
      <c r="E654">
        <v>127</v>
      </c>
      <c r="F654">
        <v>255</v>
      </c>
      <c r="G654">
        <v>143</v>
      </c>
      <c r="Q654" t="s">
        <v>25027</v>
      </c>
    </row>
    <row r="655" spans="2:18" x14ac:dyDescent="0.25">
      <c r="B655">
        <v>4561</v>
      </c>
      <c r="C655" t="s">
        <v>15273</v>
      </c>
      <c r="D655" t="s">
        <v>23430</v>
      </c>
      <c r="E655">
        <v>127</v>
      </c>
      <c r="F655">
        <v>255</v>
      </c>
      <c r="G655">
        <v>143</v>
      </c>
      <c r="R655" t="s">
        <v>25028</v>
      </c>
    </row>
    <row r="656" spans="2:18" x14ac:dyDescent="0.25">
      <c r="B656">
        <v>4559</v>
      </c>
      <c r="C656" t="s">
        <v>15269</v>
      </c>
      <c r="D656" t="s">
        <v>23430</v>
      </c>
      <c r="E656">
        <v>127</v>
      </c>
      <c r="F656">
        <v>255</v>
      </c>
      <c r="G656">
        <v>143</v>
      </c>
      <c r="R656" t="s">
        <v>25029</v>
      </c>
    </row>
    <row r="657" spans="2:18" x14ac:dyDescent="0.25">
      <c r="B657">
        <v>4560</v>
      </c>
      <c r="C657" t="s">
        <v>15271</v>
      </c>
      <c r="D657" t="s">
        <v>23430</v>
      </c>
      <c r="E657">
        <v>127</v>
      </c>
      <c r="F657">
        <v>255</v>
      </c>
      <c r="G657">
        <v>143</v>
      </c>
      <c r="R657" t="s">
        <v>25030</v>
      </c>
    </row>
    <row r="658" spans="2:18" x14ac:dyDescent="0.25">
      <c r="B658">
        <v>4562</v>
      </c>
      <c r="C658" t="s">
        <v>23457</v>
      </c>
      <c r="D658" t="s">
        <v>23430</v>
      </c>
      <c r="E658">
        <v>127</v>
      </c>
      <c r="F658">
        <v>255</v>
      </c>
      <c r="G658">
        <v>143</v>
      </c>
      <c r="Q658" t="s">
        <v>25031</v>
      </c>
    </row>
    <row r="659" spans="2:18" x14ac:dyDescent="0.25">
      <c r="B659">
        <v>4563</v>
      </c>
      <c r="C659" t="s">
        <v>20063</v>
      </c>
      <c r="D659" t="s">
        <v>23430</v>
      </c>
      <c r="E659">
        <v>127</v>
      </c>
      <c r="F659">
        <v>255</v>
      </c>
      <c r="G659">
        <v>143</v>
      </c>
      <c r="P659" t="s">
        <v>25032</v>
      </c>
    </row>
    <row r="660" spans="2:18" x14ac:dyDescent="0.25">
      <c r="B660">
        <v>4564</v>
      </c>
      <c r="C660" t="s">
        <v>20041</v>
      </c>
      <c r="D660" t="s">
        <v>23430</v>
      </c>
      <c r="E660">
        <v>127</v>
      </c>
      <c r="F660">
        <v>255</v>
      </c>
      <c r="G660">
        <v>143</v>
      </c>
      <c r="Q660" t="s">
        <v>25033</v>
      </c>
    </row>
    <row r="661" spans="2:18" x14ac:dyDescent="0.25">
      <c r="B661">
        <v>4565</v>
      </c>
      <c r="C661" t="s">
        <v>25019</v>
      </c>
      <c r="D661" t="s">
        <v>23430</v>
      </c>
      <c r="E661">
        <v>127</v>
      </c>
      <c r="F661">
        <v>255</v>
      </c>
      <c r="G661">
        <v>143</v>
      </c>
      <c r="Q661" t="s">
        <v>25034</v>
      </c>
    </row>
    <row r="662" spans="2:18" x14ac:dyDescent="0.25">
      <c r="B662">
        <v>4633</v>
      </c>
      <c r="C662" t="s">
        <v>25035</v>
      </c>
      <c r="E662">
        <v>127</v>
      </c>
      <c r="F662">
        <v>255</v>
      </c>
      <c r="G662">
        <v>151</v>
      </c>
      <c r="N662" t="s">
        <v>14992</v>
      </c>
    </row>
    <row r="663" spans="2:18" x14ac:dyDescent="0.25">
      <c r="B663">
        <v>4634</v>
      </c>
      <c r="C663" t="s">
        <v>23530</v>
      </c>
      <c r="E663">
        <v>127</v>
      </c>
      <c r="F663">
        <v>255</v>
      </c>
      <c r="G663">
        <v>151</v>
      </c>
      <c r="O663" t="s">
        <v>3844</v>
      </c>
    </row>
    <row r="664" spans="2:18" x14ac:dyDescent="0.25">
      <c r="B664">
        <v>12913</v>
      </c>
      <c r="C664" t="s">
        <v>20031</v>
      </c>
      <c r="E664">
        <v>127</v>
      </c>
      <c r="F664">
        <v>255</v>
      </c>
      <c r="G664">
        <v>151</v>
      </c>
      <c r="O664" t="s">
        <v>501</v>
      </c>
    </row>
    <row r="665" spans="2:18" x14ac:dyDescent="0.25">
      <c r="B665">
        <v>4644</v>
      </c>
      <c r="C665" t="s">
        <v>20031</v>
      </c>
      <c r="D665" t="s">
        <v>24355</v>
      </c>
      <c r="E665">
        <v>127</v>
      </c>
      <c r="F665">
        <v>255</v>
      </c>
      <c r="G665">
        <v>151</v>
      </c>
      <c r="P665" t="s">
        <v>25036</v>
      </c>
    </row>
    <row r="666" spans="2:18" x14ac:dyDescent="0.25">
      <c r="B666">
        <v>4645</v>
      </c>
      <c r="C666" t="s">
        <v>25037</v>
      </c>
      <c r="D666" t="s">
        <v>24355</v>
      </c>
      <c r="E666">
        <v>127</v>
      </c>
      <c r="F666">
        <v>255</v>
      </c>
      <c r="G666">
        <v>151</v>
      </c>
      <c r="Q666" t="s">
        <v>25038</v>
      </c>
    </row>
    <row r="667" spans="2:18" x14ac:dyDescent="0.25">
      <c r="B667">
        <v>4646</v>
      </c>
      <c r="C667" t="s">
        <v>25039</v>
      </c>
      <c r="D667" t="s">
        <v>24355</v>
      </c>
      <c r="E667">
        <v>127</v>
      </c>
      <c r="F667">
        <v>255</v>
      </c>
      <c r="G667">
        <v>151</v>
      </c>
      <c r="Q667" t="s">
        <v>25040</v>
      </c>
    </row>
    <row r="668" spans="2:18" x14ac:dyDescent="0.25">
      <c r="B668">
        <v>4647</v>
      </c>
      <c r="C668" t="s">
        <v>25041</v>
      </c>
      <c r="D668" t="s">
        <v>24355</v>
      </c>
      <c r="E668">
        <v>127</v>
      </c>
      <c r="F668">
        <v>255</v>
      </c>
      <c r="G668">
        <v>151</v>
      </c>
      <c r="Q668" t="s">
        <v>25042</v>
      </c>
    </row>
    <row r="669" spans="2:18" x14ac:dyDescent="0.25">
      <c r="B669">
        <v>4659</v>
      </c>
      <c r="C669" t="s">
        <v>20031</v>
      </c>
      <c r="D669" t="s">
        <v>23430</v>
      </c>
      <c r="E669">
        <v>127</v>
      </c>
      <c r="F669">
        <v>255</v>
      </c>
      <c r="G669">
        <v>151</v>
      </c>
      <c r="P669" t="s">
        <v>25043</v>
      </c>
    </row>
    <row r="670" spans="2:18" x14ac:dyDescent="0.25">
      <c r="B670">
        <v>4660</v>
      </c>
      <c r="C670" t="s">
        <v>25037</v>
      </c>
      <c r="D670" t="s">
        <v>23430</v>
      </c>
      <c r="E670">
        <v>127</v>
      </c>
      <c r="F670">
        <v>255</v>
      </c>
      <c r="G670">
        <v>151</v>
      </c>
      <c r="Q670" t="s">
        <v>25044</v>
      </c>
    </row>
    <row r="671" spans="2:18" x14ac:dyDescent="0.25">
      <c r="B671">
        <v>4661</v>
      </c>
      <c r="C671" t="s">
        <v>25039</v>
      </c>
      <c r="D671" t="s">
        <v>23430</v>
      </c>
      <c r="E671">
        <v>127</v>
      </c>
      <c r="F671">
        <v>255</v>
      </c>
      <c r="G671">
        <v>151</v>
      </c>
      <c r="Q671" t="s">
        <v>25045</v>
      </c>
    </row>
    <row r="672" spans="2:18" x14ac:dyDescent="0.25">
      <c r="B672">
        <v>4662</v>
      </c>
      <c r="C672" t="s">
        <v>25041</v>
      </c>
      <c r="D672" t="s">
        <v>23430</v>
      </c>
      <c r="E672">
        <v>127</v>
      </c>
      <c r="F672">
        <v>255</v>
      </c>
      <c r="G672">
        <v>151</v>
      </c>
      <c r="Q672" t="s">
        <v>25046</v>
      </c>
    </row>
    <row r="673" spans="2:17" x14ac:dyDescent="0.25">
      <c r="B673">
        <v>12914</v>
      </c>
      <c r="C673" t="s">
        <v>20043</v>
      </c>
      <c r="E673">
        <v>127</v>
      </c>
      <c r="F673">
        <v>255</v>
      </c>
      <c r="G673">
        <v>151</v>
      </c>
      <c r="O673" t="s">
        <v>1654</v>
      </c>
    </row>
    <row r="674" spans="2:17" x14ac:dyDescent="0.25">
      <c r="B674">
        <v>4641</v>
      </c>
      <c r="C674" t="s">
        <v>20043</v>
      </c>
      <c r="D674" t="s">
        <v>24355</v>
      </c>
      <c r="E674">
        <v>127</v>
      </c>
      <c r="F674">
        <v>255</v>
      </c>
      <c r="G674">
        <v>151</v>
      </c>
      <c r="P674" t="s">
        <v>25047</v>
      </c>
    </row>
    <row r="675" spans="2:17" x14ac:dyDescent="0.25">
      <c r="B675">
        <v>4642</v>
      </c>
      <c r="C675" t="s">
        <v>25048</v>
      </c>
      <c r="D675" t="s">
        <v>24355</v>
      </c>
      <c r="E675">
        <v>127</v>
      </c>
      <c r="F675">
        <v>255</v>
      </c>
      <c r="G675">
        <v>151</v>
      </c>
      <c r="Q675" t="s">
        <v>25049</v>
      </c>
    </row>
    <row r="676" spans="2:17" x14ac:dyDescent="0.25">
      <c r="B676">
        <v>4643</v>
      </c>
      <c r="C676" t="s">
        <v>25050</v>
      </c>
      <c r="D676" t="s">
        <v>24355</v>
      </c>
      <c r="E676">
        <v>127</v>
      </c>
      <c r="F676">
        <v>255</v>
      </c>
      <c r="G676">
        <v>151</v>
      </c>
      <c r="Q676" t="s">
        <v>25051</v>
      </c>
    </row>
    <row r="677" spans="2:17" x14ac:dyDescent="0.25">
      <c r="B677">
        <v>4656</v>
      </c>
      <c r="C677" t="s">
        <v>20043</v>
      </c>
      <c r="D677" t="s">
        <v>23430</v>
      </c>
      <c r="E677">
        <v>127</v>
      </c>
      <c r="F677">
        <v>255</v>
      </c>
      <c r="G677">
        <v>151</v>
      </c>
      <c r="P677" t="s">
        <v>25052</v>
      </c>
    </row>
    <row r="678" spans="2:17" x14ac:dyDescent="0.25">
      <c r="B678">
        <v>4657</v>
      </c>
      <c r="C678" t="s">
        <v>25048</v>
      </c>
      <c r="D678" t="s">
        <v>23430</v>
      </c>
      <c r="E678">
        <v>127</v>
      </c>
      <c r="F678">
        <v>255</v>
      </c>
      <c r="G678">
        <v>151</v>
      </c>
      <c r="Q678" t="s">
        <v>25053</v>
      </c>
    </row>
    <row r="679" spans="2:17" x14ac:dyDescent="0.25">
      <c r="B679">
        <v>4658</v>
      </c>
      <c r="C679" t="s">
        <v>25050</v>
      </c>
      <c r="D679" t="s">
        <v>23430</v>
      </c>
      <c r="E679">
        <v>127</v>
      </c>
      <c r="F679">
        <v>255</v>
      </c>
      <c r="G679">
        <v>151</v>
      </c>
      <c r="Q679" t="s">
        <v>25054</v>
      </c>
    </row>
    <row r="680" spans="2:17" x14ac:dyDescent="0.25">
      <c r="B680">
        <v>13007</v>
      </c>
      <c r="C680" t="s">
        <v>25055</v>
      </c>
      <c r="E680">
        <v>127</v>
      </c>
      <c r="F680">
        <v>255</v>
      </c>
      <c r="G680">
        <v>151</v>
      </c>
      <c r="O680" t="s">
        <v>25056</v>
      </c>
    </row>
    <row r="681" spans="2:17" x14ac:dyDescent="0.25">
      <c r="B681">
        <v>13008</v>
      </c>
      <c r="C681" t="s">
        <v>25055</v>
      </c>
      <c r="D681" t="s">
        <v>24355</v>
      </c>
      <c r="E681">
        <v>127</v>
      </c>
      <c r="F681">
        <v>255</v>
      </c>
      <c r="G681">
        <v>151</v>
      </c>
      <c r="P681" t="s">
        <v>25057</v>
      </c>
    </row>
    <row r="682" spans="2:17" x14ac:dyDescent="0.25">
      <c r="B682">
        <v>13009</v>
      </c>
      <c r="C682" t="s">
        <v>25055</v>
      </c>
      <c r="D682" t="s">
        <v>23430</v>
      </c>
      <c r="E682">
        <v>127</v>
      </c>
      <c r="F682">
        <v>255</v>
      </c>
      <c r="G682">
        <v>151</v>
      </c>
      <c r="P682" t="s">
        <v>25058</v>
      </c>
    </row>
    <row r="683" spans="2:17" x14ac:dyDescent="0.25">
      <c r="B683">
        <v>12915</v>
      </c>
      <c r="C683" t="s">
        <v>16137</v>
      </c>
      <c r="E683">
        <v>127</v>
      </c>
      <c r="F683">
        <v>255</v>
      </c>
      <c r="G683">
        <v>151</v>
      </c>
      <c r="O683" t="s">
        <v>664</v>
      </c>
    </row>
    <row r="684" spans="2:17" x14ac:dyDescent="0.25">
      <c r="B684">
        <v>10151</v>
      </c>
      <c r="C684" t="s">
        <v>16137</v>
      </c>
      <c r="D684" t="s">
        <v>24355</v>
      </c>
      <c r="E684">
        <v>127</v>
      </c>
      <c r="F684">
        <v>255</v>
      </c>
      <c r="G684">
        <v>151</v>
      </c>
      <c r="P684" t="s">
        <v>25059</v>
      </c>
    </row>
    <row r="685" spans="2:17" x14ac:dyDescent="0.25">
      <c r="B685">
        <v>10152</v>
      </c>
      <c r="C685" t="s">
        <v>16137</v>
      </c>
      <c r="D685" t="s">
        <v>23430</v>
      </c>
      <c r="E685">
        <v>127</v>
      </c>
      <c r="F685">
        <v>255</v>
      </c>
      <c r="G685">
        <v>151</v>
      </c>
      <c r="P685" t="s">
        <v>25060</v>
      </c>
    </row>
    <row r="686" spans="2:17" x14ac:dyDescent="0.25">
      <c r="B686">
        <v>12916</v>
      </c>
      <c r="C686" t="s">
        <v>15429</v>
      </c>
      <c r="E686">
        <v>127</v>
      </c>
      <c r="F686">
        <v>255</v>
      </c>
      <c r="G686">
        <v>151</v>
      </c>
      <c r="O686" t="s">
        <v>3053</v>
      </c>
    </row>
    <row r="687" spans="2:17" x14ac:dyDescent="0.25">
      <c r="B687">
        <v>4649</v>
      </c>
      <c r="C687" t="s">
        <v>15429</v>
      </c>
      <c r="D687" t="s">
        <v>24355</v>
      </c>
      <c r="E687">
        <v>127</v>
      </c>
      <c r="F687">
        <v>255</v>
      </c>
      <c r="G687">
        <v>151</v>
      </c>
      <c r="P687" t="s">
        <v>25061</v>
      </c>
    </row>
    <row r="688" spans="2:17" x14ac:dyDescent="0.25">
      <c r="B688">
        <v>4664</v>
      </c>
      <c r="C688" t="s">
        <v>15429</v>
      </c>
      <c r="D688" t="s">
        <v>23430</v>
      </c>
      <c r="E688">
        <v>127</v>
      </c>
      <c r="F688">
        <v>255</v>
      </c>
      <c r="G688">
        <v>151</v>
      </c>
      <c r="P688" t="s">
        <v>25062</v>
      </c>
    </row>
    <row r="689" spans="2:17" x14ac:dyDescent="0.25">
      <c r="B689">
        <v>12917</v>
      </c>
      <c r="C689" t="s">
        <v>20147</v>
      </c>
      <c r="E689">
        <v>127</v>
      </c>
      <c r="F689">
        <v>255</v>
      </c>
      <c r="G689">
        <v>151</v>
      </c>
      <c r="O689" t="s">
        <v>3799</v>
      </c>
    </row>
    <row r="690" spans="2:17" x14ac:dyDescent="0.25">
      <c r="B690">
        <v>4648</v>
      </c>
      <c r="C690" t="s">
        <v>20147</v>
      </c>
      <c r="D690" t="s">
        <v>24355</v>
      </c>
      <c r="E690">
        <v>127</v>
      </c>
      <c r="F690">
        <v>255</v>
      </c>
      <c r="G690">
        <v>151</v>
      </c>
      <c r="P690" t="s">
        <v>25063</v>
      </c>
    </row>
    <row r="691" spans="2:17" x14ac:dyDescent="0.25">
      <c r="B691">
        <v>4663</v>
      </c>
      <c r="C691" t="s">
        <v>20147</v>
      </c>
      <c r="D691" t="s">
        <v>23430</v>
      </c>
      <c r="E691">
        <v>127</v>
      </c>
      <c r="F691">
        <v>255</v>
      </c>
      <c r="G691">
        <v>151</v>
      </c>
      <c r="P691" t="s">
        <v>25064</v>
      </c>
    </row>
    <row r="692" spans="2:17" x14ac:dyDescent="0.25">
      <c r="B692">
        <v>12918</v>
      </c>
      <c r="C692" t="s">
        <v>25065</v>
      </c>
      <c r="E692">
        <v>127</v>
      </c>
      <c r="F692">
        <v>255</v>
      </c>
      <c r="G692">
        <v>151</v>
      </c>
      <c r="O692" t="s">
        <v>25066</v>
      </c>
    </row>
    <row r="693" spans="2:17" x14ac:dyDescent="0.25">
      <c r="B693">
        <v>4636</v>
      </c>
      <c r="C693" t="s">
        <v>25065</v>
      </c>
      <c r="D693" t="s">
        <v>24355</v>
      </c>
      <c r="E693">
        <v>127</v>
      </c>
      <c r="F693">
        <v>255</v>
      </c>
      <c r="G693">
        <v>151</v>
      </c>
      <c r="P693" t="s">
        <v>25067</v>
      </c>
    </row>
    <row r="694" spans="2:17" x14ac:dyDescent="0.25">
      <c r="B694">
        <v>4651</v>
      </c>
      <c r="C694" t="s">
        <v>25065</v>
      </c>
      <c r="D694" t="s">
        <v>23430</v>
      </c>
      <c r="E694">
        <v>127</v>
      </c>
      <c r="F694">
        <v>255</v>
      </c>
      <c r="G694">
        <v>151</v>
      </c>
      <c r="P694" t="s">
        <v>25068</v>
      </c>
    </row>
    <row r="695" spans="2:17" x14ac:dyDescent="0.25">
      <c r="B695">
        <v>12919</v>
      </c>
      <c r="C695" t="s">
        <v>15403</v>
      </c>
      <c r="E695">
        <v>127</v>
      </c>
      <c r="F695">
        <v>255</v>
      </c>
      <c r="G695">
        <v>151</v>
      </c>
      <c r="O695" t="s">
        <v>656</v>
      </c>
    </row>
    <row r="696" spans="2:17" x14ac:dyDescent="0.25">
      <c r="B696">
        <v>4637</v>
      </c>
      <c r="C696" t="s">
        <v>15403</v>
      </c>
      <c r="D696" t="s">
        <v>24355</v>
      </c>
      <c r="E696">
        <v>127</v>
      </c>
      <c r="F696">
        <v>255</v>
      </c>
      <c r="G696">
        <v>151</v>
      </c>
      <c r="P696" t="s">
        <v>25069</v>
      </c>
    </row>
    <row r="697" spans="2:17" x14ac:dyDescent="0.25">
      <c r="B697">
        <v>4639</v>
      </c>
      <c r="C697" t="s">
        <v>23497</v>
      </c>
      <c r="D697" t="s">
        <v>24355</v>
      </c>
      <c r="E697">
        <v>127</v>
      </c>
      <c r="F697">
        <v>255</v>
      </c>
      <c r="G697">
        <v>151</v>
      </c>
      <c r="Q697" t="s">
        <v>25070</v>
      </c>
    </row>
    <row r="698" spans="2:17" x14ac:dyDescent="0.25">
      <c r="B698">
        <v>4640</v>
      </c>
      <c r="C698" t="s">
        <v>20132</v>
      </c>
      <c r="D698" t="s">
        <v>24355</v>
      </c>
      <c r="E698">
        <v>127</v>
      </c>
      <c r="F698">
        <v>255</v>
      </c>
      <c r="G698">
        <v>151</v>
      </c>
      <c r="Q698" t="s">
        <v>25071</v>
      </c>
    </row>
    <row r="699" spans="2:17" x14ac:dyDescent="0.25">
      <c r="B699">
        <v>4638</v>
      </c>
      <c r="C699" t="s">
        <v>23499</v>
      </c>
      <c r="D699" t="s">
        <v>24355</v>
      </c>
      <c r="E699">
        <v>127</v>
      </c>
      <c r="F699">
        <v>255</v>
      </c>
      <c r="G699">
        <v>151</v>
      </c>
      <c r="Q699" t="s">
        <v>25072</v>
      </c>
    </row>
    <row r="700" spans="2:17" x14ac:dyDescent="0.25">
      <c r="B700">
        <v>4652</v>
      </c>
      <c r="C700" t="s">
        <v>15403</v>
      </c>
      <c r="D700" t="s">
        <v>23430</v>
      </c>
      <c r="E700">
        <v>127</v>
      </c>
      <c r="F700">
        <v>255</v>
      </c>
      <c r="G700">
        <v>151</v>
      </c>
      <c r="P700" t="s">
        <v>25073</v>
      </c>
    </row>
    <row r="701" spans="2:17" x14ac:dyDescent="0.25">
      <c r="B701">
        <v>4654</v>
      </c>
      <c r="C701" t="s">
        <v>23497</v>
      </c>
      <c r="D701" t="s">
        <v>23430</v>
      </c>
      <c r="E701">
        <v>127</v>
      </c>
      <c r="F701">
        <v>255</v>
      </c>
      <c r="G701">
        <v>151</v>
      </c>
      <c r="Q701" t="s">
        <v>25074</v>
      </c>
    </row>
    <row r="702" spans="2:17" x14ac:dyDescent="0.25">
      <c r="B702">
        <v>4655</v>
      </c>
      <c r="C702" t="s">
        <v>20132</v>
      </c>
      <c r="D702" t="s">
        <v>23430</v>
      </c>
      <c r="E702">
        <v>127</v>
      </c>
      <c r="F702">
        <v>255</v>
      </c>
      <c r="G702">
        <v>151</v>
      </c>
      <c r="Q702" t="s">
        <v>25075</v>
      </c>
    </row>
    <row r="703" spans="2:17" x14ac:dyDescent="0.25">
      <c r="B703">
        <v>4653</v>
      </c>
      <c r="C703" t="s">
        <v>23499</v>
      </c>
      <c r="D703" t="s">
        <v>23430</v>
      </c>
      <c r="E703">
        <v>127</v>
      </c>
      <c r="F703">
        <v>255</v>
      </c>
      <c r="G703">
        <v>151</v>
      </c>
      <c r="Q703" t="s">
        <v>25076</v>
      </c>
    </row>
    <row r="704" spans="2:17" x14ac:dyDescent="0.25">
      <c r="B704">
        <v>4517</v>
      </c>
      <c r="C704" t="s">
        <v>25077</v>
      </c>
      <c r="E704">
        <v>146</v>
      </c>
      <c r="F704">
        <v>255</v>
      </c>
      <c r="G704">
        <v>93</v>
      </c>
      <c r="M704" t="s">
        <v>23436</v>
      </c>
    </row>
    <row r="705" spans="2:17" x14ac:dyDescent="0.25">
      <c r="B705">
        <v>4518</v>
      </c>
      <c r="C705" t="s">
        <v>25078</v>
      </c>
      <c r="D705" t="s">
        <v>24355</v>
      </c>
      <c r="E705">
        <v>146</v>
      </c>
      <c r="F705">
        <v>255</v>
      </c>
      <c r="G705">
        <v>93</v>
      </c>
      <c r="N705" t="s">
        <v>14769</v>
      </c>
    </row>
    <row r="706" spans="2:17" x14ac:dyDescent="0.25">
      <c r="B706">
        <v>4519</v>
      </c>
      <c r="C706" t="s">
        <v>25078</v>
      </c>
      <c r="D706" t="s">
        <v>23430</v>
      </c>
      <c r="E706">
        <v>146</v>
      </c>
      <c r="F706">
        <v>255</v>
      </c>
      <c r="G706">
        <v>93</v>
      </c>
      <c r="N706" t="s">
        <v>25079</v>
      </c>
    </row>
    <row r="707" spans="2:17" x14ac:dyDescent="0.25">
      <c r="B707">
        <v>4392</v>
      </c>
      <c r="C707" t="s">
        <v>19875</v>
      </c>
      <c r="E707">
        <v>198</v>
      </c>
      <c r="F707">
        <v>243</v>
      </c>
      <c r="G707">
        <v>89</v>
      </c>
      <c r="M707" t="s">
        <v>1588</v>
      </c>
    </row>
    <row r="708" spans="2:17" x14ac:dyDescent="0.25">
      <c r="B708">
        <v>4393</v>
      </c>
      <c r="C708" t="s">
        <v>16771</v>
      </c>
      <c r="E708">
        <v>169</v>
      </c>
      <c r="F708">
        <v>232</v>
      </c>
      <c r="G708">
        <v>85</v>
      </c>
      <c r="N708" t="s">
        <v>1620</v>
      </c>
    </row>
    <row r="709" spans="2:17" x14ac:dyDescent="0.25">
      <c r="B709">
        <v>12920</v>
      </c>
      <c r="C709" t="s">
        <v>25080</v>
      </c>
      <c r="E709">
        <v>169</v>
      </c>
      <c r="F709">
        <v>232</v>
      </c>
      <c r="G709">
        <v>85</v>
      </c>
      <c r="O709" t="s">
        <v>25081</v>
      </c>
    </row>
    <row r="710" spans="2:17" x14ac:dyDescent="0.25">
      <c r="B710">
        <v>4395</v>
      </c>
      <c r="C710" t="s">
        <v>25080</v>
      </c>
      <c r="D710" t="s">
        <v>24355</v>
      </c>
      <c r="E710">
        <v>169</v>
      </c>
      <c r="F710">
        <v>232</v>
      </c>
      <c r="G710">
        <v>85</v>
      </c>
      <c r="P710" t="s">
        <v>25082</v>
      </c>
    </row>
    <row r="711" spans="2:17" x14ac:dyDescent="0.25">
      <c r="B711">
        <v>4398</v>
      </c>
      <c r="C711" t="s">
        <v>16436</v>
      </c>
      <c r="D711" t="s">
        <v>24355</v>
      </c>
      <c r="E711">
        <v>169</v>
      </c>
      <c r="F711">
        <v>232</v>
      </c>
      <c r="G711">
        <v>85</v>
      </c>
      <c r="Q711" t="s">
        <v>446</v>
      </c>
    </row>
    <row r="712" spans="2:17" x14ac:dyDescent="0.25">
      <c r="B712">
        <v>4396</v>
      </c>
      <c r="C712" t="s">
        <v>16438</v>
      </c>
      <c r="D712" t="s">
        <v>24355</v>
      </c>
      <c r="E712">
        <v>169</v>
      </c>
      <c r="F712">
        <v>232</v>
      </c>
      <c r="G712">
        <v>85</v>
      </c>
      <c r="Q712" t="s">
        <v>460</v>
      </c>
    </row>
    <row r="713" spans="2:17" x14ac:dyDescent="0.25">
      <c r="B713">
        <v>4397</v>
      </c>
      <c r="C713" t="s">
        <v>16437</v>
      </c>
      <c r="D713" t="s">
        <v>24355</v>
      </c>
      <c r="E713">
        <v>169</v>
      </c>
      <c r="F713">
        <v>232</v>
      </c>
      <c r="G713">
        <v>85</v>
      </c>
      <c r="Q713" t="s">
        <v>479</v>
      </c>
    </row>
    <row r="714" spans="2:17" x14ac:dyDescent="0.25">
      <c r="B714">
        <v>4399</v>
      </c>
      <c r="C714" t="s">
        <v>16454</v>
      </c>
      <c r="D714" t="s">
        <v>24355</v>
      </c>
      <c r="E714">
        <v>169</v>
      </c>
      <c r="F714">
        <v>232</v>
      </c>
      <c r="G714">
        <v>85</v>
      </c>
      <c r="Q714" t="s">
        <v>2575</v>
      </c>
    </row>
    <row r="715" spans="2:17" x14ac:dyDescent="0.25">
      <c r="B715">
        <v>4450</v>
      </c>
      <c r="C715" t="s">
        <v>25080</v>
      </c>
      <c r="D715" t="s">
        <v>23430</v>
      </c>
      <c r="E715">
        <v>169</v>
      </c>
      <c r="F715">
        <v>232</v>
      </c>
      <c r="G715">
        <v>85</v>
      </c>
      <c r="P715" t="s">
        <v>25083</v>
      </c>
    </row>
    <row r="716" spans="2:17" x14ac:dyDescent="0.25">
      <c r="B716">
        <v>4453</v>
      </c>
      <c r="C716" t="s">
        <v>16436</v>
      </c>
      <c r="D716" t="s">
        <v>23430</v>
      </c>
      <c r="E716">
        <v>169</v>
      </c>
      <c r="F716">
        <v>232</v>
      </c>
      <c r="G716">
        <v>85</v>
      </c>
      <c r="Q716" t="s">
        <v>25084</v>
      </c>
    </row>
    <row r="717" spans="2:17" x14ac:dyDescent="0.25">
      <c r="B717">
        <v>4451</v>
      </c>
      <c r="C717" t="s">
        <v>16438</v>
      </c>
      <c r="D717" t="s">
        <v>23430</v>
      </c>
      <c r="E717">
        <v>169</v>
      </c>
      <c r="F717">
        <v>232</v>
      </c>
      <c r="G717">
        <v>85</v>
      </c>
      <c r="Q717" t="s">
        <v>25085</v>
      </c>
    </row>
    <row r="718" spans="2:17" x14ac:dyDescent="0.25">
      <c r="B718">
        <v>4452</v>
      </c>
      <c r="C718" t="s">
        <v>16437</v>
      </c>
      <c r="D718" t="s">
        <v>23430</v>
      </c>
      <c r="E718">
        <v>169</v>
      </c>
      <c r="F718">
        <v>232</v>
      </c>
      <c r="G718">
        <v>85</v>
      </c>
      <c r="Q718" t="s">
        <v>25086</v>
      </c>
    </row>
    <row r="719" spans="2:17" x14ac:dyDescent="0.25">
      <c r="B719">
        <v>4454</v>
      </c>
      <c r="C719" t="s">
        <v>16454</v>
      </c>
      <c r="D719" t="s">
        <v>23430</v>
      </c>
      <c r="E719">
        <v>169</v>
      </c>
      <c r="F719">
        <v>232</v>
      </c>
      <c r="G719">
        <v>85</v>
      </c>
      <c r="Q719" t="s">
        <v>25087</v>
      </c>
    </row>
    <row r="720" spans="2:17" x14ac:dyDescent="0.25">
      <c r="B720">
        <v>12921</v>
      </c>
      <c r="C720" t="s">
        <v>25088</v>
      </c>
      <c r="E720">
        <v>169</v>
      </c>
      <c r="F720">
        <v>232</v>
      </c>
      <c r="G720">
        <v>85</v>
      </c>
      <c r="O720" t="s">
        <v>881</v>
      </c>
    </row>
    <row r="721" spans="2:17" x14ac:dyDescent="0.25">
      <c r="B721">
        <v>4437</v>
      </c>
      <c r="C721" t="s">
        <v>25088</v>
      </c>
      <c r="D721" t="s">
        <v>24355</v>
      </c>
      <c r="E721">
        <v>169</v>
      </c>
      <c r="F721">
        <v>232</v>
      </c>
      <c r="G721">
        <v>85</v>
      </c>
      <c r="P721" t="s">
        <v>25089</v>
      </c>
    </row>
    <row r="722" spans="2:17" x14ac:dyDescent="0.25">
      <c r="B722">
        <v>4438</v>
      </c>
      <c r="C722" t="s">
        <v>16405</v>
      </c>
      <c r="D722" t="s">
        <v>24355</v>
      </c>
      <c r="E722">
        <v>169</v>
      </c>
      <c r="F722">
        <v>232</v>
      </c>
      <c r="G722">
        <v>85</v>
      </c>
      <c r="Q722" t="s">
        <v>963</v>
      </c>
    </row>
    <row r="723" spans="2:17" x14ac:dyDescent="0.25">
      <c r="B723">
        <v>4439</v>
      </c>
      <c r="C723" t="s">
        <v>25090</v>
      </c>
      <c r="D723" t="s">
        <v>24355</v>
      </c>
      <c r="E723">
        <v>169</v>
      </c>
      <c r="F723">
        <v>232</v>
      </c>
      <c r="G723">
        <v>85</v>
      </c>
      <c r="Q723" t="s">
        <v>3584</v>
      </c>
    </row>
    <row r="724" spans="2:17" x14ac:dyDescent="0.25">
      <c r="B724">
        <v>4492</v>
      </c>
      <c r="C724" t="s">
        <v>25088</v>
      </c>
      <c r="D724" t="s">
        <v>23430</v>
      </c>
      <c r="E724">
        <v>169</v>
      </c>
      <c r="F724">
        <v>232</v>
      </c>
      <c r="G724">
        <v>85</v>
      </c>
      <c r="P724" t="s">
        <v>25091</v>
      </c>
    </row>
    <row r="725" spans="2:17" x14ac:dyDescent="0.25">
      <c r="B725">
        <v>4493</v>
      </c>
      <c r="C725" t="s">
        <v>16405</v>
      </c>
      <c r="D725" t="s">
        <v>23430</v>
      </c>
      <c r="E725">
        <v>169</v>
      </c>
      <c r="F725">
        <v>232</v>
      </c>
      <c r="G725">
        <v>85</v>
      </c>
      <c r="Q725" t="s">
        <v>25092</v>
      </c>
    </row>
    <row r="726" spans="2:17" x14ac:dyDescent="0.25">
      <c r="B726">
        <v>4494</v>
      </c>
      <c r="C726" t="s">
        <v>25090</v>
      </c>
      <c r="D726" t="s">
        <v>23430</v>
      </c>
      <c r="E726">
        <v>169</v>
      </c>
      <c r="F726">
        <v>232</v>
      </c>
      <c r="G726">
        <v>85</v>
      </c>
      <c r="Q726" t="s">
        <v>25093</v>
      </c>
    </row>
    <row r="727" spans="2:17" x14ac:dyDescent="0.25">
      <c r="B727">
        <v>12922</v>
      </c>
      <c r="C727" t="s">
        <v>19911</v>
      </c>
      <c r="E727">
        <v>169</v>
      </c>
      <c r="F727">
        <v>232</v>
      </c>
      <c r="G727">
        <v>85</v>
      </c>
      <c r="O727" t="s">
        <v>25094</v>
      </c>
    </row>
    <row r="728" spans="2:17" x14ac:dyDescent="0.25">
      <c r="B728">
        <v>4440</v>
      </c>
      <c r="C728" t="s">
        <v>19911</v>
      </c>
      <c r="D728" t="s">
        <v>24355</v>
      </c>
      <c r="E728">
        <v>169</v>
      </c>
      <c r="F728">
        <v>232</v>
      </c>
      <c r="G728">
        <v>85</v>
      </c>
      <c r="P728" t="s">
        <v>1535</v>
      </c>
    </row>
    <row r="729" spans="2:17" x14ac:dyDescent="0.25">
      <c r="B729">
        <v>4441</v>
      </c>
      <c r="C729" t="s">
        <v>25095</v>
      </c>
      <c r="D729" t="s">
        <v>24355</v>
      </c>
      <c r="E729">
        <v>169</v>
      </c>
      <c r="F729">
        <v>232</v>
      </c>
      <c r="G729">
        <v>85</v>
      </c>
      <c r="Q729" t="s">
        <v>25096</v>
      </c>
    </row>
    <row r="730" spans="2:17" x14ac:dyDescent="0.25">
      <c r="B730">
        <v>4442</v>
      </c>
      <c r="C730" t="s">
        <v>25097</v>
      </c>
      <c r="D730" t="s">
        <v>24355</v>
      </c>
      <c r="E730">
        <v>169</v>
      </c>
      <c r="F730">
        <v>232</v>
      </c>
      <c r="G730">
        <v>85</v>
      </c>
      <c r="Q730" t="s">
        <v>25098</v>
      </c>
    </row>
    <row r="731" spans="2:17" x14ac:dyDescent="0.25">
      <c r="B731">
        <v>4443</v>
      </c>
      <c r="C731" t="s">
        <v>25099</v>
      </c>
      <c r="D731" t="s">
        <v>24355</v>
      </c>
      <c r="E731">
        <v>169</v>
      </c>
      <c r="F731">
        <v>232</v>
      </c>
      <c r="G731">
        <v>85</v>
      </c>
      <c r="Q731" t="s">
        <v>25100</v>
      </c>
    </row>
    <row r="732" spans="2:17" x14ac:dyDescent="0.25">
      <c r="B732">
        <v>4495</v>
      </c>
      <c r="C732" t="s">
        <v>19911</v>
      </c>
      <c r="D732" t="s">
        <v>23430</v>
      </c>
      <c r="E732">
        <v>169</v>
      </c>
      <c r="F732">
        <v>232</v>
      </c>
      <c r="G732">
        <v>85</v>
      </c>
      <c r="P732" t="s">
        <v>25101</v>
      </c>
    </row>
    <row r="733" spans="2:17" x14ac:dyDescent="0.25">
      <c r="B733">
        <v>4496</v>
      </c>
      <c r="C733" t="s">
        <v>25095</v>
      </c>
      <c r="D733" t="s">
        <v>23430</v>
      </c>
      <c r="E733">
        <v>169</v>
      </c>
      <c r="F733">
        <v>232</v>
      </c>
      <c r="G733">
        <v>85</v>
      </c>
      <c r="Q733" t="s">
        <v>25102</v>
      </c>
    </row>
    <row r="734" spans="2:17" x14ac:dyDescent="0.25">
      <c r="B734">
        <v>4497</v>
      </c>
      <c r="C734" t="s">
        <v>25097</v>
      </c>
      <c r="D734" t="s">
        <v>23430</v>
      </c>
      <c r="E734">
        <v>169</v>
      </c>
      <c r="F734">
        <v>232</v>
      </c>
      <c r="G734">
        <v>85</v>
      </c>
      <c r="Q734" t="s">
        <v>25103</v>
      </c>
    </row>
    <row r="735" spans="2:17" x14ac:dyDescent="0.25">
      <c r="B735">
        <v>4498</v>
      </c>
      <c r="C735" t="s">
        <v>25099</v>
      </c>
      <c r="D735" t="s">
        <v>23430</v>
      </c>
      <c r="E735">
        <v>169</v>
      </c>
      <c r="F735">
        <v>232</v>
      </c>
      <c r="G735">
        <v>85</v>
      </c>
      <c r="Q735" t="s">
        <v>25104</v>
      </c>
    </row>
    <row r="736" spans="2:17" x14ac:dyDescent="0.25">
      <c r="B736">
        <v>12923</v>
      </c>
      <c r="C736" t="s">
        <v>25105</v>
      </c>
      <c r="E736">
        <v>169</v>
      </c>
      <c r="F736">
        <v>232</v>
      </c>
      <c r="G736">
        <v>85</v>
      </c>
      <c r="O736" t="s">
        <v>2629</v>
      </c>
    </row>
    <row r="737" spans="2:19" x14ac:dyDescent="0.25">
      <c r="B737">
        <v>12924</v>
      </c>
      <c r="C737" t="s">
        <v>25106</v>
      </c>
      <c r="E737">
        <v>169</v>
      </c>
      <c r="F737">
        <v>232</v>
      </c>
      <c r="G737">
        <v>85</v>
      </c>
      <c r="P737" t="s">
        <v>25107</v>
      </c>
    </row>
    <row r="738" spans="2:19" x14ac:dyDescent="0.25">
      <c r="B738">
        <v>4409</v>
      </c>
      <c r="C738" t="s">
        <v>25106</v>
      </c>
      <c r="D738" t="s">
        <v>24355</v>
      </c>
      <c r="E738">
        <v>169</v>
      </c>
      <c r="F738">
        <v>232</v>
      </c>
      <c r="G738">
        <v>85</v>
      </c>
      <c r="Q738" t="s">
        <v>25108</v>
      </c>
    </row>
    <row r="739" spans="2:19" x14ac:dyDescent="0.25">
      <c r="B739">
        <v>4410</v>
      </c>
      <c r="C739" t="s">
        <v>16456</v>
      </c>
      <c r="D739" t="s">
        <v>24355</v>
      </c>
      <c r="E739">
        <v>169</v>
      </c>
      <c r="F739">
        <v>232</v>
      </c>
      <c r="G739">
        <v>85</v>
      </c>
      <c r="R739" t="s">
        <v>2692</v>
      </c>
    </row>
    <row r="740" spans="2:19" x14ac:dyDescent="0.25">
      <c r="B740">
        <v>4411</v>
      </c>
      <c r="C740" t="s">
        <v>25109</v>
      </c>
      <c r="D740" t="s">
        <v>24355</v>
      </c>
      <c r="E740">
        <v>169</v>
      </c>
      <c r="F740">
        <v>232</v>
      </c>
      <c r="G740">
        <v>85</v>
      </c>
      <c r="R740" t="s">
        <v>3525</v>
      </c>
    </row>
    <row r="741" spans="2:19" x14ac:dyDescent="0.25">
      <c r="B741">
        <v>4414</v>
      </c>
      <c r="C741" t="s">
        <v>25110</v>
      </c>
      <c r="D741" t="s">
        <v>24355</v>
      </c>
      <c r="E741">
        <v>169</v>
      </c>
      <c r="F741">
        <v>232</v>
      </c>
      <c r="G741">
        <v>85</v>
      </c>
      <c r="R741" t="s">
        <v>2400</v>
      </c>
    </row>
    <row r="742" spans="2:19" x14ac:dyDescent="0.25">
      <c r="B742">
        <v>4415</v>
      </c>
      <c r="C742" t="s">
        <v>25111</v>
      </c>
      <c r="D742" t="s">
        <v>24355</v>
      </c>
      <c r="E742">
        <v>169</v>
      </c>
      <c r="F742">
        <v>232</v>
      </c>
      <c r="G742">
        <v>85</v>
      </c>
      <c r="S742" t="s">
        <v>25112</v>
      </c>
    </row>
    <row r="743" spans="2:19" x14ac:dyDescent="0.25">
      <c r="B743">
        <v>4416</v>
      </c>
      <c r="C743" t="s">
        <v>25113</v>
      </c>
      <c r="D743" t="s">
        <v>24355</v>
      </c>
      <c r="E743">
        <v>169</v>
      </c>
      <c r="F743">
        <v>232</v>
      </c>
      <c r="G743">
        <v>85</v>
      </c>
      <c r="S743" t="s">
        <v>25114</v>
      </c>
    </row>
    <row r="744" spans="2:19" x14ac:dyDescent="0.25">
      <c r="B744">
        <v>4413</v>
      </c>
      <c r="C744" t="s">
        <v>25115</v>
      </c>
      <c r="D744" t="s">
        <v>24355</v>
      </c>
      <c r="E744">
        <v>169</v>
      </c>
      <c r="F744">
        <v>232</v>
      </c>
      <c r="G744">
        <v>85</v>
      </c>
      <c r="R744" t="s">
        <v>1751</v>
      </c>
    </row>
    <row r="745" spans="2:19" x14ac:dyDescent="0.25">
      <c r="B745">
        <v>4412</v>
      </c>
      <c r="C745" t="s">
        <v>25116</v>
      </c>
      <c r="D745" t="s">
        <v>24355</v>
      </c>
      <c r="E745">
        <v>169</v>
      </c>
      <c r="F745">
        <v>232</v>
      </c>
      <c r="G745">
        <v>85</v>
      </c>
      <c r="R745" t="s">
        <v>3018</v>
      </c>
    </row>
    <row r="746" spans="2:19" x14ac:dyDescent="0.25">
      <c r="B746">
        <v>4464</v>
      </c>
      <c r="C746" t="s">
        <v>25106</v>
      </c>
      <c r="D746" t="s">
        <v>23430</v>
      </c>
      <c r="E746">
        <v>169</v>
      </c>
      <c r="F746">
        <v>232</v>
      </c>
      <c r="G746">
        <v>85</v>
      </c>
      <c r="Q746" t="s">
        <v>25117</v>
      </c>
    </row>
    <row r="747" spans="2:19" x14ac:dyDescent="0.25">
      <c r="B747">
        <v>4465</v>
      </c>
      <c r="C747" t="s">
        <v>16456</v>
      </c>
      <c r="D747" t="s">
        <v>23430</v>
      </c>
      <c r="E747">
        <v>169</v>
      </c>
      <c r="F747">
        <v>232</v>
      </c>
      <c r="G747">
        <v>85</v>
      </c>
      <c r="R747" t="s">
        <v>25118</v>
      </c>
    </row>
    <row r="748" spans="2:19" x14ac:dyDescent="0.25">
      <c r="B748">
        <v>4466</v>
      </c>
      <c r="C748" t="s">
        <v>25109</v>
      </c>
      <c r="D748" t="s">
        <v>23430</v>
      </c>
      <c r="E748">
        <v>169</v>
      </c>
      <c r="F748">
        <v>232</v>
      </c>
      <c r="G748">
        <v>85</v>
      </c>
      <c r="R748" t="s">
        <v>25119</v>
      </c>
    </row>
    <row r="749" spans="2:19" x14ac:dyDescent="0.25">
      <c r="B749">
        <v>4469</v>
      </c>
      <c r="C749" t="s">
        <v>25110</v>
      </c>
      <c r="D749" t="s">
        <v>23430</v>
      </c>
      <c r="E749">
        <v>169</v>
      </c>
      <c r="F749">
        <v>232</v>
      </c>
      <c r="G749">
        <v>85</v>
      </c>
      <c r="R749" t="s">
        <v>25120</v>
      </c>
    </row>
    <row r="750" spans="2:19" x14ac:dyDescent="0.25">
      <c r="B750">
        <v>4470</v>
      </c>
      <c r="C750" t="s">
        <v>25111</v>
      </c>
      <c r="D750" t="s">
        <v>23430</v>
      </c>
      <c r="E750">
        <v>169</v>
      </c>
      <c r="F750">
        <v>232</v>
      </c>
      <c r="G750">
        <v>85</v>
      </c>
      <c r="S750" t="s">
        <v>25121</v>
      </c>
    </row>
    <row r="751" spans="2:19" x14ac:dyDescent="0.25">
      <c r="B751">
        <v>4471</v>
      </c>
      <c r="C751" t="s">
        <v>25113</v>
      </c>
      <c r="D751" t="s">
        <v>23430</v>
      </c>
      <c r="E751">
        <v>169</v>
      </c>
      <c r="F751">
        <v>232</v>
      </c>
      <c r="G751">
        <v>85</v>
      </c>
      <c r="S751" t="s">
        <v>25122</v>
      </c>
    </row>
    <row r="752" spans="2:19" x14ac:dyDescent="0.25">
      <c r="B752">
        <v>4468</v>
      </c>
      <c r="C752" t="s">
        <v>25115</v>
      </c>
      <c r="D752" t="s">
        <v>23430</v>
      </c>
      <c r="E752">
        <v>169</v>
      </c>
      <c r="F752">
        <v>232</v>
      </c>
      <c r="G752">
        <v>85</v>
      </c>
      <c r="R752" t="s">
        <v>25123</v>
      </c>
    </row>
    <row r="753" spans="2:19" x14ac:dyDescent="0.25">
      <c r="B753">
        <v>4467</v>
      </c>
      <c r="C753" t="s">
        <v>25116</v>
      </c>
      <c r="D753" t="s">
        <v>23430</v>
      </c>
      <c r="E753">
        <v>169</v>
      </c>
      <c r="F753">
        <v>232</v>
      </c>
      <c r="G753">
        <v>85</v>
      </c>
      <c r="R753" t="s">
        <v>25124</v>
      </c>
    </row>
    <row r="754" spans="2:19" x14ac:dyDescent="0.25">
      <c r="B754">
        <v>12925</v>
      </c>
      <c r="C754" t="s">
        <v>25125</v>
      </c>
      <c r="E754">
        <v>169</v>
      </c>
      <c r="F754">
        <v>232</v>
      </c>
      <c r="G754">
        <v>85</v>
      </c>
      <c r="P754" t="s">
        <v>15034</v>
      </c>
    </row>
    <row r="755" spans="2:19" x14ac:dyDescent="0.25">
      <c r="B755">
        <v>4417</v>
      </c>
      <c r="C755" t="s">
        <v>25125</v>
      </c>
      <c r="D755" t="s">
        <v>24355</v>
      </c>
      <c r="E755">
        <v>169</v>
      </c>
      <c r="F755">
        <v>232</v>
      </c>
      <c r="G755">
        <v>85</v>
      </c>
      <c r="Q755" t="s">
        <v>25126</v>
      </c>
    </row>
    <row r="756" spans="2:19" x14ac:dyDescent="0.25">
      <c r="B756">
        <v>4427</v>
      </c>
      <c r="C756" t="s">
        <v>23342</v>
      </c>
      <c r="D756" t="s">
        <v>24355</v>
      </c>
      <c r="E756">
        <v>169</v>
      </c>
      <c r="F756">
        <v>232</v>
      </c>
      <c r="G756">
        <v>85</v>
      </c>
      <c r="R756" t="s">
        <v>553</v>
      </c>
    </row>
    <row r="757" spans="2:19" x14ac:dyDescent="0.25">
      <c r="B757">
        <v>4418</v>
      </c>
      <c r="C757" t="s">
        <v>16444</v>
      </c>
      <c r="D757" t="s">
        <v>24355</v>
      </c>
      <c r="E757">
        <v>169</v>
      </c>
      <c r="F757">
        <v>232</v>
      </c>
      <c r="G757">
        <v>85</v>
      </c>
      <c r="R757" t="s">
        <v>3338</v>
      </c>
    </row>
    <row r="758" spans="2:19" x14ac:dyDescent="0.25">
      <c r="B758">
        <v>4420</v>
      </c>
      <c r="C758" t="s">
        <v>23327</v>
      </c>
      <c r="D758" t="s">
        <v>24355</v>
      </c>
      <c r="E758">
        <v>169</v>
      </c>
      <c r="F758">
        <v>232</v>
      </c>
      <c r="G758">
        <v>85</v>
      </c>
      <c r="S758" t="s">
        <v>2848</v>
      </c>
    </row>
    <row r="759" spans="2:19" x14ac:dyDescent="0.25">
      <c r="B759">
        <v>4419</v>
      </c>
      <c r="C759" t="s">
        <v>25127</v>
      </c>
      <c r="D759" t="s">
        <v>24355</v>
      </c>
      <c r="E759">
        <v>169</v>
      </c>
      <c r="F759">
        <v>232</v>
      </c>
      <c r="G759">
        <v>85</v>
      </c>
      <c r="S759" t="s">
        <v>3750</v>
      </c>
    </row>
    <row r="760" spans="2:19" x14ac:dyDescent="0.25">
      <c r="B760">
        <v>4422</v>
      </c>
      <c r="C760" t="s">
        <v>25128</v>
      </c>
      <c r="D760" t="s">
        <v>24355</v>
      </c>
      <c r="E760">
        <v>169</v>
      </c>
      <c r="F760">
        <v>232</v>
      </c>
      <c r="G760">
        <v>85</v>
      </c>
      <c r="R760" t="s">
        <v>25129</v>
      </c>
    </row>
    <row r="761" spans="2:19" x14ac:dyDescent="0.25">
      <c r="B761">
        <v>4423</v>
      </c>
      <c r="C761" t="s">
        <v>25130</v>
      </c>
      <c r="D761" t="s">
        <v>24355</v>
      </c>
      <c r="E761">
        <v>169</v>
      </c>
      <c r="F761">
        <v>232</v>
      </c>
      <c r="G761">
        <v>85</v>
      </c>
      <c r="R761" t="s">
        <v>3746</v>
      </c>
    </row>
    <row r="762" spans="2:19" x14ac:dyDescent="0.25">
      <c r="B762">
        <v>4421</v>
      </c>
      <c r="C762" t="s">
        <v>16439</v>
      </c>
      <c r="D762" t="s">
        <v>24355</v>
      </c>
      <c r="E762">
        <v>169</v>
      </c>
      <c r="F762">
        <v>232</v>
      </c>
      <c r="G762">
        <v>85</v>
      </c>
      <c r="R762" t="s">
        <v>2995</v>
      </c>
    </row>
    <row r="763" spans="2:19" x14ac:dyDescent="0.25">
      <c r="B763">
        <v>4426</v>
      </c>
      <c r="C763" t="s">
        <v>23341</v>
      </c>
      <c r="D763" t="s">
        <v>24355</v>
      </c>
      <c r="E763">
        <v>169</v>
      </c>
      <c r="F763">
        <v>232</v>
      </c>
      <c r="G763">
        <v>85</v>
      </c>
      <c r="R763" t="s">
        <v>3344</v>
      </c>
    </row>
    <row r="764" spans="2:19" x14ac:dyDescent="0.25">
      <c r="B764">
        <v>4425</v>
      </c>
      <c r="C764" t="s">
        <v>16447</v>
      </c>
      <c r="D764" t="s">
        <v>24355</v>
      </c>
      <c r="E764">
        <v>169</v>
      </c>
      <c r="F764">
        <v>232</v>
      </c>
      <c r="G764">
        <v>85</v>
      </c>
      <c r="R764" t="s">
        <v>3342</v>
      </c>
    </row>
    <row r="765" spans="2:19" x14ac:dyDescent="0.25">
      <c r="B765">
        <v>265504812</v>
      </c>
      <c r="C765" t="s">
        <v>25131</v>
      </c>
      <c r="D765" t="s">
        <v>24355</v>
      </c>
      <c r="E765">
        <v>169</v>
      </c>
      <c r="F765">
        <v>232</v>
      </c>
      <c r="G765">
        <v>85</v>
      </c>
      <c r="S765" t="s">
        <v>25132</v>
      </c>
    </row>
    <row r="766" spans="2:19" x14ac:dyDescent="0.25">
      <c r="B766">
        <v>265504816</v>
      </c>
      <c r="C766" t="s">
        <v>25133</v>
      </c>
      <c r="D766" t="s">
        <v>24355</v>
      </c>
      <c r="E766">
        <v>169</v>
      </c>
      <c r="F766">
        <v>232</v>
      </c>
      <c r="G766">
        <v>85</v>
      </c>
      <c r="S766" t="s">
        <v>25134</v>
      </c>
    </row>
    <row r="767" spans="2:19" x14ac:dyDescent="0.25">
      <c r="B767">
        <v>4424</v>
      </c>
      <c r="C767" t="s">
        <v>16446</v>
      </c>
      <c r="D767" t="s">
        <v>24355</v>
      </c>
      <c r="E767">
        <v>169</v>
      </c>
      <c r="F767">
        <v>232</v>
      </c>
      <c r="G767">
        <v>85</v>
      </c>
      <c r="R767" t="s">
        <v>3340</v>
      </c>
    </row>
    <row r="768" spans="2:19" x14ac:dyDescent="0.25">
      <c r="B768">
        <v>4472</v>
      </c>
      <c r="C768" t="s">
        <v>25125</v>
      </c>
      <c r="D768" t="s">
        <v>23430</v>
      </c>
      <c r="E768">
        <v>169</v>
      </c>
      <c r="F768">
        <v>232</v>
      </c>
      <c r="G768">
        <v>85</v>
      </c>
      <c r="Q768" t="s">
        <v>25135</v>
      </c>
    </row>
    <row r="769" spans="2:19" x14ac:dyDescent="0.25">
      <c r="B769">
        <v>4482</v>
      </c>
      <c r="C769" t="s">
        <v>23342</v>
      </c>
      <c r="D769" t="s">
        <v>23430</v>
      </c>
      <c r="E769">
        <v>169</v>
      </c>
      <c r="F769">
        <v>232</v>
      </c>
      <c r="G769">
        <v>85</v>
      </c>
      <c r="R769" t="s">
        <v>25136</v>
      </c>
    </row>
    <row r="770" spans="2:19" x14ac:dyDescent="0.25">
      <c r="B770">
        <v>4473</v>
      </c>
      <c r="C770" t="s">
        <v>16444</v>
      </c>
      <c r="D770" t="s">
        <v>23430</v>
      </c>
      <c r="E770">
        <v>169</v>
      </c>
      <c r="F770">
        <v>232</v>
      </c>
      <c r="G770">
        <v>85</v>
      </c>
      <c r="R770" t="s">
        <v>25137</v>
      </c>
    </row>
    <row r="771" spans="2:19" x14ac:dyDescent="0.25">
      <c r="B771">
        <v>4475</v>
      </c>
      <c r="C771" t="s">
        <v>23327</v>
      </c>
      <c r="D771" t="s">
        <v>23430</v>
      </c>
      <c r="E771">
        <v>169</v>
      </c>
      <c r="F771">
        <v>232</v>
      </c>
      <c r="G771">
        <v>85</v>
      </c>
      <c r="S771" t="s">
        <v>25138</v>
      </c>
    </row>
    <row r="772" spans="2:19" x14ac:dyDescent="0.25">
      <c r="B772">
        <v>4474</v>
      </c>
      <c r="C772" t="s">
        <v>25127</v>
      </c>
      <c r="D772" t="s">
        <v>23430</v>
      </c>
      <c r="E772">
        <v>169</v>
      </c>
      <c r="F772">
        <v>232</v>
      </c>
      <c r="G772">
        <v>85</v>
      </c>
      <c r="S772" t="s">
        <v>25139</v>
      </c>
    </row>
    <row r="773" spans="2:19" x14ac:dyDescent="0.25">
      <c r="B773">
        <v>4477</v>
      </c>
      <c r="C773" t="s">
        <v>25128</v>
      </c>
      <c r="D773" t="s">
        <v>23430</v>
      </c>
      <c r="E773">
        <v>169</v>
      </c>
      <c r="F773">
        <v>232</v>
      </c>
      <c r="G773">
        <v>85</v>
      </c>
      <c r="R773" t="s">
        <v>25140</v>
      </c>
    </row>
    <row r="774" spans="2:19" x14ac:dyDescent="0.25">
      <c r="B774">
        <v>4478</v>
      </c>
      <c r="C774" t="s">
        <v>25130</v>
      </c>
      <c r="D774" t="s">
        <v>23430</v>
      </c>
      <c r="E774">
        <v>169</v>
      </c>
      <c r="F774">
        <v>232</v>
      </c>
      <c r="G774">
        <v>85</v>
      </c>
      <c r="R774" t="s">
        <v>25141</v>
      </c>
    </row>
    <row r="775" spans="2:19" x14ac:dyDescent="0.25">
      <c r="B775">
        <v>4476</v>
      </c>
      <c r="C775" t="s">
        <v>16439</v>
      </c>
      <c r="D775" t="s">
        <v>23430</v>
      </c>
      <c r="E775">
        <v>169</v>
      </c>
      <c r="F775">
        <v>232</v>
      </c>
      <c r="G775">
        <v>85</v>
      </c>
      <c r="R775" t="s">
        <v>25142</v>
      </c>
    </row>
    <row r="776" spans="2:19" x14ac:dyDescent="0.25">
      <c r="B776">
        <v>4481</v>
      </c>
      <c r="C776" t="s">
        <v>23341</v>
      </c>
      <c r="D776" t="s">
        <v>23430</v>
      </c>
      <c r="E776">
        <v>169</v>
      </c>
      <c r="F776">
        <v>232</v>
      </c>
      <c r="G776">
        <v>85</v>
      </c>
      <c r="R776" t="s">
        <v>25143</v>
      </c>
    </row>
    <row r="777" spans="2:19" x14ac:dyDescent="0.25">
      <c r="B777">
        <v>4480</v>
      </c>
      <c r="C777" t="s">
        <v>16447</v>
      </c>
      <c r="D777" t="s">
        <v>23430</v>
      </c>
      <c r="E777">
        <v>169</v>
      </c>
      <c r="F777">
        <v>232</v>
      </c>
      <c r="G777">
        <v>85</v>
      </c>
      <c r="R777" t="s">
        <v>25144</v>
      </c>
    </row>
    <row r="778" spans="2:19" x14ac:dyDescent="0.25">
      <c r="B778">
        <v>265504820</v>
      </c>
      <c r="C778" t="s">
        <v>25131</v>
      </c>
      <c r="D778" t="s">
        <v>23430</v>
      </c>
      <c r="E778">
        <v>169</v>
      </c>
      <c r="F778">
        <v>232</v>
      </c>
      <c r="G778">
        <v>85</v>
      </c>
      <c r="S778" t="s">
        <v>25145</v>
      </c>
    </row>
    <row r="779" spans="2:19" x14ac:dyDescent="0.25">
      <c r="B779">
        <v>265504824</v>
      </c>
      <c r="C779" t="s">
        <v>25133</v>
      </c>
      <c r="D779" t="s">
        <v>23430</v>
      </c>
      <c r="E779">
        <v>169</v>
      </c>
      <c r="F779">
        <v>232</v>
      </c>
      <c r="G779">
        <v>85</v>
      </c>
      <c r="S779" t="s">
        <v>25146</v>
      </c>
    </row>
    <row r="780" spans="2:19" x14ac:dyDescent="0.25">
      <c r="B780">
        <v>4479</v>
      </c>
      <c r="C780" t="s">
        <v>16446</v>
      </c>
      <c r="D780" t="s">
        <v>23430</v>
      </c>
      <c r="E780">
        <v>169</v>
      </c>
      <c r="F780">
        <v>232</v>
      </c>
      <c r="G780">
        <v>85</v>
      </c>
      <c r="R780" t="s">
        <v>25147</v>
      </c>
    </row>
    <row r="781" spans="2:19" x14ac:dyDescent="0.25">
      <c r="B781">
        <v>12926</v>
      </c>
      <c r="C781" t="s">
        <v>16505</v>
      </c>
      <c r="E781">
        <v>169</v>
      </c>
      <c r="F781">
        <v>232</v>
      </c>
      <c r="G781">
        <v>85</v>
      </c>
      <c r="O781" t="s">
        <v>2907</v>
      </c>
    </row>
    <row r="782" spans="2:19" x14ac:dyDescent="0.25">
      <c r="B782">
        <v>4444</v>
      </c>
      <c r="C782" t="s">
        <v>16505</v>
      </c>
      <c r="D782" t="s">
        <v>24355</v>
      </c>
      <c r="E782">
        <v>169</v>
      </c>
      <c r="F782">
        <v>232</v>
      </c>
      <c r="G782">
        <v>85</v>
      </c>
      <c r="P782" t="s">
        <v>25148</v>
      </c>
    </row>
    <row r="783" spans="2:19" x14ac:dyDescent="0.25">
      <c r="B783">
        <v>265504828</v>
      </c>
      <c r="C783" t="s">
        <v>19905</v>
      </c>
      <c r="D783" t="s">
        <v>24355</v>
      </c>
      <c r="E783">
        <v>169</v>
      </c>
      <c r="F783">
        <v>232</v>
      </c>
      <c r="G783">
        <v>85</v>
      </c>
      <c r="Q783" t="s">
        <v>1563</v>
      </c>
    </row>
    <row r="784" spans="2:19" x14ac:dyDescent="0.25">
      <c r="B784">
        <v>4446</v>
      </c>
      <c r="C784" t="s">
        <v>25149</v>
      </c>
      <c r="D784" t="s">
        <v>24355</v>
      </c>
      <c r="E784">
        <v>169</v>
      </c>
      <c r="F784">
        <v>232</v>
      </c>
      <c r="G784">
        <v>85</v>
      </c>
      <c r="R784" t="s">
        <v>439</v>
      </c>
    </row>
    <row r="785" spans="2:18" x14ac:dyDescent="0.25">
      <c r="B785">
        <v>4447</v>
      </c>
      <c r="C785" t="s">
        <v>25150</v>
      </c>
      <c r="D785" t="s">
        <v>24355</v>
      </c>
      <c r="E785">
        <v>169</v>
      </c>
      <c r="F785">
        <v>232</v>
      </c>
      <c r="G785">
        <v>85</v>
      </c>
      <c r="R785" t="s">
        <v>4005</v>
      </c>
    </row>
    <row r="786" spans="2:18" x14ac:dyDescent="0.25">
      <c r="B786">
        <v>4448</v>
      </c>
      <c r="C786" t="s">
        <v>25151</v>
      </c>
      <c r="D786" t="s">
        <v>24355</v>
      </c>
      <c r="E786">
        <v>169</v>
      </c>
      <c r="F786">
        <v>232</v>
      </c>
      <c r="G786">
        <v>85</v>
      </c>
      <c r="Q786" t="s">
        <v>2827</v>
      </c>
    </row>
    <row r="787" spans="2:18" x14ac:dyDescent="0.25">
      <c r="B787">
        <v>4445</v>
      </c>
      <c r="C787" t="s">
        <v>19907</v>
      </c>
      <c r="D787" t="s">
        <v>24355</v>
      </c>
      <c r="E787">
        <v>169</v>
      </c>
      <c r="F787">
        <v>232</v>
      </c>
      <c r="G787">
        <v>85</v>
      </c>
      <c r="Q787" t="s">
        <v>15046</v>
      </c>
    </row>
    <row r="788" spans="2:18" x14ac:dyDescent="0.25">
      <c r="B788">
        <v>4499</v>
      </c>
      <c r="C788" t="s">
        <v>16505</v>
      </c>
      <c r="D788" t="s">
        <v>23430</v>
      </c>
      <c r="E788">
        <v>169</v>
      </c>
      <c r="F788">
        <v>232</v>
      </c>
      <c r="G788">
        <v>85</v>
      </c>
      <c r="P788" t="s">
        <v>25152</v>
      </c>
    </row>
    <row r="789" spans="2:18" x14ac:dyDescent="0.25">
      <c r="B789">
        <v>265504836</v>
      </c>
      <c r="C789" t="s">
        <v>19905</v>
      </c>
      <c r="D789" t="s">
        <v>23430</v>
      </c>
      <c r="E789">
        <v>169</v>
      </c>
      <c r="F789">
        <v>232</v>
      </c>
      <c r="G789">
        <v>85</v>
      </c>
      <c r="Q789" t="s">
        <v>25153</v>
      </c>
    </row>
    <row r="790" spans="2:18" x14ac:dyDescent="0.25">
      <c r="B790">
        <v>4501</v>
      </c>
      <c r="C790" t="s">
        <v>25149</v>
      </c>
      <c r="D790" t="s">
        <v>23430</v>
      </c>
      <c r="E790">
        <v>169</v>
      </c>
      <c r="F790">
        <v>232</v>
      </c>
      <c r="G790">
        <v>85</v>
      </c>
      <c r="R790" t="s">
        <v>25154</v>
      </c>
    </row>
    <row r="791" spans="2:18" x14ac:dyDescent="0.25">
      <c r="B791">
        <v>4502</v>
      </c>
      <c r="C791" t="s">
        <v>25150</v>
      </c>
      <c r="D791" t="s">
        <v>23430</v>
      </c>
      <c r="E791">
        <v>169</v>
      </c>
      <c r="F791">
        <v>232</v>
      </c>
      <c r="G791">
        <v>85</v>
      </c>
      <c r="R791" t="s">
        <v>25155</v>
      </c>
    </row>
    <row r="792" spans="2:18" x14ac:dyDescent="0.25">
      <c r="B792">
        <v>4503</v>
      </c>
      <c r="C792" t="s">
        <v>25151</v>
      </c>
      <c r="D792" t="s">
        <v>23430</v>
      </c>
      <c r="E792">
        <v>169</v>
      </c>
      <c r="F792">
        <v>232</v>
      </c>
      <c r="G792">
        <v>85</v>
      </c>
      <c r="Q792" t="s">
        <v>25156</v>
      </c>
    </row>
    <row r="793" spans="2:18" x14ac:dyDescent="0.25">
      <c r="B793">
        <v>4500</v>
      </c>
      <c r="C793" t="s">
        <v>19907</v>
      </c>
      <c r="D793" t="s">
        <v>23430</v>
      </c>
      <c r="E793">
        <v>169</v>
      </c>
      <c r="F793">
        <v>232</v>
      </c>
      <c r="G793">
        <v>85</v>
      </c>
      <c r="Q793" t="s">
        <v>25157</v>
      </c>
    </row>
    <row r="794" spans="2:18" x14ac:dyDescent="0.25">
      <c r="B794">
        <v>12927</v>
      </c>
      <c r="C794" t="s">
        <v>25158</v>
      </c>
      <c r="E794">
        <v>169</v>
      </c>
      <c r="F794">
        <v>232</v>
      </c>
      <c r="G794">
        <v>85</v>
      </c>
      <c r="O794" t="s">
        <v>25159</v>
      </c>
    </row>
    <row r="795" spans="2:18" x14ac:dyDescent="0.25">
      <c r="B795">
        <v>4400</v>
      </c>
      <c r="C795" t="s">
        <v>25158</v>
      </c>
      <c r="D795" t="s">
        <v>24355</v>
      </c>
      <c r="E795">
        <v>169</v>
      </c>
      <c r="F795">
        <v>232</v>
      </c>
      <c r="G795">
        <v>85</v>
      </c>
      <c r="P795" t="s">
        <v>25160</v>
      </c>
    </row>
    <row r="796" spans="2:18" x14ac:dyDescent="0.25">
      <c r="B796">
        <v>4401</v>
      </c>
      <c r="C796" t="s">
        <v>16420</v>
      </c>
      <c r="D796" t="s">
        <v>24355</v>
      </c>
      <c r="E796">
        <v>169</v>
      </c>
      <c r="F796">
        <v>232</v>
      </c>
      <c r="G796">
        <v>85</v>
      </c>
      <c r="Q796" t="s">
        <v>2889</v>
      </c>
    </row>
    <row r="797" spans="2:18" x14ac:dyDescent="0.25">
      <c r="B797">
        <v>4402</v>
      </c>
      <c r="C797" t="s">
        <v>25161</v>
      </c>
      <c r="D797" t="s">
        <v>24355</v>
      </c>
      <c r="E797">
        <v>169</v>
      </c>
      <c r="F797">
        <v>232</v>
      </c>
      <c r="G797">
        <v>85</v>
      </c>
      <c r="R797" t="s">
        <v>25162</v>
      </c>
    </row>
    <row r="798" spans="2:18" x14ac:dyDescent="0.25">
      <c r="B798">
        <v>4403</v>
      </c>
      <c r="C798" t="s">
        <v>19952</v>
      </c>
      <c r="D798" t="s">
        <v>24355</v>
      </c>
      <c r="E798">
        <v>169</v>
      </c>
      <c r="F798">
        <v>232</v>
      </c>
      <c r="G798">
        <v>85</v>
      </c>
      <c r="R798" t="s">
        <v>2835</v>
      </c>
    </row>
    <row r="799" spans="2:18" x14ac:dyDescent="0.25">
      <c r="B799">
        <v>4404</v>
      </c>
      <c r="C799" t="s">
        <v>23303</v>
      </c>
      <c r="D799" t="s">
        <v>24355</v>
      </c>
      <c r="E799">
        <v>169</v>
      </c>
      <c r="F799">
        <v>232</v>
      </c>
      <c r="G799">
        <v>85</v>
      </c>
      <c r="R799" t="s">
        <v>1448</v>
      </c>
    </row>
    <row r="800" spans="2:18" x14ac:dyDescent="0.25">
      <c r="B800">
        <v>265504844</v>
      </c>
      <c r="C800" t="s">
        <v>19950</v>
      </c>
      <c r="D800" t="s">
        <v>24355</v>
      </c>
      <c r="E800">
        <v>169</v>
      </c>
      <c r="F800">
        <v>232</v>
      </c>
      <c r="G800">
        <v>85</v>
      </c>
      <c r="R800" t="s">
        <v>25163</v>
      </c>
    </row>
    <row r="801" spans="2:18" x14ac:dyDescent="0.25">
      <c r="B801">
        <v>4407</v>
      </c>
      <c r="C801" t="s">
        <v>20526</v>
      </c>
      <c r="D801" t="s">
        <v>24355</v>
      </c>
      <c r="E801">
        <v>169</v>
      </c>
      <c r="F801">
        <v>232</v>
      </c>
      <c r="G801">
        <v>85</v>
      </c>
      <c r="Q801" t="s">
        <v>25164</v>
      </c>
    </row>
    <row r="802" spans="2:18" x14ac:dyDescent="0.25">
      <c r="B802">
        <v>4405</v>
      </c>
      <c r="C802" t="s">
        <v>16604</v>
      </c>
      <c r="D802" t="s">
        <v>24355</v>
      </c>
      <c r="E802">
        <v>169</v>
      </c>
      <c r="F802">
        <v>232</v>
      </c>
      <c r="G802">
        <v>85</v>
      </c>
      <c r="Q802" t="s">
        <v>3622</v>
      </c>
    </row>
    <row r="803" spans="2:18" x14ac:dyDescent="0.25">
      <c r="B803">
        <v>4406</v>
      </c>
      <c r="C803" t="s">
        <v>15964</v>
      </c>
      <c r="D803" t="s">
        <v>24355</v>
      </c>
      <c r="E803">
        <v>169</v>
      </c>
      <c r="F803">
        <v>232</v>
      </c>
      <c r="G803">
        <v>85</v>
      </c>
      <c r="Q803" t="s">
        <v>14734</v>
      </c>
    </row>
    <row r="804" spans="2:18" x14ac:dyDescent="0.25">
      <c r="B804">
        <v>4455</v>
      </c>
      <c r="C804" t="s">
        <v>25158</v>
      </c>
      <c r="D804" t="s">
        <v>23430</v>
      </c>
      <c r="E804">
        <v>169</v>
      </c>
      <c r="F804">
        <v>232</v>
      </c>
      <c r="G804">
        <v>85</v>
      </c>
      <c r="P804" t="s">
        <v>25165</v>
      </c>
    </row>
    <row r="805" spans="2:18" x14ac:dyDescent="0.25">
      <c r="B805">
        <v>4456</v>
      </c>
      <c r="C805" t="s">
        <v>16420</v>
      </c>
      <c r="D805" t="s">
        <v>23430</v>
      </c>
      <c r="E805">
        <v>169</v>
      </c>
      <c r="F805">
        <v>232</v>
      </c>
      <c r="G805">
        <v>85</v>
      </c>
      <c r="Q805" t="s">
        <v>25166</v>
      </c>
    </row>
    <row r="806" spans="2:18" x14ac:dyDescent="0.25">
      <c r="B806">
        <v>4457</v>
      </c>
      <c r="C806" t="s">
        <v>25161</v>
      </c>
      <c r="D806" t="s">
        <v>23430</v>
      </c>
      <c r="E806">
        <v>169</v>
      </c>
      <c r="F806">
        <v>232</v>
      </c>
      <c r="G806">
        <v>85</v>
      </c>
      <c r="R806" t="s">
        <v>25167</v>
      </c>
    </row>
    <row r="807" spans="2:18" x14ac:dyDescent="0.25">
      <c r="B807">
        <v>4458</v>
      </c>
      <c r="C807" t="s">
        <v>19952</v>
      </c>
      <c r="D807" t="s">
        <v>23430</v>
      </c>
      <c r="E807">
        <v>169</v>
      </c>
      <c r="F807">
        <v>232</v>
      </c>
      <c r="G807">
        <v>85</v>
      </c>
      <c r="R807" t="s">
        <v>25168</v>
      </c>
    </row>
    <row r="808" spans="2:18" x14ac:dyDescent="0.25">
      <c r="B808">
        <v>4459</v>
      </c>
      <c r="C808" t="s">
        <v>23303</v>
      </c>
      <c r="D808" t="s">
        <v>23430</v>
      </c>
      <c r="E808">
        <v>169</v>
      </c>
      <c r="F808">
        <v>232</v>
      </c>
      <c r="G808">
        <v>85</v>
      </c>
      <c r="R808" t="s">
        <v>25169</v>
      </c>
    </row>
    <row r="809" spans="2:18" x14ac:dyDescent="0.25">
      <c r="B809">
        <v>265504848</v>
      </c>
      <c r="C809" t="s">
        <v>19950</v>
      </c>
      <c r="D809" t="s">
        <v>23430</v>
      </c>
      <c r="E809">
        <v>169</v>
      </c>
      <c r="F809">
        <v>232</v>
      </c>
      <c r="G809">
        <v>85</v>
      </c>
      <c r="R809" t="s">
        <v>25170</v>
      </c>
    </row>
    <row r="810" spans="2:18" x14ac:dyDescent="0.25">
      <c r="B810">
        <v>4462</v>
      </c>
      <c r="C810" t="s">
        <v>20526</v>
      </c>
      <c r="D810" t="s">
        <v>23430</v>
      </c>
      <c r="E810">
        <v>169</v>
      </c>
      <c r="F810">
        <v>232</v>
      </c>
      <c r="G810">
        <v>85</v>
      </c>
      <c r="Q810" t="s">
        <v>25171</v>
      </c>
    </row>
    <row r="811" spans="2:18" x14ac:dyDescent="0.25">
      <c r="B811">
        <v>4460</v>
      </c>
      <c r="C811" t="s">
        <v>16604</v>
      </c>
      <c r="D811" t="s">
        <v>23430</v>
      </c>
      <c r="E811">
        <v>169</v>
      </c>
      <c r="F811">
        <v>232</v>
      </c>
      <c r="G811">
        <v>85</v>
      </c>
      <c r="Q811" t="s">
        <v>25172</v>
      </c>
    </row>
    <row r="812" spans="2:18" x14ac:dyDescent="0.25">
      <c r="B812">
        <v>4461</v>
      </c>
      <c r="C812" t="s">
        <v>15964</v>
      </c>
      <c r="D812" t="s">
        <v>23430</v>
      </c>
      <c r="E812">
        <v>169</v>
      </c>
      <c r="F812">
        <v>232</v>
      </c>
      <c r="G812">
        <v>85</v>
      </c>
      <c r="Q812" t="s">
        <v>25173</v>
      </c>
    </row>
    <row r="813" spans="2:18" x14ac:dyDescent="0.25">
      <c r="B813">
        <v>12928</v>
      </c>
      <c r="C813" t="s">
        <v>25174</v>
      </c>
      <c r="E813">
        <v>169</v>
      </c>
      <c r="F813">
        <v>232</v>
      </c>
      <c r="G813">
        <v>85</v>
      </c>
      <c r="O813" t="s">
        <v>25175</v>
      </c>
    </row>
    <row r="814" spans="2:18" x14ac:dyDescent="0.25">
      <c r="B814">
        <v>4428</v>
      </c>
      <c r="C814" t="s">
        <v>25174</v>
      </c>
      <c r="D814" t="s">
        <v>24355</v>
      </c>
      <c r="E814">
        <v>169</v>
      </c>
      <c r="F814">
        <v>232</v>
      </c>
      <c r="G814">
        <v>85</v>
      </c>
      <c r="P814" t="s">
        <v>25176</v>
      </c>
    </row>
    <row r="815" spans="2:18" x14ac:dyDescent="0.25">
      <c r="B815">
        <v>4429</v>
      </c>
      <c r="C815" t="s">
        <v>24355</v>
      </c>
      <c r="D815" t="s">
        <v>24355</v>
      </c>
      <c r="E815">
        <v>169</v>
      </c>
      <c r="F815">
        <v>232</v>
      </c>
      <c r="G815">
        <v>85</v>
      </c>
      <c r="Q815" t="s">
        <v>2784</v>
      </c>
    </row>
    <row r="816" spans="2:18" x14ac:dyDescent="0.25">
      <c r="B816">
        <v>4431</v>
      </c>
      <c r="C816" t="s">
        <v>16450</v>
      </c>
      <c r="D816" t="s">
        <v>24355</v>
      </c>
      <c r="E816">
        <v>169</v>
      </c>
      <c r="F816">
        <v>232</v>
      </c>
      <c r="G816">
        <v>85</v>
      </c>
      <c r="Q816" t="s">
        <v>3961</v>
      </c>
    </row>
    <row r="817" spans="2:17" x14ac:dyDescent="0.25">
      <c r="B817">
        <v>4430</v>
      </c>
      <c r="C817" t="s">
        <v>16486</v>
      </c>
      <c r="D817" t="s">
        <v>24355</v>
      </c>
      <c r="E817">
        <v>169</v>
      </c>
      <c r="F817">
        <v>232</v>
      </c>
      <c r="G817">
        <v>85</v>
      </c>
      <c r="Q817" t="s">
        <v>14866</v>
      </c>
    </row>
    <row r="818" spans="2:17" x14ac:dyDescent="0.25">
      <c r="B818">
        <v>4483</v>
      </c>
      <c r="C818" t="s">
        <v>25174</v>
      </c>
      <c r="D818" t="s">
        <v>23430</v>
      </c>
      <c r="E818">
        <v>169</v>
      </c>
      <c r="F818">
        <v>232</v>
      </c>
      <c r="G818">
        <v>85</v>
      </c>
      <c r="P818" t="s">
        <v>25177</v>
      </c>
    </row>
    <row r="819" spans="2:17" x14ac:dyDescent="0.25">
      <c r="B819">
        <v>4484</v>
      </c>
      <c r="C819" t="s">
        <v>24355</v>
      </c>
      <c r="D819" t="s">
        <v>23430</v>
      </c>
      <c r="E819">
        <v>169</v>
      </c>
      <c r="F819">
        <v>232</v>
      </c>
      <c r="G819">
        <v>85</v>
      </c>
      <c r="Q819" t="s">
        <v>25178</v>
      </c>
    </row>
    <row r="820" spans="2:17" x14ac:dyDescent="0.25">
      <c r="B820">
        <v>4486</v>
      </c>
      <c r="C820" t="s">
        <v>16450</v>
      </c>
      <c r="D820" t="s">
        <v>23430</v>
      </c>
      <c r="E820">
        <v>169</v>
      </c>
      <c r="F820">
        <v>232</v>
      </c>
      <c r="G820">
        <v>85</v>
      </c>
      <c r="Q820" t="s">
        <v>25179</v>
      </c>
    </row>
    <row r="821" spans="2:17" x14ac:dyDescent="0.25">
      <c r="B821">
        <v>4485</v>
      </c>
      <c r="C821" t="s">
        <v>16486</v>
      </c>
      <c r="D821" t="s">
        <v>23430</v>
      </c>
      <c r="E821">
        <v>169</v>
      </c>
      <c r="F821">
        <v>232</v>
      </c>
      <c r="G821">
        <v>85</v>
      </c>
      <c r="Q821" t="s">
        <v>25180</v>
      </c>
    </row>
    <row r="822" spans="2:17" x14ac:dyDescent="0.25">
      <c r="B822">
        <v>12929</v>
      </c>
      <c r="C822" t="s">
        <v>25181</v>
      </c>
      <c r="E822">
        <v>169</v>
      </c>
      <c r="F822">
        <v>232</v>
      </c>
      <c r="G822">
        <v>85</v>
      </c>
      <c r="O822" t="s">
        <v>4899</v>
      </c>
    </row>
    <row r="823" spans="2:17" x14ac:dyDescent="0.25">
      <c r="B823">
        <v>4432</v>
      </c>
      <c r="C823" t="s">
        <v>25181</v>
      </c>
      <c r="D823" t="s">
        <v>24355</v>
      </c>
      <c r="E823">
        <v>169</v>
      </c>
      <c r="F823">
        <v>232</v>
      </c>
      <c r="G823">
        <v>85</v>
      </c>
      <c r="P823" t="s">
        <v>25182</v>
      </c>
    </row>
    <row r="824" spans="2:17" x14ac:dyDescent="0.25">
      <c r="B824">
        <v>4434</v>
      </c>
      <c r="C824" t="s">
        <v>16433</v>
      </c>
      <c r="D824" t="s">
        <v>24355</v>
      </c>
      <c r="E824">
        <v>169</v>
      </c>
      <c r="F824">
        <v>232</v>
      </c>
      <c r="G824">
        <v>85</v>
      </c>
      <c r="Q824" t="s">
        <v>955</v>
      </c>
    </row>
    <row r="825" spans="2:17" x14ac:dyDescent="0.25">
      <c r="B825">
        <v>4436</v>
      </c>
      <c r="C825" t="s">
        <v>15672</v>
      </c>
      <c r="D825" t="s">
        <v>24355</v>
      </c>
      <c r="E825">
        <v>169</v>
      </c>
      <c r="F825">
        <v>232</v>
      </c>
      <c r="G825">
        <v>85</v>
      </c>
      <c r="Q825" t="s">
        <v>25183</v>
      </c>
    </row>
    <row r="826" spans="2:17" x14ac:dyDescent="0.25">
      <c r="B826">
        <v>4435</v>
      </c>
      <c r="C826" t="s">
        <v>25184</v>
      </c>
      <c r="D826" t="s">
        <v>24355</v>
      </c>
      <c r="E826">
        <v>169</v>
      </c>
      <c r="F826">
        <v>232</v>
      </c>
      <c r="G826">
        <v>85</v>
      </c>
      <c r="Q826" t="s">
        <v>3572</v>
      </c>
    </row>
    <row r="827" spans="2:17" x14ac:dyDescent="0.25">
      <c r="B827">
        <v>4433</v>
      </c>
      <c r="C827" t="s">
        <v>16410</v>
      </c>
      <c r="D827" t="s">
        <v>24355</v>
      </c>
      <c r="E827">
        <v>169</v>
      </c>
      <c r="F827">
        <v>232</v>
      </c>
      <c r="G827">
        <v>85</v>
      </c>
      <c r="Q827" t="s">
        <v>4761</v>
      </c>
    </row>
    <row r="828" spans="2:17" x14ac:dyDescent="0.25">
      <c r="B828">
        <v>4487</v>
      </c>
      <c r="C828" t="s">
        <v>25181</v>
      </c>
      <c r="D828" t="s">
        <v>23430</v>
      </c>
      <c r="E828">
        <v>169</v>
      </c>
      <c r="F828">
        <v>232</v>
      </c>
      <c r="G828">
        <v>85</v>
      </c>
      <c r="P828" t="s">
        <v>25185</v>
      </c>
    </row>
    <row r="829" spans="2:17" x14ac:dyDescent="0.25">
      <c r="B829">
        <v>4489</v>
      </c>
      <c r="C829" t="s">
        <v>16433</v>
      </c>
      <c r="D829" t="s">
        <v>23430</v>
      </c>
      <c r="E829">
        <v>169</v>
      </c>
      <c r="F829">
        <v>232</v>
      </c>
      <c r="G829">
        <v>85</v>
      </c>
      <c r="Q829" t="s">
        <v>25186</v>
      </c>
    </row>
    <row r="830" spans="2:17" x14ac:dyDescent="0.25">
      <c r="B830">
        <v>4491</v>
      </c>
      <c r="C830" t="s">
        <v>15672</v>
      </c>
      <c r="D830" t="s">
        <v>23430</v>
      </c>
      <c r="E830">
        <v>169</v>
      </c>
      <c r="F830">
        <v>232</v>
      </c>
      <c r="G830">
        <v>85</v>
      </c>
      <c r="Q830" t="s">
        <v>25187</v>
      </c>
    </row>
    <row r="831" spans="2:17" x14ac:dyDescent="0.25">
      <c r="B831">
        <v>4490</v>
      </c>
      <c r="C831" t="s">
        <v>25184</v>
      </c>
      <c r="D831" t="s">
        <v>23430</v>
      </c>
      <c r="E831">
        <v>169</v>
      </c>
      <c r="F831">
        <v>232</v>
      </c>
      <c r="G831">
        <v>85</v>
      </c>
      <c r="Q831" t="s">
        <v>25188</v>
      </c>
    </row>
    <row r="832" spans="2:17" x14ac:dyDescent="0.25">
      <c r="B832">
        <v>4488</v>
      </c>
      <c r="C832" t="s">
        <v>16410</v>
      </c>
      <c r="D832" t="s">
        <v>23430</v>
      </c>
      <c r="E832">
        <v>169</v>
      </c>
      <c r="F832">
        <v>232</v>
      </c>
      <c r="G832">
        <v>85</v>
      </c>
      <c r="Q832" t="s">
        <v>25189</v>
      </c>
    </row>
    <row r="833" spans="2:16" x14ac:dyDescent="0.25">
      <c r="B833">
        <v>4504</v>
      </c>
      <c r="C833" t="s">
        <v>25190</v>
      </c>
      <c r="E833">
        <v>226</v>
      </c>
      <c r="F833">
        <v>255</v>
      </c>
      <c r="G833">
        <v>93</v>
      </c>
      <c r="N833" t="s">
        <v>15093</v>
      </c>
    </row>
    <row r="834" spans="2:16" x14ac:dyDescent="0.25">
      <c r="B834">
        <v>4505</v>
      </c>
      <c r="C834" t="s">
        <v>25190</v>
      </c>
      <c r="D834" t="s">
        <v>24355</v>
      </c>
      <c r="E834">
        <v>226</v>
      </c>
      <c r="F834">
        <v>255</v>
      </c>
      <c r="G834">
        <v>93</v>
      </c>
      <c r="O834" t="s">
        <v>25191</v>
      </c>
    </row>
    <row r="835" spans="2:16" x14ac:dyDescent="0.25">
      <c r="B835">
        <v>4508</v>
      </c>
      <c r="C835" t="s">
        <v>20158</v>
      </c>
      <c r="D835" t="s">
        <v>24355</v>
      </c>
      <c r="E835">
        <v>226</v>
      </c>
      <c r="F835">
        <v>255</v>
      </c>
      <c r="G835">
        <v>93</v>
      </c>
      <c r="P835" t="s">
        <v>25192</v>
      </c>
    </row>
    <row r="836" spans="2:16" x14ac:dyDescent="0.25">
      <c r="B836">
        <v>4506</v>
      </c>
      <c r="C836" t="s">
        <v>23430</v>
      </c>
      <c r="D836" t="s">
        <v>24355</v>
      </c>
      <c r="E836">
        <v>226</v>
      </c>
      <c r="F836">
        <v>255</v>
      </c>
      <c r="G836">
        <v>93</v>
      </c>
      <c r="P836" t="s">
        <v>14940</v>
      </c>
    </row>
    <row r="837" spans="2:16" x14ac:dyDescent="0.25">
      <c r="B837">
        <v>4507</v>
      </c>
      <c r="C837" t="s">
        <v>20155</v>
      </c>
      <c r="D837" t="s">
        <v>24355</v>
      </c>
      <c r="E837">
        <v>226</v>
      </c>
      <c r="F837">
        <v>255</v>
      </c>
      <c r="G837">
        <v>93</v>
      </c>
      <c r="P837" t="s">
        <v>15164</v>
      </c>
    </row>
    <row r="838" spans="2:16" x14ac:dyDescent="0.25">
      <c r="B838">
        <v>4511</v>
      </c>
      <c r="C838" t="s">
        <v>25190</v>
      </c>
      <c r="D838" t="s">
        <v>23430</v>
      </c>
      <c r="E838">
        <v>226</v>
      </c>
      <c r="F838">
        <v>255</v>
      </c>
      <c r="G838">
        <v>93</v>
      </c>
      <c r="O838" t="s">
        <v>25193</v>
      </c>
    </row>
    <row r="839" spans="2:16" x14ac:dyDescent="0.25">
      <c r="B839">
        <v>4514</v>
      </c>
      <c r="C839" t="s">
        <v>20158</v>
      </c>
      <c r="D839" t="s">
        <v>23430</v>
      </c>
      <c r="E839">
        <v>226</v>
      </c>
      <c r="F839">
        <v>255</v>
      </c>
      <c r="G839">
        <v>93</v>
      </c>
      <c r="P839" t="s">
        <v>25194</v>
      </c>
    </row>
    <row r="840" spans="2:16" x14ac:dyDescent="0.25">
      <c r="B840">
        <v>4512</v>
      </c>
      <c r="C840" t="s">
        <v>23430</v>
      </c>
      <c r="D840" t="s">
        <v>23430</v>
      </c>
      <c r="E840">
        <v>226</v>
      </c>
      <c r="F840">
        <v>255</v>
      </c>
      <c r="G840">
        <v>93</v>
      </c>
      <c r="P840" t="s">
        <v>25195</v>
      </c>
    </row>
    <row r="841" spans="2:16" x14ac:dyDescent="0.25">
      <c r="B841">
        <v>4513</v>
      </c>
      <c r="C841" t="s">
        <v>20155</v>
      </c>
      <c r="D841" t="s">
        <v>23430</v>
      </c>
      <c r="E841">
        <v>226</v>
      </c>
      <c r="F841">
        <v>255</v>
      </c>
      <c r="G841">
        <v>93</v>
      </c>
      <c r="P841" t="s">
        <v>25196</v>
      </c>
    </row>
    <row r="842" spans="2:16" x14ac:dyDescent="0.25">
      <c r="B842">
        <v>9001</v>
      </c>
      <c r="C842" t="s">
        <v>25197</v>
      </c>
      <c r="E842">
        <v>14</v>
      </c>
      <c r="F842">
        <v>121</v>
      </c>
      <c r="G842">
        <v>17</v>
      </c>
      <c r="L842" t="s">
        <v>3104</v>
      </c>
    </row>
    <row r="843" spans="2:16" x14ac:dyDescent="0.25">
      <c r="B843">
        <v>9101</v>
      </c>
      <c r="C843" t="s">
        <v>25198</v>
      </c>
      <c r="E843">
        <v>9</v>
      </c>
      <c r="F843">
        <v>134</v>
      </c>
      <c r="G843">
        <v>83</v>
      </c>
      <c r="M843" t="s">
        <v>3135</v>
      </c>
    </row>
    <row r="844" spans="2:16" x14ac:dyDescent="0.25">
      <c r="B844">
        <v>9102</v>
      </c>
      <c r="C844" t="s">
        <v>16978</v>
      </c>
      <c r="E844">
        <v>9</v>
      </c>
      <c r="F844">
        <v>134</v>
      </c>
      <c r="G844">
        <v>83</v>
      </c>
      <c r="N844" t="s">
        <v>2357</v>
      </c>
    </row>
    <row r="845" spans="2:16" x14ac:dyDescent="0.25">
      <c r="B845">
        <v>9103</v>
      </c>
      <c r="C845" t="s">
        <v>16978</v>
      </c>
      <c r="D845" t="s">
        <v>24355</v>
      </c>
      <c r="E845">
        <v>9</v>
      </c>
      <c r="F845">
        <v>134</v>
      </c>
      <c r="G845">
        <v>83</v>
      </c>
      <c r="O845" t="s">
        <v>25199</v>
      </c>
    </row>
    <row r="846" spans="2:16" x14ac:dyDescent="0.25">
      <c r="B846">
        <v>9104</v>
      </c>
      <c r="C846" t="s">
        <v>16989</v>
      </c>
      <c r="D846" t="s">
        <v>24355</v>
      </c>
      <c r="E846">
        <v>9</v>
      </c>
      <c r="F846">
        <v>134</v>
      </c>
      <c r="G846">
        <v>83</v>
      </c>
      <c r="P846" t="s">
        <v>989</v>
      </c>
    </row>
    <row r="847" spans="2:16" x14ac:dyDescent="0.25">
      <c r="B847">
        <v>9105</v>
      </c>
      <c r="C847" t="s">
        <v>25200</v>
      </c>
      <c r="D847" t="s">
        <v>24355</v>
      </c>
      <c r="E847">
        <v>9</v>
      </c>
      <c r="F847">
        <v>134</v>
      </c>
      <c r="G847">
        <v>83</v>
      </c>
      <c r="P847" t="s">
        <v>1796</v>
      </c>
    </row>
    <row r="848" spans="2:16" x14ac:dyDescent="0.25">
      <c r="B848">
        <v>9106</v>
      </c>
      <c r="C848" t="s">
        <v>25201</v>
      </c>
      <c r="D848" t="s">
        <v>24355</v>
      </c>
      <c r="E848">
        <v>9</v>
      </c>
      <c r="F848">
        <v>134</v>
      </c>
      <c r="G848">
        <v>83</v>
      </c>
      <c r="P848" t="s">
        <v>3796</v>
      </c>
    </row>
    <row r="849" spans="2:16" x14ac:dyDescent="0.25">
      <c r="B849">
        <v>9107</v>
      </c>
      <c r="C849" t="s">
        <v>16978</v>
      </c>
      <c r="D849" t="s">
        <v>23430</v>
      </c>
      <c r="E849">
        <v>9</v>
      </c>
      <c r="F849">
        <v>134</v>
      </c>
      <c r="G849">
        <v>83</v>
      </c>
      <c r="O849" t="s">
        <v>25202</v>
      </c>
    </row>
    <row r="850" spans="2:16" x14ac:dyDescent="0.25">
      <c r="B850">
        <v>9108</v>
      </c>
      <c r="C850" t="s">
        <v>16989</v>
      </c>
      <c r="D850" t="s">
        <v>23430</v>
      </c>
      <c r="E850">
        <v>9</v>
      </c>
      <c r="F850">
        <v>134</v>
      </c>
      <c r="G850">
        <v>83</v>
      </c>
      <c r="P850" t="s">
        <v>25203</v>
      </c>
    </row>
    <row r="851" spans="2:16" x14ac:dyDescent="0.25">
      <c r="B851">
        <v>9109</v>
      </c>
      <c r="C851" t="s">
        <v>25200</v>
      </c>
      <c r="D851" t="s">
        <v>23430</v>
      </c>
      <c r="E851">
        <v>9</v>
      </c>
      <c r="F851">
        <v>134</v>
      </c>
      <c r="G851">
        <v>83</v>
      </c>
      <c r="P851" t="s">
        <v>25204</v>
      </c>
    </row>
    <row r="852" spans="2:16" x14ac:dyDescent="0.25">
      <c r="B852">
        <v>9110</v>
      </c>
      <c r="C852" t="s">
        <v>25201</v>
      </c>
      <c r="D852" t="s">
        <v>23430</v>
      </c>
      <c r="E852">
        <v>9</v>
      </c>
      <c r="F852">
        <v>134</v>
      </c>
      <c r="G852">
        <v>83</v>
      </c>
      <c r="P852" t="s">
        <v>25205</v>
      </c>
    </row>
    <row r="853" spans="2:16" x14ac:dyDescent="0.25">
      <c r="B853">
        <v>9480</v>
      </c>
      <c r="C853" t="s">
        <v>24071</v>
      </c>
      <c r="E853">
        <v>9</v>
      </c>
      <c r="F853">
        <v>134</v>
      </c>
      <c r="G853">
        <v>83</v>
      </c>
      <c r="N853" t="s">
        <v>24072</v>
      </c>
    </row>
    <row r="854" spans="2:16" x14ac:dyDescent="0.25">
      <c r="B854">
        <v>9481</v>
      </c>
      <c r="C854" t="s">
        <v>24071</v>
      </c>
      <c r="D854" t="s">
        <v>24355</v>
      </c>
      <c r="E854">
        <v>9</v>
      </c>
      <c r="F854">
        <v>134</v>
      </c>
      <c r="G854">
        <v>83</v>
      </c>
      <c r="O854" t="s">
        <v>25206</v>
      </c>
    </row>
    <row r="855" spans="2:16" x14ac:dyDescent="0.25">
      <c r="B855">
        <v>9482</v>
      </c>
      <c r="C855" t="s">
        <v>24071</v>
      </c>
      <c r="D855" t="s">
        <v>23430</v>
      </c>
      <c r="E855">
        <v>9</v>
      </c>
      <c r="F855">
        <v>134</v>
      </c>
      <c r="G855">
        <v>83</v>
      </c>
      <c r="O855" t="s">
        <v>25207</v>
      </c>
    </row>
    <row r="856" spans="2:16" x14ac:dyDescent="0.25">
      <c r="B856">
        <v>9483</v>
      </c>
      <c r="C856" t="s">
        <v>25208</v>
      </c>
      <c r="E856">
        <v>9</v>
      </c>
      <c r="F856">
        <v>134</v>
      </c>
      <c r="G856">
        <v>83</v>
      </c>
      <c r="N856" t="s">
        <v>3319</v>
      </c>
    </row>
    <row r="857" spans="2:16" x14ac:dyDescent="0.25">
      <c r="B857">
        <v>9484</v>
      </c>
      <c r="C857" t="s">
        <v>25208</v>
      </c>
      <c r="D857" t="s">
        <v>24355</v>
      </c>
      <c r="E857">
        <v>9</v>
      </c>
      <c r="F857">
        <v>134</v>
      </c>
      <c r="G857">
        <v>83</v>
      </c>
      <c r="O857" t="s">
        <v>25209</v>
      </c>
    </row>
    <row r="858" spans="2:16" x14ac:dyDescent="0.25">
      <c r="B858">
        <v>9485</v>
      </c>
      <c r="C858" t="s">
        <v>25208</v>
      </c>
      <c r="D858" t="s">
        <v>23430</v>
      </c>
      <c r="E858">
        <v>9</v>
      </c>
      <c r="F858">
        <v>134</v>
      </c>
      <c r="G858">
        <v>83</v>
      </c>
      <c r="O858" t="s">
        <v>25210</v>
      </c>
    </row>
    <row r="859" spans="2:16" x14ac:dyDescent="0.25">
      <c r="B859">
        <v>9111</v>
      </c>
      <c r="C859" t="s">
        <v>17293</v>
      </c>
      <c r="E859">
        <v>9</v>
      </c>
      <c r="F859">
        <v>134</v>
      </c>
      <c r="G859">
        <v>83</v>
      </c>
      <c r="N859" t="s">
        <v>716</v>
      </c>
    </row>
    <row r="860" spans="2:16" x14ac:dyDescent="0.25">
      <c r="B860">
        <v>9112</v>
      </c>
      <c r="C860" t="s">
        <v>17293</v>
      </c>
      <c r="D860" t="s">
        <v>24355</v>
      </c>
      <c r="E860">
        <v>9</v>
      </c>
      <c r="F860">
        <v>134</v>
      </c>
      <c r="G860">
        <v>83</v>
      </c>
      <c r="O860" t="s">
        <v>25211</v>
      </c>
    </row>
    <row r="861" spans="2:16" x14ac:dyDescent="0.25">
      <c r="B861">
        <v>9113</v>
      </c>
      <c r="C861" t="s">
        <v>17293</v>
      </c>
      <c r="D861" t="s">
        <v>23430</v>
      </c>
      <c r="E861">
        <v>9</v>
      </c>
      <c r="F861">
        <v>134</v>
      </c>
      <c r="G861">
        <v>83</v>
      </c>
      <c r="O861" t="s">
        <v>25212</v>
      </c>
    </row>
    <row r="862" spans="2:16" x14ac:dyDescent="0.25">
      <c r="B862">
        <v>9114</v>
      </c>
      <c r="C862" t="s">
        <v>16951</v>
      </c>
      <c r="E862">
        <v>9</v>
      </c>
      <c r="F862">
        <v>134</v>
      </c>
      <c r="G862">
        <v>83</v>
      </c>
      <c r="N862" t="s">
        <v>14798</v>
      </c>
    </row>
    <row r="863" spans="2:16" x14ac:dyDescent="0.25">
      <c r="B863">
        <v>9115</v>
      </c>
      <c r="C863" t="s">
        <v>16951</v>
      </c>
      <c r="D863" t="s">
        <v>24355</v>
      </c>
      <c r="E863">
        <v>9</v>
      </c>
      <c r="F863">
        <v>134</v>
      </c>
      <c r="G863">
        <v>83</v>
      </c>
      <c r="O863" t="s">
        <v>25213</v>
      </c>
    </row>
    <row r="864" spans="2:16" x14ac:dyDescent="0.25">
      <c r="B864">
        <v>9116</v>
      </c>
      <c r="C864" t="s">
        <v>25214</v>
      </c>
      <c r="D864" t="s">
        <v>24355</v>
      </c>
      <c r="E864">
        <v>9</v>
      </c>
      <c r="F864">
        <v>134</v>
      </c>
      <c r="G864">
        <v>83</v>
      </c>
      <c r="P864" t="s">
        <v>5037</v>
      </c>
    </row>
    <row r="865" spans="2:17" x14ac:dyDescent="0.25">
      <c r="B865">
        <v>9117</v>
      </c>
      <c r="C865" t="s">
        <v>16964</v>
      </c>
      <c r="D865" t="s">
        <v>24355</v>
      </c>
      <c r="E865">
        <v>9</v>
      </c>
      <c r="F865">
        <v>134</v>
      </c>
      <c r="G865">
        <v>83</v>
      </c>
      <c r="Q865" t="s">
        <v>1435</v>
      </c>
    </row>
    <row r="866" spans="2:17" x14ac:dyDescent="0.25">
      <c r="B866">
        <v>9118</v>
      </c>
      <c r="C866" t="s">
        <v>16960</v>
      </c>
      <c r="D866" t="s">
        <v>24355</v>
      </c>
      <c r="E866">
        <v>9</v>
      </c>
      <c r="F866">
        <v>134</v>
      </c>
      <c r="G866">
        <v>83</v>
      </c>
      <c r="Q866" t="s">
        <v>1443</v>
      </c>
    </row>
    <row r="867" spans="2:17" x14ac:dyDescent="0.25">
      <c r="B867">
        <v>9119</v>
      </c>
      <c r="C867" t="s">
        <v>25215</v>
      </c>
      <c r="D867" t="s">
        <v>24355</v>
      </c>
      <c r="E867">
        <v>9</v>
      </c>
      <c r="F867">
        <v>134</v>
      </c>
      <c r="G867">
        <v>83</v>
      </c>
      <c r="Q867" t="s">
        <v>3162</v>
      </c>
    </row>
    <row r="868" spans="2:17" x14ac:dyDescent="0.25">
      <c r="B868">
        <v>9120</v>
      </c>
      <c r="C868" t="s">
        <v>25216</v>
      </c>
      <c r="D868" t="s">
        <v>24355</v>
      </c>
      <c r="E868">
        <v>9</v>
      </c>
      <c r="F868">
        <v>134</v>
      </c>
      <c r="G868">
        <v>83</v>
      </c>
      <c r="Q868" t="s">
        <v>3174</v>
      </c>
    </row>
    <row r="869" spans="2:17" x14ac:dyDescent="0.25">
      <c r="B869">
        <v>9121</v>
      </c>
      <c r="C869" t="s">
        <v>16974</v>
      </c>
      <c r="D869" t="s">
        <v>24355</v>
      </c>
      <c r="E869">
        <v>9</v>
      </c>
      <c r="F869">
        <v>134</v>
      </c>
      <c r="G869">
        <v>83</v>
      </c>
      <c r="P869" t="s">
        <v>14806</v>
      </c>
    </row>
    <row r="870" spans="2:17" x14ac:dyDescent="0.25">
      <c r="B870">
        <v>9122</v>
      </c>
      <c r="C870" t="s">
        <v>25217</v>
      </c>
      <c r="D870" t="s">
        <v>24355</v>
      </c>
      <c r="E870">
        <v>9</v>
      </c>
      <c r="F870">
        <v>134</v>
      </c>
      <c r="G870">
        <v>83</v>
      </c>
      <c r="P870" t="s">
        <v>14785</v>
      </c>
    </row>
    <row r="871" spans="2:17" x14ac:dyDescent="0.25">
      <c r="B871">
        <v>9123</v>
      </c>
      <c r="C871" t="s">
        <v>16951</v>
      </c>
      <c r="D871" t="s">
        <v>23430</v>
      </c>
      <c r="E871">
        <v>9</v>
      </c>
      <c r="F871">
        <v>134</v>
      </c>
      <c r="G871">
        <v>83</v>
      </c>
      <c r="O871" t="s">
        <v>25218</v>
      </c>
    </row>
    <row r="872" spans="2:17" x14ac:dyDescent="0.25">
      <c r="B872">
        <v>9124</v>
      </c>
      <c r="C872" t="s">
        <v>25214</v>
      </c>
      <c r="D872" t="s">
        <v>23430</v>
      </c>
      <c r="E872">
        <v>9</v>
      </c>
      <c r="F872">
        <v>134</v>
      </c>
      <c r="G872">
        <v>83</v>
      </c>
      <c r="P872" t="s">
        <v>25219</v>
      </c>
    </row>
    <row r="873" spans="2:17" x14ac:dyDescent="0.25">
      <c r="B873">
        <v>9125</v>
      </c>
      <c r="C873" t="s">
        <v>16964</v>
      </c>
      <c r="D873" t="s">
        <v>23430</v>
      </c>
      <c r="E873">
        <v>9</v>
      </c>
      <c r="F873">
        <v>134</v>
      </c>
      <c r="G873">
        <v>83</v>
      </c>
      <c r="Q873" t="s">
        <v>25220</v>
      </c>
    </row>
    <row r="874" spans="2:17" x14ac:dyDescent="0.25">
      <c r="B874">
        <v>9126</v>
      </c>
      <c r="C874" t="s">
        <v>16960</v>
      </c>
      <c r="D874" t="s">
        <v>23430</v>
      </c>
      <c r="E874">
        <v>9</v>
      </c>
      <c r="F874">
        <v>134</v>
      </c>
      <c r="G874">
        <v>83</v>
      </c>
      <c r="Q874" t="s">
        <v>25221</v>
      </c>
    </row>
    <row r="875" spans="2:17" x14ac:dyDescent="0.25">
      <c r="B875">
        <v>9127</v>
      </c>
      <c r="C875" t="s">
        <v>25215</v>
      </c>
      <c r="D875" t="s">
        <v>23430</v>
      </c>
      <c r="E875">
        <v>9</v>
      </c>
      <c r="F875">
        <v>134</v>
      </c>
      <c r="G875">
        <v>83</v>
      </c>
      <c r="Q875" t="s">
        <v>25222</v>
      </c>
    </row>
    <row r="876" spans="2:17" x14ac:dyDescent="0.25">
      <c r="B876">
        <v>9128</v>
      </c>
      <c r="C876" t="s">
        <v>25216</v>
      </c>
      <c r="D876" t="s">
        <v>23430</v>
      </c>
      <c r="E876">
        <v>9</v>
      </c>
      <c r="F876">
        <v>134</v>
      </c>
      <c r="G876">
        <v>83</v>
      </c>
      <c r="Q876" t="s">
        <v>25223</v>
      </c>
    </row>
    <row r="877" spans="2:17" x14ac:dyDescent="0.25">
      <c r="B877">
        <v>9129</v>
      </c>
      <c r="C877" t="s">
        <v>16974</v>
      </c>
      <c r="D877" t="s">
        <v>23430</v>
      </c>
      <c r="E877">
        <v>9</v>
      </c>
      <c r="F877">
        <v>134</v>
      </c>
      <c r="G877">
        <v>83</v>
      </c>
      <c r="P877" t="s">
        <v>25224</v>
      </c>
    </row>
    <row r="878" spans="2:17" x14ac:dyDescent="0.25">
      <c r="B878">
        <v>9130</v>
      </c>
      <c r="C878" t="s">
        <v>25217</v>
      </c>
      <c r="D878" t="s">
        <v>23430</v>
      </c>
      <c r="E878">
        <v>9</v>
      </c>
      <c r="F878">
        <v>134</v>
      </c>
      <c r="G878">
        <v>83</v>
      </c>
      <c r="P878" t="s">
        <v>25225</v>
      </c>
    </row>
    <row r="879" spans="2:17" x14ac:dyDescent="0.25">
      <c r="B879">
        <v>9486</v>
      </c>
      <c r="C879" t="s">
        <v>24079</v>
      </c>
      <c r="E879">
        <v>9</v>
      </c>
      <c r="F879">
        <v>134</v>
      </c>
      <c r="G879">
        <v>83</v>
      </c>
      <c r="N879" t="s">
        <v>4938</v>
      </c>
    </row>
    <row r="880" spans="2:17" x14ac:dyDescent="0.25">
      <c r="B880">
        <v>9487</v>
      </c>
      <c r="C880" t="s">
        <v>24079</v>
      </c>
      <c r="D880" t="s">
        <v>24355</v>
      </c>
      <c r="E880">
        <v>9</v>
      </c>
      <c r="F880">
        <v>134</v>
      </c>
      <c r="G880">
        <v>83</v>
      </c>
      <c r="O880" t="s">
        <v>25226</v>
      </c>
    </row>
    <row r="881" spans="2:16" x14ac:dyDescent="0.25">
      <c r="B881">
        <v>9488</v>
      </c>
      <c r="C881" t="s">
        <v>24079</v>
      </c>
      <c r="D881" t="s">
        <v>23430</v>
      </c>
      <c r="E881">
        <v>9</v>
      </c>
      <c r="F881">
        <v>134</v>
      </c>
      <c r="G881">
        <v>83</v>
      </c>
      <c r="O881" t="s">
        <v>25227</v>
      </c>
    </row>
    <row r="882" spans="2:16" x14ac:dyDescent="0.25">
      <c r="B882">
        <v>9489</v>
      </c>
      <c r="C882" t="s">
        <v>16611</v>
      </c>
      <c r="E882">
        <v>9</v>
      </c>
      <c r="F882">
        <v>134</v>
      </c>
      <c r="G882">
        <v>83</v>
      </c>
      <c r="N882" t="s">
        <v>2079</v>
      </c>
    </row>
    <row r="883" spans="2:16" x14ac:dyDescent="0.25">
      <c r="B883">
        <v>9490</v>
      </c>
      <c r="C883" t="s">
        <v>16611</v>
      </c>
      <c r="D883" t="s">
        <v>24355</v>
      </c>
      <c r="E883">
        <v>9</v>
      </c>
      <c r="F883">
        <v>134</v>
      </c>
      <c r="G883">
        <v>83</v>
      </c>
      <c r="O883" t="s">
        <v>25228</v>
      </c>
    </row>
    <row r="884" spans="2:16" x14ac:dyDescent="0.25">
      <c r="B884">
        <v>9491</v>
      </c>
      <c r="C884" t="s">
        <v>16611</v>
      </c>
      <c r="D884" t="s">
        <v>23430</v>
      </c>
      <c r="E884">
        <v>9</v>
      </c>
      <c r="F884">
        <v>134</v>
      </c>
      <c r="G884">
        <v>83</v>
      </c>
      <c r="O884" t="s">
        <v>25229</v>
      </c>
    </row>
    <row r="885" spans="2:16" x14ac:dyDescent="0.25">
      <c r="B885">
        <v>9002</v>
      </c>
      <c r="C885" t="s">
        <v>17044</v>
      </c>
      <c r="E885">
        <v>52</v>
      </c>
      <c r="F885">
        <v>144</v>
      </c>
      <c r="G885">
        <v>9</v>
      </c>
      <c r="M885" t="s">
        <v>3139</v>
      </c>
    </row>
    <row r="886" spans="2:16" x14ac:dyDescent="0.25">
      <c r="B886">
        <v>9003</v>
      </c>
      <c r="C886" t="s">
        <v>25230</v>
      </c>
      <c r="E886">
        <v>52</v>
      </c>
      <c r="F886">
        <v>144</v>
      </c>
      <c r="G886">
        <v>9</v>
      </c>
      <c r="N886" t="s">
        <v>942</v>
      </c>
    </row>
    <row r="887" spans="2:16" x14ac:dyDescent="0.25">
      <c r="B887">
        <v>9004</v>
      </c>
      <c r="C887" t="s">
        <v>25230</v>
      </c>
      <c r="D887" t="s">
        <v>24355</v>
      </c>
      <c r="E887">
        <v>52</v>
      </c>
      <c r="F887">
        <v>144</v>
      </c>
      <c r="G887">
        <v>9</v>
      </c>
      <c r="O887" t="s">
        <v>25231</v>
      </c>
    </row>
    <row r="888" spans="2:16" x14ac:dyDescent="0.25">
      <c r="B888">
        <v>9440</v>
      </c>
      <c r="C888" t="s">
        <v>25232</v>
      </c>
      <c r="D888" t="s">
        <v>24355</v>
      </c>
      <c r="E888">
        <v>52</v>
      </c>
      <c r="F888">
        <v>144</v>
      </c>
      <c r="G888">
        <v>9</v>
      </c>
      <c r="P888" t="s">
        <v>25233</v>
      </c>
    </row>
    <row r="889" spans="2:16" x14ac:dyDescent="0.25">
      <c r="B889">
        <v>9439</v>
      </c>
      <c r="C889" t="s">
        <v>25234</v>
      </c>
      <c r="D889" t="s">
        <v>24355</v>
      </c>
      <c r="E889">
        <v>52</v>
      </c>
      <c r="F889">
        <v>144</v>
      </c>
      <c r="G889">
        <v>9</v>
      </c>
      <c r="P889" t="s">
        <v>25235</v>
      </c>
    </row>
    <row r="890" spans="2:16" x14ac:dyDescent="0.25">
      <c r="B890">
        <v>9441</v>
      </c>
      <c r="C890" t="s">
        <v>25236</v>
      </c>
      <c r="D890" t="s">
        <v>24355</v>
      </c>
      <c r="E890">
        <v>52</v>
      </c>
      <c r="F890">
        <v>144</v>
      </c>
      <c r="G890">
        <v>9</v>
      </c>
      <c r="P890" t="s">
        <v>25237</v>
      </c>
    </row>
    <row r="891" spans="2:16" x14ac:dyDescent="0.25">
      <c r="B891">
        <v>9443</v>
      </c>
      <c r="C891" t="s">
        <v>25238</v>
      </c>
      <c r="D891" t="s">
        <v>24355</v>
      </c>
      <c r="E891">
        <v>52</v>
      </c>
      <c r="F891">
        <v>144</v>
      </c>
      <c r="G891">
        <v>9</v>
      </c>
      <c r="P891" t="s">
        <v>25239</v>
      </c>
    </row>
    <row r="892" spans="2:16" x14ac:dyDescent="0.25">
      <c r="B892">
        <v>9442</v>
      </c>
      <c r="C892" t="s">
        <v>25240</v>
      </c>
      <c r="D892" t="s">
        <v>24355</v>
      </c>
      <c r="E892">
        <v>52</v>
      </c>
      <c r="F892">
        <v>144</v>
      </c>
      <c r="G892">
        <v>9</v>
      </c>
      <c r="P892" t="s">
        <v>25241</v>
      </c>
    </row>
    <row r="893" spans="2:16" x14ac:dyDescent="0.25">
      <c r="B893">
        <v>9005</v>
      </c>
      <c r="C893" t="s">
        <v>25230</v>
      </c>
      <c r="D893" t="s">
        <v>23430</v>
      </c>
      <c r="E893">
        <v>52</v>
      </c>
      <c r="F893">
        <v>144</v>
      </c>
      <c r="G893">
        <v>9</v>
      </c>
      <c r="O893" t="s">
        <v>25242</v>
      </c>
    </row>
    <row r="894" spans="2:16" x14ac:dyDescent="0.25">
      <c r="B894">
        <v>9445</v>
      </c>
      <c r="C894" t="s">
        <v>25232</v>
      </c>
      <c r="D894" t="s">
        <v>23430</v>
      </c>
      <c r="E894">
        <v>52</v>
      </c>
      <c r="F894">
        <v>144</v>
      </c>
      <c r="G894">
        <v>9</v>
      </c>
      <c r="P894" t="s">
        <v>25243</v>
      </c>
    </row>
    <row r="895" spans="2:16" x14ac:dyDescent="0.25">
      <c r="B895">
        <v>9444</v>
      </c>
      <c r="C895" t="s">
        <v>25234</v>
      </c>
      <c r="D895" t="s">
        <v>23430</v>
      </c>
      <c r="E895">
        <v>52</v>
      </c>
      <c r="F895">
        <v>144</v>
      </c>
      <c r="G895">
        <v>9</v>
      </c>
      <c r="P895" t="s">
        <v>25244</v>
      </c>
    </row>
    <row r="896" spans="2:16" x14ac:dyDescent="0.25">
      <c r="B896">
        <v>9446</v>
      </c>
      <c r="C896" t="s">
        <v>25236</v>
      </c>
      <c r="D896" t="s">
        <v>23430</v>
      </c>
      <c r="E896">
        <v>52</v>
      </c>
      <c r="F896">
        <v>144</v>
      </c>
      <c r="G896">
        <v>9</v>
      </c>
      <c r="P896" t="s">
        <v>25245</v>
      </c>
    </row>
    <row r="897" spans="2:16" x14ac:dyDescent="0.25">
      <c r="B897">
        <v>9448</v>
      </c>
      <c r="C897" t="s">
        <v>25238</v>
      </c>
      <c r="D897" t="s">
        <v>23430</v>
      </c>
      <c r="E897">
        <v>52</v>
      </c>
      <c r="F897">
        <v>144</v>
      </c>
      <c r="G897">
        <v>9</v>
      </c>
      <c r="P897" t="s">
        <v>25246</v>
      </c>
    </row>
    <row r="898" spans="2:16" x14ac:dyDescent="0.25">
      <c r="B898">
        <v>9447</v>
      </c>
      <c r="C898" t="s">
        <v>25240</v>
      </c>
      <c r="D898" t="s">
        <v>23430</v>
      </c>
      <c r="E898">
        <v>52</v>
      </c>
      <c r="F898">
        <v>144</v>
      </c>
      <c r="G898">
        <v>9</v>
      </c>
      <c r="P898" t="s">
        <v>25247</v>
      </c>
    </row>
    <row r="899" spans="2:16" x14ac:dyDescent="0.25">
      <c r="B899">
        <v>9449</v>
      </c>
      <c r="C899" t="s">
        <v>20253</v>
      </c>
      <c r="E899">
        <v>52</v>
      </c>
      <c r="F899">
        <v>144</v>
      </c>
      <c r="G899">
        <v>9</v>
      </c>
      <c r="N899" t="s">
        <v>3763</v>
      </c>
    </row>
    <row r="900" spans="2:16" x14ac:dyDescent="0.25">
      <c r="B900">
        <v>9450</v>
      </c>
      <c r="C900" t="s">
        <v>20253</v>
      </c>
      <c r="D900" t="s">
        <v>24355</v>
      </c>
      <c r="E900">
        <v>52</v>
      </c>
      <c r="F900">
        <v>144</v>
      </c>
      <c r="G900">
        <v>9</v>
      </c>
      <c r="O900" t="s">
        <v>25248</v>
      </c>
    </row>
    <row r="901" spans="2:16" x14ac:dyDescent="0.25">
      <c r="B901">
        <v>9451</v>
      </c>
      <c r="C901" t="s">
        <v>20253</v>
      </c>
      <c r="D901" t="s">
        <v>23430</v>
      </c>
      <c r="E901">
        <v>52</v>
      </c>
      <c r="F901">
        <v>144</v>
      </c>
      <c r="G901">
        <v>9</v>
      </c>
      <c r="O901" t="s">
        <v>25249</v>
      </c>
    </row>
    <row r="902" spans="2:16" x14ac:dyDescent="0.25">
      <c r="B902">
        <v>9012</v>
      </c>
      <c r="C902" t="s">
        <v>20716</v>
      </c>
      <c r="E902">
        <v>52</v>
      </c>
      <c r="F902">
        <v>144</v>
      </c>
      <c r="G902">
        <v>9</v>
      </c>
      <c r="N902" t="s">
        <v>2503</v>
      </c>
    </row>
    <row r="903" spans="2:16" x14ac:dyDescent="0.25">
      <c r="B903">
        <v>9013</v>
      </c>
      <c r="C903" t="s">
        <v>20716</v>
      </c>
      <c r="D903" t="s">
        <v>24355</v>
      </c>
      <c r="E903">
        <v>52</v>
      </c>
      <c r="F903">
        <v>144</v>
      </c>
      <c r="G903">
        <v>9</v>
      </c>
      <c r="O903" t="s">
        <v>25250</v>
      </c>
    </row>
    <row r="904" spans="2:16" x14ac:dyDescent="0.25">
      <c r="B904">
        <v>9014</v>
      </c>
      <c r="C904" t="s">
        <v>20716</v>
      </c>
      <c r="D904" t="s">
        <v>23430</v>
      </c>
      <c r="E904">
        <v>52</v>
      </c>
      <c r="F904">
        <v>144</v>
      </c>
      <c r="G904">
        <v>9</v>
      </c>
      <c r="O904" t="s">
        <v>25251</v>
      </c>
    </row>
    <row r="905" spans="2:16" x14ac:dyDescent="0.25">
      <c r="B905">
        <v>9015</v>
      </c>
      <c r="C905" t="s">
        <v>25252</v>
      </c>
      <c r="E905">
        <v>52</v>
      </c>
      <c r="F905">
        <v>144</v>
      </c>
      <c r="G905">
        <v>9</v>
      </c>
      <c r="N905" t="s">
        <v>2515</v>
      </c>
    </row>
    <row r="906" spans="2:16" x14ac:dyDescent="0.25">
      <c r="B906">
        <v>9016</v>
      </c>
      <c r="C906" t="s">
        <v>25252</v>
      </c>
      <c r="D906" t="s">
        <v>24355</v>
      </c>
      <c r="E906">
        <v>52</v>
      </c>
      <c r="F906">
        <v>144</v>
      </c>
      <c r="G906">
        <v>9</v>
      </c>
      <c r="O906" t="s">
        <v>25253</v>
      </c>
    </row>
    <row r="907" spans="2:16" x14ac:dyDescent="0.25">
      <c r="B907">
        <v>9017</v>
      </c>
      <c r="C907" t="s">
        <v>25252</v>
      </c>
      <c r="D907" t="s">
        <v>23430</v>
      </c>
      <c r="E907">
        <v>52</v>
      </c>
      <c r="F907">
        <v>144</v>
      </c>
      <c r="G907">
        <v>9</v>
      </c>
      <c r="O907" t="s">
        <v>25254</v>
      </c>
    </row>
    <row r="908" spans="2:16" x14ac:dyDescent="0.25">
      <c r="B908">
        <v>265504852</v>
      </c>
      <c r="C908" t="s">
        <v>23983</v>
      </c>
      <c r="E908">
        <v>52</v>
      </c>
      <c r="F908">
        <v>144</v>
      </c>
      <c r="G908">
        <v>9</v>
      </c>
      <c r="N908" t="s">
        <v>23984</v>
      </c>
    </row>
    <row r="909" spans="2:16" x14ac:dyDescent="0.25">
      <c r="B909">
        <v>265504856</v>
      </c>
      <c r="C909" t="s">
        <v>23983</v>
      </c>
      <c r="D909" t="s">
        <v>24355</v>
      </c>
      <c r="E909">
        <v>52</v>
      </c>
      <c r="F909">
        <v>144</v>
      </c>
      <c r="G909">
        <v>9</v>
      </c>
      <c r="O909" t="s">
        <v>25255</v>
      </c>
    </row>
    <row r="910" spans="2:16" x14ac:dyDescent="0.25">
      <c r="B910">
        <v>265504860</v>
      </c>
      <c r="C910" t="s">
        <v>23983</v>
      </c>
      <c r="D910" t="s">
        <v>23430</v>
      </c>
      <c r="E910">
        <v>52</v>
      </c>
      <c r="F910">
        <v>144</v>
      </c>
      <c r="G910">
        <v>9</v>
      </c>
      <c r="O910" t="s">
        <v>25256</v>
      </c>
    </row>
    <row r="911" spans="2:16" x14ac:dyDescent="0.25">
      <c r="B911">
        <v>9455</v>
      </c>
      <c r="C911" t="s">
        <v>25257</v>
      </c>
      <c r="E911">
        <v>52</v>
      </c>
      <c r="F911">
        <v>144</v>
      </c>
      <c r="G911">
        <v>9</v>
      </c>
      <c r="N911" t="s">
        <v>3126</v>
      </c>
    </row>
    <row r="912" spans="2:16" x14ac:dyDescent="0.25">
      <c r="B912">
        <v>9456</v>
      </c>
      <c r="C912" t="s">
        <v>25257</v>
      </c>
      <c r="D912" t="s">
        <v>24355</v>
      </c>
      <c r="E912">
        <v>52</v>
      </c>
      <c r="F912">
        <v>144</v>
      </c>
      <c r="G912">
        <v>9</v>
      </c>
      <c r="O912" t="s">
        <v>25258</v>
      </c>
    </row>
    <row r="913" spans="2:17" x14ac:dyDescent="0.25">
      <c r="B913">
        <v>9457</v>
      </c>
      <c r="C913" t="s">
        <v>20291</v>
      </c>
      <c r="D913" t="s">
        <v>24355</v>
      </c>
      <c r="E913">
        <v>52</v>
      </c>
      <c r="F913">
        <v>144</v>
      </c>
      <c r="G913">
        <v>9</v>
      </c>
      <c r="P913" t="s">
        <v>1600</v>
      </c>
    </row>
    <row r="914" spans="2:17" x14ac:dyDescent="0.25">
      <c r="B914">
        <v>9458</v>
      </c>
      <c r="C914" t="s">
        <v>23959</v>
      </c>
      <c r="D914" t="s">
        <v>24355</v>
      </c>
      <c r="E914">
        <v>52</v>
      </c>
      <c r="F914">
        <v>144</v>
      </c>
      <c r="G914">
        <v>9</v>
      </c>
      <c r="Q914" t="s">
        <v>25259</v>
      </c>
    </row>
    <row r="915" spans="2:17" x14ac:dyDescent="0.25">
      <c r="B915">
        <v>9459</v>
      </c>
      <c r="C915" t="s">
        <v>23961</v>
      </c>
      <c r="D915" t="s">
        <v>24355</v>
      </c>
      <c r="E915">
        <v>52</v>
      </c>
      <c r="F915">
        <v>144</v>
      </c>
      <c r="G915">
        <v>9</v>
      </c>
      <c r="Q915" t="s">
        <v>25260</v>
      </c>
    </row>
    <row r="916" spans="2:17" x14ac:dyDescent="0.25">
      <c r="B916">
        <v>9461</v>
      </c>
      <c r="C916" t="s">
        <v>25261</v>
      </c>
      <c r="D916" t="s">
        <v>24355</v>
      </c>
      <c r="E916">
        <v>52</v>
      </c>
      <c r="F916">
        <v>144</v>
      </c>
      <c r="G916">
        <v>9</v>
      </c>
      <c r="Q916" t="s">
        <v>25262</v>
      </c>
    </row>
    <row r="917" spans="2:17" x14ac:dyDescent="0.25">
      <c r="B917">
        <v>9460</v>
      </c>
      <c r="C917" t="s">
        <v>23965</v>
      </c>
      <c r="D917" t="s">
        <v>24355</v>
      </c>
      <c r="E917">
        <v>52</v>
      </c>
      <c r="F917">
        <v>144</v>
      </c>
      <c r="G917">
        <v>9</v>
      </c>
      <c r="Q917" t="s">
        <v>25263</v>
      </c>
    </row>
    <row r="918" spans="2:17" x14ac:dyDescent="0.25">
      <c r="B918">
        <v>9462</v>
      </c>
      <c r="C918" t="s">
        <v>23977</v>
      </c>
      <c r="D918" t="s">
        <v>24355</v>
      </c>
      <c r="E918">
        <v>52</v>
      </c>
      <c r="F918">
        <v>144</v>
      </c>
      <c r="G918">
        <v>9</v>
      </c>
      <c r="P918" t="s">
        <v>25264</v>
      </c>
    </row>
    <row r="919" spans="2:17" x14ac:dyDescent="0.25">
      <c r="B919">
        <v>9463</v>
      </c>
      <c r="C919" t="s">
        <v>25257</v>
      </c>
      <c r="D919" t="s">
        <v>23430</v>
      </c>
      <c r="E919">
        <v>52</v>
      </c>
      <c r="F919">
        <v>144</v>
      </c>
      <c r="G919">
        <v>9</v>
      </c>
      <c r="O919" t="s">
        <v>25265</v>
      </c>
    </row>
    <row r="920" spans="2:17" x14ac:dyDescent="0.25">
      <c r="B920">
        <v>9464</v>
      </c>
      <c r="C920" t="s">
        <v>20291</v>
      </c>
      <c r="D920" t="s">
        <v>23430</v>
      </c>
      <c r="E920">
        <v>52</v>
      </c>
      <c r="F920">
        <v>144</v>
      </c>
      <c r="G920">
        <v>9</v>
      </c>
      <c r="P920" t="s">
        <v>25266</v>
      </c>
    </row>
    <row r="921" spans="2:17" x14ac:dyDescent="0.25">
      <c r="B921">
        <v>9465</v>
      </c>
      <c r="C921" t="s">
        <v>23959</v>
      </c>
      <c r="D921" t="s">
        <v>23430</v>
      </c>
      <c r="E921">
        <v>52</v>
      </c>
      <c r="F921">
        <v>144</v>
      </c>
      <c r="G921">
        <v>9</v>
      </c>
      <c r="Q921" t="s">
        <v>25267</v>
      </c>
    </row>
    <row r="922" spans="2:17" x14ac:dyDescent="0.25">
      <c r="B922">
        <v>9466</v>
      </c>
      <c r="C922" t="s">
        <v>23961</v>
      </c>
      <c r="D922" t="s">
        <v>23430</v>
      </c>
      <c r="E922">
        <v>52</v>
      </c>
      <c r="F922">
        <v>144</v>
      </c>
      <c r="G922">
        <v>9</v>
      </c>
      <c r="Q922" t="s">
        <v>25268</v>
      </c>
    </row>
    <row r="923" spans="2:17" x14ac:dyDescent="0.25">
      <c r="B923">
        <v>9468</v>
      </c>
      <c r="C923" t="s">
        <v>25261</v>
      </c>
      <c r="D923" t="s">
        <v>23430</v>
      </c>
      <c r="E923">
        <v>52</v>
      </c>
      <c r="F923">
        <v>144</v>
      </c>
      <c r="G923">
        <v>9</v>
      </c>
      <c r="Q923" t="s">
        <v>25269</v>
      </c>
    </row>
    <row r="924" spans="2:17" x14ac:dyDescent="0.25">
      <c r="B924">
        <v>9467</v>
      </c>
      <c r="C924" t="s">
        <v>23965</v>
      </c>
      <c r="D924" t="s">
        <v>23430</v>
      </c>
      <c r="E924">
        <v>52</v>
      </c>
      <c r="F924">
        <v>144</v>
      </c>
      <c r="G924">
        <v>9</v>
      </c>
      <c r="Q924" t="s">
        <v>25270</v>
      </c>
    </row>
    <row r="925" spans="2:17" x14ac:dyDescent="0.25">
      <c r="B925">
        <v>9469</v>
      </c>
      <c r="C925" t="s">
        <v>23977</v>
      </c>
      <c r="D925" t="s">
        <v>23430</v>
      </c>
      <c r="E925">
        <v>52</v>
      </c>
      <c r="F925">
        <v>144</v>
      </c>
      <c r="G925">
        <v>9</v>
      </c>
      <c r="P925" t="s">
        <v>25271</v>
      </c>
    </row>
    <row r="926" spans="2:17" x14ac:dyDescent="0.25">
      <c r="B926">
        <v>9018</v>
      </c>
      <c r="C926" t="s">
        <v>25272</v>
      </c>
      <c r="E926">
        <v>52</v>
      </c>
      <c r="F926">
        <v>144</v>
      </c>
      <c r="G926">
        <v>9</v>
      </c>
      <c r="N926" t="s">
        <v>3131</v>
      </c>
    </row>
    <row r="927" spans="2:17" x14ac:dyDescent="0.25">
      <c r="B927">
        <v>9019</v>
      </c>
      <c r="C927" t="s">
        <v>25272</v>
      </c>
      <c r="D927" t="s">
        <v>24355</v>
      </c>
      <c r="E927">
        <v>52</v>
      </c>
      <c r="F927">
        <v>144</v>
      </c>
      <c r="G927">
        <v>9</v>
      </c>
      <c r="O927" t="s">
        <v>25273</v>
      </c>
    </row>
    <row r="928" spans="2:17" x14ac:dyDescent="0.25">
      <c r="B928">
        <v>9020</v>
      </c>
      <c r="C928" t="s">
        <v>17161</v>
      </c>
      <c r="D928" t="s">
        <v>24355</v>
      </c>
      <c r="E928">
        <v>52</v>
      </c>
      <c r="F928">
        <v>144</v>
      </c>
      <c r="G928">
        <v>9</v>
      </c>
      <c r="P928" t="s">
        <v>1404</v>
      </c>
    </row>
    <row r="929" spans="2:16" x14ac:dyDescent="0.25">
      <c r="B929">
        <v>9021</v>
      </c>
      <c r="C929" t="s">
        <v>17416</v>
      </c>
      <c r="D929" t="s">
        <v>24355</v>
      </c>
      <c r="E929">
        <v>52</v>
      </c>
      <c r="F929">
        <v>144</v>
      </c>
      <c r="G929">
        <v>9</v>
      </c>
      <c r="P929" t="s">
        <v>2269</v>
      </c>
    </row>
    <row r="930" spans="2:16" x14ac:dyDescent="0.25">
      <c r="B930">
        <v>9022</v>
      </c>
      <c r="C930" t="s">
        <v>23995</v>
      </c>
      <c r="D930" t="s">
        <v>24355</v>
      </c>
      <c r="E930">
        <v>52</v>
      </c>
      <c r="F930">
        <v>144</v>
      </c>
      <c r="G930">
        <v>9</v>
      </c>
      <c r="P930" t="s">
        <v>14713</v>
      </c>
    </row>
    <row r="931" spans="2:16" x14ac:dyDescent="0.25">
      <c r="B931">
        <v>9023</v>
      </c>
      <c r="C931" t="s">
        <v>25272</v>
      </c>
      <c r="D931" t="s">
        <v>23430</v>
      </c>
      <c r="E931">
        <v>52</v>
      </c>
      <c r="F931">
        <v>144</v>
      </c>
      <c r="G931">
        <v>9</v>
      </c>
      <c r="O931" t="s">
        <v>25274</v>
      </c>
    </row>
    <row r="932" spans="2:16" x14ac:dyDescent="0.25">
      <c r="B932">
        <v>9024</v>
      </c>
      <c r="C932" t="s">
        <v>17161</v>
      </c>
      <c r="D932" t="s">
        <v>23430</v>
      </c>
      <c r="E932">
        <v>52</v>
      </c>
      <c r="F932">
        <v>144</v>
      </c>
      <c r="G932">
        <v>9</v>
      </c>
      <c r="P932" t="s">
        <v>25275</v>
      </c>
    </row>
    <row r="933" spans="2:16" x14ac:dyDescent="0.25">
      <c r="B933">
        <v>9025</v>
      </c>
      <c r="C933" t="s">
        <v>17416</v>
      </c>
      <c r="D933" t="s">
        <v>23430</v>
      </c>
      <c r="E933">
        <v>52</v>
      </c>
      <c r="F933">
        <v>144</v>
      </c>
      <c r="G933">
        <v>9</v>
      </c>
      <c r="P933" t="s">
        <v>25276</v>
      </c>
    </row>
    <row r="934" spans="2:16" x14ac:dyDescent="0.25">
      <c r="B934">
        <v>9026</v>
      </c>
      <c r="C934" t="s">
        <v>23995</v>
      </c>
      <c r="D934" t="s">
        <v>23430</v>
      </c>
      <c r="E934">
        <v>52</v>
      </c>
      <c r="F934">
        <v>144</v>
      </c>
      <c r="G934">
        <v>9</v>
      </c>
      <c r="P934" t="s">
        <v>25277</v>
      </c>
    </row>
    <row r="935" spans="2:16" x14ac:dyDescent="0.25">
      <c r="B935">
        <v>9047</v>
      </c>
      <c r="C935" t="s">
        <v>16849</v>
      </c>
      <c r="E935">
        <v>52</v>
      </c>
      <c r="F935">
        <v>144</v>
      </c>
      <c r="G935">
        <v>9</v>
      </c>
      <c r="N935" t="s">
        <v>1482</v>
      </c>
    </row>
    <row r="936" spans="2:16" x14ac:dyDescent="0.25">
      <c r="B936">
        <v>9048</v>
      </c>
      <c r="C936" t="s">
        <v>16849</v>
      </c>
      <c r="D936" t="s">
        <v>24355</v>
      </c>
      <c r="E936">
        <v>52</v>
      </c>
      <c r="F936">
        <v>144</v>
      </c>
      <c r="G936">
        <v>9</v>
      </c>
      <c r="O936" t="s">
        <v>25278</v>
      </c>
    </row>
    <row r="937" spans="2:16" x14ac:dyDescent="0.25">
      <c r="B937">
        <v>9049</v>
      </c>
      <c r="C937" t="s">
        <v>16849</v>
      </c>
      <c r="D937" t="s">
        <v>23430</v>
      </c>
      <c r="E937">
        <v>52</v>
      </c>
      <c r="F937">
        <v>144</v>
      </c>
      <c r="G937">
        <v>9</v>
      </c>
      <c r="O937" t="s">
        <v>25279</v>
      </c>
    </row>
    <row r="938" spans="2:16" x14ac:dyDescent="0.25">
      <c r="B938">
        <v>9027</v>
      </c>
      <c r="C938" t="s">
        <v>16607</v>
      </c>
      <c r="E938">
        <v>52</v>
      </c>
      <c r="F938">
        <v>144</v>
      </c>
      <c r="G938">
        <v>9</v>
      </c>
      <c r="N938" t="s">
        <v>1485</v>
      </c>
    </row>
    <row r="939" spans="2:16" x14ac:dyDescent="0.25">
      <c r="B939">
        <v>9028</v>
      </c>
      <c r="C939" t="s">
        <v>16607</v>
      </c>
      <c r="D939" t="s">
        <v>24355</v>
      </c>
      <c r="E939">
        <v>52</v>
      </c>
      <c r="F939">
        <v>144</v>
      </c>
      <c r="G939">
        <v>9</v>
      </c>
      <c r="O939" t="s">
        <v>25280</v>
      </c>
    </row>
    <row r="940" spans="2:16" x14ac:dyDescent="0.25">
      <c r="B940">
        <v>9029</v>
      </c>
      <c r="C940" t="s">
        <v>16607</v>
      </c>
      <c r="D940" t="s">
        <v>23430</v>
      </c>
      <c r="E940">
        <v>52</v>
      </c>
      <c r="F940">
        <v>144</v>
      </c>
      <c r="G940">
        <v>9</v>
      </c>
      <c r="O940" t="s">
        <v>25281</v>
      </c>
    </row>
    <row r="941" spans="2:16" x14ac:dyDescent="0.25">
      <c r="B941">
        <v>9030</v>
      </c>
      <c r="C941">
        <v>3</v>
      </c>
      <c r="E941">
        <v>52</v>
      </c>
      <c r="F941">
        <v>144</v>
      </c>
      <c r="G941">
        <v>9</v>
      </c>
      <c r="N941" t="s">
        <v>3413</v>
      </c>
    </row>
    <row r="942" spans="2:16" x14ac:dyDescent="0.25">
      <c r="B942">
        <v>9031</v>
      </c>
      <c r="C942">
        <v>3</v>
      </c>
      <c r="D942" t="s">
        <v>24355</v>
      </c>
      <c r="E942">
        <v>52</v>
      </c>
      <c r="F942">
        <v>144</v>
      </c>
      <c r="G942">
        <v>9</v>
      </c>
      <c r="O942" t="s">
        <v>25282</v>
      </c>
    </row>
    <row r="943" spans="2:16" x14ac:dyDescent="0.25">
      <c r="B943">
        <v>9032</v>
      </c>
      <c r="C943" t="s">
        <v>25283</v>
      </c>
      <c r="D943" t="s">
        <v>24355</v>
      </c>
      <c r="E943">
        <v>52</v>
      </c>
      <c r="F943">
        <v>144</v>
      </c>
      <c r="G943">
        <v>9</v>
      </c>
      <c r="P943" t="s">
        <v>355</v>
      </c>
    </row>
    <row r="944" spans="2:16" x14ac:dyDescent="0.25">
      <c r="B944">
        <v>9033</v>
      </c>
      <c r="C944" t="s">
        <v>25284</v>
      </c>
      <c r="D944" t="s">
        <v>24355</v>
      </c>
      <c r="E944">
        <v>52</v>
      </c>
      <c r="F944">
        <v>144</v>
      </c>
      <c r="G944">
        <v>9</v>
      </c>
      <c r="P944" t="s">
        <v>872</v>
      </c>
    </row>
    <row r="945" spans="2:16" x14ac:dyDescent="0.25">
      <c r="B945">
        <v>9034</v>
      </c>
      <c r="C945" t="s">
        <v>25285</v>
      </c>
      <c r="D945" t="s">
        <v>24355</v>
      </c>
      <c r="E945">
        <v>52</v>
      </c>
      <c r="F945">
        <v>144</v>
      </c>
      <c r="G945">
        <v>9</v>
      </c>
      <c r="P945" t="s">
        <v>994</v>
      </c>
    </row>
    <row r="946" spans="2:16" x14ac:dyDescent="0.25">
      <c r="B946">
        <v>9035</v>
      </c>
      <c r="C946" t="s">
        <v>25286</v>
      </c>
      <c r="D946" t="s">
        <v>24355</v>
      </c>
      <c r="E946">
        <v>52</v>
      </c>
      <c r="F946">
        <v>144</v>
      </c>
      <c r="G946">
        <v>9</v>
      </c>
      <c r="P946" t="s">
        <v>1568</v>
      </c>
    </row>
    <row r="947" spans="2:16" x14ac:dyDescent="0.25">
      <c r="B947">
        <v>9036</v>
      </c>
      <c r="C947" t="s">
        <v>24036</v>
      </c>
      <c r="D947" t="s">
        <v>24355</v>
      </c>
      <c r="E947">
        <v>52</v>
      </c>
      <c r="F947">
        <v>144</v>
      </c>
      <c r="G947">
        <v>9</v>
      </c>
      <c r="P947" t="s">
        <v>2476</v>
      </c>
    </row>
    <row r="948" spans="2:16" x14ac:dyDescent="0.25">
      <c r="B948">
        <v>9037</v>
      </c>
      <c r="C948" t="s">
        <v>25287</v>
      </c>
      <c r="D948" t="s">
        <v>24355</v>
      </c>
      <c r="E948">
        <v>52</v>
      </c>
      <c r="F948">
        <v>144</v>
      </c>
      <c r="G948">
        <v>9</v>
      </c>
      <c r="P948" t="s">
        <v>2961</v>
      </c>
    </row>
    <row r="949" spans="2:16" x14ac:dyDescent="0.25">
      <c r="B949">
        <v>9038</v>
      </c>
      <c r="C949" t="s">
        <v>20958</v>
      </c>
      <c r="D949" t="s">
        <v>24355</v>
      </c>
      <c r="E949">
        <v>52</v>
      </c>
      <c r="F949">
        <v>144</v>
      </c>
      <c r="G949">
        <v>9</v>
      </c>
      <c r="P949" t="s">
        <v>15057</v>
      </c>
    </row>
    <row r="950" spans="2:16" x14ac:dyDescent="0.25">
      <c r="B950">
        <v>9039</v>
      </c>
      <c r="C950">
        <v>3</v>
      </c>
      <c r="D950" t="s">
        <v>23430</v>
      </c>
      <c r="E950">
        <v>52</v>
      </c>
      <c r="F950">
        <v>144</v>
      </c>
      <c r="G950">
        <v>9</v>
      </c>
      <c r="O950" t="s">
        <v>25288</v>
      </c>
    </row>
    <row r="951" spans="2:16" x14ac:dyDescent="0.25">
      <c r="B951">
        <v>9040</v>
      </c>
      <c r="C951" t="s">
        <v>25283</v>
      </c>
      <c r="D951" t="s">
        <v>23430</v>
      </c>
      <c r="E951">
        <v>52</v>
      </c>
      <c r="F951">
        <v>144</v>
      </c>
      <c r="G951">
        <v>9</v>
      </c>
      <c r="P951" t="s">
        <v>25289</v>
      </c>
    </row>
    <row r="952" spans="2:16" x14ac:dyDescent="0.25">
      <c r="B952">
        <v>9041</v>
      </c>
      <c r="C952" t="s">
        <v>25284</v>
      </c>
      <c r="D952" t="s">
        <v>23430</v>
      </c>
      <c r="E952">
        <v>52</v>
      </c>
      <c r="F952">
        <v>144</v>
      </c>
      <c r="G952">
        <v>9</v>
      </c>
      <c r="P952" t="s">
        <v>25290</v>
      </c>
    </row>
    <row r="953" spans="2:16" x14ac:dyDescent="0.25">
      <c r="B953">
        <v>9042</v>
      </c>
      <c r="C953" t="s">
        <v>25285</v>
      </c>
      <c r="D953" t="s">
        <v>23430</v>
      </c>
      <c r="E953">
        <v>52</v>
      </c>
      <c r="F953">
        <v>144</v>
      </c>
      <c r="G953">
        <v>9</v>
      </c>
      <c r="P953" t="s">
        <v>25291</v>
      </c>
    </row>
    <row r="954" spans="2:16" x14ac:dyDescent="0.25">
      <c r="B954">
        <v>9043</v>
      </c>
      <c r="C954" t="s">
        <v>25286</v>
      </c>
      <c r="D954" t="s">
        <v>23430</v>
      </c>
      <c r="E954">
        <v>52</v>
      </c>
      <c r="F954">
        <v>144</v>
      </c>
      <c r="G954">
        <v>9</v>
      </c>
      <c r="P954" t="s">
        <v>25292</v>
      </c>
    </row>
    <row r="955" spans="2:16" x14ac:dyDescent="0.25">
      <c r="B955">
        <v>9044</v>
      </c>
      <c r="C955" t="s">
        <v>24036</v>
      </c>
      <c r="D955" t="s">
        <v>23430</v>
      </c>
      <c r="E955">
        <v>52</v>
      </c>
      <c r="F955">
        <v>144</v>
      </c>
      <c r="G955">
        <v>9</v>
      </c>
      <c r="P955" t="s">
        <v>25293</v>
      </c>
    </row>
    <row r="956" spans="2:16" x14ac:dyDescent="0.25">
      <c r="B956">
        <v>9045</v>
      </c>
      <c r="C956" t="s">
        <v>25287</v>
      </c>
      <c r="D956" t="s">
        <v>23430</v>
      </c>
      <c r="E956">
        <v>52</v>
      </c>
      <c r="F956">
        <v>144</v>
      </c>
      <c r="G956">
        <v>9</v>
      </c>
      <c r="P956" t="s">
        <v>25294</v>
      </c>
    </row>
    <row r="957" spans="2:16" x14ac:dyDescent="0.25">
      <c r="B957">
        <v>9046</v>
      </c>
      <c r="C957" t="s">
        <v>20958</v>
      </c>
      <c r="D957" t="s">
        <v>23430</v>
      </c>
      <c r="E957">
        <v>52</v>
      </c>
      <c r="F957">
        <v>144</v>
      </c>
      <c r="G957">
        <v>9</v>
      </c>
      <c r="P957" t="s">
        <v>25295</v>
      </c>
    </row>
    <row r="958" spans="2:16" x14ac:dyDescent="0.25">
      <c r="B958">
        <v>9050</v>
      </c>
      <c r="C958" t="s">
        <v>25296</v>
      </c>
      <c r="E958">
        <v>52</v>
      </c>
      <c r="F958">
        <v>144</v>
      </c>
      <c r="G958">
        <v>9</v>
      </c>
      <c r="N958" t="s">
        <v>3336</v>
      </c>
    </row>
    <row r="959" spans="2:16" x14ac:dyDescent="0.25">
      <c r="B959">
        <v>9051</v>
      </c>
      <c r="C959" t="s">
        <v>25296</v>
      </c>
      <c r="D959" t="s">
        <v>24355</v>
      </c>
      <c r="E959">
        <v>52</v>
      </c>
      <c r="F959">
        <v>144</v>
      </c>
      <c r="G959">
        <v>9</v>
      </c>
      <c r="O959" t="s">
        <v>25297</v>
      </c>
    </row>
    <row r="960" spans="2:16" x14ac:dyDescent="0.25">
      <c r="B960">
        <v>9052</v>
      </c>
      <c r="C960" t="s">
        <v>25296</v>
      </c>
      <c r="D960" t="s">
        <v>23430</v>
      </c>
      <c r="E960">
        <v>52</v>
      </c>
      <c r="F960">
        <v>144</v>
      </c>
      <c r="G960">
        <v>9</v>
      </c>
      <c r="O960" t="s">
        <v>25298</v>
      </c>
    </row>
    <row r="961" spans="2:16" x14ac:dyDescent="0.25">
      <c r="B961">
        <v>9053</v>
      </c>
      <c r="C961" t="s">
        <v>20248</v>
      </c>
      <c r="E961">
        <v>52</v>
      </c>
      <c r="F961">
        <v>144</v>
      </c>
      <c r="G961">
        <v>9</v>
      </c>
      <c r="N961" t="s">
        <v>4241</v>
      </c>
    </row>
    <row r="962" spans="2:16" x14ac:dyDescent="0.25">
      <c r="B962">
        <v>9054</v>
      </c>
      <c r="C962" t="s">
        <v>20248</v>
      </c>
      <c r="D962" t="s">
        <v>24355</v>
      </c>
      <c r="E962">
        <v>52</v>
      </c>
      <c r="F962">
        <v>144</v>
      </c>
      <c r="G962">
        <v>9</v>
      </c>
      <c r="O962" t="s">
        <v>25299</v>
      </c>
    </row>
    <row r="963" spans="2:16" x14ac:dyDescent="0.25">
      <c r="B963">
        <v>9055</v>
      </c>
      <c r="C963" t="s">
        <v>17069</v>
      </c>
      <c r="D963" t="s">
        <v>24355</v>
      </c>
      <c r="E963">
        <v>52</v>
      </c>
      <c r="F963">
        <v>144</v>
      </c>
      <c r="G963">
        <v>9</v>
      </c>
      <c r="P963" t="s">
        <v>2843</v>
      </c>
    </row>
    <row r="964" spans="2:16" x14ac:dyDescent="0.25">
      <c r="B964">
        <v>9056</v>
      </c>
      <c r="C964" t="s">
        <v>16858</v>
      </c>
      <c r="D964" t="s">
        <v>24355</v>
      </c>
      <c r="E964">
        <v>52</v>
      </c>
      <c r="F964">
        <v>144</v>
      </c>
      <c r="G964">
        <v>9</v>
      </c>
      <c r="P964" t="s">
        <v>3769</v>
      </c>
    </row>
    <row r="965" spans="2:16" x14ac:dyDescent="0.25">
      <c r="B965">
        <v>9057</v>
      </c>
      <c r="C965" t="s">
        <v>20248</v>
      </c>
      <c r="D965" t="s">
        <v>23430</v>
      </c>
      <c r="E965">
        <v>52</v>
      </c>
      <c r="F965">
        <v>144</v>
      </c>
      <c r="G965">
        <v>9</v>
      </c>
      <c r="O965" t="s">
        <v>25300</v>
      </c>
    </row>
    <row r="966" spans="2:16" x14ac:dyDescent="0.25">
      <c r="B966">
        <v>9058</v>
      </c>
      <c r="C966" t="s">
        <v>17069</v>
      </c>
      <c r="D966" t="s">
        <v>23430</v>
      </c>
      <c r="E966">
        <v>52</v>
      </c>
      <c r="F966">
        <v>144</v>
      </c>
      <c r="G966">
        <v>9</v>
      </c>
      <c r="P966" t="s">
        <v>25301</v>
      </c>
    </row>
    <row r="967" spans="2:16" x14ac:dyDescent="0.25">
      <c r="B967">
        <v>9059</v>
      </c>
      <c r="C967" t="s">
        <v>16858</v>
      </c>
      <c r="D967" t="s">
        <v>23430</v>
      </c>
      <c r="E967">
        <v>52</v>
      </c>
      <c r="F967">
        <v>144</v>
      </c>
      <c r="G967">
        <v>9</v>
      </c>
      <c r="P967" t="s">
        <v>25302</v>
      </c>
    </row>
    <row r="968" spans="2:16" x14ac:dyDescent="0.25">
      <c r="B968">
        <v>9060</v>
      </c>
      <c r="C968" t="s">
        <v>16572</v>
      </c>
      <c r="E968">
        <v>52</v>
      </c>
      <c r="F968">
        <v>144</v>
      </c>
      <c r="G968">
        <v>9</v>
      </c>
      <c r="N968" t="s">
        <v>4892</v>
      </c>
    </row>
    <row r="969" spans="2:16" x14ac:dyDescent="0.25">
      <c r="B969">
        <v>9061</v>
      </c>
      <c r="C969" t="s">
        <v>16572</v>
      </c>
      <c r="D969" t="s">
        <v>24355</v>
      </c>
      <c r="E969">
        <v>52</v>
      </c>
      <c r="F969">
        <v>144</v>
      </c>
      <c r="G969">
        <v>9</v>
      </c>
      <c r="O969" t="s">
        <v>25303</v>
      </c>
    </row>
    <row r="970" spans="2:16" x14ac:dyDescent="0.25">
      <c r="B970">
        <v>9062</v>
      </c>
      <c r="C970" t="s">
        <v>16572</v>
      </c>
      <c r="D970" t="s">
        <v>23430</v>
      </c>
      <c r="E970">
        <v>52</v>
      </c>
      <c r="F970">
        <v>144</v>
      </c>
      <c r="G970">
        <v>9</v>
      </c>
      <c r="O970" t="s">
        <v>25304</v>
      </c>
    </row>
    <row r="971" spans="2:16" x14ac:dyDescent="0.25">
      <c r="B971">
        <v>9072</v>
      </c>
      <c r="C971" t="s">
        <v>24000</v>
      </c>
      <c r="E971">
        <v>52</v>
      </c>
      <c r="F971">
        <v>144</v>
      </c>
      <c r="G971">
        <v>9</v>
      </c>
      <c r="N971" t="s">
        <v>638</v>
      </c>
    </row>
    <row r="972" spans="2:16" x14ac:dyDescent="0.25">
      <c r="B972">
        <v>9073</v>
      </c>
      <c r="C972" t="s">
        <v>24000</v>
      </c>
      <c r="D972" t="s">
        <v>24355</v>
      </c>
      <c r="E972">
        <v>52</v>
      </c>
      <c r="F972">
        <v>144</v>
      </c>
      <c r="G972">
        <v>9</v>
      </c>
      <c r="O972" t="s">
        <v>25305</v>
      </c>
    </row>
    <row r="973" spans="2:16" x14ac:dyDescent="0.25">
      <c r="B973">
        <v>9074</v>
      </c>
      <c r="C973" t="s">
        <v>24001</v>
      </c>
      <c r="D973" t="s">
        <v>24355</v>
      </c>
      <c r="E973">
        <v>52</v>
      </c>
      <c r="F973">
        <v>144</v>
      </c>
      <c r="G973">
        <v>9</v>
      </c>
      <c r="P973" t="s">
        <v>14751</v>
      </c>
    </row>
    <row r="974" spans="2:16" x14ac:dyDescent="0.25">
      <c r="B974">
        <v>9075</v>
      </c>
      <c r="C974" t="s">
        <v>24009</v>
      </c>
      <c r="D974" t="s">
        <v>24355</v>
      </c>
      <c r="E974">
        <v>52</v>
      </c>
      <c r="F974">
        <v>144</v>
      </c>
      <c r="G974">
        <v>9</v>
      </c>
      <c r="P974" t="s">
        <v>14761</v>
      </c>
    </row>
    <row r="975" spans="2:16" x14ac:dyDescent="0.25">
      <c r="B975">
        <v>9076</v>
      </c>
      <c r="C975" t="s">
        <v>24000</v>
      </c>
      <c r="D975" t="s">
        <v>23430</v>
      </c>
      <c r="E975">
        <v>52</v>
      </c>
      <c r="F975">
        <v>144</v>
      </c>
      <c r="G975">
        <v>9</v>
      </c>
      <c r="O975" t="s">
        <v>25306</v>
      </c>
    </row>
    <row r="976" spans="2:16" x14ac:dyDescent="0.25">
      <c r="B976">
        <v>9077</v>
      </c>
      <c r="C976" t="s">
        <v>24001</v>
      </c>
      <c r="D976" t="s">
        <v>23430</v>
      </c>
      <c r="E976">
        <v>52</v>
      </c>
      <c r="F976">
        <v>144</v>
      </c>
      <c r="G976">
        <v>9</v>
      </c>
      <c r="P976" t="s">
        <v>25307</v>
      </c>
    </row>
    <row r="977" spans="2:16" x14ac:dyDescent="0.25">
      <c r="B977">
        <v>9078</v>
      </c>
      <c r="C977" t="s">
        <v>24009</v>
      </c>
      <c r="D977" t="s">
        <v>23430</v>
      </c>
      <c r="E977">
        <v>52</v>
      </c>
      <c r="F977">
        <v>144</v>
      </c>
      <c r="G977">
        <v>9</v>
      </c>
      <c r="P977" t="s">
        <v>25308</v>
      </c>
    </row>
    <row r="978" spans="2:16" x14ac:dyDescent="0.25">
      <c r="B978">
        <v>9063</v>
      </c>
      <c r="C978">
        <v>4</v>
      </c>
      <c r="E978">
        <v>52</v>
      </c>
      <c r="F978">
        <v>144</v>
      </c>
      <c r="G978">
        <v>9</v>
      </c>
      <c r="N978" t="s">
        <v>2263</v>
      </c>
    </row>
    <row r="979" spans="2:16" x14ac:dyDescent="0.25">
      <c r="B979">
        <v>9064</v>
      </c>
      <c r="C979">
        <v>4</v>
      </c>
      <c r="D979" t="s">
        <v>24355</v>
      </c>
      <c r="E979">
        <v>52</v>
      </c>
      <c r="F979">
        <v>144</v>
      </c>
      <c r="G979">
        <v>9</v>
      </c>
      <c r="O979" t="s">
        <v>25309</v>
      </c>
    </row>
    <row r="980" spans="2:16" x14ac:dyDescent="0.25">
      <c r="B980">
        <v>9065</v>
      </c>
      <c r="C980">
        <v>4</v>
      </c>
      <c r="D980" t="s">
        <v>23430</v>
      </c>
      <c r="E980">
        <v>52</v>
      </c>
      <c r="F980">
        <v>144</v>
      </c>
      <c r="G980">
        <v>9</v>
      </c>
      <c r="O980" t="s">
        <v>25310</v>
      </c>
    </row>
    <row r="981" spans="2:16" x14ac:dyDescent="0.25">
      <c r="B981">
        <v>9066</v>
      </c>
      <c r="C981" t="s">
        <v>20191</v>
      </c>
      <c r="E981">
        <v>52</v>
      </c>
      <c r="F981">
        <v>144</v>
      </c>
      <c r="G981">
        <v>9</v>
      </c>
      <c r="N981" t="s">
        <v>15084</v>
      </c>
    </row>
    <row r="982" spans="2:16" x14ac:dyDescent="0.25">
      <c r="B982">
        <v>9067</v>
      </c>
      <c r="C982" t="s">
        <v>20191</v>
      </c>
      <c r="D982" t="s">
        <v>24355</v>
      </c>
      <c r="E982">
        <v>52</v>
      </c>
      <c r="F982">
        <v>144</v>
      </c>
      <c r="G982">
        <v>9</v>
      </c>
      <c r="O982" t="s">
        <v>25311</v>
      </c>
    </row>
    <row r="983" spans="2:16" x14ac:dyDescent="0.25">
      <c r="B983">
        <v>9470</v>
      </c>
      <c r="C983" t="s">
        <v>25312</v>
      </c>
      <c r="D983" t="s">
        <v>24355</v>
      </c>
      <c r="E983">
        <v>52</v>
      </c>
      <c r="F983">
        <v>144</v>
      </c>
      <c r="G983">
        <v>9</v>
      </c>
      <c r="P983" t="s">
        <v>723</v>
      </c>
    </row>
    <row r="984" spans="2:16" x14ac:dyDescent="0.25">
      <c r="B984">
        <v>9472</v>
      </c>
      <c r="C984" t="s">
        <v>17229</v>
      </c>
      <c r="D984" t="s">
        <v>24355</v>
      </c>
      <c r="E984">
        <v>52</v>
      </c>
      <c r="F984">
        <v>144</v>
      </c>
      <c r="G984">
        <v>9</v>
      </c>
      <c r="P984" t="s">
        <v>725</v>
      </c>
    </row>
    <row r="985" spans="2:16" x14ac:dyDescent="0.25">
      <c r="B985">
        <v>9473</v>
      </c>
      <c r="C985" t="s">
        <v>24012</v>
      </c>
      <c r="D985" t="s">
        <v>24355</v>
      </c>
      <c r="E985">
        <v>52</v>
      </c>
      <c r="F985">
        <v>144</v>
      </c>
      <c r="G985">
        <v>9</v>
      </c>
      <c r="P985" t="s">
        <v>3567</v>
      </c>
    </row>
    <row r="986" spans="2:16" x14ac:dyDescent="0.25">
      <c r="B986">
        <v>9474</v>
      </c>
      <c r="C986" t="s">
        <v>20193</v>
      </c>
      <c r="D986" t="s">
        <v>24355</v>
      </c>
      <c r="E986">
        <v>52</v>
      </c>
      <c r="F986">
        <v>144</v>
      </c>
      <c r="G986">
        <v>9</v>
      </c>
      <c r="P986" t="s">
        <v>3605</v>
      </c>
    </row>
    <row r="987" spans="2:16" x14ac:dyDescent="0.25">
      <c r="B987">
        <v>9471</v>
      </c>
      <c r="C987" t="s">
        <v>20287</v>
      </c>
      <c r="D987" t="s">
        <v>24355</v>
      </c>
      <c r="E987">
        <v>52</v>
      </c>
      <c r="F987">
        <v>144</v>
      </c>
      <c r="G987">
        <v>9</v>
      </c>
      <c r="P987" t="s">
        <v>4906</v>
      </c>
    </row>
    <row r="988" spans="2:16" x14ac:dyDescent="0.25">
      <c r="B988">
        <v>9068</v>
      </c>
      <c r="C988" t="s">
        <v>20191</v>
      </c>
      <c r="D988" t="s">
        <v>23430</v>
      </c>
      <c r="E988">
        <v>52</v>
      </c>
      <c r="F988">
        <v>144</v>
      </c>
      <c r="G988">
        <v>9</v>
      </c>
      <c r="O988" t="s">
        <v>25313</v>
      </c>
    </row>
    <row r="989" spans="2:16" x14ac:dyDescent="0.25">
      <c r="B989">
        <v>9475</v>
      </c>
      <c r="C989" t="s">
        <v>25312</v>
      </c>
      <c r="D989" t="s">
        <v>23430</v>
      </c>
      <c r="E989">
        <v>52</v>
      </c>
      <c r="F989">
        <v>144</v>
      </c>
      <c r="G989">
        <v>9</v>
      </c>
      <c r="P989" t="s">
        <v>25314</v>
      </c>
    </row>
    <row r="990" spans="2:16" x14ac:dyDescent="0.25">
      <c r="B990">
        <v>9477</v>
      </c>
      <c r="C990" t="s">
        <v>17229</v>
      </c>
      <c r="D990" t="s">
        <v>23430</v>
      </c>
      <c r="E990">
        <v>52</v>
      </c>
      <c r="F990">
        <v>144</v>
      </c>
      <c r="G990">
        <v>9</v>
      </c>
      <c r="P990" t="s">
        <v>25315</v>
      </c>
    </row>
    <row r="991" spans="2:16" x14ac:dyDescent="0.25">
      <c r="B991">
        <v>9478</v>
      </c>
      <c r="C991" t="s">
        <v>24012</v>
      </c>
      <c r="D991" t="s">
        <v>23430</v>
      </c>
      <c r="E991">
        <v>52</v>
      </c>
      <c r="F991">
        <v>144</v>
      </c>
      <c r="G991">
        <v>9</v>
      </c>
      <c r="P991" t="s">
        <v>25316</v>
      </c>
    </row>
    <row r="992" spans="2:16" x14ac:dyDescent="0.25">
      <c r="B992">
        <v>9479</v>
      </c>
      <c r="C992" t="s">
        <v>20193</v>
      </c>
      <c r="D992" t="s">
        <v>23430</v>
      </c>
      <c r="E992">
        <v>52</v>
      </c>
      <c r="F992">
        <v>144</v>
      </c>
      <c r="G992">
        <v>9</v>
      </c>
      <c r="P992" t="s">
        <v>25317</v>
      </c>
    </row>
    <row r="993" spans="2:16" x14ac:dyDescent="0.25">
      <c r="B993">
        <v>9476</v>
      </c>
      <c r="C993" t="s">
        <v>20287</v>
      </c>
      <c r="D993" t="s">
        <v>23430</v>
      </c>
      <c r="E993">
        <v>52</v>
      </c>
      <c r="F993">
        <v>144</v>
      </c>
      <c r="G993">
        <v>9</v>
      </c>
      <c r="P993" t="s">
        <v>25318</v>
      </c>
    </row>
    <row r="994" spans="2:16" x14ac:dyDescent="0.25">
      <c r="B994">
        <v>9069</v>
      </c>
      <c r="C994" t="s">
        <v>17462</v>
      </c>
      <c r="E994">
        <v>52</v>
      </c>
      <c r="F994">
        <v>144</v>
      </c>
      <c r="G994">
        <v>9</v>
      </c>
      <c r="N994" t="s">
        <v>2257</v>
      </c>
    </row>
    <row r="995" spans="2:16" x14ac:dyDescent="0.25">
      <c r="B995">
        <v>9070</v>
      </c>
      <c r="C995" t="s">
        <v>17462</v>
      </c>
      <c r="D995" t="s">
        <v>24355</v>
      </c>
      <c r="E995">
        <v>52</v>
      </c>
      <c r="F995">
        <v>144</v>
      </c>
      <c r="G995">
        <v>9</v>
      </c>
      <c r="O995" t="s">
        <v>12765</v>
      </c>
    </row>
    <row r="996" spans="2:16" x14ac:dyDescent="0.25">
      <c r="B996">
        <v>9071</v>
      </c>
      <c r="C996" t="s">
        <v>17462</v>
      </c>
      <c r="D996" t="s">
        <v>23430</v>
      </c>
      <c r="E996">
        <v>52</v>
      </c>
      <c r="F996">
        <v>144</v>
      </c>
      <c r="G996">
        <v>9</v>
      </c>
      <c r="O996" t="s">
        <v>12767</v>
      </c>
    </row>
    <row r="997" spans="2:16" x14ac:dyDescent="0.25">
      <c r="B997">
        <v>9079</v>
      </c>
      <c r="C997" t="s">
        <v>25319</v>
      </c>
      <c r="E997">
        <v>9</v>
      </c>
      <c r="F997">
        <v>144</v>
      </c>
      <c r="G997">
        <v>51</v>
      </c>
      <c r="M997" t="s">
        <v>2114</v>
      </c>
    </row>
    <row r="998" spans="2:16" x14ac:dyDescent="0.25">
      <c r="B998">
        <v>9080</v>
      </c>
      <c r="C998" t="s">
        <v>19752</v>
      </c>
      <c r="E998">
        <v>9</v>
      </c>
      <c r="F998">
        <v>144</v>
      </c>
      <c r="G998">
        <v>51</v>
      </c>
      <c r="N998" t="s">
        <v>812</v>
      </c>
    </row>
    <row r="999" spans="2:16" x14ac:dyDescent="0.25">
      <c r="B999">
        <v>9081</v>
      </c>
      <c r="C999" t="s">
        <v>19752</v>
      </c>
      <c r="D999" t="s">
        <v>24355</v>
      </c>
      <c r="E999">
        <v>9</v>
      </c>
      <c r="F999">
        <v>144</v>
      </c>
      <c r="G999">
        <v>51</v>
      </c>
      <c r="O999" t="s">
        <v>25320</v>
      </c>
    </row>
    <row r="1000" spans="2:16" x14ac:dyDescent="0.25">
      <c r="B1000">
        <v>9082</v>
      </c>
      <c r="C1000" t="s">
        <v>19752</v>
      </c>
      <c r="D1000" t="s">
        <v>23430</v>
      </c>
      <c r="E1000">
        <v>9</v>
      </c>
      <c r="F1000">
        <v>144</v>
      </c>
      <c r="G1000">
        <v>51</v>
      </c>
      <c r="O1000" t="s">
        <v>25321</v>
      </c>
    </row>
    <row r="1001" spans="2:16" x14ac:dyDescent="0.25">
      <c r="B1001">
        <v>9083</v>
      </c>
      <c r="C1001" t="s">
        <v>25322</v>
      </c>
      <c r="E1001">
        <v>9</v>
      </c>
      <c r="F1001">
        <v>144</v>
      </c>
      <c r="G1001">
        <v>51</v>
      </c>
      <c r="N1001" t="s">
        <v>3123</v>
      </c>
    </row>
    <row r="1002" spans="2:16" x14ac:dyDescent="0.25">
      <c r="B1002">
        <v>9084</v>
      </c>
      <c r="C1002" t="s">
        <v>25322</v>
      </c>
      <c r="D1002" t="s">
        <v>24355</v>
      </c>
      <c r="E1002">
        <v>9</v>
      </c>
      <c r="F1002">
        <v>144</v>
      </c>
      <c r="G1002">
        <v>51</v>
      </c>
      <c r="O1002" t="s">
        <v>25323</v>
      </c>
    </row>
    <row r="1003" spans="2:16" x14ac:dyDescent="0.25">
      <c r="B1003">
        <v>9085</v>
      </c>
      <c r="C1003" t="s">
        <v>25322</v>
      </c>
      <c r="D1003" t="s">
        <v>23430</v>
      </c>
      <c r="E1003">
        <v>9</v>
      </c>
      <c r="F1003">
        <v>144</v>
      </c>
      <c r="G1003">
        <v>51</v>
      </c>
      <c r="O1003" t="s">
        <v>25324</v>
      </c>
    </row>
    <row r="1004" spans="2:16" x14ac:dyDescent="0.25">
      <c r="B1004">
        <v>9086</v>
      </c>
      <c r="C1004" t="s">
        <v>25325</v>
      </c>
      <c r="E1004">
        <v>9</v>
      </c>
      <c r="F1004">
        <v>144</v>
      </c>
      <c r="G1004">
        <v>51</v>
      </c>
      <c r="N1004" t="s">
        <v>706</v>
      </c>
    </row>
    <row r="1005" spans="2:16" x14ac:dyDescent="0.25">
      <c r="B1005">
        <v>9087</v>
      </c>
      <c r="C1005" t="s">
        <v>25325</v>
      </c>
      <c r="D1005" t="s">
        <v>24355</v>
      </c>
      <c r="E1005">
        <v>9</v>
      </c>
      <c r="F1005">
        <v>144</v>
      </c>
      <c r="G1005">
        <v>51</v>
      </c>
      <c r="O1005" t="s">
        <v>25326</v>
      </c>
    </row>
    <row r="1006" spans="2:16" x14ac:dyDescent="0.25">
      <c r="B1006">
        <v>9088</v>
      </c>
      <c r="C1006" t="s">
        <v>25325</v>
      </c>
      <c r="D1006" t="s">
        <v>23430</v>
      </c>
      <c r="E1006">
        <v>9</v>
      </c>
      <c r="F1006">
        <v>144</v>
      </c>
      <c r="G1006">
        <v>51</v>
      </c>
      <c r="O1006" t="s">
        <v>25327</v>
      </c>
    </row>
    <row r="1007" spans="2:16" x14ac:dyDescent="0.25">
      <c r="B1007">
        <v>9089</v>
      </c>
      <c r="C1007" t="s">
        <v>25328</v>
      </c>
      <c r="E1007">
        <v>9</v>
      </c>
      <c r="F1007">
        <v>144</v>
      </c>
      <c r="G1007">
        <v>51</v>
      </c>
      <c r="N1007" t="s">
        <v>704</v>
      </c>
    </row>
    <row r="1008" spans="2:16" x14ac:dyDescent="0.25">
      <c r="B1008">
        <v>9090</v>
      </c>
      <c r="C1008" t="s">
        <v>25328</v>
      </c>
      <c r="D1008" t="s">
        <v>24355</v>
      </c>
      <c r="E1008">
        <v>9</v>
      </c>
      <c r="F1008">
        <v>144</v>
      </c>
      <c r="G1008">
        <v>51</v>
      </c>
      <c r="O1008" t="s">
        <v>25329</v>
      </c>
    </row>
    <row r="1009" spans="2:17" x14ac:dyDescent="0.25">
      <c r="B1009">
        <v>9091</v>
      </c>
      <c r="C1009" t="s">
        <v>25328</v>
      </c>
      <c r="D1009" t="s">
        <v>23430</v>
      </c>
      <c r="E1009">
        <v>9</v>
      </c>
      <c r="F1009">
        <v>144</v>
      </c>
      <c r="G1009">
        <v>51</v>
      </c>
      <c r="O1009" t="s">
        <v>25330</v>
      </c>
    </row>
    <row r="1010" spans="2:17" x14ac:dyDescent="0.25">
      <c r="B1010">
        <v>9092</v>
      </c>
      <c r="C1010" t="s">
        <v>25331</v>
      </c>
      <c r="E1010">
        <v>9</v>
      </c>
      <c r="F1010">
        <v>144</v>
      </c>
      <c r="G1010">
        <v>51</v>
      </c>
      <c r="N1010" t="s">
        <v>14730</v>
      </c>
    </row>
    <row r="1011" spans="2:17" x14ac:dyDescent="0.25">
      <c r="B1011">
        <v>9093</v>
      </c>
      <c r="C1011" t="s">
        <v>25331</v>
      </c>
      <c r="D1011" t="s">
        <v>24355</v>
      </c>
      <c r="E1011">
        <v>9</v>
      </c>
      <c r="F1011">
        <v>144</v>
      </c>
      <c r="G1011">
        <v>51</v>
      </c>
      <c r="O1011" t="s">
        <v>25332</v>
      </c>
    </row>
    <row r="1012" spans="2:17" x14ac:dyDescent="0.25">
      <c r="B1012">
        <v>9094</v>
      </c>
      <c r="C1012" t="s">
        <v>25331</v>
      </c>
      <c r="D1012" t="s">
        <v>23430</v>
      </c>
      <c r="E1012">
        <v>9</v>
      </c>
      <c r="F1012">
        <v>144</v>
      </c>
      <c r="G1012">
        <v>51</v>
      </c>
      <c r="O1012" t="s">
        <v>25333</v>
      </c>
    </row>
    <row r="1013" spans="2:17" x14ac:dyDescent="0.25">
      <c r="B1013">
        <v>4833</v>
      </c>
      <c r="C1013" t="s">
        <v>25334</v>
      </c>
      <c r="E1013">
        <v>2</v>
      </c>
      <c r="F1013">
        <v>225</v>
      </c>
      <c r="G1013">
        <v>210</v>
      </c>
      <c r="L1013" t="s">
        <v>3096</v>
      </c>
    </row>
    <row r="1014" spans="2:17" x14ac:dyDescent="0.25">
      <c r="B1014">
        <v>4696</v>
      </c>
      <c r="C1014" t="s">
        <v>25335</v>
      </c>
      <c r="E1014">
        <v>3</v>
      </c>
      <c r="F1014">
        <v>207</v>
      </c>
      <c r="G1014">
        <v>243</v>
      </c>
      <c r="M1014" t="s">
        <v>1053</v>
      </c>
    </row>
    <row r="1015" spans="2:17" x14ac:dyDescent="0.25">
      <c r="B1015">
        <v>4697</v>
      </c>
      <c r="C1015" t="s">
        <v>25336</v>
      </c>
      <c r="E1015">
        <v>0</v>
      </c>
      <c r="F1015">
        <v>213</v>
      </c>
      <c r="G1015">
        <v>232</v>
      </c>
      <c r="N1015" t="s">
        <v>1017</v>
      </c>
    </row>
    <row r="1016" spans="2:17" x14ac:dyDescent="0.25">
      <c r="B1016">
        <v>4698</v>
      </c>
      <c r="C1016" t="s">
        <v>25337</v>
      </c>
      <c r="E1016">
        <v>0</v>
      </c>
      <c r="F1016">
        <v>213</v>
      </c>
      <c r="G1016">
        <v>232</v>
      </c>
      <c r="O1016" t="s">
        <v>1048</v>
      </c>
    </row>
    <row r="1017" spans="2:17" x14ac:dyDescent="0.25">
      <c r="B1017">
        <v>4699</v>
      </c>
      <c r="C1017" t="s">
        <v>25338</v>
      </c>
      <c r="E1017">
        <v>0</v>
      </c>
      <c r="F1017">
        <v>213</v>
      </c>
      <c r="G1017">
        <v>232</v>
      </c>
      <c r="P1017" t="s">
        <v>1058</v>
      </c>
    </row>
    <row r="1018" spans="2:17" x14ac:dyDescent="0.25">
      <c r="B1018">
        <v>4700</v>
      </c>
      <c r="C1018" t="s">
        <v>25339</v>
      </c>
      <c r="E1018">
        <v>0</v>
      </c>
      <c r="F1018">
        <v>213</v>
      </c>
      <c r="G1018">
        <v>232</v>
      </c>
      <c r="Q1018" t="s">
        <v>4442</v>
      </c>
    </row>
    <row r="1019" spans="2:17" x14ac:dyDescent="0.25">
      <c r="B1019">
        <v>4701</v>
      </c>
      <c r="C1019" t="s">
        <v>25340</v>
      </c>
      <c r="E1019">
        <v>0</v>
      </c>
      <c r="F1019">
        <v>213</v>
      </c>
      <c r="G1019">
        <v>232</v>
      </c>
      <c r="Q1019" t="s">
        <v>1089</v>
      </c>
    </row>
    <row r="1020" spans="2:17" x14ac:dyDescent="0.25">
      <c r="B1020">
        <v>4702</v>
      </c>
      <c r="C1020" t="s">
        <v>25341</v>
      </c>
      <c r="E1020">
        <v>0</v>
      </c>
      <c r="F1020">
        <v>213</v>
      </c>
      <c r="G1020">
        <v>232</v>
      </c>
      <c r="Q1020" t="s">
        <v>1091</v>
      </c>
    </row>
    <row r="1021" spans="2:17" x14ac:dyDescent="0.25">
      <c r="B1021">
        <v>4703</v>
      </c>
      <c r="C1021" t="s">
        <v>25342</v>
      </c>
      <c r="E1021">
        <v>0</v>
      </c>
      <c r="F1021">
        <v>213</v>
      </c>
      <c r="G1021">
        <v>232</v>
      </c>
      <c r="Q1021" t="s">
        <v>1093</v>
      </c>
    </row>
    <row r="1022" spans="2:17" x14ac:dyDescent="0.25">
      <c r="B1022">
        <v>4704</v>
      </c>
      <c r="C1022" t="s">
        <v>25343</v>
      </c>
      <c r="E1022">
        <v>0</v>
      </c>
      <c r="F1022">
        <v>213</v>
      </c>
      <c r="G1022">
        <v>232</v>
      </c>
      <c r="P1022" t="s">
        <v>1142</v>
      </c>
    </row>
    <row r="1023" spans="2:17" x14ac:dyDescent="0.25">
      <c r="B1023">
        <v>4705</v>
      </c>
      <c r="C1023" t="s">
        <v>25344</v>
      </c>
      <c r="E1023">
        <v>0</v>
      </c>
      <c r="F1023">
        <v>213</v>
      </c>
      <c r="G1023">
        <v>232</v>
      </c>
      <c r="Q1023" t="s">
        <v>1095</v>
      </c>
    </row>
    <row r="1024" spans="2:17" x14ac:dyDescent="0.25">
      <c r="B1024">
        <v>4706</v>
      </c>
      <c r="C1024" t="s">
        <v>25345</v>
      </c>
      <c r="E1024">
        <v>0</v>
      </c>
      <c r="F1024">
        <v>213</v>
      </c>
      <c r="G1024">
        <v>232</v>
      </c>
      <c r="Q1024" t="s">
        <v>1167</v>
      </c>
    </row>
    <row r="1025" spans="2:18" x14ac:dyDescent="0.25">
      <c r="B1025">
        <v>4707</v>
      </c>
      <c r="C1025" t="s">
        <v>25346</v>
      </c>
      <c r="E1025">
        <v>0</v>
      </c>
      <c r="F1025">
        <v>213</v>
      </c>
      <c r="G1025">
        <v>232</v>
      </c>
      <c r="Q1025" t="s">
        <v>1172</v>
      </c>
    </row>
    <row r="1026" spans="2:18" x14ac:dyDescent="0.25">
      <c r="B1026">
        <v>4708</v>
      </c>
      <c r="C1026" t="s">
        <v>25347</v>
      </c>
      <c r="E1026">
        <v>0</v>
      </c>
      <c r="F1026">
        <v>213</v>
      </c>
      <c r="G1026">
        <v>232</v>
      </c>
      <c r="Q1026" t="s">
        <v>1097</v>
      </c>
    </row>
    <row r="1027" spans="2:18" x14ac:dyDescent="0.25">
      <c r="B1027">
        <v>4709</v>
      </c>
      <c r="C1027" t="s">
        <v>25348</v>
      </c>
      <c r="E1027">
        <v>0</v>
      </c>
      <c r="F1027">
        <v>213</v>
      </c>
      <c r="G1027">
        <v>232</v>
      </c>
      <c r="Q1027" t="s">
        <v>4448</v>
      </c>
    </row>
    <row r="1028" spans="2:18" x14ac:dyDescent="0.25">
      <c r="B1028">
        <v>4710</v>
      </c>
      <c r="C1028" t="s">
        <v>25349</v>
      </c>
      <c r="E1028">
        <v>0</v>
      </c>
      <c r="F1028">
        <v>213</v>
      </c>
      <c r="G1028">
        <v>232</v>
      </c>
      <c r="Q1028" t="s">
        <v>1099</v>
      </c>
    </row>
    <row r="1029" spans="2:18" x14ac:dyDescent="0.25">
      <c r="B1029">
        <v>4711</v>
      </c>
      <c r="C1029" t="s">
        <v>25350</v>
      </c>
      <c r="E1029">
        <v>0</v>
      </c>
      <c r="F1029">
        <v>213</v>
      </c>
      <c r="G1029">
        <v>232</v>
      </c>
      <c r="Q1029" t="s">
        <v>1101</v>
      </c>
    </row>
    <row r="1030" spans="2:18" x14ac:dyDescent="0.25">
      <c r="B1030">
        <v>4712</v>
      </c>
      <c r="C1030" t="s">
        <v>25351</v>
      </c>
      <c r="E1030">
        <v>0</v>
      </c>
      <c r="F1030">
        <v>213</v>
      </c>
      <c r="G1030">
        <v>232</v>
      </c>
      <c r="P1030" t="s">
        <v>4452</v>
      </c>
    </row>
    <row r="1031" spans="2:18" x14ac:dyDescent="0.25">
      <c r="B1031">
        <v>4713</v>
      </c>
      <c r="C1031" t="s">
        <v>25352</v>
      </c>
      <c r="E1031">
        <v>0</v>
      </c>
      <c r="F1031">
        <v>213</v>
      </c>
      <c r="G1031">
        <v>232</v>
      </c>
      <c r="Q1031" t="s">
        <v>1177</v>
      </c>
    </row>
    <row r="1032" spans="2:18" x14ac:dyDescent="0.25">
      <c r="B1032">
        <v>12930</v>
      </c>
      <c r="C1032" t="s">
        <v>17360</v>
      </c>
      <c r="E1032">
        <v>0</v>
      </c>
      <c r="F1032">
        <v>213</v>
      </c>
      <c r="G1032">
        <v>232</v>
      </c>
      <c r="O1032" t="s">
        <v>1027</v>
      </c>
    </row>
    <row r="1033" spans="2:18" x14ac:dyDescent="0.25">
      <c r="B1033">
        <v>12931</v>
      </c>
      <c r="C1033" t="s">
        <v>25353</v>
      </c>
      <c r="E1033">
        <v>0</v>
      </c>
      <c r="F1033">
        <v>213</v>
      </c>
      <c r="G1033">
        <v>232</v>
      </c>
      <c r="P1033" t="s">
        <v>2159</v>
      </c>
    </row>
    <row r="1034" spans="2:18" x14ac:dyDescent="0.25">
      <c r="B1034">
        <v>12932</v>
      </c>
      <c r="C1034" t="s">
        <v>25354</v>
      </c>
      <c r="E1034">
        <v>0</v>
      </c>
      <c r="F1034">
        <v>213</v>
      </c>
      <c r="G1034">
        <v>232</v>
      </c>
      <c r="Q1034" t="s">
        <v>4442</v>
      </c>
    </row>
    <row r="1035" spans="2:18" x14ac:dyDescent="0.25">
      <c r="B1035">
        <v>4717</v>
      </c>
      <c r="C1035" t="s">
        <v>25355</v>
      </c>
      <c r="D1035" t="s">
        <v>24355</v>
      </c>
      <c r="E1035">
        <v>0</v>
      </c>
      <c r="F1035">
        <v>213</v>
      </c>
      <c r="G1035">
        <v>232</v>
      </c>
      <c r="R1035" t="s">
        <v>3705</v>
      </c>
    </row>
    <row r="1036" spans="2:18" x14ac:dyDescent="0.25">
      <c r="B1036">
        <v>4733</v>
      </c>
      <c r="C1036" t="s">
        <v>25356</v>
      </c>
      <c r="D1036" t="s">
        <v>24355</v>
      </c>
      <c r="E1036">
        <v>0</v>
      </c>
      <c r="F1036">
        <v>213</v>
      </c>
      <c r="G1036">
        <v>232</v>
      </c>
      <c r="R1036" t="s">
        <v>25357</v>
      </c>
    </row>
    <row r="1037" spans="2:18" x14ac:dyDescent="0.25">
      <c r="B1037">
        <v>4750</v>
      </c>
      <c r="C1037" t="s">
        <v>25355</v>
      </c>
      <c r="D1037" t="s">
        <v>23430</v>
      </c>
      <c r="E1037">
        <v>0</v>
      </c>
      <c r="F1037">
        <v>213</v>
      </c>
      <c r="G1037">
        <v>232</v>
      </c>
      <c r="R1037" t="s">
        <v>25358</v>
      </c>
    </row>
    <row r="1038" spans="2:18" x14ac:dyDescent="0.25">
      <c r="B1038">
        <v>4766</v>
      </c>
      <c r="C1038" t="s">
        <v>25356</v>
      </c>
      <c r="D1038" t="s">
        <v>23430</v>
      </c>
      <c r="E1038">
        <v>0</v>
      </c>
      <c r="F1038">
        <v>213</v>
      </c>
      <c r="G1038">
        <v>232</v>
      </c>
      <c r="R1038" t="s">
        <v>25359</v>
      </c>
    </row>
    <row r="1039" spans="2:18" x14ac:dyDescent="0.25">
      <c r="B1039">
        <v>12933</v>
      </c>
      <c r="C1039" t="s">
        <v>25360</v>
      </c>
      <c r="E1039">
        <v>0</v>
      </c>
      <c r="F1039">
        <v>213</v>
      </c>
      <c r="G1039">
        <v>232</v>
      </c>
      <c r="Q1039" t="s">
        <v>1089</v>
      </c>
    </row>
    <row r="1040" spans="2:18" x14ac:dyDescent="0.25">
      <c r="B1040">
        <v>4718</v>
      </c>
      <c r="C1040" t="s">
        <v>25361</v>
      </c>
      <c r="D1040" t="s">
        <v>24355</v>
      </c>
      <c r="E1040">
        <v>0</v>
      </c>
      <c r="F1040">
        <v>213</v>
      </c>
      <c r="G1040">
        <v>232</v>
      </c>
      <c r="R1040" t="s">
        <v>1146</v>
      </c>
    </row>
    <row r="1041" spans="2:18" x14ac:dyDescent="0.25">
      <c r="B1041">
        <v>4734</v>
      </c>
      <c r="C1041" t="s">
        <v>25362</v>
      </c>
      <c r="D1041" t="s">
        <v>24355</v>
      </c>
      <c r="E1041">
        <v>0</v>
      </c>
      <c r="F1041">
        <v>213</v>
      </c>
      <c r="G1041">
        <v>232</v>
      </c>
      <c r="R1041" t="s">
        <v>25363</v>
      </c>
    </row>
    <row r="1042" spans="2:18" x14ac:dyDescent="0.25">
      <c r="B1042">
        <v>4751</v>
      </c>
      <c r="C1042" t="s">
        <v>25361</v>
      </c>
      <c r="D1042" t="s">
        <v>23430</v>
      </c>
      <c r="E1042">
        <v>0</v>
      </c>
      <c r="F1042">
        <v>213</v>
      </c>
      <c r="G1042">
        <v>232</v>
      </c>
      <c r="R1042" t="s">
        <v>25364</v>
      </c>
    </row>
    <row r="1043" spans="2:18" x14ac:dyDescent="0.25">
      <c r="B1043">
        <v>4767</v>
      </c>
      <c r="C1043" t="s">
        <v>25362</v>
      </c>
      <c r="D1043" t="s">
        <v>23430</v>
      </c>
      <c r="E1043">
        <v>0</v>
      </c>
      <c r="F1043">
        <v>213</v>
      </c>
      <c r="G1043">
        <v>232</v>
      </c>
      <c r="R1043" t="s">
        <v>25365</v>
      </c>
    </row>
    <row r="1044" spans="2:18" x14ac:dyDescent="0.25">
      <c r="B1044">
        <v>12934</v>
      </c>
      <c r="C1044" t="s">
        <v>25366</v>
      </c>
      <c r="E1044">
        <v>0</v>
      </c>
      <c r="F1044">
        <v>213</v>
      </c>
      <c r="G1044">
        <v>232</v>
      </c>
      <c r="Q1044" t="s">
        <v>1091</v>
      </c>
    </row>
    <row r="1045" spans="2:18" x14ac:dyDescent="0.25">
      <c r="B1045">
        <v>4719</v>
      </c>
      <c r="C1045" t="s">
        <v>25367</v>
      </c>
      <c r="D1045" t="s">
        <v>24355</v>
      </c>
      <c r="E1045">
        <v>0</v>
      </c>
      <c r="F1045">
        <v>213</v>
      </c>
      <c r="G1045">
        <v>232</v>
      </c>
      <c r="R1045" t="s">
        <v>1148</v>
      </c>
    </row>
    <row r="1046" spans="2:18" x14ac:dyDescent="0.25">
      <c r="B1046">
        <v>4735</v>
      </c>
      <c r="C1046" t="s">
        <v>25368</v>
      </c>
      <c r="D1046" t="s">
        <v>24355</v>
      </c>
      <c r="E1046">
        <v>0</v>
      </c>
      <c r="F1046">
        <v>213</v>
      </c>
      <c r="G1046">
        <v>232</v>
      </c>
      <c r="R1046" t="s">
        <v>25369</v>
      </c>
    </row>
    <row r="1047" spans="2:18" x14ac:dyDescent="0.25">
      <c r="B1047">
        <v>4752</v>
      </c>
      <c r="C1047" t="s">
        <v>25367</v>
      </c>
      <c r="D1047" t="s">
        <v>23430</v>
      </c>
      <c r="E1047">
        <v>0</v>
      </c>
      <c r="F1047">
        <v>213</v>
      </c>
      <c r="G1047">
        <v>232</v>
      </c>
      <c r="R1047" t="s">
        <v>25370</v>
      </c>
    </row>
    <row r="1048" spans="2:18" x14ac:dyDescent="0.25">
      <c r="B1048">
        <v>4768</v>
      </c>
      <c r="C1048" t="s">
        <v>25368</v>
      </c>
      <c r="D1048" t="s">
        <v>23430</v>
      </c>
      <c r="E1048">
        <v>0</v>
      </c>
      <c r="F1048">
        <v>213</v>
      </c>
      <c r="G1048">
        <v>232</v>
      </c>
      <c r="R1048" t="s">
        <v>25371</v>
      </c>
    </row>
    <row r="1049" spans="2:18" x14ac:dyDescent="0.25">
      <c r="B1049">
        <v>12935</v>
      </c>
      <c r="C1049" t="s">
        <v>25372</v>
      </c>
      <c r="E1049">
        <v>0</v>
      </c>
      <c r="F1049">
        <v>213</v>
      </c>
      <c r="G1049">
        <v>232</v>
      </c>
      <c r="Q1049" t="s">
        <v>1093</v>
      </c>
    </row>
    <row r="1050" spans="2:18" x14ac:dyDescent="0.25">
      <c r="B1050">
        <v>4720</v>
      </c>
      <c r="C1050" t="s">
        <v>25373</v>
      </c>
      <c r="D1050" t="s">
        <v>24355</v>
      </c>
      <c r="E1050">
        <v>0</v>
      </c>
      <c r="F1050">
        <v>213</v>
      </c>
      <c r="G1050">
        <v>232</v>
      </c>
      <c r="R1050" t="s">
        <v>1150</v>
      </c>
    </row>
    <row r="1051" spans="2:18" x14ac:dyDescent="0.25">
      <c r="B1051">
        <v>4736</v>
      </c>
      <c r="C1051" t="s">
        <v>25374</v>
      </c>
      <c r="D1051" t="s">
        <v>24355</v>
      </c>
      <c r="E1051">
        <v>0</v>
      </c>
      <c r="F1051">
        <v>213</v>
      </c>
      <c r="G1051">
        <v>232</v>
      </c>
      <c r="R1051" t="s">
        <v>25375</v>
      </c>
    </row>
    <row r="1052" spans="2:18" x14ac:dyDescent="0.25">
      <c r="B1052">
        <v>4753</v>
      </c>
      <c r="C1052" t="s">
        <v>25373</v>
      </c>
      <c r="D1052" t="s">
        <v>23430</v>
      </c>
      <c r="E1052">
        <v>0</v>
      </c>
      <c r="F1052">
        <v>213</v>
      </c>
      <c r="G1052">
        <v>232</v>
      </c>
      <c r="R1052" t="s">
        <v>25376</v>
      </c>
    </row>
    <row r="1053" spans="2:18" x14ac:dyDescent="0.25">
      <c r="B1053">
        <v>4769</v>
      </c>
      <c r="C1053" t="s">
        <v>25374</v>
      </c>
      <c r="D1053" t="s">
        <v>23430</v>
      </c>
      <c r="E1053">
        <v>0</v>
      </c>
      <c r="F1053">
        <v>213</v>
      </c>
      <c r="G1053">
        <v>232</v>
      </c>
      <c r="R1053" t="s">
        <v>25377</v>
      </c>
    </row>
    <row r="1054" spans="2:18" x14ac:dyDescent="0.25">
      <c r="B1054">
        <v>12936</v>
      </c>
      <c r="C1054" t="s">
        <v>25378</v>
      </c>
      <c r="E1054">
        <v>0</v>
      </c>
      <c r="F1054">
        <v>213</v>
      </c>
      <c r="G1054">
        <v>232</v>
      </c>
      <c r="P1054" t="s">
        <v>2200</v>
      </c>
    </row>
    <row r="1055" spans="2:18" x14ac:dyDescent="0.25">
      <c r="B1055">
        <v>12937</v>
      </c>
      <c r="C1055" t="s">
        <v>25379</v>
      </c>
      <c r="E1055">
        <v>0</v>
      </c>
      <c r="F1055">
        <v>213</v>
      </c>
      <c r="G1055">
        <v>232</v>
      </c>
      <c r="Q1055" t="s">
        <v>1095</v>
      </c>
    </row>
    <row r="1056" spans="2:18" x14ac:dyDescent="0.25">
      <c r="B1056">
        <v>4722</v>
      </c>
      <c r="C1056" t="s">
        <v>25380</v>
      </c>
      <c r="D1056" t="s">
        <v>24355</v>
      </c>
      <c r="E1056">
        <v>0</v>
      </c>
      <c r="F1056">
        <v>213</v>
      </c>
      <c r="G1056">
        <v>232</v>
      </c>
      <c r="R1056" t="s">
        <v>1152</v>
      </c>
    </row>
    <row r="1057" spans="2:18" x14ac:dyDescent="0.25">
      <c r="B1057">
        <v>4738</v>
      </c>
      <c r="C1057" t="s">
        <v>25381</v>
      </c>
      <c r="D1057" t="s">
        <v>24355</v>
      </c>
      <c r="E1057">
        <v>0</v>
      </c>
      <c r="F1057">
        <v>213</v>
      </c>
      <c r="G1057">
        <v>232</v>
      </c>
      <c r="R1057" t="s">
        <v>25382</v>
      </c>
    </row>
    <row r="1058" spans="2:18" x14ac:dyDescent="0.25">
      <c r="B1058">
        <v>4755</v>
      </c>
      <c r="C1058" t="s">
        <v>25380</v>
      </c>
      <c r="D1058" t="s">
        <v>23430</v>
      </c>
      <c r="E1058">
        <v>0</v>
      </c>
      <c r="F1058">
        <v>213</v>
      </c>
      <c r="G1058">
        <v>232</v>
      </c>
      <c r="R1058" t="s">
        <v>25383</v>
      </c>
    </row>
    <row r="1059" spans="2:18" x14ac:dyDescent="0.25">
      <c r="B1059">
        <v>4771</v>
      </c>
      <c r="C1059" t="s">
        <v>25381</v>
      </c>
      <c r="D1059" t="s">
        <v>23430</v>
      </c>
      <c r="E1059">
        <v>0</v>
      </c>
      <c r="F1059">
        <v>213</v>
      </c>
      <c r="G1059">
        <v>232</v>
      </c>
      <c r="R1059" t="s">
        <v>25384</v>
      </c>
    </row>
    <row r="1060" spans="2:18" x14ac:dyDescent="0.25">
      <c r="B1060">
        <v>12938</v>
      </c>
      <c r="C1060" t="s">
        <v>25385</v>
      </c>
      <c r="E1060">
        <v>0</v>
      </c>
      <c r="F1060">
        <v>213</v>
      </c>
      <c r="G1060">
        <v>232</v>
      </c>
      <c r="Q1060" t="s">
        <v>291</v>
      </c>
    </row>
    <row r="1061" spans="2:18" x14ac:dyDescent="0.25">
      <c r="B1061">
        <v>4723</v>
      </c>
      <c r="C1061" t="s">
        <v>25386</v>
      </c>
      <c r="D1061" t="s">
        <v>24355</v>
      </c>
      <c r="E1061">
        <v>0</v>
      </c>
      <c r="F1061">
        <v>213</v>
      </c>
      <c r="G1061">
        <v>232</v>
      </c>
      <c r="R1061" t="s">
        <v>25387</v>
      </c>
    </row>
    <row r="1062" spans="2:18" x14ac:dyDescent="0.25">
      <c r="B1062">
        <v>4739</v>
      </c>
      <c r="C1062" t="s">
        <v>25388</v>
      </c>
      <c r="D1062" t="s">
        <v>24355</v>
      </c>
      <c r="E1062">
        <v>0</v>
      </c>
      <c r="F1062">
        <v>213</v>
      </c>
      <c r="G1062">
        <v>232</v>
      </c>
      <c r="R1062" t="s">
        <v>25389</v>
      </c>
    </row>
    <row r="1063" spans="2:18" x14ac:dyDescent="0.25">
      <c r="B1063">
        <v>4756</v>
      </c>
      <c r="C1063" t="s">
        <v>25386</v>
      </c>
      <c r="D1063" t="s">
        <v>23430</v>
      </c>
      <c r="E1063">
        <v>0</v>
      </c>
      <c r="F1063">
        <v>213</v>
      </c>
      <c r="G1063">
        <v>232</v>
      </c>
      <c r="R1063" t="s">
        <v>25390</v>
      </c>
    </row>
    <row r="1064" spans="2:18" x14ac:dyDescent="0.25">
      <c r="B1064">
        <v>4772</v>
      </c>
      <c r="C1064" t="s">
        <v>25388</v>
      </c>
      <c r="D1064" t="s">
        <v>23430</v>
      </c>
      <c r="E1064">
        <v>0</v>
      </c>
      <c r="F1064">
        <v>213</v>
      </c>
      <c r="G1064">
        <v>232</v>
      </c>
      <c r="R1064" t="s">
        <v>25391</v>
      </c>
    </row>
    <row r="1065" spans="2:18" x14ac:dyDescent="0.25">
      <c r="B1065">
        <v>12939</v>
      </c>
      <c r="C1065" t="s">
        <v>25392</v>
      </c>
      <c r="E1065">
        <v>0</v>
      </c>
      <c r="F1065">
        <v>213</v>
      </c>
      <c r="G1065">
        <v>232</v>
      </c>
      <c r="Q1065" t="s">
        <v>296</v>
      </c>
    </row>
    <row r="1066" spans="2:18" x14ac:dyDescent="0.25">
      <c r="B1066">
        <v>4724</v>
      </c>
      <c r="C1066" t="s">
        <v>25393</v>
      </c>
      <c r="D1066" t="s">
        <v>24355</v>
      </c>
      <c r="E1066">
        <v>0</v>
      </c>
      <c r="F1066">
        <v>213</v>
      </c>
      <c r="G1066">
        <v>232</v>
      </c>
      <c r="R1066" t="s">
        <v>25394</v>
      </c>
    </row>
    <row r="1067" spans="2:18" x14ac:dyDescent="0.25">
      <c r="B1067">
        <v>4740</v>
      </c>
      <c r="C1067" t="s">
        <v>25395</v>
      </c>
      <c r="D1067" t="s">
        <v>24355</v>
      </c>
      <c r="E1067">
        <v>0</v>
      </c>
      <c r="F1067">
        <v>213</v>
      </c>
      <c r="G1067">
        <v>232</v>
      </c>
      <c r="R1067" t="s">
        <v>25396</v>
      </c>
    </row>
    <row r="1068" spans="2:18" x14ac:dyDescent="0.25">
      <c r="B1068">
        <v>4757</v>
      </c>
      <c r="C1068" t="s">
        <v>25393</v>
      </c>
      <c r="D1068" t="s">
        <v>23430</v>
      </c>
      <c r="E1068">
        <v>0</v>
      </c>
      <c r="F1068">
        <v>213</v>
      </c>
      <c r="G1068">
        <v>232</v>
      </c>
      <c r="R1068" t="s">
        <v>25397</v>
      </c>
    </row>
    <row r="1069" spans="2:18" x14ac:dyDescent="0.25">
      <c r="B1069">
        <v>4773</v>
      </c>
      <c r="C1069" t="s">
        <v>25395</v>
      </c>
      <c r="D1069" t="s">
        <v>23430</v>
      </c>
      <c r="E1069">
        <v>0</v>
      </c>
      <c r="F1069">
        <v>213</v>
      </c>
      <c r="G1069">
        <v>232</v>
      </c>
      <c r="R1069" t="s">
        <v>25398</v>
      </c>
    </row>
    <row r="1070" spans="2:18" x14ac:dyDescent="0.25">
      <c r="B1070">
        <v>12940</v>
      </c>
      <c r="C1070" t="s">
        <v>25399</v>
      </c>
      <c r="E1070">
        <v>0</v>
      </c>
      <c r="F1070">
        <v>213</v>
      </c>
      <c r="G1070">
        <v>232</v>
      </c>
      <c r="Q1070" t="s">
        <v>1097</v>
      </c>
    </row>
    <row r="1071" spans="2:18" x14ac:dyDescent="0.25">
      <c r="B1071">
        <v>4725</v>
      </c>
      <c r="C1071" t="s">
        <v>25400</v>
      </c>
      <c r="D1071" t="s">
        <v>24355</v>
      </c>
      <c r="E1071">
        <v>0</v>
      </c>
      <c r="F1071">
        <v>213</v>
      </c>
      <c r="G1071">
        <v>232</v>
      </c>
      <c r="R1071" t="s">
        <v>25401</v>
      </c>
    </row>
    <row r="1072" spans="2:18" x14ac:dyDescent="0.25">
      <c r="B1072">
        <v>4741</v>
      </c>
      <c r="C1072" t="s">
        <v>25402</v>
      </c>
      <c r="D1072" t="s">
        <v>24355</v>
      </c>
      <c r="E1072">
        <v>0</v>
      </c>
      <c r="F1072">
        <v>213</v>
      </c>
      <c r="G1072">
        <v>232</v>
      </c>
      <c r="R1072" t="s">
        <v>25403</v>
      </c>
    </row>
    <row r="1073" spans="2:18" x14ac:dyDescent="0.25">
      <c r="B1073">
        <v>4758</v>
      </c>
      <c r="C1073" t="s">
        <v>25400</v>
      </c>
      <c r="D1073" t="s">
        <v>23430</v>
      </c>
      <c r="E1073">
        <v>0</v>
      </c>
      <c r="F1073">
        <v>213</v>
      </c>
      <c r="G1073">
        <v>232</v>
      </c>
      <c r="R1073" t="s">
        <v>25404</v>
      </c>
    </row>
    <row r="1074" spans="2:18" x14ac:dyDescent="0.25">
      <c r="B1074">
        <v>4774</v>
      </c>
      <c r="C1074" t="s">
        <v>25402</v>
      </c>
      <c r="D1074" t="s">
        <v>23430</v>
      </c>
      <c r="E1074">
        <v>0</v>
      </c>
      <c r="F1074">
        <v>213</v>
      </c>
      <c r="G1074">
        <v>232</v>
      </c>
      <c r="R1074" t="s">
        <v>25405</v>
      </c>
    </row>
    <row r="1075" spans="2:18" x14ac:dyDescent="0.25">
      <c r="B1075">
        <v>12941</v>
      </c>
      <c r="C1075" t="s">
        <v>25406</v>
      </c>
      <c r="E1075">
        <v>0</v>
      </c>
      <c r="F1075">
        <v>213</v>
      </c>
      <c r="G1075">
        <v>232</v>
      </c>
      <c r="Q1075" t="s">
        <v>4448</v>
      </c>
    </row>
    <row r="1076" spans="2:18" x14ac:dyDescent="0.25">
      <c r="B1076">
        <v>4726</v>
      </c>
      <c r="C1076" t="s">
        <v>25407</v>
      </c>
      <c r="D1076" t="s">
        <v>24355</v>
      </c>
      <c r="E1076">
        <v>0</v>
      </c>
      <c r="F1076">
        <v>213</v>
      </c>
      <c r="G1076">
        <v>232</v>
      </c>
      <c r="R1076" t="s">
        <v>25408</v>
      </c>
    </row>
    <row r="1077" spans="2:18" x14ac:dyDescent="0.25">
      <c r="B1077">
        <v>4742</v>
      </c>
      <c r="C1077" t="s">
        <v>25409</v>
      </c>
      <c r="D1077" t="s">
        <v>24355</v>
      </c>
      <c r="E1077">
        <v>0</v>
      </c>
      <c r="F1077">
        <v>213</v>
      </c>
      <c r="G1077">
        <v>232</v>
      </c>
      <c r="R1077" t="s">
        <v>25410</v>
      </c>
    </row>
    <row r="1078" spans="2:18" x14ac:dyDescent="0.25">
      <c r="B1078">
        <v>4759</v>
      </c>
      <c r="C1078" t="s">
        <v>25407</v>
      </c>
      <c r="D1078" t="s">
        <v>23430</v>
      </c>
      <c r="E1078">
        <v>0</v>
      </c>
      <c r="F1078">
        <v>213</v>
      </c>
      <c r="G1078">
        <v>232</v>
      </c>
      <c r="R1078" t="s">
        <v>25411</v>
      </c>
    </row>
    <row r="1079" spans="2:18" x14ac:dyDescent="0.25">
      <c r="B1079">
        <v>4775</v>
      </c>
      <c r="C1079" t="s">
        <v>25409</v>
      </c>
      <c r="D1079" t="s">
        <v>23430</v>
      </c>
      <c r="E1079">
        <v>0</v>
      </c>
      <c r="F1079">
        <v>213</v>
      </c>
      <c r="G1079">
        <v>232</v>
      </c>
      <c r="R1079" t="s">
        <v>25412</v>
      </c>
    </row>
    <row r="1080" spans="2:18" x14ac:dyDescent="0.25">
      <c r="B1080">
        <v>12942</v>
      </c>
      <c r="C1080" t="s">
        <v>25413</v>
      </c>
      <c r="E1080">
        <v>0</v>
      </c>
      <c r="F1080">
        <v>213</v>
      </c>
      <c r="G1080">
        <v>232</v>
      </c>
      <c r="Q1080" t="s">
        <v>1099</v>
      </c>
    </row>
    <row r="1081" spans="2:18" x14ac:dyDescent="0.25">
      <c r="B1081">
        <v>4727</v>
      </c>
      <c r="C1081" t="s">
        <v>25414</v>
      </c>
      <c r="D1081" t="s">
        <v>24355</v>
      </c>
      <c r="E1081">
        <v>0</v>
      </c>
      <c r="F1081">
        <v>213</v>
      </c>
      <c r="G1081">
        <v>232</v>
      </c>
      <c r="R1081" t="s">
        <v>25415</v>
      </c>
    </row>
    <row r="1082" spans="2:18" x14ac:dyDescent="0.25">
      <c r="B1082">
        <v>4743</v>
      </c>
      <c r="C1082" t="s">
        <v>25416</v>
      </c>
      <c r="D1082" t="s">
        <v>24355</v>
      </c>
      <c r="E1082">
        <v>0</v>
      </c>
      <c r="F1082">
        <v>213</v>
      </c>
      <c r="G1082">
        <v>232</v>
      </c>
      <c r="R1082" t="s">
        <v>25417</v>
      </c>
    </row>
    <row r="1083" spans="2:18" x14ac:dyDescent="0.25">
      <c r="B1083">
        <v>4760</v>
      </c>
      <c r="C1083" t="s">
        <v>25414</v>
      </c>
      <c r="D1083" t="s">
        <v>23430</v>
      </c>
      <c r="E1083">
        <v>0</v>
      </c>
      <c r="F1083">
        <v>213</v>
      </c>
      <c r="G1083">
        <v>232</v>
      </c>
      <c r="R1083" t="s">
        <v>25418</v>
      </c>
    </row>
    <row r="1084" spans="2:18" x14ac:dyDescent="0.25">
      <c r="B1084">
        <v>4776</v>
      </c>
      <c r="C1084" t="s">
        <v>25416</v>
      </c>
      <c r="D1084" t="s">
        <v>23430</v>
      </c>
      <c r="E1084">
        <v>0</v>
      </c>
      <c r="F1084">
        <v>213</v>
      </c>
      <c r="G1084">
        <v>232</v>
      </c>
      <c r="R1084" t="s">
        <v>25419</v>
      </c>
    </row>
    <row r="1085" spans="2:18" x14ac:dyDescent="0.25">
      <c r="B1085">
        <v>12943</v>
      </c>
      <c r="C1085" t="s">
        <v>25420</v>
      </c>
      <c r="E1085">
        <v>0</v>
      </c>
      <c r="F1085">
        <v>213</v>
      </c>
      <c r="G1085">
        <v>232</v>
      </c>
      <c r="Q1085" t="s">
        <v>1101</v>
      </c>
    </row>
    <row r="1086" spans="2:18" x14ac:dyDescent="0.25">
      <c r="B1086">
        <v>4728</v>
      </c>
      <c r="C1086" t="s">
        <v>25421</v>
      </c>
      <c r="D1086" t="s">
        <v>24355</v>
      </c>
      <c r="E1086">
        <v>0</v>
      </c>
      <c r="F1086">
        <v>213</v>
      </c>
      <c r="G1086">
        <v>232</v>
      </c>
      <c r="R1086" t="s">
        <v>1154</v>
      </c>
    </row>
    <row r="1087" spans="2:18" x14ac:dyDescent="0.25">
      <c r="B1087">
        <v>4744</v>
      </c>
      <c r="C1087" t="s">
        <v>25422</v>
      </c>
      <c r="D1087" t="s">
        <v>24355</v>
      </c>
      <c r="E1087">
        <v>0</v>
      </c>
      <c r="F1087">
        <v>213</v>
      </c>
      <c r="G1087">
        <v>232</v>
      </c>
      <c r="R1087" t="s">
        <v>1854</v>
      </c>
    </row>
    <row r="1088" spans="2:18" x14ac:dyDescent="0.25">
      <c r="B1088">
        <v>4761</v>
      </c>
      <c r="C1088" t="s">
        <v>25421</v>
      </c>
      <c r="D1088" t="s">
        <v>23430</v>
      </c>
      <c r="E1088">
        <v>0</v>
      </c>
      <c r="F1088">
        <v>213</v>
      </c>
      <c r="G1088">
        <v>232</v>
      </c>
      <c r="R1088" t="s">
        <v>1858</v>
      </c>
    </row>
    <row r="1089" spans="2:18" x14ac:dyDescent="0.25">
      <c r="B1089">
        <v>4777</v>
      </c>
      <c r="C1089" t="s">
        <v>25422</v>
      </c>
      <c r="D1089" t="s">
        <v>23430</v>
      </c>
      <c r="E1089">
        <v>0</v>
      </c>
      <c r="F1089">
        <v>213</v>
      </c>
      <c r="G1089">
        <v>232</v>
      </c>
      <c r="R1089" t="s">
        <v>1862</v>
      </c>
    </row>
    <row r="1090" spans="2:18" x14ac:dyDescent="0.25">
      <c r="B1090">
        <v>12944</v>
      </c>
      <c r="C1090" t="s">
        <v>25423</v>
      </c>
      <c r="E1090">
        <v>0</v>
      </c>
      <c r="F1090">
        <v>213</v>
      </c>
      <c r="G1090">
        <v>232</v>
      </c>
      <c r="P1090" t="s">
        <v>1842</v>
      </c>
    </row>
    <row r="1091" spans="2:18" x14ac:dyDescent="0.25">
      <c r="B1091">
        <v>12945</v>
      </c>
      <c r="C1091" t="s">
        <v>25424</v>
      </c>
      <c r="E1091">
        <v>0</v>
      </c>
      <c r="F1091">
        <v>213</v>
      </c>
      <c r="G1091">
        <v>232</v>
      </c>
      <c r="Q1091" t="s">
        <v>1177</v>
      </c>
    </row>
    <row r="1092" spans="2:18" x14ac:dyDescent="0.25">
      <c r="B1092">
        <v>4730</v>
      </c>
      <c r="C1092" t="s">
        <v>25425</v>
      </c>
      <c r="D1092" t="s">
        <v>24355</v>
      </c>
      <c r="E1092">
        <v>0</v>
      </c>
      <c r="F1092">
        <v>213</v>
      </c>
      <c r="G1092">
        <v>232</v>
      </c>
      <c r="R1092" t="s">
        <v>3715</v>
      </c>
    </row>
    <row r="1093" spans="2:18" x14ac:dyDescent="0.25">
      <c r="B1093">
        <v>4746</v>
      </c>
      <c r="C1093" t="s">
        <v>25426</v>
      </c>
      <c r="D1093" t="s">
        <v>24355</v>
      </c>
      <c r="E1093">
        <v>0</v>
      </c>
      <c r="F1093">
        <v>213</v>
      </c>
      <c r="G1093">
        <v>232</v>
      </c>
      <c r="R1093" t="s">
        <v>1856</v>
      </c>
    </row>
    <row r="1094" spans="2:18" x14ac:dyDescent="0.25">
      <c r="B1094">
        <v>4763</v>
      </c>
      <c r="C1094" t="s">
        <v>25425</v>
      </c>
      <c r="D1094" t="s">
        <v>23430</v>
      </c>
      <c r="E1094">
        <v>0</v>
      </c>
      <c r="F1094">
        <v>213</v>
      </c>
      <c r="G1094">
        <v>232</v>
      </c>
      <c r="R1094" t="s">
        <v>1860</v>
      </c>
    </row>
    <row r="1095" spans="2:18" x14ac:dyDescent="0.25">
      <c r="B1095">
        <v>4779</v>
      </c>
      <c r="C1095" t="s">
        <v>25426</v>
      </c>
      <c r="D1095" t="s">
        <v>23430</v>
      </c>
      <c r="E1095">
        <v>0</v>
      </c>
      <c r="F1095">
        <v>213</v>
      </c>
      <c r="G1095">
        <v>232</v>
      </c>
      <c r="R1095" t="s">
        <v>1864</v>
      </c>
    </row>
    <row r="1096" spans="2:18" x14ac:dyDescent="0.25">
      <c r="B1096">
        <v>4780</v>
      </c>
      <c r="C1096" t="s">
        <v>25427</v>
      </c>
      <c r="E1096">
        <v>6</v>
      </c>
      <c r="F1096">
        <v>202</v>
      </c>
      <c r="G1096">
        <v>255</v>
      </c>
      <c r="N1096" t="s">
        <v>1034</v>
      </c>
    </row>
    <row r="1097" spans="2:18" x14ac:dyDescent="0.25">
      <c r="B1097">
        <v>12946</v>
      </c>
      <c r="C1097" t="s">
        <v>25428</v>
      </c>
      <c r="E1097">
        <v>6</v>
      </c>
      <c r="F1097">
        <v>202</v>
      </c>
      <c r="G1097">
        <v>255</v>
      </c>
      <c r="O1097" t="s">
        <v>1472</v>
      </c>
    </row>
    <row r="1098" spans="2:18" x14ac:dyDescent="0.25">
      <c r="B1098">
        <v>4782</v>
      </c>
      <c r="C1098" t="s">
        <v>25428</v>
      </c>
      <c r="D1098" t="s">
        <v>24355</v>
      </c>
      <c r="E1098">
        <v>6</v>
      </c>
      <c r="F1098">
        <v>202</v>
      </c>
      <c r="G1098">
        <v>255</v>
      </c>
      <c r="P1098" t="s">
        <v>12701</v>
      </c>
    </row>
    <row r="1099" spans="2:18" x14ac:dyDescent="0.25">
      <c r="B1099">
        <v>4787</v>
      </c>
      <c r="C1099" t="s">
        <v>25428</v>
      </c>
      <c r="D1099" t="s">
        <v>23430</v>
      </c>
      <c r="E1099">
        <v>6</v>
      </c>
      <c r="F1099">
        <v>202</v>
      </c>
      <c r="G1099">
        <v>255</v>
      </c>
      <c r="P1099" t="s">
        <v>12709</v>
      </c>
    </row>
    <row r="1100" spans="2:18" x14ac:dyDescent="0.25">
      <c r="B1100">
        <v>12947</v>
      </c>
      <c r="C1100" t="s">
        <v>25429</v>
      </c>
      <c r="E1100">
        <v>6</v>
      </c>
      <c r="F1100">
        <v>202</v>
      </c>
      <c r="G1100">
        <v>255</v>
      </c>
      <c r="O1100" t="s">
        <v>1665</v>
      </c>
    </row>
    <row r="1101" spans="2:18" x14ac:dyDescent="0.25">
      <c r="B1101">
        <v>4783</v>
      </c>
      <c r="C1101" t="s">
        <v>25429</v>
      </c>
      <c r="D1101" t="s">
        <v>24355</v>
      </c>
      <c r="E1101">
        <v>6</v>
      </c>
      <c r="F1101">
        <v>202</v>
      </c>
      <c r="G1101">
        <v>255</v>
      </c>
      <c r="P1101" t="s">
        <v>12703</v>
      </c>
    </row>
    <row r="1102" spans="2:18" x14ac:dyDescent="0.25">
      <c r="B1102">
        <v>4788</v>
      </c>
      <c r="C1102" t="s">
        <v>25429</v>
      </c>
      <c r="D1102" t="s">
        <v>23430</v>
      </c>
      <c r="E1102">
        <v>6</v>
      </c>
      <c r="F1102">
        <v>202</v>
      </c>
      <c r="G1102">
        <v>255</v>
      </c>
      <c r="P1102" t="s">
        <v>12711</v>
      </c>
    </row>
    <row r="1103" spans="2:18" x14ac:dyDescent="0.25">
      <c r="B1103">
        <v>12948</v>
      </c>
      <c r="C1103" t="s">
        <v>24250</v>
      </c>
      <c r="E1103">
        <v>6</v>
      </c>
      <c r="F1103">
        <v>202</v>
      </c>
      <c r="G1103">
        <v>255</v>
      </c>
      <c r="O1103" t="s">
        <v>843</v>
      </c>
    </row>
    <row r="1104" spans="2:18" x14ac:dyDescent="0.25">
      <c r="B1104">
        <v>4784</v>
      </c>
      <c r="C1104" t="s">
        <v>24250</v>
      </c>
      <c r="D1104" t="s">
        <v>24355</v>
      </c>
      <c r="E1104">
        <v>6</v>
      </c>
      <c r="F1104">
        <v>202</v>
      </c>
      <c r="G1104">
        <v>255</v>
      </c>
      <c r="P1104" t="s">
        <v>12705</v>
      </c>
    </row>
    <row r="1105" spans="2:16" x14ac:dyDescent="0.25">
      <c r="B1105">
        <v>4789</v>
      </c>
      <c r="C1105" t="s">
        <v>24250</v>
      </c>
      <c r="D1105" t="s">
        <v>23430</v>
      </c>
      <c r="E1105">
        <v>6</v>
      </c>
      <c r="F1105">
        <v>202</v>
      </c>
      <c r="G1105">
        <v>255</v>
      </c>
      <c r="P1105" t="s">
        <v>12713</v>
      </c>
    </row>
    <row r="1106" spans="2:16" x14ac:dyDescent="0.25">
      <c r="B1106">
        <v>12949</v>
      </c>
      <c r="C1106" t="s">
        <v>25430</v>
      </c>
      <c r="E1106">
        <v>6</v>
      </c>
      <c r="F1106">
        <v>202</v>
      </c>
      <c r="G1106">
        <v>255</v>
      </c>
      <c r="O1106" t="s">
        <v>1070</v>
      </c>
    </row>
    <row r="1107" spans="2:16" x14ac:dyDescent="0.25">
      <c r="B1107">
        <v>4785</v>
      </c>
      <c r="C1107" t="s">
        <v>25430</v>
      </c>
      <c r="D1107" t="s">
        <v>24355</v>
      </c>
      <c r="E1107">
        <v>6</v>
      </c>
      <c r="F1107">
        <v>202</v>
      </c>
      <c r="G1107">
        <v>255</v>
      </c>
      <c r="P1107" t="s">
        <v>12707</v>
      </c>
    </row>
    <row r="1108" spans="2:16" x14ac:dyDescent="0.25">
      <c r="B1108">
        <v>4790</v>
      </c>
      <c r="C1108" t="s">
        <v>25430</v>
      </c>
      <c r="D1108" t="s">
        <v>23430</v>
      </c>
      <c r="E1108">
        <v>6</v>
      </c>
      <c r="F1108">
        <v>202</v>
      </c>
      <c r="G1108">
        <v>255</v>
      </c>
      <c r="P1108" t="s">
        <v>12715</v>
      </c>
    </row>
    <row r="1109" spans="2:16" x14ac:dyDescent="0.25">
      <c r="B1109">
        <v>9131</v>
      </c>
      <c r="C1109" t="s">
        <v>20296</v>
      </c>
      <c r="E1109">
        <v>0</v>
      </c>
      <c r="F1109">
        <v>243</v>
      </c>
      <c r="G1109">
        <v>178</v>
      </c>
      <c r="M1109" t="s">
        <v>3862</v>
      </c>
    </row>
    <row r="1110" spans="2:16" x14ac:dyDescent="0.25">
      <c r="B1110">
        <v>9132</v>
      </c>
      <c r="C1110" t="s">
        <v>25431</v>
      </c>
      <c r="E1110">
        <v>0</v>
      </c>
      <c r="F1110">
        <v>232</v>
      </c>
      <c r="G1110">
        <v>187</v>
      </c>
      <c r="N1110" t="s">
        <v>550</v>
      </c>
    </row>
    <row r="1111" spans="2:16" x14ac:dyDescent="0.25">
      <c r="B1111">
        <v>9133</v>
      </c>
      <c r="C1111" t="s">
        <v>24254</v>
      </c>
      <c r="E1111">
        <v>0</v>
      </c>
      <c r="F1111">
        <v>232</v>
      </c>
      <c r="G1111">
        <v>187</v>
      </c>
      <c r="O1111" t="s">
        <v>3869</v>
      </c>
    </row>
    <row r="1112" spans="2:16" x14ac:dyDescent="0.25">
      <c r="B1112">
        <v>9492</v>
      </c>
      <c r="C1112" t="s">
        <v>24254</v>
      </c>
      <c r="D1112" t="s">
        <v>24355</v>
      </c>
      <c r="E1112">
        <v>0</v>
      </c>
      <c r="F1112">
        <v>232</v>
      </c>
      <c r="G1112">
        <v>187</v>
      </c>
      <c r="P1112" t="s">
        <v>13036</v>
      </c>
    </row>
    <row r="1113" spans="2:16" x14ac:dyDescent="0.25">
      <c r="B1113">
        <v>9493</v>
      </c>
      <c r="C1113" t="s">
        <v>24254</v>
      </c>
      <c r="D1113" t="s">
        <v>23430</v>
      </c>
      <c r="E1113">
        <v>0</v>
      </c>
      <c r="F1113">
        <v>232</v>
      </c>
      <c r="G1113">
        <v>187</v>
      </c>
      <c r="P1113" t="s">
        <v>13038</v>
      </c>
    </row>
    <row r="1114" spans="2:16" x14ac:dyDescent="0.25">
      <c r="B1114">
        <v>9135</v>
      </c>
      <c r="C1114" t="s">
        <v>17464</v>
      </c>
      <c r="E1114">
        <v>0</v>
      </c>
      <c r="F1114">
        <v>255</v>
      </c>
      <c r="G1114">
        <v>170</v>
      </c>
      <c r="N1114" t="s">
        <v>3887</v>
      </c>
    </row>
    <row r="1115" spans="2:16" x14ac:dyDescent="0.25">
      <c r="B1115">
        <v>9136</v>
      </c>
      <c r="C1115">
        <v>6</v>
      </c>
      <c r="E1115">
        <v>0</v>
      </c>
      <c r="F1115">
        <v>255</v>
      </c>
      <c r="G1115">
        <v>170</v>
      </c>
      <c r="O1115" t="s">
        <v>160</v>
      </c>
    </row>
    <row r="1116" spans="2:16" x14ac:dyDescent="0.25">
      <c r="B1116">
        <v>9137</v>
      </c>
      <c r="C1116">
        <v>6</v>
      </c>
      <c r="D1116" t="s">
        <v>24355</v>
      </c>
      <c r="E1116">
        <v>0</v>
      </c>
      <c r="F1116">
        <v>255</v>
      </c>
      <c r="G1116">
        <v>170</v>
      </c>
      <c r="P1116" t="s">
        <v>12769</v>
      </c>
    </row>
    <row r="1117" spans="2:16" x14ac:dyDescent="0.25">
      <c r="B1117">
        <v>9138</v>
      </c>
      <c r="C1117">
        <v>6</v>
      </c>
      <c r="D1117" t="s">
        <v>23430</v>
      </c>
      <c r="E1117">
        <v>0</v>
      </c>
      <c r="F1117">
        <v>255</v>
      </c>
      <c r="G1117">
        <v>170</v>
      </c>
      <c r="P1117" t="s">
        <v>12771</v>
      </c>
    </row>
    <row r="1118" spans="2:16" x14ac:dyDescent="0.25">
      <c r="B1118">
        <v>9494</v>
      </c>
      <c r="C1118" t="s">
        <v>24267</v>
      </c>
      <c r="E1118">
        <v>0</v>
      </c>
      <c r="F1118">
        <v>255</v>
      </c>
      <c r="G1118">
        <v>170</v>
      </c>
      <c r="O1118" t="s">
        <v>7341</v>
      </c>
    </row>
    <row r="1119" spans="2:16" x14ac:dyDescent="0.25">
      <c r="B1119">
        <v>9495</v>
      </c>
      <c r="C1119" t="s">
        <v>24267</v>
      </c>
      <c r="D1119" t="s">
        <v>24355</v>
      </c>
      <c r="E1119">
        <v>0</v>
      </c>
      <c r="F1119">
        <v>255</v>
      </c>
      <c r="G1119">
        <v>170</v>
      </c>
      <c r="P1119" t="s">
        <v>13041</v>
      </c>
    </row>
    <row r="1120" spans="2:16" x14ac:dyDescent="0.25">
      <c r="B1120">
        <v>9496</v>
      </c>
      <c r="C1120" t="s">
        <v>24267</v>
      </c>
      <c r="D1120" t="s">
        <v>23430</v>
      </c>
      <c r="E1120">
        <v>0</v>
      </c>
      <c r="F1120">
        <v>255</v>
      </c>
      <c r="G1120">
        <v>170</v>
      </c>
      <c r="P1120" t="s">
        <v>13043</v>
      </c>
    </row>
    <row r="1121" spans="2:16" x14ac:dyDescent="0.25">
      <c r="B1121">
        <v>9497</v>
      </c>
      <c r="C1121" t="s">
        <v>20364</v>
      </c>
      <c r="E1121">
        <v>0</v>
      </c>
      <c r="F1121">
        <v>255</v>
      </c>
      <c r="G1121">
        <v>170</v>
      </c>
      <c r="O1121" t="s">
        <v>7429</v>
      </c>
    </row>
    <row r="1122" spans="2:16" x14ac:dyDescent="0.25">
      <c r="B1122">
        <v>9498</v>
      </c>
      <c r="C1122" t="s">
        <v>20364</v>
      </c>
      <c r="D1122" t="s">
        <v>24355</v>
      </c>
      <c r="E1122">
        <v>0</v>
      </c>
      <c r="F1122">
        <v>255</v>
      </c>
      <c r="G1122">
        <v>170</v>
      </c>
      <c r="P1122" t="s">
        <v>13046</v>
      </c>
    </row>
    <row r="1123" spans="2:16" x14ac:dyDescent="0.25">
      <c r="B1123">
        <v>9499</v>
      </c>
      <c r="C1123" t="s">
        <v>20364</v>
      </c>
      <c r="D1123" t="s">
        <v>23430</v>
      </c>
      <c r="E1123">
        <v>0</v>
      </c>
      <c r="F1123">
        <v>255</v>
      </c>
      <c r="G1123">
        <v>170</v>
      </c>
      <c r="P1123" t="s">
        <v>13048</v>
      </c>
    </row>
    <row r="1124" spans="2:16" x14ac:dyDescent="0.25">
      <c r="B1124">
        <v>10147</v>
      </c>
      <c r="C1124" t="s">
        <v>25432</v>
      </c>
      <c r="E1124">
        <v>0</v>
      </c>
      <c r="F1124">
        <v>255</v>
      </c>
      <c r="G1124">
        <v>170</v>
      </c>
      <c r="O1124" t="s">
        <v>949</v>
      </c>
    </row>
    <row r="1125" spans="2:16" x14ac:dyDescent="0.25">
      <c r="B1125">
        <v>10148</v>
      </c>
      <c r="C1125" t="s">
        <v>25432</v>
      </c>
      <c r="D1125" t="s">
        <v>24355</v>
      </c>
      <c r="E1125">
        <v>0</v>
      </c>
      <c r="F1125">
        <v>255</v>
      </c>
      <c r="G1125">
        <v>170</v>
      </c>
      <c r="P1125" t="s">
        <v>11639</v>
      </c>
    </row>
    <row r="1126" spans="2:16" x14ac:dyDescent="0.25">
      <c r="B1126">
        <v>10149</v>
      </c>
      <c r="C1126" t="s">
        <v>25432</v>
      </c>
      <c r="D1126" t="s">
        <v>23430</v>
      </c>
      <c r="E1126">
        <v>0</v>
      </c>
      <c r="F1126">
        <v>255</v>
      </c>
      <c r="G1126">
        <v>170</v>
      </c>
      <c r="P1126" t="s">
        <v>11641</v>
      </c>
    </row>
    <row r="1127" spans="2:16" x14ac:dyDescent="0.25">
      <c r="B1127">
        <v>9139</v>
      </c>
      <c r="C1127" t="s">
        <v>17291</v>
      </c>
      <c r="E1127">
        <v>0</v>
      </c>
      <c r="F1127">
        <v>255</v>
      </c>
      <c r="G1127">
        <v>170</v>
      </c>
      <c r="O1127" t="s">
        <v>1553</v>
      </c>
    </row>
    <row r="1128" spans="2:16" x14ac:dyDescent="0.25">
      <c r="B1128">
        <v>9140</v>
      </c>
      <c r="C1128" t="s">
        <v>17291</v>
      </c>
      <c r="D1128" t="s">
        <v>24355</v>
      </c>
      <c r="E1128">
        <v>0</v>
      </c>
      <c r="F1128">
        <v>255</v>
      </c>
      <c r="G1128">
        <v>170</v>
      </c>
      <c r="P1128" t="s">
        <v>12773</v>
      </c>
    </row>
    <row r="1129" spans="2:16" x14ac:dyDescent="0.25">
      <c r="B1129">
        <v>9141</v>
      </c>
      <c r="C1129" t="s">
        <v>17291</v>
      </c>
      <c r="D1129" t="s">
        <v>23430</v>
      </c>
      <c r="E1129">
        <v>0</v>
      </c>
      <c r="F1129">
        <v>255</v>
      </c>
      <c r="G1129">
        <v>170</v>
      </c>
      <c r="P1129" t="s">
        <v>12775</v>
      </c>
    </row>
    <row r="1130" spans="2:16" x14ac:dyDescent="0.25">
      <c r="B1130">
        <v>265504864</v>
      </c>
      <c r="C1130" t="s">
        <v>17554</v>
      </c>
      <c r="E1130">
        <v>0</v>
      </c>
      <c r="F1130">
        <v>255</v>
      </c>
      <c r="G1130">
        <v>170</v>
      </c>
      <c r="O1130" t="s">
        <v>8339</v>
      </c>
    </row>
    <row r="1131" spans="2:16" x14ac:dyDescent="0.25">
      <c r="B1131">
        <v>265504868</v>
      </c>
      <c r="C1131" t="s">
        <v>17554</v>
      </c>
      <c r="D1131" t="s">
        <v>24355</v>
      </c>
      <c r="E1131">
        <v>0</v>
      </c>
      <c r="F1131">
        <v>255</v>
      </c>
      <c r="G1131">
        <v>170</v>
      </c>
      <c r="P1131" t="s">
        <v>11835</v>
      </c>
    </row>
    <row r="1132" spans="2:16" x14ac:dyDescent="0.25">
      <c r="B1132">
        <v>265504872</v>
      </c>
      <c r="C1132" t="s">
        <v>17554</v>
      </c>
      <c r="D1132" t="s">
        <v>23430</v>
      </c>
      <c r="E1132">
        <v>0</v>
      </c>
      <c r="F1132">
        <v>255</v>
      </c>
      <c r="G1132">
        <v>170</v>
      </c>
      <c r="P1132" t="s">
        <v>11837</v>
      </c>
    </row>
    <row r="1133" spans="2:16" x14ac:dyDescent="0.25">
      <c r="B1133">
        <v>265504876</v>
      </c>
      <c r="C1133" t="s">
        <v>17455</v>
      </c>
      <c r="E1133">
        <v>0</v>
      </c>
      <c r="F1133">
        <v>255</v>
      </c>
      <c r="G1133">
        <v>170</v>
      </c>
      <c r="O1133" t="s">
        <v>1614</v>
      </c>
    </row>
    <row r="1134" spans="2:16" x14ac:dyDescent="0.25">
      <c r="B1134">
        <v>265504880</v>
      </c>
      <c r="C1134" t="s">
        <v>17455</v>
      </c>
      <c r="D1134" t="s">
        <v>24355</v>
      </c>
      <c r="E1134">
        <v>0</v>
      </c>
      <c r="F1134">
        <v>255</v>
      </c>
      <c r="G1134">
        <v>170</v>
      </c>
      <c r="P1134" t="s">
        <v>11839</v>
      </c>
    </row>
    <row r="1135" spans="2:16" x14ac:dyDescent="0.25">
      <c r="B1135">
        <v>265504884</v>
      </c>
      <c r="C1135" t="s">
        <v>17455</v>
      </c>
      <c r="D1135" t="s">
        <v>23430</v>
      </c>
      <c r="E1135">
        <v>0</v>
      </c>
      <c r="F1135">
        <v>255</v>
      </c>
      <c r="G1135">
        <v>170</v>
      </c>
      <c r="P1135" t="s">
        <v>11841</v>
      </c>
    </row>
    <row r="1136" spans="2:16" x14ac:dyDescent="0.25">
      <c r="B1136">
        <v>9142</v>
      </c>
      <c r="C1136">
        <v>7</v>
      </c>
      <c r="E1136">
        <v>0</v>
      </c>
      <c r="F1136">
        <v>255</v>
      </c>
      <c r="G1136">
        <v>170</v>
      </c>
      <c r="O1136" t="s">
        <v>1809</v>
      </c>
    </row>
    <row r="1137" spans="2:17" x14ac:dyDescent="0.25">
      <c r="B1137">
        <v>9143</v>
      </c>
      <c r="C1137">
        <v>7</v>
      </c>
      <c r="D1137" t="s">
        <v>24355</v>
      </c>
      <c r="E1137">
        <v>0</v>
      </c>
      <c r="F1137">
        <v>255</v>
      </c>
      <c r="G1137">
        <v>170</v>
      </c>
      <c r="P1137" t="s">
        <v>12777</v>
      </c>
    </row>
    <row r="1138" spans="2:17" x14ac:dyDescent="0.25">
      <c r="B1138">
        <v>9501</v>
      </c>
      <c r="C1138" t="s">
        <v>25433</v>
      </c>
      <c r="D1138" t="s">
        <v>24355</v>
      </c>
      <c r="E1138">
        <v>0</v>
      </c>
      <c r="F1138">
        <v>255</v>
      </c>
      <c r="G1138">
        <v>170</v>
      </c>
      <c r="Q1138" t="s">
        <v>13052</v>
      </c>
    </row>
    <row r="1139" spans="2:17" x14ac:dyDescent="0.25">
      <c r="B1139">
        <v>9502</v>
      </c>
      <c r="C1139" t="s">
        <v>25434</v>
      </c>
      <c r="D1139" t="s">
        <v>24355</v>
      </c>
      <c r="E1139">
        <v>0</v>
      </c>
      <c r="F1139">
        <v>255</v>
      </c>
      <c r="G1139">
        <v>170</v>
      </c>
      <c r="Q1139" t="s">
        <v>13054</v>
      </c>
    </row>
    <row r="1140" spans="2:17" x14ac:dyDescent="0.25">
      <c r="B1140">
        <v>9500</v>
      </c>
      <c r="C1140" t="s">
        <v>17880</v>
      </c>
      <c r="D1140" t="s">
        <v>24355</v>
      </c>
      <c r="E1140">
        <v>0</v>
      </c>
      <c r="F1140">
        <v>255</v>
      </c>
      <c r="G1140">
        <v>170</v>
      </c>
      <c r="Q1140" t="s">
        <v>13050</v>
      </c>
    </row>
    <row r="1141" spans="2:17" x14ac:dyDescent="0.25">
      <c r="B1141">
        <v>9505</v>
      </c>
      <c r="C1141" t="s">
        <v>25435</v>
      </c>
      <c r="D1141" t="s">
        <v>24355</v>
      </c>
      <c r="E1141">
        <v>0</v>
      </c>
      <c r="F1141">
        <v>255</v>
      </c>
      <c r="G1141">
        <v>170</v>
      </c>
      <c r="Q1141" t="s">
        <v>13060</v>
      </c>
    </row>
    <row r="1142" spans="2:17" x14ac:dyDescent="0.25">
      <c r="B1142">
        <v>9503</v>
      </c>
      <c r="C1142" t="s">
        <v>25436</v>
      </c>
      <c r="D1142" t="s">
        <v>24355</v>
      </c>
      <c r="E1142">
        <v>0</v>
      </c>
      <c r="F1142">
        <v>255</v>
      </c>
      <c r="G1142">
        <v>170</v>
      </c>
      <c r="Q1142" t="s">
        <v>13056</v>
      </c>
    </row>
    <row r="1143" spans="2:17" x14ac:dyDescent="0.25">
      <c r="B1143">
        <v>9504</v>
      </c>
      <c r="C1143" t="s">
        <v>24273</v>
      </c>
      <c r="D1143" t="s">
        <v>24355</v>
      </c>
      <c r="E1143">
        <v>0</v>
      </c>
      <c r="F1143">
        <v>255</v>
      </c>
      <c r="G1143">
        <v>170</v>
      </c>
      <c r="Q1143" t="s">
        <v>13058</v>
      </c>
    </row>
    <row r="1144" spans="2:17" x14ac:dyDescent="0.25">
      <c r="B1144">
        <v>9144</v>
      </c>
      <c r="C1144">
        <v>7</v>
      </c>
      <c r="D1144" t="s">
        <v>23430</v>
      </c>
      <c r="E1144">
        <v>0</v>
      </c>
      <c r="F1144">
        <v>255</v>
      </c>
      <c r="G1144">
        <v>170</v>
      </c>
      <c r="P1144" t="s">
        <v>12779</v>
      </c>
    </row>
    <row r="1145" spans="2:17" x14ac:dyDescent="0.25">
      <c r="B1145">
        <v>9507</v>
      </c>
      <c r="C1145" t="s">
        <v>25433</v>
      </c>
      <c r="D1145" t="s">
        <v>23430</v>
      </c>
      <c r="E1145">
        <v>0</v>
      </c>
      <c r="F1145">
        <v>255</v>
      </c>
      <c r="G1145">
        <v>170</v>
      </c>
      <c r="Q1145" t="s">
        <v>13064</v>
      </c>
    </row>
    <row r="1146" spans="2:17" x14ac:dyDescent="0.25">
      <c r="B1146">
        <v>9508</v>
      </c>
      <c r="C1146" t="s">
        <v>25434</v>
      </c>
      <c r="D1146" t="s">
        <v>23430</v>
      </c>
      <c r="E1146">
        <v>0</v>
      </c>
      <c r="F1146">
        <v>255</v>
      </c>
      <c r="G1146">
        <v>170</v>
      </c>
      <c r="Q1146" t="s">
        <v>13066</v>
      </c>
    </row>
    <row r="1147" spans="2:17" x14ac:dyDescent="0.25">
      <c r="B1147">
        <v>9506</v>
      </c>
      <c r="C1147" t="s">
        <v>17880</v>
      </c>
      <c r="D1147" t="s">
        <v>23430</v>
      </c>
      <c r="E1147">
        <v>0</v>
      </c>
      <c r="F1147">
        <v>255</v>
      </c>
      <c r="G1147">
        <v>170</v>
      </c>
      <c r="Q1147" t="s">
        <v>13062</v>
      </c>
    </row>
    <row r="1148" spans="2:17" x14ac:dyDescent="0.25">
      <c r="B1148">
        <v>9511</v>
      </c>
      <c r="C1148" t="s">
        <v>25435</v>
      </c>
      <c r="D1148" t="s">
        <v>23430</v>
      </c>
      <c r="E1148">
        <v>0</v>
      </c>
      <c r="F1148">
        <v>255</v>
      </c>
      <c r="G1148">
        <v>170</v>
      </c>
      <c r="Q1148" t="s">
        <v>13072</v>
      </c>
    </row>
    <row r="1149" spans="2:17" x14ac:dyDescent="0.25">
      <c r="B1149">
        <v>9509</v>
      </c>
      <c r="C1149" t="s">
        <v>25436</v>
      </c>
      <c r="D1149" t="s">
        <v>23430</v>
      </c>
      <c r="E1149">
        <v>0</v>
      </c>
      <c r="F1149">
        <v>255</v>
      </c>
      <c r="G1149">
        <v>170</v>
      </c>
      <c r="Q1149" t="s">
        <v>13068</v>
      </c>
    </row>
    <row r="1150" spans="2:17" x14ac:dyDescent="0.25">
      <c r="B1150">
        <v>9510</v>
      </c>
      <c r="C1150" t="s">
        <v>24273</v>
      </c>
      <c r="D1150" t="s">
        <v>23430</v>
      </c>
      <c r="E1150">
        <v>0</v>
      </c>
      <c r="F1150">
        <v>255</v>
      </c>
      <c r="G1150">
        <v>170</v>
      </c>
      <c r="Q1150" t="s">
        <v>13070</v>
      </c>
    </row>
    <row r="1151" spans="2:17" x14ac:dyDescent="0.25">
      <c r="B1151">
        <v>265504888</v>
      </c>
      <c r="C1151" t="s">
        <v>24305</v>
      </c>
      <c r="E1151">
        <v>0</v>
      </c>
      <c r="F1151">
        <v>255</v>
      </c>
      <c r="G1151">
        <v>170</v>
      </c>
      <c r="O1151" t="s">
        <v>2468</v>
      </c>
    </row>
    <row r="1152" spans="2:17" x14ac:dyDescent="0.25">
      <c r="B1152">
        <v>265504892</v>
      </c>
      <c r="C1152" t="s">
        <v>24305</v>
      </c>
      <c r="D1152" t="s">
        <v>24355</v>
      </c>
      <c r="E1152">
        <v>0</v>
      </c>
      <c r="F1152">
        <v>255</v>
      </c>
      <c r="G1152">
        <v>170</v>
      </c>
      <c r="P1152" t="s">
        <v>11843</v>
      </c>
    </row>
    <row r="1153" spans="2:16" x14ac:dyDescent="0.25">
      <c r="B1153">
        <v>265504896</v>
      </c>
      <c r="C1153" t="s">
        <v>24305</v>
      </c>
      <c r="D1153" t="s">
        <v>23430</v>
      </c>
      <c r="E1153">
        <v>0</v>
      </c>
      <c r="F1153">
        <v>255</v>
      </c>
      <c r="G1153">
        <v>170</v>
      </c>
      <c r="P1153" t="s">
        <v>11845</v>
      </c>
    </row>
    <row r="1154" spans="2:16" x14ac:dyDescent="0.25">
      <c r="B1154">
        <v>9452</v>
      </c>
      <c r="C1154" t="s">
        <v>17411</v>
      </c>
      <c r="E1154">
        <v>0</v>
      </c>
      <c r="F1154">
        <v>255</v>
      </c>
      <c r="G1154">
        <v>170</v>
      </c>
      <c r="O1154" t="s">
        <v>13030</v>
      </c>
    </row>
    <row r="1155" spans="2:16" x14ac:dyDescent="0.25">
      <c r="B1155">
        <v>9453</v>
      </c>
      <c r="C1155" t="s">
        <v>17411</v>
      </c>
      <c r="D1155" t="s">
        <v>24355</v>
      </c>
      <c r="E1155">
        <v>0</v>
      </c>
      <c r="F1155">
        <v>255</v>
      </c>
      <c r="G1155">
        <v>170</v>
      </c>
      <c r="P1155" t="s">
        <v>13032</v>
      </c>
    </row>
    <row r="1156" spans="2:16" x14ac:dyDescent="0.25">
      <c r="B1156">
        <v>9454</v>
      </c>
      <c r="C1156" t="s">
        <v>17411</v>
      </c>
      <c r="D1156" t="s">
        <v>23430</v>
      </c>
      <c r="E1156">
        <v>0</v>
      </c>
      <c r="F1156">
        <v>255</v>
      </c>
      <c r="G1156">
        <v>170</v>
      </c>
      <c r="P1156" t="s">
        <v>13034</v>
      </c>
    </row>
    <row r="1157" spans="2:16" x14ac:dyDescent="0.25">
      <c r="B1157">
        <v>9145</v>
      </c>
      <c r="C1157" t="s">
        <v>17283</v>
      </c>
      <c r="E1157">
        <v>0</v>
      </c>
      <c r="F1157">
        <v>255</v>
      </c>
      <c r="G1157">
        <v>170</v>
      </c>
      <c r="O1157" t="s">
        <v>2659</v>
      </c>
    </row>
    <row r="1158" spans="2:16" x14ac:dyDescent="0.25">
      <c r="B1158">
        <v>9146</v>
      </c>
      <c r="C1158" t="s">
        <v>17283</v>
      </c>
      <c r="D1158" t="s">
        <v>24355</v>
      </c>
      <c r="E1158">
        <v>0</v>
      </c>
      <c r="F1158">
        <v>255</v>
      </c>
      <c r="G1158">
        <v>170</v>
      </c>
      <c r="P1158" t="s">
        <v>12781</v>
      </c>
    </row>
    <row r="1159" spans="2:16" x14ac:dyDescent="0.25">
      <c r="B1159">
        <v>9147</v>
      </c>
      <c r="C1159" t="s">
        <v>17283</v>
      </c>
      <c r="D1159" t="s">
        <v>23430</v>
      </c>
      <c r="E1159">
        <v>0</v>
      </c>
      <c r="F1159">
        <v>255</v>
      </c>
      <c r="G1159">
        <v>170</v>
      </c>
      <c r="P1159" t="s">
        <v>12783</v>
      </c>
    </row>
    <row r="1160" spans="2:16" x14ac:dyDescent="0.25">
      <c r="B1160">
        <v>9148</v>
      </c>
      <c r="C1160" t="s">
        <v>17425</v>
      </c>
      <c r="E1160">
        <v>0</v>
      </c>
      <c r="F1160">
        <v>255</v>
      </c>
      <c r="G1160">
        <v>170</v>
      </c>
      <c r="O1160" t="s">
        <v>2801</v>
      </c>
    </row>
    <row r="1161" spans="2:16" x14ac:dyDescent="0.25">
      <c r="B1161">
        <v>9149</v>
      </c>
      <c r="C1161" t="s">
        <v>17425</v>
      </c>
      <c r="D1161" t="s">
        <v>24355</v>
      </c>
      <c r="E1161">
        <v>0</v>
      </c>
      <c r="F1161">
        <v>255</v>
      </c>
      <c r="G1161">
        <v>170</v>
      </c>
      <c r="P1161" t="s">
        <v>12785</v>
      </c>
    </row>
    <row r="1162" spans="2:16" x14ac:dyDescent="0.25">
      <c r="B1162">
        <v>9150</v>
      </c>
      <c r="C1162" t="s">
        <v>17425</v>
      </c>
      <c r="D1162" t="s">
        <v>23430</v>
      </c>
      <c r="E1162">
        <v>0</v>
      </c>
      <c r="F1162">
        <v>255</v>
      </c>
      <c r="G1162">
        <v>170</v>
      </c>
      <c r="P1162" t="s">
        <v>12787</v>
      </c>
    </row>
    <row r="1163" spans="2:16" x14ac:dyDescent="0.25">
      <c r="B1163">
        <v>9151</v>
      </c>
      <c r="C1163" t="s">
        <v>17281</v>
      </c>
      <c r="E1163">
        <v>0</v>
      </c>
      <c r="F1163">
        <v>255</v>
      </c>
      <c r="G1163">
        <v>170</v>
      </c>
      <c r="O1163" t="s">
        <v>2973</v>
      </c>
    </row>
    <row r="1164" spans="2:16" x14ac:dyDescent="0.25">
      <c r="B1164">
        <v>9152</v>
      </c>
      <c r="C1164" t="s">
        <v>17281</v>
      </c>
      <c r="D1164" t="s">
        <v>24355</v>
      </c>
      <c r="E1164">
        <v>0</v>
      </c>
      <c r="F1164">
        <v>255</v>
      </c>
      <c r="G1164">
        <v>170</v>
      </c>
      <c r="P1164" t="s">
        <v>12790</v>
      </c>
    </row>
    <row r="1165" spans="2:16" x14ac:dyDescent="0.25">
      <c r="B1165">
        <v>9153</v>
      </c>
      <c r="C1165" t="s">
        <v>17281</v>
      </c>
      <c r="D1165" t="s">
        <v>23430</v>
      </c>
      <c r="E1165">
        <v>0</v>
      </c>
      <c r="F1165">
        <v>255</v>
      </c>
      <c r="G1165">
        <v>170</v>
      </c>
      <c r="P1165" t="s">
        <v>2976</v>
      </c>
    </row>
    <row r="1166" spans="2:16" x14ac:dyDescent="0.25">
      <c r="B1166">
        <v>9154</v>
      </c>
      <c r="C1166" t="s">
        <v>24339</v>
      </c>
      <c r="E1166">
        <v>0</v>
      </c>
      <c r="F1166">
        <v>255</v>
      </c>
      <c r="G1166">
        <v>170</v>
      </c>
      <c r="O1166" t="s">
        <v>721</v>
      </c>
    </row>
    <row r="1167" spans="2:16" x14ac:dyDescent="0.25">
      <c r="B1167">
        <v>9155</v>
      </c>
      <c r="C1167" t="s">
        <v>24339</v>
      </c>
      <c r="D1167" t="s">
        <v>24355</v>
      </c>
      <c r="E1167">
        <v>0</v>
      </c>
      <c r="F1167">
        <v>255</v>
      </c>
      <c r="G1167">
        <v>170</v>
      </c>
      <c r="P1167" t="s">
        <v>12792</v>
      </c>
    </row>
    <row r="1168" spans="2:16" x14ac:dyDescent="0.25">
      <c r="B1168">
        <v>9156</v>
      </c>
      <c r="C1168" t="s">
        <v>24339</v>
      </c>
      <c r="D1168" t="s">
        <v>23430</v>
      </c>
      <c r="E1168">
        <v>0</v>
      </c>
      <c r="F1168">
        <v>255</v>
      </c>
      <c r="G1168">
        <v>170</v>
      </c>
      <c r="P1168" t="s">
        <v>12794</v>
      </c>
    </row>
    <row r="1169" spans="2:17" x14ac:dyDescent="0.25">
      <c r="B1169">
        <v>272788859</v>
      </c>
      <c r="C1169" t="s">
        <v>24348</v>
      </c>
      <c r="E1169">
        <v>0</v>
      </c>
      <c r="F1169">
        <v>255</v>
      </c>
      <c r="G1169">
        <v>170</v>
      </c>
      <c r="O1169" t="s">
        <v>7441</v>
      </c>
    </row>
    <row r="1170" spans="2:17" x14ac:dyDescent="0.25">
      <c r="B1170">
        <v>272788863</v>
      </c>
      <c r="C1170" t="s">
        <v>24348</v>
      </c>
      <c r="D1170" t="s">
        <v>24355</v>
      </c>
      <c r="E1170">
        <v>0</v>
      </c>
      <c r="F1170">
        <v>255</v>
      </c>
      <c r="G1170">
        <v>170</v>
      </c>
      <c r="P1170" t="s">
        <v>12106</v>
      </c>
    </row>
    <row r="1171" spans="2:17" x14ac:dyDescent="0.25">
      <c r="B1171">
        <v>272788867</v>
      </c>
      <c r="C1171" t="s">
        <v>24348</v>
      </c>
      <c r="D1171" t="s">
        <v>23430</v>
      </c>
      <c r="E1171">
        <v>0</v>
      </c>
      <c r="F1171">
        <v>255</v>
      </c>
      <c r="G1171">
        <v>170</v>
      </c>
      <c r="P1171" t="s">
        <v>12108</v>
      </c>
    </row>
    <row r="1172" spans="2:17" x14ac:dyDescent="0.25">
      <c r="B1172">
        <v>9157</v>
      </c>
      <c r="C1172" t="s">
        <v>25437</v>
      </c>
      <c r="E1172">
        <v>0</v>
      </c>
      <c r="F1172">
        <v>255</v>
      </c>
      <c r="G1172">
        <v>170</v>
      </c>
      <c r="O1172" t="s">
        <v>12796</v>
      </c>
    </row>
    <row r="1173" spans="2:17" x14ac:dyDescent="0.25">
      <c r="B1173">
        <v>9158</v>
      </c>
      <c r="C1173" t="s">
        <v>25437</v>
      </c>
      <c r="D1173" t="s">
        <v>24355</v>
      </c>
      <c r="E1173">
        <v>0</v>
      </c>
      <c r="F1173">
        <v>255</v>
      </c>
      <c r="G1173">
        <v>170</v>
      </c>
      <c r="P1173" t="s">
        <v>12798</v>
      </c>
    </row>
    <row r="1174" spans="2:17" x14ac:dyDescent="0.25">
      <c r="B1174">
        <v>9159</v>
      </c>
      <c r="C1174" t="s">
        <v>25437</v>
      </c>
      <c r="D1174" t="s">
        <v>23430</v>
      </c>
      <c r="E1174">
        <v>0</v>
      </c>
      <c r="F1174">
        <v>255</v>
      </c>
      <c r="G1174">
        <v>170</v>
      </c>
      <c r="P1174" t="s">
        <v>3877</v>
      </c>
    </row>
    <row r="1175" spans="2:17" x14ac:dyDescent="0.25">
      <c r="B1175">
        <v>9160</v>
      </c>
      <c r="C1175" t="s">
        <v>25438</v>
      </c>
      <c r="E1175">
        <v>0</v>
      </c>
      <c r="F1175">
        <v>255</v>
      </c>
      <c r="G1175">
        <v>170</v>
      </c>
      <c r="O1175" t="s">
        <v>12800</v>
      </c>
    </row>
    <row r="1176" spans="2:17" x14ac:dyDescent="0.25">
      <c r="B1176">
        <v>9161</v>
      </c>
      <c r="C1176" t="s">
        <v>25439</v>
      </c>
      <c r="D1176" t="s">
        <v>24355</v>
      </c>
      <c r="E1176">
        <v>0</v>
      </c>
      <c r="F1176">
        <v>255</v>
      </c>
      <c r="G1176">
        <v>170</v>
      </c>
      <c r="P1176" t="s">
        <v>3884</v>
      </c>
    </row>
    <row r="1177" spans="2:17" x14ac:dyDescent="0.25">
      <c r="B1177">
        <v>9162</v>
      </c>
      <c r="C1177" t="s">
        <v>24332</v>
      </c>
      <c r="D1177" t="s">
        <v>24355</v>
      </c>
      <c r="E1177">
        <v>0</v>
      </c>
      <c r="F1177">
        <v>255</v>
      </c>
      <c r="G1177">
        <v>170</v>
      </c>
      <c r="Q1177" t="s">
        <v>898</v>
      </c>
    </row>
    <row r="1178" spans="2:17" x14ac:dyDescent="0.25">
      <c r="B1178">
        <v>9166</v>
      </c>
      <c r="C1178" t="s">
        <v>24333</v>
      </c>
      <c r="D1178" t="s">
        <v>24355</v>
      </c>
      <c r="E1178">
        <v>0</v>
      </c>
      <c r="F1178">
        <v>255</v>
      </c>
      <c r="G1178">
        <v>170</v>
      </c>
      <c r="Q1178" t="s">
        <v>3518</v>
      </c>
    </row>
    <row r="1179" spans="2:17" x14ac:dyDescent="0.25">
      <c r="B1179">
        <v>9167</v>
      </c>
      <c r="C1179" t="s">
        <v>24336</v>
      </c>
      <c r="D1179" t="s">
        <v>24355</v>
      </c>
      <c r="E1179">
        <v>0</v>
      </c>
      <c r="F1179">
        <v>255</v>
      </c>
      <c r="G1179">
        <v>170</v>
      </c>
      <c r="Q1179" t="s">
        <v>3305</v>
      </c>
    </row>
    <row r="1180" spans="2:17" x14ac:dyDescent="0.25">
      <c r="B1180">
        <v>9169</v>
      </c>
      <c r="C1180" t="s">
        <v>25439</v>
      </c>
      <c r="D1180" t="s">
        <v>23430</v>
      </c>
      <c r="E1180">
        <v>0</v>
      </c>
      <c r="F1180">
        <v>255</v>
      </c>
      <c r="G1180">
        <v>170</v>
      </c>
      <c r="P1180" t="s">
        <v>12802</v>
      </c>
    </row>
    <row r="1181" spans="2:17" x14ac:dyDescent="0.25">
      <c r="B1181">
        <v>9170</v>
      </c>
      <c r="C1181" t="s">
        <v>24332</v>
      </c>
      <c r="D1181" t="s">
        <v>23430</v>
      </c>
      <c r="E1181">
        <v>0</v>
      </c>
      <c r="F1181">
        <v>255</v>
      </c>
      <c r="G1181">
        <v>170</v>
      </c>
      <c r="Q1181" t="s">
        <v>12804</v>
      </c>
    </row>
    <row r="1182" spans="2:17" x14ac:dyDescent="0.25">
      <c r="B1182">
        <v>9174</v>
      </c>
      <c r="C1182" t="s">
        <v>24333</v>
      </c>
      <c r="D1182" t="s">
        <v>23430</v>
      </c>
      <c r="E1182">
        <v>0</v>
      </c>
      <c r="F1182">
        <v>255</v>
      </c>
      <c r="G1182">
        <v>170</v>
      </c>
      <c r="Q1182" t="s">
        <v>12806</v>
      </c>
    </row>
    <row r="1183" spans="2:17" x14ac:dyDescent="0.25">
      <c r="B1183">
        <v>9175</v>
      </c>
      <c r="C1183" t="s">
        <v>24336</v>
      </c>
      <c r="D1183" t="s">
        <v>23430</v>
      </c>
      <c r="E1183">
        <v>0</v>
      </c>
      <c r="F1183">
        <v>255</v>
      </c>
      <c r="G1183">
        <v>170</v>
      </c>
      <c r="Q1183" t="s">
        <v>12808</v>
      </c>
    </row>
    <row r="1184" spans="2:17" x14ac:dyDescent="0.25">
      <c r="B1184">
        <v>9177</v>
      </c>
      <c r="C1184" t="s">
        <v>20331</v>
      </c>
      <c r="E1184">
        <v>0</v>
      </c>
      <c r="F1184">
        <v>255</v>
      </c>
      <c r="G1184">
        <v>170</v>
      </c>
      <c r="O1184" t="s">
        <v>13809</v>
      </c>
    </row>
    <row r="1185" spans="2:18" x14ac:dyDescent="0.25">
      <c r="B1185">
        <v>9178</v>
      </c>
      <c r="C1185" t="s">
        <v>20331</v>
      </c>
      <c r="D1185" t="s">
        <v>24355</v>
      </c>
      <c r="E1185">
        <v>0</v>
      </c>
      <c r="F1185">
        <v>255</v>
      </c>
      <c r="G1185">
        <v>170</v>
      </c>
      <c r="P1185" t="s">
        <v>12810</v>
      </c>
    </row>
    <row r="1186" spans="2:18" x14ac:dyDescent="0.25">
      <c r="B1186">
        <v>9179</v>
      </c>
      <c r="C1186" t="s">
        <v>25440</v>
      </c>
      <c r="D1186" t="s">
        <v>24355</v>
      </c>
      <c r="E1186">
        <v>0</v>
      </c>
      <c r="F1186">
        <v>255</v>
      </c>
      <c r="G1186">
        <v>170</v>
      </c>
      <c r="Q1186" t="s">
        <v>3805</v>
      </c>
    </row>
    <row r="1187" spans="2:18" x14ac:dyDescent="0.25">
      <c r="B1187">
        <v>9180</v>
      </c>
      <c r="C1187" t="s">
        <v>24316</v>
      </c>
      <c r="D1187" t="s">
        <v>24355</v>
      </c>
      <c r="E1187">
        <v>0</v>
      </c>
      <c r="F1187">
        <v>255</v>
      </c>
      <c r="G1187">
        <v>170</v>
      </c>
      <c r="Q1187" t="s">
        <v>4094</v>
      </c>
    </row>
    <row r="1188" spans="2:18" x14ac:dyDescent="0.25">
      <c r="B1188">
        <v>9181</v>
      </c>
      <c r="C1188" t="s">
        <v>20546</v>
      </c>
      <c r="D1188" t="s">
        <v>24355</v>
      </c>
      <c r="E1188">
        <v>0</v>
      </c>
      <c r="F1188">
        <v>255</v>
      </c>
      <c r="G1188">
        <v>170</v>
      </c>
      <c r="Q1188" t="s">
        <v>4711</v>
      </c>
    </row>
    <row r="1189" spans="2:18" x14ac:dyDescent="0.25">
      <c r="B1189">
        <v>9182</v>
      </c>
      <c r="C1189" t="s">
        <v>23479</v>
      </c>
      <c r="D1189" t="s">
        <v>24355</v>
      </c>
      <c r="E1189">
        <v>0</v>
      </c>
      <c r="F1189">
        <v>255</v>
      </c>
      <c r="G1189">
        <v>170</v>
      </c>
      <c r="Q1189" t="s">
        <v>4164</v>
      </c>
    </row>
    <row r="1190" spans="2:18" x14ac:dyDescent="0.25">
      <c r="B1190">
        <v>9183</v>
      </c>
      <c r="C1190" t="s">
        <v>17805</v>
      </c>
      <c r="D1190" t="s">
        <v>24355</v>
      </c>
      <c r="E1190">
        <v>0</v>
      </c>
      <c r="F1190">
        <v>255</v>
      </c>
      <c r="G1190">
        <v>170</v>
      </c>
      <c r="R1190" t="s">
        <v>2736</v>
      </c>
    </row>
    <row r="1191" spans="2:18" x14ac:dyDescent="0.25">
      <c r="B1191">
        <v>9184</v>
      </c>
      <c r="C1191" t="s">
        <v>17806</v>
      </c>
      <c r="D1191" t="s">
        <v>24355</v>
      </c>
      <c r="E1191">
        <v>0</v>
      </c>
      <c r="F1191">
        <v>255</v>
      </c>
      <c r="G1191">
        <v>170</v>
      </c>
      <c r="R1191" t="s">
        <v>3037</v>
      </c>
    </row>
    <row r="1192" spans="2:18" x14ac:dyDescent="0.25">
      <c r="B1192">
        <v>265504906</v>
      </c>
      <c r="C1192" t="s">
        <v>24315</v>
      </c>
      <c r="D1192" t="s">
        <v>24355</v>
      </c>
      <c r="E1192">
        <v>0</v>
      </c>
      <c r="F1192">
        <v>255</v>
      </c>
      <c r="G1192">
        <v>170</v>
      </c>
      <c r="Q1192" t="s">
        <v>11847</v>
      </c>
    </row>
    <row r="1193" spans="2:18" x14ac:dyDescent="0.25">
      <c r="B1193">
        <v>9185</v>
      </c>
      <c r="C1193" t="s">
        <v>25441</v>
      </c>
      <c r="D1193" t="s">
        <v>24355</v>
      </c>
      <c r="E1193">
        <v>0</v>
      </c>
      <c r="F1193">
        <v>255</v>
      </c>
      <c r="G1193">
        <v>170</v>
      </c>
      <c r="Q1193" t="s">
        <v>3325</v>
      </c>
    </row>
    <row r="1194" spans="2:18" x14ac:dyDescent="0.25">
      <c r="B1194">
        <v>9186</v>
      </c>
      <c r="C1194" t="s">
        <v>20331</v>
      </c>
      <c r="D1194" t="s">
        <v>23430</v>
      </c>
      <c r="E1194">
        <v>0</v>
      </c>
      <c r="F1194">
        <v>255</v>
      </c>
      <c r="G1194">
        <v>170</v>
      </c>
      <c r="P1194" t="s">
        <v>12812</v>
      </c>
    </row>
    <row r="1195" spans="2:18" x14ac:dyDescent="0.25">
      <c r="B1195">
        <v>9187</v>
      </c>
      <c r="C1195" t="s">
        <v>25440</v>
      </c>
      <c r="D1195" t="s">
        <v>23430</v>
      </c>
      <c r="E1195">
        <v>0</v>
      </c>
      <c r="F1195">
        <v>255</v>
      </c>
      <c r="G1195">
        <v>170</v>
      </c>
      <c r="Q1195" t="s">
        <v>12814</v>
      </c>
    </row>
    <row r="1196" spans="2:18" x14ac:dyDescent="0.25">
      <c r="B1196">
        <v>9188</v>
      </c>
      <c r="C1196" t="s">
        <v>24316</v>
      </c>
      <c r="D1196" t="s">
        <v>23430</v>
      </c>
      <c r="E1196">
        <v>0</v>
      </c>
      <c r="F1196">
        <v>255</v>
      </c>
      <c r="G1196">
        <v>170</v>
      </c>
      <c r="Q1196" t="s">
        <v>12816</v>
      </c>
    </row>
    <row r="1197" spans="2:18" x14ac:dyDescent="0.25">
      <c r="B1197">
        <v>9189</v>
      </c>
      <c r="C1197" t="s">
        <v>20546</v>
      </c>
      <c r="D1197" t="s">
        <v>23430</v>
      </c>
      <c r="E1197">
        <v>0</v>
      </c>
      <c r="F1197">
        <v>255</v>
      </c>
      <c r="G1197">
        <v>170</v>
      </c>
      <c r="Q1197" t="s">
        <v>12818</v>
      </c>
    </row>
    <row r="1198" spans="2:18" x14ac:dyDescent="0.25">
      <c r="B1198">
        <v>9190</v>
      </c>
      <c r="C1198" t="s">
        <v>23479</v>
      </c>
      <c r="D1198" t="s">
        <v>23430</v>
      </c>
      <c r="E1198">
        <v>0</v>
      </c>
      <c r="F1198">
        <v>255</v>
      </c>
      <c r="G1198">
        <v>170</v>
      </c>
      <c r="Q1198" t="s">
        <v>12820</v>
      </c>
    </row>
    <row r="1199" spans="2:18" x14ac:dyDescent="0.25">
      <c r="B1199">
        <v>9191</v>
      </c>
      <c r="C1199" t="s">
        <v>17805</v>
      </c>
      <c r="D1199" t="s">
        <v>23430</v>
      </c>
      <c r="E1199">
        <v>0</v>
      </c>
      <c r="F1199">
        <v>255</v>
      </c>
      <c r="G1199">
        <v>170</v>
      </c>
      <c r="R1199" t="s">
        <v>12822</v>
      </c>
    </row>
    <row r="1200" spans="2:18" x14ac:dyDescent="0.25">
      <c r="B1200">
        <v>9192</v>
      </c>
      <c r="C1200" t="s">
        <v>17806</v>
      </c>
      <c r="D1200" t="s">
        <v>23430</v>
      </c>
      <c r="E1200">
        <v>0</v>
      </c>
      <c r="F1200">
        <v>255</v>
      </c>
      <c r="G1200">
        <v>170</v>
      </c>
      <c r="R1200" t="s">
        <v>12824</v>
      </c>
    </row>
    <row r="1201" spans="2:17" x14ac:dyDescent="0.25">
      <c r="B1201">
        <v>265504910</v>
      </c>
      <c r="C1201" t="s">
        <v>24315</v>
      </c>
      <c r="D1201" t="s">
        <v>23430</v>
      </c>
      <c r="E1201">
        <v>0</v>
      </c>
      <c r="F1201">
        <v>255</v>
      </c>
      <c r="G1201">
        <v>170</v>
      </c>
      <c r="Q1201" t="s">
        <v>11849</v>
      </c>
    </row>
    <row r="1202" spans="2:17" x14ac:dyDescent="0.25">
      <c r="B1202">
        <v>9193</v>
      </c>
      <c r="C1202" t="s">
        <v>25441</v>
      </c>
      <c r="D1202" t="s">
        <v>23430</v>
      </c>
      <c r="E1202">
        <v>0</v>
      </c>
      <c r="F1202">
        <v>255</v>
      </c>
      <c r="G1202">
        <v>170</v>
      </c>
      <c r="Q1202" t="s">
        <v>12826</v>
      </c>
    </row>
    <row r="1203" spans="2:17" x14ac:dyDescent="0.25">
      <c r="B1203">
        <v>9194</v>
      </c>
      <c r="C1203" t="s">
        <v>23120</v>
      </c>
      <c r="E1203">
        <v>0</v>
      </c>
      <c r="F1203">
        <v>255</v>
      </c>
      <c r="G1203">
        <v>170</v>
      </c>
      <c r="O1203" t="s">
        <v>7365</v>
      </c>
    </row>
    <row r="1204" spans="2:17" x14ac:dyDescent="0.25">
      <c r="B1204">
        <v>9195</v>
      </c>
      <c r="C1204" t="s">
        <v>23120</v>
      </c>
      <c r="D1204" t="s">
        <v>24355</v>
      </c>
      <c r="E1204">
        <v>0</v>
      </c>
      <c r="F1204">
        <v>255</v>
      </c>
      <c r="G1204">
        <v>170</v>
      </c>
      <c r="P1204" t="s">
        <v>12829</v>
      </c>
    </row>
    <row r="1205" spans="2:17" x14ac:dyDescent="0.25">
      <c r="B1205">
        <v>9196</v>
      </c>
      <c r="C1205" t="s">
        <v>23120</v>
      </c>
      <c r="D1205" t="s">
        <v>23430</v>
      </c>
      <c r="E1205">
        <v>0</v>
      </c>
      <c r="F1205">
        <v>255</v>
      </c>
      <c r="G1205">
        <v>170</v>
      </c>
      <c r="P1205" t="s">
        <v>12831</v>
      </c>
    </row>
    <row r="1206" spans="2:17" x14ac:dyDescent="0.25">
      <c r="B1206">
        <v>9197</v>
      </c>
      <c r="C1206" t="s">
        <v>18510</v>
      </c>
      <c r="E1206">
        <v>0</v>
      </c>
      <c r="F1206">
        <v>255</v>
      </c>
      <c r="G1206">
        <v>170</v>
      </c>
      <c r="O1206" t="s">
        <v>14233</v>
      </c>
    </row>
    <row r="1207" spans="2:17" x14ac:dyDescent="0.25">
      <c r="B1207">
        <v>9198</v>
      </c>
      <c r="C1207" t="s">
        <v>18510</v>
      </c>
      <c r="D1207" t="s">
        <v>24355</v>
      </c>
      <c r="E1207">
        <v>0</v>
      </c>
      <c r="F1207">
        <v>255</v>
      </c>
      <c r="G1207">
        <v>170</v>
      </c>
      <c r="P1207" t="s">
        <v>12833</v>
      </c>
    </row>
    <row r="1208" spans="2:17" x14ac:dyDescent="0.25">
      <c r="B1208">
        <v>9199</v>
      </c>
      <c r="C1208" t="s">
        <v>18510</v>
      </c>
      <c r="D1208" t="s">
        <v>23430</v>
      </c>
      <c r="E1208">
        <v>0</v>
      </c>
      <c r="F1208">
        <v>255</v>
      </c>
      <c r="G1208">
        <v>170</v>
      </c>
      <c r="P1208" t="s">
        <v>12835</v>
      </c>
    </row>
    <row r="1209" spans="2:17" x14ac:dyDescent="0.25">
      <c r="B1209">
        <v>9203</v>
      </c>
      <c r="C1209">
        <v>5</v>
      </c>
      <c r="E1209">
        <v>0</v>
      </c>
      <c r="F1209">
        <v>255</v>
      </c>
      <c r="G1209">
        <v>170</v>
      </c>
      <c r="O1209" t="s">
        <v>14976</v>
      </c>
    </row>
    <row r="1210" spans="2:17" x14ac:dyDescent="0.25">
      <c r="B1210">
        <v>9204</v>
      </c>
      <c r="C1210">
        <v>5</v>
      </c>
      <c r="D1210" t="s">
        <v>24355</v>
      </c>
      <c r="E1210">
        <v>0</v>
      </c>
      <c r="F1210">
        <v>255</v>
      </c>
      <c r="G1210">
        <v>170</v>
      </c>
      <c r="P1210" t="s">
        <v>12841</v>
      </c>
    </row>
    <row r="1211" spans="2:17" x14ac:dyDescent="0.25">
      <c r="B1211">
        <v>9205</v>
      </c>
      <c r="C1211" t="s">
        <v>23935</v>
      </c>
      <c r="D1211" t="s">
        <v>24355</v>
      </c>
      <c r="E1211">
        <v>0</v>
      </c>
      <c r="F1211">
        <v>255</v>
      </c>
      <c r="G1211">
        <v>170</v>
      </c>
      <c r="Q1211" t="s">
        <v>2272</v>
      </c>
    </row>
    <row r="1212" spans="2:17" x14ac:dyDescent="0.25">
      <c r="B1212">
        <v>9206</v>
      </c>
      <c r="C1212" t="s">
        <v>24275</v>
      </c>
      <c r="D1212" t="s">
        <v>24355</v>
      </c>
      <c r="E1212">
        <v>0</v>
      </c>
      <c r="F1212">
        <v>255</v>
      </c>
      <c r="G1212">
        <v>170</v>
      </c>
      <c r="Q1212" t="s">
        <v>3183</v>
      </c>
    </row>
    <row r="1213" spans="2:17" x14ac:dyDescent="0.25">
      <c r="B1213">
        <v>9207</v>
      </c>
      <c r="C1213" t="s">
        <v>24290</v>
      </c>
      <c r="D1213" t="s">
        <v>24355</v>
      </c>
      <c r="E1213">
        <v>0</v>
      </c>
      <c r="F1213">
        <v>255</v>
      </c>
      <c r="G1213">
        <v>170</v>
      </c>
      <c r="Q1213" t="s">
        <v>4196</v>
      </c>
    </row>
    <row r="1214" spans="2:17" x14ac:dyDescent="0.25">
      <c r="B1214">
        <v>9211</v>
      </c>
      <c r="C1214">
        <v>5</v>
      </c>
      <c r="D1214" t="s">
        <v>23430</v>
      </c>
      <c r="E1214">
        <v>0</v>
      </c>
      <c r="F1214">
        <v>255</v>
      </c>
      <c r="G1214">
        <v>170</v>
      </c>
      <c r="P1214" t="s">
        <v>12843</v>
      </c>
    </row>
    <row r="1215" spans="2:17" x14ac:dyDescent="0.25">
      <c r="B1215">
        <v>9212</v>
      </c>
      <c r="C1215" t="s">
        <v>23935</v>
      </c>
      <c r="D1215" t="s">
        <v>23430</v>
      </c>
      <c r="E1215">
        <v>0</v>
      </c>
      <c r="F1215">
        <v>255</v>
      </c>
      <c r="G1215">
        <v>170</v>
      </c>
      <c r="Q1215" t="s">
        <v>12845</v>
      </c>
    </row>
    <row r="1216" spans="2:17" x14ac:dyDescent="0.25">
      <c r="B1216">
        <v>9213</v>
      </c>
      <c r="C1216" t="s">
        <v>24275</v>
      </c>
      <c r="D1216" t="s">
        <v>23430</v>
      </c>
      <c r="E1216">
        <v>0</v>
      </c>
      <c r="F1216">
        <v>255</v>
      </c>
      <c r="G1216">
        <v>170</v>
      </c>
      <c r="Q1216" t="s">
        <v>12847</v>
      </c>
    </row>
    <row r="1217" spans="2:17" x14ac:dyDescent="0.25">
      <c r="B1217">
        <v>9214</v>
      </c>
      <c r="C1217" t="s">
        <v>24290</v>
      </c>
      <c r="D1217" t="s">
        <v>23430</v>
      </c>
      <c r="E1217">
        <v>0</v>
      </c>
      <c r="F1217">
        <v>255</v>
      </c>
      <c r="G1217">
        <v>170</v>
      </c>
      <c r="Q1217" t="s">
        <v>12849</v>
      </c>
    </row>
    <row r="1218" spans="2:17" x14ac:dyDescent="0.25">
      <c r="B1218">
        <v>9200</v>
      </c>
      <c r="C1218" t="s">
        <v>24306</v>
      </c>
      <c r="E1218">
        <v>0</v>
      </c>
      <c r="F1218">
        <v>255</v>
      </c>
      <c r="G1218">
        <v>170</v>
      </c>
      <c r="O1218" t="s">
        <v>15038</v>
      </c>
    </row>
    <row r="1219" spans="2:17" x14ac:dyDescent="0.25">
      <c r="B1219">
        <v>9201</v>
      </c>
      <c r="C1219" t="s">
        <v>24306</v>
      </c>
      <c r="D1219" t="s">
        <v>24355</v>
      </c>
      <c r="E1219">
        <v>0</v>
      </c>
      <c r="F1219">
        <v>255</v>
      </c>
      <c r="G1219">
        <v>170</v>
      </c>
      <c r="P1219" t="s">
        <v>12837</v>
      </c>
    </row>
    <row r="1220" spans="2:17" x14ac:dyDescent="0.25">
      <c r="B1220">
        <v>9202</v>
      </c>
      <c r="C1220" t="s">
        <v>24306</v>
      </c>
      <c r="D1220" t="s">
        <v>23430</v>
      </c>
      <c r="E1220">
        <v>0</v>
      </c>
      <c r="F1220">
        <v>255</v>
      </c>
      <c r="G1220">
        <v>170</v>
      </c>
      <c r="P1220" t="s">
        <v>12839</v>
      </c>
    </row>
    <row r="1221" spans="2:17" x14ac:dyDescent="0.25">
      <c r="B1221">
        <v>9512</v>
      </c>
      <c r="C1221" t="s">
        <v>20391</v>
      </c>
      <c r="E1221">
        <v>31</v>
      </c>
      <c r="F1221">
        <v>103</v>
      </c>
      <c r="G1221">
        <v>204</v>
      </c>
      <c r="L1221" t="s">
        <v>3198</v>
      </c>
    </row>
    <row r="1222" spans="2:17" x14ac:dyDescent="0.25">
      <c r="B1222">
        <v>9513</v>
      </c>
      <c r="C1222" t="s">
        <v>25442</v>
      </c>
      <c r="E1222">
        <v>1</v>
      </c>
      <c r="F1222">
        <v>73</v>
      </c>
      <c r="G1222">
        <v>174</v>
      </c>
      <c r="M1222" t="s">
        <v>180</v>
      </c>
    </row>
    <row r="1223" spans="2:17" x14ac:dyDescent="0.25">
      <c r="B1223">
        <v>9514</v>
      </c>
      <c r="C1223" t="s">
        <v>25442</v>
      </c>
      <c r="D1223" t="s">
        <v>24355</v>
      </c>
      <c r="E1223">
        <v>1</v>
      </c>
      <c r="F1223">
        <v>73</v>
      </c>
      <c r="G1223">
        <v>174</v>
      </c>
      <c r="N1223" t="s">
        <v>13074</v>
      </c>
    </row>
    <row r="1224" spans="2:17" x14ac:dyDescent="0.25">
      <c r="B1224">
        <v>9515</v>
      </c>
      <c r="C1224" t="s">
        <v>25442</v>
      </c>
      <c r="D1224" t="s">
        <v>23430</v>
      </c>
      <c r="E1224">
        <v>1</v>
      </c>
      <c r="F1224">
        <v>73</v>
      </c>
      <c r="G1224">
        <v>174</v>
      </c>
      <c r="N1224" t="s">
        <v>13076</v>
      </c>
    </row>
    <row r="1225" spans="2:17" x14ac:dyDescent="0.25">
      <c r="B1225">
        <v>9516</v>
      </c>
      <c r="C1225" t="s">
        <v>24371</v>
      </c>
      <c r="E1225">
        <v>3</v>
      </c>
      <c r="F1225">
        <v>75</v>
      </c>
      <c r="G1225">
        <v>176</v>
      </c>
      <c r="M1225" t="s">
        <v>3245</v>
      </c>
    </row>
    <row r="1226" spans="2:17" x14ac:dyDescent="0.25">
      <c r="B1226">
        <v>9517</v>
      </c>
      <c r="C1226" t="s">
        <v>24371</v>
      </c>
      <c r="D1226" t="s">
        <v>24355</v>
      </c>
      <c r="E1226">
        <v>3</v>
      </c>
      <c r="F1226">
        <v>75</v>
      </c>
      <c r="G1226">
        <v>176</v>
      </c>
      <c r="N1226" t="s">
        <v>13078</v>
      </c>
    </row>
    <row r="1227" spans="2:17" x14ac:dyDescent="0.25">
      <c r="B1227">
        <v>9518</v>
      </c>
      <c r="C1227" t="s">
        <v>24371</v>
      </c>
      <c r="D1227" t="s">
        <v>23430</v>
      </c>
      <c r="E1227">
        <v>3</v>
      </c>
      <c r="F1227">
        <v>75</v>
      </c>
      <c r="G1227">
        <v>176</v>
      </c>
      <c r="N1227" t="s">
        <v>13080</v>
      </c>
    </row>
    <row r="1228" spans="2:17" x14ac:dyDescent="0.25">
      <c r="B1228">
        <v>9519</v>
      </c>
      <c r="C1228" t="s">
        <v>23503</v>
      </c>
      <c r="E1228">
        <v>5</v>
      </c>
      <c r="F1228">
        <v>77</v>
      </c>
      <c r="G1228">
        <v>178</v>
      </c>
      <c r="M1228" t="s">
        <v>508</v>
      </c>
    </row>
    <row r="1229" spans="2:17" x14ac:dyDescent="0.25">
      <c r="B1229">
        <v>9520</v>
      </c>
      <c r="C1229" t="s">
        <v>23503</v>
      </c>
      <c r="D1229" t="s">
        <v>24355</v>
      </c>
      <c r="E1229">
        <v>5</v>
      </c>
      <c r="F1229">
        <v>77</v>
      </c>
      <c r="G1229">
        <v>178</v>
      </c>
      <c r="N1229" t="s">
        <v>13082</v>
      </c>
    </row>
    <row r="1230" spans="2:17" x14ac:dyDescent="0.25">
      <c r="B1230">
        <v>9521</v>
      </c>
      <c r="C1230" t="s">
        <v>23503</v>
      </c>
      <c r="D1230" t="s">
        <v>23430</v>
      </c>
      <c r="E1230">
        <v>5</v>
      </c>
      <c r="F1230">
        <v>77</v>
      </c>
      <c r="G1230">
        <v>178</v>
      </c>
      <c r="N1230" t="s">
        <v>13084</v>
      </c>
    </row>
    <row r="1231" spans="2:17" x14ac:dyDescent="0.25">
      <c r="B1231">
        <v>9522</v>
      </c>
      <c r="C1231" t="s">
        <v>20395</v>
      </c>
      <c r="E1231">
        <v>7</v>
      </c>
      <c r="F1231">
        <v>79</v>
      </c>
      <c r="G1231">
        <v>180</v>
      </c>
      <c r="M1231" t="s">
        <v>514</v>
      </c>
    </row>
    <row r="1232" spans="2:17" x14ac:dyDescent="0.25">
      <c r="B1232">
        <v>9523</v>
      </c>
      <c r="C1232" t="s">
        <v>20395</v>
      </c>
      <c r="D1232" t="s">
        <v>24355</v>
      </c>
      <c r="E1232">
        <v>7</v>
      </c>
      <c r="F1232">
        <v>79</v>
      </c>
      <c r="G1232">
        <v>180</v>
      </c>
      <c r="N1232" t="s">
        <v>13086</v>
      </c>
    </row>
    <row r="1233" spans="2:16" x14ac:dyDescent="0.25">
      <c r="B1233">
        <v>9524</v>
      </c>
      <c r="C1233" t="s">
        <v>20395</v>
      </c>
      <c r="D1233" t="s">
        <v>23430</v>
      </c>
      <c r="E1233">
        <v>7</v>
      </c>
      <c r="F1233">
        <v>79</v>
      </c>
      <c r="G1233">
        <v>180</v>
      </c>
      <c r="N1233" t="s">
        <v>13088</v>
      </c>
    </row>
    <row r="1234" spans="2:16" x14ac:dyDescent="0.25">
      <c r="B1234">
        <v>9525</v>
      </c>
      <c r="C1234" t="s">
        <v>25443</v>
      </c>
      <c r="E1234">
        <v>9</v>
      </c>
      <c r="F1234">
        <v>81</v>
      </c>
      <c r="G1234">
        <v>182</v>
      </c>
      <c r="M1234" t="s">
        <v>4469</v>
      </c>
    </row>
    <row r="1235" spans="2:16" x14ac:dyDescent="0.25">
      <c r="B1235">
        <v>9526</v>
      </c>
      <c r="C1235" t="s">
        <v>25443</v>
      </c>
      <c r="D1235" t="s">
        <v>24355</v>
      </c>
      <c r="E1235">
        <v>9</v>
      </c>
      <c r="F1235">
        <v>81</v>
      </c>
      <c r="G1235">
        <v>182</v>
      </c>
      <c r="N1235" t="s">
        <v>4696</v>
      </c>
    </row>
    <row r="1236" spans="2:16" x14ac:dyDescent="0.25">
      <c r="B1236">
        <v>9527</v>
      </c>
      <c r="C1236" t="s">
        <v>25443</v>
      </c>
      <c r="D1236" t="s">
        <v>23430</v>
      </c>
      <c r="E1236">
        <v>9</v>
      </c>
      <c r="F1236">
        <v>81</v>
      </c>
      <c r="G1236">
        <v>182</v>
      </c>
      <c r="N1236" t="s">
        <v>4698</v>
      </c>
    </row>
    <row r="1237" spans="2:16" x14ac:dyDescent="0.25">
      <c r="B1237">
        <v>265504914</v>
      </c>
      <c r="C1237" t="s">
        <v>25444</v>
      </c>
      <c r="E1237">
        <v>6</v>
      </c>
      <c r="F1237">
        <v>78</v>
      </c>
      <c r="G1237">
        <v>179</v>
      </c>
      <c r="M1237" t="s">
        <v>937</v>
      </c>
    </row>
    <row r="1238" spans="2:16" x14ac:dyDescent="0.25">
      <c r="B1238">
        <v>265504918</v>
      </c>
      <c r="C1238" t="s">
        <v>25444</v>
      </c>
      <c r="D1238" t="s">
        <v>24355</v>
      </c>
      <c r="E1238">
        <v>6</v>
      </c>
      <c r="F1238">
        <v>78</v>
      </c>
      <c r="G1238">
        <v>179</v>
      </c>
      <c r="N1238" t="s">
        <v>11851</v>
      </c>
    </row>
    <row r="1239" spans="2:16" x14ac:dyDescent="0.25">
      <c r="B1239">
        <v>265504922</v>
      </c>
      <c r="C1239" t="s">
        <v>25444</v>
      </c>
      <c r="D1239" t="s">
        <v>23430</v>
      </c>
      <c r="E1239">
        <v>6</v>
      </c>
      <c r="F1239">
        <v>78</v>
      </c>
      <c r="G1239">
        <v>179</v>
      </c>
      <c r="N1239" t="s">
        <v>11853</v>
      </c>
    </row>
    <row r="1240" spans="2:16" x14ac:dyDescent="0.25">
      <c r="B1240">
        <v>9528</v>
      </c>
      <c r="C1240" t="s">
        <v>24283</v>
      </c>
      <c r="E1240">
        <v>10</v>
      </c>
      <c r="F1240">
        <v>82</v>
      </c>
      <c r="G1240">
        <v>183</v>
      </c>
      <c r="M1240" t="s">
        <v>1276</v>
      </c>
    </row>
    <row r="1241" spans="2:16" x14ac:dyDescent="0.25">
      <c r="B1241">
        <v>9529</v>
      </c>
      <c r="C1241" t="s">
        <v>24283</v>
      </c>
      <c r="D1241" t="s">
        <v>24355</v>
      </c>
      <c r="E1241">
        <v>10</v>
      </c>
      <c r="F1241">
        <v>82</v>
      </c>
      <c r="G1241">
        <v>183</v>
      </c>
      <c r="N1241" t="s">
        <v>13090</v>
      </c>
    </row>
    <row r="1242" spans="2:16" x14ac:dyDescent="0.25">
      <c r="B1242">
        <v>9530</v>
      </c>
      <c r="C1242" t="s">
        <v>24284</v>
      </c>
      <c r="D1242" t="s">
        <v>24355</v>
      </c>
      <c r="E1242">
        <v>10</v>
      </c>
      <c r="F1242">
        <v>82</v>
      </c>
      <c r="G1242">
        <v>183</v>
      </c>
      <c r="O1242" t="s">
        <v>1520</v>
      </c>
    </row>
    <row r="1243" spans="2:16" x14ac:dyDescent="0.25">
      <c r="B1243">
        <v>9531</v>
      </c>
      <c r="C1243" t="s">
        <v>24286</v>
      </c>
      <c r="D1243" t="s">
        <v>24355</v>
      </c>
      <c r="E1243">
        <v>10</v>
      </c>
      <c r="F1243">
        <v>82</v>
      </c>
      <c r="G1243">
        <v>183</v>
      </c>
      <c r="O1243" t="s">
        <v>13092</v>
      </c>
    </row>
    <row r="1244" spans="2:16" x14ac:dyDescent="0.25">
      <c r="B1244">
        <v>9532</v>
      </c>
      <c r="C1244" t="s">
        <v>25445</v>
      </c>
      <c r="D1244" t="s">
        <v>24355</v>
      </c>
      <c r="E1244">
        <v>10</v>
      </c>
      <c r="F1244">
        <v>82</v>
      </c>
      <c r="G1244">
        <v>183</v>
      </c>
      <c r="P1244" t="s">
        <v>472</v>
      </c>
    </row>
    <row r="1245" spans="2:16" x14ac:dyDescent="0.25">
      <c r="B1245">
        <v>9533</v>
      </c>
      <c r="C1245" t="s">
        <v>25446</v>
      </c>
      <c r="D1245" t="s">
        <v>24355</v>
      </c>
      <c r="E1245">
        <v>10</v>
      </c>
      <c r="F1245">
        <v>82</v>
      </c>
      <c r="G1245">
        <v>183</v>
      </c>
      <c r="P1245" t="s">
        <v>4035</v>
      </c>
    </row>
    <row r="1246" spans="2:16" x14ac:dyDescent="0.25">
      <c r="B1246">
        <v>9534</v>
      </c>
      <c r="C1246" t="s">
        <v>24283</v>
      </c>
      <c r="D1246" t="s">
        <v>23430</v>
      </c>
      <c r="E1246">
        <v>10</v>
      </c>
      <c r="F1246">
        <v>82</v>
      </c>
      <c r="G1246">
        <v>183</v>
      </c>
      <c r="N1246" t="s">
        <v>13094</v>
      </c>
    </row>
    <row r="1247" spans="2:16" x14ac:dyDescent="0.25">
      <c r="B1247">
        <v>9535</v>
      </c>
      <c r="C1247" t="s">
        <v>24284</v>
      </c>
      <c r="D1247" t="s">
        <v>23430</v>
      </c>
      <c r="E1247">
        <v>10</v>
      </c>
      <c r="F1247">
        <v>82</v>
      </c>
      <c r="G1247">
        <v>183</v>
      </c>
      <c r="O1247" t="s">
        <v>13096</v>
      </c>
    </row>
    <row r="1248" spans="2:16" x14ac:dyDescent="0.25">
      <c r="B1248">
        <v>9536</v>
      </c>
      <c r="C1248" t="s">
        <v>24286</v>
      </c>
      <c r="D1248" t="s">
        <v>23430</v>
      </c>
      <c r="E1248">
        <v>10</v>
      </c>
      <c r="F1248">
        <v>82</v>
      </c>
      <c r="G1248">
        <v>183</v>
      </c>
      <c r="O1248" t="s">
        <v>13098</v>
      </c>
    </row>
    <row r="1249" spans="2:16" x14ac:dyDescent="0.25">
      <c r="B1249">
        <v>9537</v>
      </c>
      <c r="C1249" t="s">
        <v>25445</v>
      </c>
      <c r="D1249" t="s">
        <v>23430</v>
      </c>
      <c r="E1249">
        <v>10</v>
      </c>
      <c r="F1249">
        <v>82</v>
      </c>
      <c r="G1249">
        <v>183</v>
      </c>
      <c r="P1249" t="s">
        <v>13100</v>
      </c>
    </row>
    <row r="1250" spans="2:16" x14ac:dyDescent="0.25">
      <c r="B1250">
        <v>9538</v>
      </c>
      <c r="C1250" t="s">
        <v>25446</v>
      </c>
      <c r="D1250" t="s">
        <v>23430</v>
      </c>
      <c r="E1250">
        <v>10</v>
      </c>
      <c r="F1250">
        <v>82</v>
      </c>
      <c r="G1250">
        <v>183</v>
      </c>
      <c r="P1250" t="s">
        <v>13102</v>
      </c>
    </row>
    <row r="1251" spans="2:16" x14ac:dyDescent="0.25">
      <c r="B1251">
        <v>9539</v>
      </c>
      <c r="C1251" t="s">
        <v>25447</v>
      </c>
      <c r="E1251">
        <v>12</v>
      </c>
      <c r="F1251">
        <v>84</v>
      </c>
      <c r="G1251">
        <v>185</v>
      </c>
      <c r="M1251" t="s">
        <v>13104</v>
      </c>
    </row>
    <row r="1252" spans="2:16" x14ac:dyDescent="0.25">
      <c r="B1252">
        <v>9540</v>
      </c>
      <c r="C1252" t="s">
        <v>25447</v>
      </c>
      <c r="D1252" t="s">
        <v>24355</v>
      </c>
      <c r="E1252">
        <v>12</v>
      </c>
      <c r="F1252">
        <v>84</v>
      </c>
      <c r="G1252">
        <v>185</v>
      </c>
      <c r="N1252" t="s">
        <v>13106</v>
      </c>
    </row>
    <row r="1253" spans="2:16" x14ac:dyDescent="0.25">
      <c r="B1253">
        <v>9541</v>
      </c>
      <c r="C1253" t="s">
        <v>25447</v>
      </c>
      <c r="D1253" t="s">
        <v>23430</v>
      </c>
      <c r="E1253">
        <v>12</v>
      </c>
      <c r="F1253">
        <v>84</v>
      </c>
      <c r="G1253">
        <v>185</v>
      </c>
      <c r="N1253" t="s">
        <v>13108</v>
      </c>
    </row>
    <row r="1254" spans="2:16" x14ac:dyDescent="0.25">
      <c r="B1254">
        <v>9542</v>
      </c>
      <c r="C1254" t="s">
        <v>24421</v>
      </c>
      <c r="E1254">
        <v>14</v>
      </c>
      <c r="F1254">
        <v>86</v>
      </c>
      <c r="G1254">
        <v>187</v>
      </c>
      <c r="M1254" t="s">
        <v>1396</v>
      </c>
    </row>
    <row r="1255" spans="2:16" x14ac:dyDescent="0.25">
      <c r="B1255">
        <v>9543</v>
      </c>
      <c r="C1255" t="s">
        <v>24421</v>
      </c>
      <c r="D1255" t="s">
        <v>24355</v>
      </c>
      <c r="E1255">
        <v>14</v>
      </c>
      <c r="F1255">
        <v>86</v>
      </c>
      <c r="G1255">
        <v>187</v>
      </c>
      <c r="N1255" t="s">
        <v>13110</v>
      </c>
    </row>
    <row r="1256" spans="2:16" x14ac:dyDescent="0.25">
      <c r="B1256">
        <v>9544</v>
      </c>
      <c r="C1256" t="s">
        <v>24421</v>
      </c>
      <c r="D1256" t="s">
        <v>23430</v>
      </c>
      <c r="E1256">
        <v>14</v>
      </c>
      <c r="F1256">
        <v>86</v>
      </c>
      <c r="G1256">
        <v>187</v>
      </c>
      <c r="N1256" t="s">
        <v>13112</v>
      </c>
    </row>
    <row r="1257" spans="2:16" x14ac:dyDescent="0.25">
      <c r="B1257">
        <v>9545</v>
      </c>
      <c r="C1257">
        <v>10</v>
      </c>
      <c r="E1257">
        <v>16</v>
      </c>
      <c r="F1257">
        <v>88</v>
      </c>
      <c r="G1257">
        <v>189</v>
      </c>
      <c r="M1257" t="s">
        <v>1548</v>
      </c>
    </row>
    <row r="1258" spans="2:16" x14ac:dyDescent="0.25">
      <c r="B1258">
        <v>9546</v>
      </c>
      <c r="C1258">
        <v>10</v>
      </c>
      <c r="D1258" t="s">
        <v>24355</v>
      </c>
      <c r="E1258">
        <v>16</v>
      </c>
      <c r="F1258">
        <v>88</v>
      </c>
      <c r="G1258">
        <v>189</v>
      </c>
      <c r="N1258" t="s">
        <v>13114</v>
      </c>
    </row>
    <row r="1259" spans="2:16" x14ac:dyDescent="0.25">
      <c r="B1259">
        <v>9547</v>
      </c>
      <c r="C1259">
        <v>10</v>
      </c>
      <c r="D1259" t="s">
        <v>23430</v>
      </c>
      <c r="E1259">
        <v>16</v>
      </c>
      <c r="F1259">
        <v>88</v>
      </c>
      <c r="G1259">
        <v>189</v>
      </c>
      <c r="N1259" t="s">
        <v>13116</v>
      </c>
    </row>
    <row r="1260" spans="2:16" x14ac:dyDescent="0.25">
      <c r="B1260">
        <v>9548</v>
      </c>
      <c r="C1260" t="s">
        <v>24481</v>
      </c>
      <c r="E1260">
        <v>18</v>
      </c>
      <c r="F1260">
        <v>90</v>
      </c>
      <c r="G1260">
        <v>191</v>
      </c>
      <c r="M1260" t="s">
        <v>1754</v>
      </c>
    </row>
    <row r="1261" spans="2:16" x14ac:dyDescent="0.25">
      <c r="B1261">
        <v>9549</v>
      </c>
      <c r="C1261" t="s">
        <v>24481</v>
      </c>
      <c r="D1261" t="s">
        <v>24355</v>
      </c>
      <c r="E1261">
        <v>18</v>
      </c>
      <c r="F1261">
        <v>90</v>
      </c>
      <c r="G1261">
        <v>191</v>
      </c>
      <c r="N1261" t="s">
        <v>13118</v>
      </c>
    </row>
    <row r="1262" spans="2:16" x14ac:dyDescent="0.25">
      <c r="B1262">
        <v>9550</v>
      </c>
      <c r="C1262" t="s">
        <v>24481</v>
      </c>
      <c r="D1262" t="s">
        <v>23430</v>
      </c>
      <c r="E1262">
        <v>18</v>
      </c>
      <c r="F1262">
        <v>90</v>
      </c>
      <c r="G1262">
        <v>191</v>
      </c>
      <c r="N1262" t="s">
        <v>13120</v>
      </c>
    </row>
    <row r="1263" spans="2:16" x14ac:dyDescent="0.25">
      <c r="B1263">
        <v>9551</v>
      </c>
      <c r="C1263" t="s">
        <v>24482</v>
      </c>
      <c r="E1263">
        <v>20</v>
      </c>
      <c r="F1263">
        <v>92</v>
      </c>
      <c r="G1263">
        <v>193</v>
      </c>
      <c r="M1263" t="s">
        <v>1772</v>
      </c>
    </row>
    <row r="1264" spans="2:16" x14ac:dyDescent="0.25">
      <c r="B1264">
        <v>9552</v>
      </c>
      <c r="C1264" t="s">
        <v>24482</v>
      </c>
      <c r="D1264" t="s">
        <v>24355</v>
      </c>
      <c r="E1264">
        <v>20</v>
      </c>
      <c r="F1264">
        <v>92</v>
      </c>
      <c r="G1264">
        <v>193</v>
      </c>
      <c r="N1264" t="s">
        <v>13122</v>
      </c>
    </row>
    <row r="1265" spans="2:15" x14ac:dyDescent="0.25">
      <c r="B1265">
        <v>9553</v>
      </c>
      <c r="C1265" t="s">
        <v>24482</v>
      </c>
      <c r="D1265" t="s">
        <v>23430</v>
      </c>
      <c r="E1265">
        <v>20</v>
      </c>
      <c r="F1265">
        <v>92</v>
      </c>
      <c r="G1265">
        <v>193</v>
      </c>
      <c r="N1265" t="s">
        <v>13124</v>
      </c>
    </row>
    <row r="1266" spans="2:15" x14ac:dyDescent="0.25">
      <c r="B1266">
        <v>265504926</v>
      </c>
      <c r="C1266" t="s">
        <v>24420</v>
      </c>
      <c r="E1266">
        <v>20</v>
      </c>
      <c r="F1266">
        <v>92</v>
      </c>
      <c r="G1266">
        <v>194</v>
      </c>
      <c r="M1266" t="s">
        <v>7551</v>
      </c>
    </row>
    <row r="1267" spans="2:15" x14ac:dyDescent="0.25">
      <c r="B1267">
        <v>265504930</v>
      </c>
      <c r="C1267" t="s">
        <v>24420</v>
      </c>
      <c r="D1267" t="s">
        <v>24355</v>
      </c>
      <c r="E1267">
        <v>20</v>
      </c>
      <c r="F1267">
        <v>92</v>
      </c>
      <c r="G1267">
        <v>194</v>
      </c>
      <c r="N1267" t="s">
        <v>11856</v>
      </c>
    </row>
    <row r="1268" spans="2:15" x14ac:dyDescent="0.25">
      <c r="B1268">
        <v>265504934</v>
      </c>
      <c r="C1268" t="s">
        <v>24420</v>
      </c>
      <c r="D1268" t="s">
        <v>23430</v>
      </c>
      <c r="E1268">
        <v>20</v>
      </c>
      <c r="F1268">
        <v>92</v>
      </c>
      <c r="G1268">
        <v>194</v>
      </c>
      <c r="N1268" t="s">
        <v>11858</v>
      </c>
    </row>
    <row r="1269" spans="2:15" x14ac:dyDescent="0.25">
      <c r="B1269">
        <v>9554</v>
      </c>
      <c r="C1269" t="s">
        <v>24424</v>
      </c>
      <c r="E1269">
        <v>22</v>
      </c>
      <c r="F1269">
        <v>94</v>
      </c>
      <c r="G1269">
        <v>195</v>
      </c>
      <c r="M1269" t="s">
        <v>2098</v>
      </c>
    </row>
    <row r="1270" spans="2:15" x14ac:dyDescent="0.25">
      <c r="B1270">
        <v>9555</v>
      </c>
      <c r="C1270" t="s">
        <v>24424</v>
      </c>
      <c r="D1270" t="s">
        <v>24355</v>
      </c>
      <c r="E1270">
        <v>22</v>
      </c>
      <c r="F1270">
        <v>94</v>
      </c>
      <c r="G1270">
        <v>195</v>
      </c>
      <c r="N1270" t="s">
        <v>13126</v>
      </c>
    </row>
    <row r="1271" spans="2:15" x14ac:dyDescent="0.25">
      <c r="B1271">
        <v>9556</v>
      </c>
      <c r="C1271" t="s">
        <v>24424</v>
      </c>
      <c r="D1271" t="s">
        <v>23430</v>
      </c>
      <c r="E1271">
        <v>22</v>
      </c>
      <c r="F1271">
        <v>94</v>
      </c>
      <c r="G1271">
        <v>195</v>
      </c>
      <c r="N1271" t="s">
        <v>13128</v>
      </c>
    </row>
    <row r="1272" spans="2:15" x14ac:dyDescent="0.25">
      <c r="B1272">
        <v>9557</v>
      </c>
      <c r="C1272">
        <v>12</v>
      </c>
      <c r="E1272">
        <v>24</v>
      </c>
      <c r="F1272">
        <v>96</v>
      </c>
      <c r="G1272">
        <v>197</v>
      </c>
      <c r="M1272" t="s">
        <v>2327</v>
      </c>
    </row>
    <row r="1273" spans="2:15" x14ac:dyDescent="0.25">
      <c r="B1273">
        <v>9558</v>
      </c>
      <c r="C1273">
        <v>12</v>
      </c>
      <c r="D1273" t="s">
        <v>24355</v>
      </c>
      <c r="E1273">
        <v>24</v>
      </c>
      <c r="F1273">
        <v>96</v>
      </c>
      <c r="G1273">
        <v>197</v>
      </c>
      <c r="N1273" t="s">
        <v>13130</v>
      </c>
    </row>
    <row r="1274" spans="2:15" x14ac:dyDescent="0.25">
      <c r="B1274">
        <v>9559</v>
      </c>
      <c r="C1274">
        <v>12</v>
      </c>
      <c r="D1274" t="s">
        <v>23430</v>
      </c>
      <c r="E1274">
        <v>24</v>
      </c>
      <c r="F1274">
        <v>96</v>
      </c>
      <c r="G1274">
        <v>197</v>
      </c>
      <c r="N1274" t="s">
        <v>13132</v>
      </c>
    </row>
    <row r="1275" spans="2:15" x14ac:dyDescent="0.25">
      <c r="B1275">
        <v>9560</v>
      </c>
      <c r="C1275" t="s">
        <v>20474</v>
      </c>
      <c r="E1275">
        <v>25</v>
      </c>
      <c r="F1275">
        <v>97</v>
      </c>
      <c r="G1275">
        <v>198</v>
      </c>
      <c r="M1275" t="s">
        <v>2387</v>
      </c>
    </row>
    <row r="1276" spans="2:15" x14ac:dyDescent="0.25">
      <c r="B1276">
        <v>9561</v>
      </c>
      <c r="C1276" t="s">
        <v>20474</v>
      </c>
      <c r="D1276" t="s">
        <v>24355</v>
      </c>
      <c r="E1276">
        <v>25</v>
      </c>
      <c r="F1276">
        <v>97</v>
      </c>
      <c r="G1276">
        <v>198</v>
      </c>
      <c r="N1276" t="s">
        <v>13134</v>
      </c>
    </row>
    <row r="1277" spans="2:15" x14ac:dyDescent="0.25">
      <c r="B1277">
        <v>9562</v>
      </c>
      <c r="C1277" t="s">
        <v>25448</v>
      </c>
      <c r="D1277" t="s">
        <v>24355</v>
      </c>
      <c r="E1277">
        <v>25</v>
      </c>
      <c r="F1277">
        <v>97</v>
      </c>
      <c r="G1277">
        <v>198</v>
      </c>
      <c r="O1277" t="s">
        <v>1504</v>
      </c>
    </row>
    <row r="1278" spans="2:15" x14ac:dyDescent="0.25">
      <c r="B1278">
        <v>9563</v>
      </c>
      <c r="C1278" t="s">
        <v>25449</v>
      </c>
      <c r="D1278" t="s">
        <v>24355</v>
      </c>
      <c r="E1278">
        <v>25</v>
      </c>
      <c r="F1278">
        <v>97</v>
      </c>
      <c r="G1278">
        <v>198</v>
      </c>
      <c r="O1278" t="s">
        <v>2883</v>
      </c>
    </row>
    <row r="1279" spans="2:15" x14ac:dyDescent="0.25">
      <c r="B1279">
        <v>9564</v>
      </c>
      <c r="C1279" t="s">
        <v>25450</v>
      </c>
      <c r="D1279" t="s">
        <v>24355</v>
      </c>
      <c r="E1279">
        <v>25</v>
      </c>
      <c r="F1279">
        <v>97</v>
      </c>
      <c r="G1279">
        <v>198</v>
      </c>
      <c r="O1279" t="s">
        <v>4186</v>
      </c>
    </row>
    <row r="1280" spans="2:15" x14ac:dyDescent="0.25">
      <c r="B1280">
        <v>265504938</v>
      </c>
      <c r="C1280" t="s">
        <v>25451</v>
      </c>
      <c r="D1280" t="s">
        <v>24355</v>
      </c>
      <c r="E1280">
        <v>25</v>
      </c>
      <c r="F1280">
        <v>97</v>
      </c>
      <c r="G1280">
        <v>198</v>
      </c>
      <c r="O1280" t="s">
        <v>11860</v>
      </c>
    </row>
    <row r="1281" spans="2:15" x14ac:dyDescent="0.25">
      <c r="B1281">
        <v>9565</v>
      </c>
      <c r="C1281" t="s">
        <v>20474</v>
      </c>
      <c r="D1281" t="s">
        <v>23430</v>
      </c>
      <c r="E1281">
        <v>25</v>
      </c>
      <c r="F1281">
        <v>97</v>
      </c>
      <c r="G1281">
        <v>198</v>
      </c>
      <c r="N1281" t="s">
        <v>13136</v>
      </c>
    </row>
    <row r="1282" spans="2:15" x14ac:dyDescent="0.25">
      <c r="B1282">
        <v>9566</v>
      </c>
      <c r="C1282" t="s">
        <v>25448</v>
      </c>
      <c r="D1282" t="s">
        <v>23430</v>
      </c>
      <c r="E1282">
        <v>25</v>
      </c>
      <c r="F1282">
        <v>97</v>
      </c>
      <c r="G1282">
        <v>198</v>
      </c>
      <c r="O1282" t="s">
        <v>13138</v>
      </c>
    </row>
    <row r="1283" spans="2:15" x14ac:dyDescent="0.25">
      <c r="B1283">
        <v>9567</v>
      </c>
      <c r="C1283" t="s">
        <v>25449</v>
      </c>
      <c r="D1283" t="s">
        <v>23430</v>
      </c>
      <c r="E1283">
        <v>25</v>
      </c>
      <c r="F1283">
        <v>97</v>
      </c>
      <c r="G1283">
        <v>198</v>
      </c>
      <c r="O1283" t="s">
        <v>13140</v>
      </c>
    </row>
    <row r="1284" spans="2:15" x14ac:dyDescent="0.25">
      <c r="B1284">
        <v>9568</v>
      </c>
      <c r="C1284" t="s">
        <v>25450</v>
      </c>
      <c r="D1284" t="s">
        <v>23430</v>
      </c>
      <c r="E1284">
        <v>25</v>
      </c>
      <c r="F1284">
        <v>97</v>
      </c>
      <c r="G1284">
        <v>198</v>
      </c>
      <c r="O1284" t="s">
        <v>13142</v>
      </c>
    </row>
    <row r="1285" spans="2:15" x14ac:dyDescent="0.25">
      <c r="B1285">
        <v>265504942</v>
      </c>
      <c r="C1285" t="s">
        <v>25451</v>
      </c>
      <c r="D1285" t="s">
        <v>23430</v>
      </c>
      <c r="E1285">
        <v>25</v>
      </c>
      <c r="F1285">
        <v>97</v>
      </c>
      <c r="G1285">
        <v>198</v>
      </c>
      <c r="O1285" t="s">
        <v>11862</v>
      </c>
    </row>
    <row r="1286" spans="2:15" x14ac:dyDescent="0.25">
      <c r="B1286">
        <v>9569</v>
      </c>
      <c r="C1286" t="s">
        <v>17878</v>
      </c>
      <c r="E1286">
        <v>27</v>
      </c>
      <c r="F1286">
        <v>99</v>
      </c>
      <c r="G1286">
        <v>200</v>
      </c>
      <c r="M1286" t="s">
        <v>2411</v>
      </c>
    </row>
    <row r="1287" spans="2:15" x14ac:dyDescent="0.25">
      <c r="B1287">
        <v>9570</v>
      </c>
      <c r="C1287" t="s">
        <v>17878</v>
      </c>
      <c r="D1287" t="s">
        <v>24355</v>
      </c>
      <c r="E1287">
        <v>27</v>
      </c>
      <c r="F1287">
        <v>99</v>
      </c>
      <c r="G1287">
        <v>200</v>
      </c>
      <c r="N1287" t="s">
        <v>13144</v>
      </c>
    </row>
    <row r="1288" spans="2:15" x14ac:dyDescent="0.25">
      <c r="B1288">
        <v>9571</v>
      </c>
      <c r="C1288" t="s">
        <v>17878</v>
      </c>
      <c r="D1288" t="s">
        <v>23430</v>
      </c>
      <c r="E1288">
        <v>27</v>
      </c>
      <c r="F1288">
        <v>99</v>
      </c>
      <c r="G1288">
        <v>200</v>
      </c>
      <c r="N1288" t="s">
        <v>13146</v>
      </c>
    </row>
    <row r="1289" spans="2:15" x14ac:dyDescent="0.25">
      <c r="B1289">
        <v>9572</v>
      </c>
      <c r="C1289" t="s">
        <v>20726</v>
      </c>
      <c r="E1289">
        <v>29</v>
      </c>
      <c r="F1289">
        <v>101</v>
      </c>
      <c r="G1289">
        <v>202</v>
      </c>
      <c r="M1289" t="s">
        <v>3260</v>
      </c>
    </row>
    <row r="1290" spans="2:15" x14ac:dyDescent="0.25">
      <c r="B1290">
        <v>9573</v>
      </c>
      <c r="C1290" t="s">
        <v>20726</v>
      </c>
      <c r="D1290" t="s">
        <v>24355</v>
      </c>
      <c r="E1290">
        <v>29</v>
      </c>
      <c r="F1290">
        <v>101</v>
      </c>
      <c r="G1290">
        <v>202</v>
      </c>
      <c r="N1290" t="s">
        <v>13148</v>
      </c>
    </row>
    <row r="1291" spans="2:15" x14ac:dyDescent="0.25">
      <c r="B1291">
        <v>9574</v>
      </c>
      <c r="C1291" t="s">
        <v>20726</v>
      </c>
      <c r="D1291" t="s">
        <v>23430</v>
      </c>
      <c r="E1291">
        <v>29</v>
      </c>
      <c r="F1291">
        <v>101</v>
      </c>
      <c r="G1291">
        <v>202</v>
      </c>
      <c r="N1291" t="s">
        <v>13150</v>
      </c>
    </row>
    <row r="1292" spans="2:15" x14ac:dyDescent="0.25">
      <c r="B1292">
        <v>9575</v>
      </c>
      <c r="C1292" t="s">
        <v>25452</v>
      </c>
      <c r="E1292">
        <v>31</v>
      </c>
      <c r="F1292">
        <v>103</v>
      </c>
      <c r="G1292">
        <v>204</v>
      </c>
      <c r="M1292" t="s">
        <v>7621</v>
      </c>
    </row>
    <row r="1293" spans="2:15" x14ac:dyDescent="0.25">
      <c r="B1293">
        <v>9576</v>
      </c>
      <c r="C1293" t="s">
        <v>25452</v>
      </c>
      <c r="D1293" t="s">
        <v>24355</v>
      </c>
      <c r="E1293">
        <v>31</v>
      </c>
      <c r="F1293">
        <v>103</v>
      </c>
      <c r="G1293">
        <v>204</v>
      </c>
      <c r="N1293" t="s">
        <v>13153</v>
      </c>
    </row>
    <row r="1294" spans="2:15" x14ac:dyDescent="0.25">
      <c r="B1294">
        <v>9577</v>
      </c>
      <c r="C1294" t="s">
        <v>25452</v>
      </c>
      <c r="D1294" t="s">
        <v>23430</v>
      </c>
      <c r="E1294">
        <v>31</v>
      </c>
      <c r="F1294">
        <v>103</v>
      </c>
      <c r="G1294">
        <v>204</v>
      </c>
      <c r="N1294" t="s">
        <v>13155</v>
      </c>
    </row>
    <row r="1295" spans="2:15" x14ac:dyDescent="0.25">
      <c r="B1295">
        <v>9578</v>
      </c>
      <c r="C1295" t="s">
        <v>16484</v>
      </c>
      <c r="E1295">
        <v>33</v>
      </c>
      <c r="F1295">
        <v>105</v>
      </c>
      <c r="G1295">
        <v>206</v>
      </c>
      <c r="M1295" t="s">
        <v>1135</v>
      </c>
    </row>
    <row r="1296" spans="2:15" x14ac:dyDescent="0.25">
      <c r="B1296">
        <v>9579</v>
      </c>
      <c r="C1296" t="s">
        <v>16484</v>
      </c>
      <c r="D1296" t="s">
        <v>24355</v>
      </c>
      <c r="E1296">
        <v>33</v>
      </c>
      <c r="F1296">
        <v>105</v>
      </c>
      <c r="G1296">
        <v>206</v>
      </c>
      <c r="N1296" t="s">
        <v>13157</v>
      </c>
    </row>
    <row r="1297" spans="2:16" x14ac:dyDescent="0.25">
      <c r="B1297">
        <v>9580</v>
      </c>
      <c r="C1297" t="s">
        <v>16484</v>
      </c>
      <c r="D1297" t="s">
        <v>23430</v>
      </c>
      <c r="E1297">
        <v>33</v>
      </c>
      <c r="F1297">
        <v>105</v>
      </c>
      <c r="G1297">
        <v>206</v>
      </c>
      <c r="N1297" t="s">
        <v>13159</v>
      </c>
    </row>
    <row r="1298" spans="2:16" x14ac:dyDescent="0.25">
      <c r="B1298">
        <v>9581</v>
      </c>
      <c r="C1298" t="s">
        <v>24357</v>
      </c>
      <c r="E1298">
        <v>35</v>
      </c>
      <c r="F1298">
        <v>107</v>
      </c>
      <c r="G1298">
        <v>208</v>
      </c>
      <c r="M1298" t="s">
        <v>2683</v>
      </c>
    </row>
    <row r="1299" spans="2:16" x14ac:dyDescent="0.25">
      <c r="B1299">
        <v>9582</v>
      </c>
      <c r="C1299" t="s">
        <v>24357</v>
      </c>
      <c r="D1299" t="s">
        <v>24355</v>
      </c>
      <c r="E1299">
        <v>35</v>
      </c>
      <c r="F1299">
        <v>107</v>
      </c>
      <c r="G1299">
        <v>208</v>
      </c>
      <c r="N1299" t="s">
        <v>13161</v>
      </c>
    </row>
    <row r="1300" spans="2:16" x14ac:dyDescent="0.25">
      <c r="B1300">
        <v>9583</v>
      </c>
      <c r="C1300" t="s">
        <v>24357</v>
      </c>
      <c r="D1300" t="s">
        <v>23430</v>
      </c>
      <c r="E1300">
        <v>35</v>
      </c>
      <c r="F1300">
        <v>107</v>
      </c>
      <c r="G1300">
        <v>208</v>
      </c>
      <c r="N1300" t="s">
        <v>13163</v>
      </c>
    </row>
    <row r="1301" spans="2:16" x14ac:dyDescent="0.25">
      <c r="B1301">
        <v>9584</v>
      </c>
      <c r="C1301" t="s">
        <v>24358</v>
      </c>
      <c r="E1301">
        <v>37</v>
      </c>
      <c r="F1301">
        <v>109</v>
      </c>
      <c r="G1301">
        <v>210</v>
      </c>
      <c r="M1301" t="s">
        <v>3000</v>
      </c>
    </row>
    <row r="1302" spans="2:16" x14ac:dyDescent="0.25">
      <c r="B1302">
        <v>9585</v>
      </c>
      <c r="C1302" t="s">
        <v>24358</v>
      </c>
      <c r="D1302" t="s">
        <v>24355</v>
      </c>
      <c r="E1302">
        <v>37</v>
      </c>
      <c r="F1302">
        <v>109</v>
      </c>
      <c r="G1302">
        <v>210</v>
      </c>
      <c r="N1302" t="s">
        <v>13165</v>
      </c>
    </row>
    <row r="1303" spans="2:16" x14ac:dyDescent="0.25">
      <c r="B1303">
        <v>9586</v>
      </c>
      <c r="C1303" t="s">
        <v>24358</v>
      </c>
      <c r="D1303" t="s">
        <v>23430</v>
      </c>
      <c r="E1303">
        <v>37</v>
      </c>
      <c r="F1303">
        <v>109</v>
      </c>
      <c r="G1303">
        <v>210</v>
      </c>
      <c r="N1303" t="s">
        <v>13167</v>
      </c>
    </row>
    <row r="1304" spans="2:16" x14ac:dyDescent="0.25">
      <c r="B1304">
        <v>9587</v>
      </c>
      <c r="C1304" t="s">
        <v>25453</v>
      </c>
      <c r="E1304">
        <v>39</v>
      </c>
      <c r="F1304">
        <v>111</v>
      </c>
      <c r="G1304">
        <v>212</v>
      </c>
      <c r="M1304" t="s">
        <v>3071</v>
      </c>
    </row>
    <row r="1305" spans="2:16" x14ac:dyDescent="0.25">
      <c r="B1305">
        <v>9588</v>
      </c>
      <c r="C1305" t="s">
        <v>25454</v>
      </c>
      <c r="E1305">
        <v>39</v>
      </c>
      <c r="F1305">
        <v>111</v>
      </c>
      <c r="G1305">
        <v>212</v>
      </c>
      <c r="N1305" t="s">
        <v>968</v>
      </c>
    </row>
    <row r="1306" spans="2:16" x14ac:dyDescent="0.25">
      <c r="B1306">
        <v>9589</v>
      </c>
      <c r="C1306" t="s">
        <v>25454</v>
      </c>
      <c r="D1306" t="s">
        <v>24355</v>
      </c>
      <c r="E1306">
        <v>39</v>
      </c>
      <c r="F1306">
        <v>111</v>
      </c>
      <c r="G1306">
        <v>212</v>
      </c>
      <c r="O1306" t="s">
        <v>13169</v>
      </c>
    </row>
    <row r="1307" spans="2:16" x14ac:dyDescent="0.25">
      <c r="B1307">
        <v>9590</v>
      </c>
      <c r="C1307" t="s">
        <v>25455</v>
      </c>
      <c r="D1307" t="s">
        <v>24355</v>
      </c>
      <c r="E1307">
        <v>39</v>
      </c>
      <c r="F1307">
        <v>111</v>
      </c>
      <c r="G1307">
        <v>212</v>
      </c>
      <c r="P1307" t="s">
        <v>13171</v>
      </c>
    </row>
    <row r="1308" spans="2:16" x14ac:dyDescent="0.25">
      <c r="B1308">
        <v>9591</v>
      </c>
      <c r="C1308" t="s">
        <v>25456</v>
      </c>
      <c r="D1308" t="s">
        <v>24355</v>
      </c>
      <c r="E1308">
        <v>39</v>
      </c>
      <c r="F1308">
        <v>111</v>
      </c>
      <c r="G1308">
        <v>212</v>
      </c>
      <c r="P1308" t="s">
        <v>13173</v>
      </c>
    </row>
    <row r="1309" spans="2:16" x14ac:dyDescent="0.25">
      <c r="B1309">
        <v>9592</v>
      </c>
      <c r="C1309" t="s">
        <v>25457</v>
      </c>
      <c r="D1309" t="s">
        <v>24355</v>
      </c>
      <c r="E1309">
        <v>39</v>
      </c>
      <c r="F1309">
        <v>111</v>
      </c>
      <c r="G1309">
        <v>212</v>
      </c>
      <c r="P1309" t="s">
        <v>13175</v>
      </c>
    </row>
    <row r="1310" spans="2:16" x14ac:dyDescent="0.25">
      <c r="B1310">
        <v>9611</v>
      </c>
      <c r="C1310" t="s">
        <v>25458</v>
      </c>
      <c r="D1310" t="s">
        <v>24355</v>
      </c>
      <c r="E1310">
        <v>39</v>
      </c>
      <c r="F1310">
        <v>111</v>
      </c>
      <c r="G1310">
        <v>212</v>
      </c>
      <c r="P1310" t="s">
        <v>1128</v>
      </c>
    </row>
    <row r="1311" spans="2:16" x14ac:dyDescent="0.25">
      <c r="B1311">
        <v>9593</v>
      </c>
      <c r="C1311" t="s">
        <v>25454</v>
      </c>
      <c r="D1311" t="s">
        <v>23430</v>
      </c>
      <c r="E1311">
        <v>39</v>
      </c>
      <c r="F1311">
        <v>111</v>
      </c>
      <c r="G1311">
        <v>212</v>
      </c>
      <c r="O1311" t="s">
        <v>13177</v>
      </c>
    </row>
    <row r="1312" spans="2:16" x14ac:dyDescent="0.25">
      <c r="B1312">
        <v>9594</v>
      </c>
      <c r="C1312" t="s">
        <v>25455</v>
      </c>
      <c r="D1312" t="s">
        <v>23430</v>
      </c>
      <c r="E1312">
        <v>39</v>
      </c>
      <c r="F1312">
        <v>111</v>
      </c>
      <c r="G1312">
        <v>212</v>
      </c>
      <c r="P1312" t="s">
        <v>13179</v>
      </c>
    </row>
    <row r="1313" spans="2:16" x14ac:dyDescent="0.25">
      <c r="B1313">
        <v>9595</v>
      </c>
      <c r="C1313" t="s">
        <v>25456</v>
      </c>
      <c r="D1313" t="s">
        <v>23430</v>
      </c>
      <c r="E1313">
        <v>39</v>
      </c>
      <c r="F1313">
        <v>111</v>
      </c>
      <c r="G1313">
        <v>212</v>
      </c>
      <c r="P1313" t="s">
        <v>13181</v>
      </c>
    </row>
    <row r="1314" spans="2:16" x14ac:dyDescent="0.25">
      <c r="B1314">
        <v>9596</v>
      </c>
      <c r="C1314" t="s">
        <v>25457</v>
      </c>
      <c r="D1314" t="s">
        <v>23430</v>
      </c>
      <c r="E1314">
        <v>39</v>
      </c>
      <c r="F1314">
        <v>111</v>
      </c>
      <c r="G1314">
        <v>212</v>
      </c>
      <c r="P1314" t="s">
        <v>13183</v>
      </c>
    </row>
    <row r="1315" spans="2:16" x14ac:dyDescent="0.25">
      <c r="B1315">
        <v>9612</v>
      </c>
      <c r="C1315" t="s">
        <v>25458</v>
      </c>
      <c r="D1315" t="s">
        <v>23430</v>
      </c>
      <c r="E1315">
        <v>39</v>
      </c>
      <c r="F1315">
        <v>111</v>
      </c>
      <c r="G1315">
        <v>212</v>
      </c>
      <c r="P1315" t="s">
        <v>13203</v>
      </c>
    </row>
    <row r="1316" spans="2:16" x14ac:dyDescent="0.25">
      <c r="B1316">
        <v>9597</v>
      </c>
      <c r="C1316" t="s">
        <v>24452</v>
      </c>
      <c r="E1316">
        <v>39</v>
      </c>
      <c r="F1316">
        <v>111</v>
      </c>
      <c r="G1316">
        <v>212</v>
      </c>
      <c r="N1316" t="s">
        <v>2072</v>
      </c>
    </row>
    <row r="1317" spans="2:16" x14ac:dyDescent="0.25">
      <c r="B1317">
        <v>9598</v>
      </c>
      <c r="C1317" t="s">
        <v>24452</v>
      </c>
      <c r="D1317" t="s">
        <v>24355</v>
      </c>
      <c r="E1317">
        <v>39</v>
      </c>
      <c r="F1317">
        <v>111</v>
      </c>
      <c r="G1317">
        <v>212</v>
      </c>
      <c r="O1317" t="s">
        <v>13185</v>
      </c>
    </row>
    <row r="1318" spans="2:16" x14ac:dyDescent="0.25">
      <c r="B1318">
        <v>9600</v>
      </c>
      <c r="C1318" t="s">
        <v>24457</v>
      </c>
      <c r="D1318" t="s">
        <v>24355</v>
      </c>
      <c r="E1318">
        <v>39</v>
      </c>
      <c r="F1318">
        <v>111</v>
      </c>
      <c r="G1318">
        <v>212</v>
      </c>
      <c r="P1318" t="s">
        <v>1576</v>
      </c>
    </row>
    <row r="1319" spans="2:16" x14ac:dyDescent="0.25">
      <c r="B1319">
        <v>9601</v>
      </c>
      <c r="C1319" t="s">
        <v>24454</v>
      </c>
      <c r="D1319" t="s">
        <v>24355</v>
      </c>
      <c r="E1319">
        <v>39</v>
      </c>
      <c r="F1319">
        <v>111</v>
      </c>
      <c r="G1319">
        <v>212</v>
      </c>
      <c r="P1319" t="s">
        <v>2668</v>
      </c>
    </row>
    <row r="1320" spans="2:16" x14ac:dyDescent="0.25">
      <c r="B1320">
        <v>9602</v>
      </c>
      <c r="C1320" t="s">
        <v>25459</v>
      </c>
      <c r="D1320" t="s">
        <v>24355</v>
      </c>
      <c r="E1320">
        <v>39</v>
      </c>
      <c r="F1320">
        <v>111</v>
      </c>
      <c r="G1320">
        <v>212</v>
      </c>
      <c r="P1320" t="s">
        <v>2074</v>
      </c>
    </row>
    <row r="1321" spans="2:16" x14ac:dyDescent="0.25">
      <c r="B1321">
        <v>9603</v>
      </c>
      <c r="C1321" t="s">
        <v>25460</v>
      </c>
      <c r="D1321" t="s">
        <v>24355</v>
      </c>
      <c r="E1321">
        <v>39</v>
      </c>
      <c r="F1321">
        <v>111</v>
      </c>
      <c r="G1321">
        <v>212</v>
      </c>
      <c r="P1321" t="s">
        <v>13189</v>
      </c>
    </row>
    <row r="1322" spans="2:16" x14ac:dyDescent="0.25">
      <c r="B1322">
        <v>9599</v>
      </c>
      <c r="C1322" t="s">
        <v>25461</v>
      </c>
      <c r="D1322" t="s">
        <v>24355</v>
      </c>
      <c r="E1322">
        <v>39</v>
      </c>
      <c r="F1322">
        <v>111</v>
      </c>
      <c r="G1322">
        <v>212</v>
      </c>
      <c r="P1322" t="s">
        <v>13187</v>
      </c>
    </row>
    <row r="1323" spans="2:16" x14ac:dyDescent="0.25">
      <c r="B1323">
        <v>9604</v>
      </c>
      <c r="C1323" t="s">
        <v>24452</v>
      </c>
      <c r="D1323" t="s">
        <v>23430</v>
      </c>
      <c r="E1323">
        <v>39</v>
      </c>
      <c r="F1323">
        <v>111</v>
      </c>
      <c r="G1323">
        <v>212</v>
      </c>
      <c r="O1323" t="s">
        <v>13191</v>
      </c>
    </row>
    <row r="1324" spans="2:16" x14ac:dyDescent="0.25">
      <c r="B1324">
        <v>9606</v>
      </c>
      <c r="C1324" t="s">
        <v>24457</v>
      </c>
      <c r="D1324" t="s">
        <v>23430</v>
      </c>
      <c r="E1324">
        <v>39</v>
      </c>
      <c r="F1324">
        <v>111</v>
      </c>
      <c r="G1324">
        <v>212</v>
      </c>
      <c r="P1324" t="s">
        <v>13195</v>
      </c>
    </row>
    <row r="1325" spans="2:16" x14ac:dyDescent="0.25">
      <c r="B1325">
        <v>9607</v>
      </c>
      <c r="C1325" t="s">
        <v>24454</v>
      </c>
      <c r="D1325" t="s">
        <v>23430</v>
      </c>
      <c r="E1325">
        <v>39</v>
      </c>
      <c r="F1325">
        <v>111</v>
      </c>
      <c r="G1325">
        <v>212</v>
      </c>
      <c r="P1325" t="s">
        <v>13197</v>
      </c>
    </row>
    <row r="1326" spans="2:16" x14ac:dyDescent="0.25">
      <c r="B1326">
        <v>9608</v>
      </c>
      <c r="C1326" t="s">
        <v>25459</v>
      </c>
      <c r="D1326" t="s">
        <v>23430</v>
      </c>
      <c r="E1326">
        <v>39</v>
      </c>
      <c r="F1326">
        <v>111</v>
      </c>
      <c r="G1326">
        <v>212</v>
      </c>
      <c r="P1326" t="s">
        <v>13199</v>
      </c>
    </row>
    <row r="1327" spans="2:16" x14ac:dyDescent="0.25">
      <c r="B1327">
        <v>9609</v>
      </c>
      <c r="C1327" t="s">
        <v>25460</v>
      </c>
      <c r="D1327" t="s">
        <v>23430</v>
      </c>
      <c r="E1327">
        <v>39</v>
      </c>
      <c r="F1327">
        <v>111</v>
      </c>
      <c r="G1327">
        <v>212</v>
      </c>
      <c r="P1327" t="s">
        <v>13201</v>
      </c>
    </row>
    <row r="1328" spans="2:16" x14ac:dyDescent="0.25">
      <c r="B1328">
        <v>9605</v>
      </c>
      <c r="C1328" t="s">
        <v>25461</v>
      </c>
      <c r="D1328" t="s">
        <v>23430</v>
      </c>
      <c r="E1328">
        <v>39</v>
      </c>
      <c r="F1328">
        <v>111</v>
      </c>
      <c r="G1328">
        <v>212</v>
      </c>
      <c r="P1328" t="s">
        <v>13193</v>
      </c>
    </row>
    <row r="1329" spans="2:16" x14ac:dyDescent="0.25">
      <c r="B1329">
        <v>9613</v>
      </c>
      <c r="C1329" t="s">
        <v>24459</v>
      </c>
      <c r="E1329">
        <v>39</v>
      </c>
      <c r="F1329">
        <v>111</v>
      </c>
      <c r="G1329">
        <v>212</v>
      </c>
      <c r="N1329" t="s">
        <v>2626</v>
      </c>
    </row>
    <row r="1330" spans="2:16" x14ac:dyDescent="0.25">
      <c r="B1330">
        <v>9614</v>
      </c>
      <c r="C1330" t="s">
        <v>24459</v>
      </c>
      <c r="D1330" t="s">
        <v>24355</v>
      </c>
      <c r="E1330">
        <v>39</v>
      </c>
      <c r="F1330">
        <v>111</v>
      </c>
      <c r="G1330">
        <v>212</v>
      </c>
      <c r="O1330" t="s">
        <v>13205</v>
      </c>
    </row>
    <row r="1331" spans="2:16" x14ac:dyDescent="0.25">
      <c r="B1331">
        <v>9615</v>
      </c>
      <c r="C1331" t="s">
        <v>22860</v>
      </c>
      <c r="D1331" t="s">
        <v>24355</v>
      </c>
      <c r="E1331">
        <v>39</v>
      </c>
      <c r="F1331">
        <v>111</v>
      </c>
      <c r="G1331">
        <v>212</v>
      </c>
      <c r="P1331" t="s">
        <v>13207</v>
      </c>
    </row>
    <row r="1332" spans="2:16" x14ac:dyDescent="0.25">
      <c r="B1332">
        <v>9616</v>
      </c>
      <c r="C1332" t="s">
        <v>24460</v>
      </c>
      <c r="D1332" t="s">
        <v>24355</v>
      </c>
      <c r="E1332">
        <v>39</v>
      </c>
      <c r="F1332">
        <v>111</v>
      </c>
      <c r="G1332">
        <v>212</v>
      </c>
      <c r="P1332" t="s">
        <v>2707</v>
      </c>
    </row>
    <row r="1333" spans="2:16" x14ac:dyDescent="0.25">
      <c r="B1333">
        <v>9618</v>
      </c>
      <c r="C1333" t="s">
        <v>24462</v>
      </c>
      <c r="D1333" t="s">
        <v>24355</v>
      </c>
      <c r="E1333">
        <v>39</v>
      </c>
      <c r="F1333">
        <v>111</v>
      </c>
      <c r="G1333">
        <v>212</v>
      </c>
      <c r="P1333" t="s">
        <v>13211</v>
      </c>
    </row>
    <row r="1334" spans="2:16" x14ac:dyDescent="0.25">
      <c r="B1334">
        <v>9617</v>
      </c>
      <c r="C1334" t="s">
        <v>24463</v>
      </c>
      <c r="D1334" t="s">
        <v>24355</v>
      </c>
      <c r="E1334">
        <v>39</v>
      </c>
      <c r="F1334">
        <v>111</v>
      </c>
      <c r="G1334">
        <v>212</v>
      </c>
      <c r="P1334" t="s">
        <v>13209</v>
      </c>
    </row>
    <row r="1335" spans="2:16" x14ac:dyDescent="0.25">
      <c r="B1335">
        <v>9619</v>
      </c>
      <c r="C1335" t="s">
        <v>24459</v>
      </c>
      <c r="D1335" t="s">
        <v>23430</v>
      </c>
      <c r="E1335">
        <v>39</v>
      </c>
      <c r="F1335">
        <v>111</v>
      </c>
      <c r="G1335">
        <v>212</v>
      </c>
      <c r="O1335" t="s">
        <v>13213</v>
      </c>
    </row>
    <row r="1336" spans="2:16" x14ac:dyDescent="0.25">
      <c r="B1336">
        <v>9620</v>
      </c>
      <c r="C1336" t="s">
        <v>22860</v>
      </c>
      <c r="D1336" t="s">
        <v>23430</v>
      </c>
      <c r="E1336">
        <v>39</v>
      </c>
      <c r="F1336">
        <v>111</v>
      </c>
      <c r="G1336">
        <v>212</v>
      </c>
      <c r="P1336" t="s">
        <v>13215</v>
      </c>
    </row>
    <row r="1337" spans="2:16" x14ac:dyDescent="0.25">
      <c r="B1337">
        <v>9621</v>
      </c>
      <c r="C1337" t="s">
        <v>24460</v>
      </c>
      <c r="D1337" t="s">
        <v>23430</v>
      </c>
      <c r="E1337">
        <v>39</v>
      </c>
      <c r="F1337">
        <v>111</v>
      </c>
      <c r="G1337">
        <v>212</v>
      </c>
      <c r="P1337" t="s">
        <v>13217</v>
      </c>
    </row>
    <row r="1338" spans="2:16" x14ac:dyDescent="0.25">
      <c r="B1338">
        <v>9623</v>
      </c>
      <c r="C1338" t="s">
        <v>24462</v>
      </c>
      <c r="D1338" t="s">
        <v>23430</v>
      </c>
      <c r="E1338">
        <v>39</v>
      </c>
      <c r="F1338">
        <v>111</v>
      </c>
      <c r="G1338">
        <v>212</v>
      </c>
      <c r="P1338" t="s">
        <v>13221</v>
      </c>
    </row>
    <row r="1339" spans="2:16" x14ac:dyDescent="0.25">
      <c r="B1339">
        <v>9622</v>
      </c>
      <c r="C1339" t="s">
        <v>24463</v>
      </c>
      <c r="D1339" t="s">
        <v>23430</v>
      </c>
      <c r="E1339">
        <v>39</v>
      </c>
      <c r="F1339">
        <v>111</v>
      </c>
      <c r="G1339">
        <v>212</v>
      </c>
      <c r="P1339" t="s">
        <v>13219</v>
      </c>
    </row>
    <row r="1340" spans="2:16" x14ac:dyDescent="0.25">
      <c r="B1340">
        <v>9624</v>
      </c>
      <c r="C1340" t="s">
        <v>24467</v>
      </c>
      <c r="E1340">
        <v>39</v>
      </c>
      <c r="F1340">
        <v>111</v>
      </c>
      <c r="G1340">
        <v>212</v>
      </c>
      <c r="N1340" t="s">
        <v>3772</v>
      </c>
    </row>
    <row r="1341" spans="2:16" x14ac:dyDescent="0.25">
      <c r="B1341">
        <v>9625</v>
      </c>
      <c r="C1341" t="s">
        <v>24467</v>
      </c>
      <c r="D1341" t="s">
        <v>24355</v>
      </c>
      <c r="E1341">
        <v>39</v>
      </c>
      <c r="F1341">
        <v>111</v>
      </c>
      <c r="G1341">
        <v>212</v>
      </c>
      <c r="O1341" t="s">
        <v>13223</v>
      </c>
    </row>
    <row r="1342" spans="2:16" x14ac:dyDescent="0.25">
      <c r="B1342">
        <v>9626</v>
      </c>
      <c r="C1342" t="s">
        <v>24467</v>
      </c>
      <c r="D1342" t="s">
        <v>23430</v>
      </c>
      <c r="E1342">
        <v>39</v>
      </c>
      <c r="F1342">
        <v>111</v>
      </c>
      <c r="G1342">
        <v>212</v>
      </c>
      <c r="O1342" t="s">
        <v>13225</v>
      </c>
    </row>
    <row r="1343" spans="2:16" x14ac:dyDescent="0.25">
      <c r="B1343">
        <v>9627</v>
      </c>
      <c r="C1343" t="s">
        <v>24487</v>
      </c>
      <c r="E1343">
        <v>40</v>
      </c>
      <c r="F1343">
        <v>112</v>
      </c>
      <c r="G1343">
        <v>213</v>
      </c>
      <c r="M1343" t="s">
        <v>7627</v>
      </c>
    </row>
    <row r="1344" spans="2:16" x14ac:dyDescent="0.25">
      <c r="B1344">
        <v>9628</v>
      </c>
      <c r="C1344" t="s">
        <v>24487</v>
      </c>
      <c r="D1344" t="s">
        <v>24355</v>
      </c>
      <c r="E1344">
        <v>40</v>
      </c>
      <c r="F1344">
        <v>112</v>
      </c>
      <c r="G1344">
        <v>213</v>
      </c>
      <c r="N1344" t="s">
        <v>13228</v>
      </c>
    </row>
    <row r="1345" spans="2:15" x14ac:dyDescent="0.25">
      <c r="B1345">
        <v>9629</v>
      </c>
      <c r="C1345" t="s">
        <v>24487</v>
      </c>
      <c r="D1345" t="s">
        <v>23430</v>
      </c>
      <c r="E1345">
        <v>40</v>
      </c>
      <c r="F1345">
        <v>112</v>
      </c>
      <c r="G1345">
        <v>213</v>
      </c>
      <c r="N1345" t="s">
        <v>13230</v>
      </c>
    </row>
    <row r="1346" spans="2:15" x14ac:dyDescent="0.25">
      <c r="B1346">
        <v>9630</v>
      </c>
      <c r="C1346" t="s">
        <v>20445</v>
      </c>
      <c r="E1346">
        <v>42</v>
      </c>
      <c r="F1346">
        <v>114</v>
      </c>
      <c r="G1346">
        <v>215</v>
      </c>
      <c r="M1346" t="s">
        <v>3629</v>
      </c>
    </row>
    <row r="1347" spans="2:15" x14ac:dyDescent="0.25">
      <c r="B1347">
        <v>9631</v>
      </c>
      <c r="C1347" t="s">
        <v>20445</v>
      </c>
      <c r="D1347" t="s">
        <v>24355</v>
      </c>
      <c r="E1347">
        <v>42</v>
      </c>
      <c r="F1347">
        <v>114</v>
      </c>
      <c r="G1347">
        <v>215</v>
      </c>
      <c r="N1347" t="s">
        <v>13232</v>
      </c>
    </row>
    <row r="1348" spans="2:15" x14ac:dyDescent="0.25">
      <c r="B1348">
        <v>9632</v>
      </c>
      <c r="C1348" t="s">
        <v>20445</v>
      </c>
      <c r="D1348" t="s">
        <v>23430</v>
      </c>
      <c r="E1348">
        <v>42</v>
      </c>
      <c r="F1348">
        <v>114</v>
      </c>
      <c r="G1348">
        <v>215</v>
      </c>
      <c r="N1348" t="s">
        <v>13234</v>
      </c>
    </row>
    <row r="1349" spans="2:15" x14ac:dyDescent="0.25">
      <c r="B1349">
        <v>9633</v>
      </c>
      <c r="C1349" t="s">
        <v>24490</v>
      </c>
      <c r="E1349">
        <v>44</v>
      </c>
      <c r="F1349">
        <v>116</v>
      </c>
      <c r="G1349">
        <v>217</v>
      </c>
      <c r="M1349" t="s">
        <v>3818</v>
      </c>
    </row>
    <row r="1350" spans="2:15" x14ac:dyDescent="0.25">
      <c r="B1350">
        <v>9634</v>
      </c>
      <c r="C1350" t="s">
        <v>24490</v>
      </c>
      <c r="D1350" t="s">
        <v>24355</v>
      </c>
      <c r="E1350">
        <v>44</v>
      </c>
      <c r="F1350">
        <v>116</v>
      </c>
      <c r="G1350">
        <v>217</v>
      </c>
      <c r="N1350" t="s">
        <v>13236</v>
      </c>
    </row>
    <row r="1351" spans="2:15" x14ac:dyDescent="0.25">
      <c r="B1351">
        <v>9635</v>
      </c>
      <c r="C1351" t="s">
        <v>24490</v>
      </c>
      <c r="D1351" t="s">
        <v>23430</v>
      </c>
      <c r="E1351">
        <v>44</v>
      </c>
      <c r="F1351">
        <v>116</v>
      </c>
      <c r="G1351">
        <v>217</v>
      </c>
      <c r="N1351" t="s">
        <v>13238</v>
      </c>
    </row>
    <row r="1352" spans="2:15" x14ac:dyDescent="0.25">
      <c r="B1352">
        <v>9636</v>
      </c>
      <c r="C1352" t="s">
        <v>25462</v>
      </c>
      <c r="E1352">
        <v>46</v>
      </c>
      <c r="F1352">
        <v>118</v>
      </c>
      <c r="G1352">
        <v>219</v>
      </c>
      <c r="M1352" t="s">
        <v>3891</v>
      </c>
    </row>
    <row r="1353" spans="2:15" x14ac:dyDescent="0.25">
      <c r="B1353">
        <v>9637</v>
      </c>
      <c r="C1353" t="s">
        <v>25462</v>
      </c>
      <c r="D1353" t="s">
        <v>24355</v>
      </c>
      <c r="E1353">
        <v>46</v>
      </c>
      <c r="F1353">
        <v>118</v>
      </c>
      <c r="G1353">
        <v>219</v>
      </c>
      <c r="N1353" t="s">
        <v>13240</v>
      </c>
    </row>
    <row r="1354" spans="2:15" x14ac:dyDescent="0.25">
      <c r="B1354">
        <v>9638</v>
      </c>
      <c r="C1354" t="s">
        <v>25462</v>
      </c>
      <c r="D1354" t="s">
        <v>23430</v>
      </c>
      <c r="E1354">
        <v>46</v>
      </c>
      <c r="F1354">
        <v>118</v>
      </c>
      <c r="G1354">
        <v>219</v>
      </c>
      <c r="N1354" t="s">
        <v>13242</v>
      </c>
    </row>
    <row r="1355" spans="2:15" x14ac:dyDescent="0.25">
      <c r="B1355">
        <v>9639</v>
      </c>
      <c r="C1355" t="s">
        <v>25463</v>
      </c>
      <c r="E1355">
        <v>48</v>
      </c>
      <c r="F1355">
        <v>120</v>
      </c>
      <c r="G1355">
        <v>221</v>
      </c>
      <c r="M1355" t="s">
        <v>3350</v>
      </c>
    </row>
    <row r="1356" spans="2:15" x14ac:dyDescent="0.25">
      <c r="B1356">
        <v>9640</v>
      </c>
      <c r="C1356" t="s">
        <v>25463</v>
      </c>
      <c r="D1356" t="s">
        <v>24355</v>
      </c>
      <c r="E1356">
        <v>48</v>
      </c>
      <c r="F1356">
        <v>120</v>
      </c>
      <c r="G1356">
        <v>221</v>
      </c>
      <c r="N1356" t="s">
        <v>13244</v>
      </c>
    </row>
    <row r="1357" spans="2:15" x14ac:dyDescent="0.25">
      <c r="B1357">
        <v>9641</v>
      </c>
      <c r="C1357" t="s">
        <v>25463</v>
      </c>
      <c r="D1357" t="s">
        <v>23430</v>
      </c>
      <c r="E1357">
        <v>48</v>
      </c>
      <c r="F1357">
        <v>120</v>
      </c>
      <c r="G1357">
        <v>221</v>
      </c>
      <c r="N1357" t="s">
        <v>13246</v>
      </c>
    </row>
    <row r="1358" spans="2:15" x14ac:dyDescent="0.25">
      <c r="B1358">
        <v>9642</v>
      </c>
      <c r="C1358" t="s">
        <v>25464</v>
      </c>
      <c r="E1358">
        <v>50</v>
      </c>
      <c r="F1358">
        <v>122</v>
      </c>
      <c r="G1358">
        <v>223</v>
      </c>
      <c r="M1358" t="s">
        <v>3068</v>
      </c>
    </row>
    <row r="1359" spans="2:15" x14ac:dyDescent="0.25">
      <c r="B1359">
        <v>9643</v>
      </c>
      <c r="C1359" t="s">
        <v>24470</v>
      </c>
      <c r="E1359">
        <v>50</v>
      </c>
      <c r="F1359">
        <v>122</v>
      </c>
      <c r="G1359">
        <v>223</v>
      </c>
      <c r="N1359" t="s">
        <v>3357</v>
      </c>
    </row>
    <row r="1360" spans="2:15" x14ac:dyDescent="0.25">
      <c r="B1360">
        <v>9644</v>
      </c>
      <c r="C1360" t="s">
        <v>24470</v>
      </c>
      <c r="D1360" t="s">
        <v>24355</v>
      </c>
      <c r="E1360">
        <v>50</v>
      </c>
      <c r="F1360">
        <v>122</v>
      </c>
      <c r="G1360">
        <v>223</v>
      </c>
      <c r="O1360" t="s">
        <v>13248</v>
      </c>
    </row>
    <row r="1361" spans="2:15" x14ac:dyDescent="0.25">
      <c r="B1361">
        <v>9645</v>
      </c>
      <c r="C1361" t="s">
        <v>24470</v>
      </c>
      <c r="D1361" t="s">
        <v>23430</v>
      </c>
      <c r="E1361">
        <v>50</v>
      </c>
      <c r="F1361">
        <v>122</v>
      </c>
      <c r="G1361">
        <v>223</v>
      </c>
      <c r="O1361" t="s">
        <v>13250</v>
      </c>
    </row>
    <row r="1362" spans="2:15" x14ac:dyDescent="0.25">
      <c r="B1362">
        <v>9646</v>
      </c>
      <c r="C1362" t="s">
        <v>24471</v>
      </c>
      <c r="E1362">
        <v>50</v>
      </c>
      <c r="F1362">
        <v>122</v>
      </c>
      <c r="G1362">
        <v>223</v>
      </c>
      <c r="N1362" t="s">
        <v>3363</v>
      </c>
    </row>
    <row r="1363" spans="2:15" x14ac:dyDescent="0.25">
      <c r="B1363">
        <v>9647</v>
      </c>
      <c r="C1363" t="s">
        <v>24471</v>
      </c>
      <c r="D1363" t="s">
        <v>24355</v>
      </c>
      <c r="E1363">
        <v>50</v>
      </c>
      <c r="F1363">
        <v>122</v>
      </c>
      <c r="G1363">
        <v>223</v>
      </c>
      <c r="O1363" t="s">
        <v>13252</v>
      </c>
    </row>
    <row r="1364" spans="2:15" x14ac:dyDescent="0.25">
      <c r="B1364">
        <v>9648</v>
      </c>
      <c r="C1364" t="s">
        <v>24471</v>
      </c>
      <c r="D1364" t="s">
        <v>23430</v>
      </c>
      <c r="E1364">
        <v>50</v>
      </c>
      <c r="F1364">
        <v>122</v>
      </c>
      <c r="G1364">
        <v>223</v>
      </c>
      <c r="O1364" t="s">
        <v>13254</v>
      </c>
    </row>
    <row r="1365" spans="2:15" x14ac:dyDescent="0.25">
      <c r="B1365">
        <v>9649</v>
      </c>
      <c r="C1365" t="s">
        <v>15314</v>
      </c>
      <c r="E1365">
        <v>50</v>
      </c>
      <c r="F1365">
        <v>122</v>
      </c>
      <c r="G1365">
        <v>223</v>
      </c>
      <c r="N1365" t="s">
        <v>3369</v>
      </c>
    </row>
    <row r="1366" spans="2:15" x14ac:dyDescent="0.25">
      <c r="B1366">
        <v>265504950</v>
      </c>
      <c r="C1366" t="s">
        <v>25465</v>
      </c>
      <c r="E1366">
        <v>50</v>
      </c>
      <c r="F1366">
        <v>122</v>
      </c>
      <c r="G1366">
        <v>224</v>
      </c>
      <c r="N1366" t="s">
        <v>8267</v>
      </c>
    </row>
    <row r="1367" spans="2:15" x14ac:dyDescent="0.25">
      <c r="B1367">
        <v>265504954</v>
      </c>
      <c r="C1367" t="s">
        <v>25465</v>
      </c>
      <c r="D1367" t="s">
        <v>24355</v>
      </c>
      <c r="E1367">
        <v>50</v>
      </c>
      <c r="F1367">
        <v>122</v>
      </c>
      <c r="G1367">
        <v>224</v>
      </c>
      <c r="O1367" t="s">
        <v>11865</v>
      </c>
    </row>
    <row r="1368" spans="2:15" x14ac:dyDescent="0.25">
      <c r="B1368">
        <v>265504958</v>
      </c>
      <c r="C1368" t="s">
        <v>25465</v>
      </c>
      <c r="D1368" t="s">
        <v>23430</v>
      </c>
      <c r="E1368">
        <v>50</v>
      </c>
      <c r="F1368">
        <v>122</v>
      </c>
      <c r="G1368">
        <v>224</v>
      </c>
      <c r="O1368" t="s">
        <v>11867</v>
      </c>
    </row>
    <row r="1369" spans="2:15" x14ac:dyDescent="0.25">
      <c r="B1369">
        <v>9650</v>
      </c>
      <c r="C1369" t="s">
        <v>25466</v>
      </c>
      <c r="E1369">
        <v>52</v>
      </c>
      <c r="F1369">
        <v>124</v>
      </c>
      <c r="G1369">
        <v>225</v>
      </c>
      <c r="M1369" t="s">
        <v>4714</v>
      </c>
    </row>
    <row r="1370" spans="2:15" x14ac:dyDescent="0.25">
      <c r="B1370">
        <v>9651</v>
      </c>
      <c r="C1370" t="s">
        <v>25466</v>
      </c>
      <c r="D1370" t="s">
        <v>24355</v>
      </c>
      <c r="E1370">
        <v>52</v>
      </c>
      <c r="F1370">
        <v>124</v>
      </c>
      <c r="G1370">
        <v>225</v>
      </c>
      <c r="N1370" t="s">
        <v>13256</v>
      </c>
    </row>
    <row r="1371" spans="2:15" x14ac:dyDescent="0.25">
      <c r="B1371">
        <v>9652</v>
      </c>
      <c r="C1371" t="s">
        <v>25466</v>
      </c>
      <c r="D1371" t="s">
        <v>23430</v>
      </c>
      <c r="E1371">
        <v>52</v>
      </c>
      <c r="F1371">
        <v>124</v>
      </c>
      <c r="G1371">
        <v>225</v>
      </c>
      <c r="N1371" t="s">
        <v>13258</v>
      </c>
    </row>
    <row r="1372" spans="2:15" x14ac:dyDescent="0.25">
      <c r="B1372">
        <v>9653</v>
      </c>
      <c r="C1372" t="s">
        <v>24390</v>
      </c>
      <c r="E1372">
        <v>54</v>
      </c>
      <c r="F1372">
        <v>126</v>
      </c>
      <c r="G1372">
        <v>227</v>
      </c>
      <c r="M1372" t="s">
        <v>3312</v>
      </c>
    </row>
    <row r="1373" spans="2:15" x14ac:dyDescent="0.25">
      <c r="B1373">
        <v>9654</v>
      </c>
      <c r="C1373" t="s">
        <v>24390</v>
      </c>
      <c r="D1373" t="s">
        <v>24355</v>
      </c>
      <c r="E1373">
        <v>54</v>
      </c>
      <c r="F1373">
        <v>126</v>
      </c>
      <c r="G1373">
        <v>227</v>
      </c>
      <c r="N1373" t="s">
        <v>13260</v>
      </c>
    </row>
    <row r="1374" spans="2:15" x14ac:dyDescent="0.25">
      <c r="B1374">
        <v>9655</v>
      </c>
      <c r="C1374" t="s">
        <v>24391</v>
      </c>
      <c r="D1374" t="s">
        <v>24355</v>
      </c>
      <c r="E1374">
        <v>54</v>
      </c>
      <c r="F1374">
        <v>126</v>
      </c>
      <c r="G1374">
        <v>227</v>
      </c>
      <c r="O1374" t="s">
        <v>13262</v>
      </c>
    </row>
    <row r="1375" spans="2:15" x14ac:dyDescent="0.25">
      <c r="B1375">
        <v>9656</v>
      </c>
      <c r="C1375" t="s">
        <v>24392</v>
      </c>
      <c r="D1375" t="s">
        <v>24355</v>
      </c>
      <c r="E1375">
        <v>54</v>
      </c>
      <c r="F1375">
        <v>126</v>
      </c>
      <c r="G1375">
        <v>227</v>
      </c>
      <c r="O1375" t="s">
        <v>13264</v>
      </c>
    </row>
    <row r="1376" spans="2:15" x14ac:dyDescent="0.25">
      <c r="B1376">
        <v>9657</v>
      </c>
      <c r="C1376" t="s">
        <v>24393</v>
      </c>
      <c r="D1376" t="s">
        <v>24355</v>
      </c>
      <c r="E1376">
        <v>54</v>
      </c>
      <c r="F1376">
        <v>126</v>
      </c>
      <c r="G1376">
        <v>227</v>
      </c>
      <c r="O1376" t="s">
        <v>13266</v>
      </c>
    </row>
    <row r="1377" spans="2:15" x14ac:dyDescent="0.25">
      <c r="B1377">
        <v>9658</v>
      </c>
      <c r="C1377" t="s">
        <v>24394</v>
      </c>
      <c r="D1377" t="s">
        <v>24355</v>
      </c>
      <c r="E1377">
        <v>54</v>
      </c>
      <c r="F1377">
        <v>126</v>
      </c>
      <c r="G1377">
        <v>227</v>
      </c>
      <c r="O1377" t="s">
        <v>13268</v>
      </c>
    </row>
    <row r="1378" spans="2:15" x14ac:dyDescent="0.25">
      <c r="B1378">
        <v>9659</v>
      </c>
      <c r="C1378" t="s">
        <v>24396</v>
      </c>
      <c r="D1378" t="s">
        <v>24355</v>
      </c>
      <c r="E1378">
        <v>54</v>
      </c>
      <c r="F1378">
        <v>126</v>
      </c>
      <c r="G1378">
        <v>227</v>
      </c>
      <c r="O1378" t="s">
        <v>13270</v>
      </c>
    </row>
    <row r="1379" spans="2:15" x14ac:dyDescent="0.25">
      <c r="B1379">
        <v>9660</v>
      </c>
      <c r="C1379" t="s">
        <v>24395</v>
      </c>
      <c r="D1379" t="s">
        <v>24355</v>
      </c>
      <c r="E1379">
        <v>54</v>
      </c>
      <c r="F1379">
        <v>126</v>
      </c>
      <c r="G1379">
        <v>227</v>
      </c>
      <c r="O1379" t="s">
        <v>13272</v>
      </c>
    </row>
    <row r="1380" spans="2:15" x14ac:dyDescent="0.25">
      <c r="B1380">
        <v>9661</v>
      </c>
      <c r="C1380" t="s">
        <v>24399</v>
      </c>
      <c r="D1380" t="s">
        <v>24355</v>
      </c>
      <c r="E1380">
        <v>54</v>
      </c>
      <c r="F1380">
        <v>126</v>
      </c>
      <c r="G1380">
        <v>227</v>
      </c>
      <c r="O1380" t="s">
        <v>3031</v>
      </c>
    </row>
    <row r="1381" spans="2:15" x14ac:dyDescent="0.25">
      <c r="B1381">
        <v>9662</v>
      </c>
      <c r="C1381" t="s">
        <v>24400</v>
      </c>
      <c r="D1381" t="s">
        <v>24355</v>
      </c>
      <c r="E1381">
        <v>54</v>
      </c>
      <c r="F1381">
        <v>126</v>
      </c>
      <c r="G1381">
        <v>227</v>
      </c>
      <c r="O1381" t="s">
        <v>13274</v>
      </c>
    </row>
    <row r="1382" spans="2:15" x14ac:dyDescent="0.25">
      <c r="B1382">
        <v>9663</v>
      </c>
      <c r="C1382" t="s">
        <v>24401</v>
      </c>
      <c r="D1382" t="s">
        <v>24355</v>
      </c>
      <c r="E1382">
        <v>54</v>
      </c>
      <c r="F1382">
        <v>126</v>
      </c>
      <c r="G1382">
        <v>227</v>
      </c>
      <c r="O1382" t="s">
        <v>13276</v>
      </c>
    </row>
    <row r="1383" spans="2:15" x14ac:dyDescent="0.25">
      <c r="B1383">
        <v>9664</v>
      </c>
      <c r="C1383" t="s">
        <v>24402</v>
      </c>
      <c r="D1383" t="s">
        <v>24355</v>
      </c>
      <c r="E1383">
        <v>54</v>
      </c>
      <c r="F1383">
        <v>126</v>
      </c>
      <c r="G1383">
        <v>227</v>
      </c>
      <c r="O1383" t="s">
        <v>15114</v>
      </c>
    </row>
    <row r="1384" spans="2:15" x14ac:dyDescent="0.25">
      <c r="B1384">
        <v>9665</v>
      </c>
      <c r="C1384" t="s">
        <v>24390</v>
      </c>
      <c r="D1384" t="s">
        <v>23430</v>
      </c>
      <c r="E1384">
        <v>54</v>
      </c>
      <c r="F1384">
        <v>126</v>
      </c>
      <c r="G1384">
        <v>227</v>
      </c>
      <c r="N1384" t="s">
        <v>13278</v>
      </c>
    </row>
    <row r="1385" spans="2:15" x14ac:dyDescent="0.25">
      <c r="B1385">
        <v>9666</v>
      </c>
      <c r="C1385" t="s">
        <v>24391</v>
      </c>
      <c r="D1385" t="s">
        <v>23430</v>
      </c>
      <c r="E1385">
        <v>54</v>
      </c>
      <c r="F1385">
        <v>126</v>
      </c>
      <c r="G1385">
        <v>227</v>
      </c>
      <c r="O1385" t="s">
        <v>13280</v>
      </c>
    </row>
    <row r="1386" spans="2:15" x14ac:dyDescent="0.25">
      <c r="B1386">
        <v>9667</v>
      </c>
      <c r="C1386" t="s">
        <v>24392</v>
      </c>
      <c r="D1386" t="s">
        <v>23430</v>
      </c>
      <c r="E1386">
        <v>54</v>
      </c>
      <c r="F1386">
        <v>126</v>
      </c>
      <c r="G1386">
        <v>227</v>
      </c>
      <c r="O1386" t="s">
        <v>13282</v>
      </c>
    </row>
    <row r="1387" spans="2:15" x14ac:dyDescent="0.25">
      <c r="B1387">
        <v>9668</v>
      </c>
      <c r="C1387" t="s">
        <v>24393</v>
      </c>
      <c r="D1387" t="s">
        <v>23430</v>
      </c>
      <c r="E1387">
        <v>54</v>
      </c>
      <c r="F1387">
        <v>126</v>
      </c>
      <c r="G1387">
        <v>227</v>
      </c>
      <c r="O1387" t="s">
        <v>13284</v>
      </c>
    </row>
    <row r="1388" spans="2:15" x14ac:dyDescent="0.25">
      <c r="B1388">
        <v>9669</v>
      </c>
      <c r="C1388" t="s">
        <v>24394</v>
      </c>
      <c r="D1388" t="s">
        <v>23430</v>
      </c>
      <c r="E1388">
        <v>54</v>
      </c>
      <c r="F1388">
        <v>126</v>
      </c>
      <c r="G1388">
        <v>227</v>
      </c>
      <c r="O1388" t="s">
        <v>13286</v>
      </c>
    </row>
    <row r="1389" spans="2:15" x14ac:dyDescent="0.25">
      <c r="B1389">
        <v>9670</v>
      </c>
      <c r="C1389" t="s">
        <v>24396</v>
      </c>
      <c r="D1389" t="s">
        <v>23430</v>
      </c>
      <c r="E1389">
        <v>54</v>
      </c>
      <c r="F1389">
        <v>126</v>
      </c>
      <c r="G1389">
        <v>227</v>
      </c>
      <c r="O1389" t="s">
        <v>13288</v>
      </c>
    </row>
    <row r="1390" spans="2:15" x14ac:dyDescent="0.25">
      <c r="B1390">
        <v>9671</v>
      </c>
      <c r="C1390" t="s">
        <v>24395</v>
      </c>
      <c r="D1390" t="s">
        <v>23430</v>
      </c>
      <c r="E1390">
        <v>54</v>
      </c>
      <c r="F1390">
        <v>126</v>
      </c>
      <c r="G1390">
        <v>227</v>
      </c>
      <c r="O1390" t="s">
        <v>13290</v>
      </c>
    </row>
    <row r="1391" spans="2:15" x14ac:dyDescent="0.25">
      <c r="B1391">
        <v>9672</v>
      </c>
      <c r="C1391" t="s">
        <v>24399</v>
      </c>
      <c r="D1391" t="s">
        <v>23430</v>
      </c>
      <c r="E1391">
        <v>54</v>
      </c>
      <c r="F1391">
        <v>126</v>
      </c>
      <c r="G1391">
        <v>227</v>
      </c>
      <c r="O1391" t="s">
        <v>13292</v>
      </c>
    </row>
    <row r="1392" spans="2:15" x14ac:dyDescent="0.25">
      <c r="B1392">
        <v>9673</v>
      </c>
      <c r="C1392" t="s">
        <v>24400</v>
      </c>
      <c r="D1392" t="s">
        <v>23430</v>
      </c>
      <c r="E1392">
        <v>54</v>
      </c>
      <c r="F1392">
        <v>126</v>
      </c>
      <c r="G1392">
        <v>227</v>
      </c>
      <c r="O1392" t="s">
        <v>13294</v>
      </c>
    </row>
    <row r="1393" spans="2:16" x14ac:dyDescent="0.25">
      <c r="B1393">
        <v>9674</v>
      </c>
      <c r="C1393" t="s">
        <v>24401</v>
      </c>
      <c r="D1393" t="s">
        <v>23430</v>
      </c>
      <c r="E1393">
        <v>54</v>
      </c>
      <c r="F1393">
        <v>126</v>
      </c>
      <c r="G1393">
        <v>227</v>
      </c>
      <c r="O1393" t="s">
        <v>13296</v>
      </c>
    </row>
    <row r="1394" spans="2:16" x14ac:dyDescent="0.25">
      <c r="B1394">
        <v>9675</v>
      </c>
      <c r="C1394" t="s">
        <v>24402</v>
      </c>
      <c r="D1394" t="s">
        <v>23430</v>
      </c>
      <c r="E1394">
        <v>54</v>
      </c>
      <c r="F1394">
        <v>126</v>
      </c>
      <c r="G1394">
        <v>227</v>
      </c>
      <c r="O1394" t="s">
        <v>13298</v>
      </c>
    </row>
    <row r="1395" spans="2:16" x14ac:dyDescent="0.25">
      <c r="B1395">
        <v>9676</v>
      </c>
      <c r="C1395" t="s">
        <v>24405</v>
      </c>
      <c r="E1395">
        <v>55</v>
      </c>
      <c r="F1395">
        <v>127</v>
      </c>
      <c r="G1395">
        <v>228</v>
      </c>
      <c r="M1395" t="s">
        <v>4997</v>
      </c>
    </row>
    <row r="1396" spans="2:16" x14ac:dyDescent="0.25">
      <c r="B1396">
        <v>9677</v>
      </c>
      <c r="C1396" t="s">
        <v>24405</v>
      </c>
      <c r="D1396" t="s">
        <v>24355</v>
      </c>
      <c r="E1396">
        <v>55</v>
      </c>
      <c r="F1396">
        <v>127</v>
      </c>
      <c r="G1396">
        <v>228</v>
      </c>
      <c r="N1396" t="s">
        <v>13300</v>
      </c>
    </row>
    <row r="1397" spans="2:16" x14ac:dyDescent="0.25">
      <c r="B1397">
        <v>9680</v>
      </c>
      <c r="C1397" t="s">
        <v>24406</v>
      </c>
      <c r="D1397" t="s">
        <v>24355</v>
      </c>
      <c r="E1397">
        <v>55</v>
      </c>
      <c r="F1397">
        <v>127</v>
      </c>
      <c r="G1397">
        <v>228</v>
      </c>
      <c r="O1397" t="s">
        <v>13302</v>
      </c>
    </row>
    <row r="1398" spans="2:16" x14ac:dyDescent="0.25">
      <c r="B1398">
        <v>9681</v>
      </c>
      <c r="C1398" t="s">
        <v>25467</v>
      </c>
      <c r="D1398" t="s">
        <v>24355</v>
      </c>
      <c r="E1398">
        <v>55</v>
      </c>
      <c r="F1398">
        <v>127</v>
      </c>
      <c r="G1398">
        <v>228</v>
      </c>
      <c r="P1398" t="s">
        <v>13304</v>
      </c>
    </row>
    <row r="1399" spans="2:16" x14ac:dyDescent="0.25">
      <c r="B1399">
        <v>9682</v>
      </c>
      <c r="C1399" t="s">
        <v>25468</v>
      </c>
      <c r="D1399" t="s">
        <v>24355</v>
      </c>
      <c r="E1399">
        <v>55</v>
      </c>
      <c r="F1399">
        <v>127</v>
      </c>
      <c r="G1399">
        <v>228</v>
      </c>
      <c r="P1399" t="s">
        <v>13306</v>
      </c>
    </row>
    <row r="1400" spans="2:16" x14ac:dyDescent="0.25">
      <c r="B1400">
        <v>9683</v>
      </c>
      <c r="C1400" t="s">
        <v>25469</v>
      </c>
      <c r="D1400" t="s">
        <v>24355</v>
      </c>
      <c r="E1400">
        <v>55</v>
      </c>
      <c r="F1400">
        <v>127</v>
      </c>
      <c r="G1400">
        <v>228</v>
      </c>
      <c r="P1400" t="s">
        <v>13308</v>
      </c>
    </row>
    <row r="1401" spans="2:16" x14ac:dyDescent="0.25">
      <c r="B1401">
        <v>9678</v>
      </c>
      <c r="C1401" t="s">
        <v>25470</v>
      </c>
      <c r="D1401" t="s">
        <v>24355</v>
      </c>
      <c r="E1401">
        <v>55</v>
      </c>
      <c r="F1401">
        <v>127</v>
      </c>
      <c r="G1401">
        <v>228</v>
      </c>
      <c r="O1401" t="s">
        <v>2510</v>
      </c>
    </row>
    <row r="1402" spans="2:16" x14ac:dyDescent="0.25">
      <c r="B1402">
        <v>9679</v>
      </c>
      <c r="C1402" t="s">
        <v>25471</v>
      </c>
      <c r="D1402" t="s">
        <v>24355</v>
      </c>
      <c r="E1402">
        <v>55</v>
      </c>
      <c r="F1402">
        <v>127</v>
      </c>
      <c r="G1402">
        <v>228</v>
      </c>
      <c r="O1402" t="s">
        <v>3511</v>
      </c>
    </row>
    <row r="1403" spans="2:16" x14ac:dyDescent="0.25">
      <c r="B1403">
        <v>9684</v>
      </c>
      <c r="C1403" t="s">
        <v>24405</v>
      </c>
      <c r="D1403" t="s">
        <v>23430</v>
      </c>
      <c r="E1403">
        <v>55</v>
      </c>
      <c r="F1403">
        <v>127</v>
      </c>
      <c r="G1403">
        <v>228</v>
      </c>
      <c r="N1403" t="s">
        <v>13310</v>
      </c>
    </row>
    <row r="1404" spans="2:16" x14ac:dyDescent="0.25">
      <c r="B1404">
        <v>9687</v>
      </c>
      <c r="C1404" t="s">
        <v>24406</v>
      </c>
      <c r="D1404" t="s">
        <v>23430</v>
      </c>
      <c r="E1404">
        <v>55</v>
      </c>
      <c r="F1404">
        <v>127</v>
      </c>
      <c r="G1404">
        <v>228</v>
      </c>
      <c r="O1404" t="s">
        <v>13316</v>
      </c>
    </row>
    <row r="1405" spans="2:16" x14ac:dyDescent="0.25">
      <c r="B1405">
        <v>9688</v>
      </c>
      <c r="C1405" t="s">
        <v>25467</v>
      </c>
      <c r="D1405" t="s">
        <v>23430</v>
      </c>
      <c r="E1405">
        <v>55</v>
      </c>
      <c r="F1405">
        <v>127</v>
      </c>
      <c r="G1405">
        <v>228</v>
      </c>
      <c r="P1405" t="s">
        <v>13318</v>
      </c>
    </row>
    <row r="1406" spans="2:16" x14ac:dyDescent="0.25">
      <c r="B1406">
        <v>9689</v>
      </c>
      <c r="C1406" t="s">
        <v>25468</v>
      </c>
      <c r="D1406" t="s">
        <v>23430</v>
      </c>
      <c r="E1406">
        <v>55</v>
      </c>
      <c r="F1406">
        <v>127</v>
      </c>
      <c r="G1406">
        <v>228</v>
      </c>
      <c r="P1406" t="s">
        <v>13320</v>
      </c>
    </row>
    <row r="1407" spans="2:16" x14ac:dyDescent="0.25">
      <c r="B1407">
        <v>9690</v>
      </c>
      <c r="C1407" t="s">
        <v>25469</v>
      </c>
      <c r="D1407" t="s">
        <v>23430</v>
      </c>
      <c r="E1407">
        <v>55</v>
      </c>
      <c r="F1407">
        <v>127</v>
      </c>
      <c r="G1407">
        <v>228</v>
      </c>
      <c r="P1407" t="s">
        <v>13322</v>
      </c>
    </row>
    <row r="1408" spans="2:16" x14ac:dyDescent="0.25">
      <c r="B1408">
        <v>9685</v>
      </c>
      <c r="C1408" t="s">
        <v>25470</v>
      </c>
      <c r="D1408" t="s">
        <v>23430</v>
      </c>
      <c r="E1408">
        <v>55</v>
      </c>
      <c r="F1408">
        <v>127</v>
      </c>
      <c r="G1408">
        <v>228</v>
      </c>
      <c r="O1408" t="s">
        <v>13312</v>
      </c>
    </row>
    <row r="1409" spans="2:15" x14ac:dyDescent="0.25">
      <c r="B1409">
        <v>9686</v>
      </c>
      <c r="C1409" t="s">
        <v>25471</v>
      </c>
      <c r="D1409" t="s">
        <v>23430</v>
      </c>
      <c r="E1409">
        <v>55</v>
      </c>
      <c r="F1409">
        <v>127</v>
      </c>
      <c r="G1409">
        <v>228</v>
      </c>
      <c r="O1409" t="s">
        <v>13314</v>
      </c>
    </row>
    <row r="1410" spans="2:15" x14ac:dyDescent="0.25">
      <c r="B1410">
        <v>9691</v>
      </c>
      <c r="C1410" t="s">
        <v>25472</v>
      </c>
      <c r="E1410">
        <v>57</v>
      </c>
      <c r="F1410">
        <v>129</v>
      </c>
      <c r="G1410">
        <v>230</v>
      </c>
      <c r="M1410" t="s">
        <v>13324</v>
      </c>
    </row>
    <row r="1411" spans="2:15" x14ac:dyDescent="0.25">
      <c r="B1411">
        <v>9692</v>
      </c>
      <c r="C1411" t="s">
        <v>25472</v>
      </c>
      <c r="D1411" t="s">
        <v>24355</v>
      </c>
      <c r="E1411">
        <v>57</v>
      </c>
      <c r="F1411">
        <v>129</v>
      </c>
      <c r="G1411">
        <v>230</v>
      </c>
      <c r="N1411" t="s">
        <v>13326</v>
      </c>
    </row>
    <row r="1412" spans="2:15" x14ac:dyDescent="0.25">
      <c r="B1412">
        <v>9693</v>
      </c>
      <c r="C1412" t="s">
        <v>25472</v>
      </c>
      <c r="D1412" t="s">
        <v>23430</v>
      </c>
      <c r="E1412">
        <v>57</v>
      </c>
      <c r="F1412">
        <v>129</v>
      </c>
      <c r="G1412">
        <v>230</v>
      </c>
      <c r="N1412" t="s">
        <v>13328</v>
      </c>
    </row>
    <row r="1413" spans="2:15" x14ac:dyDescent="0.25">
      <c r="B1413">
        <v>9694</v>
      </c>
      <c r="C1413" t="s">
        <v>18716</v>
      </c>
      <c r="E1413">
        <v>59</v>
      </c>
      <c r="F1413">
        <v>131</v>
      </c>
      <c r="G1413">
        <v>232</v>
      </c>
      <c r="M1413" t="s">
        <v>13330</v>
      </c>
    </row>
    <row r="1414" spans="2:15" x14ac:dyDescent="0.25">
      <c r="B1414">
        <v>9695</v>
      </c>
      <c r="C1414" t="s">
        <v>18716</v>
      </c>
      <c r="D1414" t="s">
        <v>24355</v>
      </c>
      <c r="E1414">
        <v>59</v>
      </c>
      <c r="F1414">
        <v>131</v>
      </c>
      <c r="G1414">
        <v>232</v>
      </c>
      <c r="N1414" t="s">
        <v>13332</v>
      </c>
    </row>
    <row r="1415" spans="2:15" x14ac:dyDescent="0.25">
      <c r="B1415">
        <v>9696</v>
      </c>
      <c r="C1415" t="s">
        <v>18716</v>
      </c>
      <c r="D1415" t="s">
        <v>23430</v>
      </c>
      <c r="E1415">
        <v>59</v>
      </c>
      <c r="F1415">
        <v>131</v>
      </c>
      <c r="G1415">
        <v>232</v>
      </c>
      <c r="N1415" t="s">
        <v>13334</v>
      </c>
    </row>
    <row r="1416" spans="2:15" x14ac:dyDescent="0.25">
      <c r="B1416">
        <v>9697</v>
      </c>
      <c r="C1416" t="s">
        <v>24412</v>
      </c>
      <c r="E1416">
        <v>61</v>
      </c>
      <c r="F1416">
        <v>133</v>
      </c>
      <c r="G1416">
        <v>234</v>
      </c>
      <c r="M1416" t="s">
        <v>14103</v>
      </c>
    </row>
    <row r="1417" spans="2:15" x14ac:dyDescent="0.25">
      <c r="B1417">
        <v>9698</v>
      </c>
      <c r="C1417" t="s">
        <v>24412</v>
      </c>
      <c r="D1417" t="s">
        <v>24355</v>
      </c>
      <c r="E1417">
        <v>61</v>
      </c>
      <c r="F1417">
        <v>133</v>
      </c>
      <c r="G1417">
        <v>234</v>
      </c>
      <c r="N1417" t="s">
        <v>13336</v>
      </c>
    </row>
    <row r="1418" spans="2:15" x14ac:dyDescent="0.25">
      <c r="B1418">
        <v>9699</v>
      </c>
      <c r="C1418" t="s">
        <v>24295</v>
      </c>
      <c r="D1418" t="s">
        <v>24355</v>
      </c>
      <c r="E1418">
        <v>61</v>
      </c>
      <c r="F1418">
        <v>133</v>
      </c>
      <c r="G1418">
        <v>234</v>
      </c>
      <c r="O1418" t="s">
        <v>2747</v>
      </c>
    </row>
    <row r="1419" spans="2:15" x14ac:dyDescent="0.25">
      <c r="B1419">
        <v>9700</v>
      </c>
      <c r="C1419" t="s">
        <v>24414</v>
      </c>
      <c r="D1419" t="s">
        <v>24355</v>
      </c>
      <c r="E1419">
        <v>61</v>
      </c>
      <c r="F1419">
        <v>133</v>
      </c>
      <c r="G1419">
        <v>234</v>
      </c>
      <c r="O1419" t="s">
        <v>3044</v>
      </c>
    </row>
    <row r="1420" spans="2:15" x14ac:dyDescent="0.25">
      <c r="B1420">
        <v>9702</v>
      </c>
      <c r="C1420" t="s">
        <v>24417</v>
      </c>
      <c r="D1420" t="s">
        <v>24355</v>
      </c>
      <c r="E1420">
        <v>61</v>
      </c>
      <c r="F1420">
        <v>133</v>
      </c>
      <c r="G1420">
        <v>234</v>
      </c>
      <c r="O1420" t="s">
        <v>2428</v>
      </c>
    </row>
    <row r="1421" spans="2:15" x14ac:dyDescent="0.25">
      <c r="B1421">
        <v>9701</v>
      </c>
      <c r="C1421" t="s">
        <v>24298</v>
      </c>
      <c r="D1421" t="s">
        <v>24355</v>
      </c>
      <c r="E1421">
        <v>61</v>
      </c>
      <c r="F1421">
        <v>133</v>
      </c>
      <c r="G1421">
        <v>234</v>
      </c>
      <c r="O1421" t="s">
        <v>13338</v>
      </c>
    </row>
    <row r="1422" spans="2:15" x14ac:dyDescent="0.25">
      <c r="B1422">
        <v>9703</v>
      </c>
      <c r="C1422" t="s">
        <v>24412</v>
      </c>
      <c r="D1422" t="s">
        <v>23430</v>
      </c>
      <c r="E1422">
        <v>61</v>
      </c>
      <c r="F1422">
        <v>133</v>
      </c>
      <c r="G1422">
        <v>234</v>
      </c>
      <c r="N1422" t="s">
        <v>13340</v>
      </c>
    </row>
    <row r="1423" spans="2:15" x14ac:dyDescent="0.25">
      <c r="B1423">
        <v>9704</v>
      </c>
      <c r="C1423" t="s">
        <v>24295</v>
      </c>
      <c r="D1423" t="s">
        <v>23430</v>
      </c>
      <c r="E1423">
        <v>61</v>
      </c>
      <c r="F1423">
        <v>133</v>
      </c>
      <c r="G1423">
        <v>234</v>
      </c>
      <c r="O1423" t="s">
        <v>13342</v>
      </c>
    </row>
    <row r="1424" spans="2:15" x14ac:dyDescent="0.25">
      <c r="B1424">
        <v>9705</v>
      </c>
      <c r="C1424" t="s">
        <v>24414</v>
      </c>
      <c r="D1424" t="s">
        <v>23430</v>
      </c>
      <c r="E1424">
        <v>61</v>
      </c>
      <c r="F1424">
        <v>133</v>
      </c>
      <c r="G1424">
        <v>234</v>
      </c>
      <c r="O1424" t="s">
        <v>13344</v>
      </c>
    </row>
    <row r="1425" spans="2:15" x14ac:dyDescent="0.25">
      <c r="B1425">
        <v>9707</v>
      </c>
      <c r="C1425" t="s">
        <v>24417</v>
      </c>
      <c r="D1425" t="s">
        <v>23430</v>
      </c>
      <c r="E1425">
        <v>61</v>
      </c>
      <c r="F1425">
        <v>133</v>
      </c>
      <c r="G1425">
        <v>234</v>
      </c>
      <c r="O1425" t="s">
        <v>13348</v>
      </c>
    </row>
    <row r="1426" spans="2:15" x14ac:dyDescent="0.25">
      <c r="B1426">
        <v>9706</v>
      </c>
      <c r="C1426" t="s">
        <v>24298</v>
      </c>
      <c r="D1426" t="s">
        <v>23430</v>
      </c>
      <c r="E1426">
        <v>61</v>
      </c>
      <c r="F1426">
        <v>133</v>
      </c>
      <c r="G1426">
        <v>234</v>
      </c>
      <c r="O1426" t="s">
        <v>13346</v>
      </c>
    </row>
    <row r="1427" spans="2:15" x14ac:dyDescent="0.25">
      <c r="B1427">
        <v>9218</v>
      </c>
      <c r="C1427" t="s">
        <v>25473</v>
      </c>
      <c r="E1427">
        <v>242</v>
      </c>
      <c r="F1427">
        <v>241</v>
      </c>
      <c r="G1427">
        <v>240</v>
      </c>
      <c r="K1427" t="s">
        <v>632</v>
      </c>
    </row>
    <row r="1428" spans="2:15" x14ac:dyDescent="0.25">
      <c r="B1428">
        <v>9219</v>
      </c>
      <c r="C1428" t="s">
        <v>25474</v>
      </c>
      <c r="E1428">
        <v>242</v>
      </c>
      <c r="F1428">
        <v>241</v>
      </c>
      <c r="G1428">
        <v>240</v>
      </c>
      <c r="L1428" t="s">
        <v>12851</v>
      </c>
    </row>
    <row r="1429" spans="2:15" x14ac:dyDescent="0.25">
      <c r="B1429">
        <v>9220</v>
      </c>
      <c r="C1429" t="s">
        <v>25475</v>
      </c>
      <c r="E1429">
        <v>242</v>
      </c>
      <c r="F1429">
        <v>241</v>
      </c>
      <c r="G1429">
        <v>240</v>
      </c>
      <c r="M1429" t="s">
        <v>1304</v>
      </c>
    </row>
    <row r="1430" spans="2:15" x14ac:dyDescent="0.25">
      <c r="B1430">
        <v>9221</v>
      </c>
      <c r="C1430" t="s">
        <v>18434</v>
      </c>
      <c r="E1430">
        <v>242</v>
      </c>
      <c r="F1430">
        <v>241</v>
      </c>
      <c r="G1430">
        <v>240</v>
      </c>
      <c r="N1430" t="s">
        <v>318</v>
      </c>
    </row>
    <row r="1431" spans="2:15" x14ac:dyDescent="0.25">
      <c r="B1431">
        <v>9222</v>
      </c>
      <c r="C1431" t="s">
        <v>18443</v>
      </c>
      <c r="E1431">
        <v>242</v>
      </c>
      <c r="F1431">
        <v>241</v>
      </c>
      <c r="G1431">
        <v>240</v>
      </c>
      <c r="N1431" t="s">
        <v>1321</v>
      </c>
    </row>
    <row r="1432" spans="2:15" x14ac:dyDescent="0.25">
      <c r="B1432">
        <v>9224</v>
      </c>
      <c r="C1432" t="s">
        <v>25476</v>
      </c>
      <c r="E1432">
        <v>242</v>
      </c>
      <c r="F1432">
        <v>241</v>
      </c>
      <c r="G1432">
        <v>240</v>
      </c>
      <c r="O1432" t="s">
        <v>578</v>
      </c>
    </row>
    <row r="1433" spans="2:15" x14ac:dyDescent="0.25">
      <c r="B1433">
        <v>9223</v>
      </c>
      <c r="C1433" t="s">
        <v>25477</v>
      </c>
      <c r="E1433">
        <v>242</v>
      </c>
      <c r="F1433">
        <v>241</v>
      </c>
      <c r="G1433">
        <v>240</v>
      </c>
      <c r="O1433" t="s">
        <v>2062</v>
      </c>
    </row>
    <row r="1434" spans="2:15" x14ac:dyDescent="0.25">
      <c r="B1434">
        <v>9226</v>
      </c>
      <c r="C1434" t="s">
        <v>25478</v>
      </c>
      <c r="E1434">
        <v>242</v>
      </c>
      <c r="F1434">
        <v>241</v>
      </c>
      <c r="G1434">
        <v>240</v>
      </c>
      <c r="O1434" t="s">
        <v>4924</v>
      </c>
    </row>
    <row r="1435" spans="2:15" x14ac:dyDescent="0.25">
      <c r="B1435">
        <v>9225</v>
      </c>
      <c r="C1435" t="s">
        <v>25479</v>
      </c>
      <c r="E1435">
        <v>242</v>
      </c>
      <c r="F1435">
        <v>241</v>
      </c>
      <c r="G1435">
        <v>240</v>
      </c>
      <c r="O1435" t="s">
        <v>5023</v>
      </c>
    </row>
    <row r="1436" spans="2:15" x14ac:dyDescent="0.25">
      <c r="B1436">
        <v>265504962</v>
      </c>
      <c r="C1436" t="s">
        <v>25480</v>
      </c>
      <c r="E1436">
        <v>242</v>
      </c>
      <c r="F1436">
        <v>241</v>
      </c>
      <c r="G1436">
        <v>240</v>
      </c>
      <c r="O1436" t="s">
        <v>4237</v>
      </c>
    </row>
    <row r="1437" spans="2:15" x14ac:dyDescent="0.25">
      <c r="B1437">
        <v>265504966</v>
      </c>
      <c r="C1437" t="s">
        <v>23543</v>
      </c>
      <c r="E1437">
        <v>242</v>
      </c>
      <c r="F1437">
        <v>241</v>
      </c>
      <c r="G1437">
        <v>240</v>
      </c>
      <c r="O1437" t="s">
        <v>14894</v>
      </c>
    </row>
    <row r="1438" spans="2:15" x14ac:dyDescent="0.25">
      <c r="B1438">
        <v>9227</v>
      </c>
      <c r="C1438" t="s">
        <v>18462</v>
      </c>
      <c r="E1438">
        <v>242</v>
      </c>
      <c r="F1438">
        <v>241</v>
      </c>
      <c r="G1438">
        <v>240</v>
      </c>
      <c r="N1438" t="s">
        <v>2138</v>
      </c>
    </row>
    <row r="1439" spans="2:15" x14ac:dyDescent="0.25">
      <c r="B1439">
        <v>9228</v>
      </c>
      <c r="C1439" t="s">
        <v>18463</v>
      </c>
      <c r="E1439">
        <v>242</v>
      </c>
      <c r="F1439">
        <v>241</v>
      </c>
      <c r="G1439">
        <v>240</v>
      </c>
      <c r="N1439" t="s">
        <v>2282</v>
      </c>
    </row>
    <row r="1440" spans="2:15" x14ac:dyDescent="0.25">
      <c r="B1440">
        <v>9229</v>
      </c>
      <c r="C1440" t="s">
        <v>18486</v>
      </c>
      <c r="E1440">
        <v>242</v>
      </c>
      <c r="F1440">
        <v>241</v>
      </c>
      <c r="G1440">
        <v>240</v>
      </c>
      <c r="N1440" t="s">
        <v>3922</v>
      </c>
    </row>
    <row r="1441" spans="2:15" x14ac:dyDescent="0.25">
      <c r="B1441">
        <v>265504970</v>
      </c>
      <c r="C1441" t="s">
        <v>23548</v>
      </c>
      <c r="E1441">
        <v>242</v>
      </c>
      <c r="F1441">
        <v>241</v>
      </c>
      <c r="G1441">
        <v>240</v>
      </c>
      <c r="N1441" t="s">
        <v>11869</v>
      </c>
    </row>
    <row r="1442" spans="2:15" x14ac:dyDescent="0.25">
      <c r="B1442">
        <v>9230</v>
      </c>
      <c r="C1442" t="s">
        <v>25481</v>
      </c>
      <c r="E1442">
        <v>242</v>
      </c>
      <c r="F1442">
        <v>241</v>
      </c>
      <c r="G1442">
        <v>240</v>
      </c>
      <c r="M1442" t="s">
        <v>12853</v>
      </c>
    </row>
    <row r="1443" spans="2:15" x14ac:dyDescent="0.25">
      <c r="B1443">
        <v>265504974</v>
      </c>
      <c r="C1443" t="s">
        <v>20847</v>
      </c>
      <c r="E1443">
        <v>242</v>
      </c>
      <c r="F1443">
        <v>241</v>
      </c>
      <c r="G1443">
        <v>240</v>
      </c>
      <c r="N1443" t="s">
        <v>522</v>
      </c>
    </row>
    <row r="1444" spans="2:15" x14ac:dyDescent="0.25">
      <c r="B1444">
        <v>265504978</v>
      </c>
      <c r="C1444" t="s">
        <v>20847</v>
      </c>
      <c r="D1444" t="s">
        <v>24355</v>
      </c>
      <c r="E1444">
        <v>242</v>
      </c>
      <c r="F1444">
        <v>241</v>
      </c>
      <c r="G1444">
        <v>240</v>
      </c>
      <c r="O1444" t="s">
        <v>11871</v>
      </c>
    </row>
    <row r="1445" spans="2:15" x14ac:dyDescent="0.25">
      <c r="B1445">
        <v>265504982</v>
      </c>
      <c r="C1445" t="s">
        <v>20847</v>
      </c>
      <c r="D1445" t="s">
        <v>23430</v>
      </c>
      <c r="E1445">
        <v>242</v>
      </c>
      <c r="F1445">
        <v>241</v>
      </c>
      <c r="G1445">
        <v>240</v>
      </c>
      <c r="O1445" t="s">
        <v>11873</v>
      </c>
    </row>
    <row r="1446" spans="2:15" x14ac:dyDescent="0.25">
      <c r="B1446">
        <v>9231</v>
      </c>
      <c r="C1446" t="s">
        <v>25482</v>
      </c>
      <c r="E1446">
        <v>242</v>
      </c>
      <c r="F1446">
        <v>241</v>
      </c>
      <c r="G1446">
        <v>240</v>
      </c>
      <c r="N1446" t="s">
        <v>495</v>
      </c>
    </row>
    <row r="1447" spans="2:15" x14ac:dyDescent="0.25">
      <c r="B1447">
        <v>9232</v>
      </c>
      <c r="C1447" t="s">
        <v>25482</v>
      </c>
      <c r="D1447" t="s">
        <v>24355</v>
      </c>
      <c r="E1447">
        <v>242</v>
      </c>
      <c r="F1447">
        <v>241</v>
      </c>
      <c r="G1447">
        <v>240</v>
      </c>
      <c r="O1447" t="s">
        <v>12855</v>
      </c>
    </row>
    <row r="1448" spans="2:15" x14ac:dyDescent="0.25">
      <c r="B1448">
        <v>9233</v>
      </c>
      <c r="C1448" t="s">
        <v>25482</v>
      </c>
      <c r="D1448" t="s">
        <v>23430</v>
      </c>
      <c r="E1448">
        <v>242</v>
      </c>
      <c r="F1448">
        <v>241</v>
      </c>
      <c r="G1448">
        <v>240</v>
      </c>
      <c r="O1448" t="s">
        <v>12857</v>
      </c>
    </row>
    <row r="1449" spans="2:15" x14ac:dyDescent="0.25">
      <c r="B1449">
        <v>9234</v>
      </c>
      <c r="C1449" t="s">
        <v>20889</v>
      </c>
      <c r="E1449">
        <v>242</v>
      </c>
      <c r="F1449">
        <v>241</v>
      </c>
      <c r="G1449">
        <v>240</v>
      </c>
      <c r="N1449" t="s">
        <v>2303</v>
      </c>
    </row>
    <row r="1450" spans="2:15" x14ac:dyDescent="0.25">
      <c r="B1450">
        <v>9235</v>
      </c>
      <c r="C1450" t="s">
        <v>20889</v>
      </c>
      <c r="D1450" t="s">
        <v>24355</v>
      </c>
      <c r="E1450">
        <v>242</v>
      </c>
      <c r="F1450">
        <v>241</v>
      </c>
      <c r="G1450">
        <v>240</v>
      </c>
      <c r="O1450" t="s">
        <v>12859</v>
      </c>
    </row>
    <row r="1451" spans="2:15" x14ac:dyDescent="0.25">
      <c r="B1451">
        <v>9236</v>
      </c>
      <c r="C1451" t="s">
        <v>20889</v>
      </c>
      <c r="D1451" t="s">
        <v>23430</v>
      </c>
      <c r="E1451">
        <v>242</v>
      </c>
      <c r="F1451">
        <v>241</v>
      </c>
      <c r="G1451">
        <v>240</v>
      </c>
      <c r="O1451" t="s">
        <v>12861</v>
      </c>
    </row>
    <row r="1452" spans="2:15" x14ac:dyDescent="0.25">
      <c r="B1452">
        <v>265504986</v>
      </c>
      <c r="C1452" t="s">
        <v>23550</v>
      </c>
      <c r="E1452">
        <v>242</v>
      </c>
      <c r="F1452">
        <v>241</v>
      </c>
      <c r="G1452">
        <v>240</v>
      </c>
      <c r="N1452" t="s">
        <v>11875</v>
      </c>
    </row>
    <row r="1453" spans="2:15" x14ac:dyDescent="0.25">
      <c r="B1453">
        <v>265504990</v>
      </c>
      <c r="C1453" t="s">
        <v>23550</v>
      </c>
      <c r="D1453" t="s">
        <v>24355</v>
      </c>
      <c r="E1453">
        <v>242</v>
      </c>
      <c r="F1453">
        <v>241</v>
      </c>
      <c r="G1453">
        <v>240</v>
      </c>
      <c r="O1453" t="s">
        <v>11877</v>
      </c>
    </row>
    <row r="1454" spans="2:15" x14ac:dyDescent="0.25">
      <c r="B1454">
        <v>265504994</v>
      </c>
      <c r="C1454" t="s">
        <v>23550</v>
      </c>
      <c r="D1454" t="s">
        <v>23430</v>
      </c>
      <c r="E1454">
        <v>242</v>
      </c>
      <c r="F1454">
        <v>241</v>
      </c>
      <c r="G1454">
        <v>240</v>
      </c>
      <c r="O1454" t="s">
        <v>11879</v>
      </c>
    </row>
    <row r="1455" spans="2:15" x14ac:dyDescent="0.25">
      <c r="B1455">
        <v>265504998</v>
      </c>
      <c r="C1455" t="s">
        <v>23551</v>
      </c>
      <c r="E1455">
        <v>242</v>
      </c>
      <c r="F1455">
        <v>241</v>
      </c>
      <c r="G1455">
        <v>240</v>
      </c>
      <c r="N1455" t="s">
        <v>11881</v>
      </c>
    </row>
    <row r="1456" spans="2:15" x14ac:dyDescent="0.25">
      <c r="B1456">
        <v>265505002</v>
      </c>
      <c r="C1456" t="s">
        <v>23551</v>
      </c>
      <c r="D1456" t="s">
        <v>24355</v>
      </c>
      <c r="E1456">
        <v>242</v>
      </c>
      <c r="F1456">
        <v>241</v>
      </c>
      <c r="G1456">
        <v>240</v>
      </c>
      <c r="O1456" t="s">
        <v>11883</v>
      </c>
    </row>
    <row r="1457" spans="2:15" x14ac:dyDescent="0.25">
      <c r="B1457">
        <v>265505006</v>
      </c>
      <c r="C1457" t="s">
        <v>23551</v>
      </c>
      <c r="D1457" t="s">
        <v>23430</v>
      </c>
      <c r="E1457">
        <v>242</v>
      </c>
      <c r="F1457">
        <v>241</v>
      </c>
      <c r="G1457">
        <v>240</v>
      </c>
      <c r="O1457" t="s">
        <v>11885</v>
      </c>
    </row>
    <row r="1458" spans="2:15" x14ac:dyDescent="0.25">
      <c r="B1458">
        <v>9237</v>
      </c>
      <c r="C1458" t="s">
        <v>23552</v>
      </c>
      <c r="E1458">
        <v>242</v>
      </c>
      <c r="F1458">
        <v>241</v>
      </c>
      <c r="G1458">
        <v>240</v>
      </c>
      <c r="N1458" t="s">
        <v>280</v>
      </c>
    </row>
    <row r="1459" spans="2:15" x14ac:dyDescent="0.25">
      <c r="B1459">
        <v>9238</v>
      </c>
      <c r="C1459" t="s">
        <v>23552</v>
      </c>
      <c r="D1459" t="s">
        <v>24355</v>
      </c>
      <c r="E1459">
        <v>242</v>
      </c>
      <c r="F1459">
        <v>241</v>
      </c>
      <c r="G1459">
        <v>240</v>
      </c>
      <c r="O1459" t="s">
        <v>12863</v>
      </c>
    </row>
    <row r="1460" spans="2:15" x14ac:dyDescent="0.25">
      <c r="B1460">
        <v>9239</v>
      </c>
      <c r="C1460" t="s">
        <v>23552</v>
      </c>
      <c r="D1460" t="s">
        <v>23430</v>
      </c>
      <c r="E1460">
        <v>242</v>
      </c>
      <c r="F1460">
        <v>241</v>
      </c>
      <c r="G1460">
        <v>240</v>
      </c>
      <c r="O1460" t="s">
        <v>12865</v>
      </c>
    </row>
    <row r="1461" spans="2:15" x14ac:dyDescent="0.25">
      <c r="B1461">
        <v>265505010</v>
      </c>
      <c r="C1461" t="s">
        <v>23553</v>
      </c>
      <c r="E1461">
        <v>242</v>
      </c>
      <c r="F1461">
        <v>241</v>
      </c>
      <c r="G1461">
        <v>240</v>
      </c>
      <c r="N1461" t="s">
        <v>284</v>
      </c>
    </row>
    <row r="1462" spans="2:15" x14ac:dyDescent="0.25">
      <c r="B1462">
        <v>265505014</v>
      </c>
      <c r="C1462" t="s">
        <v>23553</v>
      </c>
      <c r="D1462" t="s">
        <v>24355</v>
      </c>
      <c r="E1462">
        <v>242</v>
      </c>
      <c r="F1462">
        <v>241</v>
      </c>
      <c r="G1462">
        <v>240</v>
      </c>
      <c r="O1462" t="s">
        <v>11888</v>
      </c>
    </row>
    <row r="1463" spans="2:15" x14ac:dyDescent="0.25">
      <c r="B1463">
        <v>265505018</v>
      </c>
      <c r="C1463" t="s">
        <v>23553</v>
      </c>
      <c r="D1463" t="s">
        <v>23430</v>
      </c>
      <c r="E1463">
        <v>242</v>
      </c>
      <c r="F1463">
        <v>241</v>
      </c>
      <c r="G1463">
        <v>240</v>
      </c>
      <c r="O1463" t="s">
        <v>11890</v>
      </c>
    </row>
    <row r="1464" spans="2:15" x14ac:dyDescent="0.25">
      <c r="B1464">
        <v>265505022</v>
      </c>
      <c r="C1464" t="s">
        <v>23555</v>
      </c>
      <c r="E1464">
        <v>242</v>
      </c>
      <c r="F1464">
        <v>241</v>
      </c>
      <c r="G1464">
        <v>240</v>
      </c>
      <c r="N1464" t="s">
        <v>11892</v>
      </c>
    </row>
    <row r="1465" spans="2:15" x14ac:dyDescent="0.25">
      <c r="B1465">
        <v>265505026</v>
      </c>
      <c r="C1465" t="s">
        <v>23555</v>
      </c>
      <c r="D1465" t="s">
        <v>24355</v>
      </c>
      <c r="E1465">
        <v>242</v>
      </c>
      <c r="F1465">
        <v>241</v>
      </c>
      <c r="G1465">
        <v>240</v>
      </c>
      <c r="O1465" t="s">
        <v>11894</v>
      </c>
    </row>
    <row r="1466" spans="2:15" x14ac:dyDescent="0.25">
      <c r="B1466">
        <v>265505030</v>
      </c>
      <c r="C1466" t="s">
        <v>23555</v>
      </c>
      <c r="D1466" t="s">
        <v>23430</v>
      </c>
      <c r="E1466">
        <v>242</v>
      </c>
      <c r="F1466">
        <v>241</v>
      </c>
      <c r="G1466">
        <v>240</v>
      </c>
      <c r="O1466" t="s">
        <v>11896</v>
      </c>
    </row>
    <row r="1467" spans="2:15" x14ac:dyDescent="0.25">
      <c r="B1467">
        <v>9240</v>
      </c>
      <c r="C1467" t="s">
        <v>25483</v>
      </c>
      <c r="E1467">
        <v>242</v>
      </c>
      <c r="F1467">
        <v>241</v>
      </c>
      <c r="G1467">
        <v>240</v>
      </c>
      <c r="N1467" t="s">
        <v>1256</v>
      </c>
    </row>
    <row r="1468" spans="2:15" x14ac:dyDescent="0.25">
      <c r="B1468">
        <v>9241</v>
      </c>
      <c r="C1468" t="s">
        <v>25483</v>
      </c>
      <c r="D1468" t="s">
        <v>24355</v>
      </c>
      <c r="E1468">
        <v>242</v>
      </c>
      <c r="F1468">
        <v>241</v>
      </c>
      <c r="G1468">
        <v>240</v>
      </c>
      <c r="O1468" t="s">
        <v>12867</v>
      </c>
    </row>
    <row r="1469" spans="2:15" x14ac:dyDescent="0.25">
      <c r="B1469">
        <v>9242</v>
      </c>
      <c r="C1469" t="s">
        <v>25483</v>
      </c>
      <c r="D1469" t="s">
        <v>23430</v>
      </c>
      <c r="E1469">
        <v>242</v>
      </c>
      <c r="F1469">
        <v>241</v>
      </c>
      <c r="G1469">
        <v>240</v>
      </c>
      <c r="O1469" t="s">
        <v>12869</v>
      </c>
    </row>
    <row r="1470" spans="2:15" x14ac:dyDescent="0.25">
      <c r="B1470">
        <v>265505034</v>
      </c>
      <c r="C1470" t="s">
        <v>23559</v>
      </c>
      <c r="E1470">
        <v>242</v>
      </c>
      <c r="F1470">
        <v>241</v>
      </c>
      <c r="G1470">
        <v>240</v>
      </c>
      <c r="N1470" t="s">
        <v>11898</v>
      </c>
    </row>
    <row r="1471" spans="2:15" x14ac:dyDescent="0.25">
      <c r="B1471">
        <v>265505038</v>
      </c>
      <c r="C1471" t="s">
        <v>23559</v>
      </c>
      <c r="D1471" t="s">
        <v>24355</v>
      </c>
      <c r="E1471">
        <v>242</v>
      </c>
      <c r="F1471">
        <v>241</v>
      </c>
      <c r="G1471">
        <v>240</v>
      </c>
      <c r="O1471" t="s">
        <v>11900</v>
      </c>
    </row>
    <row r="1472" spans="2:15" x14ac:dyDescent="0.25">
      <c r="B1472">
        <v>265505042</v>
      </c>
      <c r="C1472" t="s">
        <v>23559</v>
      </c>
      <c r="D1472" t="s">
        <v>23430</v>
      </c>
      <c r="E1472">
        <v>242</v>
      </c>
      <c r="F1472">
        <v>241</v>
      </c>
      <c r="G1472">
        <v>240</v>
      </c>
      <c r="O1472" t="s">
        <v>11902</v>
      </c>
    </row>
    <row r="1473" spans="2:16" x14ac:dyDescent="0.25">
      <c r="B1473">
        <v>265505046</v>
      </c>
      <c r="C1473" t="s">
        <v>23560</v>
      </c>
      <c r="E1473">
        <v>242</v>
      </c>
      <c r="F1473">
        <v>241</v>
      </c>
      <c r="G1473">
        <v>240</v>
      </c>
      <c r="N1473" t="s">
        <v>1314</v>
      </c>
    </row>
    <row r="1474" spans="2:16" x14ac:dyDescent="0.25">
      <c r="B1474">
        <v>265505050</v>
      </c>
      <c r="C1474" t="s">
        <v>23560</v>
      </c>
      <c r="D1474" t="s">
        <v>24355</v>
      </c>
      <c r="E1474">
        <v>242</v>
      </c>
      <c r="F1474">
        <v>241</v>
      </c>
      <c r="G1474">
        <v>240</v>
      </c>
      <c r="O1474" t="s">
        <v>11904</v>
      </c>
    </row>
    <row r="1475" spans="2:16" x14ac:dyDescent="0.25">
      <c r="B1475">
        <v>265505054</v>
      </c>
      <c r="C1475" t="s">
        <v>23560</v>
      </c>
      <c r="D1475" t="s">
        <v>23430</v>
      </c>
      <c r="E1475">
        <v>242</v>
      </c>
      <c r="F1475">
        <v>241</v>
      </c>
      <c r="G1475">
        <v>240</v>
      </c>
      <c r="O1475" t="s">
        <v>11906</v>
      </c>
    </row>
    <row r="1476" spans="2:16" x14ac:dyDescent="0.25">
      <c r="B1476">
        <v>265505058</v>
      </c>
      <c r="C1476" t="s">
        <v>25484</v>
      </c>
      <c r="E1476">
        <v>242</v>
      </c>
      <c r="F1476">
        <v>241</v>
      </c>
      <c r="G1476">
        <v>240</v>
      </c>
      <c r="N1476" t="s">
        <v>1357</v>
      </c>
    </row>
    <row r="1477" spans="2:16" x14ac:dyDescent="0.25">
      <c r="B1477">
        <v>265505062</v>
      </c>
      <c r="C1477" t="s">
        <v>23564</v>
      </c>
      <c r="E1477">
        <v>242</v>
      </c>
      <c r="F1477">
        <v>241</v>
      </c>
      <c r="G1477">
        <v>240</v>
      </c>
      <c r="O1477" t="s">
        <v>11908</v>
      </c>
    </row>
    <row r="1478" spans="2:16" x14ac:dyDescent="0.25">
      <c r="B1478">
        <v>265505066</v>
      </c>
      <c r="C1478" t="s">
        <v>23564</v>
      </c>
      <c r="D1478" t="s">
        <v>24355</v>
      </c>
      <c r="E1478">
        <v>242</v>
      </c>
      <c r="F1478">
        <v>241</v>
      </c>
      <c r="G1478">
        <v>240</v>
      </c>
      <c r="P1478" t="s">
        <v>11910</v>
      </c>
    </row>
    <row r="1479" spans="2:16" x14ac:dyDescent="0.25">
      <c r="B1479">
        <v>265505070</v>
      </c>
      <c r="C1479" t="s">
        <v>23564</v>
      </c>
      <c r="D1479" t="s">
        <v>23430</v>
      </c>
      <c r="E1479">
        <v>242</v>
      </c>
      <c r="F1479">
        <v>241</v>
      </c>
      <c r="G1479">
        <v>240</v>
      </c>
      <c r="P1479" t="s">
        <v>11912</v>
      </c>
    </row>
    <row r="1480" spans="2:16" x14ac:dyDescent="0.25">
      <c r="B1480">
        <v>265505074</v>
      </c>
      <c r="C1480" t="s">
        <v>23591</v>
      </c>
      <c r="E1480">
        <v>242</v>
      </c>
      <c r="F1480">
        <v>241</v>
      </c>
      <c r="G1480">
        <v>240</v>
      </c>
      <c r="O1480" t="s">
        <v>11914</v>
      </c>
    </row>
    <row r="1481" spans="2:16" x14ac:dyDescent="0.25">
      <c r="B1481">
        <v>265505078</v>
      </c>
      <c r="C1481" t="s">
        <v>23591</v>
      </c>
      <c r="D1481" t="s">
        <v>24355</v>
      </c>
      <c r="E1481">
        <v>242</v>
      </c>
      <c r="F1481">
        <v>241</v>
      </c>
      <c r="G1481">
        <v>240</v>
      </c>
      <c r="P1481" t="s">
        <v>11916</v>
      </c>
    </row>
    <row r="1482" spans="2:16" x14ac:dyDescent="0.25">
      <c r="B1482">
        <v>265505082</v>
      </c>
      <c r="C1482" t="s">
        <v>23591</v>
      </c>
      <c r="D1482" t="s">
        <v>23430</v>
      </c>
      <c r="E1482">
        <v>242</v>
      </c>
      <c r="F1482">
        <v>241</v>
      </c>
      <c r="G1482">
        <v>240</v>
      </c>
      <c r="P1482" t="s">
        <v>11918</v>
      </c>
    </row>
    <row r="1483" spans="2:16" x14ac:dyDescent="0.25">
      <c r="B1483">
        <v>9243</v>
      </c>
      <c r="C1483" t="s">
        <v>18459</v>
      </c>
      <c r="E1483">
        <v>242</v>
      </c>
      <c r="F1483">
        <v>241</v>
      </c>
      <c r="G1483">
        <v>240</v>
      </c>
      <c r="N1483" t="s">
        <v>1782</v>
      </c>
    </row>
    <row r="1484" spans="2:16" x14ac:dyDescent="0.25">
      <c r="B1484">
        <v>9244</v>
      </c>
      <c r="C1484" t="s">
        <v>18459</v>
      </c>
      <c r="D1484" t="s">
        <v>24355</v>
      </c>
      <c r="E1484">
        <v>242</v>
      </c>
      <c r="F1484">
        <v>241</v>
      </c>
      <c r="G1484">
        <v>240</v>
      </c>
      <c r="O1484" t="s">
        <v>12871</v>
      </c>
    </row>
    <row r="1485" spans="2:16" x14ac:dyDescent="0.25">
      <c r="B1485">
        <v>9245</v>
      </c>
      <c r="C1485" t="s">
        <v>18459</v>
      </c>
      <c r="D1485" t="s">
        <v>23430</v>
      </c>
      <c r="E1485">
        <v>242</v>
      </c>
      <c r="F1485">
        <v>241</v>
      </c>
      <c r="G1485">
        <v>240</v>
      </c>
      <c r="O1485" t="s">
        <v>12873</v>
      </c>
    </row>
    <row r="1486" spans="2:16" x14ac:dyDescent="0.25">
      <c r="B1486">
        <v>265505086</v>
      </c>
      <c r="C1486" t="s">
        <v>23574</v>
      </c>
      <c r="E1486">
        <v>242</v>
      </c>
      <c r="F1486">
        <v>241</v>
      </c>
      <c r="G1486">
        <v>240</v>
      </c>
      <c r="N1486" t="s">
        <v>2622</v>
      </c>
    </row>
    <row r="1487" spans="2:16" x14ac:dyDescent="0.25">
      <c r="B1487">
        <v>265505090</v>
      </c>
      <c r="C1487" t="s">
        <v>23574</v>
      </c>
      <c r="D1487" t="s">
        <v>24355</v>
      </c>
      <c r="E1487">
        <v>242</v>
      </c>
      <c r="F1487">
        <v>241</v>
      </c>
      <c r="G1487">
        <v>240</v>
      </c>
      <c r="O1487" t="s">
        <v>11920</v>
      </c>
    </row>
    <row r="1488" spans="2:16" x14ac:dyDescent="0.25">
      <c r="B1488">
        <v>265505094</v>
      </c>
      <c r="C1488" t="s">
        <v>23574</v>
      </c>
      <c r="D1488" t="s">
        <v>23430</v>
      </c>
      <c r="E1488">
        <v>242</v>
      </c>
      <c r="F1488">
        <v>241</v>
      </c>
      <c r="G1488">
        <v>240</v>
      </c>
      <c r="O1488" t="s">
        <v>11922</v>
      </c>
    </row>
    <row r="1489" spans="2:16" x14ac:dyDescent="0.25">
      <c r="B1489">
        <v>265505098</v>
      </c>
      <c r="C1489" t="s">
        <v>23575</v>
      </c>
      <c r="E1489">
        <v>242</v>
      </c>
      <c r="F1489">
        <v>241</v>
      </c>
      <c r="G1489">
        <v>240</v>
      </c>
      <c r="N1489" t="s">
        <v>1788</v>
      </c>
    </row>
    <row r="1490" spans="2:16" x14ac:dyDescent="0.25">
      <c r="B1490">
        <v>265505102</v>
      </c>
      <c r="C1490" t="s">
        <v>23575</v>
      </c>
      <c r="D1490" t="s">
        <v>24355</v>
      </c>
      <c r="E1490">
        <v>242</v>
      </c>
      <c r="F1490">
        <v>241</v>
      </c>
      <c r="G1490">
        <v>240</v>
      </c>
      <c r="O1490" t="s">
        <v>11924</v>
      </c>
    </row>
    <row r="1491" spans="2:16" x14ac:dyDescent="0.25">
      <c r="B1491">
        <v>265505106</v>
      </c>
      <c r="C1491" t="s">
        <v>23575</v>
      </c>
      <c r="D1491" t="s">
        <v>23430</v>
      </c>
      <c r="E1491">
        <v>242</v>
      </c>
      <c r="F1491">
        <v>241</v>
      </c>
      <c r="G1491">
        <v>240</v>
      </c>
      <c r="O1491" t="s">
        <v>11926</v>
      </c>
    </row>
    <row r="1492" spans="2:16" x14ac:dyDescent="0.25">
      <c r="B1492">
        <v>9246</v>
      </c>
      <c r="C1492" t="s">
        <v>25485</v>
      </c>
      <c r="E1492">
        <v>242</v>
      </c>
      <c r="F1492">
        <v>241</v>
      </c>
      <c r="G1492">
        <v>240</v>
      </c>
      <c r="N1492" t="s">
        <v>1805</v>
      </c>
    </row>
    <row r="1493" spans="2:16" x14ac:dyDescent="0.25">
      <c r="B1493">
        <v>9247</v>
      </c>
      <c r="C1493" t="s">
        <v>25485</v>
      </c>
      <c r="D1493" t="s">
        <v>24355</v>
      </c>
      <c r="E1493">
        <v>242</v>
      </c>
      <c r="F1493">
        <v>241</v>
      </c>
      <c r="G1493">
        <v>240</v>
      </c>
      <c r="O1493" t="s">
        <v>12875</v>
      </c>
    </row>
    <row r="1494" spans="2:16" x14ac:dyDescent="0.25">
      <c r="B1494">
        <v>9248</v>
      </c>
      <c r="C1494" t="s">
        <v>25485</v>
      </c>
      <c r="D1494" t="s">
        <v>23430</v>
      </c>
      <c r="E1494">
        <v>242</v>
      </c>
      <c r="F1494">
        <v>241</v>
      </c>
      <c r="G1494">
        <v>240</v>
      </c>
      <c r="O1494" t="s">
        <v>12877</v>
      </c>
    </row>
    <row r="1495" spans="2:16" x14ac:dyDescent="0.25">
      <c r="B1495">
        <v>9249</v>
      </c>
      <c r="C1495" t="s">
        <v>18461</v>
      </c>
      <c r="E1495">
        <v>242</v>
      </c>
      <c r="F1495">
        <v>241</v>
      </c>
      <c r="G1495">
        <v>240</v>
      </c>
      <c r="N1495" t="s">
        <v>1999</v>
      </c>
    </row>
    <row r="1496" spans="2:16" x14ac:dyDescent="0.25">
      <c r="B1496">
        <v>9250</v>
      </c>
      <c r="C1496" t="s">
        <v>18461</v>
      </c>
      <c r="D1496" t="s">
        <v>24355</v>
      </c>
      <c r="E1496">
        <v>242</v>
      </c>
      <c r="F1496">
        <v>241</v>
      </c>
      <c r="G1496">
        <v>240</v>
      </c>
      <c r="O1496" t="s">
        <v>12879</v>
      </c>
    </row>
    <row r="1497" spans="2:16" x14ac:dyDescent="0.25">
      <c r="B1497">
        <v>9251</v>
      </c>
      <c r="C1497" t="s">
        <v>25486</v>
      </c>
      <c r="D1497" t="s">
        <v>24355</v>
      </c>
      <c r="E1497">
        <v>242</v>
      </c>
      <c r="F1497">
        <v>241</v>
      </c>
      <c r="G1497">
        <v>240</v>
      </c>
      <c r="P1497" t="s">
        <v>315</v>
      </c>
    </row>
    <row r="1498" spans="2:16" x14ac:dyDescent="0.25">
      <c r="B1498">
        <v>9252</v>
      </c>
      <c r="C1498" t="s">
        <v>25487</v>
      </c>
      <c r="D1498" t="s">
        <v>24355</v>
      </c>
      <c r="E1498">
        <v>242</v>
      </c>
      <c r="F1498">
        <v>241</v>
      </c>
      <c r="G1498">
        <v>240</v>
      </c>
      <c r="P1498" t="s">
        <v>585</v>
      </c>
    </row>
    <row r="1499" spans="2:16" x14ac:dyDescent="0.25">
      <c r="B1499">
        <v>9253</v>
      </c>
      <c r="C1499" t="s">
        <v>18460</v>
      </c>
      <c r="D1499" t="s">
        <v>24355</v>
      </c>
      <c r="E1499">
        <v>242</v>
      </c>
      <c r="F1499">
        <v>241</v>
      </c>
      <c r="G1499">
        <v>240</v>
      </c>
      <c r="P1499" t="s">
        <v>2311</v>
      </c>
    </row>
    <row r="1500" spans="2:16" x14ac:dyDescent="0.25">
      <c r="B1500">
        <v>9254</v>
      </c>
      <c r="C1500" t="s">
        <v>25488</v>
      </c>
      <c r="D1500" t="s">
        <v>24355</v>
      </c>
      <c r="E1500">
        <v>242</v>
      </c>
      <c r="F1500">
        <v>241</v>
      </c>
      <c r="G1500">
        <v>240</v>
      </c>
      <c r="P1500" t="s">
        <v>3919</v>
      </c>
    </row>
    <row r="1501" spans="2:16" x14ac:dyDescent="0.25">
      <c r="B1501">
        <v>9255</v>
      </c>
      <c r="C1501" t="s">
        <v>18461</v>
      </c>
      <c r="D1501" t="s">
        <v>23430</v>
      </c>
      <c r="E1501">
        <v>242</v>
      </c>
      <c r="F1501">
        <v>241</v>
      </c>
      <c r="G1501">
        <v>240</v>
      </c>
      <c r="O1501" t="s">
        <v>12881</v>
      </c>
    </row>
    <row r="1502" spans="2:16" x14ac:dyDescent="0.25">
      <c r="B1502">
        <v>9256</v>
      </c>
      <c r="C1502" t="s">
        <v>25486</v>
      </c>
      <c r="D1502" t="s">
        <v>23430</v>
      </c>
      <c r="E1502">
        <v>242</v>
      </c>
      <c r="F1502">
        <v>241</v>
      </c>
      <c r="G1502">
        <v>240</v>
      </c>
      <c r="P1502" t="s">
        <v>12883</v>
      </c>
    </row>
    <row r="1503" spans="2:16" x14ac:dyDescent="0.25">
      <c r="B1503">
        <v>9257</v>
      </c>
      <c r="C1503" t="s">
        <v>25487</v>
      </c>
      <c r="D1503" t="s">
        <v>23430</v>
      </c>
      <c r="E1503">
        <v>242</v>
      </c>
      <c r="F1503">
        <v>241</v>
      </c>
      <c r="G1503">
        <v>240</v>
      </c>
      <c r="P1503" t="s">
        <v>12885</v>
      </c>
    </row>
    <row r="1504" spans="2:16" x14ac:dyDescent="0.25">
      <c r="B1504">
        <v>9258</v>
      </c>
      <c r="C1504" t="s">
        <v>18460</v>
      </c>
      <c r="D1504" t="s">
        <v>23430</v>
      </c>
      <c r="E1504">
        <v>242</v>
      </c>
      <c r="F1504">
        <v>241</v>
      </c>
      <c r="G1504">
        <v>240</v>
      </c>
      <c r="P1504" t="s">
        <v>12887</v>
      </c>
    </row>
    <row r="1505" spans="2:16" x14ac:dyDescent="0.25">
      <c r="B1505">
        <v>9259</v>
      </c>
      <c r="C1505" t="s">
        <v>25488</v>
      </c>
      <c r="D1505" t="s">
        <v>23430</v>
      </c>
      <c r="E1505">
        <v>242</v>
      </c>
      <c r="F1505">
        <v>241</v>
      </c>
      <c r="G1505">
        <v>240</v>
      </c>
      <c r="P1505" t="s">
        <v>12889</v>
      </c>
    </row>
    <row r="1506" spans="2:16" x14ac:dyDescent="0.25">
      <c r="B1506">
        <v>9260</v>
      </c>
      <c r="C1506" t="s">
        <v>23585</v>
      </c>
      <c r="E1506">
        <v>242</v>
      </c>
      <c r="F1506">
        <v>241</v>
      </c>
      <c r="G1506">
        <v>240</v>
      </c>
      <c r="N1506" t="s">
        <v>2374</v>
      </c>
    </row>
    <row r="1507" spans="2:16" x14ac:dyDescent="0.25">
      <c r="B1507">
        <v>9261</v>
      </c>
      <c r="C1507" t="s">
        <v>23585</v>
      </c>
      <c r="D1507" t="s">
        <v>24355</v>
      </c>
      <c r="E1507">
        <v>242</v>
      </c>
      <c r="F1507">
        <v>241</v>
      </c>
      <c r="G1507">
        <v>240</v>
      </c>
      <c r="O1507" t="s">
        <v>12891</v>
      </c>
    </row>
    <row r="1508" spans="2:16" x14ac:dyDescent="0.25">
      <c r="B1508">
        <v>9262</v>
      </c>
      <c r="C1508" t="s">
        <v>23585</v>
      </c>
      <c r="D1508" t="s">
        <v>23430</v>
      </c>
      <c r="E1508">
        <v>242</v>
      </c>
      <c r="F1508">
        <v>241</v>
      </c>
      <c r="G1508">
        <v>240</v>
      </c>
      <c r="O1508" t="s">
        <v>12893</v>
      </c>
    </row>
    <row r="1509" spans="2:16" x14ac:dyDescent="0.25">
      <c r="B1509">
        <v>265505110</v>
      </c>
      <c r="C1509" t="s">
        <v>23586</v>
      </c>
      <c r="E1509">
        <v>242</v>
      </c>
      <c r="F1509">
        <v>241</v>
      </c>
      <c r="G1509">
        <v>240</v>
      </c>
      <c r="N1509" t="s">
        <v>2424</v>
      </c>
    </row>
    <row r="1510" spans="2:16" x14ac:dyDescent="0.25">
      <c r="B1510">
        <v>265505114</v>
      </c>
      <c r="C1510" t="s">
        <v>23586</v>
      </c>
      <c r="D1510" t="s">
        <v>24355</v>
      </c>
      <c r="E1510">
        <v>242</v>
      </c>
      <c r="F1510">
        <v>241</v>
      </c>
      <c r="G1510">
        <v>240</v>
      </c>
      <c r="O1510" t="s">
        <v>11928</v>
      </c>
    </row>
    <row r="1511" spans="2:16" x14ac:dyDescent="0.25">
      <c r="B1511">
        <v>265505118</v>
      </c>
      <c r="C1511" t="s">
        <v>23586</v>
      </c>
      <c r="D1511" t="s">
        <v>23430</v>
      </c>
      <c r="E1511">
        <v>242</v>
      </c>
      <c r="F1511">
        <v>241</v>
      </c>
      <c r="G1511">
        <v>240</v>
      </c>
      <c r="O1511" t="s">
        <v>11930</v>
      </c>
    </row>
    <row r="1512" spans="2:16" x14ac:dyDescent="0.25">
      <c r="B1512">
        <v>9263</v>
      </c>
      <c r="C1512" t="s">
        <v>18464</v>
      </c>
      <c r="E1512">
        <v>242</v>
      </c>
      <c r="F1512">
        <v>241</v>
      </c>
      <c r="G1512">
        <v>240</v>
      </c>
      <c r="N1512" t="s">
        <v>2490</v>
      </c>
    </row>
    <row r="1513" spans="2:16" x14ac:dyDescent="0.25">
      <c r="B1513">
        <v>9264</v>
      </c>
      <c r="C1513" t="s">
        <v>18464</v>
      </c>
      <c r="D1513" t="s">
        <v>24355</v>
      </c>
      <c r="E1513">
        <v>242</v>
      </c>
      <c r="F1513">
        <v>241</v>
      </c>
      <c r="G1513">
        <v>240</v>
      </c>
      <c r="O1513" t="s">
        <v>12895</v>
      </c>
    </row>
    <row r="1514" spans="2:16" x14ac:dyDescent="0.25">
      <c r="B1514">
        <v>9265</v>
      </c>
      <c r="C1514" t="s">
        <v>18464</v>
      </c>
      <c r="D1514" t="s">
        <v>23430</v>
      </c>
      <c r="E1514">
        <v>242</v>
      </c>
      <c r="F1514">
        <v>241</v>
      </c>
      <c r="G1514">
        <v>240</v>
      </c>
      <c r="O1514" t="s">
        <v>12897</v>
      </c>
    </row>
    <row r="1515" spans="2:16" x14ac:dyDescent="0.25">
      <c r="B1515">
        <v>265505122</v>
      </c>
      <c r="C1515" t="s">
        <v>23607</v>
      </c>
      <c r="E1515">
        <v>242</v>
      </c>
      <c r="F1515">
        <v>241</v>
      </c>
      <c r="G1515">
        <v>240</v>
      </c>
      <c r="N1515" t="s">
        <v>2946</v>
      </c>
    </row>
    <row r="1516" spans="2:16" x14ac:dyDescent="0.25">
      <c r="B1516">
        <v>265505126</v>
      </c>
      <c r="C1516" t="s">
        <v>23607</v>
      </c>
      <c r="D1516" t="s">
        <v>24355</v>
      </c>
      <c r="E1516">
        <v>242</v>
      </c>
      <c r="F1516">
        <v>241</v>
      </c>
      <c r="G1516">
        <v>240</v>
      </c>
      <c r="O1516" t="s">
        <v>11932</v>
      </c>
    </row>
    <row r="1517" spans="2:16" x14ac:dyDescent="0.25">
      <c r="B1517">
        <v>265505130</v>
      </c>
      <c r="C1517" t="s">
        <v>23607</v>
      </c>
      <c r="D1517" t="s">
        <v>23430</v>
      </c>
      <c r="E1517">
        <v>242</v>
      </c>
      <c r="F1517">
        <v>241</v>
      </c>
      <c r="G1517">
        <v>240</v>
      </c>
      <c r="O1517" t="s">
        <v>11934</v>
      </c>
    </row>
    <row r="1518" spans="2:16" x14ac:dyDescent="0.25">
      <c r="B1518">
        <v>265505134</v>
      </c>
      <c r="C1518" t="s">
        <v>23608</v>
      </c>
      <c r="E1518">
        <v>242</v>
      </c>
      <c r="F1518">
        <v>241</v>
      </c>
      <c r="G1518">
        <v>240</v>
      </c>
      <c r="N1518" t="s">
        <v>2497</v>
      </c>
    </row>
    <row r="1519" spans="2:16" x14ac:dyDescent="0.25">
      <c r="B1519">
        <v>265505138</v>
      </c>
      <c r="C1519" t="s">
        <v>23608</v>
      </c>
      <c r="D1519" t="s">
        <v>24355</v>
      </c>
      <c r="E1519">
        <v>242</v>
      </c>
      <c r="F1519">
        <v>241</v>
      </c>
      <c r="G1519">
        <v>240</v>
      </c>
      <c r="O1519" t="s">
        <v>11936</v>
      </c>
    </row>
    <row r="1520" spans="2:16" x14ac:dyDescent="0.25">
      <c r="B1520">
        <v>265505142</v>
      </c>
      <c r="C1520" t="s">
        <v>23608</v>
      </c>
      <c r="D1520" t="s">
        <v>23430</v>
      </c>
      <c r="E1520">
        <v>242</v>
      </c>
      <c r="F1520">
        <v>241</v>
      </c>
      <c r="G1520">
        <v>240</v>
      </c>
      <c r="O1520" t="s">
        <v>11938</v>
      </c>
    </row>
    <row r="1521" spans="2:15" x14ac:dyDescent="0.25">
      <c r="B1521">
        <v>265505146</v>
      </c>
      <c r="C1521" t="s">
        <v>23609</v>
      </c>
      <c r="E1521">
        <v>242</v>
      </c>
      <c r="F1521">
        <v>241</v>
      </c>
      <c r="G1521">
        <v>240</v>
      </c>
      <c r="N1521" t="s">
        <v>2614</v>
      </c>
    </row>
    <row r="1522" spans="2:15" x14ac:dyDescent="0.25">
      <c r="B1522">
        <v>265505150</v>
      </c>
      <c r="C1522" t="s">
        <v>23609</v>
      </c>
      <c r="D1522" t="s">
        <v>24355</v>
      </c>
      <c r="E1522">
        <v>242</v>
      </c>
      <c r="F1522">
        <v>241</v>
      </c>
      <c r="G1522">
        <v>240</v>
      </c>
      <c r="O1522" t="s">
        <v>11940</v>
      </c>
    </row>
    <row r="1523" spans="2:15" x14ac:dyDescent="0.25">
      <c r="B1523">
        <v>265505154</v>
      </c>
      <c r="C1523" t="s">
        <v>23609</v>
      </c>
      <c r="D1523" t="s">
        <v>23430</v>
      </c>
      <c r="E1523">
        <v>242</v>
      </c>
      <c r="F1523">
        <v>241</v>
      </c>
      <c r="G1523">
        <v>240</v>
      </c>
      <c r="O1523" t="s">
        <v>11942</v>
      </c>
    </row>
    <row r="1524" spans="2:15" x14ac:dyDescent="0.25">
      <c r="B1524">
        <v>265505158</v>
      </c>
      <c r="C1524" t="s">
        <v>25489</v>
      </c>
      <c r="E1524">
        <v>242</v>
      </c>
      <c r="F1524">
        <v>241</v>
      </c>
      <c r="G1524">
        <v>240</v>
      </c>
      <c r="N1524" t="s">
        <v>2771</v>
      </c>
    </row>
    <row r="1525" spans="2:15" x14ac:dyDescent="0.25">
      <c r="B1525">
        <v>4510</v>
      </c>
      <c r="C1525" t="s">
        <v>25489</v>
      </c>
      <c r="D1525" t="s">
        <v>24355</v>
      </c>
      <c r="E1525">
        <v>242</v>
      </c>
      <c r="F1525">
        <v>241</v>
      </c>
      <c r="G1525">
        <v>240</v>
      </c>
      <c r="O1525" t="s">
        <v>12695</v>
      </c>
    </row>
    <row r="1526" spans="2:15" x14ac:dyDescent="0.25">
      <c r="B1526">
        <v>4516</v>
      </c>
      <c r="C1526" t="s">
        <v>25489</v>
      </c>
      <c r="D1526" t="s">
        <v>23430</v>
      </c>
      <c r="E1526">
        <v>242</v>
      </c>
      <c r="F1526">
        <v>241</v>
      </c>
      <c r="G1526">
        <v>240</v>
      </c>
      <c r="O1526" t="s">
        <v>12699</v>
      </c>
    </row>
    <row r="1527" spans="2:15" x14ac:dyDescent="0.25">
      <c r="B1527">
        <v>265505166</v>
      </c>
      <c r="C1527" t="s">
        <v>20938</v>
      </c>
      <c r="E1527">
        <v>242</v>
      </c>
      <c r="F1527">
        <v>241</v>
      </c>
      <c r="G1527">
        <v>240</v>
      </c>
      <c r="N1527" t="s">
        <v>2861</v>
      </c>
    </row>
    <row r="1528" spans="2:15" x14ac:dyDescent="0.25">
      <c r="B1528">
        <v>265505170</v>
      </c>
      <c r="C1528" t="s">
        <v>20938</v>
      </c>
      <c r="D1528" t="s">
        <v>24355</v>
      </c>
      <c r="E1528">
        <v>242</v>
      </c>
      <c r="F1528">
        <v>241</v>
      </c>
      <c r="G1528">
        <v>240</v>
      </c>
      <c r="O1528" t="s">
        <v>11944</v>
      </c>
    </row>
    <row r="1529" spans="2:15" x14ac:dyDescent="0.25">
      <c r="B1529">
        <v>265505174</v>
      </c>
      <c r="C1529" t="s">
        <v>20938</v>
      </c>
      <c r="D1529" t="s">
        <v>23430</v>
      </c>
      <c r="E1529">
        <v>242</v>
      </c>
      <c r="F1529">
        <v>241</v>
      </c>
      <c r="G1529">
        <v>240</v>
      </c>
      <c r="O1529" t="s">
        <v>11946</v>
      </c>
    </row>
    <row r="1530" spans="2:15" x14ac:dyDescent="0.25">
      <c r="B1530">
        <v>265505178</v>
      </c>
      <c r="C1530" t="s">
        <v>18478</v>
      </c>
      <c r="E1530">
        <v>242</v>
      </c>
      <c r="F1530">
        <v>241</v>
      </c>
      <c r="G1530">
        <v>240</v>
      </c>
      <c r="N1530" t="s">
        <v>2870</v>
      </c>
    </row>
    <row r="1531" spans="2:15" x14ac:dyDescent="0.25">
      <c r="B1531">
        <v>265505182</v>
      </c>
      <c r="C1531" t="s">
        <v>18478</v>
      </c>
      <c r="D1531" t="s">
        <v>24355</v>
      </c>
      <c r="E1531">
        <v>242</v>
      </c>
      <c r="F1531">
        <v>241</v>
      </c>
      <c r="G1531">
        <v>240</v>
      </c>
      <c r="O1531" t="s">
        <v>11948</v>
      </c>
    </row>
    <row r="1532" spans="2:15" x14ac:dyDescent="0.25">
      <c r="B1532">
        <v>265505186</v>
      </c>
      <c r="C1532" t="s">
        <v>18478</v>
      </c>
      <c r="D1532" t="s">
        <v>23430</v>
      </c>
      <c r="E1532">
        <v>242</v>
      </c>
      <c r="F1532">
        <v>241</v>
      </c>
      <c r="G1532">
        <v>240</v>
      </c>
      <c r="O1532" t="s">
        <v>11950</v>
      </c>
    </row>
    <row r="1533" spans="2:15" x14ac:dyDescent="0.25">
      <c r="B1533">
        <v>9266</v>
      </c>
      <c r="C1533" t="s">
        <v>20937</v>
      </c>
      <c r="E1533">
        <v>242</v>
      </c>
      <c r="F1533">
        <v>241</v>
      </c>
      <c r="G1533">
        <v>240</v>
      </c>
      <c r="N1533" t="s">
        <v>2876</v>
      </c>
    </row>
    <row r="1534" spans="2:15" x14ac:dyDescent="0.25">
      <c r="B1534">
        <v>9267</v>
      </c>
      <c r="C1534" t="s">
        <v>20937</v>
      </c>
      <c r="D1534" t="s">
        <v>24355</v>
      </c>
      <c r="E1534">
        <v>242</v>
      </c>
      <c r="F1534">
        <v>241</v>
      </c>
      <c r="G1534">
        <v>240</v>
      </c>
      <c r="O1534" t="s">
        <v>12899</v>
      </c>
    </row>
    <row r="1535" spans="2:15" x14ac:dyDescent="0.25">
      <c r="B1535">
        <v>9268</v>
      </c>
      <c r="C1535" t="s">
        <v>20937</v>
      </c>
      <c r="D1535" t="s">
        <v>23430</v>
      </c>
      <c r="E1535">
        <v>242</v>
      </c>
      <c r="F1535">
        <v>241</v>
      </c>
      <c r="G1535">
        <v>240</v>
      </c>
      <c r="O1535" t="s">
        <v>12901</v>
      </c>
    </row>
    <row r="1536" spans="2:15" x14ac:dyDescent="0.25">
      <c r="B1536">
        <v>265505190</v>
      </c>
      <c r="C1536" t="s">
        <v>20909</v>
      </c>
      <c r="E1536">
        <v>242</v>
      </c>
      <c r="F1536">
        <v>241</v>
      </c>
      <c r="G1536">
        <v>240</v>
      </c>
      <c r="N1536" t="s">
        <v>1209</v>
      </c>
    </row>
    <row r="1537" spans="2:15" x14ac:dyDescent="0.25">
      <c r="B1537">
        <v>265505194</v>
      </c>
      <c r="C1537" t="s">
        <v>20909</v>
      </c>
      <c r="D1537" t="s">
        <v>24355</v>
      </c>
      <c r="E1537">
        <v>242</v>
      </c>
      <c r="F1537">
        <v>241</v>
      </c>
      <c r="G1537">
        <v>240</v>
      </c>
      <c r="O1537" t="s">
        <v>11952</v>
      </c>
    </row>
    <row r="1538" spans="2:15" x14ac:dyDescent="0.25">
      <c r="B1538">
        <v>265505198</v>
      </c>
      <c r="C1538" t="s">
        <v>20909</v>
      </c>
      <c r="D1538" t="s">
        <v>23430</v>
      </c>
      <c r="E1538">
        <v>242</v>
      </c>
      <c r="F1538">
        <v>241</v>
      </c>
      <c r="G1538">
        <v>240</v>
      </c>
      <c r="O1538" t="s">
        <v>11954</v>
      </c>
    </row>
    <row r="1539" spans="2:15" x14ac:dyDescent="0.25">
      <c r="B1539">
        <v>265505202</v>
      </c>
      <c r="C1539" t="s">
        <v>23612</v>
      </c>
      <c r="E1539">
        <v>242</v>
      </c>
      <c r="F1539">
        <v>241</v>
      </c>
      <c r="G1539">
        <v>240</v>
      </c>
      <c r="N1539" t="s">
        <v>2938</v>
      </c>
    </row>
    <row r="1540" spans="2:15" x14ac:dyDescent="0.25">
      <c r="B1540">
        <v>265505206</v>
      </c>
      <c r="C1540" t="s">
        <v>23612</v>
      </c>
      <c r="D1540" t="s">
        <v>24355</v>
      </c>
      <c r="E1540">
        <v>242</v>
      </c>
      <c r="F1540">
        <v>241</v>
      </c>
      <c r="G1540">
        <v>240</v>
      </c>
      <c r="O1540" t="s">
        <v>11956</v>
      </c>
    </row>
    <row r="1541" spans="2:15" x14ac:dyDescent="0.25">
      <c r="B1541">
        <v>265505210</v>
      </c>
      <c r="C1541" t="s">
        <v>23612</v>
      </c>
      <c r="D1541" t="s">
        <v>23430</v>
      </c>
      <c r="E1541">
        <v>242</v>
      </c>
      <c r="F1541">
        <v>241</v>
      </c>
      <c r="G1541">
        <v>240</v>
      </c>
      <c r="O1541" t="s">
        <v>11958</v>
      </c>
    </row>
    <row r="1542" spans="2:15" x14ac:dyDescent="0.25">
      <c r="B1542">
        <v>265505214</v>
      </c>
      <c r="C1542" t="s">
        <v>23613</v>
      </c>
      <c r="E1542">
        <v>242</v>
      </c>
      <c r="F1542">
        <v>241</v>
      </c>
      <c r="G1542">
        <v>240</v>
      </c>
      <c r="N1542" t="s">
        <v>23614</v>
      </c>
    </row>
    <row r="1543" spans="2:15" x14ac:dyDescent="0.25">
      <c r="B1543">
        <v>265505218</v>
      </c>
      <c r="C1543" t="s">
        <v>23613</v>
      </c>
      <c r="D1543" t="s">
        <v>24355</v>
      </c>
      <c r="E1543">
        <v>242</v>
      </c>
      <c r="F1543">
        <v>241</v>
      </c>
      <c r="G1543">
        <v>240</v>
      </c>
      <c r="O1543" t="s">
        <v>11960</v>
      </c>
    </row>
    <row r="1544" spans="2:15" x14ac:dyDescent="0.25">
      <c r="B1544">
        <v>265505222</v>
      </c>
      <c r="C1544" t="s">
        <v>23613</v>
      </c>
      <c r="D1544" t="s">
        <v>23430</v>
      </c>
      <c r="E1544">
        <v>242</v>
      </c>
      <c r="F1544">
        <v>241</v>
      </c>
      <c r="G1544">
        <v>240</v>
      </c>
      <c r="O1544" t="s">
        <v>11962</v>
      </c>
    </row>
    <row r="1545" spans="2:15" x14ac:dyDescent="0.25">
      <c r="B1545">
        <v>265505226</v>
      </c>
      <c r="C1545" t="s">
        <v>23615</v>
      </c>
      <c r="E1545">
        <v>242</v>
      </c>
      <c r="F1545">
        <v>241</v>
      </c>
      <c r="G1545">
        <v>240</v>
      </c>
      <c r="N1545" t="s">
        <v>11964</v>
      </c>
    </row>
    <row r="1546" spans="2:15" x14ac:dyDescent="0.25">
      <c r="B1546">
        <v>265505230</v>
      </c>
      <c r="C1546" t="s">
        <v>23615</v>
      </c>
      <c r="D1546" t="s">
        <v>24355</v>
      </c>
      <c r="E1546">
        <v>242</v>
      </c>
      <c r="F1546">
        <v>241</v>
      </c>
      <c r="G1546">
        <v>240</v>
      </c>
      <c r="O1546" t="s">
        <v>11966</v>
      </c>
    </row>
    <row r="1547" spans="2:15" x14ac:dyDescent="0.25">
      <c r="B1547">
        <v>265505234</v>
      </c>
      <c r="C1547" t="s">
        <v>23615</v>
      </c>
      <c r="D1547" t="s">
        <v>23430</v>
      </c>
      <c r="E1547">
        <v>242</v>
      </c>
      <c r="F1547">
        <v>241</v>
      </c>
      <c r="G1547">
        <v>240</v>
      </c>
      <c r="O1547" t="s">
        <v>11968</v>
      </c>
    </row>
    <row r="1548" spans="2:15" x14ac:dyDescent="0.25">
      <c r="B1548">
        <v>9269</v>
      </c>
      <c r="C1548" t="s">
        <v>23619</v>
      </c>
      <c r="E1548">
        <v>242</v>
      </c>
      <c r="F1548">
        <v>241</v>
      </c>
      <c r="G1548">
        <v>240</v>
      </c>
      <c r="N1548" t="s">
        <v>3394</v>
      </c>
    </row>
    <row r="1549" spans="2:15" x14ac:dyDescent="0.25">
      <c r="B1549">
        <v>9270</v>
      </c>
      <c r="C1549" t="s">
        <v>23619</v>
      </c>
      <c r="D1549" t="s">
        <v>24355</v>
      </c>
      <c r="E1549">
        <v>242</v>
      </c>
      <c r="F1549">
        <v>241</v>
      </c>
      <c r="G1549">
        <v>240</v>
      </c>
      <c r="O1549" t="s">
        <v>12903</v>
      </c>
    </row>
    <row r="1550" spans="2:15" x14ac:dyDescent="0.25">
      <c r="B1550">
        <v>9271</v>
      </c>
      <c r="C1550" t="s">
        <v>23619</v>
      </c>
      <c r="D1550" t="s">
        <v>23430</v>
      </c>
      <c r="E1550">
        <v>242</v>
      </c>
      <c r="F1550">
        <v>241</v>
      </c>
      <c r="G1550">
        <v>240</v>
      </c>
      <c r="O1550" t="s">
        <v>12905</v>
      </c>
    </row>
    <row r="1551" spans="2:15" x14ac:dyDescent="0.25">
      <c r="B1551">
        <v>265505238</v>
      </c>
      <c r="C1551" t="s">
        <v>25490</v>
      </c>
      <c r="E1551">
        <v>242</v>
      </c>
      <c r="F1551">
        <v>241</v>
      </c>
      <c r="G1551">
        <v>240</v>
      </c>
      <c r="N1551" t="s">
        <v>11970</v>
      </c>
    </row>
    <row r="1552" spans="2:15" x14ac:dyDescent="0.25">
      <c r="B1552">
        <v>265505242</v>
      </c>
      <c r="C1552" t="s">
        <v>25490</v>
      </c>
      <c r="D1552" t="s">
        <v>24355</v>
      </c>
      <c r="E1552">
        <v>242</v>
      </c>
      <c r="F1552">
        <v>241</v>
      </c>
      <c r="G1552">
        <v>240</v>
      </c>
      <c r="O1552" t="s">
        <v>11972</v>
      </c>
    </row>
    <row r="1553" spans="2:16" x14ac:dyDescent="0.25">
      <c r="B1553">
        <v>265505246</v>
      </c>
      <c r="C1553" t="s">
        <v>25490</v>
      </c>
      <c r="D1553" t="s">
        <v>23430</v>
      </c>
      <c r="E1553">
        <v>242</v>
      </c>
      <c r="F1553">
        <v>241</v>
      </c>
      <c r="G1553">
        <v>240</v>
      </c>
      <c r="O1553" t="s">
        <v>11974</v>
      </c>
    </row>
    <row r="1554" spans="2:16" x14ac:dyDescent="0.25">
      <c r="B1554">
        <v>265505250</v>
      </c>
      <c r="C1554" t="s">
        <v>23633</v>
      </c>
      <c r="E1554">
        <v>242</v>
      </c>
      <c r="F1554">
        <v>241</v>
      </c>
      <c r="G1554">
        <v>240</v>
      </c>
      <c r="N1554" t="s">
        <v>3781</v>
      </c>
    </row>
    <row r="1555" spans="2:16" x14ac:dyDescent="0.25">
      <c r="B1555">
        <v>265505254</v>
      </c>
      <c r="C1555" t="s">
        <v>23633</v>
      </c>
      <c r="D1555" t="s">
        <v>24355</v>
      </c>
      <c r="E1555">
        <v>242</v>
      </c>
      <c r="F1555">
        <v>241</v>
      </c>
      <c r="G1555">
        <v>240</v>
      </c>
      <c r="O1555" t="s">
        <v>11976</v>
      </c>
    </row>
    <row r="1556" spans="2:16" x14ac:dyDescent="0.25">
      <c r="B1556">
        <v>265505258</v>
      </c>
      <c r="C1556" t="s">
        <v>23633</v>
      </c>
      <c r="D1556" t="s">
        <v>23430</v>
      </c>
      <c r="E1556">
        <v>242</v>
      </c>
      <c r="F1556">
        <v>241</v>
      </c>
      <c r="G1556">
        <v>240</v>
      </c>
      <c r="O1556" t="s">
        <v>11978</v>
      </c>
    </row>
    <row r="1557" spans="2:16" x14ac:dyDescent="0.25">
      <c r="B1557">
        <v>9272</v>
      </c>
      <c r="C1557" t="s">
        <v>20977</v>
      </c>
      <c r="E1557">
        <v>242</v>
      </c>
      <c r="F1557">
        <v>241</v>
      </c>
      <c r="G1557">
        <v>240</v>
      </c>
      <c r="N1557" t="s">
        <v>12907</v>
      </c>
    </row>
    <row r="1558" spans="2:16" x14ac:dyDescent="0.25">
      <c r="B1558">
        <v>9273</v>
      </c>
      <c r="C1558" t="s">
        <v>20977</v>
      </c>
      <c r="D1558" t="s">
        <v>24355</v>
      </c>
      <c r="E1558">
        <v>242</v>
      </c>
      <c r="F1558">
        <v>241</v>
      </c>
      <c r="G1558">
        <v>240</v>
      </c>
      <c r="O1558" t="s">
        <v>12909</v>
      </c>
    </row>
    <row r="1559" spans="2:16" x14ac:dyDescent="0.25">
      <c r="B1559">
        <v>9274</v>
      </c>
      <c r="C1559" t="s">
        <v>20977</v>
      </c>
      <c r="D1559" t="s">
        <v>23430</v>
      </c>
      <c r="E1559">
        <v>242</v>
      </c>
      <c r="F1559">
        <v>241</v>
      </c>
      <c r="G1559">
        <v>240</v>
      </c>
      <c r="O1559" t="s">
        <v>12911</v>
      </c>
    </row>
    <row r="1560" spans="2:16" x14ac:dyDescent="0.25">
      <c r="B1560">
        <v>265505262</v>
      </c>
      <c r="C1560" t="s">
        <v>23635</v>
      </c>
      <c r="E1560">
        <v>242</v>
      </c>
      <c r="F1560">
        <v>241</v>
      </c>
      <c r="G1560">
        <v>240</v>
      </c>
      <c r="N1560" t="s">
        <v>11980</v>
      </c>
    </row>
    <row r="1561" spans="2:16" x14ac:dyDescent="0.25">
      <c r="B1561">
        <v>265505266</v>
      </c>
      <c r="C1561" t="s">
        <v>23635</v>
      </c>
      <c r="D1561" t="s">
        <v>24355</v>
      </c>
      <c r="E1561">
        <v>242</v>
      </c>
      <c r="F1561">
        <v>241</v>
      </c>
      <c r="G1561">
        <v>240</v>
      </c>
      <c r="O1561" t="s">
        <v>11982</v>
      </c>
    </row>
    <row r="1562" spans="2:16" x14ac:dyDescent="0.25">
      <c r="B1562">
        <v>265505270</v>
      </c>
      <c r="C1562" t="s">
        <v>23635</v>
      </c>
      <c r="D1562" t="s">
        <v>23430</v>
      </c>
      <c r="E1562">
        <v>242</v>
      </c>
      <c r="F1562">
        <v>241</v>
      </c>
      <c r="G1562">
        <v>240</v>
      </c>
      <c r="O1562" t="s">
        <v>11984</v>
      </c>
    </row>
    <row r="1563" spans="2:16" x14ac:dyDescent="0.25">
      <c r="B1563">
        <v>265505274</v>
      </c>
      <c r="C1563" t="s">
        <v>23636</v>
      </c>
      <c r="E1563">
        <v>242</v>
      </c>
      <c r="F1563">
        <v>241</v>
      </c>
      <c r="G1563">
        <v>240</v>
      </c>
      <c r="N1563" t="s">
        <v>429</v>
      </c>
    </row>
    <row r="1564" spans="2:16" x14ac:dyDescent="0.25">
      <c r="B1564">
        <v>265505278</v>
      </c>
      <c r="C1564" t="s">
        <v>23636</v>
      </c>
      <c r="D1564" t="s">
        <v>24355</v>
      </c>
      <c r="E1564">
        <v>242</v>
      </c>
      <c r="F1564">
        <v>241</v>
      </c>
      <c r="G1564">
        <v>240</v>
      </c>
      <c r="O1564" t="s">
        <v>11986</v>
      </c>
    </row>
    <row r="1565" spans="2:16" x14ac:dyDescent="0.25">
      <c r="B1565">
        <v>265505282</v>
      </c>
      <c r="C1565" t="s">
        <v>23636</v>
      </c>
      <c r="D1565" t="s">
        <v>23430</v>
      </c>
      <c r="E1565">
        <v>242</v>
      </c>
      <c r="F1565">
        <v>241</v>
      </c>
      <c r="G1565">
        <v>240</v>
      </c>
      <c r="O1565" t="s">
        <v>11988</v>
      </c>
    </row>
    <row r="1566" spans="2:16" x14ac:dyDescent="0.25">
      <c r="B1566">
        <v>265505286</v>
      </c>
      <c r="C1566" t="s">
        <v>20781</v>
      </c>
      <c r="E1566">
        <v>242</v>
      </c>
      <c r="F1566">
        <v>241</v>
      </c>
      <c r="G1566">
        <v>240</v>
      </c>
      <c r="N1566" t="s">
        <v>4934</v>
      </c>
    </row>
    <row r="1567" spans="2:16" x14ac:dyDescent="0.25">
      <c r="B1567">
        <v>265505290</v>
      </c>
      <c r="C1567" t="s">
        <v>20781</v>
      </c>
      <c r="D1567" t="s">
        <v>24355</v>
      </c>
      <c r="E1567">
        <v>242</v>
      </c>
      <c r="F1567">
        <v>241</v>
      </c>
      <c r="G1567">
        <v>240</v>
      </c>
      <c r="O1567" t="s">
        <v>11990</v>
      </c>
    </row>
    <row r="1568" spans="2:16" x14ac:dyDescent="0.25">
      <c r="B1568">
        <v>265505294</v>
      </c>
      <c r="C1568" t="s">
        <v>23637</v>
      </c>
      <c r="D1568" t="s">
        <v>24355</v>
      </c>
      <c r="E1568">
        <v>242</v>
      </c>
      <c r="F1568">
        <v>241</v>
      </c>
      <c r="G1568">
        <v>240</v>
      </c>
      <c r="P1568" t="s">
        <v>11992</v>
      </c>
    </row>
    <row r="1569" spans="2:16" x14ac:dyDescent="0.25">
      <c r="B1569">
        <v>265505298</v>
      </c>
      <c r="C1569" t="s">
        <v>23638</v>
      </c>
      <c r="D1569" t="s">
        <v>24355</v>
      </c>
      <c r="E1569">
        <v>242</v>
      </c>
      <c r="F1569">
        <v>241</v>
      </c>
      <c r="G1569">
        <v>240</v>
      </c>
      <c r="P1569" t="s">
        <v>11994</v>
      </c>
    </row>
    <row r="1570" spans="2:16" x14ac:dyDescent="0.25">
      <c r="B1570">
        <v>265505302</v>
      </c>
      <c r="C1570" t="s">
        <v>20781</v>
      </c>
      <c r="D1570" t="s">
        <v>23430</v>
      </c>
      <c r="E1570">
        <v>242</v>
      </c>
      <c r="F1570">
        <v>241</v>
      </c>
      <c r="G1570">
        <v>240</v>
      </c>
      <c r="O1570" t="s">
        <v>11996</v>
      </c>
    </row>
    <row r="1571" spans="2:16" x14ac:dyDescent="0.25">
      <c r="B1571">
        <v>265505306</v>
      </c>
      <c r="C1571" t="s">
        <v>23637</v>
      </c>
      <c r="D1571" t="s">
        <v>23430</v>
      </c>
      <c r="E1571">
        <v>242</v>
      </c>
      <c r="F1571">
        <v>241</v>
      </c>
      <c r="G1571">
        <v>240</v>
      </c>
      <c r="P1571" t="s">
        <v>11998</v>
      </c>
    </row>
    <row r="1572" spans="2:16" x14ac:dyDescent="0.25">
      <c r="B1572">
        <v>265505310</v>
      </c>
      <c r="C1572" t="s">
        <v>23638</v>
      </c>
      <c r="D1572" t="s">
        <v>23430</v>
      </c>
      <c r="E1572">
        <v>242</v>
      </c>
      <c r="F1572">
        <v>241</v>
      </c>
      <c r="G1572">
        <v>240</v>
      </c>
      <c r="P1572" t="s">
        <v>12000</v>
      </c>
    </row>
    <row r="1573" spans="2:16" x14ac:dyDescent="0.25">
      <c r="B1573">
        <v>265505314</v>
      </c>
      <c r="C1573" t="s">
        <v>23639</v>
      </c>
      <c r="E1573">
        <v>242</v>
      </c>
      <c r="F1573">
        <v>241</v>
      </c>
      <c r="G1573">
        <v>240</v>
      </c>
      <c r="N1573" t="s">
        <v>12002</v>
      </c>
    </row>
    <row r="1574" spans="2:16" x14ac:dyDescent="0.25">
      <c r="B1574">
        <v>265505318</v>
      </c>
      <c r="C1574" t="s">
        <v>23639</v>
      </c>
      <c r="D1574" t="s">
        <v>24355</v>
      </c>
      <c r="E1574">
        <v>242</v>
      </c>
      <c r="F1574">
        <v>241</v>
      </c>
      <c r="G1574">
        <v>240</v>
      </c>
      <c r="O1574" t="s">
        <v>12004</v>
      </c>
    </row>
    <row r="1575" spans="2:16" x14ac:dyDescent="0.25">
      <c r="B1575">
        <v>265505322</v>
      </c>
      <c r="C1575" t="s">
        <v>23639</v>
      </c>
      <c r="D1575" t="s">
        <v>23430</v>
      </c>
      <c r="E1575">
        <v>242</v>
      </c>
      <c r="F1575">
        <v>241</v>
      </c>
      <c r="G1575">
        <v>240</v>
      </c>
      <c r="O1575" t="s">
        <v>12006</v>
      </c>
    </row>
    <row r="1576" spans="2:16" x14ac:dyDescent="0.25">
      <c r="B1576">
        <v>265505326</v>
      </c>
      <c r="C1576" t="s">
        <v>23640</v>
      </c>
      <c r="E1576">
        <v>242</v>
      </c>
      <c r="F1576">
        <v>241</v>
      </c>
      <c r="G1576">
        <v>240</v>
      </c>
      <c r="N1576" t="s">
        <v>5070</v>
      </c>
    </row>
    <row r="1577" spans="2:16" x14ac:dyDescent="0.25">
      <c r="B1577">
        <v>265505330</v>
      </c>
      <c r="C1577" t="s">
        <v>23640</v>
      </c>
      <c r="D1577" t="s">
        <v>24355</v>
      </c>
      <c r="E1577">
        <v>242</v>
      </c>
      <c r="F1577">
        <v>241</v>
      </c>
      <c r="G1577">
        <v>240</v>
      </c>
      <c r="O1577" t="s">
        <v>12008</v>
      </c>
    </row>
    <row r="1578" spans="2:16" x14ac:dyDescent="0.25">
      <c r="B1578">
        <v>265505334</v>
      </c>
      <c r="C1578" t="s">
        <v>23640</v>
      </c>
      <c r="D1578" t="s">
        <v>23430</v>
      </c>
      <c r="E1578">
        <v>242</v>
      </c>
      <c r="F1578">
        <v>241</v>
      </c>
      <c r="G1578">
        <v>240</v>
      </c>
      <c r="O1578" t="s">
        <v>12010</v>
      </c>
    </row>
    <row r="1579" spans="2:16" x14ac:dyDescent="0.25">
      <c r="B1579">
        <v>9275</v>
      </c>
      <c r="C1579" t="s">
        <v>18496</v>
      </c>
      <c r="E1579">
        <v>242</v>
      </c>
      <c r="F1579">
        <v>241</v>
      </c>
      <c r="G1579">
        <v>240</v>
      </c>
      <c r="N1579" t="s">
        <v>5076</v>
      </c>
    </row>
    <row r="1580" spans="2:16" x14ac:dyDescent="0.25">
      <c r="B1580">
        <v>9276</v>
      </c>
      <c r="C1580" t="s">
        <v>18496</v>
      </c>
      <c r="D1580" t="s">
        <v>24355</v>
      </c>
      <c r="E1580">
        <v>242</v>
      </c>
      <c r="F1580">
        <v>241</v>
      </c>
      <c r="G1580">
        <v>240</v>
      </c>
      <c r="O1580" t="s">
        <v>12913</v>
      </c>
    </row>
    <row r="1581" spans="2:16" x14ac:dyDescent="0.25">
      <c r="B1581">
        <v>9277</v>
      </c>
      <c r="C1581" t="s">
        <v>18496</v>
      </c>
      <c r="D1581" t="s">
        <v>23430</v>
      </c>
      <c r="E1581">
        <v>242</v>
      </c>
      <c r="F1581">
        <v>241</v>
      </c>
      <c r="G1581">
        <v>240</v>
      </c>
      <c r="O1581" t="s">
        <v>12915</v>
      </c>
    </row>
    <row r="1582" spans="2:16" x14ac:dyDescent="0.25">
      <c r="B1582">
        <v>9278</v>
      </c>
      <c r="C1582" t="s">
        <v>18501</v>
      </c>
      <c r="E1582">
        <v>242</v>
      </c>
      <c r="F1582">
        <v>241</v>
      </c>
      <c r="G1582">
        <v>240</v>
      </c>
      <c r="N1582" t="s">
        <v>5082</v>
      </c>
    </row>
    <row r="1583" spans="2:16" x14ac:dyDescent="0.25">
      <c r="B1583">
        <v>9279</v>
      </c>
      <c r="C1583" t="s">
        <v>18501</v>
      </c>
      <c r="D1583" t="s">
        <v>24355</v>
      </c>
      <c r="E1583">
        <v>242</v>
      </c>
      <c r="F1583">
        <v>241</v>
      </c>
      <c r="G1583">
        <v>240</v>
      </c>
      <c r="O1583" t="s">
        <v>12917</v>
      </c>
    </row>
    <row r="1584" spans="2:16" x14ac:dyDescent="0.25">
      <c r="B1584">
        <v>9280</v>
      </c>
      <c r="C1584" t="s">
        <v>18501</v>
      </c>
      <c r="D1584" t="s">
        <v>23430</v>
      </c>
      <c r="E1584">
        <v>242</v>
      </c>
      <c r="F1584">
        <v>241</v>
      </c>
      <c r="G1584">
        <v>240</v>
      </c>
      <c r="O1584" t="s">
        <v>12919</v>
      </c>
    </row>
    <row r="1585" spans="2:15" x14ac:dyDescent="0.25">
      <c r="B1585">
        <v>265505338</v>
      </c>
      <c r="C1585" t="s">
        <v>23648</v>
      </c>
      <c r="E1585">
        <v>242</v>
      </c>
      <c r="F1585">
        <v>241</v>
      </c>
      <c r="G1585">
        <v>240</v>
      </c>
      <c r="N1585" t="s">
        <v>14704</v>
      </c>
    </row>
    <row r="1586" spans="2:15" x14ac:dyDescent="0.25">
      <c r="B1586">
        <v>265505342</v>
      </c>
      <c r="C1586" t="s">
        <v>23648</v>
      </c>
      <c r="D1586" t="s">
        <v>24355</v>
      </c>
      <c r="E1586">
        <v>242</v>
      </c>
      <c r="F1586">
        <v>241</v>
      </c>
      <c r="G1586">
        <v>240</v>
      </c>
      <c r="O1586" t="s">
        <v>12012</v>
      </c>
    </row>
    <row r="1587" spans="2:15" x14ac:dyDescent="0.25">
      <c r="B1587">
        <v>265505346</v>
      </c>
      <c r="C1587" t="s">
        <v>23648</v>
      </c>
      <c r="D1587" t="s">
        <v>23430</v>
      </c>
      <c r="E1587">
        <v>242</v>
      </c>
      <c r="F1587">
        <v>241</v>
      </c>
      <c r="G1587">
        <v>240</v>
      </c>
      <c r="O1587" t="s">
        <v>12014</v>
      </c>
    </row>
    <row r="1588" spans="2:15" x14ac:dyDescent="0.25">
      <c r="B1588">
        <v>265505350</v>
      </c>
      <c r="C1588" t="s">
        <v>23649</v>
      </c>
      <c r="E1588">
        <v>242</v>
      </c>
      <c r="F1588">
        <v>241</v>
      </c>
      <c r="G1588">
        <v>240</v>
      </c>
      <c r="N1588" t="s">
        <v>1213</v>
      </c>
    </row>
    <row r="1589" spans="2:15" x14ac:dyDescent="0.25">
      <c r="B1589">
        <v>265505354</v>
      </c>
      <c r="C1589" t="s">
        <v>23649</v>
      </c>
      <c r="D1589" t="s">
        <v>24355</v>
      </c>
      <c r="E1589">
        <v>242</v>
      </c>
      <c r="F1589">
        <v>241</v>
      </c>
      <c r="G1589">
        <v>240</v>
      </c>
      <c r="O1589" t="s">
        <v>12016</v>
      </c>
    </row>
    <row r="1590" spans="2:15" x14ac:dyDescent="0.25">
      <c r="B1590">
        <v>265505358</v>
      </c>
      <c r="C1590" t="s">
        <v>23649</v>
      </c>
      <c r="D1590" t="s">
        <v>23430</v>
      </c>
      <c r="E1590">
        <v>242</v>
      </c>
      <c r="F1590">
        <v>241</v>
      </c>
      <c r="G1590">
        <v>240</v>
      </c>
      <c r="O1590" t="s">
        <v>12018</v>
      </c>
    </row>
    <row r="1591" spans="2:15" x14ac:dyDescent="0.25">
      <c r="B1591">
        <v>265505362</v>
      </c>
      <c r="C1591" t="s">
        <v>23650</v>
      </c>
      <c r="E1591">
        <v>242</v>
      </c>
      <c r="F1591">
        <v>241</v>
      </c>
      <c r="G1591">
        <v>240</v>
      </c>
      <c r="N1591" t="s">
        <v>4436</v>
      </c>
    </row>
    <row r="1592" spans="2:15" x14ac:dyDescent="0.25">
      <c r="B1592">
        <v>265505366</v>
      </c>
      <c r="C1592" t="s">
        <v>23650</v>
      </c>
      <c r="D1592" t="s">
        <v>24355</v>
      </c>
      <c r="E1592">
        <v>242</v>
      </c>
      <c r="F1592">
        <v>241</v>
      </c>
      <c r="G1592">
        <v>240</v>
      </c>
      <c r="O1592" t="s">
        <v>4438</v>
      </c>
    </row>
    <row r="1593" spans="2:15" x14ac:dyDescent="0.25">
      <c r="B1593">
        <v>265505370</v>
      </c>
      <c r="C1593" t="s">
        <v>23650</v>
      </c>
      <c r="D1593" t="s">
        <v>23430</v>
      </c>
      <c r="E1593">
        <v>242</v>
      </c>
      <c r="F1593">
        <v>241</v>
      </c>
      <c r="G1593">
        <v>240</v>
      </c>
      <c r="O1593" t="s">
        <v>4440</v>
      </c>
    </row>
    <row r="1594" spans="2:15" x14ac:dyDescent="0.25">
      <c r="B1594">
        <v>9281</v>
      </c>
      <c r="C1594" t="s">
        <v>23651</v>
      </c>
      <c r="E1594">
        <v>242</v>
      </c>
      <c r="F1594">
        <v>241</v>
      </c>
      <c r="G1594">
        <v>240</v>
      </c>
      <c r="N1594" t="s">
        <v>5397</v>
      </c>
    </row>
    <row r="1595" spans="2:15" x14ac:dyDescent="0.25">
      <c r="B1595">
        <v>9282</v>
      </c>
      <c r="C1595" t="s">
        <v>23651</v>
      </c>
      <c r="D1595" t="s">
        <v>24355</v>
      </c>
      <c r="E1595">
        <v>242</v>
      </c>
      <c r="F1595">
        <v>241</v>
      </c>
      <c r="G1595">
        <v>240</v>
      </c>
      <c r="O1595" t="s">
        <v>12922</v>
      </c>
    </row>
    <row r="1596" spans="2:15" x14ac:dyDescent="0.25">
      <c r="B1596">
        <v>9283</v>
      </c>
      <c r="C1596" t="s">
        <v>23651</v>
      </c>
      <c r="D1596" t="s">
        <v>23430</v>
      </c>
      <c r="E1596">
        <v>242</v>
      </c>
      <c r="F1596">
        <v>241</v>
      </c>
      <c r="G1596">
        <v>240</v>
      </c>
      <c r="O1596" t="s">
        <v>12924</v>
      </c>
    </row>
    <row r="1597" spans="2:15" x14ac:dyDescent="0.25">
      <c r="B1597">
        <v>265505374</v>
      </c>
      <c r="C1597" t="s">
        <v>23659</v>
      </c>
      <c r="E1597">
        <v>242</v>
      </c>
      <c r="F1597">
        <v>241</v>
      </c>
      <c r="G1597">
        <v>240</v>
      </c>
      <c r="N1597" t="s">
        <v>1211</v>
      </c>
    </row>
    <row r="1598" spans="2:15" x14ac:dyDescent="0.25">
      <c r="B1598">
        <v>4509</v>
      </c>
      <c r="C1598" t="s">
        <v>23659</v>
      </c>
      <c r="D1598" t="s">
        <v>24355</v>
      </c>
      <c r="E1598">
        <v>242</v>
      </c>
      <c r="F1598">
        <v>241</v>
      </c>
      <c r="G1598">
        <v>240</v>
      </c>
      <c r="O1598" t="s">
        <v>12693</v>
      </c>
    </row>
    <row r="1599" spans="2:15" x14ac:dyDescent="0.25">
      <c r="B1599">
        <v>4515</v>
      </c>
      <c r="C1599" t="s">
        <v>23659</v>
      </c>
      <c r="D1599" t="s">
        <v>23430</v>
      </c>
      <c r="E1599">
        <v>242</v>
      </c>
      <c r="F1599">
        <v>241</v>
      </c>
      <c r="G1599">
        <v>240</v>
      </c>
      <c r="O1599" t="s">
        <v>12697</v>
      </c>
    </row>
    <row r="1600" spans="2:15" x14ac:dyDescent="0.25">
      <c r="B1600">
        <v>9284</v>
      </c>
      <c r="C1600" t="s">
        <v>20804</v>
      </c>
      <c r="E1600">
        <v>242</v>
      </c>
      <c r="F1600">
        <v>241</v>
      </c>
      <c r="G1600">
        <v>240</v>
      </c>
      <c r="N1600" t="s">
        <v>15014</v>
      </c>
    </row>
    <row r="1601" spans="2:15" x14ac:dyDescent="0.25">
      <c r="B1601">
        <v>9285</v>
      </c>
      <c r="C1601" t="s">
        <v>20804</v>
      </c>
      <c r="D1601" t="s">
        <v>24355</v>
      </c>
      <c r="E1601">
        <v>242</v>
      </c>
      <c r="F1601">
        <v>241</v>
      </c>
      <c r="G1601">
        <v>240</v>
      </c>
      <c r="O1601" t="s">
        <v>12926</v>
      </c>
    </row>
    <row r="1602" spans="2:15" x14ac:dyDescent="0.25">
      <c r="B1602">
        <v>9286</v>
      </c>
      <c r="C1602" t="s">
        <v>20804</v>
      </c>
      <c r="D1602" t="s">
        <v>23430</v>
      </c>
      <c r="E1602">
        <v>242</v>
      </c>
      <c r="F1602">
        <v>241</v>
      </c>
      <c r="G1602">
        <v>240</v>
      </c>
      <c r="O1602" t="s">
        <v>12928</v>
      </c>
    </row>
    <row r="1603" spans="2:15" x14ac:dyDescent="0.25">
      <c r="B1603">
        <v>265505382</v>
      </c>
      <c r="C1603" t="s">
        <v>25491</v>
      </c>
      <c r="E1603">
        <v>242</v>
      </c>
      <c r="F1603">
        <v>241</v>
      </c>
      <c r="G1603">
        <v>240</v>
      </c>
      <c r="L1603" t="s">
        <v>15151</v>
      </c>
    </row>
    <row r="1604" spans="2:15" x14ac:dyDescent="0.25">
      <c r="B1604">
        <v>265505386</v>
      </c>
      <c r="C1604" t="s">
        <v>18441</v>
      </c>
      <c r="E1604">
        <v>242</v>
      </c>
      <c r="F1604">
        <v>241</v>
      </c>
      <c r="G1604">
        <v>240</v>
      </c>
      <c r="M1604" t="s">
        <v>596</v>
      </c>
    </row>
    <row r="1605" spans="2:15" x14ac:dyDescent="0.25">
      <c r="B1605">
        <v>265505390</v>
      </c>
      <c r="C1605" t="s">
        <v>18441</v>
      </c>
      <c r="D1605" t="s">
        <v>24355</v>
      </c>
      <c r="E1605">
        <v>242</v>
      </c>
      <c r="F1605">
        <v>241</v>
      </c>
      <c r="G1605">
        <v>240</v>
      </c>
      <c r="N1605" t="s">
        <v>25492</v>
      </c>
    </row>
    <row r="1606" spans="2:15" x14ac:dyDescent="0.25">
      <c r="B1606">
        <v>265505394</v>
      </c>
      <c r="C1606" t="s">
        <v>18441</v>
      </c>
      <c r="D1606" t="s">
        <v>23430</v>
      </c>
      <c r="E1606">
        <v>242</v>
      </c>
      <c r="F1606">
        <v>241</v>
      </c>
      <c r="G1606">
        <v>240</v>
      </c>
      <c r="N1606" t="s">
        <v>25493</v>
      </c>
    </row>
    <row r="1607" spans="2:15" x14ac:dyDescent="0.25">
      <c r="B1607">
        <v>265505398</v>
      </c>
      <c r="C1607" t="s">
        <v>20737</v>
      </c>
      <c r="E1607">
        <v>242</v>
      </c>
      <c r="F1607">
        <v>241</v>
      </c>
      <c r="G1607">
        <v>240</v>
      </c>
      <c r="M1607" t="s">
        <v>602</v>
      </c>
    </row>
    <row r="1608" spans="2:15" x14ac:dyDescent="0.25">
      <c r="B1608">
        <v>265505402</v>
      </c>
      <c r="C1608" t="s">
        <v>20737</v>
      </c>
      <c r="D1608" t="s">
        <v>24355</v>
      </c>
      <c r="E1608">
        <v>242</v>
      </c>
      <c r="F1608">
        <v>241</v>
      </c>
      <c r="G1608">
        <v>240</v>
      </c>
      <c r="N1608" t="s">
        <v>25494</v>
      </c>
    </row>
    <row r="1609" spans="2:15" x14ac:dyDescent="0.25">
      <c r="B1609">
        <v>265505406</v>
      </c>
      <c r="C1609" t="s">
        <v>20737</v>
      </c>
      <c r="D1609" t="s">
        <v>23430</v>
      </c>
      <c r="E1609">
        <v>242</v>
      </c>
      <c r="F1609">
        <v>241</v>
      </c>
      <c r="G1609">
        <v>240</v>
      </c>
      <c r="N1609" t="s">
        <v>25495</v>
      </c>
    </row>
    <row r="1610" spans="2:15" x14ac:dyDescent="0.25">
      <c r="B1610">
        <v>265505410</v>
      </c>
      <c r="C1610" t="s">
        <v>24102</v>
      </c>
      <c r="E1610">
        <v>242</v>
      </c>
      <c r="F1610">
        <v>241</v>
      </c>
      <c r="G1610">
        <v>240</v>
      </c>
      <c r="M1610" t="s">
        <v>24103</v>
      </c>
    </row>
    <row r="1611" spans="2:15" x14ac:dyDescent="0.25">
      <c r="B1611">
        <v>265505414</v>
      </c>
      <c r="C1611" t="s">
        <v>24102</v>
      </c>
      <c r="D1611" t="s">
        <v>24355</v>
      </c>
      <c r="E1611">
        <v>242</v>
      </c>
      <c r="F1611">
        <v>241</v>
      </c>
      <c r="G1611">
        <v>240</v>
      </c>
      <c r="N1611" t="s">
        <v>25496</v>
      </c>
    </row>
    <row r="1612" spans="2:15" x14ac:dyDescent="0.25">
      <c r="B1612">
        <v>265505418</v>
      </c>
      <c r="C1612" t="s">
        <v>24102</v>
      </c>
      <c r="D1612" t="s">
        <v>23430</v>
      </c>
      <c r="E1612">
        <v>242</v>
      </c>
      <c r="F1612">
        <v>241</v>
      </c>
      <c r="G1612">
        <v>240</v>
      </c>
      <c r="N1612" t="s">
        <v>25497</v>
      </c>
    </row>
    <row r="1613" spans="2:15" x14ac:dyDescent="0.25">
      <c r="B1613">
        <v>265505422</v>
      </c>
      <c r="C1613" t="s">
        <v>20829</v>
      </c>
      <c r="E1613">
        <v>242</v>
      </c>
      <c r="F1613">
        <v>241</v>
      </c>
      <c r="G1613">
        <v>240</v>
      </c>
      <c r="M1613" t="s">
        <v>24104</v>
      </c>
    </row>
    <row r="1614" spans="2:15" x14ac:dyDescent="0.25">
      <c r="B1614">
        <v>265505426</v>
      </c>
      <c r="C1614" t="s">
        <v>20829</v>
      </c>
      <c r="D1614" t="s">
        <v>24355</v>
      </c>
      <c r="E1614">
        <v>242</v>
      </c>
      <c r="F1614">
        <v>241</v>
      </c>
      <c r="G1614">
        <v>240</v>
      </c>
      <c r="N1614" t="s">
        <v>25498</v>
      </c>
    </row>
    <row r="1615" spans="2:15" x14ac:dyDescent="0.25">
      <c r="B1615">
        <v>265505430</v>
      </c>
      <c r="C1615" t="s">
        <v>20829</v>
      </c>
      <c r="D1615" t="s">
        <v>23430</v>
      </c>
      <c r="E1615">
        <v>242</v>
      </c>
      <c r="F1615">
        <v>241</v>
      </c>
      <c r="G1615">
        <v>240</v>
      </c>
      <c r="N1615" t="s">
        <v>25499</v>
      </c>
    </row>
    <row r="1616" spans="2:15" x14ac:dyDescent="0.25">
      <c r="B1616">
        <v>265505434</v>
      </c>
      <c r="C1616" t="s">
        <v>24115</v>
      </c>
      <c r="E1616">
        <v>242</v>
      </c>
      <c r="F1616">
        <v>241</v>
      </c>
      <c r="G1616">
        <v>240</v>
      </c>
      <c r="M1616" t="s">
        <v>1296</v>
      </c>
    </row>
    <row r="1617" spans="2:15" x14ac:dyDescent="0.25">
      <c r="B1617">
        <v>265505438</v>
      </c>
      <c r="C1617" t="s">
        <v>24115</v>
      </c>
      <c r="D1617" t="s">
        <v>24355</v>
      </c>
      <c r="E1617">
        <v>242</v>
      </c>
      <c r="F1617">
        <v>241</v>
      </c>
      <c r="G1617">
        <v>240</v>
      </c>
      <c r="N1617" t="s">
        <v>25500</v>
      </c>
    </row>
    <row r="1618" spans="2:15" x14ac:dyDescent="0.25">
      <c r="B1618">
        <v>265505442</v>
      </c>
      <c r="C1618" t="s">
        <v>24115</v>
      </c>
      <c r="D1618" t="s">
        <v>23430</v>
      </c>
      <c r="E1618">
        <v>242</v>
      </c>
      <c r="F1618">
        <v>241</v>
      </c>
      <c r="G1618">
        <v>240</v>
      </c>
      <c r="N1618" t="s">
        <v>25501</v>
      </c>
    </row>
    <row r="1619" spans="2:15" x14ac:dyDescent="0.25">
      <c r="B1619">
        <v>265505446</v>
      </c>
      <c r="C1619" t="s">
        <v>24113</v>
      </c>
      <c r="E1619">
        <v>242</v>
      </c>
      <c r="F1619">
        <v>241</v>
      </c>
      <c r="G1619">
        <v>240</v>
      </c>
      <c r="M1619" t="s">
        <v>24114</v>
      </c>
    </row>
    <row r="1620" spans="2:15" x14ac:dyDescent="0.25">
      <c r="B1620">
        <v>265505450</v>
      </c>
      <c r="C1620" t="s">
        <v>24113</v>
      </c>
      <c r="D1620" t="s">
        <v>24355</v>
      </c>
      <c r="E1620">
        <v>242</v>
      </c>
      <c r="F1620">
        <v>241</v>
      </c>
      <c r="G1620">
        <v>240</v>
      </c>
      <c r="N1620" t="s">
        <v>25502</v>
      </c>
    </row>
    <row r="1621" spans="2:15" x14ac:dyDescent="0.25">
      <c r="B1621">
        <v>265505454</v>
      </c>
      <c r="C1621" t="s">
        <v>24113</v>
      </c>
      <c r="D1621" t="s">
        <v>23430</v>
      </c>
      <c r="E1621">
        <v>242</v>
      </c>
      <c r="F1621">
        <v>241</v>
      </c>
      <c r="G1621">
        <v>240</v>
      </c>
      <c r="N1621" t="s">
        <v>25503</v>
      </c>
    </row>
    <row r="1622" spans="2:15" x14ac:dyDescent="0.25">
      <c r="B1622">
        <v>265505458</v>
      </c>
      <c r="C1622" t="s">
        <v>24629</v>
      </c>
      <c r="E1622">
        <v>242</v>
      </c>
      <c r="F1622">
        <v>241</v>
      </c>
      <c r="G1622">
        <v>240</v>
      </c>
      <c r="M1622" t="s">
        <v>3080</v>
      </c>
    </row>
    <row r="1623" spans="2:15" x14ac:dyDescent="0.25">
      <c r="B1623">
        <v>265505462</v>
      </c>
      <c r="C1623" t="s">
        <v>24629</v>
      </c>
      <c r="D1623" t="s">
        <v>24355</v>
      </c>
      <c r="E1623">
        <v>242</v>
      </c>
      <c r="F1623">
        <v>241</v>
      </c>
      <c r="G1623">
        <v>240</v>
      </c>
      <c r="N1623" t="s">
        <v>12020</v>
      </c>
    </row>
    <row r="1624" spans="2:15" x14ac:dyDescent="0.25">
      <c r="B1624">
        <v>265505466</v>
      </c>
      <c r="C1624" t="s">
        <v>24629</v>
      </c>
      <c r="D1624" t="s">
        <v>23430</v>
      </c>
      <c r="E1624">
        <v>242</v>
      </c>
      <c r="F1624">
        <v>241</v>
      </c>
      <c r="G1624">
        <v>240</v>
      </c>
      <c r="N1624" t="s">
        <v>12022</v>
      </c>
    </row>
    <row r="1625" spans="2:15" x14ac:dyDescent="0.25">
      <c r="B1625">
        <v>9287</v>
      </c>
      <c r="C1625" t="s">
        <v>25504</v>
      </c>
      <c r="E1625">
        <v>242</v>
      </c>
      <c r="F1625">
        <v>241</v>
      </c>
      <c r="G1625">
        <v>240</v>
      </c>
      <c r="L1625" t="s">
        <v>15146</v>
      </c>
    </row>
    <row r="1626" spans="2:15" x14ac:dyDescent="0.25">
      <c r="B1626">
        <v>9288</v>
      </c>
      <c r="C1626" t="s">
        <v>25505</v>
      </c>
      <c r="E1626">
        <v>242</v>
      </c>
      <c r="F1626">
        <v>241</v>
      </c>
      <c r="G1626">
        <v>240</v>
      </c>
      <c r="M1626" t="s">
        <v>15139</v>
      </c>
    </row>
    <row r="1627" spans="2:15" x14ac:dyDescent="0.25">
      <c r="B1627">
        <v>9289</v>
      </c>
      <c r="C1627" t="s">
        <v>18467</v>
      </c>
      <c r="E1627">
        <v>242</v>
      </c>
      <c r="F1627">
        <v>241</v>
      </c>
      <c r="G1627">
        <v>240</v>
      </c>
      <c r="N1627" t="s">
        <v>2350</v>
      </c>
    </row>
    <row r="1628" spans="2:15" x14ac:dyDescent="0.25">
      <c r="B1628">
        <v>9290</v>
      </c>
      <c r="C1628" t="s">
        <v>18467</v>
      </c>
      <c r="D1628" t="s">
        <v>24355</v>
      </c>
      <c r="E1628">
        <v>242</v>
      </c>
      <c r="F1628">
        <v>241</v>
      </c>
      <c r="G1628">
        <v>240</v>
      </c>
      <c r="O1628" t="s">
        <v>12931</v>
      </c>
    </row>
    <row r="1629" spans="2:15" x14ac:dyDescent="0.25">
      <c r="B1629">
        <v>9291</v>
      </c>
      <c r="C1629" t="s">
        <v>18467</v>
      </c>
      <c r="D1629" t="s">
        <v>23430</v>
      </c>
      <c r="E1629">
        <v>242</v>
      </c>
      <c r="F1629">
        <v>241</v>
      </c>
      <c r="G1629">
        <v>240</v>
      </c>
      <c r="O1629" t="s">
        <v>2353</v>
      </c>
    </row>
    <row r="1630" spans="2:15" x14ac:dyDescent="0.25">
      <c r="B1630">
        <v>9292</v>
      </c>
      <c r="C1630" t="s">
        <v>18470</v>
      </c>
      <c r="E1630">
        <v>242</v>
      </c>
      <c r="F1630">
        <v>241</v>
      </c>
      <c r="G1630">
        <v>240</v>
      </c>
      <c r="N1630" t="s">
        <v>3146</v>
      </c>
    </row>
    <row r="1631" spans="2:15" x14ac:dyDescent="0.25">
      <c r="B1631">
        <v>9293</v>
      </c>
      <c r="C1631" t="s">
        <v>18470</v>
      </c>
      <c r="D1631" t="s">
        <v>24355</v>
      </c>
      <c r="E1631">
        <v>242</v>
      </c>
      <c r="F1631">
        <v>241</v>
      </c>
      <c r="G1631">
        <v>240</v>
      </c>
      <c r="O1631" t="s">
        <v>12934</v>
      </c>
    </row>
    <row r="1632" spans="2:15" x14ac:dyDescent="0.25">
      <c r="B1632">
        <v>9294</v>
      </c>
      <c r="C1632" t="s">
        <v>18470</v>
      </c>
      <c r="D1632" t="s">
        <v>23430</v>
      </c>
      <c r="E1632">
        <v>242</v>
      </c>
      <c r="F1632">
        <v>241</v>
      </c>
      <c r="G1632">
        <v>240</v>
      </c>
      <c r="O1632" t="s">
        <v>3148</v>
      </c>
    </row>
    <row r="1633" spans="2:15" x14ac:dyDescent="0.25">
      <c r="B1633">
        <v>265505470</v>
      </c>
      <c r="C1633" t="s">
        <v>24630</v>
      </c>
      <c r="E1633">
        <v>242</v>
      </c>
      <c r="F1633">
        <v>241</v>
      </c>
      <c r="G1633">
        <v>240</v>
      </c>
      <c r="N1633" t="s">
        <v>3897</v>
      </c>
    </row>
    <row r="1634" spans="2:15" x14ac:dyDescent="0.25">
      <c r="B1634">
        <v>265505474</v>
      </c>
      <c r="C1634" t="s">
        <v>24630</v>
      </c>
      <c r="D1634" t="s">
        <v>24355</v>
      </c>
      <c r="E1634">
        <v>242</v>
      </c>
      <c r="F1634">
        <v>241</v>
      </c>
      <c r="G1634">
        <v>240</v>
      </c>
      <c r="O1634" t="s">
        <v>12024</v>
      </c>
    </row>
    <row r="1635" spans="2:15" x14ac:dyDescent="0.25">
      <c r="B1635">
        <v>265505478</v>
      </c>
      <c r="C1635" t="s">
        <v>24630</v>
      </c>
      <c r="D1635" t="s">
        <v>23430</v>
      </c>
      <c r="E1635">
        <v>242</v>
      </c>
      <c r="F1635">
        <v>241</v>
      </c>
      <c r="G1635">
        <v>240</v>
      </c>
      <c r="O1635" t="s">
        <v>12026</v>
      </c>
    </row>
    <row r="1636" spans="2:15" x14ac:dyDescent="0.25">
      <c r="B1636">
        <v>9295</v>
      </c>
      <c r="C1636" t="s">
        <v>18495</v>
      </c>
      <c r="E1636">
        <v>242</v>
      </c>
      <c r="F1636">
        <v>241</v>
      </c>
      <c r="G1636">
        <v>240</v>
      </c>
      <c r="N1636" t="s">
        <v>12936</v>
      </c>
    </row>
    <row r="1637" spans="2:15" x14ac:dyDescent="0.25">
      <c r="B1637">
        <v>9296</v>
      </c>
      <c r="C1637" t="s">
        <v>18495</v>
      </c>
      <c r="D1637" t="s">
        <v>24355</v>
      </c>
      <c r="E1637">
        <v>242</v>
      </c>
      <c r="F1637">
        <v>241</v>
      </c>
      <c r="G1637">
        <v>240</v>
      </c>
      <c r="O1637" t="s">
        <v>12938</v>
      </c>
    </row>
    <row r="1638" spans="2:15" x14ac:dyDescent="0.25">
      <c r="B1638">
        <v>9297</v>
      </c>
      <c r="C1638" t="s">
        <v>18495</v>
      </c>
      <c r="D1638" t="s">
        <v>23430</v>
      </c>
      <c r="E1638">
        <v>242</v>
      </c>
      <c r="F1638">
        <v>241</v>
      </c>
      <c r="G1638">
        <v>240</v>
      </c>
      <c r="O1638" t="s">
        <v>14793</v>
      </c>
    </row>
    <row r="1639" spans="2:15" x14ac:dyDescent="0.25">
      <c r="B1639">
        <v>265505482</v>
      </c>
      <c r="C1639" t="s">
        <v>24120</v>
      </c>
      <c r="E1639">
        <v>242</v>
      </c>
      <c r="F1639">
        <v>241</v>
      </c>
      <c r="G1639">
        <v>240</v>
      </c>
      <c r="O1639" t="s">
        <v>1423</v>
      </c>
    </row>
    <row r="1640" spans="2:15" x14ac:dyDescent="0.25">
      <c r="B1640">
        <v>265505486</v>
      </c>
      <c r="C1640" t="s">
        <v>25506</v>
      </c>
      <c r="E1640">
        <v>242</v>
      </c>
      <c r="F1640">
        <v>241</v>
      </c>
      <c r="G1640">
        <v>240</v>
      </c>
      <c r="M1640" t="s">
        <v>15157</v>
      </c>
    </row>
    <row r="1641" spans="2:15" x14ac:dyDescent="0.25">
      <c r="B1641">
        <v>265505490</v>
      </c>
      <c r="C1641" t="s">
        <v>24601</v>
      </c>
      <c r="E1641">
        <v>242</v>
      </c>
      <c r="F1641">
        <v>241</v>
      </c>
      <c r="G1641">
        <v>240</v>
      </c>
      <c r="N1641" t="s">
        <v>1367</v>
      </c>
    </row>
    <row r="1642" spans="2:15" x14ac:dyDescent="0.25">
      <c r="B1642">
        <v>265505494</v>
      </c>
      <c r="C1642" t="s">
        <v>24601</v>
      </c>
      <c r="D1642" t="s">
        <v>24355</v>
      </c>
      <c r="E1642">
        <v>242</v>
      </c>
      <c r="F1642">
        <v>241</v>
      </c>
      <c r="G1642">
        <v>240</v>
      </c>
      <c r="O1642" t="s">
        <v>12028</v>
      </c>
    </row>
    <row r="1643" spans="2:15" x14ac:dyDescent="0.25">
      <c r="B1643">
        <v>265505498</v>
      </c>
      <c r="C1643" t="s">
        <v>24601</v>
      </c>
      <c r="D1643" t="s">
        <v>23430</v>
      </c>
      <c r="E1643">
        <v>242</v>
      </c>
      <c r="F1643">
        <v>241</v>
      </c>
      <c r="G1643">
        <v>240</v>
      </c>
      <c r="O1643" t="s">
        <v>12030</v>
      </c>
    </row>
    <row r="1644" spans="2:15" x14ac:dyDescent="0.25">
      <c r="B1644">
        <v>265505502</v>
      </c>
      <c r="C1644" t="s">
        <v>24626</v>
      </c>
      <c r="E1644">
        <v>242</v>
      </c>
      <c r="F1644">
        <v>241</v>
      </c>
      <c r="G1644">
        <v>240</v>
      </c>
      <c r="N1644" t="s">
        <v>2809</v>
      </c>
    </row>
    <row r="1645" spans="2:15" x14ac:dyDescent="0.25">
      <c r="B1645">
        <v>265505506</v>
      </c>
      <c r="C1645" t="s">
        <v>24626</v>
      </c>
      <c r="D1645" t="s">
        <v>24355</v>
      </c>
      <c r="E1645">
        <v>242</v>
      </c>
      <c r="F1645">
        <v>241</v>
      </c>
      <c r="G1645">
        <v>240</v>
      </c>
      <c r="O1645" t="s">
        <v>12032</v>
      </c>
    </row>
    <row r="1646" spans="2:15" x14ac:dyDescent="0.25">
      <c r="B1646">
        <v>265505510</v>
      </c>
      <c r="C1646" t="s">
        <v>24626</v>
      </c>
      <c r="D1646" t="s">
        <v>23430</v>
      </c>
      <c r="E1646">
        <v>242</v>
      </c>
      <c r="F1646">
        <v>241</v>
      </c>
      <c r="G1646">
        <v>240</v>
      </c>
      <c r="O1646" t="s">
        <v>12034</v>
      </c>
    </row>
    <row r="1647" spans="2:15" x14ac:dyDescent="0.25">
      <c r="B1647">
        <v>9298</v>
      </c>
      <c r="C1647" t="s">
        <v>25507</v>
      </c>
      <c r="E1647">
        <v>242</v>
      </c>
      <c r="F1647">
        <v>241</v>
      </c>
      <c r="G1647">
        <v>240</v>
      </c>
      <c r="L1647" t="s">
        <v>15154</v>
      </c>
    </row>
    <row r="1648" spans="2:15" x14ac:dyDescent="0.25">
      <c r="B1648">
        <v>9299</v>
      </c>
      <c r="C1648" t="s">
        <v>20397</v>
      </c>
      <c r="E1648">
        <v>242</v>
      </c>
      <c r="F1648">
        <v>241</v>
      </c>
      <c r="G1648">
        <v>240</v>
      </c>
      <c r="M1648" t="s">
        <v>979</v>
      </c>
    </row>
    <row r="1649" spans="2:17" x14ac:dyDescent="0.25">
      <c r="B1649">
        <v>9300</v>
      </c>
      <c r="C1649" t="s">
        <v>25508</v>
      </c>
      <c r="E1649">
        <v>242</v>
      </c>
      <c r="F1649">
        <v>241</v>
      </c>
      <c r="G1649">
        <v>240</v>
      </c>
      <c r="N1649" t="s">
        <v>3456</v>
      </c>
    </row>
    <row r="1650" spans="2:17" x14ac:dyDescent="0.25">
      <c r="B1650">
        <v>9301</v>
      </c>
      <c r="C1650" t="s">
        <v>25508</v>
      </c>
      <c r="D1650" t="s">
        <v>24355</v>
      </c>
      <c r="E1650">
        <v>242</v>
      </c>
      <c r="F1650">
        <v>241</v>
      </c>
      <c r="G1650">
        <v>240</v>
      </c>
      <c r="O1650" t="s">
        <v>12940</v>
      </c>
    </row>
    <row r="1651" spans="2:17" x14ac:dyDescent="0.25">
      <c r="B1651">
        <v>9302</v>
      </c>
      <c r="C1651" t="s">
        <v>25509</v>
      </c>
      <c r="D1651" t="s">
        <v>24355</v>
      </c>
      <c r="E1651">
        <v>242</v>
      </c>
      <c r="F1651">
        <v>241</v>
      </c>
      <c r="G1651">
        <v>240</v>
      </c>
      <c r="P1651" t="s">
        <v>3468</v>
      </c>
    </row>
    <row r="1652" spans="2:17" x14ac:dyDescent="0.25">
      <c r="B1652">
        <v>265505514</v>
      </c>
      <c r="C1652" t="s">
        <v>18468</v>
      </c>
      <c r="D1652" t="s">
        <v>24355</v>
      </c>
      <c r="E1652">
        <v>242</v>
      </c>
      <c r="F1652">
        <v>241</v>
      </c>
      <c r="G1652">
        <v>240</v>
      </c>
      <c r="Q1652" t="s">
        <v>2647</v>
      </c>
    </row>
    <row r="1653" spans="2:17" x14ac:dyDescent="0.25">
      <c r="B1653">
        <v>265505518</v>
      </c>
      <c r="C1653" t="s">
        <v>18476</v>
      </c>
      <c r="D1653" t="s">
        <v>24355</v>
      </c>
      <c r="E1653">
        <v>242</v>
      </c>
      <c r="F1653">
        <v>241</v>
      </c>
      <c r="G1653">
        <v>240</v>
      </c>
      <c r="Q1653" t="s">
        <v>2966</v>
      </c>
    </row>
    <row r="1654" spans="2:17" x14ac:dyDescent="0.25">
      <c r="B1654">
        <v>9303</v>
      </c>
      <c r="C1654" t="s">
        <v>25510</v>
      </c>
      <c r="D1654" t="s">
        <v>24355</v>
      </c>
      <c r="E1654">
        <v>242</v>
      </c>
      <c r="F1654">
        <v>241</v>
      </c>
      <c r="G1654">
        <v>240</v>
      </c>
      <c r="P1654" t="s">
        <v>3419</v>
      </c>
    </row>
    <row r="1655" spans="2:17" x14ac:dyDescent="0.25">
      <c r="B1655">
        <v>9304</v>
      </c>
      <c r="C1655" t="s">
        <v>25508</v>
      </c>
      <c r="D1655" t="s">
        <v>23430</v>
      </c>
      <c r="E1655">
        <v>242</v>
      </c>
      <c r="F1655">
        <v>241</v>
      </c>
      <c r="G1655">
        <v>240</v>
      </c>
      <c r="O1655" t="s">
        <v>12942</v>
      </c>
    </row>
    <row r="1656" spans="2:17" x14ac:dyDescent="0.25">
      <c r="B1656">
        <v>9305</v>
      </c>
      <c r="C1656" t="s">
        <v>25509</v>
      </c>
      <c r="D1656" t="s">
        <v>23430</v>
      </c>
      <c r="E1656">
        <v>242</v>
      </c>
      <c r="F1656">
        <v>241</v>
      </c>
      <c r="G1656">
        <v>240</v>
      </c>
      <c r="P1656" t="s">
        <v>12944</v>
      </c>
    </row>
    <row r="1657" spans="2:17" x14ac:dyDescent="0.25">
      <c r="B1657">
        <v>265505522</v>
      </c>
      <c r="C1657" t="s">
        <v>18468</v>
      </c>
      <c r="D1657" t="s">
        <v>23430</v>
      </c>
      <c r="E1657">
        <v>242</v>
      </c>
      <c r="F1657">
        <v>241</v>
      </c>
      <c r="G1657">
        <v>240</v>
      </c>
      <c r="Q1657" t="s">
        <v>12036</v>
      </c>
    </row>
    <row r="1658" spans="2:17" x14ac:dyDescent="0.25">
      <c r="B1658">
        <v>265505526</v>
      </c>
      <c r="C1658" t="s">
        <v>18476</v>
      </c>
      <c r="D1658" t="s">
        <v>23430</v>
      </c>
      <c r="E1658">
        <v>242</v>
      </c>
      <c r="F1658">
        <v>241</v>
      </c>
      <c r="G1658">
        <v>240</v>
      </c>
      <c r="Q1658" t="s">
        <v>12038</v>
      </c>
    </row>
    <row r="1659" spans="2:17" x14ac:dyDescent="0.25">
      <c r="B1659">
        <v>9306</v>
      </c>
      <c r="C1659" t="s">
        <v>25510</v>
      </c>
      <c r="D1659" t="s">
        <v>23430</v>
      </c>
      <c r="E1659">
        <v>242</v>
      </c>
      <c r="F1659">
        <v>241</v>
      </c>
      <c r="G1659">
        <v>240</v>
      </c>
      <c r="P1659" t="s">
        <v>12946</v>
      </c>
    </row>
    <row r="1660" spans="2:17" x14ac:dyDescent="0.25">
      <c r="B1660">
        <v>9307</v>
      </c>
      <c r="C1660" t="s">
        <v>25511</v>
      </c>
      <c r="E1660">
        <v>242</v>
      </c>
      <c r="F1660">
        <v>241</v>
      </c>
      <c r="G1660">
        <v>240</v>
      </c>
      <c r="N1660" t="s">
        <v>1384</v>
      </c>
    </row>
    <row r="1661" spans="2:17" x14ac:dyDescent="0.25">
      <c r="B1661">
        <v>9308</v>
      </c>
      <c r="C1661" t="s">
        <v>25511</v>
      </c>
      <c r="D1661" t="s">
        <v>24355</v>
      </c>
      <c r="E1661">
        <v>242</v>
      </c>
      <c r="F1661">
        <v>241</v>
      </c>
      <c r="G1661">
        <v>240</v>
      </c>
      <c r="O1661" t="s">
        <v>12948</v>
      </c>
    </row>
    <row r="1662" spans="2:17" x14ac:dyDescent="0.25">
      <c r="B1662">
        <v>9309</v>
      </c>
      <c r="C1662" t="s">
        <v>18483</v>
      </c>
      <c r="D1662" t="s">
        <v>24355</v>
      </c>
      <c r="E1662">
        <v>242</v>
      </c>
      <c r="F1662">
        <v>241</v>
      </c>
      <c r="G1662">
        <v>240</v>
      </c>
      <c r="P1662" t="s">
        <v>3507</v>
      </c>
    </row>
    <row r="1663" spans="2:17" x14ac:dyDescent="0.25">
      <c r="B1663">
        <v>9310</v>
      </c>
      <c r="C1663" t="s">
        <v>23626</v>
      </c>
      <c r="D1663" t="s">
        <v>24355</v>
      </c>
      <c r="E1663">
        <v>242</v>
      </c>
      <c r="F1663">
        <v>241</v>
      </c>
      <c r="G1663">
        <v>240</v>
      </c>
      <c r="P1663" t="s">
        <v>3495</v>
      </c>
    </row>
    <row r="1664" spans="2:17" x14ac:dyDescent="0.25">
      <c r="B1664">
        <v>9311</v>
      </c>
      <c r="C1664" t="s">
        <v>20846</v>
      </c>
      <c r="D1664" t="s">
        <v>24355</v>
      </c>
      <c r="E1664">
        <v>242</v>
      </c>
      <c r="F1664">
        <v>241</v>
      </c>
      <c r="G1664">
        <v>240</v>
      </c>
      <c r="P1664" t="s">
        <v>3501</v>
      </c>
    </row>
    <row r="1665" spans="2:16" x14ac:dyDescent="0.25">
      <c r="B1665">
        <v>265505530</v>
      </c>
      <c r="C1665" t="s">
        <v>23655</v>
      </c>
      <c r="D1665" t="s">
        <v>24355</v>
      </c>
      <c r="E1665">
        <v>242</v>
      </c>
      <c r="F1665">
        <v>241</v>
      </c>
      <c r="G1665">
        <v>240</v>
      </c>
      <c r="P1665" t="s">
        <v>12040</v>
      </c>
    </row>
    <row r="1666" spans="2:16" x14ac:dyDescent="0.25">
      <c r="B1666">
        <v>9312</v>
      </c>
      <c r="C1666" t="s">
        <v>25511</v>
      </c>
      <c r="D1666" t="s">
        <v>23430</v>
      </c>
      <c r="E1666">
        <v>242</v>
      </c>
      <c r="F1666">
        <v>241</v>
      </c>
      <c r="G1666">
        <v>240</v>
      </c>
      <c r="O1666" t="s">
        <v>12950</v>
      </c>
    </row>
    <row r="1667" spans="2:16" x14ac:dyDescent="0.25">
      <c r="B1667">
        <v>9313</v>
      </c>
      <c r="C1667" t="s">
        <v>18483</v>
      </c>
      <c r="D1667" t="s">
        <v>23430</v>
      </c>
      <c r="E1667">
        <v>242</v>
      </c>
      <c r="F1667">
        <v>241</v>
      </c>
      <c r="G1667">
        <v>240</v>
      </c>
      <c r="P1667" t="s">
        <v>12952</v>
      </c>
    </row>
    <row r="1668" spans="2:16" x14ac:dyDescent="0.25">
      <c r="B1668">
        <v>9314</v>
      </c>
      <c r="C1668" t="s">
        <v>23626</v>
      </c>
      <c r="D1668" t="s">
        <v>23430</v>
      </c>
      <c r="E1668">
        <v>242</v>
      </c>
      <c r="F1668">
        <v>241</v>
      </c>
      <c r="G1668">
        <v>240</v>
      </c>
      <c r="P1668" t="s">
        <v>12954</v>
      </c>
    </row>
    <row r="1669" spans="2:16" x14ac:dyDescent="0.25">
      <c r="B1669">
        <v>9315</v>
      </c>
      <c r="C1669" t="s">
        <v>20846</v>
      </c>
      <c r="D1669" t="s">
        <v>23430</v>
      </c>
      <c r="E1669">
        <v>242</v>
      </c>
      <c r="F1669">
        <v>241</v>
      </c>
      <c r="G1669">
        <v>240</v>
      </c>
      <c r="P1669" t="s">
        <v>12956</v>
      </c>
    </row>
    <row r="1670" spans="2:16" x14ac:dyDescent="0.25">
      <c r="B1670">
        <v>265505534</v>
      </c>
      <c r="C1670" t="s">
        <v>23655</v>
      </c>
      <c r="D1670" t="s">
        <v>23430</v>
      </c>
      <c r="E1670">
        <v>242</v>
      </c>
      <c r="F1670">
        <v>241</v>
      </c>
      <c r="G1670">
        <v>240</v>
      </c>
      <c r="P1670" t="s">
        <v>12042</v>
      </c>
    </row>
    <row r="1671" spans="2:16" x14ac:dyDescent="0.25">
      <c r="B1671">
        <v>9316</v>
      </c>
      <c r="C1671" t="s">
        <v>18414</v>
      </c>
      <c r="E1671">
        <v>242</v>
      </c>
      <c r="F1671">
        <v>241</v>
      </c>
      <c r="G1671">
        <v>240</v>
      </c>
      <c r="N1671" t="s">
        <v>3401</v>
      </c>
    </row>
    <row r="1672" spans="2:16" x14ac:dyDescent="0.25">
      <c r="B1672">
        <v>9317</v>
      </c>
      <c r="C1672" t="s">
        <v>18414</v>
      </c>
      <c r="D1672" t="s">
        <v>24355</v>
      </c>
      <c r="E1672">
        <v>242</v>
      </c>
      <c r="F1672">
        <v>241</v>
      </c>
      <c r="G1672">
        <v>240</v>
      </c>
      <c r="O1672" t="s">
        <v>12958</v>
      </c>
    </row>
    <row r="1673" spans="2:16" x14ac:dyDescent="0.25">
      <c r="B1673">
        <v>9318</v>
      </c>
      <c r="C1673" t="s">
        <v>18414</v>
      </c>
      <c r="D1673" t="s">
        <v>23430</v>
      </c>
      <c r="E1673">
        <v>242</v>
      </c>
      <c r="F1673">
        <v>241</v>
      </c>
      <c r="G1673">
        <v>240</v>
      </c>
      <c r="O1673" t="s">
        <v>12960</v>
      </c>
    </row>
    <row r="1674" spans="2:16" x14ac:dyDescent="0.25">
      <c r="B1674">
        <v>9319</v>
      </c>
      <c r="C1674" t="s">
        <v>18415</v>
      </c>
      <c r="E1674">
        <v>242</v>
      </c>
      <c r="F1674">
        <v>241</v>
      </c>
      <c r="G1674">
        <v>240</v>
      </c>
      <c r="N1674" t="s">
        <v>14981</v>
      </c>
    </row>
    <row r="1675" spans="2:16" x14ac:dyDescent="0.25">
      <c r="B1675">
        <v>9320</v>
      </c>
      <c r="C1675" t="s">
        <v>18415</v>
      </c>
      <c r="D1675" t="s">
        <v>24355</v>
      </c>
      <c r="E1675">
        <v>242</v>
      </c>
      <c r="F1675">
        <v>241</v>
      </c>
      <c r="G1675">
        <v>240</v>
      </c>
      <c r="O1675" t="s">
        <v>12962</v>
      </c>
    </row>
    <row r="1676" spans="2:16" x14ac:dyDescent="0.25">
      <c r="B1676">
        <v>9321</v>
      </c>
      <c r="C1676" t="s">
        <v>18415</v>
      </c>
      <c r="D1676" t="s">
        <v>23430</v>
      </c>
      <c r="E1676">
        <v>242</v>
      </c>
      <c r="F1676">
        <v>241</v>
      </c>
      <c r="G1676">
        <v>240</v>
      </c>
      <c r="O1676" t="s">
        <v>12964</v>
      </c>
    </row>
    <row r="1677" spans="2:16" x14ac:dyDescent="0.25">
      <c r="B1677">
        <v>9322</v>
      </c>
      <c r="C1677" t="s">
        <v>18418</v>
      </c>
      <c r="E1677">
        <v>242</v>
      </c>
      <c r="F1677">
        <v>241</v>
      </c>
      <c r="G1677">
        <v>240</v>
      </c>
      <c r="N1677" t="s">
        <v>14971</v>
      </c>
    </row>
    <row r="1678" spans="2:16" x14ac:dyDescent="0.25">
      <c r="B1678">
        <v>9323</v>
      </c>
      <c r="C1678" t="s">
        <v>18418</v>
      </c>
      <c r="D1678" t="s">
        <v>24355</v>
      </c>
      <c r="E1678">
        <v>242</v>
      </c>
      <c r="F1678">
        <v>241</v>
      </c>
      <c r="G1678">
        <v>240</v>
      </c>
      <c r="O1678" t="s">
        <v>12966</v>
      </c>
    </row>
    <row r="1679" spans="2:16" x14ac:dyDescent="0.25">
      <c r="B1679">
        <v>9324</v>
      </c>
      <c r="C1679" t="s">
        <v>18418</v>
      </c>
      <c r="D1679" t="s">
        <v>23430</v>
      </c>
      <c r="E1679">
        <v>242</v>
      </c>
      <c r="F1679">
        <v>241</v>
      </c>
      <c r="G1679">
        <v>240</v>
      </c>
      <c r="O1679" t="s">
        <v>12968</v>
      </c>
    </row>
    <row r="1680" spans="2:16" x14ac:dyDescent="0.25">
      <c r="B1680">
        <v>9325</v>
      </c>
      <c r="C1680" t="s">
        <v>18421</v>
      </c>
      <c r="E1680">
        <v>242</v>
      </c>
      <c r="F1680">
        <v>241</v>
      </c>
      <c r="G1680">
        <v>240</v>
      </c>
      <c r="N1680" t="s">
        <v>156</v>
      </c>
    </row>
    <row r="1681" spans="2:15" x14ac:dyDescent="0.25">
      <c r="B1681">
        <v>9326</v>
      </c>
      <c r="C1681" t="s">
        <v>18421</v>
      </c>
      <c r="D1681" t="s">
        <v>24355</v>
      </c>
      <c r="E1681">
        <v>242</v>
      </c>
      <c r="F1681">
        <v>241</v>
      </c>
      <c r="G1681">
        <v>240</v>
      </c>
      <c r="O1681" t="s">
        <v>12970</v>
      </c>
    </row>
    <row r="1682" spans="2:15" x14ac:dyDescent="0.25">
      <c r="B1682">
        <v>9327</v>
      </c>
      <c r="C1682" t="s">
        <v>18421</v>
      </c>
      <c r="D1682" t="s">
        <v>23430</v>
      </c>
      <c r="E1682">
        <v>242</v>
      </c>
      <c r="F1682">
        <v>241</v>
      </c>
      <c r="G1682">
        <v>240</v>
      </c>
      <c r="O1682" t="s">
        <v>12972</v>
      </c>
    </row>
    <row r="1683" spans="2:15" x14ac:dyDescent="0.25">
      <c r="B1683">
        <v>9328</v>
      </c>
      <c r="C1683" t="s">
        <v>18422</v>
      </c>
      <c r="E1683">
        <v>242</v>
      </c>
      <c r="F1683">
        <v>241</v>
      </c>
      <c r="G1683">
        <v>240</v>
      </c>
      <c r="N1683" t="s">
        <v>1814</v>
      </c>
    </row>
    <row r="1684" spans="2:15" x14ac:dyDescent="0.25">
      <c r="B1684">
        <v>9329</v>
      </c>
      <c r="C1684" t="s">
        <v>18422</v>
      </c>
      <c r="D1684" t="s">
        <v>24355</v>
      </c>
      <c r="E1684">
        <v>242</v>
      </c>
      <c r="F1684">
        <v>241</v>
      </c>
      <c r="G1684">
        <v>240</v>
      </c>
      <c r="O1684" t="s">
        <v>12974</v>
      </c>
    </row>
    <row r="1685" spans="2:15" x14ac:dyDescent="0.25">
      <c r="B1685">
        <v>9330</v>
      </c>
      <c r="C1685" t="s">
        <v>18422</v>
      </c>
      <c r="D1685" t="s">
        <v>23430</v>
      </c>
      <c r="E1685">
        <v>242</v>
      </c>
      <c r="F1685">
        <v>241</v>
      </c>
      <c r="G1685">
        <v>240</v>
      </c>
      <c r="O1685" t="s">
        <v>12976</v>
      </c>
    </row>
    <row r="1686" spans="2:15" x14ac:dyDescent="0.25">
      <c r="B1686">
        <v>9331</v>
      </c>
      <c r="C1686" t="s">
        <v>18429</v>
      </c>
      <c r="E1686">
        <v>242</v>
      </c>
      <c r="F1686">
        <v>241</v>
      </c>
      <c r="G1686">
        <v>240</v>
      </c>
      <c r="N1686" t="s">
        <v>15125</v>
      </c>
    </row>
    <row r="1687" spans="2:15" x14ac:dyDescent="0.25">
      <c r="B1687">
        <v>9332</v>
      </c>
      <c r="C1687" t="s">
        <v>18429</v>
      </c>
      <c r="D1687" t="s">
        <v>24355</v>
      </c>
      <c r="E1687">
        <v>242</v>
      </c>
      <c r="F1687">
        <v>241</v>
      </c>
      <c r="G1687">
        <v>240</v>
      </c>
      <c r="O1687" t="s">
        <v>12978</v>
      </c>
    </row>
    <row r="1688" spans="2:15" x14ac:dyDescent="0.25">
      <c r="B1688">
        <v>9333</v>
      </c>
      <c r="C1688" t="s">
        <v>18429</v>
      </c>
      <c r="D1688" t="s">
        <v>23430</v>
      </c>
      <c r="E1688">
        <v>242</v>
      </c>
      <c r="F1688">
        <v>241</v>
      </c>
      <c r="G1688">
        <v>240</v>
      </c>
      <c r="O1688" t="s">
        <v>12980</v>
      </c>
    </row>
    <row r="1689" spans="2:15" x14ac:dyDescent="0.25">
      <c r="B1689">
        <v>9334</v>
      </c>
      <c r="C1689" t="s">
        <v>18430</v>
      </c>
      <c r="E1689">
        <v>242</v>
      </c>
      <c r="F1689">
        <v>241</v>
      </c>
      <c r="G1689">
        <v>240</v>
      </c>
      <c r="N1689" t="s">
        <v>2087</v>
      </c>
    </row>
    <row r="1690" spans="2:15" x14ac:dyDescent="0.25">
      <c r="B1690">
        <v>9335</v>
      </c>
      <c r="C1690" t="s">
        <v>18430</v>
      </c>
      <c r="D1690" t="s">
        <v>24355</v>
      </c>
      <c r="E1690">
        <v>242</v>
      </c>
      <c r="F1690">
        <v>241</v>
      </c>
      <c r="G1690">
        <v>240</v>
      </c>
      <c r="O1690" t="s">
        <v>12982</v>
      </c>
    </row>
    <row r="1691" spans="2:15" x14ac:dyDescent="0.25">
      <c r="B1691">
        <v>9336</v>
      </c>
      <c r="C1691" t="s">
        <v>18430</v>
      </c>
      <c r="D1691" t="s">
        <v>23430</v>
      </c>
      <c r="E1691">
        <v>242</v>
      </c>
      <c r="F1691">
        <v>241</v>
      </c>
      <c r="G1691">
        <v>240</v>
      </c>
      <c r="O1691" t="s">
        <v>12984</v>
      </c>
    </row>
    <row r="1692" spans="2:15" x14ac:dyDescent="0.25">
      <c r="B1692">
        <v>9337</v>
      </c>
      <c r="C1692" t="s">
        <v>18431</v>
      </c>
      <c r="E1692">
        <v>242</v>
      </c>
      <c r="F1692">
        <v>241</v>
      </c>
      <c r="G1692">
        <v>240</v>
      </c>
      <c r="N1692" t="s">
        <v>15023</v>
      </c>
    </row>
    <row r="1693" spans="2:15" x14ac:dyDescent="0.25">
      <c r="B1693">
        <v>9338</v>
      </c>
      <c r="C1693" t="s">
        <v>18431</v>
      </c>
      <c r="D1693" t="s">
        <v>24355</v>
      </c>
      <c r="E1693">
        <v>242</v>
      </c>
      <c r="F1693">
        <v>241</v>
      </c>
      <c r="G1693">
        <v>240</v>
      </c>
      <c r="O1693" t="s">
        <v>12986</v>
      </c>
    </row>
    <row r="1694" spans="2:15" x14ac:dyDescent="0.25">
      <c r="B1694">
        <v>9339</v>
      </c>
      <c r="C1694" t="s">
        <v>18431</v>
      </c>
      <c r="D1694" t="s">
        <v>23430</v>
      </c>
      <c r="E1694">
        <v>242</v>
      </c>
      <c r="F1694">
        <v>241</v>
      </c>
      <c r="G1694">
        <v>240</v>
      </c>
      <c r="O1694" t="s">
        <v>12988</v>
      </c>
    </row>
    <row r="1695" spans="2:15" x14ac:dyDescent="0.25">
      <c r="B1695">
        <v>9340</v>
      </c>
      <c r="C1695" t="s">
        <v>25512</v>
      </c>
      <c r="E1695">
        <v>242</v>
      </c>
      <c r="F1695">
        <v>241</v>
      </c>
      <c r="G1695">
        <v>240</v>
      </c>
      <c r="N1695" t="s">
        <v>167</v>
      </c>
    </row>
    <row r="1696" spans="2:15" x14ac:dyDescent="0.25">
      <c r="B1696">
        <v>9341</v>
      </c>
      <c r="C1696" t="s">
        <v>25512</v>
      </c>
      <c r="D1696" t="s">
        <v>24355</v>
      </c>
      <c r="E1696">
        <v>242</v>
      </c>
      <c r="F1696">
        <v>241</v>
      </c>
      <c r="G1696">
        <v>240</v>
      </c>
      <c r="O1696" t="s">
        <v>12990</v>
      </c>
    </row>
    <row r="1697" spans="2:15" x14ac:dyDescent="0.25">
      <c r="B1697">
        <v>9342</v>
      </c>
      <c r="C1697" t="s">
        <v>25512</v>
      </c>
      <c r="D1697" t="s">
        <v>23430</v>
      </c>
      <c r="E1697">
        <v>242</v>
      </c>
      <c r="F1697">
        <v>241</v>
      </c>
      <c r="G1697">
        <v>240</v>
      </c>
      <c r="O1697" t="s">
        <v>12992</v>
      </c>
    </row>
    <row r="1698" spans="2:15" x14ac:dyDescent="0.25">
      <c r="B1698">
        <v>9343</v>
      </c>
      <c r="C1698" t="s">
        <v>18433</v>
      </c>
      <c r="E1698">
        <v>242</v>
      </c>
      <c r="F1698">
        <v>241</v>
      </c>
      <c r="G1698">
        <v>240</v>
      </c>
      <c r="N1698" t="s">
        <v>2318</v>
      </c>
    </row>
    <row r="1699" spans="2:15" x14ac:dyDescent="0.25">
      <c r="B1699">
        <v>9344</v>
      </c>
      <c r="C1699" t="s">
        <v>18433</v>
      </c>
      <c r="D1699" t="s">
        <v>24355</v>
      </c>
      <c r="E1699">
        <v>242</v>
      </c>
      <c r="F1699">
        <v>241</v>
      </c>
      <c r="G1699">
        <v>240</v>
      </c>
      <c r="O1699" t="s">
        <v>12994</v>
      </c>
    </row>
    <row r="1700" spans="2:15" x14ac:dyDescent="0.25">
      <c r="B1700">
        <v>9345</v>
      </c>
      <c r="C1700" t="s">
        <v>18433</v>
      </c>
      <c r="D1700" t="s">
        <v>23430</v>
      </c>
      <c r="E1700">
        <v>242</v>
      </c>
      <c r="F1700">
        <v>241</v>
      </c>
      <c r="G1700">
        <v>240</v>
      </c>
      <c r="O1700" t="s">
        <v>12996</v>
      </c>
    </row>
    <row r="1701" spans="2:15" x14ac:dyDescent="0.25">
      <c r="B1701">
        <v>265505538</v>
      </c>
      <c r="C1701" t="s">
        <v>24598</v>
      </c>
      <c r="E1701">
        <v>242</v>
      </c>
      <c r="F1701">
        <v>241</v>
      </c>
      <c r="G1701">
        <v>240</v>
      </c>
      <c r="M1701" t="s">
        <v>227</v>
      </c>
    </row>
    <row r="1702" spans="2:15" x14ac:dyDescent="0.25">
      <c r="B1702">
        <v>265505542</v>
      </c>
      <c r="C1702" t="s">
        <v>24598</v>
      </c>
      <c r="D1702" t="s">
        <v>24355</v>
      </c>
      <c r="E1702">
        <v>242</v>
      </c>
      <c r="F1702">
        <v>241</v>
      </c>
      <c r="G1702">
        <v>240</v>
      </c>
      <c r="N1702" t="s">
        <v>12044</v>
      </c>
    </row>
    <row r="1703" spans="2:15" x14ac:dyDescent="0.25">
      <c r="B1703">
        <v>265505546</v>
      </c>
      <c r="C1703" t="s">
        <v>24598</v>
      </c>
      <c r="D1703" t="s">
        <v>23430</v>
      </c>
      <c r="E1703">
        <v>242</v>
      </c>
      <c r="F1703">
        <v>241</v>
      </c>
      <c r="G1703">
        <v>240</v>
      </c>
      <c r="N1703" t="s">
        <v>12046</v>
      </c>
    </row>
    <row r="1704" spans="2:15" x14ac:dyDescent="0.25">
      <c r="B1704">
        <v>265505550</v>
      </c>
      <c r="C1704" t="s">
        <v>20778</v>
      </c>
      <c r="E1704">
        <v>242</v>
      </c>
      <c r="F1704">
        <v>241</v>
      </c>
      <c r="G1704">
        <v>240</v>
      </c>
      <c r="M1704" t="s">
        <v>1389</v>
      </c>
    </row>
    <row r="1705" spans="2:15" x14ac:dyDescent="0.25">
      <c r="B1705">
        <v>265505554</v>
      </c>
      <c r="C1705" t="s">
        <v>20778</v>
      </c>
      <c r="D1705" t="s">
        <v>24355</v>
      </c>
      <c r="E1705">
        <v>242</v>
      </c>
      <c r="F1705">
        <v>241</v>
      </c>
      <c r="G1705">
        <v>240</v>
      </c>
      <c r="N1705" t="s">
        <v>12048</v>
      </c>
    </row>
    <row r="1706" spans="2:15" x14ac:dyDescent="0.25">
      <c r="B1706">
        <v>265505558</v>
      </c>
      <c r="C1706" t="s">
        <v>20778</v>
      </c>
      <c r="D1706" t="s">
        <v>23430</v>
      </c>
      <c r="E1706">
        <v>242</v>
      </c>
      <c r="F1706">
        <v>241</v>
      </c>
      <c r="G1706">
        <v>240</v>
      </c>
      <c r="N1706" t="s">
        <v>12050</v>
      </c>
    </row>
    <row r="1707" spans="2:15" x14ac:dyDescent="0.25">
      <c r="B1707">
        <v>9346</v>
      </c>
      <c r="C1707" t="s">
        <v>20949</v>
      </c>
      <c r="E1707">
        <v>242</v>
      </c>
      <c r="F1707">
        <v>241</v>
      </c>
      <c r="G1707">
        <v>240</v>
      </c>
      <c r="M1707" t="s">
        <v>1539</v>
      </c>
    </row>
    <row r="1708" spans="2:15" x14ac:dyDescent="0.25">
      <c r="B1708">
        <v>9347</v>
      </c>
      <c r="C1708" t="s">
        <v>20949</v>
      </c>
      <c r="D1708" t="s">
        <v>24355</v>
      </c>
      <c r="E1708">
        <v>242</v>
      </c>
      <c r="F1708">
        <v>241</v>
      </c>
      <c r="G1708">
        <v>240</v>
      </c>
      <c r="N1708" t="s">
        <v>12999</v>
      </c>
    </row>
    <row r="1709" spans="2:15" x14ac:dyDescent="0.25">
      <c r="B1709">
        <v>9348</v>
      </c>
      <c r="C1709" t="s">
        <v>20949</v>
      </c>
      <c r="D1709" t="s">
        <v>23430</v>
      </c>
      <c r="E1709">
        <v>242</v>
      </c>
      <c r="F1709">
        <v>241</v>
      </c>
      <c r="G1709">
        <v>240</v>
      </c>
      <c r="N1709" t="s">
        <v>1541</v>
      </c>
    </row>
    <row r="1710" spans="2:15" x14ac:dyDescent="0.25">
      <c r="B1710">
        <v>9349</v>
      </c>
      <c r="C1710" t="s">
        <v>18474</v>
      </c>
      <c r="E1710">
        <v>242</v>
      </c>
      <c r="F1710">
        <v>241</v>
      </c>
      <c r="G1710">
        <v>240</v>
      </c>
      <c r="M1710" t="s">
        <v>2931</v>
      </c>
    </row>
    <row r="1711" spans="2:15" x14ac:dyDescent="0.25">
      <c r="B1711">
        <v>9350</v>
      </c>
      <c r="C1711" t="s">
        <v>18474</v>
      </c>
      <c r="D1711" t="s">
        <v>24355</v>
      </c>
      <c r="E1711">
        <v>242</v>
      </c>
      <c r="F1711">
        <v>241</v>
      </c>
      <c r="G1711">
        <v>240</v>
      </c>
      <c r="N1711" t="s">
        <v>13002</v>
      </c>
    </row>
    <row r="1712" spans="2:15" x14ac:dyDescent="0.25">
      <c r="B1712">
        <v>9351</v>
      </c>
      <c r="C1712" t="s">
        <v>18474</v>
      </c>
      <c r="D1712" t="s">
        <v>23430</v>
      </c>
      <c r="E1712">
        <v>242</v>
      </c>
      <c r="F1712">
        <v>241</v>
      </c>
      <c r="G1712">
        <v>240</v>
      </c>
      <c r="N1712" t="s">
        <v>2933</v>
      </c>
    </row>
    <row r="1713" spans="2:14" x14ac:dyDescent="0.25">
      <c r="B1713">
        <v>12950</v>
      </c>
      <c r="C1713" t="s">
        <v>24600</v>
      </c>
      <c r="E1713">
        <v>242</v>
      </c>
      <c r="F1713">
        <v>241</v>
      </c>
      <c r="G1713">
        <v>240</v>
      </c>
      <c r="M1713" t="s">
        <v>1008</v>
      </c>
    </row>
    <row r="1714" spans="2:14" x14ac:dyDescent="0.25">
      <c r="B1714">
        <v>12951</v>
      </c>
      <c r="C1714" t="s">
        <v>24600</v>
      </c>
      <c r="D1714" t="s">
        <v>24355</v>
      </c>
      <c r="E1714">
        <v>242</v>
      </c>
      <c r="F1714">
        <v>241</v>
      </c>
      <c r="G1714">
        <v>240</v>
      </c>
      <c r="N1714" t="s">
        <v>11646</v>
      </c>
    </row>
    <row r="1715" spans="2:14" x14ac:dyDescent="0.25">
      <c r="B1715">
        <v>12952</v>
      </c>
      <c r="C1715" t="s">
        <v>24600</v>
      </c>
      <c r="D1715" t="s">
        <v>23430</v>
      </c>
      <c r="E1715">
        <v>242</v>
      </c>
      <c r="F1715">
        <v>241</v>
      </c>
      <c r="G1715">
        <v>240</v>
      </c>
      <c r="N1715" t="s">
        <v>1010</v>
      </c>
    </row>
    <row r="1716" spans="2:14" x14ac:dyDescent="0.25">
      <c r="B1716">
        <v>265505562</v>
      </c>
      <c r="C1716" t="s">
        <v>24634</v>
      </c>
      <c r="E1716">
        <v>242</v>
      </c>
      <c r="F1716">
        <v>241</v>
      </c>
      <c r="G1716">
        <v>240</v>
      </c>
      <c r="M1716" t="s">
        <v>12052</v>
      </c>
    </row>
    <row r="1717" spans="2:14" x14ac:dyDescent="0.25">
      <c r="B1717">
        <v>265505566</v>
      </c>
      <c r="C1717" t="s">
        <v>24634</v>
      </c>
      <c r="D1717" t="s">
        <v>24355</v>
      </c>
      <c r="E1717">
        <v>242</v>
      </c>
      <c r="F1717">
        <v>241</v>
      </c>
      <c r="G1717">
        <v>240</v>
      </c>
      <c r="N1717" t="s">
        <v>12054</v>
      </c>
    </row>
    <row r="1718" spans="2:14" x14ac:dyDescent="0.25">
      <c r="B1718">
        <v>265505570</v>
      </c>
      <c r="C1718" t="s">
        <v>24634</v>
      </c>
      <c r="D1718" t="s">
        <v>23430</v>
      </c>
      <c r="E1718">
        <v>242</v>
      </c>
      <c r="F1718">
        <v>241</v>
      </c>
      <c r="G1718">
        <v>240</v>
      </c>
      <c r="N1718" t="s">
        <v>12056</v>
      </c>
    </row>
    <row r="1719" spans="2:14" x14ac:dyDescent="0.25">
      <c r="B1719">
        <v>265505574</v>
      </c>
      <c r="C1719" t="s">
        <v>18445</v>
      </c>
      <c r="E1719">
        <v>242</v>
      </c>
      <c r="F1719">
        <v>241</v>
      </c>
      <c r="G1719">
        <v>240</v>
      </c>
      <c r="M1719" t="s">
        <v>1370</v>
      </c>
    </row>
    <row r="1720" spans="2:14" x14ac:dyDescent="0.25">
      <c r="B1720">
        <v>265505578</v>
      </c>
      <c r="C1720" t="s">
        <v>18445</v>
      </c>
      <c r="D1720" t="s">
        <v>24355</v>
      </c>
      <c r="E1720">
        <v>242</v>
      </c>
      <c r="F1720">
        <v>241</v>
      </c>
      <c r="G1720">
        <v>240</v>
      </c>
      <c r="N1720" t="s">
        <v>12058</v>
      </c>
    </row>
    <row r="1721" spans="2:14" x14ac:dyDescent="0.25">
      <c r="B1721">
        <v>265505582</v>
      </c>
      <c r="C1721" t="s">
        <v>18445</v>
      </c>
      <c r="D1721" t="s">
        <v>23430</v>
      </c>
      <c r="E1721">
        <v>242</v>
      </c>
      <c r="F1721">
        <v>241</v>
      </c>
      <c r="G1721">
        <v>240</v>
      </c>
      <c r="N1721" t="s">
        <v>12060</v>
      </c>
    </row>
    <row r="1722" spans="2:14" x14ac:dyDescent="0.25">
      <c r="B1722">
        <v>12953</v>
      </c>
      <c r="C1722" t="s">
        <v>20945</v>
      </c>
      <c r="E1722">
        <v>242</v>
      </c>
      <c r="F1722">
        <v>241</v>
      </c>
      <c r="G1722">
        <v>240</v>
      </c>
      <c r="M1722" t="s">
        <v>2150</v>
      </c>
    </row>
    <row r="1723" spans="2:14" x14ac:dyDescent="0.25">
      <c r="B1723">
        <v>12954</v>
      </c>
      <c r="C1723" t="s">
        <v>20945</v>
      </c>
      <c r="D1723" t="s">
        <v>24355</v>
      </c>
      <c r="E1723">
        <v>242</v>
      </c>
      <c r="F1723">
        <v>241</v>
      </c>
      <c r="G1723">
        <v>240</v>
      </c>
      <c r="N1723" t="s">
        <v>11648</v>
      </c>
    </row>
    <row r="1724" spans="2:14" x14ac:dyDescent="0.25">
      <c r="B1724">
        <v>12955</v>
      </c>
      <c r="C1724" t="s">
        <v>20945</v>
      </c>
      <c r="D1724" t="s">
        <v>23430</v>
      </c>
      <c r="E1724">
        <v>242</v>
      </c>
      <c r="F1724">
        <v>241</v>
      </c>
      <c r="G1724">
        <v>240</v>
      </c>
      <c r="N1724" t="s">
        <v>11650</v>
      </c>
    </row>
    <row r="1725" spans="2:14" x14ac:dyDescent="0.25">
      <c r="B1725">
        <v>265505586</v>
      </c>
      <c r="C1725" t="s">
        <v>24608</v>
      </c>
      <c r="E1725">
        <v>242</v>
      </c>
      <c r="F1725">
        <v>241</v>
      </c>
      <c r="G1725">
        <v>240</v>
      </c>
      <c r="M1725" t="s">
        <v>1826</v>
      </c>
    </row>
    <row r="1726" spans="2:14" x14ac:dyDescent="0.25">
      <c r="B1726">
        <v>265505590</v>
      </c>
      <c r="C1726" t="s">
        <v>24608</v>
      </c>
      <c r="D1726" t="s">
        <v>24355</v>
      </c>
      <c r="E1726">
        <v>242</v>
      </c>
      <c r="F1726">
        <v>241</v>
      </c>
      <c r="G1726">
        <v>240</v>
      </c>
      <c r="N1726" t="s">
        <v>12062</v>
      </c>
    </row>
    <row r="1727" spans="2:14" x14ac:dyDescent="0.25">
      <c r="B1727">
        <v>265505594</v>
      </c>
      <c r="C1727" t="s">
        <v>24608</v>
      </c>
      <c r="D1727" t="s">
        <v>23430</v>
      </c>
      <c r="E1727">
        <v>242</v>
      </c>
      <c r="F1727">
        <v>241</v>
      </c>
      <c r="G1727">
        <v>240</v>
      </c>
      <c r="N1727" t="s">
        <v>12064</v>
      </c>
    </row>
    <row r="1728" spans="2:14" x14ac:dyDescent="0.25">
      <c r="B1728">
        <v>265505598</v>
      </c>
      <c r="C1728" t="s">
        <v>24609</v>
      </c>
      <c r="E1728">
        <v>242</v>
      </c>
      <c r="F1728">
        <v>241</v>
      </c>
      <c r="G1728">
        <v>240</v>
      </c>
      <c r="M1728" t="s">
        <v>8347</v>
      </c>
    </row>
    <row r="1729" spans="2:14" x14ac:dyDescent="0.25">
      <c r="B1729">
        <v>265505602</v>
      </c>
      <c r="C1729" t="s">
        <v>24609</v>
      </c>
      <c r="D1729" t="s">
        <v>24355</v>
      </c>
      <c r="E1729">
        <v>242</v>
      </c>
      <c r="F1729">
        <v>241</v>
      </c>
      <c r="G1729">
        <v>240</v>
      </c>
      <c r="N1729" t="s">
        <v>12067</v>
      </c>
    </row>
    <row r="1730" spans="2:14" x14ac:dyDescent="0.25">
      <c r="B1730">
        <v>265505606</v>
      </c>
      <c r="C1730" t="s">
        <v>24609</v>
      </c>
      <c r="D1730" t="s">
        <v>23430</v>
      </c>
      <c r="E1730">
        <v>242</v>
      </c>
      <c r="F1730">
        <v>241</v>
      </c>
      <c r="G1730">
        <v>240</v>
      </c>
      <c r="N1730" t="s">
        <v>12069</v>
      </c>
    </row>
    <row r="1731" spans="2:14" x14ac:dyDescent="0.25">
      <c r="B1731">
        <v>265505610</v>
      </c>
      <c r="C1731" t="s">
        <v>20780</v>
      </c>
      <c r="E1731">
        <v>242</v>
      </c>
      <c r="F1731">
        <v>241</v>
      </c>
      <c r="G1731">
        <v>240</v>
      </c>
      <c r="M1731" t="s">
        <v>2485</v>
      </c>
    </row>
    <row r="1732" spans="2:14" x14ac:dyDescent="0.25">
      <c r="B1732">
        <v>265505614</v>
      </c>
      <c r="C1732" t="s">
        <v>20780</v>
      </c>
      <c r="D1732" t="s">
        <v>24355</v>
      </c>
      <c r="E1732">
        <v>242</v>
      </c>
      <c r="F1732">
        <v>241</v>
      </c>
      <c r="G1732">
        <v>240</v>
      </c>
      <c r="N1732" t="s">
        <v>12071</v>
      </c>
    </row>
    <row r="1733" spans="2:14" x14ac:dyDescent="0.25">
      <c r="B1733">
        <v>265505618</v>
      </c>
      <c r="C1733" t="s">
        <v>20780</v>
      </c>
      <c r="D1733" t="s">
        <v>23430</v>
      </c>
      <c r="E1733">
        <v>242</v>
      </c>
      <c r="F1733">
        <v>241</v>
      </c>
      <c r="G1733">
        <v>240</v>
      </c>
      <c r="N1733" t="s">
        <v>12073</v>
      </c>
    </row>
    <row r="1734" spans="2:14" x14ac:dyDescent="0.25">
      <c r="B1734">
        <v>12956</v>
      </c>
      <c r="C1734" t="s">
        <v>18469</v>
      </c>
      <c r="E1734">
        <v>242</v>
      </c>
      <c r="F1734">
        <v>241</v>
      </c>
      <c r="G1734">
        <v>240</v>
      </c>
      <c r="M1734" t="s">
        <v>2607</v>
      </c>
    </row>
    <row r="1735" spans="2:14" x14ac:dyDescent="0.25">
      <c r="B1735">
        <v>12957</v>
      </c>
      <c r="C1735" t="s">
        <v>18469</v>
      </c>
      <c r="D1735" t="s">
        <v>24355</v>
      </c>
      <c r="E1735">
        <v>242</v>
      </c>
      <c r="F1735">
        <v>241</v>
      </c>
      <c r="G1735">
        <v>240</v>
      </c>
      <c r="N1735" t="s">
        <v>11653</v>
      </c>
    </row>
    <row r="1736" spans="2:14" x14ac:dyDescent="0.25">
      <c r="B1736">
        <v>12958</v>
      </c>
      <c r="C1736" t="s">
        <v>18469</v>
      </c>
      <c r="D1736" t="s">
        <v>23430</v>
      </c>
      <c r="E1736">
        <v>242</v>
      </c>
      <c r="F1736">
        <v>241</v>
      </c>
      <c r="G1736">
        <v>240</v>
      </c>
      <c r="N1736" t="s">
        <v>2610</v>
      </c>
    </row>
    <row r="1737" spans="2:14" x14ac:dyDescent="0.25">
      <c r="B1737">
        <v>12959</v>
      </c>
      <c r="C1737" t="s">
        <v>18472</v>
      </c>
      <c r="E1737">
        <v>242</v>
      </c>
      <c r="F1737">
        <v>241</v>
      </c>
      <c r="G1737">
        <v>240</v>
      </c>
      <c r="M1737" t="s">
        <v>2924</v>
      </c>
    </row>
    <row r="1738" spans="2:14" x14ac:dyDescent="0.25">
      <c r="B1738">
        <v>12960</v>
      </c>
      <c r="C1738" t="s">
        <v>18472</v>
      </c>
      <c r="D1738" t="s">
        <v>24355</v>
      </c>
      <c r="E1738">
        <v>242</v>
      </c>
      <c r="F1738">
        <v>241</v>
      </c>
      <c r="G1738">
        <v>240</v>
      </c>
      <c r="N1738" t="s">
        <v>11656</v>
      </c>
    </row>
    <row r="1739" spans="2:14" x14ac:dyDescent="0.25">
      <c r="B1739">
        <v>12961</v>
      </c>
      <c r="C1739" t="s">
        <v>18472</v>
      </c>
      <c r="D1739" t="s">
        <v>23430</v>
      </c>
      <c r="E1739">
        <v>242</v>
      </c>
      <c r="F1739">
        <v>241</v>
      </c>
      <c r="G1739">
        <v>240</v>
      </c>
      <c r="N1739" t="s">
        <v>2927</v>
      </c>
    </row>
    <row r="1740" spans="2:14" x14ac:dyDescent="0.25">
      <c r="B1740">
        <v>265505622</v>
      </c>
      <c r="C1740" t="s">
        <v>24602</v>
      </c>
      <c r="E1740">
        <v>242</v>
      </c>
      <c r="F1740">
        <v>241</v>
      </c>
      <c r="G1740">
        <v>240</v>
      </c>
      <c r="N1740" t="s">
        <v>1416</v>
      </c>
    </row>
    <row r="1741" spans="2:14" x14ac:dyDescent="0.25">
      <c r="B1741">
        <v>12962</v>
      </c>
      <c r="C1741" t="s">
        <v>18489</v>
      </c>
      <c r="E1741">
        <v>242</v>
      </c>
      <c r="F1741">
        <v>241</v>
      </c>
      <c r="G1741">
        <v>240</v>
      </c>
      <c r="M1741" t="s">
        <v>7778</v>
      </c>
    </row>
    <row r="1742" spans="2:14" x14ac:dyDescent="0.25">
      <c r="B1742">
        <v>12963</v>
      </c>
      <c r="C1742" t="s">
        <v>18489</v>
      </c>
      <c r="D1742" t="s">
        <v>24355</v>
      </c>
      <c r="E1742">
        <v>242</v>
      </c>
      <c r="F1742">
        <v>241</v>
      </c>
      <c r="G1742">
        <v>240</v>
      </c>
      <c r="N1742" t="s">
        <v>11659</v>
      </c>
    </row>
    <row r="1743" spans="2:14" x14ac:dyDescent="0.25">
      <c r="B1743">
        <v>12964</v>
      </c>
      <c r="C1743" t="s">
        <v>18489</v>
      </c>
      <c r="D1743" t="s">
        <v>23430</v>
      </c>
      <c r="E1743">
        <v>242</v>
      </c>
      <c r="F1743">
        <v>241</v>
      </c>
      <c r="G1743">
        <v>240</v>
      </c>
      <c r="N1743" t="s">
        <v>11661</v>
      </c>
    </row>
    <row r="1744" spans="2:14" x14ac:dyDescent="0.25">
      <c r="B1744">
        <v>12965</v>
      </c>
      <c r="C1744" t="s">
        <v>25513</v>
      </c>
      <c r="E1744">
        <v>242</v>
      </c>
      <c r="F1744">
        <v>241</v>
      </c>
      <c r="G1744">
        <v>240</v>
      </c>
      <c r="N1744" t="s">
        <v>4213</v>
      </c>
    </row>
    <row r="1745" spans="2:14" x14ac:dyDescent="0.25">
      <c r="B1745">
        <v>265505626</v>
      </c>
      <c r="C1745" t="s">
        <v>18499</v>
      </c>
      <c r="E1745">
        <v>242</v>
      </c>
      <c r="F1745">
        <v>241</v>
      </c>
      <c r="G1745">
        <v>240</v>
      </c>
      <c r="M1745" t="s">
        <v>4980</v>
      </c>
    </row>
    <row r="1746" spans="2:14" x14ac:dyDescent="0.25">
      <c r="B1746">
        <v>265505630</v>
      </c>
      <c r="C1746" t="s">
        <v>18499</v>
      </c>
      <c r="D1746" t="s">
        <v>24355</v>
      </c>
      <c r="E1746">
        <v>242</v>
      </c>
      <c r="F1746">
        <v>241</v>
      </c>
      <c r="G1746">
        <v>240</v>
      </c>
      <c r="N1746" t="s">
        <v>12075</v>
      </c>
    </row>
    <row r="1747" spans="2:14" x14ac:dyDescent="0.25">
      <c r="B1747">
        <v>265505634</v>
      </c>
      <c r="C1747" t="s">
        <v>18499</v>
      </c>
      <c r="D1747" t="s">
        <v>23430</v>
      </c>
      <c r="E1747">
        <v>242</v>
      </c>
      <c r="F1747">
        <v>241</v>
      </c>
      <c r="G1747">
        <v>240</v>
      </c>
      <c r="N1747" t="s">
        <v>12077</v>
      </c>
    </row>
    <row r="1748" spans="2:14" x14ac:dyDescent="0.25">
      <c r="B1748">
        <v>265505638</v>
      </c>
      <c r="C1748" t="s">
        <v>24643</v>
      </c>
      <c r="E1748">
        <v>242</v>
      </c>
      <c r="F1748">
        <v>241</v>
      </c>
      <c r="G1748">
        <v>240</v>
      </c>
      <c r="M1748" t="s">
        <v>7792</v>
      </c>
    </row>
    <row r="1749" spans="2:14" x14ac:dyDescent="0.25">
      <c r="B1749">
        <v>265505642</v>
      </c>
      <c r="C1749" t="s">
        <v>24643</v>
      </c>
      <c r="D1749" t="s">
        <v>24355</v>
      </c>
      <c r="E1749">
        <v>242</v>
      </c>
      <c r="F1749">
        <v>241</v>
      </c>
      <c r="G1749">
        <v>240</v>
      </c>
      <c r="N1749" t="s">
        <v>12080</v>
      </c>
    </row>
    <row r="1750" spans="2:14" x14ac:dyDescent="0.25">
      <c r="B1750">
        <v>265505646</v>
      </c>
      <c r="C1750" t="s">
        <v>24643</v>
      </c>
      <c r="D1750" t="s">
        <v>23430</v>
      </c>
      <c r="E1750">
        <v>242</v>
      </c>
      <c r="F1750">
        <v>241</v>
      </c>
      <c r="G1750">
        <v>240</v>
      </c>
      <c r="N1750" t="s">
        <v>12082</v>
      </c>
    </row>
    <row r="1751" spans="2:14" x14ac:dyDescent="0.25">
      <c r="B1751">
        <v>265505650</v>
      </c>
      <c r="C1751" t="s">
        <v>18500</v>
      </c>
      <c r="E1751">
        <v>242</v>
      </c>
      <c r="F1751">
        <v>241</v>
      </c>
      <c r="G1751">
        <v>240</v>
      </c>
      <c r="M1751" t="s">
        <v>5001</v>
      </c>
    </row>
    <row r="1752" spans="2:14" x14ac:dyDescent="0.25">
      <c r="B1752">
        <v>265505654</v>
      </c>
      <c r="C1752" t="s">
        <v>18500</v>
      </c>
      <c r="D1752" t="s">
        <v>24355</v>
      </c>
      <c r="E1752">
        <v>242</v>
      </c>
      <c r="F1752">
        <v>241</v>
      </c>
      <c r="G1752">
        <v>240</v>
      </c>
      <c r="N1752" t="s">
        <v>12084</v>
      </c>
    </row>
    <row r="1753" spans="2:14" x14ac:dyDescent="0.25">
      <c r="B1753">
        <v>265505658</v>
      </c>
      <c r="C1753" t="s">
        <v>18500</v>
      </c>
      <c r="D1753" t="s">
        <v>23430</v>
      </c>
      <c r="E1753">
        <v>242</v>
      </c>
      <c r="F1753">
        <v>241</v>
      </c>
      <c r="G1753">
        <v>240</v>
      </c>
      <c r="N1753" t="s">
        <v>12086</v>
      </c>
    </row>
    <row r="1754" spans="2:14" x14ac:dyDescent="0.25">
      <c r="B1754">
        <v>265505662</v>
      </c>
      <c r="C1754" t="s">
        <v>18509</v>
      </c>
      <c r="E1754">
        <v>242</v>
      </c>
      <c r="F1754">
        <v>241</v>
      </c>
      <c r="G1754">
        <v>240</v>
      </c>
      <c r="M1754" t="s">
        <v>7806</v>
      </c>
    </row>
    <row r="1755" spans="2:14" x14ac:dyDescent="0.25">
      <c r="B1755">
        <v>265505666</v>
      </c>
      <c r="C1755" t="s">
        <v>18509</v>
      </c>
      <c r="D1755" t="s">
        <v>24355</v>
      </c>
      <c r="E1755">
        <v>242</v>
      </c>
      <c r="F1755">
        <v>241</v>
      </c>
      <c r="G1755">
        <v>240</v>
      </c>
      <c r="N1755" t="s">
        <v>12089</v>
      </c>
    </row>
    <row r="1756" spans="2:14" x14ac:dyDescent="0.25">
      <c r="B1756">
        <v>265505670</v>
      </c>
      <c r="C1756" t="s">
        <v>18509</v>
      </c>
      <c r="D1756" t="s">
        <v>23430</v>
      </c>
      <c r="E1756">
        <v>242</v>
      </c>
      <c r="F1756">
        <v>241</v>
      </c>
      <c r="G1756">
        <v>240</v>
      </c>
      <c r="N1756" t="s">
        <v>12091</v>
      </c>
    </row>
    <row r="1757" spans="2:14" x14ac:dyDescent="0.25">
      <c r="B1757">
        <v>265505674</v>
      </c>
      <c r="C1757" t="s">
        <v>18517</v>
      </c>
      <c r="E1757">
        <v>242</v>
      </c>
      <c r="F1757">
        <v>241</v>
      </c>
      <c r="G1757">
        <v>240</v>
      </c>
      <c r="M1757" t="s">
        <v>7818</v>
      </c>
    </row>
    <row r="1758" spans="2:14" x14ac:dyDescent="0.25">
      <c r="B1758">
        <v>265505678</v>
      </c>
      <c r="C1758" t="s">
        <v>18517</v>
      </c>
      <c r="D1758" t="s">
        <v>24355</v>
      </c>
      <c r="E1758">
        <v>242</v>
      </c>
      <c r="F1758">
        <v>241</v>
      </c>
      <c r="G1758">
        <v>240</v>
      </c>
      <c r="N1758" t="s">
        <v>12094</v>
      </c>
    </row>
    <row r="1759" spans="2:14" x14ac:dyDescent="0.25">
      <c r="B1759">
        <v>265505682</v>
      </c>
      <c r="C1759" t="s">
        <v>18517</v>
      </c>
      <c r="D1759" t="s">
        <v>23430</v>
      </c>
      <c r="E1759">
        <v>242</v>
      </c>
      <c r="F1759">
        <v>241</v>
      </c>
      <c r="G1759">
        <v>240</v>
      </c>
      <c r="N1759" t="s">
        <v>12096</v>
      </c>
    </row>
    <row r="1760" spans="2:14" x14ac:dyDescent="0.25">
      <c r="B1760">
        <v>265505686</v>
      </c>
      <c r="C1760" t="s">
        <v>24661</v>
      </c>
      <c r="E1760">
        <v>242</v>
      </c>
      <c r="F1760">
        <v>241</v>
      </c>
      <c r="G1760">
        <v>240</v>
      </c>
      <c r="M1760" t="s">
        <v>7820</v>
      </c>
    </row>
    <row r="1761" spans="2:14" x14ac:dyDescent="0.25">
      <c r="B1761">
        <v>265505690</v>
      </c>
      <c r="C1761" t="s">
        <v>24661</v>
      </c>
      <c r="D1761" t="s">
        <v>24355</v>
      </c>
      <c r="E1761">
        <v>242</v>
      </c>
      <c r="F1761">
        <v>241</v>
      </c>
      <c r="G1761">
        <v>240</v>
      </c>
      <c r="N1761" t="s">
        <v>12099</v>
      </c>
    </row>
    <row r="1762" spans="2:14" x14ac:dyDescent="0.25">
      <c r="B1762">
        <v>265505694</v>
      </c>
      <c r="C1762" t="s">
        <v>24661</v>
      </c>
      <c r="D1762" t="s">
        <v>23430</v>
      </c>
      <c r="E1762">
        <v>242</v>
      </c>
      <c r="F1762">
        <v>241</v>
      </c>
      <c r="G1762">
        <v>240</v>
      </c>
      <c r="N1762" t="s">
        <v>12101</v>
      </c>
    </row>
    <row r="1763" spans="2:14" x14ac:dyDescent="0.25">
      <c r="B1763">
        <v>9352</v>
      </c>
      <c r="C1763" t="s">
        <v>17787</v>
      </c>
      <c r="E1763">
        <v>109</v>
      </c>
      <c r="F1763">
        <v>110</v>
      </c>
      <c r="G1763">
        <v>112</v>
      </c>
      <c r="K1763" t="s">
        <v>14775</v>
      </c>
    </row>
    <row r="1764" spans="2:14" x14ac:dyDescent="0.25">
      <c r="B1764">
        <v>9353</v>
      </c>
      <c r="C1764" t="s">
        <v>25514</v>
      </c>
      <c r="E1764">
        <v>109</v>
      </c>
      <c r="F1764">
        <v>110</v>
      </c>
      <c r="G1764">
        <v>112</v>
      </c>
      <c r="L1764" t="s">
        <v>25515</v>
      </c>
    </row>
    <row r="1765" spans="2:14" x14ac:dyDescent="0.25">
      <c r="B1765">
        <v>9400</v>
      </c>
      <c r="C1765" t="s">
        <v>25516</v>
      </c>
      <c r="E1765">
        <v>109</v>
      </c>
      <c r="F1765">
        <v>110</v>
      </c>
      <c r="G1765">
        <v>112</v>
      </c>
      <c r="M1765" t="s">
        <v>25517</v>
      </c>
    </row>
    <row r="1766" spans="2:14" x14ac:dyDescent="0.25">
      <c r="B1766">
        <v>9404</v>
      </c>
      <c r="C1766" t="s">
        <v>23693</v>
      </c>
      <c r="E1766">
        <v>109</v>
      </c>
      <c r="F1766">
        <v>110</v>
      </c>
      <c r="G1766">
        <v>112</v>
      </c>
      <c r="N1766" t="s">
        <v>857</v>
      </c>
    </row>
    <row r="1767" spans="2:14" x14ac:dyDescent="0.25">
      <c r="B1767">
        <v>9403</v>
      </c>
      <c r="C1767" t="s">
        <v>23699</v>
      </c>
      <c r="E1767">
        <v>109</v>
      </c>
      <c r="F1767">
        <v>110</v>
      </c>
      <c r="G1767">
        <v>112</v>
      </c>
      <c r="N1767" t="s">
        <v>1000</v>
      </c>
    </row>
    <row r="1768" spans="2:14" x14ac:dyDescent="0.25">
      <c r="B1768">
        <v>9401</v>
      </c>
      <c r="C1768" t="s">
        <v>23610</v>
      </c>
      <c r="E1768">
        <v>109</v>
      </c>
      <c r="F1768">
        <v>110</v>
      </c>
      <c r="G1768">
        <v>112</v>
      </c>
      <c r="N1768" t="s">
        <v>2805</v>
      </c>
    </row>
    <row r="1769" spans="2:14" x14ac:dyDescent="0.25">
      <c r="B1769">
        <v>9402</v>
      </c>
      <c r="C1769" t="s">
        <v>25518</v>
      </c>
      <c r="E1769">
        <v>109</v>
      </c>
      <c r="F1769">
        <v>110</v>
      </c>
      <c r="G1769">
        <v>112</v>
      </c>
      <c r="N1769" t="s">
        <v>2729</v>
      </c>
    </row>
    <row r="1770" spans="2:14" x14ac:dyDescent="0.25">
      <c r="B1770">
        <v>9354</v>
      </c>
      <c r="C1770" t="s">
        <v>25519</v>
      </c>
      <c r="E1770">
        <v>109</v>
      </c>
      <c r="F1770">
        <v>110</v>
      </c>
      <c r="G1770">
        <v>112</v>
      </c>
      <c r="M1770" t="s">
        <v>2033</v>
      </c>
    </row>
    <row r="1771" spans="2:14" x14ac:dyDescent="0.25">
      <c r="B1771">
        <v>9368</v>
      </c>
      <c r="C1771" t="s">
        <v>25520</v>
      </c>
      <c r="E1771">
        <v>109</v>
      </c>
      <c r="F1771">
        <v>110</v>
      </c>
      <c r="G1771">
        <v>112</v>
      </c>
      <c r="N1771" t="s">
        <v>13004</v>
      </c>
    </row>
    <row r="1772" spans="2:14" x14ac:dyDescent="0.25">
      <c r="B1772">
        <v>9364</v>
      </c>
      <c r="C1772" t="s">
        <v>25521</v>
      </c>
      <c r="E1772">
        <v>109</v>
      </c>
      <c r="F1772">
        <v>110</v>
      </c>
      <c r="G1772">
        <v>112</v>
      </c>
      <c r="N1772" t="s">
        <v>1252</v>
      </c>
    </row>
    <row r="1773" spans="2:14" x14ac:dyDescent="0.25">
      <c r="B1773">
        <v>9363</v>
      </c>
      <c r="C1773" t="s">
        <v>23738</v>
      </c>
      <c r="E1773">
        <v>109</v>
      </c>
      <c r="F1773">
        <v>110</v>
      </c>
      <c r="G1773">
        <v>112</v>
      </c>
      <c r="N1773" t="s">
        <v>2039</v>
      </c>
    </row>
    <row r="1774" spans="2:14" x14ac:dyDescent="0.25">
      <c r="B1774">
        <v>9362</v>
      </c>
      <c r="C1774" t="s">
        <v>25522</v>
      </c>
      <c r="E1774">
        <v>109</v>
      </c>
      <c r="F1774">
        <v>110</v>
      </c>
      <c r="G1774">
        <v>112</v>
      </c>
      <c r="N1774" t="s">
        <v>2036</v>
      </c>
    </row>
    <row r="1775" spans="2:14" x14ac:dyDescent="0.25">
      <c r="B1775">
        <v>9357</v>
      </c>
      <c r="C1775" t="s">
        <v>23739</v>
      </c>
      <c r="E1775">
        <v>109</v>
      </c>
      <c r="F1775">
        <v>110</v>
      </c>
      <c r="G1775">
        <v>112</v>
      </c>
      <c r="N1775" t="s">
        <v>2367</v>
      </c>
    </row>
    <row r="1776" spans="2:14" x14ac:dyDescent="0.25">
      <c r="B1776">
        <v>9367</v>
      </c>
      <c r="C1776" t="s">
        <v>25523</v>
      </c>
      <c r="E1776">
        <v>109</v>
      </c>
      <c r="F1776">
        <v>110</v>
      </c>
      <c r="G1776">
        <v>112</v>
      </c>
      <c r="N1776" t="s">
        <v>2407</v>
      </c>
    </row>
    <row r="1777" spans="2:14" x14ac:dyDescent="0.25">
      <c r="B1777">
        <v>9358</v>
      </c>
      <c r="C1777" t="s">
        <v>25524</v>
      </c>
      <c r="E1777">
        <v>109</v>
      </c>
      <c r="F1777">
        <v>110</v>
      </c>
      <c r="G1777">
        <v>112</v>
      </c>
      <c r="N1777" t="s">
        <v>3852</v>
      </c>
    </row>
    <row r="1778" spans="2:14" x14ac:dyDescent="0.25">
      <c r="B1778">
        <v>9359</v>
      </c>
      <c r="C1778" t="s">
        <v>23751</v>
      </c>
      <c r="E1778">
        <v>109</v>
      </c>
      <c r="F1778">
        <v>110</v>
      </c>
      <c r="G1778">
        <v>112</v>
      </c>
      <c r="N1778" t="s">
        <v>3156</v>
      </c>
    </row>
    <row r="1779" spans="2:14" x14ac:dyDescent="0.25">
      <c r="B1779">
        <v>9361</v>
      </c>
      <c r="C1779" t="s">
        <v>25525</v>
      </c>
      <c r="E1779">
        <v>109</v>
      </c>
      <c r="F1779">
        <v>110</v>
      </c>
      <c r="G1779">
        <v>112</v>
      </c>
      <c r="N1779" t="s">
        <v>3460</v>
      </c>
    </row>
    <row r="1780" spans="2:14" x14ac:dyDescent="0.25">
      <c r="B1780">
        <v>9360</v>
      </c>
      <c r="C1780" t="s">
        <v>25526</v>
      </c>
      <c r="E1780">
        <v>109</v>
      </c>
      <c r="F1780">
        <v>110</v>
      </c>
      <c r="G1780">
        <v>112</v>
      </c>
      <c r="N1780" t="s">
        <v>3535</v>
      </c>
    </row>
    <row r="1781" spans="2:14" x14ac:dyDescent="0.25">
      <c r="B1781">
        <v>9365</v>
      </c>
      <c r="C1781" t="s">
        <v>25527</v>
      </c>
      <c r="E1781">
        <v>109</v>
      </c>
      <c r="F1781">
        <v>110</v>
      </c>
      <c r="G1781">
        <v>112</v>
      </c>
      <c r="N1781" t="s">
        <v>3575</v>
      </c>
    </row>
    <row r="1782" spans="2:14" x14ac:dyDescent="0.25">
      <c r="B1782">
        <v>9369</v>
      </c>
      <c r="C1782" t="s">
        <v>25528</v>
      </c>
      <c r="E1782">
        <v>109</v>
      </c>
      <c r="F1782">
        <v>110</v>
      </c>
      <c r="G1782">
        <v>112</v>
      </c>
      <c r="N1782" t="s">
        <v>3981</v>
      </c>
    </row>
    <row r="1783" spans="2:14" x14ac:dyDescent="0.25">
      <c r="B1783">
        <v>9355</v>
      </c>
      <c r="C1783" t="s">
        <v>23726</v>
      </c>
      <c r="E1783">
        <v>109</v>
      </c>
      <c r="F1783">
        <v>110</v>
      </c>
      <c r="G1783">
        <v>112</v>
      </c>
      <c r="N1783" t="s">
        <v>4065</v>
      </c>
    </row>
    <row r="1784" spans="2:14" x14ac:dyDescent="0.25">
      <c r="B1784">
        <v>9356</v>
      </c>
      <c r="C1784" t="s">
        <v>25529</v>
      </c>
      <c r="E1784">
        <v>109</v>
      </c>
      <c r="F1784">
        <v>110</v>
      </c>
      <c r="G1784">
        <v>112</v>
      </c>
      <c r="N1784" t="s">
        <v>14818</v>
      </c>
    </row>
    <row r="1785" spans="2:14" x14ac:dyDescent="0.25">
      <c r="B1785">
        <v>9366</v>
      </c>
      <c r="C1785" t="s">
        <v>25530</v>
      </c>
      <c r="E1785">
        <v>109</v>
      </c>
      <c r="F1785">
        <v>110</v>
      </c>
      <c r="G1785">
        <v>112</v>
      </c>
      <c r="N1785" t="s">
        <v>14841</v>
      </c>
    </row>
    <row r="1786" spans="2:14" x14ac:dyDescent="0.25">
      <c r="B1786">
        <v>9397</v>
      </c>
      <c r="C1786" t="s">
        <v>25531</v>
      </c>
      <c r="E1786">
        <v>109</v>
      </c>
      <c r="F1786">
        <v>110</v>
      </c>
      <c r="G1786">
        <v>112</v>
      </c>
      <c r="M1786" t="s">
        <v>2531</v>
      </c>
    </row>
    <row r="1787" spans="2:14" x14ac:dyDescent="0.25">
      <c r="B1787">
        <v>9399</v>
      </c>
      <c r="C1787" t="s">
        <v>23700</v>
      </c>
      <c r="E1787">
        <v>109</v>
      </c>
      <c r="F1787">
        <v>110</v>
      </c>
      <c r="G1787">
        <v>112</v>
      </c>
      <c r="N1787" t="s">
        <v>1004</v>
      </c>
    </row>
    <row r="1788" spans="2:14" x14ac:dyDescent="0.25">
      <c r="B1788">
        <v>9398</v>
      </c>
      <c r="C1788" t="s">
        <v>25532</v>
      </c>
      <c r="E1788">
        <v>109</v>
      </c>
      <c r="F1788">
        <v>110</v>
      </c>
      <c r="G1788">
        <v>112</v>
      </c>
      <c r="N1788" t="s">
        <v>1262</v>
      </c>
    </row>
    <row r="1789" spans="2:14" x14ac:dyDescent="0.25">
      <c r="B1789">
        <v>9393</v>
      </c>
      <c r="C1789" t="s">
        <v>25533</v>
      </c>
      <c r="E1789">
        <v>109</v>
      </c>
      <c r="F1789">
        <v>110</v>
      </c>
      <c r="G1789">
        <v>112</v>
      </c>
      <c r="M1789" t="s">
        <v>13020</v>
      </c>
    </row>
    <row r="1790" spans="2:14" x14ac:dyDescent="0.25">
      <c r="B1790">
        <v>9394</v>
      </c>
      <c r="C1790" t="s">
        <v>25534</v>
      </c>
      <c r="E1790">
        <v>109</v>
      </c>
      <c r="F1790">
        <v>110</v>
      </c>
      <c r="G1790">
        <v>112</v>
      </c>
      <c r="N1790" t="s">
        <v>2299</v>
      </c>
    </row>
    <row r="1791" spans="2:14" x14ac:dyDescent="0.25">
      <c r="B1791">
        <v>9395</v>
      </c>
      <c r="C1791" t="s">
        <v>25535</v>
      </c>
      <c r="E1791">
        <v>109</v>
      </c>
      <c r="F1791">
        <v>110</v>
      </c>
      <c r="G1791">
        <v>112</v>
      </c>
      <c r="N1791" t="s">
        <v>13022</v>
      </c>
    </row>
    <row r="1792" spans="2:14" x14ac:dyDescent="0.25">
      <c r="B1792">
        <v>9396</v>
      </c>
      <c r="C1792" t="s">
        <v>23788</v>
      </c>
      <c r="E1792">
        <v>109</v>
      </c>
      <c r="F1792">
        <v>110</v>
      </c>
      <c r="G1792">
        <v>112</v>
      </c>
      <c r="N1792" t="s">
        <v>13024</v>
      </c>
    </row>
    <row r="1793" spans="2:14" x14ac:dyDescent="0.25">
      <c r="B1793">
        <v>9386</v>
      </c>
      <c r="C1793" t="s">
        <v>25536</v>
      </c>
      <c r="E1793">
        <v>109</v>
      </c>
      <c r="F1793">
        <v>110</v>
      </c>
      <c r="G1793">
        <v>112</v>
      </c>
      <c r="M1793" t="s">
        <v>3391</v>
      </c>
    </row>
    <row r="1794" spans="2:14" x14ac:dyDescent="0.25">
      <c r="B1794">
        <v>9391</v>
      </c>
      <c r="C1794" t="s">
        <v>20826</v>
      </c>
      <c r="E1794">
        <v>109</v>
      </c>
      <c r="F1794">
        <v>110</v>
      </c>
      <c r="G1794">
        <v>112</v>
      </c>
      <c r="N1794" t="s">
        <v>854</v>
      </c>
    </row>
    <row r="1795" spans="2:14" x14ac:dyDescent="0.25">
      <c r="B1795">
        <v>9389</v>
      </c>
      <c r="C1795" t="s">
        <v>25537</v>
      </c>
      <c r="E1795">
        <v>109</v>
      </c>
      <c r="F1795">
        <v>110</v>
      </c>
      <c r="G1795">
        <v>112</v>
      </c>
      <c r="N1795" t="s">
        <v>2640</v>
      </c>
    </row>
    <row r="1796" spans="2:14" x14ac:dyDescent="0.25">
      <c r="B1796">
        <v>9390</v>
      </c>
      <c r="C1796" t="s">
        <v>23750</v>
      </c>
      <c r="E1796">
        <v>109</v>
      </c>
      <c r="F1796">
        <v>110</v>
      </c>
      <c r="G1796">
        <v>112</v>
      </c>
      <c r="N1796" t="s">
        <v>2816</v>
      </c>
    </row>
    <row r="1797" spans="2:14" x14ac:dyDescent="0.25">
      <c r="B1797">
        <v>9392</v>
      </c>
      <c r="C1797" t="s">
        <v>23723</v>
      </c>
      <c r="E1797">
        <v>109</v>
      </c>
      <c r="F1797">
        <v>110</v>
      </c>
      <c r="G1797">
        <v>112</v>
      </c>
      <c r="N1797" t="s">
        <v>3741</v>
      </c>
    </row>
    <row r="1798" spans="2:14" x14ac:dyDescent="0.25">
      <c r="B1798">
        <v>9387</v>
      </c>
      <c r="C1798" t="s">
        <v>25538</v>
      </c>
      <c r="E1798">
        <v>109</v>
      </c>
      <c r="F1798">
        <v>110</v>
      </c>
      <c r="G1798">
        <v>112</v>
      </c>
      <c r="N1798" t="s">
        <v>4088</v>
      </c>
    </row>
    <row r="1799" spans="2:14" x14ac:dyDescent="0.25">
      <c r="B1799">
        <v>9388</v>
      </c>
      <c r="C1799" t="s">
        <v>25539</v>
      </c>
      <c r="E1799">
        <v>109</v>
      </c>
      <c r="F1799">
        <v>110</v>
      </c>
      <c r="G1799">
        <v>112</v>
      </c>
      <c r="N1799" t="s">
        <v>14952</v>
      </c>
    </row>
    <row r="1800" spans="2:14" x14ac:dyDescent="0.25">
      <c r="B1800">
        <v>9370</v>
      </c>
      <c r="C1800" t="s">
        <v>25540</v>
      </c>
      <c r="E1800">
        <v>109</v>
      </c>
      <c r="F1800">
        <v>110</v>
      </c>
      <c r="G1800">
        <v>112</v>
      </c>
      <c r="M1800" t="s">
        <v>13006</v>
      </c>
    </row>
    <row r="1801" spans="2:14" x14ac:dyDescent="0.25">
      <c r="B1801">
        <v>9372</v>
      </c>
      <c r="C1801" t="s">
        <v>25541</v>
      </c>
      <c r="E1801">
        <v>109</v>
      </c>
      <c r="F1801">
        <v>110</v>
      </c>
      <c r="G1801">
        <v>112</v>
      </c>
      <c r="N1801" t="s">
        <v>2534</v>
      </c>
    </row>
    <row r="1802" spans="2:14" x14ac:dyDescent="0.25">
      <c r="B1802">
        <v>9371</v>
      </c>
      <c r="C1802" t="s">
        <v>23725</v>
      </c>
      <c r="E1802">
        <v>109</v>
      </c>
      <c r="F1802">
        <v>110</v>
      </c>
      <c r="G1802">
        <v>112</v>
      </c>
      <c r="N1802" t="s">
        <v>3904</v>
      </c>
    </row>
    <row r="1803" spans="2:14" x14ac:dyDescent="0.25">
      <c r="B1803">
        <v>9373</v>
      </c>
      <c r="C1803" t="s">
        <v>25542</v>
      </c>
      <c r="E1803">
        <v>109</v>
      </c>
      <c r="F1803">
        <v>110</v>
      </c>
      <c r="G1803">
        <v>112</v>
      </c>
      <c r="N1803" t="s">
        <v>13008</v>
      </c>
    </row>
    <row r="1804" spans="2:14" x14ac:dyDescent="0.25">
      <c r="B1804">
        <v>9374</v>
      </c>
      <c r="C1804" t="s">
        <v>25543</v>
      </c>
      <c r="E1804">
        <v>109</v>
      </c>
      <c r="F1804">
        <v>110</v>
      </c>
      <c r="G1804">
        <v>112</v>
      </c>
      <c r="N1804" t="s">
        <v>13010</v>
      </c>
    </row>
    <row r="1805" spans="2:14" x14ac:dyDescent="0.25">
      <c r="B1805">
        <v>9376</v>
      </c>
      <c r="C1805" t="s">
        <v>25544</v>
      </c>
      <c r="E1805">
        <v>109</v>
      </c>
      <c r="F1805">
        <v>110</v>
      </c>
      <c r="G1805">
        <v>112</v>
      </c>
      <c r="N1805" t="s">
        <v>14744</v>
      </c>
    </row>
    <row r="1806" spans="2:14" x14ac:dyDescent="0.25">
      <c r="B1806">
        <v>9375</v>
      </c>
      <c r="C1806" t="s">
        <v>23772</v>
      </c>
      <c r="E1806">
        <v>109</v>
      </c>
      <c r="F1806">
        <v>110</v>
      </c>
      <c r="G1806">
        <v>112</v>
      </c>
      <c r="N1806" t="s">
        <v>13012</v>
      </c>
    </row>
    <row r="1807" spans="2:14" x14ac:dyDescent="0.25">
      <c r="B1807">
        <v>9377</v>
      </c>
      <c r="C1807" t="s">
        <v>25545</v>
      </c>
      <c r="E1807">
        <v>109</v>
      </c>
      <c r="F1807">
        <v>110</v>
      </c>
      <c r="G1807">
        <v>112</v>
      </c>
      <c r="M1807" t="s">
        <v>13014</v>
      </c>
    </row>
    <row r="1808" spans="2:14" x14ac:dyDescent="0.25">
      <c r="B1808">
        <v>9384</v>
      </c>
      <c r="C1808" t="s">
        <v>25546</v>
      </c>
      <c r="E1808">
        <v>109</v>
      </c>
      <c r="F1808">
        <v>110</v>
      </c>
      <c r="G1808">
        <v>112</v>
      </c>
      <c r="N1808" t="s">
        <v>277</v>
      </c>
    </row>
    <row r="1809" spans="2:14" x14ac:dyDescent="0.25">
      <c r="B1809">
        <v>9385</v>
      </c>
      <c r="C1809" t="s">
        <v>25547</v>
      </c>
      <c r="E1809">
        <v>109</v>
      </c>
      <c r="F1809">
        <v>110</v>
      </c>
      <c r="G1809">
        <v>112</v>
      </c>
      <c r="N1809" t="s">
        <v>383</v>
      </c>
    </row>
    <row r="1810" spans="2:14" x14ac:dyDescent="0.25">
      <c r="B1810">
        <v>9380</v>
      </c>
      <c r="C1810" t="s">
        <v>25548</v>
      </c>
      <c r="E1810">
        <v>109</v>
      </c>
      <c r="F1810">
        <v>110</v>
      </c>
      <c r="G1810">
        <v>112</v>
      </c>
      <c r="N1810" t="s">
        <v>1281</v>
      </c>
    </row>
    <row r="1811" spans="2:14" x14ac:dyDescent="0.25">
      <c r="B1811">
        <v>9379</v>
      </c>
      <c r="C1811" t="s">
        <v>23740</v>
      </c>
      <c r="E1811">
        <v>109</v>
      </c>
      <c r="F1811">
        <v>110</v>
      </c>
      <c r="G1811">
        <v>112</v>
      </c>
      <c r="N1811" t="s">
        <v>2420</v>
      </c>
    </row>
    <row r="1812" spans="2:14" x14ac:dyDescent="0.25">
      <c r="B1812">
        <v>10150</v>
      </c>
      <c r="C1812" t="s">
        <v>25549</v>
      </c>
      <c r="E1812">
        <v>109</v>
      </c>
      <c r="F1812">
        <v>110</v>
      </c>
      <c r="G1812">
        <v>112</v>
      </c>
      <c r="N1812" t="s">
        <v>3169</v>
      </c>
    </row>
    <row r="1813" spans="2:14" x14ac:dyDescent="0.25">
      <c r="B1813">
        <v>9382</v>
      </c>
      <c r="C1813" t="s">
        <v>25550</v>
      </c>
      <c r="E1813">
        <v>109</v>
      </c>
      <c r="F1813">
        <v>110</v>
      </c>
      <c r="G1813">
        <v>112</v>
      </c>
      <c r="N1813" t="s">
        <v>13018</v>
      </c>
    </row>
    <row r="1814" spans="2:14" x14ac:dyDescent="0.25">
      <c r="B1814">
        <v>9381</v>
      </c>
      <c r="C1814" t="s">
        <v>25551</v>
      </c>
      <c r="E1814">
        <v>109</v>
      </c>
      <c r="F1814">
        <v>110</v>
      </c>
      <c r="G1814">
        <v>112</v>
      </c>
      <c r="N1814" t="s">
        <v>13016</v>
      </c>
    </row>
    <row r="1815" spans="2:14" x14ac:dyDescent="0.25">
      <c r="B1815">
        <v>9383</v>
      </c>
      <c r="C1815" t="s">
        <v>25552</v>
      </c>
      <c r="E1815">
        <v>109</v>
      </c>
      <c r="F1815">
        <v>110</v>
      </c>
      <c r="G1815">
        <v>112</v>
      </c>
      <c r="N1815" t="s">
        <v>4750</v>
      </c>
    </row>
    <row r="1816" spans="2:14" x14ac:dyDescent="0.25">
      <c r="B1816">
        <v>9378</v>
      </c>
      <c r="C1816" t="s">
        <v>23727</v>
      </c>
      <c r="E1816">
        <v>109</v>
      </c>
      <c r="F1816">
        <v>110</v>
      </c>
      <c r="G1816">
        <v>112</v>
      </c>
      <c r="N1816" t="s">
        <v>14850</v>
      </c>
    </row>
    <row r="1817" spans="2:14" x14ac:dyDescent="0.25">
      <c r="B1817">
        <v>9405</v>
      </c>
      <c r="C1817" t="s">
        <v>25553</v>
      </c>
      <c r="E1817">
        <v>109</v>
      </c>
      <c r="F1817">
        <v>110</v>
      </c>
      <c r="G1817">
        <v>112</v>
      </c>
      <c r="L1817" t="s">
        <v>25554</v>
      </c>
    </row>
    <row r="1818" spans="2:14" x14ac:dyDescent="0.25">
      <c r="B1818">
        <v>9406</v>
      </c>
      <c r="C1818" t="s">
        <v>25555</v>
      </c>
      <c r="E1818">
        <v>109</v>
      </c>
      <c r="F1818">
        <v>110</v>
      </c>
      <c r="G1818">
        <v>112</v>
      </c>
      <c r="M1818" t="s">
        <v>1063</v>
      </c>
    </row>
    <row r="1819" spans="2:14" x14ac:dyDescent="0.25">
      <c r="B1819">
        <v>9407</v>
      </c>
      <c r="C1819" t="s">
        <v>25556</v>
      </c>
      <c r="E1819">
        <v>109</v>
      </c>
      <c r="F1819">
        <v>110</v>
      </c>
      <c r="G1819">
        <v>112</v>
      </c>
      <c r="N1819" t="s">
        <v>4057</v>
      </c>
    </row>
    <row r="1820" spans="2:14" x14ac:dyDescent="0.25">
      <c r="B1820">
        <v>9408</v>
      </c>
      <c r="C1820" t="s">
        <v>20974</v>
      </c>
      <c r="E1820">
        <v>109</v>
      </c>
      <c r="F1820">
        <v>110</v>
      </c>
      <c r="G1820">
        <v>112</v>
      </c>
      <c r="N1820" t="s">
        <v>4069</v>
      </c>
    </row>
    <row r="1821" spans="2:14" x14ac:dyDescent="0.25">
      <c r="B1821">
        <v>9409</v>
      </c>
      <c r="C1821" t="s">
        <v>20984</v>
      </c>
      <c r="E1821">
        <v>109</v>
      </c>
      <c r="F1821">
        <v>110</v>
      </c>
      <c r="G1821">
        <v>112</v>
      </c>
      <c r="N1821" t="s">
        <v>2524</v>
      </c>
    </row>
    <row r="1822" spans="2:14" x14ac:dyDescent="0.25">
      <c r="B1822">
        <v>9410</v>
      </c>
      <c r="C1822" t="s">
        <v>24672</v>
      </c>
      <c r="E1822">
        <v>109</v>
      </c>
      <c r="F1822">
        <v>110</v>
      </c>
      <c r="G1822">
        <v>112</v>
      </c>
      <c r="N1822" t="s">
        <v>4130</v>
      </c>
    </row>
    <row r="1823" spans="2:14" x14ac:dyDescent="0.25">
      <c r="B1823">
        <v>9411</v>
      </c>
      <c r="C1823" t="s">
        <v>25557</v>
      </c>
      <c r="E1823">
        <v>109</v>
      </c>
      <c r="F1823">
        <v>110</v>
      </c>
      <c r="G1823">
        <v>112</v>
      </c>
      <c r="N1823" t="s">
        <v>3997</v>
      </c>
    </row>
    <row r="1824" spans="2:14" x14ac:dyDescent="0.25">
      <c r="B1824">
        <v>9412</v>
      </c>
      <c r="C1824" t="s">
        <v>20969</v>
      </c>
      <c r="E1824">
        <v>109</v>
      </c>
      <c r="F1824">
        <v>110</v>
      </c>
      <c r="G1824">
        <v>112</v>
      </c>
      <c r="N1824" t="s">
        <v>2315</v>
      </c>
    </row>
    <row r="1825" spans="2:14" x14ac:dyDescent="0.25">
      <c r="B1825">
        <v>9413</v>
      </c>
      <c r="C1825" t="s">
        <v>20986</v>
      </c>
      <c r="E1825">
        <v>109</v>
      </c>
      <c r="F1825">
        <v>110</v>
      </c>
      <c r="G1825">
        <v>112</v>
      </c>
      <c r="N1825" t="s">
        <v>301</v>
      </c>
    </row>
    <row r="1826" spans="2:14" x14ac:dyDescent="0.25">
      <c r="B1826">
        <v>9414</v>
      </c>
      <c r="C1826" t="s">
        <v>25558</v>
      </c>
      <c r="E1826">
        <v>109</v>
      </c>
      <c r="F1826">
        <v>110</v>
      </c>
      <c r="G1826">
        <v>112</v>
      </c>
      <c r="N1826" t="s">
        <v>13026</v>
      </c>
    </row>
    <row r="1827" spans="2:14" x14ac:dyDescent="0.25">
      <c r="B1827">
        <v>9415</v>
      </c>
      <c r="C1827" t="s">
        <v>25559</v>
      </c>
      <c r="E1827">
        <v>109</v>
      </c>
      <c r="F1827">
        <v>110</v>
      </c>
      <c r="G1827">
        <v>112</v>
      </c>
      <c r="N1827" t="s">
        <v>13028</v>
      </c>
    </row>
    <row r="1828" spans="2:14" x14ac:dyDescent="0.25">
      <c r="B1828">
        <v>9416</v>
      </c>
      <c r="C1828" t="s">
        <v>25560</v>
      </c>
      <c r="E1828">
        <v>109</v>
      </c>
      <c r="F1828">
        <v>110</v>
      </c>
      <c r="G1828">
        <v>112</v>
      </c>
      <c r="N1828" t="s">
        <v>4945</v>
      </c>
    </row>
    <row r="1829" spans="2:14" x14ac:dyDescent="0.25">
      <c r="B1829">
        <v>9417</v>
      </c>
      <c r="C1829" t="s">
        <v>20979</v>
      </c>
      <c r="E1829">
        <v>109</v>
      </c>
      <c r="F1829">
        <v>110</v>
      </c>
      <c r="G1829">
        <v>112</v>
      </c>
      <c r="N1829" t="s">
        <v>4011</v>
      </c>
    </row>
    <row r="1830" spans="2:14" x14ac:dyDescent="0.25">
      <c r="B1830">
        <v>265505698</v>
      </c>
      <c r="C1830" t="s">
        <v>25561</v>
      </c>
      <c r="E1830">
        <v>35</v>
      </c>
      <c r="F1830">
        <v>31</v>
      </c>
      <c r="G1830">
        <v>32</v>
      </c>
      <c r="L1830" t="s">
        <v>25562</v>
      </c>
    </row>
    <row r="1831" spans="2:14" x14ac:dyDescent="0.25">
      <c r="B1831">
        <v>265505702</v>
      </c>
      <c r="C1831" t="s">
        <v>25563</v>
      </c>
      <c r="E1831">
        <v>35</v>
      </c>
      <c r="F1831">
        <v>31</v>
      </c>
      <c r="G1831">
        <v>32</v>
      </c>
      <c r="M1831" t="s">
        <v>3117</v>
      </c>
    </row>
    <row r="1832" spans="2:14" x14ac:dyDescent="0.25">
      <c r="B1832">
        <v>9418</v>
      </c>
      <c r="C1832" t="s">
        <v>25564</v>
      </c>
      <c r="E1832">
        <v>35</v>
      </c>
      <c r="F1832">
        <v>31</v>
      </c>
      <c r="G1832">
        <v>32</v>
      </c>
      <c r="L1832" t="s">
        <v>627</v>
      </c>
    </row>
    <row r="1833" spans="2:14" x14ac:dyDescent="0.25">
      <c r="B1833">
        <v>9419</v>
      </c>
      <c r="C1833" t="s">
        <v>23670</v>
      </c>
      <c r="E1833">
        <v>35</v>
      </c>
      <c r="F1833">
        <v>31</v>
      </c>
      <c r="G1833">
        <v>32</v>
      </c>
      <c r="M1833" t="s">
        <v>14907</v>
      </c>
    </row>
    <row r="1834" spans="2:14" x14ac:dyDescent="0.25">
      <c r="B1834">
        <v>265505706</v>
      </c>
      <c r="C1834" t="s">
        <v>15193</v>
      </c>
      <c r="E1834">
        <v>109</v>
      </c>
      <c r="F1834">
        <v>110</v>
      </c>
      <c r="G1834">
        <v>112</v>
      </c>
      <c r="N1834" t="s">
        <v>12103</v>
      </c>
    </row>
    <row r="1835" spans="2:14" x14ac:dyDescent="0.25">
      <c r="B1835">
        <v>9708</v>
      </c>
      <c r="C1835" t="s">
        <v>25565</v>
      </c>
      <c r="E1835">
        <v>135</v>
      </c>
      <c r="F1835">
        <v>38</v>
      </c>
      <c r="G1835">
        <v>1</v>
      </c>
      <c r="N1835" t="s">
        <v>1234</v>
      </c>
    </row>
    <row r="1836" spans="2:14" x14ac:dyDescent="0.25">
      <c r="B1836">
        <v>9420</v>
      </c>
      <c r="C1836" t="s">
        <v>23678</v>
      </c>
      <c r="E1836">
        <v>35</v>
      </c>
      <c r="F1836">
        <v>31</v>
      </c>
      <c r="G1836">
        <v>32</v>
      </c>
      <c r="M1836" t="s">
        <v>14943</v>
      </c>
    </row>
    <row r="1837" spans="2:14" x14ac:dyDescent="0.25">
      <c r="B1837">
        <v>9709</v>
      </c>
      <c r="C1837" t="s">
        <v>25566</v>
      </c>
      <c r="E1837">
        <v>135</v>
      </c>
      <c r="F1837">
        <v>38</v>
      </c>
      <c r="G1837">
        <v>1</v>
      </c>
      <c r="N1837" t="s">
        <v>1237</v>
      </c>
    </row>
    <row r="1838" spans="2:14" x14ac:dyDescent="0.25">
      <c r="B1838">
        <v>9421</v>
      </c>
      <c r="C1838" t="s">
        <v>24663</v>
      </c>
      <c r="E1838">
        <v>35</v>
      </c>
      <c r="F1838">
        <v>31</v>
      </c>
      <c r="G1838">
        <v>32</v>
      </c>
      <c r="M1838" t="s">
        <v>2007</v>
      </c>
    </row>
    <row r="1839" spans="2:14" x14ac:dyDescent="0.25">
      <c r="B1839">
        <v>9710</v>
      </c>
      <c r="C1839" t="s">
        <v>25567</v>
      </c>
      <c r="E1839">
        <v>135</v>
      </c>
      <c r="F1839">
        <v>38</v>
      </c>
      <c r="G1839">
        <v>1</v>
      </c>
      <c r="N1839" t="s">
        <v>1228</v>
      </c>
    </row>
    <row r="1840" spans="2:14" x14ac:dyDescent="0.25">
      <c r="B1840">
        <v>9422</v>
      </c>
      <c r="C1840" t="s">
        <v>25568</v>
      </c>
      <c r="E1840">
        <v>35</v>
      </c>
      <c r="F1840">
        <v>31</v>
      </c>
      <c r="G1840">
        <v>32</v>
      </c>
      <c r="M1840" t="s">
        <v>927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10DF9-AD18-4261-B665-1EBC89F1907A}">
  <dimension ref="A1:R260"/>
  <sheetViews>
    <sheetView topLeftCell="A205" workbookViewId="0">
      <selection activeCell="M227" sqref="M227"/>
    </sheetView>
  </sheetViews>
  <sheetFormatPr defaultRowHeight="15" x14ac:dyDescent="0.25"/>
  <sheetData>
    <row r="1" spans="1:15" x14ac:dyDescent="0.25">
      <c r="A1" t="s">
        <v>15179</v>
      </c>
      <c r="B1" t="s">
        <v>15180</v>
      </c>
      <c r="C1" t="s">
        <v>15181</v>
      </c>
      <c r="D1" t="s">
        <v>15182</v>
      </c>
      <c r="E1" t="s">
        <v>15183</v>
      </c>
      <c r="F1" t="s">
        <v>15184</v>
      </c>
      <c r="G1" t="s">
        <v>15185</v>
      </c>
      <c r="H1" t="s">
        <v>15186</v>
      </c>
      <c r="I1" t="s">
        <v>15187</v>
      </c>
      <c r="J1" t="s">
        <v>15188</v>
      </c>
    </row>
    <row r="2" spans="1:15" x14ac:dyDescent="0.25">
      <c r="B2">
        <v>3999</v>
      </c>
      <c r="C2" t="s">
        <v>20996</v>
      </c>
      <c r="E2">
        <v>224</v>
      </c>
      <c r="F2">
        <v>224</v>
      </c>
      <c r="G2">
        <v>224</v>
      </c>
      <c r="J2" t="s">
        <v>606</v>
      </c>
    </row>
    <row r="3" spans="1:15" x14ac:dyDescent="0.25">
      <c r="B3">
        <v>128011350</v>
      </c>
      <c r="C3" t="s">
        <v>15520</v>
      </c>
      <c r="E3">
        <v>235</v>
      </c>
      <c r="F3">
        <v>214</v>
      </c>
      <c r="G3">
        <v>208</v>
      </c>
      <c r="K3" t="s">
        <v>14911</v>
      </c>
    </row>
    <row r="4" spans="1:15" x14ac:dyDescent="0.25">
      <c r="B4">
        <v>128011354</v>
      </c>
      <c r="C4" t="s">
        <v>22077</v>
      </c>
      <c r="E4">
        <v>233</v>
      </c>
      <c r="F4">
        <v>204</v>
      </c>
      <c r="G4">
        <v>194</v>
      </c>
      <c r="L4" t="s">
        <v>1180</v>
      </c>
    </row>
    <row r="5" spans="1:15" x14ac:dyDescent="0.25">
      <c r="B5">
        <v>294021746</v>
      </c>
      <c r="C5" t="s">
        <v>22078</v>
      </c>
      <c r="E5">
        <v>233</v>
      </c>
      <c r="F5">
        <v>204</v>
      </c>
      <c r="G5">
        <v>194</v>
      </c>
      <c r="M5" t="s">
        <v>3205</v>
      </c>
    </row>
    <row r="6" spans="1:15" x14ac:dyDescent="0.25">
      <c r="B6">
        <v>12984</v>
      </c>
      <c r="C6" t="s">
        <v>25569</v>
      </c>
      <c r="E6">
        <v>212</v>
      </c>
      <c r="F6">
        <v>178</v>
      </c>
      <c r="G6">
        <v>53</v>
      </c>
      <c r="N6" t="s">
        <v>14650</v>
      </c>
    </row>
    <row r="7" spans="1:15" x14ac:dyDescent="0.25">
      <c r="B7">
        <v>10008</v>
      </c>
      <c r="C7" t="s">
        <v>25570</v>
      </c>
      <c r="E7">
        <v>184</v>
      </c>
      <c r="F7">
        <v>162</v>
      </c>
      <c r="G7">
        <v>109</v>
      </c>
      <c r="N7" t="s">
        <v>5147</v>
      </c>
    </row>
    <row r="8" spans="1:15" x14ac:dyDescent="0.25">
      <c r="B8">
        <v>10017</v>
      </c>
      <c r="C8" t="s">
        <v>25571</v>
      </c>
      <c r="E8">
        <v>202</v>
      </c>
      <c r="F8">
        <v>183</v>
      </c>
      <c r="G8">
        <v>129</v>
      </c>
      <c r="N8" t="s">
        <v>14410</v>
      </c>
    </row>
    <row r="9" spans="1:15" x14ac:dyDescent="0.25">
      <c r="B9">
        <v>4000</v>
      </c>
      <c r="C9" t="s">
        <v>22786</v>
      </c>
      <c r="E9">
        <v>226</v>
      </c>
      <c r="F9">
        <v>104</v>
      </c>
      <c r="G9">
        <v>128</v>
      </c>
      <c r="N9" t="s">
        <v>14696</v>
      </c>
    </row>
    <row r="10" spans="1:15" x14ac:dyDescent="0.25">
      <c r="B10">
        <v>9999</v>
      </c>
      <c r="C10" t="s">
        <v>25572</v>
      </c>
      <c r="E10">
        <v>226</v>
      </c>
      <c r="F10">
        <v>104</v>
      </c>
      <c r="G10">
        <v>128</v>
      </c>
      <c r="N10" t="s">
        <v>14698</v>
      </c>
    </row>
    <row r="11" spans="1:15" x14ac:dyDescent="0.25">
      <c r="B11">
        <v>4004</v>
      </c>
      <c r="C11" t="s">
        <v>22669</v>
      </c>
      <c r="E11">
        <v>231</v>
      </c>
      <c r="F11">
        <v>172</v>
      </c>
      <c r="G11">
        <v>161</v>
      </c>
      <c r="N11" t="s">
        <v>3376</v>
      </c>
    </row>
    <row r="12" spans="1:15" x14ac:dyDescent="0.25">
      <c r="B12">
        <v>10026</v>
      </c>
      <c r="C12" t="s">
        <v>25573</v>
      </c>
      <c r="E12">
        <v>193</v>
      </c>
      <c r="F12">
        <v>51</v>
      </c>
      <c r="G12">
        <v>49</v>
      </c>
      <c r="O12" t="s">
        <v>4181</v>
      </c>
    </row>
    <row r="13" spans="1:15" x14ac:dyDescent="0.25">
      <c r="B13">
        <v>10039</v>
      </c>
      <c r="C13" t="s">
        <v>22691</v>
      </c>
      <c r="E13">
        <v>209</v>
      </c>
      <c r="F13">
        <v>77</v>
      </c>
      <c r="G13">
        <v>70</v>
      </c>
      <c r="O13" t="s">
        <v>28</v>
      </c>
    </row>
    <row r="14" spans="1:15" x14ac:dyDescent="0.25">
      <c r="B14">
        <v>294021766</v>
      </c>
      <c r="C14" t="s">
        <v>16486</v>
      </c>
      <c r="E14">
        <v>128</v>
      </c>
      <c r="F14">
        <v>109</v>
      </c>
      <c r="G14">
        <v>44</v>
      </c>
      <c r="N14" t="s">
        <v>14672</v>
      </c>
    </row>
    <row r="15" spans="1:15" x14ac:dyDescent="0.25">
      <c r="B15">
        <v>128011368</v>
      </c>
      <c r="C15" t="s">
        <v>25574</v>
      </c>
      <c r="E15">
        <v>128</v>
      </c>
      <c r="F15">
        <v>109</v>
      </c>
      <c r="G15">
        <v>44</v>
      </c>
      <c r="O15" t="s">
        <v>14506</v>
      </c>
    </row>
    <row r="16" spans="1:15" x14ac:dyDescent="0.25">
      <c r="B16">
        <v>128012418</v>
      </c>
      <c r="C16" t="s">
        <v>25575</v>
      </c>
      <c r="E16">
        <v>128</v>
      </c>
      <c r="F16">
        <v>109</v>
      </c>
      <c r="G16">
        <v>44</v>
      </c>
      <c r="O16" t="s">
        <v>14612</v>
      </c>
    </row>
    <row r="17" spans="2:15" x14ac:dyDescent="0.25">
      <c r="B17">
        <v>294021774</v>
      </c>
      <c r="C17" t="s">
        <v>21127</v>
      </c>
      <c r="E17">
        <v>238</v>
      </c>
      <c r="F17">
        <v>224</v>
      </c>
      <c r="G17">
        <v>168</v>
      </c>
      <c r="N17" t="s">
        <v>624</v>
      </c>
    </row>
    <row r="18" spans="2:15" x14ac:dyDescent="0.25">
      <c r="B18">
        <v>128011614</v>
      </c>
      <c r="C18" t="s">
        <v>25576</v>
      </c>
      <c r="E18">
        <v>238</v>
      </c>
      <c r="F18">
        <v>224</v>
      </c>
      <c r="G18">
        <v>168</v>
      </c>
      <c r="O18" t="s">
        <v>14512</v>
      </c>
    </row>
    <row r="19" spans="2:15" x14ac:dyDescent="0.25">
      <c r="B19">
        <v>128011372</v>
      </c>
      <c r="C19" t="s">
        <v>25577</v>
      </c>
      <c r="E19">
        <v>238</v>
      </c>
      <c r="F19">
        <v>224</v>
      </c>
      <c r="G19">
        <v>168</v>
      </c>
      <c r="O19" t="s">
        <v>14508</v>
      </c>
    </row>
    <row r="20" spans="2:15" x14ac:dyDescent="0.25">
      <c r="B20">
        <v>128011776</v>
      </c>
      <c r="C20" t="s">
        <v>25578</v>
      </c>
      <c r="E20">
        <v>238</v>
      </c>
      <c r="F20">
        <v>224</v>
      </c>
      <c r="G20">
        <v>168</v>
      </c>
      <c r="O20" t="s">
        <v>14532</v>
      </c>
    </row>
    <row r="21" spans="2:15" x14ac:dyDescent="0.25">
      <c r="B21">
        <v>128012422</v>
      </c>
      <c r="C21" t="s">
        <v>25579</v>
      </c>
      <c r="E21">
        <v>238</v>
      </c>
      <c r="F21">
        <v>224</v>
      </c>
      <c r="G21">
        <v>168</v>
      </c>
      <c r="O21" t="s">
        <v>14614</v>
      </c>
    </row>
    <row r="22" spans="2:15" x14ac:dyDescent="0.25">
      <c r="B22">
        <v>294021786</v>
      </c>
      <c r="C22" t="s">
        <v>25580</v>
      </c>
      <c r="E22">
        <v>242</v>
      </c>
      <c r="F22">
        <v>229</v>
      </c>
      <c r="G22">
        <v>187</v>
      </c>
      <c r="N22" t="s">
        <v>1329</v>
      </c>
    </row>
    <row r="23" spans="2:15" x14ac:dyDescent="0.25">
      <c r="B23">
        <v>10000</v>
      </c>
      <c r="C23" t="s">
        <v>25581</v>
      </c>
      <c r="E23">
        <v>242</v>
      </c>
      <c r="F23">
        <v>229</v>
      </c>
      <c r="G23">
        <v>187</v>
      </c>
      <c r="O23" t="s">
        <v>14381</v>
      </c>
    </row>
    <row r="24" spans="2:15" x14ac:dyDescent="0.25">
      <c r="B24">
        <v>10009</v>
      </c>
      <c r="C24" t="s">
        <v>25582</v>
      </c>
      <c r="E24">
        <v>242</v>
      </c>
      <c r="F24">
        <v>229</v>
      </c>
      <c r="G24">
        <v>187</v>
      </c>
      <c r="O24" t="s">
        <v>14396</v>
      </c>
    </row>
    <row r="25" spans="2:15" x14ac:dyDescent="0.25">
      <c r="B25">
        <v>10018</v>
      </c>
      <c r="C25" t="s">
        <v>25583</v>
      </c>
      <c r="E25">
        <v>242</v>
      </c>
      <c r="F25">
        <v>229</v>
      </c>
      <c r="G25">
        <v>187</v>
      </c>
      <c r="O25" t="s">
        <v>14412</v>
      </c>
    </row>
    <row r="26" spans="2:15" x14ac:dyDescent="0.25">
      <c r="B26">
        <v>10040</v>
      </c>
      <c r="C26" t="s">
        <v>22692</v>
      </c>
      <c r="E26">
        <v>242</v>
      </c>
      <c r="F26">
        <v>229</v>
      </c>
      <c r="G26">
        <v>187</v>
      </c>
      <c r="O26" t="s">
        <v>14448</v>
      </c>
    </row>
    <row r="27" spans="2:15" x14ac:dyDescent="0.25">
      <c r="B27">
        <v>10027</v>
      </c>
      <c r="C27" t="s">
        <v>22678</v>
      </c>
      <c r="E27">
        <v>242</v>
      </c>
      <c r="F27">
        <v>229</v>
      </c>
      <c r="G27">
        <v>187</v>
      </c>
      <c r="O27" t="s">
        <v>14426</v>
      </c>
    </row>
    <row r="28" spans="2:15" x14ac:dyDescent="0.25">
      <c r="B28">
        <v>294021800</v>
      </c>
      <c r="C28" t="s">
        <v>25584</v>
      </c>
      <c r="E28">
        <v>194</v>
      </c>
      <c r="F28">
        <v>163</v>
      </c>
      <c r="G28">
        <v>53</v>
      </c>
      <c r="N28" t="s">
        <v>1332</v>
      </c>
    </row>
    <row r="29" spans="2:15" x14ac:dyDescent="0.25">
      <c r="B29">
        <v>10001</v>
      </c>
      <c r="C29" t="s">
        <v>25585</v>
      </c>
      <c r="E29">
        <v>194</v>
      </c>
      <c r="F29">
        <v>163</v>
      </c>
      <c r="G29">
        <v>53</v>
      </c>
      <c r="O29" t="s">
        <v>14383</v>
      </c>
    </row>
    <row r="30" spans="2:15" x14ac:dyDescent="0.25">
      <c r="B30">
        <v>12986</v>
      </c>
      <c r="C30" t="s">
        <v>25586</v>
      </c>
      <c r="E30">
        <v>194</v>
      </c>
      <c r="F30">
        <v>163</v>
      </c>
      <c r="G30">
        <v>53</v>
      </c>
      <c r="O30" t="s">
        <v>1639</v>
      </c>
    </row>
    <row r="31" spans="2:15" x14ac:dyDescent="0.25">
      <c r="B31">
        <v>10010</v>
      </c>
      <c r="C31" t="s">
        <v>25587</v>
      </c>
      <c r="E31">
        <v>194</v>
      </c>
      <c r="F31">
        <v>163</v>
      </c>
      <c r="G31">
        <v>53</v>
      </c>
      <c r="O31" t="s">
        <v>14398</v>
      </c>
    </row>
    <row r="32" spans="2:15" x14ac:dyDescent="0.25">
      <c r="B32">
        <v>10019</v>
      </c>
      <c r="C32" t="s">
        <v>25588</v>
      </c>
      <c r="E32">
        <v>194</v>
      </c>
      <c r="F32">
        <v>163</v>
      </c>
      <c r="G32">
        <v>53</v>
      </c>
      <c r="O32" t="s">
        <v>14414</v>
      </c>
    </row>
    <row r="33" spans="2:15" x14ac:dyDescent="0.25">
      <c r="B33">
        <v>128011796</v>
      </c>
      <c r="C33" t="s">
        <v>25589</v>
      </c>
      <c r="E33">
        <v>194</v>
      </c>
      <c r="F33">
        <v>163</v>
      </c>
      <c r="G33">
        <v>53</v>
      </c>
      <c r="O33" t="s">
        <v>14536</v>
      </c>
    </row>
    <row r="34" spans="2:15" x14ac:dyDescent="0.25">
      <c r="B34">
        <v>10041</v>
      </c>
      <c r="C34" t="s">
        <v>22693</v>
      </c>
      <c r="E34">
        <v>194</v>
      </c>
      <c r="F34">
        <v>163</v>
      </c>
      <c r="G34">
        <v>53</v>
      </c>
      <c r="O34" t="s">
        <v>14450</v>
      </c>
    </row>
    <row r="35" spans="2:15" x14ac:dyDescent="0.25">
      <c r="B35">
        <v>10028</v>
      </c>
      <c r="C35" t="s">
        <v>22679</v>
      </c>
      <c r="E35">
        <v>194</v>
      </c>
      <c r="F35">
        <v>163</v>
      </c>
      <c r="G35">
        <v>53</v>
      </c>
      <c r="O35" t="s">
        <v>14428</v>
      </c>
    </row>
    <row r="36" spans="2:15" x14ac:dyDescent="0.25">
      <c r="B36">
        <v>294021818</v>
      </c>
      <c r="C36" t="s">
        <v>25590</v>
      </c>
      <c r="E36">
        <v>212</v>
      </c>
      <c r="F36">
        <v>178</v>
      </c>
      <c r="G36">
        <v>53</v>
      </c>
      <c r="N36" t="s">
        <v>14674</v>
      </c>
    </row>
    <row r="37" spans="2:15" x14ac:dyDescent="0.25">
      <c r="B37">
        <v>128012436</v>
      </c>
      <c r="C37" t="s">
        <v>25591</v>
      </c>
      <c r="E37">
        <v>212</v>
      </c>
      <c r="F37">
        <v>178</v>
      </c>
      <c r="G37">
        <v>53</v>
      </c>
      <c r="O37" t="s">
        <v>14620</v>
      </c>
    </row>
    <row r="38" spans="2:15" x14ac:dyDescent="0.25">
      <c r="B38">
        <v>294021824</v>
      </c>
      <c r="C38" t="s">
        <v>25592</v>
      </c>
      <c r="E38">
        <v>184</v>
      </c>
      <c r="F38">
        <v>162</v>
      </c>
      <c r="G38">
        <v>109</v>
      </c>
      <c r="N38" t="s">
        <v>1335</v>
      </c>
    </row>
    <row r="39" spans="2:15" x14ac:dyDescent="0.25">
      <c r="B39">
        <v>10002</v>
      </c>
      <c r="C39" t="s">
        <v>25593</v>
      </c>
      <c r="E39">
        <v>184</v>
      </c>
      <c r="F39">
        <v>162</v>
      </c>
      <c r="G39">
        <v>109</v>
      </c>
      <c r="O39" t="s">
        <v>14385</v>
      </c>
    </row>
    <row r="40" spans="2:15" x14ac:dyDescent="0.25">
      <c r="B40">
        <v>12987</v>
      </c>
      <c r="C40" t="s">
        <v>25594</v>
      </c>
      <c r="E40">
        <v>184</v>
      </c>
      <c r="F40">
        <v>162</v>
      </c>
      <c r="G40">
        <v>109</v>
      </c>
      <c r="O40" t="s">
        <v>1642</v>
      </c>
    </row>
    <row r="41" spans="2:15" x14ac:dyDescent="0.25">
      <c r="B41">
        <v>10011</v>
      </c>
      <c r="C41" t="s">
        <v>25595</v>
      </c>
      <c r="E41">
        <v>184</v>
      </c>
      <c r="F41">
        <v>162</v>
      </c>
      <c r="G41">
        <v>109</v>
      </c>
      <c r="O41" t="s">
        <v>14400</v>
      </c>
    </row>
    <row r="42" spans="2:15" x14ac:dyDescent="0.25">
      <c r="B42">
        <v>10020</v>
      </c>
      <c r="C42" t="s">
        <v>25596</v>
      </c>
      <c r="E42">
        <v>184</v>
      </c>
      <c r="F42">
        <v>162</v>
      </c>
      <c r="G42">
        <v>109</v>
      </c>
      <c r="O42" t="s">
        <v>14416</v>
      </c>
    </row>
    <row r="43" spans="2:15" x14ac:dyDescent="0.25">
      <c r="B43">
        <v>128011800</v>
      </c>
      <c r="C43" t="s">
        <v>25597</v>
      </c>
      <c r="E43">
        <v>184</v>
      </c>
      <c r="F43">
        <v>162</v>
      </c>
      <c r="G43">
        <v>109</v>
      </c>
      <c r="O43" t="s">
        <v>14538</v>
      </c>
    </row>
    <row r="44" spans="2:15" x14ac:dyDescent="0.25">
      <c r="B44">
        <v>10042</v>
      </c>
      <c r="C44" t="s">
        <v>22694</v>
      </c>
      <c r="E44">
        <v>184</v>
      </c>
      <c r="F44">
        <v>162</v>
      </c>
      <c r="G44">
        <v>109</v>
      </c>
      <c r="O44" t="s">
        <v>14452</v>
      </c>
    </row>
    <row r="45" spans="2:15" x14ac:dyDescent="0.25">
      <c r="B45">
        <v>10029</v>
      </c>
      <c r="C45" t="s">
        <v>22680</v>
      </c>
      <c r="E45">
        <v>184</v>
      </c>
      <c r="F45">
        <v>162</v>
      </c>
      <c r="G45">
        <v>109</v>
      </c>
      <c r="O45" t="s">
        <v>14430</v>
      </c>
    </row>
    <row r="46" spans="2:15" x14ac:dyDescent="0.25">
      <c r="B46">
        <v>294021842</v>
      </c>
      <c r="C46" t="s">
        <v>25598</v>
      </c>
      <c r="E46">
        <v>237</v>
      </c>
      <c r="F46">
        <v>207</v>
      </c>
      <c r="G46">
        <v>55</v>
      </c>
      <c r="N46" t="s">
        <v>14676</v>
      </c>
    </row>
    <row r="47" spans="2:15" x14ac:dyDescent="0.25">
      <c r="B47">
        <v>128011624</v>
      </c>
      <c r="C47" t="s">
        <v>25599</v>
      </c>
      <c r="E47">
        <v>237</v>
      </c>
      <c r="F47">
        <v>207</v>
      </c>
      <c r="G47">
        <v>55</v>
      </c>
      <c r="O47" t="s">
        <v>14514</v>
      </c>
    </row>
    <row r="48" spans="2:15" x14ac:dyDescent="0.25">
      <c r="B48">
        <v>128011788</v>
      </c>
      <c r="C48" t="s">
        <v>25600</v>
      </c>
      <c r="E48">
        <v>237</v>
      </c>
      <c r="F48">
        <v>207</v>
      </c>
      <c r="G48">
        <v>55</v>
      </c>
      <c r="O48" t="s">
        <v>14534</v>
      </c>
    </row>
    <row r="49" spans="2:16" x14ac:dyDescent="0.25">
      <c r="B49">
        <v>128012432</v>
      </c>
      <c r="C49" t="s">
        <v>25601</v>
      </c>
      <c r="E49">
        <v>237</v>
      </c>
      <c r="F49">
        <v>207</v>
      </c>
      <c r="G49">
        <v>55</v>
      </c>
      <c r="O49" t="s">
        <v>14618</v>
      </c>
    </row>
    <row r="50" spans="2:16" x14ac:dyDescent="0.25">
      <c r="B50">
        <v>294021852</v>
      </c>
      <c r="C50" t="s">
        <v>25602</v>
      </c>
      <c r="E50">
        <v>255</v>
      </c>
      <c r="F50">
        <v>225</v>
      </c>
      <c r="G50">
        <v>104</v>
      </c>
      <c r="N50" t="s">
        <v>1338</v>
      </c>
    </row>
    <row r="51" spans="2:16" x14ac:dyDescent="0.25">
      <c r="B51">
        <v>10003</v>
      </c>
      <c r="C51" t="s">
        <v>25603</v>
      </c>
      <c r="E51">
        <v>255</v>
      </c>
      <c r="F51">
        <v>225</v>
      </c>
      <c r="G51">
        <v>104</v>
      </c>
      <c r="O51" t="s">
        <v>14387</v>
      </c>
    </row>
    <row r="52" spans="2:16" x14ac:dyDescent="0.25">
      <c r="B52">
        <v>12988</v>
      </c>
      <c r="C52" t="s">
        <v>25604</v>
      </c>
      <c r="E52">
        <v>255</v>
      </c>
      <c r="F52">
        <v>225</v>
      </c>
      <c r="G52">
        <v>104</v>
      </c>
      <c r="O52" t="s">
        <v>1645</v>
      </c>
    </row>
    <row r="53" spans="2:16" x14ac:dyDescent="0.25">
      <c r="B53">
        <v>10012</v>
      </c>
      <c r="C53" t="s">
        <v>25605</v>
      </c>
      <c r="E53">
        <v>255</v>
      </c>
      <c r="F53">
        <v>225</v>
      </c>
      <c r="G53">
        <v>104</v>
      </c>
      <c r="O53" t="s">
        <v>14402</v>
      </c>
    </row>
    <row r="54" spans="2:16" x14ac:dyDescent="0.25">
      <c r="B54">
        <v>10021</v>
      </c>
      <c r="C54" t="s">
        <v>25606</v>
      </c>
      <c r="E54">
        <v>255</v>
      </c>
      <c r="F54">
        <v>225</v>
      </c>
      <c r="G54">
        <v>104</v>
      </c>
      <c r="O54" t="s">
        <v>14418</v>
      </c>
    </row>
    <row r="55" spans="2:16" x14ac:dyDescent="0.25">
      <c r="B55">
        <v>128011804</v>
      </c>
      <c r="C55" t="s">
        <v>25607</v>
      </c>
      <c r="E55">
        <v>255</v>
      </c>
      <c r="F55">
        <v>225</v>
      </c>
      <c r="G55">
        <v>104</v>
      </c>
      <c r="O55" t="s">
        <v>14540</v>
      </c>
    </row>
    <row r="56" spans="2:16" x14ac:dyDescent="0.25">
      <c r="B56">
        <v>10043</v>
      </c>
      <c r="C56" t="s">
        <v>22695</v>
      </c>
      <c r="E56">
        <v>255</v>
      </c>
      <c r="F56">
        <v>225</v>
      </c>
      <c r="G56">
        <v>104</v>
      </c>
      <c r="O56" t="s">
        <v>14454</v>
      </c>
    </row>
    <row r="57" spans="2:16" x14ac:dyDescent="0.25">
      <c r="B57">
        <v>10030</v>
      </c>
      <c r="C57" t="s">
        <v>22681</v>
      </c>
      <c r="E57">
        <v>255</v>
      </c>
      <c r="F57">
        <v>225</v>
      </c>
      <c r="G57">
        <v>104</v>
      </c>
      <c r="O57" t="s">
        <v>14432</v>
      </c>
    </row>
    <row r="58" spans="2:16" x14ac:dyDescent="0.25">
      <c r="B58">
        <v>10031</v>
      </c>
      <c r="C58" t="s">
        <v>22682</v>
      </c>
      <c r="E58">
        <v>255</v>
      </c>
      <c r="F58">
        <v>225</v>
      </c>
      <c r="G58">
        <v>104</v>
      </c>
      <c r="P58" t="s">
        <v>14434</v>
      </c>
    </row>
    <row r="59" spans="2:16" x14ac:dyDescent="0.25">
      <c r="B59">
        <v>10032</v>
      </c>
      <c r="C59" t="s">
        <v>22683</v>
      </c>
      <c r="E59">
        <v>255</v>
      </c>
      <c r="F59">
        <v>225</v>
      </c>
      <c r="G59">
        <v>104</v>
      </c>
      <c r="P59" t="s">
        <v>14436</v>
      </c>
    </row>
    <row r="60" spans="2:16" x14ac:dyDescent="0.25">
      <c r="B60">
        <v>10033</v>
      </c>
      <c r="C60" t="s">
        <v>25608</v>
      </c>
      <c r="E60">
        <v>255</v>
      </c>
      <c r="F60">
        <v>225</v>
      </c>
      <c r="G60">
        <v>104</v>
      </c>
      <c r="P60" t="s">
        <v>14438</v>
      </c>
    </row>
    <row r="61" spans="2:16" x14ac:dyDescent="0.25">
      <c r="B61">
        <v>10034</v>
      </c>
      <c r="C61" t="s">
        <v>25609</v>
      </c>
      <c r="E61">
        <v>255</v>
      </c>
      <c r="F61">
        <v>225</v>
      </c>
      <c r="G61">
        <v>104</v>
      </c>
      <c r="P61" t="s">
        <v>14440</v>
      </c>
    </row>
    <row r="62" spans="2:16" x14ac:dyDescent="0.25">
      <c r="B62">
        <v>294021878</v>
      </c>
      <c r="C62" t="s">
        <v>25610</v>
      </c>
      <c r="E62">
        <v>236</v>
      </c>
      <c r="F62">
        <v>129</v>
      </c>
      <c r="G62">
        <v>59</v>
      </c>
      <c r="N62" t="s">
        <v>1341</v>
      </c>
    </row>
    <row r="63" spans="2:16" x14ac:dyDescent="0.25">
      <c r="B63">
        <v>10004</v>
      </c>
      <c r="C63" t="s">
        <v>25611</v>
      </c>
      <c r="E63">
        <v>236</v>
      </c>
      <c r="F63">
        <v>129</v>
      </c>
      <c r="G63">
        <v>59</v>
      </c>
      <c r="O63" t="s">
        <v>14389</v>
      </c>
    </row>
    <row r="64" spans="2:16" x14ac:dyDescent="0.25">
      <c r="B64">
        <v>12989</v>
      </c>
      <c r="C64" t="s">
        <v>25612</v>
      </c>
      <c r="E64">
        <v>236</v>
      </c>
      <c r="F64">
        <v>129</v>
      </c>
      <c r="G64">
        <v>59</v>
      </c>
      <c r="O64" t="s">
        <v>1648</v>
      </c>
    </row>
    <row r="65" spans="2:15" x14ac:dyDescent="0.25">
      <c r="B65">
        <v>10013</v>
      </c>
      <c r="C65" t="s">
        <v>25613</v>
      </c>
      <c r="E65">
        <v>236</v>
      </c>
      <c r="F65">
        <v>129</v>
      </c>
      <c r="G65">
        <v>59</v>
      </c>
      <c r="O65" t="s">
        <v>14404</v>
      </c>
    </row>
    <row r="66" spans="2:15" x14ac:dyDescent="0.25">
      <c r="B66">
        <v>10022</v>
      </c>
      <c r="C66" t="s">
        <v>25614</v>
      </c>
      <c r="E66">
        <v>236</v>
      </c>
      <c r="F66">
        <v>129</v>
      </c>
      <c r="G66">
        <v>59</v>
      </c>
      <c r="O66" t="s">
        <v>14420</v>
      </c>
    </row>
    <row r="67" spans="2:15" x14ac:dyDescent="0.25">
      <c r="B67">
        <v>128011812</v>
      </c>
      <c r="C67" t="s">
        <v>25615</v>
      </c>
      <c r="E67">
        <v>236</v>
      </c>
      <c r="F67">
        <v>129</v>
      </c>
      <c r="G67">
        <v>59</v>
      </c>
      <c r="O67" t="s">
        <v>14544</v>
      </c>
    </row>
    <row r="68" spans="2:15" x14ac:dyDescent="0.25">
      <c r="B68">
        <v>10048</v>
      </c>
      <c r="C68" t="s">
        <v>25616</v>
      </c>
      <c r="E68">
        <v>236</v>
      </c>
      <c r="F68">
        <v>129</v>
      </c>
      <c r="G68">
        <v>59</v>
      </c>
      <c r="O68" t="s">
        <v>14456</v>
      </c>
    </row>
    <row r="69" spans="2:15" x14ac:dyDescent="0.25">
      <c r="B69">
        <v>10035</v>
      </c>
      <c r="C69" t="s">
        <v>22687</v>
      </c>
      <c r="E69">
        <v>236</v>
      </c>
      <c r="F69">
        <v>129</v>
      </c>
      <c r="G69">
        <v>59</v>
      </c>
      <c r="O69" t="s">
        <v>14442</v>
      </c>
    </row>
    <row r="70" spans="2:15" x14ac:dyDescent="0.25">
      <c r="B70">
        <v>294021896</v>
      </c>
      <c r="C70" t="s">
        <v>25617</v>
      </c>
      <c r="E70">
        <v>237</v>
      </c>
      <c r="F70">
        <v>143</v>
      </c>
      <c r="G70">
        <v>86</v>
      </c>
      <c r="N70" t="s">
        <v>1344</v>
      </c>
    </row>
    <row r="71" spans="2:15" x14ac:dyDescent="0.25">
      <c r="B71">
        <v>10005</v>
      </c>
      <c r="C71" t="s">
        <v>25618</v>
      </c>
      <c r="E71">
        <v>237</v>
      </c>
      <c r="F71">
        <v>143</v>
      </c>
      <c r="G71">
        <v>86</v>
      </c>
      <c r="O71" t="s">
        <v>14391</v>
      </c>
    </row>
    <row r="72" spans="2:15" x14ac:dyDescent="0.25">
      <c r="B72">
        <v>12990</v>
      </c>
      <c r="C72" t="s">
        <v>25619</v>
      </c>
      <c r="E72">
        <v>237</v>
      </c>
      <c r="F72">
        <v>143</v>
      </c>
      <c r="G72">
        <v>86</v>
      </c>
      <c r="O72" t="s">
        <v>1651</v>
      </c>
    </row>
    <row r="73" spans="2:15" x14ac:dyDescent="0.25">
      <c r="B73">
        <v>10014</v>
      </c>
      <c r="C73" t="s">
        <v>25620</v>
      </c>
      <c r="E73">
        <v>237</v>
      </c>
      <c r="F73">
        <v>143</v>
      </c>
      <c r="G73">
        <v>86</v>
      </c>
      <c r="O73" t="s">
        <v>14406</v>
      </c>
    </row>
    <row r="74" spans="2:15" x14ac:dyDescent="0.25">
      <c r="B74">
        <v>10023</v>
      </c>
      <c r="C74" t="s">
        <v>25621</v>
      </c>
      <c r="E74">
        <v>237</v>
      </c>
      <c r="F74">
        <v>143</v>
      </c>
      <c r="G74">
        <v>86</v>
      </c>
      <c r="O74" t="s">
        <v>14422</v>
      </c>
    </row>
    <row r="75" spans="2:15" x14ac:dyDescent="0.25">
      <c r="B75">
        <v>128011816</v>
      </c>
      <c r="C75" t="s">
        <v>25622</v>
      </c>
      <c r="E75">
        <v>237</v>
      </c>
      <c r="F75">
        <v>143</v>
      </c>
      <c r="G75">
        <v>86</v>
      </c>
      <c r="O75" t="s">
        <v>14546</v>
      </c>
    </row>
    <row r="76" spans="2:15" x14ac:dyDescent="0.25">
      <c r="B76">
        <v>10049</v>
      </c>
      <c r="C76" t="s">
        <v>22697</v>
      </c>
      <c r="E76">
        <v>237</v>
      </c>
      <c r="F76">
        <v>143</v>
      </c>
      <c r="G76">
        <v>86</v>
      </c>
      <c r="O76" t="s">
        <v>14458</v>
      </c>
    </row>
    <row r="77" spans="2:15" x14ac:dyDescent="0.25">
      <c r="B77">
        <v>10036</v>
      </c>
      <c r="C77" t="s">
        <v>22688</v>
      </c>
      <c r="E77">
        <v>237</v>
      </c>
      <c r="F77">
        <v>143</v>
      </c>
      <c r="G77">
        <v>86</v>
      </c>
      <c r="O77" t="s">
        <v>14444</v>
      </c>
    </row>
    <row r="78" spans="2:15" x14ac:dyDescent="0.25">
      <c r="B78">
        <v>294021914</v>
      </c>
      <c r="C78" t="s">
        <v>19744</v>
      </c>
      <c r="E78">
        <v>253</v>
      </c>
      <c r="F78">
        <v>217</v>
      </c>
      <c r="G78">
        <v>46</v>
      </c>
      <c r="N78" t="s">
        <v>1347</v>
      </c>
    </row>
    <row r="79" spans="2:15" x14ac:dyDescent="0.25">
      <c r="B79">
        <v>128012428</v>
      </c>
      <c r="C79" t="s">
        <v>25623</v>
      </c>
      <c r="E79">
        <v>253</v>
      </c>
      <c r="F79">
        <v>217</v>
      </c>
      <c r="G79">
        <v>46</v>
      </c>
      <c r="O79" t="s">
        <v>14616</v>
      </c>
    </row>
    <row r="80" spans="2:15" x14ac:dyDescent="0.25">
      <c r="B80">
        <v>294021920</v>
      </c>
      <c r="C80" t="s">
        <v>25624</v>
      </c>
      <c r="E80">
        <v>228</v>
      </c>
      <c r="F80">
        <v>156</v>
      </c>
      <c r="G80">
        <v>51</v>
      </c>
      <c r="N80" t="s">
        <v>14678</v>
      </c>
    </row>
    <row r="81" spans="2:15" x14ac:dyDescent="0.25">
      <c r="B81">
        <v>128011638</v>
      </c>
      <c r="C81" t="s">
        <v>25625</v>
      </c>
      <c r="E81">
        <v>228</v>
      </c>
      <c r="F81">
        <v>156</v>
      </c>
      <c r="G81">
        <v>51</v>
      </c>
      <c r="O81" t="s">
        <v>14516</v>
      </c>
    </row>
    <row r="82" spans="2:15" x14ac:dyDescent="0.25">
      <c r="B82">
        <v>128011378</v>
      </c>
      <c r="C82" t="s">
        <v>25626</v>
      </c>
      <c r="E82">
        <v>228</v>
      </c>
      <c r="F82">
        <v>156</v>
      </c>
      <c r="G82">
        <v>51</v>
      </c>
      <c r="O82" t="s">
        <v>14510</v>
      </c>
    </row>
    <row r="83" spans="2:15" x14ac:dyDescent="0.25">
      <c r="B83">
        <v>128011808</v>
      </c>
      <c r="C83" t="s">
        <v>25627</v>
      </c>
      <c r="E83">
        <v>228</v>
      </c>
      <c r="F83">
        <v>156</v>
      </c>
      <c r="G83">
        <v>51</v>
      </c>
      <c r="O83" t="s">
        <v>14542</v>
      </c>
    </row>
    <row r="84" spans="2:15" x14ac:dyDescent="0.25">
      <c r="B84">
        <v>128012458</v>
      </c>
      <c r="C84" t="s">
        <v>25628</v>
      </c>
      <c r="E84">
        <v>228</v>
      </c>
      <c r="F84">
        <v>156</v>
      </c>
      <c r="G84">
        <v>51</v>
      </c>
      <c r="O84" t="s">
        <v>14622</v>
      </c>
    </row>
    <row r="85" spans="2:15" x14ac:dyDescent="0.25">
      <c r="B85">
        <v>294021932</v>
      </c>
      <c r="C85" t="s">
        <v>15193</v>
      </c>
      <c r="E85">
        <v>211</v>
      </c>
      <c r="F85">
        <v>142</v>
      </c>
      <c r="G85">
        <v>50</v>
      </c>
      <c r="N85" t="s">
        <v>1354</v>
      </c>
    </row>
    <row r="86" spans="2:15" x14ac:dyDescent="0.25">
      <c r="B86">
        <v>128011646</v>
      </c>
      <c r="C86" t="s">
        <v>25629</v>
      </c>
      <c r="E86">
        <v>211</v>
      </c>
      <c r="F86">
        <v>142</v>
      </c>
      <c r="G86">
        <v>50</v>
      </c>
      <c r="O86" t="s">
        <v>14518</v>
      </c>
    </row>
    <row r="87" spans="2:15" x14ac:dyDescent="0.25">
      <c r="B87">
        <v>128011820</v>
      </c>
      <c r="C87" t="s">
        <v>25630</v>
      </c>
      <c r="E87">
        <v>211</v>
      </c>
      <c r="F87">
        <v>142</v>
      </c>
      <c r="G87">
        <v>50</v>
      </c>
      <c r="O87" t="s">
        <v>14548</v>
      </c>
    </row>
    <row r="88" spans="2:15" x14ac:dyDescent="0.25">
      <c r="B88">
        <v>128012466</v>
      </c>
      <c r="C88" t="s">
        <v>25631</v>
      </c>
      <c r="E88">
        <v>211</v>
      </c>
      <c r="F88">
        <v>142</v>
      </c>
      <c r="G88">
        <v>50</v>
      </c>
      <c r="O88" t="s">
        <v>14624</v>
      </c>
    </row>
    <row r="89" spans="2:15" x14ac:dyDescent="0.25">
      <c r="B89">
        <v>294021942</v>
      </c>
      <c r="C89" t="s">
        <v>21463</v>
      </c>
      <c r="E89">
        <v>235</v>
      </c>
      <c r="F89">
        <v>191</v>
      </c>
      <c r="G89">
        <v>208</v>
      </c>
      <c r="N89" t="s">
        <v>1130</v>
      </c>
    </row>
    <row r="90" spans="2:15" x14ac:dyDescent="0.25">
      <c r="B90">
        <v>128011650</v>
      </c>
      <c r="C90" t="s">
        <v>25632</v>
      </c>
      <c r="E90">
        <v>235</v>
      </c>
      <c r="F90">
        <v>191</v>
      </c>
      <c r="G90">
        <v>208</v>
      </c>
      <c r="O90" t="s">
        <v>4460</v>
      </c>
    </row>
    <row r="91" spans="2:15" x14ac:dyDescent="0.25">
      <c r="B91">
        <v>128011824</v>
      </c>
      <c r="C91" t="s">
        <v>25633</v>
      </c>
      <c r="E91">
        <v>235</v>
      </c>
      <c r="F91">
        <v>191</v>
      </c>
      <c r="G91">
        <v>208</v>
      </c>
      <c r="O91" t="s">
        <v>4462</v>
      </c>
    </row>
    <row r="92" spans="2:15" x14ac:dyDescent="0.25">
      <c r="B92">
        <v>128012474</v>
      </c>
      <c r="C92" t="s">
        <v>25634</v>
      </c>
      <c r="E92">
        <v>235</v>
      </c>
      <c r="F92">
        <v>191</v>
      </c>
      <c r="G92">
        <v>208</v>
      </c>
      <c r="O92" t="s">
        <v>4466</v>
      </c>
    </row>
    <row r="93" spans="2:15" x14ac:dyDescent="0.25">
      <c r="B93">
        <v>128012470</v>
      </c>
      <c r="C93" t="s">
        <v>25635</v>
      </c>
      <c r="E93">
        <v>235</v>
      </c>
      <c r="F93">
        <v>191</v>
      </c>
      <c r="G93">
        <v>208</v>
      </c>
      <c r="O93" t="s">
        <v>4464</v>
      </c>
    </row>
    <row r="94" spans="2:15" x14ac:dyDescent="0.25">
      <c r="B94">
        <v>294021954</v>
      </c>
      <c r="C94" t="s">
        <v>25636</v>
      </c>
      <c r="E94">
        <v>240</v>
      </c>
      <c r="F94">
        <v>213</v>
      </c>
      <c r="G94">
        <v>225</v>
      </c>
      <c r="N94" t="s">
        <v>14680</v>
      </c>
    </row>
    <row r="95" spans="2:15" x14ac:dyDescent="0.25">
      <c r="B95">
        <v>159658840</v>
      </c>
      <c r="C95" t="s">
        <v>25637</v>
      </c>
      <c r="E95">
        <v>240</v>
      </c>
      <c r="F95">
        <v>213</v>
      </c>
      <c r="G95">
        <v>225</v>
      </c>
      <c r="O95" t="s">
        <v>14666</v>
      </c>
    </row>
    <row r="96" spans="2:15" x14ac:dyDescent="0.25">
      <c r="B96">
        <v>294021960</v>
      </c>
      <c r="C96" t="s">
        <v>25638</v>
      </c>
      <c r="E96">
        <v>225</v>
      </c>
      <c r="F96">
        <v>150</v>
      </c>
      <c r="G96">
        <v>183</v>
      </c>
      <c r="N96" t="s">
        <v>14682</v>
      </c>
    </row>
    <row r="97" spans="2:15" x14ac:dyDescent="0.25">
      <c r="B97">
        <v>159658800</v>
      </c>
      <c r="C97" t="s">
        <v>25639</v>
      </c>
      <c r="E97">
        <v>225</v>
      </c>
      <c r="F97">
        <v>150</v>
      </c>
      <c r="G97">
        <v>183</v>
      </c>
      <c r="O97" t="s">
        <v>14652</v>
      </c>
    </row>
    <row r="98" spans="2:15" x14ac:dyDescent="0.25">
      <c r="B98">
        <v>159658808</v>
      </c>
      <c r="C98" t="s">
        <v>25640</v>
      </c>
      <c r="E98">
        <v>225</v>
      </c>
      <c r="F98">
        <v>150</v>
      </c>
      <c r="G98">
        <v>183</v>
      </c>
      <c r="O98" t="s">
        <v>14656</v>
      </c>
    </row>
    <row r="99" spans="2:15" x14ac:dyDescent="0.25">
      <c r="B99">
        <v>159658836</v>
      </c>
      <c r="C99" t="s">
        <v>25641</v>
      </c>
      <c r="E99">
        <v>225</v>
      </c>
      <c r="F99">
        <v>150</v>
      </c>
      <c r="G99">
        <v>183</v>
      </c>
      <c r="O99" t="s">
        <v>14664</v>
      </c>
    </row>
    <row r="100" spans="2:15" x14ac:dyDescent="0.25">
      <c r="B100">
        <v>294021970</v>
      </c>
      <c r="C100" t="s">
        <v>21586</v>
      </c>
      <c r="E100">
        <v>214</v>
      </c>
      <c r="F100">
        <v>112</v>
      </c>
      <c r="G100">
        <v>160</v>
      </c>
      <c r="N100" t="s">
        <v>1188</v>
      </c>
    </row>
    <row r="101" spans="2:15" x14ac:dyDescent="0.25">
      <c r="B101">
        <v>128011654</v>
      </c>
      <c r="C101" t="s">
        <v>25642</v>
      </c>
      <c r="E101">
        <v>214</v>
      </c>
      <c r="F101">
        <v>112</v>
      </c>
      <c r="G101">
        <v>160</v>
      </c>
      <c r="O101" t="s">
        <v>14520</v>
      </c>
    </row>
    <row r="102" spans="2:15" x14ac:dyDescent="0.25">
      <c r="B102">
        <v>128011828</v>
      </c>
      <c r="C102" t="s">
        <v>25643</v>
      </c>
      <c r="E102">
        <v>214</v>
      </c>
      <c r="F102">
        <v>112</v>
      </c>
      <c r="G102">
        <v>160</v>
      </c>
      <c r="O102" t="s">
        <v>14550</v>
      </c>
    </row>
    <row r="103" spans="2:15" x14ac:dyDescent="0.25">
      <c r="B103">
        <v>128012478</v>
      </c>
      <c r="C103" t="s">
        <v>25644</v>
      </c>
      <c r="E103">
        <v>214</v>
      </c>
      <c r="F103">
        <v>112</v>
      </c>
      <c r="G103">
        <v>160</v>
      </c>
      <c r="O103" t="s">
        <v>14626</v>
      </c>
    </row>
    <row r="104" spans="2:15" x14ac:dyDescent="0.25">
      <c r="B104">
        <v>294021980</v>
      </c>
      <c r="C104" t="s">
        <v>25645</v>
      </c>
      <c r="E104">
        <v>218</v>
      </c>
      <c r="F104">
        <v>128</v>
      </c>
      <c r="G104">
        <v>168</v>
      </c>
      <c r="N104" t="s">
        <v>14684</v>
      </c>
    </row>
    <row r="105" spans="2:15" x14ac:dyDescent="0.25">
      <c r="B105">
        <v>128011658</v>
      </c>
      <c r="C105" t="s">
        <v>25646</v>
      </c>
      <c r="E105">
        <v>218</v>
      </c>
      <c r="F105">
        <v>128</v>
      </c>
      <c r="G105">
        <v>168</v>
      </c>
      <c r="O105" t="s">
        <v>14522</v>
      </c>
    </row>
    <row r="106" spans="2:15" x14ac:dyDescent="0.25">
      <c r="B106">
        <v>128011832</v>
      </c>
      <c r="C106" t="s">
        <v>25647</v>
      </c>
      <c r="E106">
        <v>218</v>
      </c>
      <c r="F106">
        <v>128</v>
      </c>
      <c r="G106">
        <v>168</v>
      </c>
      <c r="O106" t="s">
        <v>14552</v>
      </c>
    </row>
    <row r="107" spans="2:15" x14ac:dyDescent="0.25">
      <c r="B107">
        <v>128012482</v>
      </c>
      <c r="C107" t="s">
        <v>25648</v>
      </c>
      <c r="E107">
        <v>218</v>
      </c>
      <c r="F107">
        <v>128</v>
      </c>
      <c r="G107">
        <v>168</v>
      </c>
      <c r="O107" t="s">
        <v>14628</v>
      </c>
    </row>
    <row r="108" spans="2:15" x14ac:dyDescent="0.25">
      <c r="B108">
        <v>294021990</v>
      </c>
      <c r="C108" t="s">
        <v>25649</v>
      </c>
      <c r="E108">
        <v>227</v>
      </c>
      <c r="F108">
        <v>168</v>
      </c>
      <c r="G108">
        <v>194</v>
      </c>
      <c r="N108" t="s">
        <v>14686</v>
      </c>
    </row>
    <row r="109" spans="2:15" x14ac:dyDescent="0.25">
      <c r="B109">
        <v>159658804</v>
      </c>
      <c r="C109" t="s">
        <v>25650</v>
      </c>
      <c r="E109">
        <v>227</v>
      </c>
      <c r="F109">
        <v>168</v>
      </c>
      <c r="G109">
        <v>194</v>
      </c>
      <c r="O109" t="s">
        <v>14654</v>
      </c>
    </row>
    <row r="110" spans="2:15" x14ac:dyDescent="0.25">
      <c r="B110">
        <v>159658816</v>
      </c>
      <c r="C110" t="s">
        <v>25651</v>
      </c>
      <c r="E110">
        <v>227</v>
      </c>
      <c r="F110">
        <v>168</v>
      </c>
      <c r="G110">
        <v>194</v>
      </c>
      <c r="O110" t="s">
        <v>14658</v>
      </c>
    </row>
    <row r="111" spans="2:15" x14ac:dyDescent="0.25">
      <c r="B111">
        <v>159658844</v>
      </c>
      <c r="C111" t="s">
        <v>25652</v>
      </c>
      <c r="E111">
        <v>227</v>
      </c>
      <c r="F111">
        <v>168</v>
      </c>
      <c r="G111">
        <v>194</v>
      </c>
      <c r="O111" t="s">
        <v>14668</v>
      </c>
    </row>
    <row r="112" spans="2:15" x14ac:dyDescent="0.25">
      <c r="B112">
        <v>294022000</v>
      </c>
      <c r="C112" t="s">
        <v>25653</v>
      </c>
      <c r="E112">
        <v>213</v>
      </c>
      <c r="F112">
        <v>92</v>
      </c>
      <c r="G112">
        <v>146</v>
      </c>
      <c r="N112" t="s">
        <v>14688</v>
      </c>
    </row>
    <row r="113" spans="2:15" x14ac:dyDescent="0.25">
      <c r="B113">
        <v>128011662</v>
      </c>
      <c r="C113" t="s">
        <v>25654</v>
      </c>
      <c r="E113">
        <v>213</v>
      </c>
      <c r="F113">
        <v>92</v>
      </c>
      <c r="G113">
        <v>146</v>
      </c>
      <c r="O113" t="s">
        <v>14524</v>
      </c>
    </row>
    <row r="114" spans="2:15" x14ac:dyDescent="0.25">
      <c r="B114">
        <v>128011836</v>
      </c>
      <c r="C114" t="s">
        <v>25655</v>
      </c>
      <c r="E114">
        <v>213</v>
      </c>
      <c r="F114">
        <v>92</v>
      </c>
      <c r="G114">
        <v>146</v>
      </c>
      <c r="O114" t="s">
        <v>14554</v>
      </c>
    </row>
    <row r="115" spans="2:15" x14ac:dyDescent="0.25">
      <c r="B115">
        <v>128012486</v>
      </c>
      <c r="C115" t="s">
        <v>25656</v>
      </c>
      <c r="E115">
        <v>213</v>
      </c>
      <c r="F115">
        <v>92</v>
      </c>
      <c r="G115">
        <v>146</v>
      </c>
      <c r="O115" t="s">
        <v>14630</v>
      </c>
    </row>
    <row r="116" spans="2:15" x14ac:dyDescent="0.25">
      <c r="B116">
        <v>294022010</v>
      </c>
      <c r="C116" t="s">
        <v>25657</v>
      </c>
      <c r="E116">
        <v>209</v>
      </c>
      <c r="F116">
        <v>77</v>
      </c>
      <c r="G116">
        <v>70</v>
      </c>
      <c r="N116" t="s">
        <v>14690</v>
      </c>
    </row>
    <row r="117" spans="2:15" x14ac:dyDescent="0.25">
      <c r="B117">
        <v>128011670</v>
      </c>
      <c r="C117" t="s">
        <v>25658</v>
      </c>
      <c r="E117">
        <v>209</v>
      </c>
      <c r="F117">
        <v>77</v>
      </c>
      <c r="G117">
        <v>70</v>
      </c>
      <c r="O117" t="s">
        <v>14528</v>
      </c>
    </row>
    <row r="118" spans="2:15" x14ac:dyDescent="0.25">
      <c r="B118">
        <v>128011844</v>
      </c>
      <c r="C118" t="s">
        <v>25659</v>
      </c>
      <c r="E118">
        <v>209</v>
      </c>
      <c r="F118">
        <v>77</v>
      </c>
      <c r="G118">
        <v>70</v>
      </c>
      <c r="O118" t="s">
        <v>14558</v>
      </c>
    </row>
    <row r="119" spans="2:15" x14ac:dyDescent="0.25">
      <c r="B119">
        <v>128012494</v>
      </c>
      <c r="C119" t="s">
        <v>25660</v>
      </c>
      <c r="E119">
        <v>209</v>
      </c>
      <c r="F119">
        <v>77</v>
      </c>
      <c r="G119">
        <v>70</v>
      </c>
      <c r="O119" t="s">
        <v>14634</v>
      </c>
    </row>
    <row r="120" spans="2:15" x14ac:dyDescent="0.25">
      <c r="B120">
        <v>294022020</v>
      </c>
      <c r="C120" t="s">
        <v>25661</v>
      </c>
      <c r="E120">
        <v>206</v>
      </c>
      <c r="F120">
        <v>61</v>
      </c>
      <c r="G120">
        <v>57</v>
      </c>
      <c r="N120" t="s">
        <v>14692</v>
      </c>
    </row>
    <row r="121" spans="2:15" x14ac:dyDescent="0.25">
      <c r="B121">
        <v>128011674</v>
      </c>
      <c r="C121" t="s">
        <v>25662</v>
      </c>
      <c r="E121">
        <v>206</v>
      </c>
      <c r="F121">
        <v>61</v>
      </c>
      <c r="G121">
        <v>57</v>
      </c>
      <c r="O121" t="s">
        <v>14530</v>
      </c>
    </row>
    <row r="122" spans="2:15" x14ac:dyDescent="0.25">
      <c r="B122">
        <v>128011848</v>
      </c>
      <c r="C122" t="s">
        <v>25663</v>
      </c>
      <c r="E122">
        <v>206</v>
      </c>
      <c r="F122">
        <v>61</v>
      </c>
      <c r="G122">
        <v>57</v>
      </c>
      <c r="O122" t="s">
        <v>14560</v>
      </c>
    </row>
    <row r="123" spans="2:15" x14ac:dyDescent="0.25">
      <c r="B123">
        <v>128012498</v>
      </c>
      <c r="C123" t="s">
        <v>25664</v>
      </c>
      <c r="E123">
        <v>206</v>
      </c>
      <c r="F123">
        <v>61</v>
      </c>
      <c r="G123">
        <v>57</v>
      </c>
      <c r="O123" t="s">
        <v>14636</v>
      </c>
    </row>
    <row r="124" spans="2:15" x14ac:dyDescent="0.25">
      <c r="B124">
        <v>294022030</v>
      </c>
      <c r="C124" t="s">
        <v>21867</v>
      </c>
      <c r="E124">
        <v>186</v>
      </c>
      <c r="F124">
        <v>46</v>
      </c>
      <c r="G124">
        <v>46</v>
      </c>
      <c r="N124" t="s">
        <v>14694</v>
      </c>
    </row>
    <row r="125" spans="2:15" x14ac:dyDescent="0.25">
      <c r="B125">
        <v>128011666</v>
      </c>
      <c r="C125" t="s">
        <v>25665</v>
      </c>
      <c r="E125">
        <v>186</v>
      </c>
      <c r="F125">
        <v>46</v>
      </c>
      <c r="G125">
        <v>46</v>
      </c>
      <c r="O125" t="s">
        <v>14526</v>
      </c>
    </row>
    <row r="126" spans="2:15" x14ac:dyDescent="0.25">
      <c r="B126">
        <v>128011840</v>
      </c>
      <c r="C126" t="s">
        <v>25666</v>
      </c>
      <c r="E126">
        <v>186</v>
      </c>
      <c r="F126">
        <v>46</v>
      </c>
      <c r="G126">
        <v>46</v>
      </c>
      <c r="O126" t="s">
        <v>14556</v>
      </c>
    </row>
    <row r="127" spans="2:15" x14ac:dyDescent="0.25">
      <c r="B127">
        <v>128012490</v>
      </c>
      <c r="C127" t="s">
        <v>25667</v>
      </c>
      <c r="E127">
        <v>186</v>
      </c>
      <c r="F127">
        <v>46</v>
      </c>
      <c r="G127">
        <v>46</v>
      </c>
      <c r="O127" t="s">
        <v>14632</v>
      </c>
    </row>
    <row r="128" spans="2:15" x14ac:dyDescent="0.25">
      <c r="B128">
        <v>128012584</v>
      </c>
      <c r="C128" t="s">
        <v>22050</v>
      </c>
      <c r="E128">
        <v>167</v>
      </c>
      <c r="F128">
        <v>141</v>
      </c>
      <c r="G128">
        <v>141</v>
      </c>
      <c r="N128" t="s">
        <v>4913</v>
      </c>
    </row>
    <row r="129" spans="2:16" x14ac:dyDescent="0.25">
      <c r="B129">
        <v>128012588</v>
      </c>
      <c r="C129" t="s">
        <v>25668</v>
      </c>
      <c r="E129">
        <v>147</v>
      </c>
      <c r="F129">
        <v>123</v>
      </c>
      <c r="G129">
        <v>124</v>
      </c>
      <c r="O129" t="s">
        <v>14638</v>
      </c>
    </row>
    <row r="130" spans="2:16" x14ac:dyDescent="0.25">
      <c r="B130">
        <v>294022044</v>
      </c>
      <c r="C130" t="s">
        <v>25473</v>
      </c>
      <c r="E130">
        <v>224</v>
      </c>
      <c r="F130">
        <v>224</v>
      </c>
      <c r="G130">
        <v>222</v>
      </c>
      <c r="N130" t="s">
        <v>632</v>
      </c>
    </row>
    <row r="131" spans="2:16" x14ac:dyDescent="0.25">
      <c r="B131">
        <v>10007</v>
      </c>
      <c r="C131" t="s">
        <v>25669</v>
      </c>
      <c r="E131">
        <v>224</v>
      </c>
      <c r="F131">
        <v>224</v>
      </c>
      <c r="G131">
        <v>222</v>
      </c>
      <c r="O131" t="s">
        <v>14393</v>
      </c>
    </row>
    <row r="132" spans="2:16" x14ac:dyDescent="0.25">
      <c r="B132">
        <v>10016</v>
      </c>
      <c r="C132" t="s">
        <v>25670</v>
      </c>
      <c r="E132">
        <v>224</v>
      </c>
      <c r="F132">
        <v>224</v>
      </c>
      <c r="G132">
        <v>222</v>
      </c>
      <c r="O132" t="s">
        <v>14408</v>
      </c>
    </row>
    <row r="133" spans="2:16" x14ac:dyDescent="0.25">
      <c r="B133">
        <v>10025</v>
      </c>
      <c r="C133" t="s">
        <v>25671</v>
      </c>
      <c r="E133">
        <v>224</v>
      </c>
      <c r="F133">
        <v>224</v>
      </c>
      <c r="G133">
        <v>222</v>
      </c>
      <c r="O133" t="s">
        <v>14424</v>
      </c>
    </row>
    <row r="134" spans="2:16" x14ac:dyDescent="0.25">
      <c r="B134">
        <v>10051</v>
      </c>
      <c r="C134" t="s">
        <v>25672</v>
      </c>
      <c r="E134">
        <v>224</v>
      </c>
      <c r="F134">
        <v>224</v>
      </c>
      <c r="G134">
        <v>222</v>
      </c>
      <c r="O134" t="s">
        <v>14460</v>
      </c>
    </row>
    <row r="135" spans="2:16" x14ac:dyDescent="0.25">
      <c r="B135">
        <v>10038</v>
      </c>
      <c r="C135" t="s">
        <v>25673</v>
      </c>
      <c r="E135">
        <v>224</v>
      </c>
      <c r="F135">
        <v>224</v>
      </c>
      <c r="G135">
        <v>222</v>
      </c>
      <c r="O135" t="s">
        <v>14446</v>
      </c>
    </row>
    <row r="136" spans="2:16" x14ac:dyDescent="0.25">
      <c r="B136">
        <v>4003</v>
      </c>
      <c r="C136" t="s">
        <v>25674</v>
      </c>
      <c r="E136">
        <v>191</v>
      </c>
      <c r="F136">
        <v>181</v>
      </c>
      <c r="G136">
        <v>213</v>
      </c>
      <c r="M136" t="s">
        <v>2294</v>
      </c>
    </row>
    <row r="137" spans="2:16" x14ac:dyDescent="0.25">
      <c r="B137">
        <v>10075</v>
      </c>
      <c r="C137" t="s">
        <v>15915</v>
      </c>
      <c r="E137">
        <v>138</v>
      </c>
      <c r="F137">
        <v>122</v>
      </c>
      <c r="G137">
        <v>177</v>
      </c>
      <c r="N137" t="s">
        <v>14464</v>
      </c>
    </row>
    <row r="138" spans="2:16" x14ac:dyDescent="0.25">
      <c r="B138">
        <v>128012220</v>
      </c>
      <c r="C138" t="s">
        <v>25675</v>
      </c>
      <c r="E138">
        <v>230</v>
      </c>
      <c r="F138">
        <v>230</v>
      </c>
      <c r="G138">
        <v>236</v>
      </c>
      <c r="O138" t="s">
        <v>14572</v>
      </c>
    </row>
    <row r="139" spans="2:16" x14ac:dyDescent="0.25">
      <c r="B139">
        <v>10076</v>
      </c>
      <c r="C139" t="s">
        <v>25676</v>
      </c>
      <c r="E139">
        <v>230</v>
      </c>
      <c r="F139">
        <v>230</v>
      </c>
      <c r="G139">
        <v>236</v>
      </c>
      <c r="P139" t="s">
        <v>14466</v>
      </c>
    </row>
    <row r="140" spans="2:16" x14ac:dyDescent="0.25">
      <c r="B140">
        <v>128012226</v>
      </c>
      <c r="C140" t="s">
        <v>25677</v>
      </c>
      <c r="E140">
        <v>84</v>
      </c>
      <c r="F140">
        <v>62</v>
      </c>
      <c r="G140">
        <v>116</v>
      </c>
      <c r="O140" t="s">
        <v>14574</v>
      </c>
    </row>
    <row r="141" spans="2:16" x14ac:dyDescent="0.25">
      <c r="B141">
        <v>10077</v>
      </c>
      <c r="C141" t="s">
        <v>25678</v>
      </c>
      <c r="E141">
        <v>84</v>
      </c>
      <c r="F141">
        <v>62</v>
      </c>
      <c r="G141">
        <v>116</v>
      </c>
      <c r="P141" t="s">
        <v>14468</v>
      </c>
    </row>
    <row r="142" spans="2:16" x14ac:dyDescent="0.25">
      <c r="B142">
        <v>128012232</v>
      </c>
      <c r="C142" t="s">
        <v>25679</v>
      </c>
      <c r="E142">
        <v>114</v>
      </c>
      <c r="F142">
        <v>83</v>
      </c>
      <c r="G142">
        <v>152</v>
      </c>
      <c r="O142" t="s">
        <v>14576</v>
      </c>
    </row>
    <row r="143" spans="2:16" x14ac:dyDescent="0.25">
      <c r="B143">
        <v>10078</v>
      </c>
      <c r="C143" t="s">
        <v>25680</v>
      </c>
      <c r="E143">
        <v>114</v>
      </c>
      <c r="F143">
        <v>83</v>
      </c>
      <c r="G143">
        <v>152</v>
      </c>
      <c r="P143" t="s">
        <v>14470</v>
      </c>
    </row>
    <row r="144" spans="2:16" x14ac:dyDescent="0.25">
      <c r="B144">
        <v>128012238</v>
      </c>
      <c r="C144" t="s">
        <v>25681</v>
      </c>
      <c r="E144">
        <v>170</v>
      </c>
      <c r="F144">
        <v>157</v>
      </c>
      <c r="G144">
        <v>198</v>
      </c>
      <c r="O144" t="s">
        <v>14578</v>
      </c>
    </row>
    <row r="145" spans="2:17" x14ac:dyDescent="0.25">
      <c r="B145">
        <v>10079</v>
      </c>
      <c r="C145" t="s">
        <v>25682</v>
      </c>
      <c r="E145">
        <v>170</v>
      </c>
      <c r="F145">
        <v>157</v>
      </c>
      <c r="G145">
        <v>198</v>
      </c>
      <c r="P145" t="s">
        <v>14472</v>
      </c>
    </row>
    <row r="146" spans="2:17" x14ac:dyDescent="0.25">
      <c r="B146">
        <v>159658820</v>
      </c>
      <c r="C146" t="s">
        <v>25683</v>
      </c>
      <c r="E146">
        <v>80</v>
      </c>
      <c r="F146">
        <v>72</v>
      </c>
      <c r="G146">
        <v>127</v>
      </c>
      <c r="O146" t="s">
        <v>14660</v>
      </c>
    </row>
    <row r="147" spans="2:17" x14ac:dyDescent="0.25">
      <c r="B147">
        <v>128012244</v>
      </c>
      <c r="C147" t="s">
        <v>25684</v>
      </c>
      <c r="E147">
        <v>191</v>
      </c>
      <c r="F147">
        <v>181</v>
      </c>
      <c r="G147">
        <v>213</v>
      </c>
      <c r="N147" t="s">
        <v>8</v>
      </c>
    </row>
    <row r="148" spans="2:17" x14ac:dyDescent="0.25">
      <c r="B148">
        <v>10058</v>
      </c>
      <c r="C148" t="s">
        <v>15930</v>
      </c>
      <c r="E148">
        <v>170</v>
      </c>
      <c r="F148">
        <v>157</v>
      </c>
      <c r="G148">
        <v>198</v>
      </c>
      <c r="O148" t="s">
        <v>48</v>
      </c>
    </row>
    <row r="149" spans="2:17" x14ac:dyDescent="0.25">
      <c r="B149">
        <v>128012250</v>
      </c>
      <c r="C149" t="s">
        <v>25685</v>
      </c>
      <c r="E149">
        <v>209</v>
      </c>
      <c r="F149">
        <v>206</v>
      </c>
      <c r="G149">
        <v>226</v>
      </c>
      <c r="P149" t="s">
        <v>14580</v>
      </c>
    </row>
    <row r="150" spans="2:17" x14ac:dyDescent="0.25">
      <c r="B150">
        <v>10062</v>
      </c>
      <c r="C150" t="s">
        <v>25686</v>
      </c>
      <c r="E150">
        <v>209</v>
      </c>
      <c r="F150">
        <v>206</v>
      </c>
      <c r="G150">
        <v>226</v>
      </c>
      <c r="Q150" t="s">
        <v>55</v>
      </c>
    </row>
    <row r="151" spans="2:17" x14ac:dyDescent="0.25">
      <c r="B151">
        <v>10061</v>
      </c>
      <c r="C151" t="s">
        <v>25687</v>
      </c>
      <c r="E151">
        <v>230</v>
      </c>
      <c r="F151">
        <v>230</v>
      </c>
      <c r="G151">
        <v>236</v>
      </c>
      <c r="Q151" t="s">
        <v>69</v>
      </c>
    </row>
    <row r="152" spans="2:17" x14ac:dyDescent="0.25">
      <c r="B152">
        <v>128012258</v>
      </c>
      <c r="C152" t="s">
        <v>25688</v>
      </c>
      <c r="E152">
        <v>93</v>
      </c>
      <c r="F152">
        <v>69</v>
      </c>
      <c r="G152">
        <v>127</v>
      </c>
      <c r="P152" t="s">
        <v>14582</v>
      </c>
    </row>
    <row r="153" spans="2:17" x14ac:dyDescent="0.25">
      <c r="B153">
        <v>10060</v>
      </c>
      <c r="C153" t="s">
        <v>25689</v>
      </c>
      <c r="E153">
        <v>105</v>
      </c>
      <c r="F153">
        <v>79</v>
      </c>
      <c r="G153">
        <v>140</v>
      </c>
      <c r="Q153" t="s">
        <v>4224</v>
      </c>
    </row>
    <row r="154" spans="2:17" x14ac:dyDescent="0.25">
      <c r="B154">
        <v>128012264</v>
      </c>
      <c r="C154" t="s">
        <v>15932</v>
      </c>
      <c r="E154">
        <v>209</v>
      </c>
      <c r="F154">
        <v>206</v>
      </c>
      <c r="G154">
        <v>226</v>
      </c>
      <c r="P154" t="s">
        <v>14584</v>
      </c>
    </row>
    <row r="155" spans="2:17" x14ac:dyDescent="0.25">
      <c r="B155">
        <v>10059</v>
      </c>
      <c r="C155" t="s">
        <v>25690</v>
      </c>
      <c r="E155">
        <v>138</v>
      </c>
      <c r="F155">
        <v>122</v>
      </c>
      <c r="G155">
        <v>177</v>
      </c>
      <c r="Q155" t="s">
        <v>62</v>
      </c>
    </row>
    <row r="156" spans="2:17" x14ac:dyDescent="0.25">
      <c r="B156">
        <v>128012270</v>
      </c>
      <c r="C156" t="s">
        <v>25691</v>
      </c>
      <c r="E156">
        <v>230</v>
      </c>
      <c r="F156">
        <v>230</v>
      </c>
      <c r="G156">
        <v>236</v>
      </c>
      <c r="P156" t="s">
        <v>14586</v>
      </c>
    </row>
    <row r="157" spans="2:17" x14ac:dyDescent="0.25">
      <c r="B157">
        <v>128012274</v>
      </c>
      <c r="C157" t="s">
        <v>25692</v>
      </c>
      <c r="E157">
        <v>103</v>
      </c>
      <c r="F157">
        <v>72</v>
      </c>
      <c r="G157">
        <v>129</v>
      </c>
      <c r="P157" t="s">
        <v>14588</v>
      </c>
    </row>
    <row r="158" spans="2:17" x14ac:dyDescent="0.25">
      <c r="B158">
        <v>128012278</v>
      </c>
      <c r="C158" t="s">
        <v>25693</v>
      </c>
      <c r="E158">
        <v>93</v>
      </c>
      <c r="F158">
        <v>69</v>
      </c>
      <c r="G158">
        <v>127</v>
      </c>
      <c r="P158" t="s">
        <v>14590</v>
      </c>
    </row>
    <row r="159" spans="2:17" x14ac:dyDescent="0.25">
      <c r="B159">
        <v>10063</v>
      </c>
      <c r="C159" t="s">
        <v>15935</v>
      </c>
      <c r="E159">
        <v>153</v>
      </c>
      <c r="F159">
        <v>136</v>
      </c>
      <c r="G159">
        <v>187</v>
      </c>
      <c r="O159" t="s">
        <v>80</v>
      </c>
    </row>
    <row r="160" spans="2:17" x14ac:dyDescent="0.25">
      <c r="B160">
        <v>128012284</v>
      </c>
      <c r="C160" t="s">
        <v>25694</v>
      </c>
      <c r="E160">
        <v>209</v>
      </c>
      <c r="F160">
        <v>206</v>
      </c>
      <c r="G160">
        <v>226</v>
      </c>
      <c r="P160" t="s">
        <v>14592</v>
      </c>
    </row>
    <row r="161" spans="2:17" x14ac:dyDescent="0.25">
      <c r="B161">
        <v>10067</v>
      </c>
      <c r="C161" t="s">
        <v>25695</v>
      </c>
      <c r="E161">
        <v>209</v>
      </c>
      <c r="F161">
        <v>206</v>
      </c>
      <c r="G161">
        <v>226</v>
      </c>
      <c r="Q161" t="s">
        <v>87</v>
      </c>
    </row>
    <row r="162" spans="2:17" x14ac:dyDescent="0.25">
      <c r="B162">
        <v>10066</v>
      </c>
      <c r="C162" t="s">
        <v>25696</v>
      </c>
      <c r="E162">
        <v>230</v>
      </c>
      <c r="F162">
        <v>230</v>
      </c>
      <c r="G162">
        <v>236</v>
      </c>
      <c r="Q162" t="s">
        <v>101</v>
      </c>
    </row>
    <row r="163" spans="2:17" x14ac:dyDescent="0.25">
      <c r="B163">
        <v>128012292</v>
      </c>
      <c r="C163" t="s">
        <v>25697</v>
      </c>
      <c r="E163">
        <v>93</v>
      </c>
      <c r="F163">
        <v>69</v>
      </c>
      <c r="G163">
        <v>127</v>
      </c>
      <c r="P163" t="s">
        <v>14594</v>
      </c>
    </row>
    <row r="164" spans="2:17" x14ac:dyDescent="0.25">
      <c r="B164">
        <v>10065</v>
      </c>
      <c r="C164" t="s">
        <v>25698</v>
      </c>
      <c r="E164">
        <v>93</v>
      </c>
      <c r="F164">
        <v>69</v>
      </c>
      <c r="G164">
        <v>127</v>
      </c>
      <c r="Q164" t="s">
        <v>4229</v>
      </c>
    </row>
    <row r="165" spans="2:17" x14ac:dyDescent="0.25">
      <c r="B165">
        <v>128012298</v>
      </c>
      <c r="C165" t="s">
        <v>15938</v>
      </c>
      <c r="E165">
        <v>209</v>
      </c>
      <c r="F165">
        <v>206</v>
      </c>
      <c r="G165">
        <v>226</v>
      </c>
      <c r="P165" t="s">
        <v>14596</v>
      </c>
    </row>
    <row r="166" spans="2:17" x14ac:dyDescent="0.25">
      <c r="B166">
        <v>10064</v>
      </c>
      <c r="C166" t="s">
        <v>25699</v>
      </c>
      <c r="E166">
        <v>138</v>
      </c>
      <c r="F166">
        <v>122</v>
      </c>
      <c r="G166">
        <v>177</v>
      </c>
      <c r="Q166" t="s">
        <v>94</v>
      </c>
    </row>
    <row r="167" spans="2:17" x14ac:dyDescent="0.25">
      <c r="B167">
        <v>10068</v>
      </c>
      <c r="C167" t="s">
        <v>15940</v>
      </c>
      <c r="E167">
        <v>153</v>
      </c>
      <c r="F167">
        <v>136</v>
      </c>
      <c r="G167">
        <v>187</v>
      </c>
      <c r="O167" t="s">
        <v>112</v>
      </c>
    </row>
    <row r="168" spans="2:17" x14ac:dyDescent="0.25">
      <c r="B168">
        <v>128012318</v>
      </c>
      <c r="C168" t="s">
        <v>25700</v>
      </c>
      <c r="E168">
        <v>209</v>
      </c>
      <c r="F168">
        <v>206</v>
      </c>
      <c r="G168">
        <v>226</v>
      </c>
      <c r="P168" t="s">
        <v>14598</v>
      </c>
    </row>
    <row r="169" spans="2:17" x14ac:dyDescent="0.25">
      <c r="B169">
        <v>10073</v>
      </c>
      <c r="C169" t="s">
        <v>25701</v>
      </c>
      <c r="E169">
        <v>209</v>
      </c>
      <c r="F169">
        <v>206</v>
      </c>
      <c r="G169">
        <v>226</v>
      </c>
      <c r="Q169" t="s">
        <v>119</v>
      </c>
    </row>
    <row r="170" spans="2:17" x14ac:dyDescent="0.25">
      <c r="B170">
        <v>10072</v>
      </c>
      <c r="C170" t="s">
        <v>25702</v>
      </c>
      <c r="E170">
        <v>230</v>
      </c>
      <c r="F170">
        <v>230</v>
      </c>
      <c r="G170">
        <v>236</v>
      </c>
      <c r="Q170" t="s">
        <v>140</v>
      </c>
    </row>
    <row r="171" spans="2:17" x14ac:dyDescent="0.25">
      <c r="B171">
        <v>128012326</v>
      </c>
      <c r="C171" t="s">
        <v>25703</v>
      </c>
      <c r="E171">
        <v>93</v>
      </c>
      <c r="F171">
        <v>69</v>
      </c>
      <c r="G171">
        <v>127</v>
      </c>
      <c r="P171" t="s">
        <v>14600</v>
      </c>
    </row>
    <row r="172" spans="2:17" x14ac:dyDescent="0.25">
      <c r="B172">
        <v>10070</v>
      </c>
      <c r="C172" t="s">
        <v>25704</v>
      </c>
      <c r="E172">
        <v>97</v>
      </c>
      <c r="F172">
        <v>72</v>
      </c>
      <c r="G172">
        <v>132</v>
      </c>
      <c r="Q172" t="s">
        <v>4234</v>
      </c>
    </row>
    <row r="173" spans="2:17" x14ac:dyDescent="0.25">
      <c r="B173">
        <v>128012332</v>
      </c>
      <c r="C173" t="s">
        <v>15942</v>
      </c>
      <c r="E173">
        <v>209</v>
      </c>
      <c r="F173">
        <v>206</v>
      </c>
      <c r="G173">
        <v>226</v>
      </c>
      <c r="P173" t="s">
        <v>14602</v>
      </c>
    </row>
    <row r="174" spans="2:17" x14ac:dyDescent="0.25">
      <c r="B174">
        <v>10069</v>
      </c>
      <c r="C174" t="s">
        <v>25705</v>
      </c>
      <c r="E174">
        <v>138</v>
      </c>
      <c r="F174">
        <v>122</v>
      </c>
      <c r="G174">
        <v>177</v>
      </c>
      <c r="Q174" t="s">
        <v>133</v>
      </c>
    </row>
    <row r="175" spans="2:17" x14ac:dyDescent="0.25">
      <c r="B175">
        <v>10071</v>
      </c>
      <c r="C175" t="s">
        <v>25706</v>
      </c>
      <c r="E175">
        <v>230</v>
      </c>
      <c r="F175">
        <v>230</v>
      </c>
      <c r="G175">
        <v>236</v>
      </c>
      <c r="P175" t="s">
        <v>126</v>
      </c>
    </row>
    <row r="176" spans="2:17" x14ac:dyDescent="0.25">
      <c r="B176">
        <v>10074</v>
      </c>
      <c r="C176" t="s">
        <v>23091</v>
      </c>
      <c r="E176">
        <v>170</v>
      </c>
      <c r="F176">
        <v>157</v>
      </c>
      <c r="G176">
        <v>198</v>
      </c>
      <c r="O176" t="s">
        <v>147</v>
      </c>
    </row>
    <row r="177" spans="2:17" x14ac:dyDescent="0.25">
      <c r="B177">
        <v>128012354</v>
      </c>
      <c r="C177" t="s">
        <v>25707</v>
      </c>
      <c r="E177">
        <v>153</v>
      </c>
      <c r="F177">
        <v>136</v>
      </c>
      <c r="G177">
        <v>187</v>
      </c>
      <c r="N177" t="s">
        <v>14720</v>
      </c>
    </row>
    <row r="178" spans="2:17" x14ac:dyDescent="0.25">
      <c r="B178">
        <v>10054</v>
      </c>
      <c r="C178" t="s">
        <v>15962</v>
      </c>
      <c r="E178">
        <v>153</v>
      </c>
      <c r="F178">
        <v>136</v>
      </c>
      <c r="G178">
        <v>187</v>
      </c>
      <c r="O178" t="s">
        <v>14722</v>
      </c>
    </row>
    <row r="179" spans="2:17" x14ac:dyDescent="0.25">
      <c r="B179">
        <v>128012368</v>
      </c>
      <c r="C179" t="s">
        <v>25708</v>
      </c>
      <c r="E179">
        <v>242</v>
      </c>
      <c r="F179">
        <v>241</v>
      </c>
      <c r="G179">
        <v>240</v>
      </c>
      <c r="P179" t="s">
        <v>14604</v>
      </c>
    </row>
    <row r="180" spans="2:17" x14ac:dyDescent="0.25">
      <c r="B180">
        <v>128012372</v>
      </c>
      <c r="C180" t="s">
        <v>25709</v>
      </c>
      <c r="E180">
        <v>97</v>
      </c>
      <c r="F180">
        <v>72</v>
      </c>
      <c r="G180">
        <v>132</v>
      </c>
      <c r="Q180" t="s">
        <v>14606</v>
      </c>
    </row>
    <row r="181" spans="2:17" x14ac:dyDescent="0.25">
      <c r="B181">
        <v>10053</v>
      </c>
      <c r="C181" t="s">
        <v>19689</v>
      </c>
      <c r="E181">
        <v>170</v>
      </c>
      <c r="F181">
        <v>157</v>
      </c>
      <c r="G181">
        <v>198</v>
      </c>
      <c r="O181" t="s">
        <v>5309</v>
      </c>
    </row>
    <row r="182" spans="2:17" x14ac:dyDescent="0.25">
      <c r="B182">
        <v>10055</v>
      </c>
      <c r="C182" t="s">
        <v>15970</v>
      </c>
      <c r="E182">
        <v>193</v>
      </c>
      <c r="F182">
        <v>166</v>
      </c>
      <c r="G182">
        <v>143</v>
      </c>
      <c r="N182" t="s">
        <v>4114</v>
      </c>
    </row>
    <row r="183" spans="2:17" x14ac:dyDescent="0.25">
      <c r="B183">
        <v>128012400</v>
      </c>
      <c r="C183" t="s">
        <v>22958</v>
      </c>
      <c r="E183">
        <v>193</v>
      </c>
      <c r="F183">
        <v>166</v>
      </c>
      <c r="G183">
        <v>143</v>
      </c>
      <c r="O183" t="s">
        <v>14608</v>
      </c>
    </row>
    <row r="184" spans="2:17" x14ac:dyDescent="0.25">
      <c r="B184">
        <v>128012404</v>
      </c>
      <c r="C184" t="s">
        <v>22967</v>
      </c>
      <c r="E184">
        <v>193</v>
      </c>
      <c r="F184">
        <v>166</v>
      </c>
      <c r="G184">
        <v>143</v>
      </c>
      <c r="O184" t="s">
        <v>14610</v>
      </c>
    </row>
    <row r="185" spans="2:17" x14ac:dyDescent="0.25">
      <c r="B185">
        <v>159658824</v>
      </c>
      <c r="C185" t="s">
        <v>25710</v>
      </c>
      <c r="E185">
        <v>147</v>
      </c>
      <c r="F185">
        <v>123</v>
      </c>
      <c r="G185">
        <v>124</v>
      </c>
      <c r="N185" t="s">
        <v>14662</v>
      </c>
    </row>
    <row r="186" spans="2:17" x14ac:dyDescent="0.25">
      <c r="B186">
        <v>294022158</v>
      </c>
      <c r="C186" t="s">
        <v>25711</v>
      </c>
      <c r="E186">
        <v>210</v>
      </c>
      <c r="F186">
        <v>191</v>
      </c>
      <c r="G186">
        <v>178</v>
      </c>
      <c r="N186" t="s">
        <v>1765</v>
      </c>
    </row>
    <row r="187" spans="2:17" x14ac:dyDescent="0.25">
      <c r="B187">
        <v>128011876</v>
      </c>
      <c r="C187" t="s">
        <v>22859</v>
      </c>
      <c r="E187">
        <v>203</v>
      </c>
      <c r="F187">
        <v>183</v>
      </c>
      <c r="G187">
        <v>168</v>
      </c>
      <c r="O187" t="s">
        <v>2582</v>
      </c>
    </row>
    <row r="188" spans="2:17" x14ac:dyDescent="0.25">
      <c r="B188">
        <v>128011900</v>
      </c>
      <c r="C188" t="s">
        <v>25712</v>
      </c>
      <c r="E188">
        <v>203</v>
      </c>
      <c r="F188">
        <v>183</v>
      </c>
      <c r="G188">
        <v>168</v>
      </c>
      <c r="P188" t="s">
        <v>14562</v>
      </c>
    </row>
    <row r="189" spans="2:17" x14ac:dyDescent="0.25">
      <c r="B189">
        <v>128011936</v>
      </c>
      <c r="C189" t="s">
        <v>22903</v>
      </c>
      <c r="E189">
        <v>203</v>
      </c>
      <c r="F189">
        <v>183</v>
      </c>
      <c r="G189">
        <v>168</v>
      </c>
      <c r="O189" t="s">
        <v>2894</v>
      </c>
    </row>
    <row r="190" spans="2:17" x14ac:dyDescent="0.25">
      <c r="B190">
        <v>128011960</v>
      </c>
      <c r="C190" t="s">
        <v>25713</v>
      </c>
      <c r="E190">
        <v>203</v>
      </c>
      <c r="F190">
        <v>183</v>
      </c>
      <c r="G190">
        <v>168</v>
      </c>
      <c r="P190" t="s">
        <v>14564</v>
      </c>
    </row>
    <row r="191" spans="2:17" x14ac:dyDescent="0.25">
      <c r="B191">
        <v>128012080</v>
      </c>
      <c r="C191" t="s">
        <v>16430</v>
      </c>
      <c r="E191">
        <v>182</v>
      </c>
      <c r="F191">
        <v>123</v>
      </c>
      <c r="G191">
        <v>180</v>
      </c>
      <c r="N191" t="s">
        <v>3815</v>
      </c>
    </row>
    <row r="192" spans="2:17" x14ac:dyDescent="0.25">
      <c r="B192">
        <v>128012144</v>
      </c>
      <c r="C192" t="s">
        <v>25714</v>
      </c>
      <c r="E192">
        <v>182</v>
      </c>
      <c r="F192">
        <v>123</v>
      </c>
      <c r="G192">
        <v>180</v>
      </c>
      <c r="O192" t="s">
        <v>14570</v>
      </c>
    </row>
    <row r="193" spans="2:17" x14ac:dyDescent="0.25">
      <c r="B193">
        <v>128012084</v>
      </c>
      <c r="C193" t="s">
        <v>25715</v>
      </c>
      <c r="E193">
        <v>182</v>
      </c>
      <c r="F193">
        <v>123</v>
      </c>
      <c r="G193">
        <v>180</v>
      </c>
      <c r="O193" t="s">
        <v>14566</v>
      </c>
    </row>
    <row r="194" spans="2:17" x14ac:dyDescent="0.25">
      <c r="B194">
        <v>128012120</v>
      </c>
      <c r="C194" t="s">
        <v>25716</v>
      </c>
      <c r="E194">
        <v>182</v>
      </c>
      <c r="F194">
        <v>123</v>
      </c>
      <c r="G194">
        <v>180</v>
      </c>
      <c r="P194" t="s">
        <v>14568</v>
      </c>
    </row>
    <row r="195" spans="2:17" x14ac:dyDescent="0.25">
      <c r="B195">
        <v>128012596</v>
      </c>
      <c r="C195" t="s">
        <v>24840</v>
      </c>
      <c r="E195">
        <v>215</v>
      </c>
      <c r="F195">
        <v>233</v>
      </c>
      <c r="G195">
        <v>195</v>
      </c>
      <c r="L195" t="s">
        <v>1285</v>
      </c>
    </row>
    <row r="196" spans="2:17" x14ac:dyDescent="0.25">
      <c r="B196">
        <v>4002</v>
      </c>
      <c r="C196" t="s">
        <v>25717</v>
      </c>
      <c r="E196">
        <v>201</v>
      </c>
      <c r="F196">
        <v>226</v>
      </c>
      <c r="G196">
        <v>177</v>
      </c>
      <c r="M196" t="s">
        <v>231</v>
      </c>
    </row>
    <row r="197" spans="2:17" x14ac:dyDescent="0.25">
      <c r="B197">
        <v>10103</v>
      </c>
      <c r="C197" t="s">
        <v>25718</v>
      </c>
      <c r="E197">
        <v>192</v>
      </c>
      <c r="F197">
        <v>221</v>
      </c>
      <c r="G197">
        <v>157</v>
      </c>
      <c r="N197" t="s">
        <v>306</v>
      </c>
    </row>
    <row r="198" spans="2:17" x14ac:dyDescent="0.25">
      <c r="B198">
        <v>10121</v>
      </c>
      <c r="C198" t="s">
        <v>25719</v>
      </c>
      <c r="E198">
        <v>175</v>
      </c>
      <c r="F198">
        <v>213</v>
      </c>
      <c r="G198">
        <v>138</v>
      </c>
      <c r="N198" t="s">
        <v>920</v>
      </c>
    </row>
    <row r="199" spans="2:17" x14ac:dyDescent="0.25">
      <c r="B199">
        <v>10124</v>
      </c>
      <c r="C199" t="s">
        <v>23153</v>
      </c>
      <c r="E199">
        <v>175</v>
      </c>
      <c r="F199">
        <v>213</v>
      </c>
      <c r="G199">
        <v>138</v>
      </c>
      <c r="O199" t="s">
        <v>14499</v>
      </c>
    </row>
    <row r="200" spans="2:17" x14ac:dyDescent="0.25">
      <c r="B200">
        <v>10123</v>
      </c>
      <c r="C200" t="s">
        <v>23156</v>
      </c>
      <c r="E200">
        <v>175</v>
      </c>
      <c r="F200">
        <v>213</v>
      </c>
      <c r="G200">
        <v>138</v>
      </c>
      <c r="O200" t="s">
        <v>14497</v>
      </c>
    </row>
    <row r="201" spans="2:17" x14ac:dyDescent="0.25">
      <c r="B201">
        <v>128012616</v>
      </c>
      <c r="C201" t="s">
        <v>16405</v>
      </c>
      <c r="E201">
        <v>166</v>
      </c>
      <c r="F201">
        <v>209</v>
      </c>
      <c r="G201">
        <v>122</v>
      </c>
      <c r="N201" t="s">
        <v>965</v>
      </c>
    </row>
    <row r="202" spans="2:17" x14ac:dyDescent="0.25">
      <c r="B202">
        <v>128012620</v>
      </c>
      <c r="C202" t="s">
        <v>25720</v>
      </c>
      <c r="E202">
        <v>156</v>
      </c>
      <c r="F202">
        <v>204</v>
      </c>
      <c r="G202">
        <v>102</v>
      </c>
      <c r="O202" t="s">
        <v>14640</v>
      </c>
    </row>
    <row r="203" spans="2:17" x14ac:dyDescent="0.25">
      <c r="B203">
        <v>10134</v>
      </c>
      <c r="C203" t="s">
        <v>25721</v>
      </c>
      <c r="E203">
        <v>137</v>
      </c>
      <c r="F203">
        <v>186</v>
      </c>
      <c r="G203">
        <v>70</v>
      </c>
      <c r="P203" t="s">
        <v>14502</v>
      </c>
    </row>
    <row r="204" spans="2:17" x14ac:dyDescent="0.25">
      <c r="B204">
        <v>128012634</v>
      </c>
      <c r="C204" t="s">
        <v>25722</v>
      </c>
      <c r="E204">
        <v>137</v>
      </c>
      <c r="F204">
        <v>186</v>
      </c>
      <c r="G204">
        <v>70</v>
      </c>
      <c r="P204" t="s">
        <v>14642</v>
      </c>
    </row>
    <row r="205" spans="2:17" x14ac:dyDescent="0.25">
      <c r="B205">
        <v>128012638</v>
      </c>
      <c r="C205" t="s">
        <v>25723</v>
      </c>
      <c r="E205">
        <v>156</v>
      </c>
      <c r="F205">
        <v>204</v>
      </c>
      <c r="G205">
        <v>102</v>
      </c>
      <c r="Q205" t="s">
        <v>14644</v>
      </c>
    </row>
    <row r="206" spans="2:17" x14ac:dyDescent="0.25">
      <c r="B206">
        <v>10125</v>
      </c>
      <c r="C206" t="s">
        <v>23169</v>
      </c>
      <c r="E206">
        <v>156</v>
      </c>
      <c r="F206">
        <v>204</v>
      </c>
      <c r="G206">
        <v>102</v>
      </c>
      <c r="O206" t="s">
        <v>3047</v>
      </c>
    </row>
    <row r="207" spans="2:17" x14ac:dyDescent="0.25">
      <c r="B207">
        <v>10135</v>
      </c>
      <c r="C207" t="s">
        <v>20037</v>
      </c>
      <c r="E207">
        <v>137</v>
      </c>
      <c r="F207">
        <v>186</v>
      </c>
      <c r="G207">
        <v>70</v>
      </c>
      <c r="O207" t="s">
        <v>237</v>
      </c>
    </row>
    <row r="208" spans="2:17" x14ac:dyDescent="0.25">
      <c r="B208">
        <v>10136</v>
      </c>
      <c r="C208" t="s">
        <v>23175</v>
      </c>
      <c r="E208">
        <v>114</v>
      </c>
      <c r="F208">
        <v>152</v>
      </c>
      <c r="G208">
        <v>63</v>
      </c>
      <c r="P208" t="s">
        <v>246</v>
      </c>
    </row>
    <row r="209" spans="2:16" x14ac:dyDescent="0.25">
      <c r="B209">
        <v>10137</v>
      </c>
      <c r="C209" t="s">
        <v>23176</v>
      </c>
      <c r="E209">
        <v>130</v>
      </c>
      <c r="F209">
        <v>177</v>
      </c>
      <c r="G209">
        <v>70</v>
      </c>
      <c r="P209" t="s">
        <v>251</v>
      </c>
    </row>
    <row r="210" spans="2:16" x14ac:dyDescent="0.25">
      <c r="B210">
        <v>128012678</v>
      </c>
      <c r="C210" t="s">
        <v>23178</v>
      </c>
      <c r="E210">
        <v>166</v>
      </c>
      <c r="F210">
        <v>209</v>
      </c>
      <c r="G210">
        <v>122</v>
      </c>
      <c r="N210" t="s">
        <v>558</v>
      </c>
    </row>
    <row r="211" spans="2:16" x14ac:dyDescent="0.25">
      <c r="B211">
        <v>10116</v>
      </c>
      <c r="C211" t="s">
        <v>24355</v>
      </c>
      <c r="E211">
        <v>166</v>
      </c>
      <c r="F211">
        <v>209</v>
      </c>
      <c r="G211">
        <v>122</v>
      </c>
      <c r="O211" t="s">
        <v>2557</v>
      </c>
    </row>
    <row r="212" spans="2:16" x14ac:dyDescent="0.25">
      <c r="B212">
        <v>10117</v>
      </c>
      <c r="C212" t="s">
        <v>25724</v>
      </c>
      <c r="E212">
        <v>146</v>
      </c>
      <c r="F212">
        <v>200</v>
      </c>
      <c r="G212">
        <v>81</v>
      </c>
      <c r="P212" t="s">
        <v>14489</v>
      </c>
    </row>
    <row r="213" spans="2:16" x14ac:dyDescent="0.25">
      <c r="B213">
        <v>10118</v>
      </c>
      <c r="C213" t="s">
        <v>25725</v>
      </c>
      <c r="E213">
        <v>146</v>
      </c>
      <c r="F213">
        <v>200</v>
      </c>
      <c r="G213">
        <v>81</v>
      </c>
      <c r="P213" t="s">
        <v>14491</v>
      </c>
    </row>
    <row r="214" spans="2:16" x14ac:dyDescent="0.25">
      <c r="B214">
        <v>10119</v>
      </c>
      <c r="C214" t="s">
        <v>25726</v>
      </c>
      <c r="E214">
        <v>137</v>
      </c>
      <c r="F214">
        <v>186</v>
      </c>
      <c r="G214">
        <v>70</v>
      </c>
      <c r="P214" t="s">
        <v>14493</v>
      </c>
    </row>
    <row r="215" spans="2:16" x14ac:dyDescent="0.25">
      <c r="B215">
        <v>10120</v>
      </c>
      <c r="C215" t="s">
        <v>25727</v>
      </c>
      <c r="E215">
        <v>137</v>
      </c>
      <c r="F215">
        <v>186</v>
      </c>
      <c r="G215">
        <v>70</v>
      </c>
      <c r="P215" t="s">
        <v>14495</v>
      </c>
    </row>
    <row r="216" spans="2:16" x14ac:dyDescent="0.25">
      <c r="B216">
        <v>10106</v>
      </c>
      <c r="C216" t="s">
        <v>20340</v>
      </c>
      <c r="E216">
        <v>137</v>
      </c>
      <c r="F216">
        <v>186</v>
      </c>
      <c r="G216">
        <v>70</v>
      </c>
      <c r="O216" t="s">
        <v>14475</v>
      </c>
    </row>
    <row r="217" spans="2:16" x14ac:dyDescent="0.25">
      <c r="B217">
        <v>10108</v>
      </c>
      <c r="C217" t="s">
        <v>25728</v>
      </c>
      <c r="E217">
        <v>119</v>
      </c>
      <c r="F217">
        <v>158</v>
      </c>
      <c r="G217">
        <v>63</v>
      </c>
      <c r="P217" t="s">
        <v>14479</v>
      </c>
    </row>
    <row r="218" spans="2:16" x14ac:dyDescent="0.25">
      <c r="B218">
        <v>10107</v>
      </c>
      <c r="C218" t="s">
        <v>15345</v>
      </c>
      <c r="E218">
        <v>126</v>
      </c>
      <c r="F218">
        <v>165</v>
      </c>
      <c r="G218">
        <v>65</v>
      </c>
      <c r="P218" t="s">
        <v>14477</v>
      </c>
    </row>
    <row r="219" spans="2:16" x14ac:dyDescent="0.25">
      <c r="B219">
        <v>10109</v>
      </c>
      <c r="C219" t="s">
        <v>25729</v>
      </c>
      <c r="E219">
        <v>130</v>
      </c>
      <c r="F219">
        <v>177</v>
      </c>
      <c r="G219">
        <v>70</v>
      </c>
      <c r="P219" t="s">
        <v>14481</v>
      </c>
    </row>
    <row r="220" spans="2:16" x14ac:dyDescent="0.25">
      <c r="B220">
        <v>10110</v>
      </c>
      <c r="C220" t="s">
        <v>25730</v>
      </c>
      <c r="E220">
        <v>156</v>
      </c>
      <c r="F220">
        <v>204</v>
      </c>
      <c r="G220">
        <v>102</v>
      </c>
      <c r="O220" t="s">
        <v>14483</v>
      </c>
    </row>
    <row r="221" spans="2:16" x14ac:dyDescent="0.25">
      <c r="B221">
        <v>10111</v>
      </c>
      <c r="C221" t="s">
        <v>25731</v>
      </c>
      <c r="E221">
        <v>126</v>
      </c>
      <c r="F221">
        <v>165</v>
      </c>
      <c r="G221">
        <v>65</v>
      </c>
      <c r="P221" t="s">
        <v>14485</v>
      </c>
    </row>
    <row r="222" spans="2:16" x14ac:dyDescent="0.25">
      <c r="B222">
        <v>10112</v>
      </c>
      <c r="C222" t="s">
        <v>25732</v>
      </c>
      <c r="E222">
        <v>137</v>
      </c>
      <c r="F222">
        <v>186</v>
      </c>
      <c r="G222">
        <v>70</v>
      </c>
      <c r="P222" t="s">
        <v>14487</v>
      </c>
    </row>
    <row r="223" spans="2:16" x14ac:dyDescent="0.25">
      <c r="B223">
        <v>10128</v>
      </c>
      <c r="C223" t="s">
        <v>19111</v>
      </c>
      <c r="E223">
        <v>146</v>
      </c>
      <c r="F223">
        <v>200</v>
      </c>
      <c r="G223">
        <v>81</v>
      </c>
      <c r="O223" t="s">
        <v>5352</v>
      </c>
    </row>
    <row r="224" spans="2:16" x14ac:dyDescent="0.25">
      <c r="B224">
        <v>10132</v>
      </c>
      <c r="C224" t="s">
        <v>23206</v>
      </c>
      <c r="E224">
        <v>114</v>
      </c>
      <c r="F224">
        <v>152</v>
      </c>
      <c r="G224">
        <v>63</v>
      </c>
      <c r="N224" t="s">
        <v>2454</v>
      </c>
    </row>
    <row r="225" spans="2:16" x14ac:dyDescent="0.25">
      <c r="B225">
        <v>10140</v>
      </c>
      <c r="C225" t="s">
        <v>15788</v>
      </c>
      <c r="E225">
        <v>116</v>
      </c>
      <c r="F225">
        <v>160</v>
      </c>
      <c r="G225">
        <v>70</v>
      </c>
      <c r="N225" t="s">
        <v>257</v>
      </c>
    </row>
    <row r="226" spans="2:16" x14ac:dyDescent="0.25">
      <c r="B226">
        <v>10139</v>
      </c>
      <c r="C226" t="s">
        <v>23207</v>
      </c>
      <c r="E226">
        <v>137</v>
      </c>
      <c r="F226">
        <v>186</v>
      </c>
      <c r="G226">
        <v>70</v>
      </c>
      <c r="N226" t="s">
        <v>14504</v>
      </c>
    </row>
    <row r="227" spans="2:16" x14ac:dyDescent="0.25">
      <c r="B227">
        <v>128012976</v>
      </c>
      <c r="C227" t="s">
        <v>23276</v>
      </c>
      <c r="E227">
        <v>222</v>
      </c>
      <c r="F227">
        <v>221</v>
      </c>
      <c r="G227">
        <v>175</v>
      </c>
      <c r="M227" t="s">
        <v>534</v>
      </c>
    </row>
    <row r="228" spans="2:16" x14ac:dyDescent="0.25">
      <c r="B228">
        <v>10141</v>
      </c>
      <c r="C228" t="s">
        <v>23286</v>
      </c>
      <c r="E228">
        <v>143</v>
      </c>
      <c r="F228">
        <v>142</v>
      </c>
      <c r="G228">
        <v>66</v>
      </c>
      <c r="N228" t="s">
        <v>542</v>
      </c>
    </row>
    <row r="229" spans="2:16" x14ac:dyDescent="0.25">
      <c r="B229">
        <v>4001</v>
      </c>
      <c r="C229" t="s">
        <v>23240</v>
      </c>
      <c r="E229">
        <v>226</v>
      </c>
      <c r="F229">
        <v>234</v>
      </c>
      <c r="G229">
        <v>202</v>
      </c>
      <c r="M229" t="s">
        <v>539</v>
      </c>
    </row>
    <row r="230" spans="2:16" x14ac:dyDescent="0.25">
      <c r="B230">
        <v>128012818</v>
      </c>
      <c r="C230" t="s">
        <v>22020</v>
      </c>
      <c r="E230">
        <v>129</v>
      </c>
      <c r="F230">
        <v>105</v>
      </c>
      <c r="G230">
        <v>107</v>
      </c>
      <c r="N230" t="s">
        <v>2054</v>
      </c>
    </row>
    <row r="231" spans="2:16" x14ac:dyDescent="0.25">
      <c r="B231">
        <v>159658852</v>
      </c>
      <c r="C231" t="s">
        <v>25733</v>
      </c>
      <c r="E231">
        <v>147</v>
      </c>
      <c r="F231">
        <v>123</v>
      </c>
      <c r="G231">
        <v>124</v>
      </c>
      <c r="O231" t="s">
        <v>14670</v>
      </c>
    </row>
    <row r="232" spans="2:16" x14ac:dyDescent="0.25">
      <c r="B232">
        <v>128012822</v>
      </c>
      <c r="C232" t="s">
        <v>22023</v>
      </c>
      <c r="E232">
        <v>147</v>
      </c>
      <c r="F232">
        <v>123</v>
      </c>
      <c r="G232">
        <v>124</v>
      </c>
      <c r="O232" t="s">
        <v>2585</v>
      </c>
    </row>
    <row r="233" spans="2:16" x14ac:dyDescent="0.25">
      <c r="B233">
        <v>128012834</v>
      </c>
      <c r="C233" t="s">
        <v>22030</v>
      </c>
      <c r="E233">
        <v>140</v>
      </c>
      <c r="F233">
        <v>115</v>
      </c>
      <c r="G233">
        <v>115</v>
      </c>
      <c r="O233" t="s">
        <v>2899</v>
      </c>
    </row>
    <row r="234" spans="2:16" x14ac:dyDescent="0.25">
      <c r="B234">
        <v>128012846</v>
      </c>
      <c r="C234" t="s">
        <v>22035</v>
      </c>
      <c r="E234">
        <v>129</v>
      </c>
      <c r="F234">
        <v>105</v>
      </c>
      <c r="G234">
        <v>107</v>
      </c>
      <c r="O234" t="s">
        <v>875</v>
      </c>
    </row>
    <row r="235" spans="2:16" x14ac:dyDescent="0.25">
      <c r="B235">
        <v>10080</v>
      </c>
      <c r="C235" t="s">
        <v>19740</v>
      </c>
      <c r="E235">
        <v>193</v>
      </c>
      <c r="F235">
        <v>206</v>
      </c>
      <c r="G235">
        <v>167</v>
      </c>
      <c r="N235" t="s">
        <v>1200</v>
      </c>
    </row>
    <row r="236" spans="2:16" x14ac:dyDescent="0.25">
      <c r="B236">
        <v>10081</v>
      </c>
      <c r="C236" t="s">
        <v>25734</v>
      </c>
      <c r="E236">
        <v>193</v>
      </c>
      <c r="F236">
        <v>206</v>
      </c>
      <c r="G236">
        <v>167</v>
      </c>
      <c r="O236" t="s">
        <v>1605</v>
      </c>
    </row>
    <row r="237" spans="2:16" x14ac:dyDescent="0.25">
      <c r="B237">
        <v>10082</v>
      </c>
      <c r="C237" t="s">
        <v>23241</v>
      </c>
      <c r="E237">
        <v>153</v>
      </c>
      <c r="F237">
        <v>166</v>
      </c>
      <c r="G237">
        <v>119</v>
      </c>
      <c r="P237" t="s">
        <v>902</v>
      </c>
    </row>
    <row r="238" spans="2:16" x14ac:dyDescent="0.25">
      <c r="B238">
        <v>10086</v>
      </c>
      <c r="C238" t="s">
        <v>23250</v>
      </c>
      <c r="E238">
        <v>168</v>
      </c>
      <c r="F238">
        <v>180</v>
      </c>
      <c r="G238">
        <v>133</v>
      </c>
      <c r="P238" t="s">
        <v>4204</v>
      </c>
    </row>
    <row r="239" spans="2:16" x14ac:dyDescent="0.25">
      <c r="B239">
        <v>10091</v>
      </c>
      <c r="C239" t="s">
        <v>25735</v>
      </c>
      <c r="E239">
        <v>193</v>
      </c>
      <c r="F239">
        <v>206</v>
      </c>
      <c r="G239">
        <v>167</v>
      </c>
      <c r="O239" t="s">
        <v>1198</v>
      </c>
    </row>
    <row r="240" spans="2:16" x14ac:dyDescent="0.25">
      <c r="B240">
        <v>10092</v>
      </c>
      <c r="C240" t="s">
        <v>23259</v>
      </c>
      <c r="E240">
        <v>145</v>
      </c>
      <c r="F240">
        <v>160</v>
      </c>
      <c r="G240">
        <v>110</v>
      </c>
      <c r="P240" t="s">
        <v>3239</v>
      </c>
    </row>
    <row r="241" spans="2:18" x14ac:dyDescent="0.25">
      <c r="B241">
        <v>10093</v>
      </c>
      <c r="C241" t="s">
        <v>23260</v>
      </c>
      <c r="E241">
        <v>145</v>
      </c>
      <c r="F241">
        <v>160</v>
      </c>
      <c r="G241">
        <v>110</v>
      </c>
      <c r="Q241" t="s">
        <v>1310</v>
      </c>
    </row>
    <row r="242" spans="2:18" x14ac:dyDescent="0.25">
      <c r="B242">
        <v>10094</v>
      </c>
      <c r="C242" t="s">
        <v>23263</v>
      </c>
      <c r="E242">
        <v>137</v>
      </c>
      <c r="F242">
        <v>150</v>
      </c>
      <c r="G242">
        <v>98</v>
      </c>
      <c r="Q242" t="s">
        <v>4976</v>
      </c>
    </row>
    <row r="243" spans="2:18" x14ac:dyDescent="0.25">
      <c r="B243">
        <v>128012920</v>
      </c>
      <c r="C243" t="s">
        <v>23266</v>
      </c>
      <c r="E243">
        <v>137</v>
      </c>
      <c r="F243">
        <v>150</v>
      </c>
      <c r="G243">
        <v>98</v>
      </c>
      <c r="R243" t="s">
        <v>14646</v>
      </c>
    </row>
    <row r="244" spans="2:18" x14ac:dyDescent="0.25">
      <c r="B244">
        <v>10095</v>
      </c>
      <c r="C244" t="s">
        <v>23292</v>
      </c>
      <c r="E244">
        <v>133</v>
      </c>
      <c r="F244">
        <v>133</v>
      </c>
      <c r="G244">
        <v>54</v>
      </c>
      <c r="P244" t="s">
        <v>2542</v>
      </c>
    </row>
    <row r="245" spans="2:18" x14ac:dyDescent="0.25">
      <c r="B245">
        <v>128012926</v>
      </c>
      <c r="C245" t="s">
        <v>23293</v>
      </c>
      <c r="E245">
        <v>133</v>
      </c>
      <c r="F245">
        <v>133</v>
      </c>
      <c r="G245">
        <v>54</v>
      </c>
      <c r="Q245" t="s">
        <v>14648</v>
      </c>
    </row>
    <row r="246" spans="2:18" x14ac:dyDescent="0.25">
      <c r="B246">
        <v>10096</v>
      </c>
      <c r="C246" t="s">
        <v>15418</v>
      </c>
      <c r="E246">
        <v>153</v>
      </c>
      <c r="F246">
        <v>136</v>
      </c>
      <c r="G246">
        <v>187</v>
      </c>
      <c r="P246" t="s">
        <v>3471</v>
      </c>
    </row>
    <row r="247" spans="2:18" x14ac:dyDescent="0.25">
      <c r="B247">
        <v>10097</v>
      </c>
      <c r="C247" t="s">
        <v>23267</v>
      </c>
      <c r="E247">
        <v>215</v>
      </c>
      <c r="F247">
        <v>224</v>
      </c>
      <c r="G247">
        <v>191</v>
      </c>
      <c r="N247" t="s">
        <v>2082</v>
      </c>
    </row>
    <row r="248" spans="2:18" x14ac:dyDescent="0.25">
      <c r="B248">
        <v>10099</v>
      </c>
      <c r="C248" t="s">
        <v>19816</v>
      </c>
      <c r="E248">
        <v>215</v>
      </c>
      <c r="F248">
        <v>224</v>
      </c>
      <c r="G248">
        <v>191</v>
      </c>
      <c r="O248" t="s">
        <v>2596</v>
      </c>
    </row>
    <row r="249" spans="2:18" x14ac:dyDescent="0.25">
      <c r="B249">
        <v>10098</v>
      </c>
      <c r="C249" t="s">
        <v>19818</v>
      </c>
      <c r="E249">
        <v>208</v>
      </c>
      <c r="F249">
        <v>217</v>
      </c>
      <c r="G249">
        <v>178</v>
      </c>
      <c r="O249" t="s">
        <v>2911</v>
      </c>
    </row>
    <row r="250" spans="2:18" x14ac:dyDescent="0.25">
      <c r="B250">
        <v>10102</v>
      </c>
      <c r="C250" t="s">
        <v>18464</v>
      </c>
      <c r="E250">
        <v>242</v>
      </c>
      <c r="F250">
        <v>241</v>
      </c>
      <c r="G250">
        <v>240</v>
      </c>
      <c r="N250" t="s">
        <v>2490</v>
      </c>
    </row>
    <row r="251" spans="2:18" x14ac:dyDescent="0.25">
      <c r="B251">
        <v>128012960</v>
      </c>
      <c r="C251" t="s">
        <v>23272</v>
      </c>
      <c r="E251">
        <v>170</v>
      </c>
      <c r="F251">
        <v>219</v>
      </c>
      <c r="G251">
        <v>206</v>
      </c>
      <c r="N251" t="s">
        <v>1268</v>
      </c>
    </row>
    <row r="252" spans="2:18" x14ac:dyDescent="0.25">
      <c r="B252">
        <v>128013010</v>
      </c>
      <c r="C252" t="s">
        <v>23297</v>
      </c>
      <c r="E252">
        <v>228</v>
      </c>
      <c r="F252">
        <v>204</v>
      </c>
      <c r="G252">
        <v>227</v>
      </c>
      <c r="K252" t="s">
        <v>1488</v>
      </c>
    </row>
    <row r="253" spans="2:18" x14ac:dyDescent="0.25">
      <c r="B253">
        <v>128013014</v>
      </c>
      <c r="C253" t="s">
        <v>25736</v>
      </c>
      <c r="E253">
        <v>228</v>
      </c>
      <c r="F253">
        <v>204</v>
      </c>
      <c r="G253">
        <v>227</v>
      </c>
      <c r="L253" t="s">
        <v>1588</v>
      </c>
    </row>
    <row r="254" spans="2:18" x14ac:dyDescent="0.25">
      <c r="B254">
        <v>128013018</v>
      </c>
      <c r="C254" t="s">
        <v>25737</v>
      </c>
      <c r="E254">
        <v>204</v>
      </c>
      <c r="F254">
        <v>159</v>
      </c>
      <c r="G254">
        <v>201</v>
      </c>
      <c r="M254" t="s">
        <v>1620</v>
      </c>
    </row>
    <row r="255" spans="2:18" x14ac:dyDescent="0.25">
      <c r="B255">
        <v>128013070</v>
      </c>
      <c r="C255" t="s">
        <v>25738</v>
      </c>
      <c r="E255">
        <v>140</v>
      </c>
      <c r="F255">
        <v>70</v>
      </c>
      <c r="G255">
        <v>133</v>
      </c>
      <c r="N255" t="s">
        <v>2589</v>
      </c>
    </row>
    <row r="256" spans="2:18" x14ac:dyDescent="0.25">
      <c r="B256">
        <v>128013074</v>
      </c>
      <c r="C256" t="s">
        <v>16457</v>
      </c>
      <c r="E256">
        <v>140</v>
      </c>
      <c r="F256">
        <v>70</v>
      </c>
      <c r="G256">
        <v>133</v>
      </c>
      <c r="O256" t="s">
        <v>694</v>
      </c>
    </row>
    <row r="257" spans="2:16" x14ac:dyDescent="0.25">
      <c r="B257">
        <v>128013078</v>
      </c>
      <c r="C257" t="s">
        <v>23346</v>
      </c>
      <c r="E257">
        <v>119</v>
      </c>
      <c r="F257">
        <v>54</v>
      </c>
      <c r="G257">
        <v>113</v>
      </c>
      <c r="P257" t="s">
        <v>2822</v>
      </c>
    </row>
    <row r="258" spans="2:16" x14ac:dyDescent="0.25">
      <c r="B258">
        <v>128013091</v>
      </c>
      <c r="C258" t="s">
        <v>23351</v>
      </c>
      <c r="E258">
        <v>140</v>
      </c>
      <c r="F258">
        <v>70</v>
      </c>
      <c r="G258">
        <v>133</v>
      </c>
      <c r="P258" t="s">
        <v>3758</v>
      </c>
    </row>
    <row r="259" spans="2:16" x14ac:dyDescent="0.25">
      <c r="B259">
        <v>128013113</v>
      </c>
      <c r="C259" t="s">
        <v>25739</v>
      </c>
      <c r="E259">
        <v>228</v>
      </c>
      <c r="F259">
        <v>205</v>
      </c>
      <c r="G259">
        <v>228</v>
      </c>
      <c r="P259" t="s">
        <v>25740</v>
      </c>
    </row>
    <row r="260" spans="2:16" x14ac:dyDescent="0.25">
      <c r="B260">
        <v>128013147</v>
      </c>
      <c r="C260" t="s">
        <v>25741</v>
      </c>
      <c r="E260">
        <v>204</v>
      </c>
      <c r="F260">
        <v>159</v>
      </c>
      <c r="G260">
        <v>201</v>
      </c>
      <c r="M260" t="s">
        <v>1776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JR_WorkingUberonMapping</vt:lpstr>
      <vt:lpstr>Mouse_ARA</vt:lpstr>
      <vt:lpstr>DevMouse</vt:lpstr>
      <vt:lpstr>Human_BrainSpan</vt:lpstr>
      <vt:lpstr>HBA</vt:lpstr>
      <vt:lpstr>NonHumanPrimate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Josh Royall</cp:lastModifiedBy>
  <dcterms:created xsi:type="dcterms:W3CDTF">2020-04-16T13:48:43Z</dcterms:created>
  <dcterms:modified xsi:type="dcterms:W3CDTF">2020-06-15T21:31:45Z</dcterms:modified>
</cp:coreProperties>
</file>